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tables/table1.xml" ContentType="application/vnd.openxmlformats-officedocument.spreadsheetml.table+xml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tables/table2.xml" ContentType="application/vnd.openxmlformats-officedocument.spreadsheetml.table+xml"/>
  <Override PartName="/xl/customProperty12.bin" ContentType="application/vnd.openxmlformats-officedocument.spreadsheetml.customProperty"/>
  <Override PartName="/xl/tables/table3.xml" ContentType="application/vnd.openxmlformats-officedocument.spreadsheetml.table+xml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omments1.xml" ContentType="application/vnd.openxmlformats-officedocument.spreadsheetml.comments+xml"/>
  <Override PartName="/xl/customProperty15.bin" ContentType="application/vnd.openxmlformats-officedocument.spreadsheetml.customProperty"/>
  <Override PartName="/xl/comments2.xml" ContentType="application/vnd.openxmlformats-officedocument.spreadsheetml.comments+xml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omments3.xml" ContentType="application/vnd.openxmlformats-officedocument.spreadsheetml.comments+xml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4.xml" ContentType="application/vnd.openxmlformats-officedocument.spreadsheetml.comments+xml"/>
  <Override PartName="/xl/customProperty21.bin" ContentType="application/vnd.openxmlformats-officedocument.spreadsheetml.customProperty"/>
  <Override PartName="/xl/comments5.xml" ContentType="application/vnd.openxmlformats-officedocument.spreadsheetml.comments+xml"/>
  <Override PartName="/xl/customProperty22.bin" ContentType="application/vnd.openxmlformats-officedocument.spreadsheetml.customProperty"/>
  <Override PartName="/xl/comments6.xml" ContentType="application/vnd.openxmlformats-officedocument.spreadsheetml.comments+xml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tables/table4.xml" ContentType="application/vnd.openxmlformats-officedocument.spreadsheetml.table+xml"/>
  <Override PartName="/xl/customProperty29.bin" ContentType="application/vnd.openxmlformats-officedocument.spreadsheetml.customProperty"/>
  <Override PartName="/xl/comments7.xml" ContentType="application/vnd.openxmlformats-officedocument.spreadsheetml.comments+xml"/>
  <Override PartName="/xl/customProperty30.bin" ContentType="application/vnd.openxmlformats-officedocument.spreadsheetml.customProperty"/>
  <Override PartName="/xl/comments8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tables/table5.xml" ContentType="application/vnd.openxmlformats-officedocument.spreadsheetml.table+xml"/>
  <Override PartName="/xl/customProperty35.bin" ContentType="application/vnd.openxmlformats-officedocument.spreadsheetml.customProperty"/>
  <Override PartName="/xl/tables/table6.xml" ContentType="application/vnd.openxmlformats-officedocument.spreadsheetml.table+xml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13_ncr:1_{C138F19D-76C8-4542-8894-F0DCD0EEB49F}" xr6:coauthVersionLast="47" xr6:coauthVersionMax="47" xr10:uidLastSave="{00000000-0000-0000-0000-000000000000}"/>
  <bookViews>
    <workbookView xWindow="-98" yWindow="-98" windowWidth="21795" windowHeight="12975" firstSheet="13" activeTab="13" xr2:uid="{00000000-000D-0000-FFFF-FFFF00000000}"/>
  </bookViews>
  <sheets>
    <sheet name="Pricing Structure" sheetId="2" state="hidden" r:id="rId1"/>
    <sheet name="All SKU Pricing Structure" sheetId="1" state="hidden" r:id="rId2"/>
    <sheet name="P&amp;L by Ctn" sheetId="11" state="hidden" r:id="rId3"/>
    <sheet name="P&amp;L TOTAL 150" sheetId="22" state="hidden" r:id="rId4"/>
    <sheet name="P&amp;L TOTAL" sheetId="21" state="hidden" r:id="rId5"/>
    <sheet name="P&amp;L TOTAL &lt;150" sheetId="27" state="hidden" r:id="rId6"/>
    <sheet name="STT STD - By SKU 150" sheetId="20" state="hidden" r:id="rId7"/>
    <sheet name="Trading Term Summary" sheetId="16" state="hidden" r:id="rId8"/>
    <sheet name="STT STD - By Province" sheetId="23" state="hidden" r:id="rId9"/>
    <sheet name="STT STD - By SKU &lt;150" sheetId="26" state="hidden" r:id="rId10"/>
    <sheet name="STT STD - By SKU By Province" sheetId="25" state="hidden" r:id="rId11"/>
    <sheet name="COGS Comparison" sheetId="19" state="hidden" r:id="rId12"/>
    <sheet name="PMAD PGAG CGSS ex" sheetId="39" state="hidden" r:id="rId13"/>
    <sheet name="Pricing Structure - All" sheetId="42" r:id="rId14"/>
    <sheet name="Pricing Structure - PMAD" sheetId="34" state="hidden" r:id="rId15"/>
    <sheet name="Pricing Structure - PMKS PMKF" sheetId="41" state="hidden" r:id="rId16"/>
    <sheet name="Pricing Structure IPKS &amp; IPKF " sheetId="40" state="hidden" r:id="rId17"/>
    <sheet name="Pricing Structure - IIP" sheetId="14" state="hidden" r:id="rId18"/>
    <sheet name="Pricing Structure - GSS" sheetId="13" state="hidden" r:id="rId19"/>
    <sheet name="Pricing Structure - IIP (2)" sheetId="17" state="hidden" r:id="rId20"/>
    <sheet name="Pricing Structure - All SKU" sheetId="3" state="hidden" r:id="rId21"/>
    <sheet name="Pricing Structure - IHAG" sheetId="15" state="hidden" r:id="rId22"/>
    <sheet name="Pricing Structure - GPD GRS" sheetId="36" state="hidden" r:id="rId23"/>
    <sheet name="Pricing Structure - CGSS" sheetId="33" state="hidden" r:id="rId24"/>
    <sheet name="Pricing Structure - PGAG" sheetId="38" state="hidden" r:id="rId25"/>
    <sheet name="Pricing Structure - PMAJ" sheetId="35" state="hidden" r:id="rId26"/>
    <sheet name="Pricing Structure - TORI MISO" sheetId="37" state="hidden" r:id="rId27"/>
    <sheet name="Sales Volume" sheetId="30" r:id="rId28"/>
    <sheet name="Pricing Structure - GSS - FS" sheetId="28" state="hidden" r:id="rId29"/>
    <sheet name="Pricing Structure - IHAG - FS" sheetId="29" state="hidden" r:id="rId30"/>
    <sheet name="P&amp;L 130mio" sheetId="12" state="hidden" r:id="rId31"/>
    <sheet name="Pricing &amp; Profitability By SKU" sheetId="5" state="hidden" r:id="rId32"/>
    <sheet name="Pricing &amp; Profitability - New" sheetId="8" state="hidden" r:id="rId33"/>
    <sheet name="P&amp;L - Current v Proposed" sheetId="6" state="hidden" r:id="rId34"/>
    <sheet name="P&amp;L - Current v Proposed (New)" sheetId="9" state="hidden" r:id="rId35"/>
    <sheet name="Distributor Profitability" sheetId="7" state="hidden" r:id="rId36"/>
    <sheet name="Regular Promotion &amp; GP Summary" sheetId="4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_2Excel_BuiltIn_Print_Titles_2_1" localSheetId="35">(#REF!,#REF!)</definedName>
    <definedName name="_2Excel_BuiltIn_Print_Titles_2_1" localSheetId="34">(#REF!,#REF!)</definedName>
    <definedName name="_2Excel_BuiltIn_Print_Titles_2_1" localSheetId="30">(#REF!,#REF!)</definedName>
    <definedName name="_2Excel_BuiltIn_Print_Titles_2_1" localSheetId="5">(#REF!,#REF!)</definedName>
    <definedName name="_2Excel_BuiltIn_Print_Titles_2_1" localSheetId="3">(#REF!,#REF!)</definedName>
    <definedName name="_2Excel_BuiltIn_Print_Titles_2_1" localSheetId="12">(#REF!,#REF!)</definedName>
    <definedName name="_2Excel_BuiltIn_Print_Titles_2_1" localSheetId="32">(#REF!,#REF!)</definedName>
    <definedName name="_2Excel_BuiltIn_Print_Titles_2_1" localSheetId="0">(#REF!,#REF!)</definedName>
    <definedName name="_2Excel_BuiltIn_Print_Titles_2_1" localSheetId="13">(#REF!,#REF!)</definedName>
    <definedName name="_2Excel_BuiltIn_Print_Titles_2_1" localSheetId="20">(#REF!,#REF!)</definedName>
    <definedName name="_2Excel_BuiltIn_Print_Titles_2_1" localSheetId="23">(#REF!,#REF!)</definedName>
    <definedName name="_2Excel_BuiltIn_Print_Titles_2_1" localSheetId="22">(#REF!,#REF!)</definedName>
    <definedName name="_2Excel_BuiltIn_Print_Titles_2_1" localSheetId="18">(#REF!,#REF!)</definedName>
    <definedName name="_2Excel_BuiltIn_Print_Titles_2_1" localSheetId="28">(#REF!,#REF!)</definedName>
    <definedName name="_2Excel_BuiltIn_Print_Titles_2_1" localSheetId="21">(#REF!,#REF!)</definedName>
    <definedName name="_2Excel_BuiltIn_Print_Titles_2_1" localSheetId="29">(#REF!,#REF!)</definedName>
    <definedName name="_2Excel_BuiltIn_Print_Titles_2_1" localSheetId="17">(#REF!,#REF!)</definedName>
    <definedName name="_2Excel_BuiltIn_Print_Titles_2_1" localSheetId="19">(#REF!,#REF!)</definedName>
    <definedName name="_2Excel_BuiltIn_Print_Titles_2_1" localSheetId="24">(#REF!,#REF!)</definedName>
    <definedName name="_2Excel_BuiltIn_Print_Titles_2_1" localSheetId="14">(#REF!,#REF!)</definedName>
    <definedName name="_2Excel_BuiltIn_Print_Titles_2_1" localSheetId="25">(#REF!,#REF!)</definedName>
    <definedName name="_2Excel_BuiltIn_Print_Titles_2_1" localSheetId="15">(#REF!,#REF!)</definedName>
    <definedName name="_2Excel_BuiltIn_Print_Titles_2_1" localSheetId="26">(#REF!,#REF!)</definedName>
    <definedName name="_2Excel_BuiltIn_Print_Titles_2_1" localSheetId="16">(#REF!,#REF!)</definedName>
    <definedName name="_2Excel_BuiltIn_Print_Titles_2_1" localSheetId="8">(#REF!,#REF!)</definedName>
    <definedName name="_2Excel_BuiltIn_Print_Titles_2_1" localSheetId="9">(#REF!,#REF!)</definedName>
    <definedName name="_2Excel_BuiltIn_Print_Titles_2_1" localSheetId="10">(#REF!,#REF!)</definedName>
    <definedName name="_2Excel_BuiltIn_Print_Titles_2_1">(#REF!,#REF!)</definedName>
    <definedName name="_IN002010" localSheetId="35">#REF!</definedName>
    <definedName name="_IN002010" localSheetId="34">#REF!</definedName>
    <definedName name="_IN002010" localSheetId="30">#REF!</definedName>
    <definedName name="_IN002010" localSheetId="5">#REF!</definedName>
    <definedName name="_IN002010" localSheetId="3">#REF!</definedName>
    <definedName name="_IN002010" localSheetId="12">#REF!</definedName>
    <definedName name="_IN002010" localSheetId="32">#REF!</definedName>
    <definedName name="_IN002010" localSheetId="0">#REF!</definedName>
    <definedName name="_IN002010" localSheetId="13">#REF!</definedName>
    <definedName name="_IN002010" localSheetId="20">#REF!</definedName>
    <definedName name="_IN002010" localSheetId="23">#REF!</definedName>
    <definedName name="_IN002010" localSheetId="22">#REF!</definedName>
    <definedName name="_IN002010" localSheetId="18">#REF!</definedName>
    <definedName name="_IN002010" localSheetId="28">#REF!</definedName>
    <definedName name="_IN002010" localSheetId="21">#REF!</definedName>
    <definedName name="_IN002010" localSheetId="29">#REF!</definedName>
    <definedName name="_IN002010" localSheetId="17">#REF!</definedName>
    <definedName name="_IN002010" localSheetId="19">#REF!</definedName>
    <definedName name="_IN002010" localSheetId="24">#REF!</definedName>
    <definedName name="_IN002010" localSheetId="14">#REF!</definedName>
    <definedName name="_IN002010" localSheetId="25">#REF!</definedName>
    <definedName name="_IN002010" localSheetId="15">#REF!</definedName>
    <definedName name="_IN002010" localSheetId="26">#REF!</definedName>
    <definedName name="_IN002010" localSheetId="16">#REF!</definedName>
    <definedName name="_IN002010" localSheetId="8">#REF!</definedName>
    <definedName name="_IN002010" localSheetId="9">#REF!</definedName>
    <definedName name="_IN002010" localSheetId="10">#REF!</definedName>
    <definedName name="_IN002010">#REF!</definedName>
    <definedName name="_IN002040" localSheetId="35">#REF!</definedName>
    <definedName name="_IN002040" localSheetId="34">#REF!</definedName>
    <definedName name="_IN002040" localSheetId="30">#REF!</definedName>
    <definedName name="_IN002040" localSheetId="5">#REF!</definedName>
    <definedName name="_IN002040" localSheetId="3">#REF!</definedName>
    <definedName name="_IN002040" localSheetId="12">#REF!</definedName>
    <definedName name="_IN002040" localSheetId="32">#REF!</definedName>
    <definedName name="_IN002040" localSheetId="0">#REF!</definedName>
    <definedName name="_IN002040" localSheetId="13">#REF!</definedName>
    <definedName name="_IN002040" localSheetId="20">#REF!</definedName>
    <definedName name="_IN002040" localSheetId="23">#REF!</definedName>
    <definedName name="_IN002040" localSheetId="22">#REF!</definedName>
    <definedName name="_IN002040" localSheetId="18">#REF!</definedName>
    <definedName name="_IN002040" localSheetId="28">#REF!</definedName>
    <definedName name="_IN002040" localSheetId="21">#REF!</definedName>
    <definedName name="_IN002040" localSheetId="29">#REF!</definedName>
    <definedName name="_IN002040" localSheetId="17">#REF!</definedName>
    <definedName name="_IN002040" localSheetId="19">#REF!</definedName>
    <definedName name="_IN002040" localSheetId="24">#REF!</definedName>
    <definedName name="_IN002040" localSheetId="14">#REF!</definedName>
    <definedName name="_IN002040" localSheetId="25">#REF!</definedName>
    <definedName name="_IN002040" localSheetId="15">#REF!</definedName>
    <definedName name="_IN002040" localSheetId="26">#REF!</definedName>
    <definedName name="_IN002040" localSheetId="16">#REF!</definedName>
    <definedName name="_IN002040" localSheetId="8">#REF!</definedName>
    <definedName name="_IN002040" localSheetId="9">#REF!</definedName>
    <definedName name="_IN002040" localSheetId="10">#REF!</definedName>
    <definedName name="_IN002040">#REF!</definedName>
    <definedName name="_IN002050" localSheetId="35">#REF!</definedName>
    <definedName name="_IN002050" localSheetId="34">#REF!</definedName>
    <definedName name="_IN002050" localSheetId="30">#REF!</definedName>
    <definedName name="_IN002050" localSheetId="5">#REF!</definedName>
    <definedName name="_IN002050" localSheetId="3">#REF!</definedName>
    <definedName name="_IN002050" localSheetId="12">#REF!</definedName>
    <definedName name="_IN002050" localSheetId="32">#REF!</definedName>
    <definedName name="_IN002050" localSheetId="0">#REF!</definedName>
    <definedName name="_IN002050" localSheetId="13">#REF!</definedName>
    <definedName name="_IN002050" localSheetId="20">#REF!</definedName>
    <definedName name="_IN002050" localSheetId="23">#REF!</definedName>
    <definedName name="_IN002050" localSheetId="22">#REF!</definedName>
    <definedName name="_IN002050" localSheetId="18">#REF!</definedName>
    <definedName name="_IN002050" localSheetId="28">#REF!</definedName>
    <definedName name="_IN002050" localSheetId="21">#REF!</definedName>
    <definedName name="_IN002050" localSheetId="29">#REF!</definedName>
    <definedName name="_IN002050" localSheetId="17">#REF!</definedName>
    <definedName name="_IN002050" localSheetId="19">#REF!</definedName>
    <definedName name="_IN002050" localSheetId="24">#REF!</definedName>
    <definedName name="_IN002050" localSheetId="14">#REF!</definedName>
    <definedName name="_IN002050" localSheetId="25">#REF!</definedName>
    <definedName name="_IN002050" localSheetId="15">#REF!</definedName>
    <definedName name="_IN002050" localSheetId="26">#REF!</definedName>
    <definedName name="_IN002050" localSheetId="16">#REF!</definedName>
    <definedName name="_IN002050" localSheetId="8">#REF!</definedName>
    <definedName name="_IN002050" localSheetId="9">#REF!</definedName>
    <definedName name="_IN002050" localSheetId="10">#REF!</definedName>
    <definedName name="_IN002050">#REF!</definedName>
    <definedName name="A" localSheetId="35">#REF!</definedName>
    <definedName name="A" localSheetId="34">#REF!</definedName>
    <definedName name="A" localSheetId="30">#REF!</definedName>
    <definedName name="A" localSheetId="5">#REF!</definedName>
    <definedName name="A" localSheetId="3">#REF!</definedName>
    <definedName name="A" localSheetId="12">#REF!</definedName>
    <definedName name="A" localSheetId="32">#REF!</definedName>
    <definedName name="A" localSheetId="0">#REF!</definedName>
    <definedName name="A" localSheetId="13">#REF!</definedName>
    <definedName name="A" localSheetId="20">#REF!</definedName>
    <definedName name="A" localSheetId="23">#REF!</definedName>
    <definedName name="A" localSheetId="22">#REF!</definedName>
    <definedName name="A" localSheetId="18">#REF!</definedName>
    <definedName name="A" localSheetId="28">#REF!</definedName>
    <definedName name="A" localSheetId="21">#REF!</definedName>
    <definedName name="A" localSheetId="29">#REF!</definedName>
    <definedName name="A" localSheetId="17">#REF!</definedName>
    <definedName name="A" localSheetId="19">#REF!</definedName>
    <definedName name="A" localSheetId="24">#REF!</definedName>
    <definedName name="A" localSheetId="14">#REF!</definedName>
    <definedName name="A" localSheetId="25">#REF!</definedName>
    <definedName name="A" localSheetId="15">#REF!</definedName>
    <definedName name="A" localSheetId="26">#REF!</definedName>
    <definedName name="A" localSheetId="8">#REF!</definedName>
    <definedName name="A" localSheetId="9">#REF!</definedName>
    <definedName name="A" localSheetId="10">#REF!</definedName>
    <definedName name="A">#REF!</definedName>
    <definedName name="ab" localSheetId="35">#REF!</definedName>
    <definedName name="ab" localSheetId="34">#REF!</definedName>
    <definedName name="ab" localSheetId="30">#REF!</definedName>
    <definedName name="ab" localSheetId="5">#REF!</definedName>
    <definedName name="ab" localSheetId="3">#REF!</definedName>
    <definedName name="ab" localSheetId="12">#REF!</definedName>
    <definedName name="ab" localSheetId="32">#REF!</definedName>
    <definedName name="ab" localSheetId="0">#REF!</definedName>
    <definedName name="ab" localSheetId="13">#REF!</definedName>
    <definedName name="ab" localSheetId="20">#REF!</definedName>
    <definedName name="ab" localSheetId="23">#REF!</definedName>
    <definedName name="ab" localSheetId="22">#REF!</definedName>
    <definedName name="ab" localSheetId="18">#REF!</definedName>
    <definedName name="ab" localSheetId="28">#REF!</definedName>
    <definedName name="ab" localSheetId="21">#REF!</definedName>
    <definedName name="ab" localSheetId="29">#REF!</definedName>
    <definedName name="ab" localSheetId="17">#REF!</definedName>
    <definedName name="ab" localSheetId="19">#REF!</definedName>
    <definedName name="ab" localSheetId="24">#REF!</definedName>
    <definedName name="ab" localSheetId="14">#REF!</definedName>
    <definedName name="ab" localSheetId="25">#REF!</definedName>
    <definedName name="ab" localSheetId="15">#REF!</definedName>
    <definedName name="ab" localSheetId="26">#REF!</definedName>
    <definedName name="ab" localSheetId="8">#REF!</definedName>
    <definedName name="ab" localSheetId="9">#REF!</definedName>
    <definedName name="ab" localSheetId="10">#REF!</definedName>
    <definedName name="ab">#REF!</definedName>
    <definedName name="Activity">[1]!Table22[Activity]</definedName>
    <definedName name="as" localSheetId="35">#REF!</definedName>
    <definedName name="as" localSheetId="34">#REF!</definedName>
    <definedName name="as" localSheetId="30">#REF!</definedName>
    <definedName name="as" localSheetId="5">#REF!</definedName>
    <definedName name="as" localSheetId="3">#REF!</definedName>
    <definedName name="as" localSheetId="12">#REF!</definedName>
    <definedName name="as" localSheetId="32">#REF!</definedName>
    <definedName name="as" localSheetId="0">#REF!</definedName>
    <definedName name="as" localSheetId="13">#REF!</definedName>
    <definedName name="as" localSheetId="20">#REF!</definedName>
    <definedName name="as" localSheetId="23">#REF!</definedName>
    <definedName name="as" localSheetId="22">#REF!</definedName>
    <definedName name="as" localSheetId="18">#REF!</definedName>
    <definedName name="as" localSheetId="28">#REF!</definedName>
    <definedName name="as" localSheetId="21">#REF!</definedName>
    <definedName name="as" localSheetId="29">#REF!</definedName>
    <definedName name="as" localSheetId="17">#REF!</definedName>
    <definedName name="as" localSheetId="19">#REF!</definedName>
    <definedName name="as" localSheetId="24">#REF!</definedName>
    <definedName name="as" localSheetId="14">#REF!</definedName>
    <definedName name="as" localSheetId="25">#REF!</definedName>
    <definedName name="as" localSheetId="15">#REF!</definedName>
    <definedName name="as" localSheetId="26">#REF!</definedName>
    <definedName name="as" localSheetId="16">#REF!</definedName>
    <definedName name="as" localSheetId="8">#REF!</definedName>
    <definedName name="as" localSheetId="9">#REF!</definedName>
    <definedName name="as" localSheetId="10">#REF!</definedName>
    <definedName name="as">#REF!</definedName>
    <definedName name="ASDF" localSheetId="35">(#REF!,#REF!)</definedName>
    <definedName name="ASDF" localSheetId="34">(#REF!,#REF!)</definedName>
    <definedName name="ASDF" localSheetId="30">(#REF!,#REF!)</definedName>
    <definedName name="ASDF" localSheetId="5">(#REF!,#REF!)</definedName>
    <definedName name="ASDF" localSheetId="3">(#REF!,#REF!)</definedName>
    <definedName name="ASDF" localSheetId="12">(#REF!,#REF!)</definedName>
    <definedName name="ASDF" localSheetId="32">(#REF!,#REF!)</definedName>
    <definedName name="ASDF" localSheetId="0">(#REF!,#REF!)</definedName>
    <definedName name="ASDF" localSheetId="13">(#REF!,#REF!)</definedName>
    <definedName name="ASDF" localSheetId="20">(#REF!,#REF!)</definedName>
    <definedName name="ASDF" localSheetId="23">(#REF!,#REF!)</definedName>
    <definedName name="ASDF" localSheetId="22">(#REF!,#REF!)</definedName>
    <definedName name="ASDF" localSheetId="18">(#REF!,#REF!)</definedName>
    <definedName name="ASDF" localSheetId="28">(#REF!,#REF!)</definedName>
    <definedName name="ASDF" localSheetId="21">(#REF!,#REF!)</definedName>
    <definedName name="ASDF" localSheetId="29">(#REF!,#REF!)</definedName>
    <definedName name="ASDF" localSheetId="17">(#REF!,#REF!)</definedName>
    <definedName name="ASDF" localSheetId="19">(#REF!,#REF!)</definedName>
    <definedName name="ASDF" localSheetId="24">(#REF!,#REF!)</definedName>
    <definedName name="ASDF" localSheetId="14">(#REF!,#REF!)</definedName>
    <definedName name="ASDF" localSheetId="25">(#REF!,#REF!)</definedName>
    <definedName name="ASDF" localSheetId="15">(#REF!,#REF!)</definedName>
    <definedName name="ASDF" localSheetId="26">(#REF!,#REF!)</definedName>
    <definedName name="ASDF" localSheetId="16">(#REF!,#REF!)</definedName>
    <definedName name="ASDF" localSheetId="8">(#REF!,#REF!)</definedName>
    <definedName name="ASDF" localSheetId="9">(#REF!,#REF!)</definedName>
    <definedName name="ASDF" localSheetId="10">(#REF!,#REF!)</definedName>
    <definedName name="ASDF">(#REF!,#REF!)</definedName>
    <definedName name="Brand" localSheetId="1">#REF!</definedName>
    <definedName name="Brand" localSheetId="35">#REF!</definedName>
    <definedName name="Brand" localSheetId="34">#REF!</definedName>
    <definedName name="Brand" localSheetId="30">#REF!</definedName>
    <definedName name="Brand" localSheetId="5">#REF!</definedName>
    <definedName name="Brand" localSheetId="3">#REF!</definedName>
    <definedName name="Brand" localSheetId="12">#REF!</definedName>
    <definedName name="Brand" localSheetId="32">#REF!</definedName>
    <definedName name="Brand" localSheetId="0">#REF!</definedName>
    <definedName name="Brand" localSheetId="13">#REF!</definedName>
    <definedName name="Brand" localSheetId="20">#REF!</definedName>
    <definedName name="Brand" localSheetId="23">#REF!</definedName>
    <definedName name="Brand" localSheetId="22">#REF!</definedName>
    <definedName name="Brand" localSheetId="18">#REF!</definedName>
    <definedName name="Brand" localSheetId="28">#REF!</definedName>
    <definedName name="Brand" localSheetId="21">#REF!</definedName>
    <definedName name="Brand" localSheetId="29">#REF!</definedName>
    <definedName name="Brand" localSheetId="17">#REF!</definedName>
    <definedName name="Brand" localSheetId="19">#REF!</definedName>
    <definedName name="Brand" localSheetId="24">#REF!</definedName>
    <definedName name="Brand" localSheetId="14">#REF!</definedName>
    <definedName name="Brand" localSheetId="25">#REF!</definedName>
    <definedName name="Brand" localSheetId="15">#REF!</definedName>
    <definedName name="Brand" localSheetId="26">#REF!</definedName>
    <definedName name="Brand" localSheetId="16">#REF!</definedName>
    <definedName name="Brand" localSheetId="8">#REF!</definedName>
    <definedName name="Brand" localSheetId="9">#REF!</definedName>
    <definedName name="Brand" localSheetId="10">#REF!</definedName>
    <definedName name="Brand">#REF!</definedName>
    <definedName name="CAREFOUR">'[2]AOP-2014 per 12oct2013'!$B$42</definedName>
    <definedName name="Consumer_Promotion" localSheetId="35">#REF!</definedName>
    <definedName name="Consumer_Promotion" localSheetId="34">#REF!</definedName>
    <definedName name="Consumer_Promotion" localSheetId="30">#REF!</definedName>
    <definedName name="Consumer_Promotion" localSheetId="5">#REF!</definedName>
    <definedName name="Consumer_Promotion" localSheetId="3">#REF!</definedName>
    <definedName name="Consumer_Promotion" localSheetId="12">#REF!</definedName>
    <definedName name="Consumer_Promotion" localSheetId="32">#REF!</definedName>
    <definedName name="Consumer_Promotion" localSheetId="0">#REF!</definedName>
    <definedName name="Consumer_Promotion" localSheetId="13">#REF!</definedName>
    <definedName name="Consumer_Promotion" localSheetId="20">#REF!</definedName>
    <definedName name="Consumer_Promotion" localSheetId="23">#REF!</definedName>
    <definedName name="Consumer_Promotion" localSheetId="22">#REF!</definedName>
    <definedName name="Consumer_Promotion" localSheetId="18">#REF!</definedName>
    <definedName name="Consumer_Promotion" localSheetId="28">#REF!</definedName>
    <definedName name="Consumer_Promotion" localSheetId="21">#REF!</definedName>
    <definedName name="Consumer_Promotion" localSheetId="29">#REF!</definedName>
    <definedName name="Consumer_Promotion" localSheetId="17">#REF!</definedName>
    <definedName name="Consumer_Promotion" localSheetId="19">#REF!</definedName>
    <definedName name="Consumer_Promotion" localSheetId="24">#REF!</definedName>
    <definedName name="Consumer_Promotion" localSheetId="14">#REF!</definedName>
    <definedName name="Consumer_Promotion" localSheetId="25">#REF!</definedName>
    <definedName name="Consumer_Promotion" localSheetId="15">#REF!</definedName>
    <definedName name="Consumer_Promotion" localSheetId="26">#REF!</definedName>
    <definedName name="Consumer_Promotion" localSheetId="16">#REF!</definedName>
    <definedName name="Consumer_Promotion" localSheetId="8">#REF!</definedName>
    <definedName name="Consumer_Promotion" localSheetId="9">#REF!</definedName>
    <definedName name="Consumer_Promotion" localSheetId="10">#REF!</definedName>
    <definedName name="Consumer_Promotion">#REF!</definedName>
    <definedName name="CUP12A">'[2]AOP-2014 per 12oct2013'!$AC$5</definedName>
    <definedName name="CUP24A">'[2]AOP-2014 per 12oct2013'!$AD$5</definedName>
    <definedName name="CUPIMP">'[2]AOP-2014 per 12oct2013'!$AE$5</definedName>
    <definedName name="d">'[3]Regional Sales'!$C$22:$X$29</definedName>
    <definedName name="DANUBE">'[2]AOP-2014 per 12oct2013'!$B$52</definedName>
    <definedName name="Data_Type" localSheetId="1">#REF!</definedName>
    <definedName name="Data_Type" localSheetId="35">#REF!</definedName>
    <definedName name="Data_Type" localSheetId="34">#REF!</definedName>
    <definedName name="Data_Type" localSheetId="30">#REF!</definedName>
    <definedName name="Data_Type" localSheetId="5">#REF!</definedName>
    <definedName name="Data_Type" localSheetId="3">#REF!</definedName>
    <definedName name="Data_Type" localSheetId="12">#REF!</definedName>
    <definedName name="Data_Type" localSheetId="32">#REF!</definedName>
    <definedName name="Data_Type" localSheetId="0">#REF!</definedName>
    <definedName name="Data_Type" localSheetId="13">#REF!</definedName>
    <definedName name="Data_Type" localSheetId="20">#REF!</definedName>
    <definedName name="Data_Type" localSheetId="23">#REF!</definedName>
    <definedName name="Data_Type" localSheetId="22">#REF!</definedName>
    <definedName name="Data_Type" localSheetId="18">#REF!</definedName>
    <definedName name="Data_Type" localSheetId="28">#REF!</definedName>
    <definedName name="Data_Type" localSheetId="21">#REF!</definedName>
    <definedName name="Data_Type" localSheetId="29">#REF!</definedName>
    <definedName name="Data_Type" localSheetId="17">#REF!</definedName>
    <definedName name="Data_Type" localSheetId="19">#REF!</definedName>
    <definedName name="Data_Type" localSheetId="24">#REF!</definedName>
    <definedName name="Data_Type" localSheetId="14">#REF!</definedName>
    <definedName name="Data_Type" localSheetId="25">#REF!</definedName>
    <definedName name="Data_Type" localSheetId="15">#REF!</definedName>
    <definedName name="Data_Type" localSheetId="26">#REF!</definedName>
    <definedName name="Data_Type" localSheetId="16">#REF!</definedName>
    <definedName name="Data_Type" localSheetId="8">#REF!</definedName>
    <definedName name="Data_Type" localSheetId="9">#REF!</definedName>
    <definedName name="Data_Type" localSheetId="10">#REF!</definedName>
    <definedName name="Data_Type">#REF!</definedName>
    <definedName name="_xlnm.Database">[4]Customer!$A$1:$D$1180</definedName>
    <definedName name="DAWOD">'[2]AOP-2014 per 12oct2013'!$B$32</definedName>
    <definedName name="Ethiopia" localSheetId="3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Ethiopia" localSheetId="13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Ethiopia" localSheetId="1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Ethiopia" localSheetId="16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Ethiopia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EURO">'[2]AOP-2014 per 12oct2013'!$B$122</definedName>
    <definedName name="Excel_BuiltIn_Print_Area_1">"$#REF!.$A$1:$O$99"</definedName>
    <definedName name="Excel_BuiltIn_Print_Titles" localSheetId="35">(#REF!,#REF!)</definedName>
    <definedName name="Excel_BuiltIn_Print_Titles" localSheetId="34">(#REF!,#REF!)</definedName>
    <definedName name="Excel_BuiltIn_Print_Titles" localSheetId="30">(#REF!,#REF!)</definedName>
    <definedName name="Excel_BuiltIn_Print_Titles" localSheetId="5">(#REF!,#REF!)</definedName>
    <definedName name="Excel_BuiltIn_Print_Titles" localSheetId="3">(#REF!,#REF!)</definedName>
    <definedName name="Excel_BuiltIn_Print_Titles" localSheetId="12">(#REF!,#REF!)</definedName>
    <definedName name="Excel_BuiltIn_Print_Titles" localSheetId="32">(#REF!,#REF!)</definedName>
    <definedName name="Excel_BuiltIn_Print_Titles" localSheetId="0">(#REF!,#REF!)</definedName>
    <definedName name="Excel_BuiltIn_Print_Titles" localSheetId="13">(#REF!,#REF!)</definedName>
    <definedName name="Excel_BuiltIn_Print_Titles" localSheetId="20">(#REF!,#REF!)</definedName>
    <definedName name="Excel_BuiltIn_Print_Titles" localSheetId="23">(#REF!,#REF!)</definedName>
    <definedName name="Excel_BuiltIn_Print_Titles" localSheetId="22">(#REF!,#REF!)</definedName>
    <definedName name="Excel_BuiltIn_Print_Titles" localSheetId="18">(#REF!,#REF!)</definedName>
    <definedName name="Excel_BuiltIn_Print_Titles" localSheetId="28">(#REF!,#REF!)</definedName>
    <definedName name="Excel_BuiltIn_Print_Titles" localSheetId="21">(#REF!,#REF!)</definedName>
    <definedName name="Excel_BuiltIn_Print_Titles" localSheetId="29">(#REF!,#REF!)</definedName>
    <definedName name="Excel_BuiltIn_Print_Titles" localSheetId="17">(#REF!,#REF!)</definedName>
    <definedName name="Excel_BuiltIn_Print_Titles" localSheetId="19">(#REF!,#REF!)</definedName>
    <definedName name="Excel_BuiltIn_Print_Titles" localSheetId="24">(#REF!,#REF!)</definedName>
    <definedName name="Excel_BuiltIn_Print_Titles" localSheetId="14">(#REF!,#REF!)</definedName>
    <definedName name="Excel_BuiltIn_Print_Titles" localSheetId="25">(#REF!,#REF!)</definedName>
    <definedName name="Excel_BuiltIn_Print_Titles" localSheetId="15">(#REF!,#REF!)</definedName>
    <definedName name="Excel_BuiltIn_Print_Titles" localSheetId="26">(#REF!,#REF!)</definedName>
    <definedName name="Excel_BuiltIn_Print_Titles" localSheetId="16">(#REF!,#REF!)</definedName>
    <definedName name="Excel_BuiltIn_Print_Titles" localSheetId="8">(#REF!,#REF!)</definedName>
    <definedName name="Excel_BuiltIn_Print_Titles" localSheetId="9">(#REF!,#REF!)</definedName>
    <definedName name="Excel_BuiltIn_Print_Titles" localSheetId="10">(#REF!,#REF!)</definedName>
    <definedName name="Excel_BuiltIn_Print_Titles">(#REF!,#REF!)</definedName>
    <definedName name="Excel_BuiltIn_Print_Titles_2" localSheetId="35">(#REF!,#REF!)</definedName>
    <definedName name="Excel_BuiltIn_Print_Titles_2" localSheetId="34">(#REF!,#REF!)</definedName>
    <definedName name="Excel_BuiltIn_Print_Titles_2" localSheetId="30">(#REF!,#REF!)</definedName>
    <definedName name="Excel_BuiltIn_Print_Titles_2" localSheetId="5">(#REF!,#REF!)</definedName>
    <definedName name="Excel_BuiltIn_Print_Titles_2" localSheetId="3">(#REF!,#REF!)</definedName>
    <definedName name="Excel_BuiltIn_Print_Titles_2" localSheetId="12">(#REF!,#REF!)</definedName>
    <definedName name="Excel_BuiltIn_Print_Titles_2" localSheetId="32">(#REF!,#REF!)</definedName>
    <definedName name="Excel_BuiltIn_Print_Titles_2" localSheetId="0">(#REF!,#REF!)</definedName>
    <definedName name="Excel_BuiltIn_Print_Titles_2" localSheetId="13">(#REF!,#REF!)</definedName>
    <definedName name="Excel_BuiltIn_Print_Titles_2" localSheetId="20">(#REF!,#REF!)</definedName>
    <definedName name="Excel_BuiltIn_Print_Titles_2" localSheetId="23">(#REF!,#REF!)</definedName>
    <definedName name="Excel_BuiltIn_Print_Titles_2" localSheetId="22">(#REF!,#REF!)</definedName>
    <definedName name="Excel_BuiltIn_Print_Titles_2" localSheetId="18">(#REF!,#REF!)</definedName>
    <definedName name="Excel_BuiltIn_Print_Titles_2" localSheetId="28">(#REF!,#REF!)</definedName>
    <definedName name="Excel_BuiltIn_Print_Titles_2" localSheetId="21">(#REF!,#REF!)</definedName>
    <definedName name="Excel_BuiltIn_Print_Titles_2" localSheetId="29">(#REF!,#REF!)</definedName>
    <definedName name="Excel_BuiltIn_Print_Titles_2" localSheetId="17">(#REF!,#REF!)</definedName>
    <definedName name="Excel_BuiltIn_Print_Titles_2" localSheetId="19">(#REF!,#REF!)</definedName>
    <definedName name="Excel_BuiltIn_Print_Titles_2" localSheetId="24">(#REF!,#REF!)</definedName>
    <definedName name="Excel_BuiltIn_Print_Titles_2" localSheetId="14">(#REF!,#REF!)</definedName>
    <definedName name="Excel_BuiltIn_Print_Titles_2" localSheetId="25">(#REF!,#REF!)</definedName>
    <definedName name="Excel_BuiltIn_Print_Titles_2" localSheetId="15">(#REF!,#REF!)</definedName>
    <definedName name="Excel_BuiltIn_Print_Titles_2" localSheetId="26">(#REF!,#REF!)</definedName>
    <definedName name="Excel_BuiltIn_Print_Titles_2" localSheetId="16">(#REF!,#REF!)</definedName>
    <definedName name="Excel_BuiltIn_Print_Titles_2" localSheetId="8">(#REF!,#REF!)</definedName>
    <definedName name="Excel_BuiltIn_Print_Titles_2" localSheetId="9">(#REF!,#REF!)</definedName>
    <definedName name="Excel_BuiltIn_Print_Titles_2" localSheetId="10">(#REF!,#REF!)</definedName>
    <definedName name="Excel_BuiltIn_Print_Titles_2">(#REF!,#REF!)</definedName>
    <definedName name="Excel_BuiltIn_Print_Titles_2_1" localSheetId="35">(#REF!,#REF!)</definedName>
    <definedName name="Excel_BuiltIn_Print_Titles_2_1" localSheetId="34">(#REF!,#REF!)</definedName>
    <definedName name="Excel_BuiltIn_Print_Titles_2_1" localSheetId="30">(#REF!,#REF!)</definedName>
    <definedName name="Excel_BuiltIn_Print_Titles_2_1" localSheetId="5">(#REF!,#REF!)</definedName>
    <definedName name="Excel_BuiltIn_Print_Titles_2_1" localSheetId="3">(#REF!,#REF!)</definedName>
    <definedName name="Excel_BuiltIn_Print_Titles_2_1" localSheetId="12">(#REF!,#REF!)</definedName>
    <definedName name="Excel_BuiltIn_Print_Titles_2_1" localSheetId="32">(#REF!,#REF!)</definedName>
    <definedName name="Excel_BuiltIn_Print_Titles_2_1" localSheetId="0">(#REF!,#REF!)</definedName>
    <definedName name="Excel_BuiltIn_Print_Titles_2_1" localSheetId="13">(#REF!,#REF!)</definedName>
    <definedName name="Excel_BuiltIn_Print_Titles_2_1" localSheetId="20">(#REF!,#REF!)</definedName>
    <definedName name="Excel_BuiltIn_Print_Titles_2_1" localSheetId="23">(#REF!,#REF!)</definedName>
    <definedName name="Excel_BuiltIn_Print_Titles_2_1" localSheetId="22">(#REF!,#REF!)</definedName>
    <definedName name="Excel_BuiltIn_Print_Titles_2_1" localSheetId="18">(#REF!,#REF!)</definedName>
    <definedName name="Excel_BuiltIn_Print_Titles_2_1" localSheetId="28">(#REF!,#REF!)</definedName>
    <definedName name="Excel_BuiltIn_Print_Titles_2_1" localSheetId="21">(#REF!,#REF!)</definedName>
    <definedName name="Excel_BuiltIn_Print_Titles_2_1" localSheetId="29">(#REF!,#REF!)</definedName>
    <definedName name="Excel_BuiltIn_Print_Titles_2_1" localSheetId="17">(#REF!,#REF!)</definedName>
    <definedName name="Excel_BuiltIn_Print_Titles_2_1" localSheetId="19">(#REF!,#REF!)</definedName>
    <definedName name="Excel_BuiltIn_Print_Titles_2_1" localSheetId="24">(#REF!,#REF!)</definedName>
    <definedName name="Excel_BuiltIn_Print_Titles_2_1" localSheetId="14">(#REF!,#REF!)</definedName>
    <definedName name="Excel_BuiltIn_Print_Titles_2_1" localSheetId="25">(#REF!,#REF!)</definedName>
    <definedName name="Excel_BuiltIn_Print_Titles_2_1" localSheetId="15">(#REF!,#REF!)</definedName>
    <definedName name="Excel_BuiltIn_Print_Titles_2_1" localSheetId="26">(#REF!,#REF!)</definedName>
    <definedName name="Excel_BuiltIn_Print_Titles_2_1" localSheetId="16">(#REF!,#REF!)</definedName>
    <definedName name="Excel_BuiltIn_Print_Titles_2_1" localSheetId="8">(#REF!,#REF!)</definedName>
    <definedName name="Excel_BuiltIn_Print_Titles_2_1" localSheetId="9">(#REF!,#REF!)</definedName>
    <definedName name="Excel_BuiltIn_Print_Titles_2_1" localSheetId="10">(#REF!,#REF!)</definedName>
    <definedName name="Excel_BuiltIn_Print_Titles_2_1">(#REF!,#REF!)</definedName>
    <definedName name="FARM">'[2]AOP-2014 per 12oct2013'!$B$62</definedName>
    <definedName name="Flv">[5]Flv!$A$3:$D$17</definedName>
    <definedName name="Index_Sheet_Kutools" localSheetId="35">#REF!</definedName>
    <definedName name="Index_Sheet_Kutools" localSheetId="34">#REF!</definedName>
    <definedName name="Index_Sheet_Kutools" localSheetId="30">#REF!</definedName>
    <definedName name="Index_Sheet_Kutools" localSheetId="5">#REF!</definedName>
    <definedName name="Index_Sheet_Kutools" localSheetId="3">#REF!</definedName>
    <definedName name="Index_Sheet_Kutools" localSheetId="12">#REF!</definedName>
    <definedName name="Index_Sheet_Kutools" localSheetId="32">#REF!</definedName>
    <definedName name="Index_Sheet_Kutools" localSheetId="0">#REF!</definedName>
    <definedName name="Index_Sheet_Kutools" localSheetId="13">#REF!</definedName>
    <definedName name="Index_Sheet_Kutools" localSheetId="20">#REF!</definedName>
    <definedName name="Index_Sheet_Kutools" localSheetId="23">#REF!</definedName>
    <definedName name="Index_Sheet_Kutools" localSheetId="22">#REF!</definedName>
    <definedName name="Index_Sheet_Kutools" localSheetId="18">#REF!</definedName>
    <definedName name="Index_Sheet_Kutools" localSheetId="28">#REF!</definedName>
    <definedName name="Index_Sheet_Kutools" localSheetId="21">#REF!</definedName>
    <definedName name="Index_Sheet_Kutools" localSheetId="29">#REF!</definedName>
    <definedName name="Index_Sheet_Kutools" localSheetId="17">#REF!</definedName>
    <definedName name="Index_Sheet_Kutools" localSheetId="19">#REF!</definedName>
    <definedName name="Index_Sheet_Kutools" localSheetId="24">#REF!</definedName>
    <definedName name="Index_Sheet_Kutools" localSheetId="14">#REF!</definedName>
    <definedName name="Index_Sheet_Kutools" localSheetId="25">#REF!</definedName>
    <definedName name="Index_Sheet_Kutools" localSheetId="15">#REF!</definedName>
    <definedName name="Index_Sheet_Kutools" localSheetId="26">#REF!</definedName>
    <definedName name="Index_Sheet_Kutools" localSheetId="16">#REF!</definedName>
    <definedName name="Index_Sheet_Kutools" localSheetId="8">#REF!</definedName>
    <definedName name="Index_Sheet_Kutools" localSheetId="9">#REF!</definedName>
    <definedName name="Index_Sheet_Kutools" localSheetId="10">#REF!</definedName>
    <definedName name="Index_Sheet_Kutools">#REF!</definedName>
    <definedName name="INDO60">'[2]AOP-2014 per 12oct2013'!$Z$5</definedName>
    <definedName name="INIMP">'[2]AOP-2014 per 12oct2013'!$AI$5</definedName>
    <definedName name="item">'[6]DATA CUSTOMERS'!$A$1:$IV$65536</definedName>
    <definedName name="JAZERA">'[2]AOP-2014 per 12oct2013'!$B$132</definedName>
    <definedName name="JPS">'[2]AOP-2014 per 12oct2013'!$AA$5</definedName>
    <definedName name="LULU">'[2]AOP-2014 per 12oct2013'!$B$102</definedName>
    <definedName name="MANUEL">'[2]AOP-2014 per 12oct2013'!$B$142</definedName>
    <definedName name="MARHABA">'[2]AOP-2014 per 12oct2013'!$B$152</definedName>
    <definedName name="MAX">'[2]AOP-2014 per 12oct2013'!$B$162</definedName>
    <definedName name="MAZAYA">'[2]AOP-2014 per 12oct2013'!$B$172</definedName>
    <definedName name="MUNTAZAH">'[2]AOP-2014 per 12oct2013'!$B$182</definedName>
    <definedName name="NESTO">'[2]AOP-2014 per 12oct2013'!$B$192</definedName>
    <definedName name="NOORI">'[2]AOP-2014 per 12oct2013'!$B$202</definedName>
    <definedName name="order" localSheetId="35">(#REF!,#REF!)</definedName>
    <definedName name="order" localSheetId="34">(#REF!,#REF!)</definedName>
    <definedName name="order" localSheetId="30">(#REF!,#REF!)</definedName>
    <definedName name="order" localSheetId="5">(#REF!,#REF!)</definedName>
    <definedName name="order" localSheetId="3">(#REF!,#REF!)</definedName>
    <definedName name="order" localSheetId="12">(#REF!,#REF!)</definedName>
    <definedName name="order" localSheetId="32">(#REF!,#REF!)</definedName>
    <definedName name="order" localSheetId="0">(#REF!,#REF!)</definedName>
    <definedName name="order" localSheetId="13">(#REF!,#REF!)</definedName>
    <definedName name="order" localSheetId="20">(#REF!,#REF!)</definedName>
    <definedName name="order" localSheetId="23">(#REF!,#REF!)</definedName>
    <definedName name="order" localSheetId="22">(#REF!,#REF!)</definedName>
    <definedName name="order" localSheetId="18">(#REF!,#REF!)</definedName>
    <definedName name="order" localSheetId="28">(#REF!,#REF!)</definedName>
    <definedName name="order" localSheetId="21">(#REF!,#REF!)</definedName>
    <definedName name="order" localSheetId="29">(#REF!,#REF!)</definedName>
    <definedName name="order" localSheetId="17">(#REF!,#REF!)</definedName>
    <definedName name="order" localSheetId="19">(#REF!,#REF!)</definedName>
    <definedName name="order" localSheetId="24">(#REF!,#REF!)</definedName>
    <definedName name="order" localSheetId="14">(#REF!,#REF!)</definedName>
    <definedName name="order" localSheetId="25">(#REF!,#REF!)</definedName>
    <definedName name="order" localSheetId="15">(#REF!,#REF!)</definedName>
    <definedName name="order" localSheetId="26">(#REF!,#REF!)</definedName>
    <definedName name="order" localSheetId="16">(#REF!,#REF!)</definedName>
    <definedName name="order" localSheetId="8">(#REF!,#REF!)</definedName>
    <definedName name="order" localSheetId="9">(#REF!,#REF!)</definedName>
    <definedName name="order" localSheetId="10">(#REF!,#REF!)</definedName>
    <definedName name="order">(#REF!,#REF!)</definedName>
    <definedName name="OTHAIM">'[2]AOP-2014 per 12oct2013'!$B$72</definedName>
    <definedName name="OTHERKA">'[2]AOP-2014 per 12oct2013'!$B$232</definedName>
    <definedName name="_xlnm.Print_Area" localSheetId="1">'All SKU Pricing Structure'!$A$1:$I$113</definedName>
    <definedName name="_xlnm.Print_Area" localSheetId="12">'PMAD PGAG CGSS ex'!$A$2:$E$123</definedName>
    <definedName name="_xlnm.Print_Area" localSheetId="0">'Pricing Structure'!$A$1:$O$111</definedName>
    <definedName name="_xlnm.Print_Area" localSheetId="13">'Pricing Structure - All'!$A$2:$CO$123</definedName>
    <definedName name="_xlnm.Print_Area" localSheetId="20">'Pricing Structure - All SKU'!$A$2:$T$123</definedName>
    <definedName name="_xlnm.Print_Area" localSheetId="23">'Pricing Structure - CGSS'!$A$2:$E$123</definedName>
    <definedName name="_xlnm.Print_Area" localSheetId="22">'Pricing Structure - GPD GRS'!$A$2:$U$123</definedName>
    <definedName name="_xlnm.Print_Area" localSheetId="18">'Pricing Structure - GSS'!$A$2:$U$123</definedName>
    <definedName name="_xlnm.Print_Area" localSheetId="28">'Pricing Structure - GSS - FS'!$A$2:$AY$130</definedName>
    <definedName name="_xlnm.Print_Area" localSheetId="21">'Pricing Structure - IHAG'!$A$2:$E$123</definedName>
    <definedName name="_xlnm.Print_Area" localSheetId="29">'Pricing Structure - IHAG - FS'!$A$2:$E$130</definedName>
    <definedName name="_xlnm.Print_Area" localSheetId="17">'Pricing Structure - IIP'!$A$2:$G$123</definedName>
    <definedName name="_xlnm.Print_Area" localSheetId="19">'Pricing Structure - IIP (2)'!$A$2:$AY$130</definedName>
    <definedName name="_xlnm.Print_Area" localSheetId="24">'Pricing Structure - PGAG'!$A$2:$E$123</definedName>
    <definedName name="_xlnm.Print_Area" localSheetId="14">'Pricing Structure - PMAD'!$A$2:$E$123</definedName>
    <definedName name="_xlnm.Print_Area" localSheetId="25">'Pricing Structure - PMAJ'!$A$2:$E$123</definedName>
    <definedName name="_xlnm.Print_Area" localSheetId="15">'Pricing Structure - PMKS PMKF'!$A$2:$E$123</definedName>
    <definedName name="_xlnm.Print_Area" localSheetId="26">'Pricing Structure - TORI MISO'!$A$2:$E$123</definedName>
    <definedName name="Promo" localSheetId="3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Promo" localSheetId="13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Promo" localSheetId="1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Promo" localSheetId="16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Promo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RAYA">'[2]AOP-2014 per 12oct2013'!$B$92</definedName>
    <definedName name="SADHAN">'[2]AOP-2014 per 12oct2013'!$B$212</definedName>
    <definedName name="SALES" localSheetId="35">#REF!</definedName>
    <definedName name="SALES" localSheetId="34">#REF!</definedName>
    <definedName name="SALES" localSheetId="30">#REF!</definedName>
    <definedName name="SALES" localSheetId="5">#REF!</definedName>
    <definedName name="SALES" localSheetId="3">#REF!</definedName>
    <definedName name="SALES" localSheetId="12">#REF!</definedName>
    <definedName name="SALES" localSheetId="32">#REF!</definedName>
    <definedName name="SALES" localSheetId="0">#REF!</definedName>
    <definedName name="SALES" localSheetId="13">#REF!</definedName>
    <definedName name="SALES" localSheetId="20">#REF!</definedName>
    <definedName name="SALES" localSheetId="23">#REF!</definedName>
    <definedName name="SALES" localSheetId="22">#REF!</definedName>
    <definedName name="SALES" localSheetId="18">#REF!</definedName>
    <definedName name="SALES" localSheetId="28">#REF!</definedName>
    <definedName name="SALES" localSheetId="21">#REF!</definedName>
    <definedName name="SALES" localSheetId="29">#REF!</definedName>
    <definedName name="SALES" localSheetId="17">#REF!</definedName>
    <definedName name="SALES" localSheetId="19">#REF!</definedName>
    <definedName name="SALES" localSheetId="24">#REF!</definedName>
    <definedName name="SALES" localSheetId="14">#REF!</definedName>
    <definedName name="SALES" localSheetId="25">#REF!</definedName>
    <definedName name="SALES" localSheetId="15">#REF!</definedName>
    <definedName name="SALES" localSheetId="26">#REF!</definedName>
    <definedName name="SALES" localSheetId="16">#REF!</definedName>
    <definedName name="SALES" localSheetId="8">#REF!</definedName>
    <definedName name="SALES" localSheetId="9">#REF!</definedName>
    <definedName name="SALES" localSheetId="10">#REF!</definedName>
    <definedName name="SALES">#REF!</definedName>
    <definedName name="SALESDATA" localSheetId="35">#REF!</definedName>
    <definedName name="SALESDATA" localSheetId="34">#REF!</definedName>
    <definedName name="SALESDATA" localSheetId="30">#REF!</definedName>
    <definedName name="SALESDATA" localSheetId="5">#REF!</definedName>
    <definedName name="SALESDATA" localSheetId="3">#REF!</definedName>
    <definedName name="SALESDATA" localSheetId="12">#REF!</definedName>
    <definedName name="SALESDATA" localSheetId="32">#REF!</definedName>
    <definedName name="SALESDATA" localSheetId="0">#REF!</definedName>
    <definedName name="SALESDATA" localSheetId="13">#REF!</definedName>
    <definedName name="SALESDATA" localSheetId="20">#REF!</definedName>
    <definedName name="SALESDATA" localSheetId="23">#REF!</definedName>
    <definedName name="SALESDATA" localSheetId="22">#REF!</definedName>
    <definedName name="SALESDATA" localSheetId="18">#REF!</definedName>
    <definedName name="SALESDATA" localSheetId="28">#REF!</definedName>
    <definedName name="SALESDATA" localSheetId="21">#REF!</definedName>
    <definedName name="SALESDATA" localSheetId="29">#REF!</definedName>
    <definedName name="SALESDATA" localSheetId="17">#REF!</definedName>
    <definedName name="SALESDATA" localSheetId="19">#REF!</definedName>
    <definedName name="SALESDATA" localSheetId="24">#REF!</definedName>
    <definedName name="SALESDATA" localSheetId="14">#REF!</definedName>
    <definedName name="SALESDATA" localSheetId="25">#REF!</definedName>
    <definedName name="SALESDATA" localSheetId="15">#REF!</definedName>
    <definedName name="SALESDATA" localSheetId="26">#REF!</definedName>
    <definedName name="SALESDATA" localSheetId="16">#REF!</definedName>
    <definedName name="SALESDATA" localSheetId="8">#REF!</definedName>
    <definedName name="SALESDATA" localSheetId="9">#REF!</definedName>
    <definedName name="SALESDATA" localSheetId="10">#REF!</definedName>
    <definedName name="SALESDATA">#REF!</definedName>
    <definedName name="SAP_Category" localSheetId="1">#REF!</definedName>
    <definedName name="SAP_Category" localSheetId="35">#REF!</definedName>
    <definedName name="SAP_Category" localSheetId="34">#REF!</definedName>
    <definedName name="SAP_Category" localSheetId="30">#REF!</definedName>
    <definedName name="SAP_Category" localSheetId="5">#REF!</definedName>
    <definedName name="SAP_Category" localSheetId="3">#REF!</definedName>
    <definedName name="SAP_Category" localSheetId="12">#REF!</definedName>
    <definedName name="SAP_Category" localSheetId="32">#REF!</definedName>
    <definedName name="SAP_Category" localSheetId="0">#REF!</definedName>
    <definedName name="SAP_Category" localSheetId="13">#REF!</definedName>
    <definedName name="SAP_Category" localSheetId="20">#REF!</definedName>
    <definedName name="SAP_Category" localSheetId="23">#REF!</definedName>
    <definedName name="SAP_Category" localSheetId="22">#REF!</definedName>
    <definedName name="SAP_Category" localSheetId="18">#REF!</definedName>
    <definedName name="SAP_Category" localSheetId="28">#REF!</definedName>
    <definedName name="SAP_Category" localSheetId="21">#REF!</definedName>
    <definedName name="SAP_Category" localSheetId="29">#REF!</definedName>
    <definedName name="SAP_Category" localSheetId="17">#REF!</definedName>
    <definedName name="SAP_Category" localSheetId="19">#REF!</definedName>
    <definedName name="SAP_Category" localSheetId="24">#REF!</definedName>
    <definedName name="SAP_Category" localSheetId="14">#REF!</definedName>
    <definedName name="SAP_Category" localSheetId="25">#REF!</definedName>
    <definedName name="SAP_Category" localSheetId="15">#REF!</definedName>
    <definedName name="SAP_Category" localSheetId="26">#REF!</definedName>
    <definedName name="SAP_Category" localSheetId="16">#REF!</definedName>
    <definedName name="SAP_Category" localSheetId="8">#REF!</definedName>
    <definedName name="SAP_Category" localSheetId="9">#REF!</definedName>
    <definedName name="SAP_Category" localSheetId="10">#REF!</definedName>
    <definedName name="SAP_Category">#REF!</definedName>
    <definedName name="SAP_Sub_Category" localSheetId="1">#REF!</definedName>
    <definedName name="SAP_Sub_Category" localSheetId="35">#REF!</definedName>
    <definedName name="SAP_Sub_Category" localSheetId="34">#REF!</definedName>
    <definedName name="SAP_Sub_Category" localSheetId="30">#REF!</definedName>
    <definedName name="SAP_Sub_Category" localSheetId="5">#REF!</definedName>
    <definedName name="SAP_Sub_Category" localSheetId="3">#REF!</definedName>
    <definedName name="SAP_Sub_Category" localSheetId="12">#REF!</definedName>
    <definedName name="SAP_Sub_Category" localSheetId="32">#REF!</definedName>
    <definedName name="SAP_Sub_Category" localSheetId="0">#REF!</definedName>
    <definedName name="SAP_Sub_Category" localSheetId="13">#REF!</definedName>
    <definedName name="SAP_Sub_Category" localSheetId="20">#REF!</definedName>
    <definedName name="SAP_Sub_Category" localSheetId="23">#REF!</definedName>
    <definedName name="SAP_Sub_Category" localSheetId="22">#REF!</definedName>
    <definedName name="SAP_Sub_Category" localSheetId="18">#REF!</definedName>
    <definedName name="SAP_Sub_Category" localSheetId="28">#REF!</definedName>
    <definedName name="SAP_Sub_Category" localSheetId="21">#REF!</definedName>
    <definedName name="SAP_Sub_Category" localSheetId="29">#REF!</definedName>
    <definedName name="SAP_Sub_Category" localSheetId="17">#REF!</definedName>
    <definedName name="SAP_Sub_Category" localSheetId="19">#REF!</definedName>
    <definedName name="SAP_Sub_Category" localSheetId="24">#REF!</definedName>
    <definedName name="SAP_Sub_Category" localSheetId="14">#REF!</definedName>
    <definedName name="SAP_Sub_Category" localSheetId="25">#REF!</definedName>
    <definedName name="SAP_Sub_Category" localSheetId="15">#REF!</definedName>
    <definedName name="SAP_Sub_Category" localSheetId="26">#REF!</definedName>
    <definedName name="SAP_Sub_Category" localSheetId="8">#REF!</definedName>
    <definedName name="SAP_Sub_Category" localSheetId="9">#REF!</definedName>
    <definedName name="SAP_Sub_Category" localSheetId="10">#REF!</definedName>
    <definedName name="SAP_Sub_Category">#REF!</definedName>
    <definedName name="SAP_Sub_Sub_Category" localSheetId="1">#REF!</definedName>
    <definedName name="SAP_Sub_Sub_Category" localSheetId="35">#REF!</definedName>
    <definedName name="SAP_Sub_Sub_Category" localSheetId="34">#REF!</definedName>
    <definedName name="SAP_Sub_Sub_Category" localSheetId="30">#REF!</definedName>
    <definedName name="SAP_Sub_Sub_Category" localSheetId="5">#REF!</definedName>
    <definedName name="SAP_Sub_Sub_Category" localSheetId="3">#REF!</definedName>
    <definedName name="SAP_Sub_Sub_Category" localSheetId="12">#REF!</definedName>
    <definedName name="SAP_Sub_Sub_Category" localSheetId="32">#REF!</definedName>
    <definedName name="SAP_Sub_Sub_Category" localSheetId="0">#REF!</definedName>
    <definedName name="SAP_Sub_Sub_Category" localSheetId="13">#REF!</definedName>
    <definedName name="SAP_Sub_Sub_Category" localSheetId="20">#REF!</definedName>
    <definedName name="SAP_Sub_Sub_Category" localSheetId="23">#REF!</definedName>
    <definedName name="SAP_Sub_Sub_Category" localSheetId="22">#REF!</definedName>
    <definedName name="SAP_Sub_Sub_Category" localSheetId="18">#REF!</definedName>
    <definedName name="SAP_Sub_Sub_Category" localSheetId="28">#REF!</definedName>
    <definedName name="SAP_Sub_Sub_Category" localSheetId="21">#REF!</definedName>
    <definedName name="SAP_Sub_Sub_Category" localSheetId="29">#REF!</definedName>
    <definedName name="SAP_Sub_Sub_Category" localSheetId="17">#REF!</definedName>
    <definedName name="SAP_Sub_Sub_Category" localSheetId="19">#REF!</definedName>
    <definedName name="SAP_Sub_Sub_Category" localSheetId="24">#REF!</definedName>
    <definedName name="SAP_Sub_Sub_Category" localSheetId="14">#REF!</definedName>
    <definedName name="SAP_Sub_Sub_Category" localSheetId="25">#REF!</definedName>
    <definedName name="SAP_Sub_Sub_Category" localSheetId="15">#REF!</definedName>
    <definedName name="SAP_Sub_Sub_Category" localSheetId="26">#REF!</definedName>
    <definedName name="SAP_Sub_Sub_Category" localSheetId="8">#REF!</definedName>
    <definedName name="SAP_Sub_Sub_Category" localSheetId="9">#REF!</definedName>
    <definedName name="SAP_Sub_Sub_Category" localSheetId="10">#REF!</definedName>
    <definedName name="SAP_Sub_Sub_Category">#REF!</definedName>
    <definedName name="SARAWAT">'[2]AOP-2014 per 12oct2013'!$B$222</definedName>
    <definedName name="SQN">'[2]AOP-2014 per 12oct2013'!$AK$5</definedName>
    <definedName name="STAR">'[2]AOP-2014 per 12oct2013'!$B$112</definedName>
    <definedName name="STT" localSheetId="3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STT" localSheetId="13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STT" localSheetId="1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STT" localSheetId="16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STT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TAMIMI">'[2]AOP-2014 per 12oct2013'!$B$82</definedName>
    <definedName name="uiu" localSheetId="35">#REF!</definedName>
    <definedName name="uiu" localSheetId="34">#REF!</definedName>
    <definedName name="uiu" localSheetId="30">#REF!</definedName>
    <definedName name="uiu" localSheetId="5">#REF!</definedName>
    <definedName name="uiu" localSheetId="3">#REF!</definedName>
    <definedName name="uiu" localSheetId="12">#REF!</definedName>
    <definedName name="uiu" localSheetId="32">#REF!</definedName>
    <definedName name="uiu" localSheetId="0">#REF!</definedName>
    <definedName name="uiu" localSheetId="13">#REF!</definedName>
    <definedName name="uiu" localSheetId="20">#REF!</definedName>
    <definedName name="uiu" localSheetId="23">#REF!</definedName>
    <definedName name="uiu" localSheetId="22">#REF!</definedName>
    <definedName name="uiu" localSheetId="18">#REF!</definedName>
    <definedName name="uiu" localSheetId="28">#REF!</definedName>
    <definedName name="uiu" localSheetId="21">#REF!</definedName>
    <definedName name="uiu" localSheetId="29">#REF!</definedName>
    <definedName name="uiu" localSheetId="17">#REF!</definedName>
    <definedName name="uiu" localSheetId="19">#REF!</definedName>
    <definedName name="uiu" localSheetId="24">#REF!</definedName>
    <definedName name="uiu" localSheetId="14">#REF!</definedName>
    <definedName name="uiu" localSheetId="25">#REF!</definedName>
    <definedName name="uiu" localSheetId="15">#REF!</definedName>
    <definedName name="uiu" localSheetId="26">#REF!</definedName>
    <definedName name="uiu" localSheetId="16">#REF!</definedName>
    <definedName name="uiu" localSheetId="8">#REF!</definedName>
    <definedName name="uiu" localSheetId="9">#REF!</definedName>
    <definedName name="uiu" localSheetId="10">#REF!</definedName>
    <definedName name="uiu">#REF!</definedName>
    <definedName name="vector">ROW(OFFSET('[3]Regional Sales'!$A$1,,,ROWS('[3]Regional Sales'!$B$22:$AA$29)))</definedName>
    <definedName name="wes" localSheetId="3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es" localSheetId="13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es" localSheetId="1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es" localSheetId="16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es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HRT">'[2]AOP-2014 per 12oct2013'!$B$243</definedName>
    <definedName name="WK" localSheetId="13">[7]List!$C$13:$C$20</definedName>
    <definedName name="WK" localSheetId="16">[7]List!$C$13:$C$20</definedName>
    <definedName name="WK">[8]List!$C$13:$C$20</definedName>
    <definedName name="WK_SVS" localSheetId="13">[9]List!$A$13:$A$48</definedName>
    <definedName name="WK_SVS" localSheetId="16">[9]List!$A$13:$A$48</definedName>
    <definedName name="WK_SVS">[10]List!$A$13:$A$48</definedName>
    <definedName name="wrn.FLAVOR._.ANALYSIS." localSheetId="3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rn.FLAVOR._.ANALYSIS." localSheetId="13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rn.FLAVOR._.ANALYSIS." localSheetId="15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rn.FLAVOR._.ANALYSIS." localSheetId="16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rn.FLAVOR._.ANALYSIS." hidden="1">{#N/A,#N/A,TRUE,"FLA-CONT";#N/A,#N/A,TRUE,"GROWTH-1";#N/A,#N/A,TRUE,"GROWTH-2";#N/A,#N/A,TRUE,"Share";#N/A,#N/A,TRUE,"WEIGHT";#N/A,#N/A,TRUE,"WEIGHT (2)";#N/A,#N/A,TRUE,"FAVOURITE";#N/A,#N/A,TRUE,"DATA1";#N/A,#N/A,TRUE,"CITIES";#N/A,#N/A,TRUE,"SUMMARY-1";#N/A,#N/A,TRUE,"SUMMARY-2";#N/A,#N/A,TRUE,"STOCK COVER";#N/A,#N/A,TRUE,"JAN-MAY";#N/A,#N/A,TRUE,"SUMMARY-3"}</definedName>
    <definedName name="wrn.MONTHLY._.REPORT." localSheetId="35" hidden="1">{#N/A,#N/A,TRUE,"Pre-01";#N/A,#N/A,TRUE,"Page-01";#N/A,#N/A,TRUE,"Page-02";#N/A,#N/A,TRUE,"Page-03";#N/A,#N/A,TRUE,"Page-04";#N/A,#N/A,TRUE,"Page-05";#N/A,#N/A,TRUE,"Page-06";#N/A,#N/A,TRUE,"Page-07";#N/A,#N/A,TRUE,"Page-08";#N/A,#N/A,TRUE,"Page-09";#N/A,#N/A,TRUE,"Page-10";#N/A,#N/A,TRUE,"Page-11";#N/A,#N/A,TRUE,"Page-12";#N/A,#N/A,TRUE,"Page-14 CUP";#N/A,#N/A,TRUE,"Page-15 CUP";#N/A,#N/A,TRUE,"PILLOW PACK";#N/A,#N/A,TRUE,"CUP NOODLES"}</definedName>
    <definedName name="wrn.MONTHLY._.REPORT." localSheetId="13" hidden="1">{#N/A,#N/A,TRUE,"Pre-01";#N/A,#N/A,TRUE,"Page-01";#N/A,#N/A,TRUE,"Page-02";#N/A,#N/A,TRUE,"Page-03";#N/A,#N/A,TRUE,"Page-04";#N/A,#N/A,TRUE,"Page-05";#N/A,#N/A,TRUE,"Page-06";#N/A,#N/A,TRUE,"Page-07";#N/A,#N/A,TRUE,"Page-08";#N/A,#N/A,TRUE,"Page-09";#N/A,#N/A,TRUE,"Page-10";#N/A,#N/A,TRUE,"Page-11";#N/A,#N/A,TRUE,"Page-12";#N/A,#N/A,TRUE,"Page-14 CUP";#N/A,#N/A,TRUE,"Page-15 CUP";#N/A,#N/A,TRUE,"PILLOW PACK";#N/A,#N/A,TRUE,"CUP NOODLES"}</definedName>
    <definedName name="wrn.MONTHLY._.REPORT." localSheetId="15" hidden="1">{#N/A,#N/A,TRUE,"Pre-01";#N/A,#N/A,TRUE,"Page-01";#N/A,#N/A,TRUE,"Page-02";#N/A,#N/A,TRUE,"Page-03";#N/A,#N/A,TRUE,"Page-04";#N/A,#N/A,TRUE,"Page-05";#N/A,#N/A,TRUE,"Page-06";#N/A,#N/A,TRUE,"Page-07";#N/A,#N/A,TRUE,"Page-08";#N/A,#N/A,TRUE,"Page-09";#N/A,#N/A,TRUE,"Page-10";#N/A,#N/A,TRUE,"Page-11";#N/A,#N/A,TRUE,"Page-12";#N/A,#N/A,TRUE,"Page-14 CUP";#N/A,#N/A,TRUE,"Page-15 CUP";#N/A,#N/A,TRUE,"PILLOW PACK";#N/A,#N/A,TRUE,"CUP NOODLES"}</definedName>
    <definedName name="wrn.MONTHLY._.REPORT." localSheetId="16" hidden="1">{#N/A,#N/A,TRUE,"Pre-01";#N/A,#N/A,TRUE,"Page-01";#N/A,#N/A,TRUE,"Page-02";#N/A,#N/A,TRUE,"Page-03";#N/A,#N/A,TRUE,"Page-04";#N/A,#N/A,TRUE,"Page-05";#N/A,#N/A,TRUE,"Page-06";#N/A,#N/A,TRUE,"Page-07";#N/A,#N/A,TRUE,"Page-08";#N/A,#N/A,TRUE,"Page-09";#N/A,#N/A,TRUE,"Page-10";#N/A,#N/A,TRUE,"Page-11";#N/A,#N/A,TRUE,"Page-12";#N/A,#N/A,TRUE,"Page-14 CUP";#N/A,#N/A,TRUE,"Page-15 CUP";#N/A,#N/A,TRUE,"PILLOW PACK";#N/A,#N/A,TRUE,"CUP NOODLES"}</definedName>
    <definedName name="wrn.MONTHLY._.REPORT." hidden="1">{#N/A,#N/A,TRUE,"Pre-01";#N/A,#N/A,TRUE,"Page-01";#N/A,#N/A,TRUE,"Page-02";#N/A,#N/A,TRUE,"Page-03";#N/A,#N/A,TRUE,"Page-04";#N/A,#N/A,TRUE,"Page-05";#N/A,#N/A,TRUE,"Page-06";#N/A,#N/A,TRUE,"Page-07";#N/A,#N/A,TRUE,"Page-08";#N/A,#N/A,TRUE,"Page-09";#N/A,#N/A,TRUE,"Page-10";#N/A,#N/A,TRUE,"Page-11";#N/A,#N/A,TRUE,"Page-12";#N/A,#N/A,TRUE,"Page-14 CUP";#N/A,#N/A,TRUE,"Page-15 CUP";#N/A,#N/A,TRUE,"PILLOW PACK";#N/A,#N/A,TRUE,"CUP NOODLES"}</definedName>
    <definedName name="x" localSheetId="35">SUBTOTAL(2,OFFSET(d,vector-1,,1))</definedName>
    <definedName name="x" localSheetId="13">SUBTOTAL(2,OFFSET(d,vector-1,,1))</definedName>
    <definedName name="x" localSheetId="15">SUBTOTAL(2,OFFSET(d,vector-1,,1))</definedName>
    <definedName name="x" localSheetId="16">SUBTOTAL(2,OFFSET(d,vector-1,,1))</definedName>
    <definedName name="x">SUBTOTAL(2,OFFSET(d,vector-1,,1))</definedName>
    <definedName name="xWindow">14</definedName>
    <definedName name="y" localSheetId="35">IF('Distributor Profitability'!x&gt;0,N(OFFSET(OFFSET(d,,,1,1),vector-1,'Distributor Profitability'!x-1)),-99^99)</definedName>
    <definedName name="y" localSheetId="13">IF('Pricing Structure - All'!x&gt;0,N(OFFSET(OFFSET(d,,,1,1),vector-1,'Pricing Structure - All'!x-1)),-99^99)</definedName>
    <definedName name="y" localSheetId="15">IF('Pricing Structure - PMKS PMKF'!x&gt;0,N(OFFSET(OFFSET(d,,,1,1),vector-1,'Pricing Structure - PMKS PMKF'!x-1)),-99^99)</definedName>
    <definedName name="y" localSheetId="16">IF('Pricing Structure IPKS &amp; IPKF '!x&gt;0,N(OFFSET(OFFSET(d,,,1,1),vector-1,'Pricing Structure IPKS &amp; IPKF '!x-1)),-99^99)</definedName>
    <definedName name="y">IF(x&gt;0,N(OFFSET(OFFSET(d,,,1,1),vector-1,x-1)),-99^99)</definedName>
    <definedName name="yWindow">0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123" i="42" l="1"/>
  <c r="CO122" i="42"/>
  <c r="CO121" i="42"/>
  <c r="CO120" i="42"/>
  <c r="CO119" i="42"/>
  <c r="CO117" i="42"/>
  <c r="CO116" i="42"/>
  <c r="CO114" i="42"/>
  <c r="CO115" i="42" s="1"/>
  <c r="CM123" i="42"/>
  <c r="CM122" i="42"/>
  <c r="CM121" i="42"/>
  <c r="CM120" i="42"/>
  <c r="CM119" i="42"/>
  <c r="CM117" i="42"/>
  <c r="CM116" i="42"/>
  <c r="CM114" i="42" s="1"/>
  <c r="CM115" i="42" s="1"/>
  <c r="CK123" i="42"/>
  <c r="CK117" i="42" s="1"/>
  <c r="CK116" i="42" s="1"/>
  <c r="CK114" i="42" s="1"/>
  <c r="CK115" i="42" s="1"/>
  <c r="CK122" i="42"/>
  <c r="CK121" i="42"/>
  <c r="CK120" i="42"/>
  <c r="CK119" i="42"/>
  <c r="CI123" i="42"/>
  <c r="CI122" i="42"/>
  <c r="CI117" i="42" s="1"/>
  <c r="CI116" i="42" s="1"/>
  <c r="CI114" i="42" s="1"/>
  <c r="CI115" i="42" s="1"/>
  <c r="CI121" i="42"/>
  <c r="CI120" i="42"/>
  <c r="CI119" i="42"/>
  <c r="CG123" i="42"/>
  <c r="CG117" i="42" s="1"/>
  <c r="CG116" i="42" s="1"/>
  <c r="CG114" i="42" s="1"/>
  <c r="CG115" i="42" s="1"/>
  <c r="CG122" i="42"/>
  <c r="CG121" i="42"/>
  <c r="CG120" i="42"/>
  <c r="CG119" i="42"/>
  <c r="CE123" i="42"/>
  <c r="CE122" i="42"/>
  <c r="CE121" i="42"/>
  <c r="CE120" i="42"/>
  <c r="CE119" i="42"/>
  <c r="CE117" i="42" s="1"/>
  <c r="CE116" i="42" s="1"/>
  <c r="CE114" i="42" s="1"/>
  <c r="CE115" i="42" s="1"/>
  <c r="CC123" i="42"/>
  <c r="CC122" i="42"/>
  <c r="CC121" i="42"/>
  <c r="CC117" i="42" s="1"/>
  <c r="CC116" i="42" s="1"/>
  <c r="CC114" i="42" s="1"/>
  <c r="CC115" i="42" s="1"/>
  <c r="CC120" i="42"/>
  <c r="CC119" i="42"/>
  <c r="CA123" i="42"/>
  <c r="CA122" i="42"/>
  <c r="CA121" i="42"/>
  <c r="CA120" i="42"/>
  <c r="CA119" i="42"/>
  <c r="CA117" i="42"/>
  <c r="CA116" i="42" s="1"/>
  <c r="CA114" i="42" s="1"/>
  <c r="CA115" i="42" s="1"/>
  <c r="BY123" i="42"/>
  <c r="BY117" i="42" s="1"/>
  <c r="BY116" i="42" s="1"/>
  <c r="BY114" i="42" s="1"/>
  <c r="BY115" i="42" s="1"/>
  <c r="BY122" i="42"/>
  <c r="BY121" i="42"/>
  <c r="BY120" i="42"/>
  <c r="BY119" i="42"/>
  <c r="BU123" i="42"/>
  <c r="BU122" i="42"/>
  <c r="BU121" i="42"/>
  <c r="BU120" i="42"/>
  <c r="BU119" i="42"/>
  <c r="BU117" i="42"/>
  <c r="BU116" i="42" s="1"/>
  <c r="BU114" i="42" s="1"/>
  <c r="BU115" i="42" s="1"/>
  <c r="BS123" i="42"/>
  <c r="BS122" i="42"/>
  <c r="BS121" i="42"/>
  <c r="BS120" i="42"/>
  <c r="BS119" i="42"/>
  <c r="BS117" i="42"/>
  <c r="BS116" i="42" s="1"/>
  <c r="BS114" i="42" s="1"/>
  <c r="BS115" i="42" s="1"/>
  <c r="BQ123" i="42"/>
  <c r="BQ122" i="42"/>
  <c r="BQ121" i="42"/>
  <c r="BQ120" i="42"/>
  <c r="BQ119" i="42"/>
  <c r="BQ117" i="42"/>
  <c r="BQ116" i="42" s="1"/>
  <c r="BQ114" i="42" s="1"/>
  <c r="BQ115" i="42" s="1"/>
  <c r="BO123" i="42"/>
  <c r="BO122" i="42"/>
  <c r="BO121" i="42"/>
  <c r="BO120" i="42"/>
  <c r="BO119" i="42"/>
  <c r="BO117" i="42"/>
  <c r="BO116" i="42"/>
  <c r="BO114" i="42" s="1"/>
  <c r="BO115" i="42" s="1"/>
  <c r="BZ26" i="42" l="1"/>
  <c r="CA25" i="42"/>
  <c r="BZ25" i="42"/>
  <c r="CA24" i="42"/>
  <c r="BZ24" i="42"/>
  <c r="CA23" i="42"/>
  <c r="BZ23" i="42"/>
  <c r="BX26" i="42"/>
  <c r="BY25" i="42"/>
  <c r="BX25" i="42"/>
  <c r="BY24" i="42"/>
  <c r="BX24" i="42"/>
  <c r="BY23" i="42"/>
  <c r="BX23" i="42"/>
  <c r="BV26" i="42"/>
  <c r="BV24" i="42" s="1"/>
  <c r="BV23" i="42" s="1"/>
  <c r="BW25" i="42"/>
  <c r="BV25" i="42"/>
  <c r="BW24" i="42"/>
  <c r="BW23" i="42"/>
  <c r="BW20" i="42"/>
  <c r="BU20" i="42"/>
  <c r="BU24" i="42" s="1"/>
  <c r="BT25" i="42"/>
  <c r="BU25" i="42"/>
  <c r="BT26" i="42"/>
  <c r="BV20" i="42"/>
  <c r="BT20" i="42"/>
  <c r="BO16" i="42"/>
  <c r="BQ16" i="42"/>
  <c r="BS16" i="42"/>
  <c r="BU16" i="42"/>
  <c r="BT16" i="42" s="1"/>
  <c r="BW16" i="42"/>
  <c r="BV16" i="42" s="1"/>
  <c r="BY16" i="42"/>
  <c r="BX16" i="42" s="1"/>
  <c r="CA16" i="42"/>
  <c r="BZ16" i="42" s="1"/>
  <c r="CC16" i="42"/>
  <c r="CB16" i="42" s="1"/>
  <c r="CE16" i="42"/>
  <c r="CD16" i="42" s="1"/>
  <c r="CN16" i="42"/>
  <c r="CL16" i="42"/>
  <c r="CJ16" i="42"/>
  <c r="CA15" i="42"/>
  <c r="BY15" i="42"/>
  <c r="CS137" i="42" l="1"/>
  <c r="CS135" i="42"/>
  <c r="CS141" i="42" s="1"/>
  <c r="CS122" i="42"/>
  <c r="CS121" i="42"/>
  <c r="CS120" i="42"/>
  <c r="CS119" i="42"/>
  <c r="CS106" i="42"/>
  <c r="CS104" i="42"/>
  <c r="CS105" i="42" s="1"/>
  <c r="CS79" i="42"/>
  <c r="CS123" i="42" s="1"/>
  <c r="CS65" i="42"/>
  <c r="CS63" i="42"/>
  <c r="CS56" i="42"/>
  <c r="CS68" i="42" s="1"/>
  <c r="CS52" i="42"/>
  <c r="CS53" i="42" s="1"/>
  <c r="CS50" i="42"/>
  <c r="CS54" i="42" s="1"/>
  <c r="CS49" i="42" s="1"/>
  <c r="CS42" i="42"/>
  <c r="CS41" i="42" s="1"/>
  <c r="CR32" i="42"/>
  <c r="CR42" i="42" s="1"/>
  <c r="CR41" i="42" s="1"/>
  <c r="CS31" i="42"/>
  <c r="CS30" i="42"/>
  <c r="CS29" i="42" s="1"/>
  <c r="CR26" i="42"/>
  <c r="CR25" i="42" s="1"/>
  <c r="CS25" i="42"/>
  <c r="CR19" i="42"/>
  <c r="CS15" i="42"/>
  <c r="CS19" i="42" s="1"/>
  <c r="CR9" i="42"/>
  <c r="CR8" i="42"/>
  <c r="CR2" i="42"/>
  <c r="CR10" i="42" s="1"/>
  <c r="CI137" i="42"/>
  <c r="CI140" i="42" s="1"/>
  <c r="CI106" i="42"/>
  <c r="CI104" i="42"/>
  <c r="CI105" i="42" s="1"/>
  <c r="CI96" i="42"/>
  <c r="CI67" i="42"/>
  <c r="CI65" i="42"/>
  <c r="CI63" i="42"/>
  <c r="CI60" i="42"/>
  <c r="CH8" i="42" s="1"/>
  <c r="CI52" i="42"/>
  <c r="CI42" i="42"/>
  <c r="CH32" i="42"/>
  <c r="CH42" i="42" s="1"/>
  <c r="CI31" i="42"/>
  <c r="CI30" i="42"/>
  <c r="CI29" i="42" s="1"/>
  <c r="CH26" i="42"/>
  <c r="CH25" i="42" s="1"/>
  <c r="CI25" i="42"/>
  <c r="CH19" i="42"/>
  <c r="CI15" i="42"/>
  <c r="CI19" i="42" s="1"/>
  <c r="CH9" i="42"/>
  <c r="CH2" i="42"/>
  <c r="CH10" i="42" s="1"/>
  <c r="BW153" i="42"/>
  <c r="BW151" i="42"/>
  <c r="BW150" i="42"/>
  <c r="BW138" i="42"/>
  <c r="BW135" i="42"/>
  <c r="BW141" i="42" s="1"/>
  <c r="BW131" i="42"/>
  <c r="BW123" i="42"/>
  <c r="BW122" i="42"/>
  <c r="BW121" i="42"/>
  <c r="BW120" i="42"/>
  <c r="BW119" i="42"/>
  <c r="BW106" i="42"/>
  <c r="BW100" i="42"/>
  <c r="BW104" i="42" s="1"/>
  <c r="BW105" i="42" s="1"/>
  <c r="BW65" i="42"/>
  <c r="BW59" i="42" s="1"/>
  <c r="BW57" i="42"/>
  <c r="BV9" i="42" s="1"/>
  <c r="BW52" i="42"/>
  <c r="BW42" i="42"/>
  <c r="BV32" i="42"/>
  <c r="BV42" i="42" s="1"/>
  <c r="BW31" i="42"/>
  <c r="BW30" i="42"/>
  <c r="BW29" i="42" s="1"/>
  <c r="BV19" i="42"/>
  <c r="BW15" i="42"/>
  <c r="BW19" i="42" s="1"/>
  <c r="BV2" i="42"/>
  <c r="BV10" i="42" s="1"/>
  <c r="BU153" i="42"/>
  <c r="BU151" i="42"/>
  <c r="BU150" i="42"/>
  <c r="BU138" i="42"/>
  <c r="BU135" i="42"/>
  <c r="BU141" i="42" s="1"/>
  <c r="BU131" i="42"/>
  <c r="BU106" i="42"/>
  <c r="BU100" i="42"/>
  <c r="BU104" i="42" s="1"/>
  <c r="BU105" i="42" s="1"/>
  <c r="BU65" i="42"/>
  <c r="BU59" i="42" s="1"/>
  <c r="BU57" i="42"/>
  <c r="BU63" i="42" s="1"/>
  <c r="BU52" i="42"/>
  <c r="BU42" i="42"/>
  <c r="BT32" i="42"/>
  <c r="BT42" i="42" s="1"/>
  <c r="BU31" i="42"/>
  <c r="BU30" i="42"/>
  <c r="BU29" i="42" s="1"/>
  <c r="BU23" i="42"/>
  <c r="BT19" i="42"/>
  <c r="BU15" i="42"/>
  <c r="BU19" i="42" s="1"/>
  <c r="BT2" i="42"/>
  <c r="BT10" i="42" s="1"/>
  <c r="BN181" i="42"/>
  <c r="BO137" i="42"/>
  <c r="BO135" i="42"/>
  <c r="BO141" i="42" s="1"/>
  <c r="BO131" i="42"/>
  <c r="BO106" i="42"/>
  <c r="BO104" i="42"/>
  <c r="BO105" i="42" s="1"/>
  <c r="BO65" i="42"/>
  <c r="BO59" i="42" s="1"/>
  <c r="BO60" i="42"/>
  <c r="BN8" i="42" s="1"/>
  <c r="BO57" i="42"/>
  <c r="BN9" i="42" s="1"/>
  <c r="BO52" i="42"/>
  <c r="BO42" i="42"/>
  <c r="BN32" i="42"/>
  <c r="BN42" i="42" s="1"/>
  <c r="BO31" i="42"/>
  <c r="BO30" i="42"/>
  <c r="BO29" i="42" s="1"/>
  <c r="BN26" i="42"/>
  <c r="BO25" i="42"/>
  <c r="BO20" i="42"/>
  <c r="BO24" i="42" s="1"/>
  <c r="BO23" i="42" s="1"/>
  <c r="BN19" i="42"/>
  <c r="BN16" i="42"/>
  <c r="BN20" i="42" s="1"/>
  <c r="BO15" i="42"/>
  <c r="BO19" i="42" s="1"/>
  <c r="BN2" i="42"/>
  <c r="BN10" i="42" s="1"/>
  <c r="BO10" i="42" s="1"/>
  <c r="L37" i="15"/>
  <c r="M37" i="15"/>
  <c r="S37" i="15"/>
  <c r="L38" i="15"/>
  <c r="R38" i="15"/>
  <c r="R37" i="15" s="1"/>
  <c r="CA140" i="42"/>
  <c r="CA137" i="42"/>
  <c r="CA106" i="42"/>
  <c r="CA100" i="42"/>
  <c r="CA104" i="42" s="1"/>
  <c r="CA105" i="42" s="1"/>
  <c r="CA96" i="42"/>
  <c r="CA67" i="42"/>
  <c r="CA65" i="42"/>
  <c r="CA59" i="42" s="1"/>
  <c r="CA63" i="42"/>
  <c r="CA60" i="42"/>
  <c r="CA56" i="42" s="1"/>
  <c r="CA52" i="42"/>
  <c r="CA42" i="42"/>
  <c r="BZ32" i="42"/>
  <c r="BZ42" i="42" s="1"/>
  <c r="CA31" i="42"/>
  <c r="CA30" i="42"/>
  <c r="CA29" i="42" s="1"/>
  <c r="BZ19" i="42"/>
  <c r="CA19" i="42"/>
  <c r="BZ9" i="42"/>
  <c r="BZ2" i="42"/>
  <c r="BZ10" i="42" s="1"/>
  <c r="BY140" i="42"/>
  <c r="BY137" i="42"/>
  <c r="BY106" i="42"/>
  <c r="BY100" i="42"/>
  <c r="BY104" i="42" s="1"/>
  <c r="BY105" i="42" s="1"/>
  <c r="BY96" i="42"/>
  <c r="BY67" i="42"/>
  <c r="BY65" i="42"/>
  <c r="BY63" i="42"/>
  <c r="BY52" i="42"/>
  <c r="BY42" i="42"/>
  <c r="BX32" i="42"/>
  <c r="BX31" i="42" s="1"/>
  <c r="BY31" i="42"/>
  <c r="BY30" i="42"/>
  <c r="BY29" i="42" s="1"/>
  <c r="BX19" i="42"/>
  <c r="BY19" i="42"/>
  <c r="BX9" i="42"/>
  <c r="BX2" i="42"/>
  <c r="BX10" i="42" s="1"/>
  <c r="BQ153" i="42"/>
  <c r="BQ151" i="42"/>
  <c r="BQ150" i="42"/>
  <c r="BQ138" i="42"/>
  <c r="BQ135" i="42"/>
  <c r="BQ141" i="42" s="1"/>
  <c r="BQ131" i="42"/>
  <c r="BQ106" i="42"/>
  <c r="BQ100" i="42"/>
  <c r="BQ104" i="42" s="1"/>
  <c r="BQ105" i="42" s="1"/>
  <c r="BQ67" i="42"/>
  <c r="BQ65" i="42"/>
  <c r="BQ57" i="42"/>
  <c r="BP9" i="42" s="1"/>
  <c r="BQ52" i="42"/>
  <c r="BQ42" i="42"/>
  <c r="BQ39" i="42"/>
  <c r="BP32" i="42"/>
  <c r="BP42" i="42" s="1"/>
  <c r="BQ31" i="42"/>
  <c r="BP19" i="42"/>
  <c r="BQ15" i="42"/>
  <c r="BQ19" i="42" s="1"/>
  <c r="BP2" i="42"/>
  <c r="BP10" i="42" s="1"/>
  <c r="BQ10" i="42" s="1"/>
  <c r="BS135" i="42"/>
  <c r="BS141" i="42" s="1"/>
  <c r="BS131" i="42"/>
  <c r="BS128" i="42"/>
  <c r="BS125" i="42"/>
  <c r="BS106" i="42"/>
  <c r="BS104" i="42"/>
  <c r="BS105" i="42" s="1"/>
  <c r="BS67" i="42"/>
  <c r="BS65" i="42"/>
  <c r="BS62" i="42"/>
  <c r="BS59" i="42" s="1"/>
  <c r="BS57" i="42"/>
  <c r="BR9" i="42" s="1"/>
  <c r="BS52" i="42"/>
  <c r="BS32" i="42"/>
  <c r="BS31" i="42" s="1"/>
  <c r="BS26" i="42"/>
  <c r="BR19" i="42"/>
  <c r="BS15" i="42"/>
  <c r="BS19" i="42" s="1"/>
  <c r="BR2" i="42"/>
  <c r="BR10" i="42" s="1"/>
  <c r="BS10" i="42" s="1"/>
  <c r="CE137" i="42"/>
  <c r="BS137" i="42" s="1"/>
  <c r="CE135" i="42"/>
  <c r="CE141" i="42" s="1"/>
  <c r="CE131" i="42"/>
  <c r="CE132" i="42" s="1"/>
  <c r="CE133" i="42" s="1"/>
  <c r="CE129" i="42"/>
  <c r="CE130" i="42" s="1"/>
  <c r="CE106" i="42"/>
  <c r="CE100" i="42"/>
  <c r="CE104" i="42" s="1"/>
  <c r="CE105" i="42" s="1"/>
  <c r="CE65" i="42"/>
  <c r="CE59" i="42" s="1"/>
  <c r="CD8" i="42" s="1"/>
  <c r="CE63" i="42"/>
  <c r="CE56" i="42"/>
  <c r="CE52" i="42"/>
  <c r="CE42" i="42"/>
  <c r="CD32" i="42"/>
  <c r="CD42" i="42" s="1"/>
  <c r="CE31" i="42"/>
  <c r="CE30" i="42"/>
  <c r="CE29" i="42" s="1"/>
  <c r="CD26" i="42"/>
  <c r="CD25" i="42" s="1"/>
  <c r="CE25" i="42"/>
  <c r="CD19" i="42"/>
  <c r="CD20" i="42"/>
  <c r="CE15" i="42"/>
  <c r="CE10" i="42"/>
  <c r="CE69" i="42" s="1"/>
  <c r="CD9" i="42"/>
  <c r="CC137" i="42"/>
  <c r="CC135" i="42"/>
  <c r="CC141" i="42" s="1"/>
  <c r="CC131" i="42"/>
  <c r="CC132" i="42" s="1"/>
  <c r="CC133" i="42" s="1"/>
  <c r="CC129" i="42"/>
  <c r="CC130" i="42" s="1"/>
  <c r="CC106" i="42"/>
  <c r="CC100" i="42"/>
  <c r="CC104" i="42" s="1"/>
  <c r="CC105" i="42" s="1"/>
  <c r="CC65" i="42"/>
  <c r="CC59" i="42" s="1"/>
  <c r="CB8" i="42" s="1"/>
  <c r="CC63" i="42"/>
  <c r="CC56" i="42"/>
  <c r="CC52" i="42"/>
  <c r="CC42" i="42"/>
  <c r="CB32" i="42"/>
  <c r="CB42" i="42" s="1"/>
  <c r="CC31" i="42"/>
  <c r="CC30" i="42"/>
  <c r="CC29" i="42" s="1"/>
  <c r="CB26" i="42"/>
  <c r="CB25" i="42" s="1"/>
  <c r="CC25" i="42"/>
  <c r="CB19" i="42"/>
  <c r="CB20" i="42"/>
  <c r="CC15" i="42"/>
  <c r="CC19" i="42" s="1"/>
  <c r="CC10" i="42"/>
  <c r="CC76" i="42" s="1"/>
  <c r="CC74" i="42" s="1"/>
  <c r="CB9" i="42"/>
  <c r="CM137" i="42"/>
  <c r="CM135" i="42"/>
  <c r="CM141" i="42" s="1"/>
  <c r="CM106" i="42"/>
  <c r="CM104" i="42"/>
  <c r="CM105" i="42" s="1"/>
  <c r="CM65" i="42"/>
  <c r="CM60" i="42" s="1"/>
  <c r="CM63" i="42"/>
  <c r="CM52" i="42"/>
  <c r="CM42" i="42"/>
  <c r="CL32" i="42"/>
  <c r="CL31" i="42" s="1"/>
  <c r="CM31" i="42"/>
  <c r="CM30" i="42"/>
  <c r="CM29" i="42" s="1"/>
  <c r="CL26" i="42"/>
  <c r="CL25" i="42" s="1"/>
  <c r="CM25" i="42"/>
  <c r="CL19" i="42"/>
  <c r="CM15" i="42"/>
  <c r="CM19" i="42" s="1"/>
  <c r="CL9" i="42"/>
  <c r="CL2" i="42"/>
  <c r="CL10" i="42" s="1"/>
  <c r="CK135" i="42"/>
  <c r="CK141" i="42" s="1"/>
  <c r="CK106" i="42"/>
  <c r="CK104" i="42"/>
  <c r="CK105" i="42" s="1"/>
  <c r="CK65" i="42"/>
  <c r="CK60" i="42" s="1"/>
  <c r="CK63" i="42"/>
  <c r="CK52" i="42"/>
  <c r="CK42" i="42"/>
  <c r="CJ32" i="42"/>
  <c r="CJ42" i="42" s="1"/>
  <c r="CK31" i="42"/>
  <c r="CK30" i="42"/>
  <c r="CK29" i="42" s="1"/>
  <c r="CJ26" i="42"/>
  <c r="CJ25" i="42" s="1"/>
  <c r="CK25" i="42"/>
  <c r="CJ19" i="42"/>
  <c r="CK15" i="42"/>
  <c r="CK19" i="42" s="1"/>
  <c r="CJ9" i="42"/>
  <c r="CJ2" i="42"/>
  <c r="CJ10" i="42" s="1"/>
  <c r="CG137" i="42"/>
  <c r="CK137" i="42" s="1"/>
  <c r="CG135" i="42"/>
  <c r="CG141" i="42" s="1"/>
  <c r="CG131" i="42"/>
  <c r="CG106" i="42"/>
  <c r="CG104" i="42"/>
  <c r="CG105" i="42" s="1"/>
  <c r="CG67" i="42"/>
  <c r="CG65" i="42"/>
  <c r="CG63" i="42"/>
  <c r="CG52" i="42"/>
  <c r="CG42" i="42"/>
  <c r="CF32" i="42"/>
  <c r="CF42" i="42" s="1"/>
  <c r="CG31" i="42"/>
  <c r="CG30" i="42"/>
  <c r="CG29" i="42" s="1"/>
  <c r="CF26" i="42"/>
  <c r="CF25" i="42" s="1"/>
  <c r="CG25" i="42"/>
  <c r="CF19" i="42"/>
  <c r="CG15" i="42"/>
  <c r="CF9" i="42"/>
  <c r="CF2" i="42"/>
  <c r="CF10" i="42" s="1"/>
  <c r="CC50" i="42" l="1"/>
  <c r="CC54" i="42" s="1"/>
  <c r="CC68" i="42"/>
  <c r="CE50" i="42"/>
  <c r="CE54" i="42" s="1"/>
  <c r="CE68" i="42"/>
  <c r="CA50" i="42"/>
  <c r="CA54" i="42" s="1"/>
  <c r="CA41" i="42" s="1"/>
  <c r="CA68" i="42"/>
  <c r="CG19" i="42"/>
  <c r="CG16" i="42"/>
  <c r="CF16" i="42" s="1"/>
  <c r="CR31" i="42"/>
  <c r="CI59" i="42"/>
  <c r="CS117" i="42"/>
  <c r="CS116" i="42" s="1"/>
  <c r="CS114" i="42" s="1"/>
  <c r="CS115" i="42" s="1"/>
  <c r="CS72" i="42" s="1"/>
  <c r="BS60" i="42"/>
  <c r="BR62" i="42" s="1"/>
  <c r="BY60" i="42"/>
  <c r="BX62" i="42" s="1"/>
  <c r="BY59" i="42"/>
  <c r="CE53" i="42"/>
  <c r="BU60" i="42"/>
  <c r="BT8" i="42" s="1"/>
  <c r="BV31" i="42"/>
  <c r="CS59" i="42"/>
  <c r="CS62" i="42" s="1"/>
  <c r="CF31" i="42"/>
  <c r="CE49" i="42"/>
  <c r="CD49" i="42" s="1"/>
  <c r="CD48" i="42" s="1"/>
  <c r="CB31" i="42"/>
  <c r="BS30" i="42"/>
  <c r="BS29" i="42" s="1"/>
  <c r="CG60" i="42"/>
  <c r="CF62" i="42" s="1"/>
  <c r="BS72" i="42"/>
  <c r="CK72" i="42"/>
  <c r="CC53" i="42"/>
  <c r="CI72" i="42"/>
  <c r="CM72" i="42"/>
  <c r="CA72" i="42"/>
  <c r="CD41" i="42"/>
  <c r="BN31" i="42"/>
  <c r="BT9" i="42"/>
  <c r="CE41" i="42"/>
  <c r="BW60" i="42"/>
  <c r="BV8" i="42" s="1"/>
  <c r="BP31" i="42"/>
  <c r="BZ31" i="42"/>
  <c r="BT31" i="42"/>
  <c r="BR26" i="42"/>
  <c r="BR25" i="42" s="1"/>
  <c r="BO72" i="42"/>
  <c r="BQ72" i="42"/>
  <c r="BQ26" i="42"/>
  <c r="BQ25" i="42" s="1"/>
  <c r="CD24" i="42"/>
  <c r="CD23" i="42" s="1"/>
  <c r="BO56" i="42"/>
  <c r="BO68" i="42" s="1"/>
  <c r="BW63" i="42"/>
  <c r="CE72" i="42"/>
  <c r="BS96" i="42"/>
  <c r="CC96" i="42"/>
  <c r="BQ60" i="42"/>
  <c r="BQ56" i="42" s="1"/>
  <c r="BQ96" i="42"/>
  <c r="BY72" i="42"/>
  <c r="CG72" i="42"/>
  <c r="CB24" i="42"/>
  <c r="CB23" i="42" s="1"/>
  <c r="CC72" i="42"/>
  <c r="CC71" i="42" s="1"/>
  <c r="BS25" i="42"/>
  <c r="BN30" i="42"/>
  <c r="BN29" i="42" s="1"/>
  <c r="CL42" i="42"/>
  <c r="CC20" i="42"/>
  <c r="CC24" i="42" s="1"/>
  <c r="CC23" i="42" s="1"/>
  <c r="BW96" i="42"/>
  <c r="CE19" i="42"/>
  <c r="CG96" i="42"/>
  <c r="BZ8" i="42"/>
  <c r="BU96" i="42"/>
  <c r="CJ30" i="42"/>
  <c r="CJ29" i="42" s="1"/>
  <c r="CH30" i="42"/>
  <c r="CH29" i="42" s="1"/>
  <c r="BR32" i="42"/>
  <c r="BN24" i="42"/>
  <c r="BN23" i="42" s="1"/>
  <c r="BO96" i="42"/>
  <c r="CJ31" i="42"/>
  <c r="CH31" i="42"/>
  <c r="CD31" i="42"/>
  <c r="BQ59" i="42"/>
  <c r="BZ30" i="42"/>
  <c r="BZ29" i="42" s="1"/>
  <c r="BN25" i="42"/>
  <c r="BT24" i="42"/>
  <c r="BT23" i="42" s="1"/>
  <c r="BW117" i="42"/>
  <c r="BW116" i="42" s="1"/>
  <c r="BW114" i="42" s="1"/>
  <c r="BW115" i="42" s="1"/>
  <c r="BU72" i="42"/>
  <c r="CE142" i="42"/>
  <c r="BX30" i="42"/>
  <c r="BX29" i="42" s="1"/>
  <c r="BZ41" i="42"/>
  <c r="CL30" i="42"/>
  <c r="CL29" i="42" s="1"/>
  <c r="CC142" i="42"/>
  <c r="BO132" i="42"/>
  <c r="BO133" i="42" s="1"/>
  <c r="BO142" i="42" s="1"/>
  <c r="CA53" i="42"/>
  <c r="CR30" i="42"/>
  <c r="CR29" i="42" s="1"/>
  <c r="CR49" i="42"/>
  <c r="CR48" i="42" s="1"/>
  <c r="CS45" i="42"/>
  <c r="CS44" i="42" s="1"/>
  <c r="CS43" i="42" s="1"/>
  <c r="CR45" i="42"/>
  <c r="CR44" i="42" s="1"/>
  <c r="CR43" i="42" s="1"/>
  <c r="CR16" i="42"/>
  <c r="CR20" i="42" s="1"/>
  <c r="CR24" i="42" s="1"/>
  <c r="CR23" i="42" s="1"/>
  <c r="CS10" i="42"/>
  <c r="CS16" i="42" s="1"/>
  <c r="CS20" i="42" s="1"/>
  <c r="CS24" i="42" s="1"/>
  <c r="CS23" i="42" s="1"/>
  <c r="CS96" i="42"/>
  <c r="CI10" i="42"/>
  <c r="CI69" i="42" s="1"/>
  <c r="CI56" i="42"/>
  <c r="CI68" i="42" s="1"/>
  <c r="CH62" i="42"/>
  <c r="BW10" i="42"/>
  <c r="BW132" i="42" s="1"/>
  <c r="BW133" i="42" s="1"/>
  <c r="BW142" i="42" s="1"/>
  <c r="BU10" i="42"/>
  <c r="BO76" i="42"/>
  <c r="BO74" i="42"/>
  <c r="BO111" i="42" s="1"/>
  <c r="BO112" i="42" s="1"/>
  <c r="BO69" i="42"/>
  <c r="BO129" i="42"/>
  <c r="BO130" i="42" s="1"/>
  <c r="BO126" i="42"/>
  <c r="BO127" i="42" s="1"/>
  <c r="BZ20" i="42"/>
  <c r="CA10" i="42"/>
  <c r="CA69" i="42" s="1"/>
  <c r="CA49" i="42"/>
  <c r="BZ62" i="42"/>
  <c r="BX20" i="42"/>
  <c r="BY10" i="42"/>
  <c r="BY69" i="42" s="1"/>
  <c r="BX42" i="42"/>
  <c r="BQ76" i="42"/>
  <c r="BQ74" i="42"/>
  <c r="BQ80" i="42" s="1"/>
  <c r="BQ129" i="42"/>
  <c r="BQ130" i="42" s="1"/>
  <c r="BQ69" i="42"/>
  <c r="BQ126" i="42"/>
  <c r="BQ127" i="42" s="1"/>
  <c r="BQ132" i="42"/>
  <c r="BQ133" i="42" s="1"/>
  <c r="BQ142" i="42" s="1"/>
  <c r="BS69" i="42"/>
  <c r="BS126" i="42"/>
  <c r="BS127" i="42" s="1"/>
  <c r="BS129" i="42"/>
  <c r="BS130" i="42" s="1"/>
  <c r="BS132" i="42"/>
  <c r="BS133" i="42" s="1"/>
  <c r="BS142" i="42" s="1"/>
  <c r="BS76" i="42"/>
  <c r="BS74" i="42"/>
  <c r="BS111" i="42" s="1"/>
  <c r="BS112" i="42" s="1"/>
  <c r="BS42" i="42"/>
  <c r="BR8" i="42"/>
  <c r="CE96" i="42"/>
  <c r="CE76" i="42"/>
  <c r="CE74" i="42" s="1"/>
  <c r="CD30" i="42"/>
  <c r="CD29" i="42" s="1"/>
  <c r="CC111" i="42"/>
  <c r="CC112" i="42" s="1"/>
  <c r="CC80" i="42"/>
  <c r="CC78" i="42"/>
  <c r="CC108" i="42"/>
  <c r="CC109" i="42" s="1"/>
  <c r="CC75" i="42"/>
  <c r="CB41" i="42"/>
  <c r="CC49" i="42"/>
  <c r="CC41" i="42"/>
  <c r="CC69" i="42"/>
  <c r="CB30" i="42"/>
  <c r="CB29" i="42" s="1"/>
  <c r="CM56" i="42"/>
  <c r="CL8" i="42"/>
  <c r="CL20" i="42"/>
  <c r="CL24" i="42" s="1"/>
  <c r="CL23" i="42" s="1"/>
  <c r="CM10" i="42"/>
  <c r="CM59" i="42"/>
  <c r="CM96" i="42"/>
  <c r="CJ8" i="42"/>
  <c r="CK56" i="42"/>
  <c r="CK68" i="42" s="1"/>
  <c r="CJ20" i="42"/>
  <c r="CJ24" i="42" s="1"/>
  <c r="CJ23" i="42" s="1"/>
  <c r="CK10" i="42"/>
  <c r="CK59" i="42"/>
  <c r="CK96" i="42"/>
  <c r="CF20" i="42"/>
  <c r="CF24" i="42" s="1"/>
  <c r="CF23" i="42" s="1"/>
  <c r="CG10" i="42"/>
  <c r="CG20" i="42" s="1"/>
  <c r="CG24" i="42" s="1"/>
  <c r="CG23" i="42" s="1"/>
  <c r="CF30" i="42"/>
  <c r="CF29" i="42" s="1"/>
  <c r="CG59" i="42"/>
  <c r="BQ50" i="42" l="1"/>
  <c r="BQ54" i="42" s="1"/>
  <c r="BQ68" i="42"/>
  <c r="CM53" i="42"/>
  <c r="CM68" i="42"/>
  <c r="BY56" i="42"/>
  <c r="BY68" i="42" s="1"/>
  <c r="BX8" i="42"/>
  <c r="BS56" i="42"/>
  <c r="BS108" i="42"/>
  <c r="BS109" i="42" s="1"/>
  <c r="BU56" i="42"/>
  <c r="CE48" i="42"/>
  <c r="CE45" i="42"/>
  <c r="CE44" i="42" s="1"/>
  <c r="CE43" i="42" s="1"/>
  <c r="CF8" i="42"/>
  <c r="CG56" i="42"/>
  <c r="BQ53" i="42"/>
  <c r="BP26" i="42"/>
  <c r="BP25" i="42" s="1"/>
  <c r="BW56" i="42"/>
  <c r="BW50" i="42" s="1"/>
  <c r="BQ111" i="42"/>
  <c r="BQ112" i="42" s="1"/>
  <c r="BO108" i="42"/>
  <c r="BO109" i="42" s="1"/>
  <c r="BQ30" i="42"/>
  <c r="BQ29" i="42" s="1"/>
  <c r="BS80" i="42"/>
  <c r="BS83" i="42" s="1"/>
  <c r="BP8" i="42"/>
  <c r="BQ108" i="42"/>
  <c r="BQ109" i="42" s="1"/>
  <c r="BO50" i="42"/>
  <c r="BO54" i="42" s="1"/>
  <c r="BO53" i="42"/>
  <c r="CG132" i="42"/>
  <c r="CG133" i="42" s="1"/>
  <c r="CG69" i="42"/>
  <c r="BR42" i="42"/>
  <c r="BR31" i="42"/>
  <c r="BY20" i="42"/>
  <c r="BR30" i="42"/>
  <c r="BR29" i="42" s="1"/>
  <c r="BT30" i="42"/>
  <c r="BT29" i="42" s="1"/>
  <c r="CE20" i="42"/>
  <c r="CE24" i="42" s="1"/>
  <c r="CE23" i="42" s="1"/>
  <c r="CA20" i="42"/>
  <c r="CS69" i="42"/>
  <c r="CS129" i="42"/>
  <c r="CS130" i="42" s="1"/>
  <c r="CS76" i="42"/>
  <c r="CS74" i="42"/>
  <c r="CS132" i="42"/>
  <c r="CS133" i="42" s="1"/>
  <c r="CS142" i="42" s="1"/>
  <c r="CS126" i="42"/>
  <c r="CS127" i="42" s="1"/>
  <c r="CS48" i="42"/>
  <c r="CI50" i="42"/>
  <c r="CI54" i="42" s="1"/>
  <c r="CI53" i="42"/>
  <c r="CI74" i="42"/>
  <c r="CI129" i="42"/>
  <c r="CI130" i="42" s="1"/>
  <c r="CI132" i="42"/>
  <c r="CI133" i="42" s="1"/>
  <c r="CI141" i="42" s="1"/>
  <c r="CI16" i="42"/>
  <c r="CI76" i="42"/>
  <c r="BW76" i="42"/>
  <c r="BW74" i="42"/>
  <c r="BW69" i="42"/>
  <c r="BW129" i="42"/>
  <c r="BW130" i="42" s="1"/>
  <c r="BW126" i="42"/>
  <c r="BW127" i="42" s="1"/>
  <c r="BU76" i="42"/>
  <c r="BU74" i="42"/>
  <c r="BU129" i="42"/>
  <c r="BU130" i="42" s="1"/>
  <c r="BU69" i="42"/>
  <c r="BU126" i="42"/>
  <c r="BU127" i="42" s="1"/>
  <c r="BU132" i="42"/>
  <c r="BU133" i="42" s="1"/>
  <c r="BU142" i="42" s="1"/>
  <c r="BO80" i="42"/>
  <c r="BO75" i="42"/>
  <c r="BO71" i="42"/>
  <c r="CA45" i="42"/>
  <c r="CA44" i="42" s="1"/>
  <c r="BZ45" i="42"/>
  <c r="BZ44" i="42" s="1"/>
  <c r="BZ43" i="42" s="1"/>
  <c r="BZ49" i="42"/>
  <c r="BZ48" i="42" s="1"/>
  <c r="CA48" i="42"/>
  <c r="CA76" i="42"/>
  <c r="CA74" i="42"/>
  <c r="CA132" i="42"/>
  <c r="CA133" i="42" s="1"/>
  <c r="CA141" i="42" s="1"/>
  <c r="CA129" i="42"/>
  <c r="CA130" i="42" s="1"/>
  <c r="BY74" i="42"/>
  <c r="BY132" i="42"/>
  <c r="BY133" i="42" s="1"/>
  <c r="BY141" i="42" s="1"/>
  <c r="BY129" i="42"/>
  <c r="BY130" i="42" s="1"/>
  <c r="BY76" i="42"/>
  <c r="BQ149" i="42"/>
  <c r="BQ152" i="42" s="1"/>
  <c r="BQ154" i="42" s="1"/>
  <c r="BQ75" i="42"/>
  <c r="BQ71" i="42"/>
  <c r="BQ82" i="42"/>
  <c r="BQ81" i="42"/>
  <c r="BQ83" i="42"/>
  <c r="BS75" i="42"/>
  <c r="BS71" i="42"/>
  <c r="CE111" i="42"/>
  <c r="CE112" i="42" s="1"/>
  <c r="CE80" i="42"/>
  <c r="CE78" i="42"/>
  <c r="CE108" i="42"/>
  <c r="CE109" i="42" s="1"/>
  <c r="CE71" i="42"/>
  <c r="CE75" i="42"/>
  <c r="CD45" i="42"/>
  <c r="CD44" i="42" s="1"/>
  <c r="CD43" i="42" s="1"/>
  <c r="CC45" i="42"/>
  <c r="CB49" i="42"/>
  <c r="CB48" i="42" s="1"/>
  <c r="CC48" i="42"/>
  <c r="CC83" i="42"/>
  <c r="CC82" i="42"/>
  <c r="CC81" i="42"/>
  <c r="CM76" i="42"/>
  <c r="CM74" i="42" s="1"/>
  <c r="CM69" i="42"/>
  <c r="CM132" i="42"/>
  <c r="CM133" i="42" s="1"/>
  <c r="CM142" i="42" s="1"/>
  <c r="CM129" i="42"/>
  <c r="CM130" i="42" s="1"/>
  <c r="CM16" i="42"/>
  <c r="CM20" i="42" s="1"/>
  <c r="CM24" i="42" s="1"/>
  <c r="CM23" i="42" s="1"/>
  <c r="CM126" i="42"/>
  <c r="CM127" i="42" s="1"/>
  <c r="CM50" i="42"/>
  <c r="CK76" i="42"/>
  <c r="CK74" i="42" s="1"/>
  <c r="CK132" i="42"/>
  <c r="CK133" i="42" s="1"/>
  <c r="CK142" i="42" s="1"/>
  <c r="CK129" i="42"/>
  <c r="CK130" i="42" s="1"/>
  <c r="CK16" i="42"/>
  <c r="CK20" i="42" s="1"/>
  <c r="CK24" i="42" s="1"/>
  <c r="CK23" i="42" s="1"/>
  <c r="CK69" i="42"/>
  <c r="CK126" i="42"/>
  <c r="CK127" i="42" s="1"/>
  <c r="CK50" i="42"/>
  <c r="CK53" i="42"/>
  <c r="CG76" i="42"/>
  <c r="CG74" i="42"/>
  <c r="CG129" i="42"/>
  <c r="CG130" i="42" s="1"/>
  <c r="CG142" i="42" s="1"/>
  <c r="CG50" i="42" l="1"/>
  <c r="CG54" i="42" s="1"/>
  <c r="CG68" i="42"/>
  <c r="BU53" i="42"/>
  <c r="BU68" i="42"/>
  <c r="BS53" i="42"/>
  <c r="BS68" i="42"/>
  <c r="BS63" i="42" s="1"/>
  <c r="BU50" i="42"/>
  <c r="BU54" i="42" s="1"/>
  <c r="BY50" i="42"/>
  <c r="BY53" i="42"/>
  <c r="CI20" i="42"/>
  <c r="CI24" i="42" s="1"/>
  <c r="CI23" i="42" s="1"/>
  <c r="CH16" i="42"/>
  <c r="CH20" i="42" s="1"/>
  <c r="CH24" i="42" s="1"/>
  <c r="CH23" i="42" s="1"/>
  <c r="BS50" i="42"/>
  <c r="BS54" i="42" s="1"/>
  <c r="BS41" i="42" s="1"/>
  <c r="BP30" i="42"/>
  <c r="BP29" i="42" s="1"/>
  <c r="BW68" i="42"/>
  <c r="CG53" i="42"/>
  <c r="BW53" i="42"/>
  <c r="BS81" i="42"/>
  <c r="BS82" i="42"/>
  <c r="BW54" i="42"/>
  <c r="BW41" i="42" s="1"/>
  <c r="BO41" i="42"/>
  <c r="BO49" i="42"/>
  <c r="BN41" i="42"/>
  <c r="BR16" i="42"/>
  <c r="BR20" i="42" s="1"/>
  <c r="BR24" i="42" s="1"/>
  <c r="BR23" i="42" s="1"/>
  <c r="BS20" i="42"/>
  <c r="BS24" i="42" s="1"/>
  <c r="BS23" i="42" s="1"/>
  <c r="CS80" i="42"/>
  <c r="CS111" i="42"/>
  <c r="CS112" i="42" s="1"/>
  <c r="CS108" i="42"/>
  <c r="CS109" i="42" s="1"/>
  <c r="CS75" i="42"/>
  <c r="CS71" i="42"/>
  <c r="CI80" i="42"/>
  <c r="CI111" i="42"/>
  <c r="CI112" i="42" s="1"/>
  <c r="CI71" i="42"/>
  <c r="CI75" i="42"/>
  <c r="CI108" i="42"/>
  <c r="CI109" i="42" s="1"/>
  <c r="CI41" i="42"/>
  <c r="CH41" i="42"/>
  <c r="CI49" i="42"/>
  <c r="BW80" i="42"/>
  <c r="BW78" i="42"/>
  <c r="BW149" i="42" s="1"/>
  <c r="BW152" i="42" s="1"/>
  <c r="BW154" i="42" s="1"/>
  <c r="BW75" i="42"/>
  <c r="BW108" i="42"/>
  <c r="BW109" i="42" s="1"/>
  <c r="BW111" i="42"/>
  <c r="BW112" i="42" s="1"/>
  <c r="BU80" i="42"/>
  <c r="BU149" i="42"/>
  <c r="BU152" i="42" s="1"/>
  <c r="BU154" i="42" s="1"/>
  <c r="BU75" i="42"/>
  <c r="BU71" i="42"/>
  <c r="BU108" i="42"/>
  <c r="BU109" i="42" s="1"/>
  <c r="BU111" i="42"/>
  <c r="BU112" i="42" s="1"/>
  <c r="BT41" i="42"/>
  <c r="BU41" i="42"/>
  <c r="BU49" i="42"/>
  <c r="BO83" i="42"/>
  <c r="BO82" i="42"/>
  <c r="BO81" i="42"/>
  <c r="CA75" i="42"/>
  <c r="CA80" i="42"/>
  <c r="CA111" i="42"/>
  <c r="CA112" i="42" s="1"/>
  <c r="CA71" i="42"/>
  <c r="CA108" i="42"/>
  <c r="CA109" i="42" s="1"/>
  <c r="CA47" i="42"/>
  <c r="CA43" i="42"/>
  <c r="BY108" i="42"/>
  <c r="BY109" i="42" s="1"/>
  <c r="BY71" i="42"/>
  <c r="BY111" i="42"/>
  <c r="BY112" i="42" s="1"/>
  <c r="BY80" i="42"/>
  <c r="BY75" i="42"/>
  <c r="BQ41" i="42"/>
  <c r="BP41" i="42"/>
  <c r="BQ86" i="42"/>
  <c r="BQ84" i="42"/>
  <c r="BQ49" i="42"/>
  <c r="BS84" i="42"/>
  <c r="BS86" i="42"/>
  <c r="CE83" i="42"/>
  <c r="CE82" i="42"/>
  <c r="CE81" i="42"/>
  <c r="CC84" i="42"/>
  <c r="CC86" i="42"/>
  <c r="CB45" i="42"/>
  <c r="CB44" i="42" s="1"/>
  <c r="CB43" i="42" s="1"/>
  <c r="CC44" i="42"/>
  <c r="CC43" i="42" s="1"/>
  <c r="CM54" i="42"/>
  <c r="CM80" i="42"/>
  <c r="CM75" i="42"/>
  <c r="CM71" i="42"/>
  <c r="CM111" i="42"/>
  <c r="CM112" i="42" s="1"/>
  <c r="CM108" i="42"/>
  <c r="CM109" i="42" s="1"/>
  <c r="CK54" i="42"/>
  <c r="CK49" i="42" s="1"/>
  <c r="CK80" i="42"/>
  <c r="CK75" i="42"/>
  <c r="CK71" i="42"/>
  <c r="CK111" i="42"/>
  <c r="CK112" i="42" s="1"/>
  <c r="CK108" i="42"/>
  <c r="CK109" i="42" s="1"/>
  <c r="CG75" i="42"/>
  <c r="CG71" i="42"/>
  <c r="CG80" i="42"/>
  <c r="CG111" i="42"/>
  <c r="CG112" i="42" s="1"/>
  <c r="CG108" i="42"/>
  <c r="CG109" i="42" s="1"/>
  <c r="CG49" i="42"/>
  <c r="CG41" i="42"/>
  <c r="CF41" i="42"/>
  <c r="BY54" i="42" l="1"/>
  <c r="BY49" i="42"/>
  <c r="BS49" i="42"/>
  <c r="BR45" i="42" s="1"/>
  <c r="BR41" i="42"/>
  <c r="BW49" i="42"/>
  <c r="BW45" i="42" s="1"/>
  <c r="BW44" i="42" s="1"/>
  <c r="BV41" i="42"/>
  <c r="BO45" i="42"/>
  <c r="BO44" i="42" s="1"/>
  <c r="BO43" i="42" s="1"/>
  <c r="BN49" i="42"/>
  <c r="BN48" i="42" s="1"/>
  <c r="BO48" i="42"/>
  <c r="BN45" i="42"/>
  <c r="BN44" i="42" s="1"/>
  <c r="BN43" i="42" s="1"/>
  <c r="BQ20" i="42"/>
  <c r="BQ24" i="42" s="1"/>
  <c r="BQ23" i="42" s="1"/>
  <c r="BP16" i="42"/>
  <c r="BP20" i="42" s="1"/>
  <c r="BP24" i="42" s="1"/>
  <c r="BP23" i="42" s="1"/>
  <c r="CS83" i="42"/>
  <c r="CS82" i="42"/>
  <c r="CS81" i="42"/>
  <c r="CH45" i="42"/>
  <c r="CH44" i="42" s="1"/>
  <c r="CH43" i="42" s="1"/>
  <c r="CI45" i="42"/>
  <c r="CI44" i="42" s="1"/>
  <c r="CI43" i="42" s="1"/>
  <c r="CH49" i="42"/>
  <c r="CH48" i="42" s="1"/>
  <c r="CI48" i="42"/>
  <c r="CI83" i="42"/>
  <c r="CI81" i="42"/>
  <c r="CI82" i="42"/>
  <c r="BV45" i="42"/>
  <c r="BV44" i="42" s="1"/>
  <c r="BV43" i="42" s="1"/>
  <c r="BW83" i="42"/>
  <c r="BW82" i="42"/>
  <c r="BW81" i="42"/>
  <c r="BT49" i="42"/>
  <c r="BT48" i="42" s="1"/>
  <c r="BU48" i="42"/>
  <c r="BU45" i="42"/>
  <c r="BU44" i="42" s="1"/>
  <c r="BT45" i="42"/>
  <c r="BT44" i="42" s="1"/>
  <c r="BT43" i="42" s="1"/>
  <c r="BU83" i="42"/>
  <c r="BU82" i="42"/>
  <c r="BU81" i="42"/>
  <c r="BO86" i="42"/>
  <c r="BO84" i="42"/>
  <c r="CA82" i="42"/>
  <c r="CA81" i="42"/>
  <c r="CA83" i="42"/>
  <c r="BY83" i="42"/>
  <c r="BY81" i="42"/>
  <c r="BY82" i="42"/>
  <c r="BP49" i="42"/>
  <c r="BP48" i="42" s="1"/>
  <c r="BQ48" i="42"/>
  <c r="BQ45" i="42"/>
  <c r="BQ44" i="42" s="1"/>
  <c r="BP45" i="42"/>
  <c r="BP44" i="42" s="1"/>
  <c r="BP43" i="42" s="1"/>
  <c r="BQ89" i="42"/>
  <c r="BQ87" i="42"/>
  <c r="BS89" i="42"/>
  <c r="BS87" i="42"/>
  <c r="CE86" i="42"/>
  <c r="CE84" i="42"/>
  <c r="CC89" i="42"/>
  <c r="CC87" i="42"/>
  <c r="CM81" i="42"/>
  <c r="CM83" i="42"/>
  <c r="CM82" i="42"/>
  <c r="CM41" i="42"/>
  <c r="CL41" i="42"/>
  <c r="CM49" i="42"/>
  <c r="CK82" i="42"/>
  <c r="CK81" i="42"/>
  <c r="CK83" i="42"/>
  <c r="CK41" i="42"/>
  <c r="CJ41" i="42"/>
  <c r="CK45" i="42"/>
  <c r="CJ45" i="42"/>
  <c r="CJ49" i="42"/>
  <c r="CJ48" i="42" s="1"/>
  <c r="CK48" i="42"/>
  <c r="CG45" i="42"/>
  <c r="CG44" i="42" s="1"/>
  <c r="CG43" i="42" s="1"/>
  <c r="CF45" i="42"/>
  <c r="CF44" i="42" s="1"/>
  <c r="CF43" i="42" s="1"/>
  <c r="CF49" i="42"/>
  <c r="CF48" i="42" s="1"/>
  <c r="CG48" i="42"/>
  <c r="CG82" i="42"/>
  <c r="CG83" i="42"/>
  <c r="CG81" i="42"/>
  <c r="BR44" i="42" l="1"/>
  <c r="BR43" i="42" s="1"/>
  <c r="BW48" i="42"/>
  <c r="BY45" i="42"/>
  <c r="BX45" i="42"/>
  <c r="BY48" i="42"/>
  <c r="BX49" i="42"/>
  <c r="BX48" i="42" s="1"/>
  <c r="BY41" i="42"/>
  <c r="BX41" i="42"/>
  <c r="BV49" i="42"/>
  <c r="BV48" i="42" s="1"/>
  <c r="BS48" i="42"/>
  <c r="BS45" i="42"/>
  <c r="BS44" i="42" s="1"/>
  <c r="BS43" i="42" s="1"/>
  <c r="BR49" i="42"/>
  <c r="BR48" i="42" s="1"/>
  <c r="CK44" i="42"/>
  <c r="CK43" i="42" s="1"/>
  <c r="CJ44" i="42"/>
  <c r="CJ43" i="42" s="1"/>
  <c r="CS84" i="42"/>
  <c r="CS86" i="42"/>
  <c r="CI84" i="42"/>
  <c r="CI86" i="42"/>
  <c r="BW86" i="42"/>
  <c r="BW84" i="42"/>
  <c r="BW47" i="42"/>
  <c r="BW43" i="42"/>
  <c r="BU86" i="42"/>
  <c r="BU84" i="42"/>
  <c r="BU47" i="42"/>
  <c r="BU43" i="42"/>
  <c r="BO89" i="42"/>
  <c r="BO87" i="42"/>
  <c r="CA84" i="42"/>
  <c r="CA86" i="42"/>
  <c r="BY86" i="42"/>
  <c r="BY84" i="42"/>
  <c r="BQ93" i="42"/>
  <c r="BQ90" i="42"/>
  <c r="BQ47" i="42"/>
  <c r="BQ43" i="42"/>
  <c r="BS90" i="42"/>
  <c r="BS93" i="42"/>
  <c r="CE89" i="42"/>
  <c r="CE87" i="42"/>
  <c r="CC93" i="42"/>
  <c r="CC90" i="42"/>
  <c r="CM86" i="42"/>
  <c r="CM84" i="42"/>
  <c r="CM45" i="42"/>
  <c r="CM44" i="42" s="1"/>
  <c r="CM43" i="42" s="1"/>
  <c r="CL45" i="42"/>
  <c r="CL44" i="42" s="1"/>
  <c r="CL43" i="42" s="1"/>
  <c r="CL49" i="42"/>
  <c r="CL48" i="42" s="1"/>
  <c r="CM48" i="42"/>
  <c r="CK86" i="42"/>
  <c r="CK84" i="42"/>
  <c r="CG86" i="42"/>
  <c r="CG84" i="42"/>
  <c r="BX44" i="42" l="1"/>
  <c r="BX43" i="42" s="1"/>
  <c r="BY44" i="42"/>
  <c r="CS89" i="42"/>
  <c r="CS87" i="42"/>
  <c r="CI89" i="42"/>
  <c r="CI87" i="42"/>
  <c r="BW89" i="42"/>
  <c r="BW87" i="42"/>
  <c r="BU89" i="42"/>
  <c r="BU87" i="42"/>
  <c r="BO93" i="42"/>
  <c r="BO90" i="42"/>
  <c r="CA87" i="42"/>
  <c r="CA89" i="42"/>
  <c r="BY89" i="42"/>
  <c r="BY87" i="42"/>
  <c r="BQ98" i="42"/>
  <c r="BQ94" i="42"/>
  <c r="BS98" i="42"/>
  <c r="BS94" i="42"/>
  <c r="CE93" i="42"/>
  <c r="CE90" i="42"/>
  <c r="CC98" i="42"/>
  <c r="CC94" i="42"/>
  <c r="CM89" i="42"/>
  <c r="CM87" i="42"/>
  <c r="CK87" i="42"/>
  <c r="CK89" i="42"/>
  <c r="CG89" i="42"/>
  <c r="CG87" i="42"/>
  <c r="BY43" i="42" l="1"/>
  <c r="BY47" i="42"/>
  <c r="CS93" i="42"/>
  <c r="CS90" i="42"/>
  <c r="CI93" i="42"/>
  <c r="CI90" i="42"/>
  <c r="BW93" i="42"/>
  <c r="BW90" i="42"/>
  <c r="BU93" i="42"/>
  <c r="BU90" i="42"/>
  <c r="BO94" i="42"/>
  <c r="BO98" i="42"/>
  <c r="CA90" i="42"/>
  <c r="CA93" i="42"/>
  <c r="BY90" i="42"/>
  <c r="BY93" i="42"/>
  <c r="BQ144" i="42"/>
  <c r="BQ99" i="42"/>
  <c r="BS144" i="42"/>
  <c r="BS99" i="42"/>
  <c r="CE98" i="42"/>
  <c r="CE94" i="42"/>
  <c r="CC144" i="42"/>
  <c r="CC99" i="42"/>
  <c r="CM93" i="42"/>
  <c r="CM90" i="42"/>
  <c r="CK93" i="42"/>
  <c r="CK90" i="42"/>
  <c r="CG93" i="42"/>
  <c r="CG90" i="42"/>
  <c r="CS98" i="42" l="1"/>
  <c r="CS94" i="42"/>
  <c r="CI98" i="42"/>
  <c r="CI94" i="42"/>
  <c r="BW98" i="42"/>
  <c r="BW94" i="42"/>
  <c r="BU98" i="42"/>
  <c r="BU94" i="42"/>
  <c r="BO99" i="42"/>
  <c r="BO144" i="42"/>
  <c r="CA98" i="42"/>
  <c r="CA94" i="42"/>
  <c r="BY98" i="42"/>
  <c r="BY94" i="42"/>
  <c r="CE144" i="42"/>
  <c r="CE99" i="42"/>
  <c r="CM98" i="42"/>
  <c r="CM94" i="42"/>
  <c r="CK98" i="42"/>
  <c r="CK94" i="42"/>
  <c r="CG98" i="42"/>
  <c r="CG94" i="42"/>
  <c r="CS99" i="42" l="1"/>
  <c r="CS144" i="42"/>
  <c r="CI143" i="42"/>
  <c r="CI99" i="42"/>
  <c r="BW144" i="42"/>
  <c r="BW99" i="42"/>
  <c r="BW124" i="42" s="1"/>
  <c r="BU144" i="42"/>
  <c r="BU99" i="42"/>
  <c r="CA143" i="42"/>
  <c r="CA99" i="42"/>
  <c r="BY99" i="42"/>
  <c r="BY143" i="42"/>
  <c r="CM144" i="42"/>
  <c r="CM99" i="42"/>
  <c r="CK144" i="42"/>
  <c r="CK99" i="42"/>
  <c r="CG144" i="42"/>
  <c r="CG99" i="42"/>
  <c r="ES123" i="3" l="1"/>
  <c r="ES122" i="3"/>
  <c r="ES121" i="3"/>
  <c r="ES120" i="3"/>
  <c r="ES119" i="3"/>
  <c r="EV123" i="3"/>
  <c r="EV122" i="3"/>
  <c r="EV121" i="3"/>
  <c r="EV120" i="3"/>
  <c r="EV119" i="3"/>
  <c r="CK123" i="14"/>
  <c r="CK122" i="14"/>
  <c r="CK121" i="14"/>
  <c r="CK120" i="14"/>
  <c r="CK119" i="14"/>
  <c r="BR123" i="40"/>
  <c r="BR122" i="40"/>
  <c r="BR121" i="40"/>
  <c r="BR120" i="40"/>
  <c r="BR119" i="40"/>
  <c r="BI123" i="40"/>
  <c r="BI122" i="40"/>
  <c r="BI121" i="40"/>
  <c r="BI120" i="40"/>
  <c r="BI119" i="40"/>
  <c r="BW123" i="34"/>
  <c r="BW122" i="34"/>
  <c r="BW121" i="34"/>
  <c r="BW120" i="34"/>
  <c r="BW119" i="34"/>
  <c r="BM123" i="35"/>
  <c r="BM122" i="35"/>
  <c r="BM121" i="35"/>
  <c r="BM120" i="35"/>
  <c r="BM119" i="35"/>
  <c r="BM123" i="33"/>
  <c r="BM122" i="33"/>
  <c r="BM121" i="33"/>
  <c r="BM120" i="33"/>
  <c r="BM119" i="33"/>
  <c r="CC123" i="36"/>
  <c r="CC122" i="36"/>
  <c r="CC121" i="36"/>
  <c r="CC120" i="36"/>
  <c r="CC119" i="36"/>
  <c r="CM123" i="15"/>
  <c r="CM122" i="15"/>
  <c r="CM121" i="15"/>
  <c r="CM120" i="15"/>
  <c r="CM119" i="15"/>
  <c r="CM123" i="13"/>
  <c r="CM122" i="13"/>
  <c r="CM121" i="13"/>
  <c r="CM120" i="13"/>
  <c r="CM119" i="13"/>
  <c r="CL181" i="15" l="1"/>
  <c r="CM137" i="15"/>
  <c r="CM135" i="15"/>
  <c r="CM141" i="15" s="1"/>
  <c r="CM131" i="15"/>
  <c r="CM117" i="15"/>
  <c r="CM116" i="15" s="1"/>
  <c r="CM114" i="15" s="1"/>
  <c r="CM115" i="15" s="1"/>
  <c r="CM106" i="15"/>
  <c r="CM104" i="15"/>
  <c r="CM105" i="15" s="1"/>
  <c r="CM96" i="15"/>
  <c r="CM65" i="15"/>
  <c r="CM60" i="15" s="1"/>
  <c r="CM57" i="15"/>
  <c r="CL9" i="15" s="1"/>
  <c r="CM52" i="15"/>
  <c r="CM42" i="15"/>
  <c r="CL32" i="15"/>
  <c r="CL42" i="15" s="1"/>
  <c r="CM31" i="15"/>
  <c r="CL31" i="15"/>
  <c r="CM30" i="15"/>
  <c r="CM29" i="15"/>
  <c r="CL26" i="15"/>
  <c r="CL25" i="15" s="1"/>
  <c r="CM25" i="15"/>
  <c r="CM20" i="15"/>
  <c r="CM24" i="15" s="1"/>
  <c r="CM23" i="15" s="1"/>
  <c r="CL19" i="15"/>
  <c r="CL16" i="15"/>
  <c r="CL20" i="15" s="1"/>
  <c r="CM15" i="15"/>
  <c r="CM19" i="15" s="1"/>
  <c r="CL2" i="15"/>
  <c r="CL10" i="15" s="1"/>
  <c r="CM10" i="15" s="1"/>
  <c r="CM153" i="13"/>
  <c r="CM151" i="13"/>
  <c r="CM150" i="13"/>
  <c r="CM138" i="13"/>
  <c r="CM135" i="13"/>
  <c r="CM96" i="13" s="1"/>
  <c r="CM131" i="13"/>
  <c r="CM117" i="13"/>
  <c r="CM116" i="13" s="1"/>
  <c r="CM114" i="13" s="1"/>
  <c r="CM115" i="13" s="1"/>
  <c r="CM106" i="13"/>
  <c r="CM100" i="13"/>
  <c r="CM104" i="13" s="1"/>
  <c r="CM105" i="13" s="1"/>
  <c r="CM67" i="13"/>
  <c r="CM65" i="13"/>
  <c r="CM59" i="13" s="1"/>
  <c r="CM60" i="13"/>
  <c r="CM56" i="13" s="1"/>
  <c r="CM57" i="13"/>
  <c r="CM52" i="13"/>
  <c r="CM42" i="13"/>
  <c r="CM39" i="13"/>
  <c r="CL32" i="13"/>
  <c r="CL42" i="13" s="1"/>
  <c r="CM31" i="13"/>
  <c r="CL19" i="13"/>
  <c r="CM15" i="13"/>
  <c r="CM19" i="13" s="1"/>
  <c r="CL9" i="13"/>
  <c r="CL2" i="13"/>
  <c r="CL10" i="13" s="1"/>
  <c r="CM10" i="13" s="1"/>
  <c r="CL24" i="15" l="1"/>
  <c r="CL23" i="15" s="1"/>
  <c r="CM68" i="13"/>
  <c r="CM50" i="13"/>
  <c r="CM54" i="13" s="1"/>
  <c r="CL41" i="13" s="1"/>
  <c r="CL31" i="13"/>
  <c r="CM53" i="13"/>
  <c r="CL8" i="13"/>
  <c r="CM76" i="15"/>
  <c r="CM69" i="15"/>
  <c r="CM129" i="15"/>
  <c r="CM130" i="15" s="1"/>
  <c r="CM74" i="15"/>
  <c r="CM111" i="15" s="1"/>
  <c r="CM112" i="15" s="1"/>
  <c r="CM126" i="15"/>
  <c r="CM127" i="15" s="1"/>
  <c r="CM56" i="15"/>
  <c r="CL8" i="15"/>
  <c r="CM132" i="15"/>
  <c r="CM133" i="15" s="1"/>
  <c r="CM142" i="15" s="1"/>
  <c r="CL30" i="15"/>
  <c r="CL29" i="15" s="1"/>
  <c r="CM59" i="15"/>
  <c r="CM74" i="13"/>
  <c r="CM69" i="13"/>
  <c r="CM129" i="13"/>
  <c r="CM130" i="13" s="1"/>
  <c r="CM126" i="13"/>
  <c r="CM127" i="13" s="1"/>
  <c r="CM76" i="13"/>
  <c r="CM132" i="13"/>
  <c r="CM133" i="13" s="1"/>
  <c r="CM49" i="13"/>
  <c r="CM41" i="13"/>
  <c r="CM141" i="13"/>
  <c r="CM142" i="13" l="1"/>
  <c r="CM108" i="15"/>
  <c r="CM109" i="15" s="1"/>
  <c r="CM68" i="15"/>
  <c r="CM50" i="15"/>
  <c r="CM53" i="15"/>
  <c r="CM78" i="15"/>
  <c r="CM75" i="15"/>
  <c r="CM71" i="15"/>
  <c r="CM80" i="15"/>
  <c r="CM48" i="13"/>
  <c r="CM45" i="13"/>
  <c r="CM44" i="13" s="1"/>
  <c r="CL45" i="13"/>
  <c r="CL44" i="13" s="1"/>
  <c r="CL43" i="13" s="1"/>
  <c r="CL49" i="13"/>
  <c r="CL48" i="13" s="1"/>
  <c r="CM75" i="13"/>
  <c r="CM71" i="13"/>
  <c r="CM111" i="13"/>
  <c r="CM112" i="13" s="1"/>
  <c r="CM80" i="13"/>
  <c r="CM78" i="13"/>
  <c r="CM149" i="13" s="1"/>
  <c r="CM152" i="13" s="1"/>
  <c r="CM154" i="13" s="1"/>
  <c r="CM108" i="13"/>
  <c r="CM109" i="13" s="1"/>
  <c r="BG141" i="42"/>
  <c r="Y137" i="42"/>
  <c r="AA137" i="42" s="1"/>
  <c r="AC137" i="42" s="1"/>
  <c r="AE137" i="42" s="1"/>
  <c r="AG137" i="42" s="1"/>
  <c r="AI137" i="42" s="1"/>
  <c r="AK137" i="42" s="1"/>
  <c r="AM137" i="42" s="1"/>
  <c r="AO137" i="42" s="1"/>
  <c r="AQ137" i="42" s="1"/>
  <c r="AS137" i="42" s="1"/>
  <c r="AU137" i="42" s="1"/>
  <c r="AW137" i="42" s="1"/>
  <c r="AY137" i="42" s="1"/>
  <c r="BA137" i="42" s="1"/>
  <c r="BC137" i="42" s="1"/>
  <c r="BE137" i="42" s="1"/>
  <c r="BG137" i="42" s="1"/>
  <c r="BI137" i="42" s="1"/>
  <c r="BK137" i="42" s="1"/>
  <c r="BM137" i="42" s="1"/>
  <c r="S137" i="42"/>
  <c r="U137" i="42" s="1"/>
  <c r="W137" i="42" s="1"/>
  <c r="M137" i="42"/>
  <c r="O137" i="42" s="1"/>
  <c r="Q137" i="42" s="1"/>
  <c r="G137" i="42"/>
  <c r="I137" i="42" s="1"/>
  <c r="K137" i="42" s="1"/>
  <c r="Y136" i="42"/>
  <c r="U136" i="42"/>
  <c r="Q136" i="42"/>
  <c r="G136" i="42"/>
  <c r="CO135" i="42"/>
  <c r="BM135" i="42"/>
  <c r="BK135" i="42"/>
  <c r="BK141" i="42" s="1"/>
  <c r="BI135" i="42"/>
  <c r="BG135" i="42"/>
  <c r="BE135" i="42"/>
  <c r="BE141" i="42" s="1"/>
  <c r="BC135" i="42"/>
  <c r="BC141" i="42" s="1"/>
  <c r="BA135" i="42"/>
  <c r="BA141" i="42" s="1"/>
  <c r="AY135" i="42"/>
  <c r="AY141" i="42" s="1"/>
  <c r="AW135" i="42"/>
  <c r="AW141" i="42" s="1"/>
  <c r="AU135" i="42"/>
  <c r="AU141" i="42" s="1"/>
  <c r="AS135" i="42"/>
  <c r="AS141" i="42" s="1"/>
  <c r="AQ135" i="42"/>
  <c r="AQ141" i="42" s="1"/>
  <c r="AO135" i="42"/>
  <c r="AO141" i="42" s="1"/>
  <c r="AM135" i="42"/>
  <c r="AM141" i="42" s="1"/>
  <c r="AK135" i="42"/>
  <c r="AK141" i="42" s="1"/>
  <c r="AI135" i="42"/>
  <c r="AI141" i="42" s="1"/>
  <c r="AG135" i="42"/>
  <c r="AG141" i="42" s="1"/>
  <c r="AE135" i="42"/>
  <c r="AC135" i="42"/>
  <c r="AA135" i="42"/>
  <c r="Y135" i="42"/>
  <c r="W135" i="42"/>
  <c r="U135" i="42"/>
  <c r="S135" i="42"/>
  <c r="Q135" i="42"/>
  <c r="O135" i="42"/>
  <c r="O141" i="42" s="1"/>
  <c r="M135" i="42"/>
  <c r="M141" i="42" s="1"/>
  <c r="K135" i="42"/>
  <c r="K141" i="42" s="1"/>
  <c r="I135" i="42"/>
  <c r="I141" i="42" s="1"/>
  <c r="G135" i="42"/>
  <c r="AW131" i="42"/>
  <c r="AU131" i="42"/>
  <c r="AS131" i="42"/>
  <c r="AQ131" i="42"/>
  <c r="AO131" i="42"/>
  <c r="AM131" i="42"/>
  <c r="AK131" i="42"/>
  <c r="AI131" i="42"/>
  <c r="AG131" i="42"/>
  <c r="AE131" i="42"/>
  <c r="AC131" i="42"/>
  <c r="AA131" i="42"/>
  <c r="Y131" i="42"/>
  <c r="W131" i="42"/>
  <c r="U131" i="42"/>
  <c r="S131" i="42"/>
  <c r="Q131" i="42"/>
  <c r="O131" i="42"/>
  <c r="M131" i="42"/>
  <c r="K131" i="42"/>
  <c r="I131" i="42"/>
  <c r="G131" i="42"/>
  <c r="AY123" i="42"/>
  <c r="AY122" i="42"/>
  <c r="Y122" i="42"/>
  <c r="S122" i="42"/>
  <c r="M122" i="42"/>
  <c r="G122" i="42"/>
  <c r="AY121" i="42"/>
  <c r="Y121" i="42"/>
  <c r="S121" i="42"/>
  <c r="M121" i="42"/>
  <c r="G121" i="42"/>
  <c r="AY120" i="42"/>
  <c r="Y120" i="42"/>
  <c r="S120" i="42"/>
  <c r="M120" i="42"/>
  <c r="G120" i="42"/>
  <c r="AY119" i="42"/>
  <c r="Y119" i="42"/>
  <c r="S119" i="42"/>
  <c r="M119" i="42"/>
  <c r="G119" i="42"/>
  <c r="CO106" i="42"/>
  <c r="AY106" i="42"/>
  <c r="Y106" i="42"/>
  <c r="S106" i="42"/>
  <c r="M106" i="42"/>
  <c r="G106" i="42"/>
  <c r="CO104" i="42"/>
  <c r="CO105" i="42" s="1"/>
  <c r="BM104" i="42"/>
  <c r="BK104" i="42"/>
  <c r="BI104" i="42"/>
  <c r="BG104" i="42"/>
  <c r="BE104" i="42"/>
  <c r="BC104" i="42"/>
  <c r="BA104" i="42"/>
  <c r="AY104" i="42"/>
  <c r="AY105" i="42" s="1"/>
  <c r="AW104" i="42"/>
  <c r="AU104" i="42"/>
  <c r="AS104" i="42"/>
  <c r="AQ104" i="42"/>
  <c r="AO104" i="42"/>
  <c r="AM104" i="42"/>
  <c r="AK104" i="42"/>
  <c r="AI104" i="42"/>
  <c r="AG104" i="42"/>
  <c r="AE104" i="42"/>
  <c r="AC104" i="42"/>
  <c r="AA104" i="42"/>
  <c r="Y104" i="42"/>
  <c r="Y105" i="42" s="1"/>
  <c r="W104" i="42"/>
  <c r="U104" i="42"/>
  <c r="S104" i="42"/>
  <c r="S105" i="42" s="1"/>
  <c r="Q104" i="42"/>
  <c r="O104" i="42"/>
  <c r="M104" i="42"/>
  <c r="M105" i="42" s="1"/>
  <c r="K104" i="42"/>
  <c r="I104" i="42"/>
  <c r="G104" i="42"/>
  <c r="G105" i="42" s="1"/>
  <c r="BA80" i="42"/>
  <c r="AY80" i="42"/>
  <c r="AW80" i="42"/>
  <c r="AW83" i="42" s="1"/>
  <c r="AU80" i="42"/>
  <c r="AU83" i="42" s="1"/>
  <c r="AS80" i="42"/>
  <c r="AS83" i="42" s="1"/>
  <c r="AQ80" i="42"/>
  <c r="AQ83" i="42" s="1"/>
  <c r="AO80" i="42"/>
  <c r="AM80" i="42"/>
  <c r="AM83" i="42" s="1"/>
  <c r="AK80" i="42"/>
  <c r="AK83" i="42" s="1"/>
  <c r="AI80" i="42"/>
  <c r="AG80" i="42"/>
  <c r="AG82" i="42" s="1"/>
  <c r="AE80" i="42"/>
  <c r="AE83" i="42" s="1"/>
  <c r="AE84" i="42" s="1"/>
  <c r="AC80" i="42"/>
  <c r="AC82" i="42" s="1"/>
  <c r="AA80" i="42"/>
  <c r="AA82" i="42" s="1"/>
  <c r="Y80" i="42"/>
  <c r="W80" i="42"/>
  <c r="S80" i="42"/>
  <c r="S83" i="42" s="1"/>
  <c r="S86" i="42" s="1"/>
  <c r="O80" i="42"/>
  <c r="O82" i="42" s="1"/>
  <c r="M80" i="42"/>
  <c r="M83" i="42" s="1"/>
  <c r="M86" i="42" s="1"/>
  <c r="M87" i="42" s="1"/>
  <c r="K80" i="42"/>
  <c r="I80" i="42"/>
  <c r="I82" i="42" s="1"/>
  <c r="G80" i="42"/>
  <c r="G83" i="42" s="1"/>
  <c r="AS79" i="42"/>
  <c r="AQ79" i="42"/>
  <c r="AO79" i="42"/>
  <c r="AM79" i="42"/>
  <c r="AK79" i="42"/>
  <c r="AI79" i="42"/>
  <c r="AG79" i="42"/>
  <c r="AE79" i="42"/>
  <c r="AC79" i="42"/>
  <c r="AA79" i="42"/>
  <c r="Y79" i="42"/>
  <c r="W79" i="42"/>
  <c r="U79" i="42"/>
  <c r="S79" i="42"/>
  <c r="Q79" i="42"/>
  <c r="O79" i="42"/>
  <c r="M79" i="42"/>
  <c r="K79" i="42"/>
  <c r="I79" i="42"/>
  <c r="G79" i="42"/>
  <c r="G123" i="42" s="1"/>
  <c r="E75" i="42"/>
  <c r="E81" i="42" s="1"/>
  <c r="U74" i="42"/>
  <c r="Q74" i="42"/>
  <c r="Q80" i="42" s="1"/>
  <c r="E74" i="42"/>
  <c r="E80" i="42" s="1"/>
  <c r="E83" i="42" s="1"/>
  <c r="E86" i="42" s="1"/>
  <c r="E89" i="42" s="1"/>
  <c r="AQ72" i="42"/>
  <c r="AQ71" i="42" s="1"/>
  <c r="Y72" i="42"/>
  <c r="Y71" i="42" s="1"/>
  <c r="U72" i="42"/>
  <c r="Q72" i="42"/>
  <c r="BA71" i="42"/>
  <c r="AY71" i="42"/>
  <c r="AW71" i="42"/>
  <c r="AU71" i="42"/>
  <c r="AO71" i="42"/>
  <c r="AM71" i="42"/>
  <c r="AK71" i="42"/>
  <c r="AI71" i="42"/>
  <c r="AG71" i="42"/>
  <c r="AE71" i="42"/>
  <c r="AC71" i="42"/>
  <c r="AA71" i="42"/>
  <c r="W71" i="42"/>
  <c r="S71" i="42"/>
  <c r="O71" i="42"/>
  <c r="M71" i="42"/>
  <c r="K71" i="42"/>
  <c r="I71" i="42"/>
  <c r="G71" i="42"/>
  <c r="BA66" i="42"/>
  <c r="BA123" i="42" s="1"/>
  <c r="AA66" i="42"/>
  <c r="AC66" i="42" s="1"/>
  <c r="AC120" i="42" s="1"/>
  <c r="U66" i="42"/>
  <c r="U121" i="42" s="1"/>
  <c r="O66" i="42"/>
  <c r="I66" i="42"/>
  <c r="I52" i="42" s="1"/>
  <c r="CO65" i="42"/>
  <c r="CO60" i="42" s="1"/>
  <c r="CN8" i="42" s="1"/>
  <c r="AY65" i="42"/>
  <c r="Y65" i="42"/>
  <c r="Y60" i="42" s="1"/>
  <c r="X8" i="42" s="1"/>
  <c r="S65" i="42"/>
  <c r="S60" i="42" s="1"/>
  <c r="R8" i="42" s="1"/>
  <c r="M65" i="42"/>
  <c r="M60" i="42" s="1"/>
  <c r="G65" i="42"/>
  <c r="G60" i="42" s="1"/>
  <c r="E65" i="42"/>
  <c r="C65" i="42"/>
  <c r="CO63" i="42"/>
  <c r="BM63" i="42"/>
  <c r="BK63" i="42"/>
  <c r="BI63" i="42"/>
  <c r="BG63" i="42"/>
  <c r="BE63" i="42"/>
  <c r="BC63" i="42"/>
  <c r="BA63" i="42"/>
  <c r="AY63" i="42"/>
  <c r="AW63" i="42"/>
  <c r="AU63" i="42"/>
  <c r="AS63" i="42"/>
  <c r="AQ63" i="42"/>
  <c r="AO63" i="42"/>
  <c r="AM63" i="42"/>
  <c r="AK63" i="42"/>
  <c r="AI63" i="42"/>
  <c r="AG63" i="42"/>
  <c r="AE63" i="42"/>
  <c r="Y63" i="42"/>
  <c r="S63" i="42"/>
  <c r="M63" i="42"/>
  <c r="G63" i="42"/>
  <c r="Y62" i="42"/>
  <c r="S62" i="42"/>
  <c r="M62" i="42"/>
  <c r="G62" i="42"/>
  <c r="AC57" i="42"/>
  <c r="AA57" i="42"/>
  <c r="W57" i="42"/>
  <c r="U57" i="42"/>
  <c r="Q57" i="42"/>
  <c r="Q63" i="42" s="1"/>
  <c r="O57" i="42"/>
  <c r="K57" i="42"/>
  <c r="K63" i="42" s="1"/>
  <c r="I57" i="42"/>
  <c r="E57" i="42"/>
  <c r="E58" i="42" s="1"/>
  <c r="CO52" i="42"/>
  <c r="AY52" i="42"/>
  <c r="Y52" i="42"/>
  <c r="S52" i="42"/>
  <c r="M52" i="42"/>
  <c r="G52" i="42"/>
  <c r="CO42" i="42"/>
  <c r="BM42" i="42"/>
  <c r="BK42" i="42"/>
  <c r="BI42" i="42"/>
  <c r="BG42" i="42"/>
  <c r="BE42" i="42"/>
  <c r="BC42" i="42"/>
  <c r="BA42" i="42"/>
  <c r="AY42" i="42"/>
  <c r="AW42" i="42"/>
  <c r="AU42" i="42"/>
  <c r="AS42" i="42"/>
  <c r="AQ42" i="42"/>
  <c r="AO42" i="42"/>
  <c r="AM42" i="42"/>
  <c r="AK42" i="42"/>
  <c r="AI42" i="42"/>
  <c r="AG42" i="42"/>
  <c r="AE42" i="42"/>
  <c r="AC42" i="42"/>
  <c r="AA42" i="42"/>
  <c r="X42" i="42"/>
  <c r="W42" i="42"/>
  <c r="U42" i="42"/>
  <c r="R42" i="42"/>
  <c r="Q42" i="42"/>
  <c r="O42" i="42"/>
  <c r="L42" i="42"/>
  <c r="K42" i="42"/>
  <c r="I42" i="42"/>
  <c r="F42" i="42"/>
  <c r="CN32" i="42"/>
  <c r="CN31" i="42" s="1"/>
  <c r="BL32" i="42"/>
  <c r="BJ32" i="42"/>
  <c r="BH32" i="42"/>
  <c r="BF32" i="42"/>
  <c r="BF30" i="42" s="1"/>
  <c r="BF29" i="42" s="1"/>
  <c r="BD32" i="42"/>
  <c r="BD42" i="42" s="1"/>
  <c r="BB32" i="42"/>
  <c r="BB42" i="42" s="1"/>
  <c r="AZ32" i="42"/>
  <c r="AZ31" i="42" s="1"/>
  <c r="AX32" i="42"/>
  <c r="AX42" i="42" s="1"/>
  <c r="AV32" i="42"/>
  <c r="AV31" i="42" s="1"/>
  <c r="AT32" i="42"/>
  <c r="AT42" i="42" s="1"/>
  <c r="AR32" i="42"/>
  <c r="AP32" i="42"/>
  <c r="AP30" i="42" s="1"/>
  <c r="AP29" i="42" s="1"/>
  <c r="AN32" i="42"/>
  <c r="AN42" i="42" s="1"/>
  <c r="AL32" i="42"/>
  <c r="AL42" i="42" s="1"/>
  <c r="AJ32" i="42"/>
  <c r="AJ30" i="42" s="1"/>
  <c r="AJ29" i="42" s="1"/>
  <c r="AH32" i="42"/>
  <c r="AH42" i="42" s="1"/>
  <c r="AF32" i="42"/>
  <c r="AF31" i="42" s="1"/>
  <c r="AD32" i="42"/>
  <c r="AD42" i="42" s="1"/>
  <c r="AB32" i="42"/>
  <c r="AB31" i="42" s="1"/>
  <c r="Z32" i="42"/>
  <c r="Z31" i="42" s="1"/>
  <c r="Y32" i="42"/>
  <c r="Y31" i="42" s="1"/>
  <c r="V32" i="42"/>
  <c r="V30" i="42" s="1"/>
  <c r="V29" i="42" s="1"/>
  <c r="T32" i="42"/>
  <c r="S32" i="42"/>
  <c r="P32" i="42"/>
  <c r="P42" i="42" s="1"/>
  <c r="N32" i="42"/>
  <c r="N42" i="42" s="1"/>
  <c r="M32" i="42"/>
  <c r="J32" i="42"/>
  <c r="J42" i="42" s="1"/>
  <c r="H32" i="42"/>
  <c r="H31" i="42" s="1"/>
  <c r="G32" i="42"/>
  <c r="G31" i="42" s="1"/>
  <c r="CO31" i="42"/>
  <c r="BM31" i="42"/>
  <c r="BK31" i="42"/>
  <c r="BI31" i="42"/>
  <c r="BG31" i="42"/>
  <c r="BE31" i="42"/>
  <c r="BC31" i="42"/>
  <c r="BA31" i="42"/>
  <c r="AY31" i="42"/>
  <c r="AW31" i="42"/>
  <c r="AU31" i="42"/>
  <c r="AS31" i="42"/>
  <c r="AQ31" i="42"/>
  <c r="AO31" i="42"/>
  <c r="AM31" i="42"/>
  <c r="AK31" i="42"/>
  <c r="AI31" i="42"/>
  <c r="AG31" i="42"/>
  <c r="AE31" i="42"/>
  <c r="AC31" i="42"/>
  <c r="AA31" i="42"/>
  <c r="X31" i="42"/>
  <c r="W31" i="42"/>
  <c r="U31" i="42"/>
  <c r="R31" i="42"/>
  <c r="Q31" i="42"/>
  <c r="O31" i="42"/>
  <c r="L31" i="42"/>
  <c r="K31" i="42"/>
  <c r="I31" i="42"/>
  <c r="F31" i="42"/>
  <c r="CO30" i="42"/>
  <c r="CO29" i="42" s="1"/>
  <c r="BM30" i="42"/>
  <c r="BM29" i="42" s="1"/>
  <c r="X30" i="42"/>
  <c r="X29" i="42" s="1"/>
  <c r="R30" i="42"/>
  <c r="R29" i="42" s="1"/>
  <c r="P30" i="42"/>
  <c r="P29" i="42" s="1"/>
  <c r="L30" i="42"/>
  <c r="L29" i="42" s="1"/>
  <c r="F30" i="42"/>
  <c r="F29" i="42" s="1"/>
  <c r="CN26" i="42"/>
  <c r="BL26" i="42"/>
  <c r="BL25" i="42" s="1"/>
  <c r="BK26" i="42"/>
  <c r="BK25" i="42" s="1"/>
  <c r="BI26" i="42"/>
  <c r="BI30" i="42" s="1"/>
  <c r="BI29" i="42" s="1"/>
  <c r="BG26" i="42"/>
  <c r="BG25" i="42" s="1"/>
  <c r="BE26" i="42"/>
  <c r="BE25" i="42" s="1"/>
  <c r="BC26" i="42"/>
  <c r="BA26" i="42"/>
  <c r="BA30" i="42" s="1"/>
  <c r="BA29" i="42" s="1"/>
  <c r="AY26" i="42"/>
  <c r="AY25" i="42" s="1"/>
  <c r="AW26" i="42"/>
  <c r="AW30" i="42" s="1"/>
  <c r="AW29" i="42" s="1"/>
  <c r="AU26" i="42"/>
  <c r="AS26" i="42"/>
  <c r="AS30" i="42" s="1"/>
  <c r="AS29" i="42" s="1"/>
  <c r="AQ26" i="42"/>
  <c r="AO26" i="42"/>
  <c r="AM26" i="42"/>
  <c r="AK26" i="42"/>
  <c r="AK25" i="42" s="1"/>
  <c r="AI26" i="42"/>
  <c r="AI30" i="42" s="1"/>
  <c r="AI29" i="42" s="1"/>
  <c r="AG26" i="42"/>
  <c r="AE26" i="42"/>
  <c r="AE30" i="42" s="1"/>
  <c r="AE29" i="42" s="1"/>
  <c r="AC26" i="42"/>
  <c r="AC30" i="42" s="1"/>
  <c r="AC29" i="42" s="1"/>
  <c r="AA26" i="42"/>
  <c r="Y26" i="42"/>
  <c r="Y30" i="42" s="1"/>
  <c r="Y29" i="42" s="1"/>
  <c r="W26" i="42"/>
  <c r="W25" i="42" s="1"/>
  <c r="U26" i="42"/>
  <c r="U25" i="42" s="1"/>
  <c r="S26" i="42"/>
  <c r="S25" i="42" s="1"/>
  <c r="Q26" i="42"/>
  <c r="Q25" i="42" s="1"/>
  <c r="O26" i="42"/>
  <c r="O30" i="42" s="1"/>
  <c r="O29" i="42" s="1"/>
  <c r="M26" i="42"/>
  <c r="M25" i="42" s="1"/>
  <c r="K26" i="42"/>
  <c r="K25" i="42" s="1"/>
  <c r="I26" i="42"/>
  <c r="I25" i="42" s="1"/>
  <c r="G26" i="42"/>
  <c r="CO25" i="42"/>
  <c r="BM25" i="42"/>
  <c r="BJ25" i="42"/>
  <c r="BH25" i="42"/>
  <c r="BF25" i="42"/>
  <c r="BD25" i="42"/>
  <c r="BB25" i="42"/>
  <c r="AZ25" i="42"/>
  <c r="AX25" i="42"/>
  <c r="AV25" i="42"/>
  <c r="AT25" i="42"/>
  <c r="AR25" i="42"/>
  <c r="AP25" i="42"/>
  <c r="AN25" i="42"/>
  <c r="AL25" i="42"/>
  <c r="AJ25" i="42"/>
  <c r="AH25" i="42"/>
  <c r="AF25" i="42"/>
  <c r="AD25" i="42"/>
  <c r="AB25" i="42"/>
  <c r="Z25" i="42"/>
  <c r="X25" i="42"/>
  <c r="V25" i="42"/>
  <c r="T25" i="42"/>
  <c r="R25" i="42"/>
  <c r="P25" i="42"/>
  <c r="N25" i="42"/>
  <c r="L25" i="42"/>
  <c r="J25" i="42"/>
  <c r="H25" i="42"/>
  <c r="F25" i="42"/>
  <c r="CN19" i="42"/>
  <c r="BL19" i="42"/>
  <c r="BJ19" i="42"/>
  <c r="BH19" i="42"/>
  <c r="BF19" i="42"/>
  <c r="BD19" i="42"/>
  <c r="BB19" i="42"/>
  <c r="AZ19" i="42"/>
  <c r="AX19" i="42"/>
  <c r="AV19" i="42"/>
  <c r="AT19" i="42"/>
  <c r="AR19" i="42"/>
  <c r="AP19" i="42"/>
  <c r="AN19" i="42"/>
  <c r="AL19" i="42"/>
  <c r="AJ19" i="42"/>
  <c r="AH19" i="42"/>
  <c r="AF19" i="42"/>
  <c r="AD19" i="42"/>
  <c r="AB19" i="42"/>
  <c r="Z19" i="42"/>
  <c r="X19" i="42"/>
  <c r="V19" i="42"/>
  <c r="T19" i="42"/>
  <c r="R19" i="42"/>
  <c r="P19" i="42"/>
  <c r="N19" i="42"/>
  <c r="L19" i="42"/>
  <c r="J19" i="42"/>
  <c r="H19" i="42"/>
  <c r="F19" i="42"/>
  <c r="CO15" i="42"/>
  <c r="BM15" i="42"/>
  <c r="BM19" i="42" s="1"/>
  <c r="BK15" i="42"/>
  <c r="BK19" i="42" s="1"/>
  <c r="BI15" i="42"/>
  <c r="BI19" i="42" s="1"/>
  <c r="BG15" i="42"/>
  <c r="BE15" i="42"/>
  <c r="BE19" i="42" s="1"/>
  <c r="BC15" i="42"/>
  <c r="BC19" i="42" s="1"/>
  <c r="BA15" i="42"/>
  <c r="BA19" i="42" s="1"/>
  <c r="AY15" i="42"/>
  <c r="AY19" i="42" s="1"/>
  <c r="AW15" i="42"/>
  <c r="AW19" i="42" s="1"/>
  <c r="AU15" i="42"/>
  <c r="AU19" i="42" s="1"/>
  <c r="AS15" i="42"/>
  <c r="AS19" i="42" s="1"/>
  <c r="AQ15" i="42"/>
  <c r="AQ19" i="42" s="1"/>
  <c r="AO15" i="42"/>
  <c r="AO19" i="42" s="1"/>
  <c r="AM15" i="42"/>
  <c r="AM19" i="42" s="1"/>
  <c r="AK15" i="42"/>
  <c r="AI15" i="42"/>
  <c r="AG15" i="42"/>
  <c r="AE15" i="42"/>
  <c r="AE19" i="42" s="1"/>
  <c r="AC15" i="42"/>
  <c r="AC19" i="42" s="1"/>
  <c r="AA15" i="42"/>
  <c r="Y15" i="42"/>
  <c r="Y19" i="42" s="1"/>
  <c r="W15" i="42"/>
  <c r="W19" i="42" s="1"/>
  <c r="U15" i="42"/>
  <c r="U19" i="42" s="1"/>
  <c r="S15" i="42"/>
  <c r="Q15" i="42"/>
  <c r="Q19" i="42" s="1"/>
  <c r="O15" i="42"/>
  <c r="O19" i="42" s="1"/>
  <c r="M15" i="42"/>
  <c r="M19" i="42" s="1"/>
  <c r="K15" i="42"/>
  <c r="K19" i="42" s="1"/>
  <c r="I15" i="42"/>
  <c r="I19" i="42" s="1"/>
  <c r="G15" i="42"/>
  <c r="G19" i="42" s="1"/>
  <c r="CN9" i="42"/>
  <c r="BL9" i="42"/>
  <c r="BJ9" i="42"/>
  <c r="BH9" i="42"/>
  <c r="BF9" i="42"/>
  <c r="BD9" i="42"/>
  <c r="BB9" i="42"/>
  <c r="AZ9" i="42"/>
  <c r="AX9" i="42"/>
  <c r="AV9" i="42"/>
  <c r="AT9" i="42"/>
  <c r="AR9" i="42"/>
  <c r="AP9" i="42"/>
  <c r="AN9" i="42"/>
  <c r="AL9" i="42"/>
  <c r="AJ9" i="42"/>
  <c r="AH9" i="42"/>
  <c r="AF9" i="42"/>
  <c r="AD9" i="42"/>
  <c r="X9" i="42"/>
  <c r="R9" i="42"/>
  <c r="L9" i="42"/>
  <c r="F9" i="42"/>
  <c r="CN2" i="42"/>
  <c r="CN10" i="42" s="1"/>
  <c r="BL2" i="42"/>
  <c r="BL10" i="42" s="1"/>
  <c r="BL16" i="42" s="1"/>
  <c r="BL20" i="42" s="1"/>
  <c r="BJ2" i="42"/>
  <c r="BJ10" i="42" s="1"/>
  <c r="BH2" i="42"/>
  <c r="BH10" i="42" s="1"/>
  <c r="BI10" i="42" s="1"/>
  <c r="BF2" i="42"/>
  <c r="BF10" i="42" s="1"/>
  <c r="BG10" i="42" s="1"/>
  <c r="BD2" i="42"/>
  <c r="BD10" i="42" s="1"/>
  <c r="BD16" i="42" s="1"/>
  <c r="BD20" i="42" s="1"/>
  <c r="BD24" i="42" s="1"/>
  <c r="BD23" i="42" s="1"/>
  <c r="BB2" i="42"/>
  <c r="BB10" i="42" s="1"/>
  <c r="AZ2" i="42"/>
  <c r="AZ10" i="42" s="1"/>
  <c r="AZ16" i="42" s="1"/>
  <c r="AZ20" i="42" s="1"/>
  <c r="AZ24" i="42" s="1"/>
  <c r="AZ23" i="42" s="1"/>
  <c r="AX2" i="42"/>
  <c r="AX10" i="42" s="1"/>
  <c r="AV2" i="42"/>
  <c r="AV10" i="42" s="1"/>
  <c r="AV16" i="42" s="1"/>
  <c r="AV20" i="42" s="1"/>
  <c r="AV24" i="42" s="1"/>
  <c r="AV23" i="42" s="1"/>
  <c r="AT2" i="42"/>
  <c r="AT10" i="42" s="1"/>
  <c r="AT16" i="42" s="1"/>
  <c r="AT20" i="42" s="1"/>
  <c r="AT24" i="42" s="1"/>
  <c r="AT23" i="42" s="1"/>
  <c r="AR2" i="42"/>
  <c r="AR10" i="42" s="1"/>
  <c r="AR16" i="42" s="1"/>
  <c r="AR20" i="42" s="1"/>
  <c r="AR24" i="42" s="1"/>
  <c r="AR23" i="42" s="1"/>
  <c r="AP2" i="42"/>
  <c r="AP10" i="42" s="1"/>
  <c r="AQ10" i="42" s="1"/>
  <c r="AN2" i="42"/>
  <c r="AN10" i="42" s="1"/>
  <c r="AO10" i="42" s="1"/>
  <c r="AL2" i="42"/>
  <c r="AL10" i="42" s="1"/>
  <c r="AM10" i="42" s="1"/>
  <c r="AM129" i="42" s="1"/>
  <c r="AJ2" i="42"/>
  <c r="AJ10" i="42" s="1"/>
  <c r="AJ16" i="42" s="1"/>
  <c r="AJ20" i="42" s="1"/>
  <c r="AJ24" i="42" s="1"/>
  <c r="AJ23" i="42" s="1"/>
  <c r="AH2" i="42"/>
  <c r="AH10" i="42" s="1"/>
  <c r="AF2" i="42"/>
  <c r="AF10" i="42" s="1"/>
  <c r="AF16" i="42" s="1"/>
  <c r="AF20" i="42" s="1"/>
  <c r="AF24" i="42" s="1"/>
  <c r="AF23" i="42" s="1"/>
  <c r="AD2" i="42"/>
  <c r="AD10" i="42" s="1"/>
  <c r="AB2" i="42"/>
  <c r="AB10" i="42" s="1"/>
  <c r="AC10" i="42" s="1"/>
  <c r="Z2" i="42"/>
  <c r="Z10" i="42" s="1"/>
  <c r="AA10" i="42" s="1"/>
  <c r="X2" i="42"/>
  <c r="X10" i="42" s="1"/>
  <c r="V2" i="42"/>
  <c r="V10" i="42" s="1"/>
  <c r="T2" i="42"/>
  <c r="T10" i="42" s="1"/>
  <c r="U10" i="42" s="1"/>
  <c r="U69" i="42" s="1"/>
  <c r="R2" i="42"/>
  <c r="R10" i="42" s="1"/>
  <c r="S10" i="42" s="1"/>
  <c r="S69" i="42" s="1"/>
  <c r="P2" i="42"/>
  <c r="P10" i="42" s="1"/>
  <c r="P16" i="42" s="1"/>
  <c r="P20" i="42" s="1"/>
  <c r="P24" i="42" s="1"/>
  <c r="P23" i="42" s="1"/>
  <c r="N2" i="42"/>
  <c r="N10" i="42" s="1"/>
  <c r="N16" i="42" s="1"/>
  <c r="N20" i="42" s="1"/>
  <c r="N24" i="42" s="1"/>
  <c r="N23" i="42" s="1"/>
  <c r="L2" i="42"/>
  <c r="L10" i="42" s="1"/>
  <c r="L16" i="42" s="1"/>
  <c r="L20" i="42" s="1"/>
  <c r="L24" i="42" s="1"/>
  <c r="L23" i="42" s="1"/>
  <c r="J2" i="42"/>
  <c r="J10" i="42" s="1"/>
  <c r="J16" i="42" s="1"/>
  <c r="J20" i="42" s="1"/>
  <c r="J24" i="42" s="1"/>
  <c r="J23" i="42" s="1"/>
  <c r="H2" i="42"/>
  <c r="H10" i="42" s="1"/>
  <c r="H16" i="42" s="1"/>
  <c r="H20" i="42" s="1"/>
  <c r="H24" i="42" s="1"/>
  <c r="H23" i="42" s="1"/>
  <c r="F2" i="42"/>
  <c r="F10" i="42" s="1"/>
  <c r="N30" i="42" l="1"/>
  <c r="N29" i="42" s="1"/>
  <c r="AA83" i="42"/>
  <c r="U30" i="42"/>
  <c r="U29" i="42" s="1"/>
  <c r="P9" i="42"/>
  <c r="I123" i="42"/>
  <c r="BA52" i="42"/>
  <c r="M10" i="42"/>
  <c r="Q10" i="42"/>
  <c r="U96" i="42"/>
  <c r="AO25" i="42"/>
  <c r="U71" i="42"/>
  <c r="S81" i="42"/>
  <c r="BA121" i="42"/>
  <c r="J31" i="42"/>
  <c r="AK82" i="42"/>
  <c r="AM82" i="42"/>
  <c r="BA65" i="42"/>
  <c r="BA59" i="42" s="1"/>
  <c r="AQ82" i="42"/>
  <c r="U123" i="42"/>
  <c r="AS82" i="42"/>
  <c r="I30" i="42"/>
  <c r="I29" i="42" s="1"/>
  <c r="BF42" i="42"/>
  <c r="J30" i="42"/>
  <c r="J29" i="42" s="1"/>
  <c r="AD31" i="42"/>
  <c r="M96" i="42"/>
  <c r="AE25" i="42"/>
  <c r="AY96" i="42"/>
  <c r="U119" i="42"/>
  <c r="AL30" i="42"/>
  <c r="AL29" i="42" s="1"/>
  <c r="Y42" i="42"/>
  <c r="I105" i="42"/>
  <c r="Q141" i="42"/>
  <c r="AI25" i="42"/>
  <c r="AH31" i="42"/>
  <c r="Z42" i="42"/>
  <c r="AA119" i="42"/>
  <c r="BA122" i="42"/>
  <c r="CN42" i="42"/>
  <c r="R16" i="42"/>
  <c r="R20" i="42" s="1"/>
  <c r="R24" i="42" s="1"/>
  <c r="R23" i="42" s="1"/>
  <c r="U105" i="42"/>
  <c r="AX31" i="42"/>
  <c r="BA25" i="42"/>
  <c r="AX30" i="42"/>
  <c r="AX29" i="42" s="1"/>
  <c r="AU82" i="42"/>
  <c r="S30" i="42"/>
  <c r="S29" i="42" s="1"/>
  <c r="G82" i="42"/>
  <c r="BB31" i="42"/>
  <c r="Y25" i="42"/>
  <c r="AY30" i="42"/>
  <c r="AY29" i="42" s="1"/>
  <c r="BF31" i="42"/>
  <c r="AA52" i="42"/>
  <c r="AW82" i="42"/>
  <c r="AW25" i="42"/>
  <c r="BL24" i="42"/>
  <c r="BL23" i="42" s="1"/>
  <c r="BB30" i="42"/>
  <c r="BB29" i="42" s="1"/>
  <c r="AC52" i="42"/>
  <c r="BG16" i="42"/>
  <c r="BG20" i="42" s="1"/>
  <c r="BG24" i="42" s="1"/>
  <c r="BG23" i="42" s="1"/>
  <c r="BD30" i="42"/>
  <c r="BD29" i="42" s="1"/>
  <c r="AV30" i="42"/>
  <c r="AV29" i="42" s="1"/>
  <c r="U62" i="42"/>
  <c r="AC25" i="42"/>
  <c r="AE86" i="42"/>
  <c r="AE89" i="42" s="1"/>
  <c r="AE90" i="42" s="1"/>
  <c r="U106" i="42"/>
  <c r="I121" i="42"/>
  <c r="AS72" i="42"/>
  <c r="AS71" i="42" s="1"/>
  <c r="I96" i="42"/>
  <c r="AY117" i="42"/>
  <c r="AY116" i="42" s="1"/>
  <c r="AY114" i="42" s="1"/>
  <c r="AY115" i="42" s="1"/>
  <c r="AK10" i="42"/>
  <c r="AK77" i="42" s="1"/>
  <c r="AK76" i="42" s="1"/>
  <c r="J9" i="42"/>
  <c r="W66" i="42"/>
  <c r="W121" i="42" s="1"/>
  <c r="BD31" i="42"/>
  <c r="H30" i="42"/>
  <c r="H29" i="42" s="1"/>
  <c r="Q83" i="42"/>
  <c r="Q84" i="42" s="1"/>
  <c r="BA106" i="42"/>
  <c r="AA84" i="42"/>
  <c r="AA86" i="42"/>
  <c r="AA89" i="42" s="1"/>
  <c r="G108" i="42"/>
  <c r="G109" i="42" s="1"/>
  <c r="G111" i="42"/>
  <c r="G112" i="42" s="1"/>
  <c r="G56" i="42"/>
  <c r="G50" i="42" s="1"/>
  <c r="F8" i="42"/>
  <c r="BC25" i="42"/>
  <c r="BC30" i="42"/>
  <c r="BC29" i="42" s="1"/>
  <c r="W63" i="42"/>
  <c r="V9" i="42"/>
  <c r="W10" i="42"/>
  <c r="W75" i="42" s="1"/>
  <c r="V16" i="42"/>
  <c r="V20" i="42" s="1"/>
  <c r="V24" i="42" s="1"/>
  <c r="V23" i="42" s="1"/>
  <c r="BJ16" i="42"/>
  <c r="BJ20" i="42" s="1"/>
  <c r="BJ24" i="42" s="1"/>
  <c r="BJ23" i="42" s="1"/>
  <c r="BK10" i="42"/>
  <c r="BK126" i="42" s="1"/>
  <c r="AC81" i="42"/>
  <c r="AC69" i="42"/>
  <c r="W120" i="42"/>
  <c r="W106" i="42"/>
  <c r="AO30" i="42"/>
  <c r="AO29" i="42" s="1"/>
  <c r="S31" i="42"/>
  <c r="S42" i="42"/>
  <c r="T42" i="42"/>
  <c r="T31" i="42"/>
  <c r="T30" i="42"/>
  <c r="T29" i="42" s="1"/>
  <c r="BH42" i="42"/>
  <c r="BH31" i="42"/>
  <c r="BH30" i="42"/>
  <c r="BH29" i="42" s="1"/>
  <c r="AI82" i="42"/>
  <c r="AI83" i="42"/>
  <c r="AK86" i="42"/>
  <c r="AK84" i="42"/>
  <c r="O25" i="42"/>
  <c r="BL42" i="42"/>
  <c r="BL31" i="42"/>
  <c r="AA63" i="42"/>
  <c r="Z9" i="42"/>
  <c r="AC63" i="42"/>
  <c r="AB9" i="42"/>
  <c r="BG19" i="42"/>
  <c r="AY60" i="42"/>
  <c r="AY56" i="42" s="1"/>
  <c r="AY59" i="42"/>
  <c r="I10" i="42"/>
  <c r="I16" i="42" s="1"/>
  <c r="I20" i="42" s="1"/>
  <c r="I24" i="42" s="1"/>
  <c r="I23" i="42" s="1"/>
  <c r="AJ42" i="42"/>
  <c r="AJ31" i="42"/>
  <c r="S96" i="42"/>
  <c r="S141" i="42"/>
  <c r="S16" i="42"/>
  <c r="S20" i="42" s="1"/>
  <c r="S24" i="42" s="1"/>
  <c r="S23" i="42" s="1"/>
  <c r="S19" i="42"/>
  <c r="U63" i="42"/>
  <c r="T9" i="42"/>
  <c r="F16" i="42"/>
  <c r="F20" i="42" s="1"/>
  <c r="F24" i="42" s="1"/>
  <c r="F23" i="42" s="1"/>
  <c r="G10" i="42"/>
  <c r="G81" i="42" s="1"/>
  <c r="BG30" i="42"/>
  <c r="BG29" i="42" s="1"/>
  <c r="BA105" i="42"/>
  <c r="BI25" i="42"/>
  <c r="CN30" i="42"/>
  <c r="CN29" i="42" s="1"/>
  <c r="Z30" i="42"/>
  <c r="Z29" i="42" s="1"/>
  <c r="I122" i="42"/>
  <c r="AB16" i="42"/>
  <c r="AB20" i="42" s="1"/>
  <c r="AB24" i="42" s="1"/>
  <c r="AB23" i="42" s="1"/>
  <c r="BF16" i="42"/>
  <c r="BF20" i="42" s="1"/>
  <c r="BF24" i="42" s="1"/>
  <c r="BF23" i="42" s="1"/>
  <c r="M59" i="42"/>
  <c r="AA123" i="42"/>
  <c r="AE82" i="42"/>
  <c r="U122" i="42"/>
  <c r="BE30" i="42"/>
  <c r="BE29" i="42" s="1"/>
  <c r="BC66" i="42"/>
  <c r="BC119" i="42" s="1"/>
  <c r="I65" i="42"/>
  <c r="I60" i="42" s="1"/>
  <c r="I108" i="42" s="1"/>
  <c r="I109" i="42" s="1"/>
  <c r="BK30" i="42"/>
  <c r="BK29" i="42" s="1"/>
  <c r="W83" i="42"/>
  <c r="W86" i="42" s="1"/>
  <c r="W89" i="42" s="1"/>
  <c r="Z16" i="42"/>
  <c r="Z20" i="42" s="1"/>
  <c r="Z24" i="42" s="1"/>
  <c r="Z23" i="42" s="1"/>
  <c r="BL30" i="42"/>
  <c r="BL29" i="42" s="1"/>
  <c r="G59" i="42"/>
  <c r="AD30" i="42"/>
  <c r="AD29" i="42" s="1"/>
  <c r="I62" i="42"/>
  <c r="U65" i="42"/>
  <c r="U60" i="42" s="1"/>
  <c r="U108" i="42" s="1"/>
  <c r="U109" i="42" s="1"/>
  <c r="AO77" i="42"/>
  <c r="AO76" i="42" s="1"/>
  <c r="CN25" i="42"/>
  <c r="U52" i="42"/>
  <c r="S59" i="42"/>
  <c r="AC123" i="42"/>
  <c r="BA120" i="42"/>
  <c r="Q30" i="42"/>
  <c r="Q29" i="42" s="1"/>
  <c r="U75" i="42"/>
  <c r="G141" i="42"/>
  <c r="AC16" i="42"/>
  <c r="AC20" i="42" s="1"/>
  <c r="AC24" i="42" s="1"/>
  <c r="AC23" i="42" s="1"/>
  <c r="BA96" i="42"/>
  <c r="G96" i="42"/>
  <c r="CM83" i="15"/>
  <c r="CM82" i="15"/>
  <c r="CM81" i="15"/>
  <c r="CM54" i="15"/>
  <c r="CM49" i="15" s="1"/>
  <c r="CM83" i="13"/>
  <c r="CM81" i="13"/>
  <c r="CM82" i="13"/>
  <c r="CM47" i="13"/>
  <c r="CM43" i="13"/>
  <c r="AQ129" i="42"/>
  <c r="AQ81" i="42"/>
  <c r="AQ69" i="42"/>
  <c r="AQ75" i="42"/>
  <c r="AQ132" i="42"/>
  <c r="AQ126" i="42"/>
  <c r="CO137" i="42"/>
  <c r="AH16" i="42"/>
  <c r="AH20" i="42" s="1"/>
  <c r="AH24" i="42" s="1"/>
  <c r="AH23" i="42" s="1"/>
  <c r="AI10" i="42"/>
  <c r="AI16" i="42" s="1"/>
  <c r="AI20" i="42" s="1"/>
  <c r="AI24" i="42" s="1"/>
  <c r="AI23" i="42" s="1"/>
  <c r="BB16" i="42"/>
  <c r="BB20" i="42" s="1"/>
  <c r="BB24" i="42" s="1"/>
  <c r="BB23" i="42" s="1"/>
  <c r="BC10" i="42"/>
  <c r="BC16" i="42" s="1"/>
  <c r="BC20" i="42" s="1"/>
  <c r="BC24" i="42" s="1"/>
  <c r="BC23" i="42" s="1"/>
  <c r="CN20" i="42"/>
  <c r="CN24" i="42" s="1"/>
  <c r="CN23" i="42" s="1"/>
  <c r="CO10" i="42"/>
  <c r="AD16" i="42"/>
  <c r="AD20" i="42" s="1"/>
  <c r="AD24" i="42" s="1"/>
  <c r="AD23" i="42" s="1"/>
  <c r="AE10" i="42"/>
  <c r="AE16" i="42" s="1"/>
  <c r="AE20" i="42" s="1"/>
  <c r="AE24" i="42" s="1"/>
  <c r="AE23" i="42" s="1"/>
  <c r="AY10" i="42"/>
  <c r="AY81" i="42" s="1"/>
  <c r="AX16" i="42"/>
  <c r="AX20" i="42" s="1"/>
  <c r="AX24" i="42" s="1"/>
  <c r="AX23" i="42" s="1"/>
  <c r="X16" i="42"/>
  <c r="X20" i="42" s="1"/>
  <c r="X24" i="42" s="1"/>
  <c r="X23" i="42" s="1"/>
  <c r="Y10" i="42"/>
  <c r="Y81" i="42" s="1"/>
  <c r="AA126" i="42"/>
  <c r="AA127" i="42" s="1"/>
  <c r="AA129" i="42"/>
  <c r="AA130" i="42" s="1"/>
  <c r="AA77" i="42"/>
  <c r="AA76" i="42" s="1"/>
  <c r="AA75" i="42"/>
  <c r="AA69" i="42"/>
  <c r="AA81" i="42"/>
  <c r="U132" i="42"/>
  <c r="U133" i="42" s="1"/>
  <c r="U129" i="42"/>
  <c r="U130" i="42" s="1"/>
  <c r="U126" i="42"/>
  <c r="U127" i="42" s="1"/>
  <c r="AM69" i="42"/>
  <c r="CO72" i="42"/>
  <c r="W16" i="42"/>
  <c r="W20" i="42" s="1"/>
  <c r="W24" i="42" s="1"/>
  <c r="W23" i="42" s="1"/>
  <c r="BI74" i="42"/>
  <c r="BI132" i="42"/>
  <c r="BI129" i="42"/>
  <c r="BI126" i="42"/>
  <c r="BI69" i="42"/>
  <c r="BI76" i="42"/>
  <c r="BA10" i="42"/>
  <c r="BA16" i="42" s="1"/>
  <c r="BA20" i="42" s="1"/>
  <c r="BA24" i="42" s="1"/>
  <c r="BA23" i="42" s="1"/>
  <c r="AM30" i="42"/>
  <c r="AM29" i="42" s="1"/>
  <c r="AM25" i="42"/>
  <c r="BE10" i="42"/>
  <c r="AQ25" i="42"/>
  <c r="AQ30" i="42"/>
  <c r="AQ29" i="42" s="1"/>
  <c r="AH30" i="42"/>
  <c r="AH29" i="42" s="1"/>
  <c r="Q71" i="42"/>
  <c r="AU86" i="42"/>
  <c r="AU84" i="42"/>
  <c r="AS10" i="42"/>
  <c r="AS16" i="42" s="1"/>
  <c r="AS20" i="42" s="1"/>
  <c r="AS24" i="42" s="1"/>
  <c r="AS23" i="42" s="1"/>
  <c r="AP16" i="42"/>
  <c r="AP20" i="42" s="1"/>
  <c r="AP24" i="42" s="1"/>
  <c r="AP23" i="42" s="1"/>
  <c r="AC75" i="42"/>
  <c r="AC126" i="42"/>
  <c r="AC127" i="42" s="1"/>
  <c r="AC129" i="42"/>
  <c r="AC130" i="42" s="1"/>
  <c r="AC77" i="42"/>
  <c r="AC76" i="42" s="1"/>
  <c r="BH16" i="42"/>
  <c r="BH20" i="42" s="1"/>
  <c r="BH24" i="42" s="1"/>
  <c r="BH23" i="42" s="1"/>
  <c r="AO81" i="42"/>
  <c r="AO83" i="42"/>
  <c r="BM10" i="42"/>
  <c r="AA16" i="42"/>
  <c r="AA20" i="42" s="1"/>
  <c r="AA24" i="42" s="1"/>
  <c r="AA23" i="42" s="1"/>
  <c r="AA19" i="42"/>
  <c r="CO19" i="42"/>
  <c r="AK30" i="42"/>
  <c r="AK29" i="42" s="1"/>
  <c r="M42" i="42"/>
  <c r="CO59" i="42"/>
  <c r="M84" i="42"/>
  <c r="M89" i="42"/>
  <c r="AM77" i="42"/>
  <c r="AM76" i="42" s="1"/>
  <c r="AM75" i="42"/>
  <c r="AM126" i="42"/>
  <c r="BI16" i="42"/>
  <c r="BI20" i="42" s="1"/>
  <c r="BI24" i="42" s="1"/>
  <c r="BI23" i="42" s="1"/>
  <c r="AF30" i="42"/>
  <c r="AF29" i="42" s="1"/>
  <c r="AF42" i="42"/>
  <c r="AG10" i="42"/>
  <c r="AG16" i="42" s="1"/>
  <c r="AG20" i="42" s="1"/>
  <c r="AG24" i="42" s="1"/>
  <c r="AG23" i="42" s="1"/>
  <c r="Y111" i="42"/>
  <c r="Y112" i="42" s="1"/>
  <c r="Y108" i="42"/>
  <c r="Y109" i="42" s="1"/>
  <c r="Y56" i="42"/>
  <c r="Y53" i="42" s="1"/>
  <c r="AQ77" i="42"/>
  <c r="AQ76" i="42" s="1"/>
  <c r="M132" i="42"/>
  <c r="M133" i="42" s="1"/>
  <c r="N31" i="42"/>
  <c r="AW86" i="42"/>
  <c r="AW84" i="42"/>
  <c r="K30" i="42"/>
  <c r="K29" i="42" s="1"/>
  <c r="M30" i="42"/>
  <c r="M29" i="42" s="1"/>
  <c r="AN30" i="42"/>
  <c r="AN29" i="42" s="1"/>
  <c r="AL31" i="42"/>
  <c r="AO82" i="42"/>
  <c r="AL16" i="42"/>
  <c r="AL20" i="42" s="1"/>
  <c r="AL24" i="42" s="1"/>
  <c r="AL23" i="42" s="1"/>
  <c r="AN31" i="42"/>
  <c r="AK75" i="42"/>
  <c r="AM16" i="42"/>
  <c r="AM20" i="42" s="1"/>
  <c r="AM24" i="42" s="1"/>
  <c r="AM23" i="42" s="1"/>
  <c r="AP31" i="42"/>
  <c r="AP42" i="42"/>
  <c r="U77" i="42"/>
  <c r="U76" i="42" s="1"/>
  <c r="U80" i="42"/>
  <c r="AK19" i="42"/>
  <c r="AN16" i="42"/>
  <c r="AN20" i="42" s="1"/>
  <c r="AN24" i="42" s="1"/>
  <c r="AN23" i="42" s="1"/>
  <c r="AR30" i="42"/>
  <c r="AR29" i="42" s="1"/>
  <c r="AR31" i="42"/>
  <c r="AR42" i="42"/>
  <c r="M108" i="42"/>
  <c r="M109" i="42" s="1"/>
  <c r="M111" i="42"/>
  <c r="M112" i="42" s="1"/>
  <c r="M56" i="42"/>
  <c r="L8" i="42"/>
  <c r="AO129" i="42"/>
  <c r="AO75" i="42"/>
  <c r="AO132" i="42"/>
  <c r="AO126" i="42"/>
  <c r="AO69" i="42"/>
  <c r="CO56" i="42"/>
  <c r="AQ16" i="42"/>
  <c r="AQ20" i="42" s="1"/>
  <c r="AQ24" i="42" s="1"/>
  <c r="AQ23" i="42" s="1"/>
  <c r="O63" i="42"/>
  <c r="O83" i="42"/>
  <c r="G42" i="42"/>
  <c r="AZ30" i="42"/>
  <c r="AZ29" i="42" s="1"/>
  <c r="AZ42" i="42"/>
  <c r="N9" i="42"/>
  <c r="AT31" i="42"/>
  <c r="AT30" i="42"/>
  <c r="AT29" i="42" s="1"/>
  <c r="O10" i="42"/>
  <c r="O16" i="42" s="1"/>
  <c r="O20" i="42" s="1"/>
  <c r="O24" i="42" s="1"/>
  <c r="O23" i="42" s="1"/>
  <c r="AO16" i="42"/>
  <c r="AO20" i="42" s="1"/>
  <c r="AO24" i="42" s="1"/>
  <c r="AO23" i="42" s="1"/>
  <c r="I63" i="42"/>
  <c r="I83" i="42"/>
  <c r="H9" i="42"/>
  <c r="K10" i="42"/>
  <c r="K132" i="42" s="1"/>
  <c r="M129" i="42"/>
  <c r="M130" i="42" s="1"/>
  <c r="M142" i="42" s="1"/>
  <c r="M69" i="42"/>
  <c r="M75" i="42"/>
  <c r="AU10" i="42"/>
  <c r="AU16" i="42" s="1"/>
  <c r="AU20" i="42" s="1"/>
  <c r="AU24" i="42" s="1"/>
  <c r="AU23" i="42" s="1"/>
  <c r="Q129" i="42"/>
  <c r="Q69" i="42"/>
  <c r="Q75" i="42"/>
  <c r="Q16" i="42"/>
  <c r="Q20" i="42" s="1"/>
  <c r="Q24" i="42" s="1"/>
  <c r="Q23" i="42" s="1"/>
  <c r="AW10" i="42"/>
  <c r="AG19" i="42"/>
  <c r="AS25" i="42"/>
  <c r="M31" i="42"/>
  <c r="Q126" i="42"/>
  <c r="T16" i="42"/>
  <c r="T20" i="42" s="1"/>
  <c r="T24" i="42" s="1"/>
  <c r="T23" i="42" s="1"/>
  <c r="AG30" i="42"/>
  <c r="AG29" i="42" s="1"/>
  <c r="AG25" i="42"/>
  <c r="AM81" i="42"/>
  <c r="W141" i="42"/>
  <c r="W96" i="42"/>
  <c r="S129" i="42"/>
  <c r="S130" i="42" s="1"/>
  <c r="S75" i="42"/>
  <c r="BG126" i="42"/>
  <c r="BG132" i="42"/>
  <c r="BG129" i="42"/>
  <c r="BG74" i="42"/>
  <c r="BG69" i="42"/>
  <c r="BG76" i="42"/>
  <c r="M16" i="42"/>
  <c r="M20" i="42" s="1"/>
  <c r="M24" i="42" s="1"/>
  <c r="M23" i="42" s="1"/>
  <c r="U16" i="42"/>
  <c r="U20" i="42" s="1"/>
  <c r="U24" i="42" s="1"/>
  <c r="U23" i="42" s="1"/>
  <c r="AI19" i="42"/>
  <c r="P31" i="42"/>
  <c r="O121" i="42"/>
  <c r="O105" i="42"/>
  <c r="O96" i="42"/>
  <c r="O62" i="42"/>
  <c r="O65" i="42"/>
  <c r="O60" i="42" s="1"/>
  <c r="O119" i="42"/>
  <c r="O120" i="42"/>
  <c r="Q66" i="42"/>
  <c r="Q123" i="42" s="1"/>
  <c r="O106" i="42"/>
  <c r="O52" i="42"/>
  <c r="O122" i="42"/>
  <c r="Y141" i="42"/>
  <c r="Y96" i="42"/>
  <c r="BM141" i="42"/>
  <c r="G86" i="42"/>
  <c r="G84" i="42"/>
  <c r="AA141" i="42"/>
  <c r="AA96" i="42"/>
  <c r="CO141" i="42"/>
  <c r="CO96" i="42"/>
  <c r="AA122" i="42"/>
  <c r="AA106" i="42"/>
  <c r="AA120" i="42"/>
  <c r="AA121" i="42"/>
  <c r="AA105" i="42"/>
  <c r="AA62" i="42"/>
  <c r="AA65" i="42"/>
  <c r="AA60" i="42" s="1"/>
  <c r="AC141" i="42"/>
  <c r="AC96" i="42"/>
  <c r="AC122" i="42"/>
  <c r="AC106" i="42"/>
  <c r="AC121" i="42"/>
  <c r="AC62" i="42"/>
  <c r="AC65" i="42"/>
  <c r="AC60" i="42" s="1"/>
  <c r="AC119" i="42"/>
  <c r="V31" i="42"/>
  <c r="V42" i="42"/>
  <c r="BJ31" i="42"/>
  <c r="BJ42" i="42"/>
  <c r="AE66" i="42"/>
  <c r="AE105" i="42" s="1"/>
  <c r="K82" i="42"/>
  <c r="K83" i="42"/>
  <c r="AY82" i="42"/>
  <c r="AY83" i="42"/>
  <c r="G117" i="42"/>
  <c r="G116" i="42" s="1"/>
  <c r="G114" i="42" s="1"/>
  <c r="G115" i="42" s="1"/>
  <c r="Y59" i="42"/>
  <c r="M123" i="42"/>
  <c r="M117" i="42" s="1"/>
  <c r="M116" i="42" s="1"/>
  <c r="M114" i="42" s="1"/>
  <c r="M115" i="42" s="1"/>
  <c r="M77" i="42"/>
  <c r="M76" i="42" s="1"/>
  <c r="M82" i="42"/>
  <c r="M81" i="42"/>
  <c r="BA82" i="42"/>
  <c r="BA83" i="42"/>
  <c r="W30" i="42"/>
  <c r="W29" i="42" s="1"/>
  <c r="O123" i="42"/>
  <c r="AB42" i="42"/>
  <c r="AB30" i="42"/>
  <c r="AB29" i="42" s="1"/>
  <c r="Q82" i="42"/>
  <c r="Q81" i="42"/>
  <c r="AA25" i="42"/>
  <c r="AA30" i="42"/>
  <c r="AA29" i="42" s="1"/>
  <c r="S77" i="42"/>
  <c r="S76" i="42" s="1"/>
  <c r="S89" i="42"/>
  <c r="S87" i="42"/>
  <c r="S82" i="42"/>
  <c r="S123" i="42"/>
  <c r="S117" i="42" s="1"/>
  <c r="S116" i="42" s="1"/>
  <c r="S114" i="42" s="1"/>
  <c r="S115" i="42" s="1"/>
  <c r="AM132" i="42"/>
  <c r="AM86" i="42"/>
  <c r="AM84" i="42"/>
  <c r="W123" i="42"/>
  <c r="W82" i="42"/>
  <c r="AQ86" i="42"/>
  <c r="AQ84" i="42"/>
  <c r="AS84" i="42"/>
  <c r="Q132" i="42"/>
  <c r="G25" i="42"/>
  <c r="G30" i="42"/>
  <c r="G29" i="42" s="1"/>
  <c r="AU25" i="42"/>
  <c r="AU30" i="42"/>
  <c r="AU29" i="42" s="1"/>
  <c r="BJ30" i="42"/>
  <c r="BJ29" i="42" s="1"/>
  <c r="S84" i="42"/>
  <c r="S132" i="42"/>
  <c r="S133" i="42" s="1"/>
  <c r="BI141" i="42"/>
  <c r="Y83" i="42"/>
  <c r="Y82" i="42"/>
  <c r="AE141" i="42"/>
  <c r="Y123" i="42"/>
  <c r="Y117" i="42" s="1"/>
  <c r="Y116" i="42" s="1"/>
  <c r="Y114" i="42" s="1"/>
  <c r="Y115" i="42" s="1"/>
  <c r="S111" i="42"/>
  <c r="S112" i="42" s="1"/>
  <c r="S56" i="42"/>
  <c r="AC83" i="42"/>
  <c r="AC105" i="42"/>
  <c r="AA132" i="42"/>
  <c r="AA133" i="42" s="1"/>
  <c r="K66" i="42"/>
  <c r="K123" i="42" s="1"/>
  <c r="I120" i="42"/>
  <c r="I119" i="42"/>
  <c r="Q77" i="42"/>
  <c r="Q76" i="42" s="1"/>
  <c r="I106" i="42"/>
  <c r="AC132" i="42"/>
  <c r="AC133" i="42" s="1"/>
  <c r="U141" i="42"/>
  <c r="H42" i="42"/>
  <c r="AV42" i="42"/>
  <c r="S108" i="42"/>
  <c r="S109" i="42" s="1"/>
  <c r="AG83" i="42"/>
  <c r="U120" i="42"/>
  <c r="BA119" i="42"/>
  <c r="CO53" i="42" l="1"/>
  <c r="CO68" i="42"/>
  <c r="W105" i="42"/>
  <c r="W65" i="42"/>
  <c r="W60" i="42" s="1"/>
  <c r="W108" i="42" s="1"/>
  <c r="W109" i="42" s="1"/>
  <c r="W122" i="42"/>
  <c r="W119" i="42"/>
  <c r="W117" i="42" s="1"/>
  <c r="W116" i="42" s="1"/>
  <c r="W114" i="42" s="1"/>
  <c r="W115" i="42" s="1"/>
  <c r="U59" i="42"/>
  <c r="U117" i="42"/>
  <c r="U116" i="42" s="1"/>
  <c r="U114" i="42" s="1"/>
  <c r="U115" i="42" s="1"/>
  <c r="BA60" i="42"/>
  <c r="BA108" i="42" s="1"/>
  <c r="BA109" i="42" s="1"/>
  <c r="AK16" i="42"/>
  <c r="AK20" i="42" s="1"/>
  <c r="AK24" i="42" s="1"/>
  <c r="AK23" i="42" s="1"/>
  <c r="AS86" i="42"/>
  <c r="AS87" i="42" s="1"/>
  <c r="I111" i="42"/>
  <c r="I112" i="42" s="1"/>
  <c r="I59" i="42"/>
  <c r="AE87" i="42"/>
  <c r="AK69" i="42"/>
  <c r="AK126" i="42"/>
  <c r="AK132" i="42"/>
  <c r="W132" i="42"/>
  <c r="W133" i="42" s="1"/>
  <c r="W142" i="42" s="1"/>
  <c r="AK81" i="42"/>
  <c r="BK132" i="42"/>
  <c r="AK129" i="42"/>
  <c r="BV30" i="42"/>
  <c r="BV29" i="42" s="1"/>
  <c r="BK129" i="42"/>
  <c r="BK16" i="42"/>
  <c r="BK20" i="42" s="1"/>
  <c r="BK24" i="42" s="1"/>
  <c r="BK23" i="42" s="1"/>
  <c r="BC123" i="42"/>
  <c r="S142" i="42"/>
  <c r="BA81" i="42"/>
  <c r="BA117" i="42"/>
  <c r="BA116" i="42" s="1"/>
  <c r="BA114" i="42" s="1"/>
  <c r="BA115" i="42" s="1"/>
  <c r="AA87" i="42"/>
  <c r="K81" i="42"/>
  <c r="AS132" i="42"/>
  <c r="O81" i="42"/>
  <c r="O77" i="42"/>
  <c r="O76" i="42" s="1"/>
  <c r="AY108" i="42"/>
  <c r="AY109" i="42" s="1"/>
  <c r="G75" i="42"/>
  <c r="I81" i="42"/>
  <c r="G69" i="42"/>
  <c r="W87" i="42"/>
  <c r="G132" i="42"/>
  <c r="G133" i="42" s="1"/>
  <c r="AE93" i="42"/>
  <c r="AE94" i="42" s="1"/>
  <c r="Q86" i="42"/>
  <c r="Q87" i="42" s="1"/>
  <c r="W52" i="42"/>
  <c r="W62" i="42"/>
  <c r="W59" i="42" s="1"/>
  <c r="I75" i="42"/>
  <c r="I126" i="42"/>
  <c r="I127" i="42" s="1"/>
  <c r="G129" i="42"/>
  <c r="G130" i="42" s="1"/>
  <c r="G142" i="42" s="1"/>
  <c r="BK76" i="42"/>
  <c r="G53" i="42"/>
  <c r="G16" i="42"/>
  <c r="G20" i="42" s="1"/>
  <c r="G24" i="42" s="1"/>
  <c r="G23" i="42" s="1"/>
  <c r="I129" i="42"/>
  <c r="I130" i="42" s="1"/>
  <c r="W84" i="42"/>
  <c r="BK69" i="42"/>
  <c r="G77" i="42"/>
  <c r="G76" i="42" s="1"/>
  <c r="BK74" i="42"/>
  <c r="BK75" i="42" s="1"/>
  <c r="G68" i="42"/>
  <c r="K133" i="42"/>
  <c r="K142" i="42" s="1"/>
  <c r="AA117" i="42"/>
  <c r="AA116" i="42" s="1"/>
  <c r="AA114" i="42" s="1"/>
  <c r="AA115" i="42" s="1"/>
  <c r="BA111" i="42"/>
  <c r="BA112" i="42" s="1"/>
  <c r="AZ8" i="42"/>
  <c r="I69" i="42"/>
  <c r="I117" i="42"/>
  <c r="I116" i="42" s="1"/>
  <c r="I114" i="42" s="1"/>
  <c r="I115" i="42" s="1"/>
  <c r="O132" i="42"/>
  <c r="O133" i="42" s="1"/>
  <c r="O142" i="42" s="1"/>
  <c r="W129" i="42"/>
  <c r="W130" i="42" s="1"/>
  <c r="K16" i="42"/>
  <c r="K20" i="42" s="1"/>
  <c r="K24" i="42" s="1"/>
  <c r="K23" i="42" s="1"/>
  <c r="AC59" i="42"/>
  <c r="AK89" i="42"/>
  <c r="AK87" i="42"/>
  <c r="AU132" i="42"/>
  <c r="Q133" i="42"/>
  <c r="Q142" i="42" s="1"/>
  <c r="AC117" i="42"/>
  <c r="AC116" i="42" s="1"/>
  <c r="AC114" i="42" s="1"/>
  <c r="AC115" i="42" s="1"/>
  <c r="T8" i="42"/>
  <c r="U56" i="42"/>
  <c r="Q127" i="42"/>
  <c r="I77" i="42"/>
  <c r="I76" i="42" s="1"/>
  <c r="AY111" i="42"/>
  <c r="AY112" i="42" s="1"/>
  <c r="AX8" i="42"/>
  <c r="W81" i="42"/>
  <c r="BC121" i="42"/>
  <c r="BC52" i="42"/>
  <c r="BE66" i="42"/>
  <c r="BC106" i="42"/>
  <c r="BC122" i="42"/>
  <c r="Q130" i="42"/>
  <c r="AI84" i="42"/>
  <c r="AI86" i="42"/>
  <c r="BC120" i="42"/>
  <c r="BA56" i="42"/>
  <c r="BA68" i="42" s="1"/>
  <c r="U111" i="42"/>
  <c r="U112" i="42" s="1"/>
  <c r="W77" i="42"/>
  <c r="W76" i="42" s="1"/>
  <c r="W69" i="42"/>
  <c r="W111" i="42"/>
  <c r="W112" i="42" s="1"/>
  <c r="V8" i="42"/>
  <c r="W56" i="42"/>
  <c r="W126" i="42"/>
  <c r="W127" i="42" s="1"/>
  <c r="BC105" i="42"/>
  <c r="I56" i="42"/>
  <c r="H8" i="42"/>
  <c r="BC96" i="42"/>
  <c r="BC65" i="42"/>
  <c r="BC59" i="42" s="1"/>
  <c r="I132" i="42"/>
  <c r="I133" i="42" s="1"/>
  <c r="I142" i="42" s="1"/>
  <c r="U142" i="42"/>
  <c r="AC142" i="42"/>
  <c r="CL41" i="15"/>
  <c r="CM41" i="15"/>
  <c r="CL49" i="15"/>
  <c r="CL48" i="15" s="1"/>
  <c r="CM48" i="15"/>
  <c r="CM45" i="15"/>
  <c r="CL45" i="15"/>
  <c r="CM86" i="15"/>
  <c r="CM84" i="15"/>
  <c r="CM84" i="13"/>
  <c r="CM86" i="13"/>
  <c r="AY50" i="42"/>
  <c r="AY54" i="42" s="1"/>
  <c r="AY68" i="42"/>
  <c r="AY53" i="42"/>
  <c r="AW77" i="42"/>
  <c r="AW76" i="42" s="1"/>
  <c r="AW69" i="42"/>
  <c r="AW75" i="42"/>
  <c r="AW126" i="42"/>
  <c r="AW81" i="42"/>
  <c r="AW129" i="42"/>
  <c r="CO126" i="42"/>
  <c r="CO127" i="42" s="1"/>
  <c r="CO74" i="42"/>
  <c r="CO132" i="42"/>
  <c r="CO133" i="42" s="1"/>
  <c r="CO142" i="42" s="1"/>
  <c r="CO129" i="42"/>
  <c r="CO130" i="42" s="1"/>
  <c r="CO69" i="42"/>
  <c r="CO76" i="42"/>
  <c r="O86" i="42"/>
  <c r="O84" i="42"/>
  <c r="Y16" i="42"/>
  <c r="Y20" i="42" s="1"/>
  <c r="Y24" i="42" s="1"/>
  <c r="Y23" i="42" s="1"/>
  <c r="BE126" i="42"/>
  <c r="BE74" i="42"/>
  <c r="BE132" i="42"/>
  <c r="BE129" i="42"/>
  <c r="BE69" i="42"/>
  <c r="BE16" i="42"/>
  <c r="BE20" i="42" s="1"/>
  <c r="BE24" i="42" s="1"/>
  <c r="BE23" i="42" s="1"/>
  <c r="BE76" i="42"/>
  <c r="I86" i="42"/>
  <c r="I84" i="42"/>
  <c r="AA59" i="42"/>
  <c r="AE122" i="42"/>
  <c r="AE106" i="42"/>
  <c r="AG66" i="42"/>
  <c r="AE121" i="42"/>
  <c r="AE119" i="42"/>
  <c r="AE120" i="42"/>
  <c r="AE65" i="42"/>
  <c r="AE52" i="42"/>
  <c r="AE123" i="42"/>
  <c r="Q121" i="42"/>
  <c r="Q105" i="42"/>
  <c r="Q96" i="42"/>
  <c r="Q62" i="42"/>
  <c r="Q119" i="42"/>
  <c r="Q120" i="42"/>
  <c r="Q65" i="42"/>
  <c r="Q60" i="42" s="1"/>
  <c r="Q122" i="42"/>
  <c r="Q106" i="42"/>
  <c r="Q52" i="42"/>
  <c r="BG71" i="42"/>
  <c r="BG80" i="42"/>
  <c r="BG75" i="42"/>
  <c r="AS129" i="42"/>
  <c r="AS77" i="42"/>
  <c r="AS76" i="42" s="1"/>
  <c r="AS69" i="42"/>
  <c r="AS75" i="42"/>
  <c r="AS126" i="42"/>
  <c r="AS81" i="42"/>
  <c r="AG86" i="42"/>
  <c r="AG84" i="42"/>
  <c r="AC84" i="42"/>
  <c r="AC86" i="42"/>
  <c r="Y84" i="42"/>
  <c r="Y86" i="42"/>
  <c r="O117" i="42"/>
  <c r="O116" i="42" s="1"/>
  <c r="O114" i="42" s="1"/>
  <c r="O115" i="42" s="1"/>
  <c r="BM69" i="42"/>
  <c r="BM126" i="42"/>
  <c r="BM74" i="42"/>
  <c r="BM129" i="42"/>
  <c r="BM132" i="42"/>
  <c r="BM16" i="42"/>
  <c r="BM20" i="42" s="1"/>
  <c r="BM24" i="42" s="1"/>
  <c r="BM23" i="42" s="1"/>
  <c r="BM76" i="42"/>
  <c r="AY129" i="42"/>
  <c r="AY130" i="42" s="1"/>
  <c r="AY75" i="42"/>
  <c r="AY132" i="42"/>
  <c r="AY133" i="42" s="1"/>
  <c r="AY142" i="42" s="1"/>
  <c r="AY126" i="42"/>
  <c r="AY127" i="42" s="1"/>
  <c r="AY69" i="42"/>
  <c r="AY77" i="42"/>
  <c r="AY76" i="42" s="1"/>
  <c r="AA56" i="42"/>
  <c r="AA111" i="42"/>
  <c r="AA112" i="42" s="1"/>
  <c r="AA108" i="42"/>
  <c r="AA109" i="42" s="1"/>
  <c r="Z8" i="42"/>
  <c r="AW132" i="42"/>
  <c r="BA86" i="42"/>
  <c r="BA84" i="42"/>
  <c r="AE96" i="42"/>
  <c r="Y68" i="42"/>
  <c r="Y50" i="42"/>
  <c r="Y54" i="42" s="1"/>
  <c r="AO84" i="42"/>
  <c r="AO86" i="42"/>
  <c r="BA126" i="42"/>
  <c r="BA127" i="42" s="1"/>
  <c r="BA129" i="42"/>
  <c r="BA130" i="42" s="1"/>
  <c r="BA77" i="42"/>
  <c r="BA76" i="42" s="1"/>
  <c r="BA69" i="42"/>
  <c r="BA132" i="42"/>
  <c r="BA133" i="42" s="1"/>
  <c r="BA142" i="42" s="1"/>
  <c r="BA75" i="42"/>
  <c r="AQ89" i="42"/>
  <c r="AQ87" i="42"/>
  <c r="AC111" i="42"/>
  <c r="AC112" i="42" s="1"/>
  <c r="AC108" i="42"/>
  <c r="AC109" i="42" s="1"/>
  <c r="AC56" i="42"/>
  <c r="AB8" i="42"/>
  <c r="O59" i="42"/>
  <c r="G54" i="42"/>
  <c r="F41" i="42" s="1"/>
  <c r="K84" i="42"/>
  <c r="K86" i="42"/>
  <c r="AY16" i="42"/>
  <c r="AY20" i="42" s="1"/>
  <c r="AY24" i="42" s="1"/>
  <c r="AY23" i="42" s="1"/>
  <c r="K120" i="42"/>
  <c r="K119" i="42"/>
  <c r="K106" i="42"/>
  <c r="K52" i="42"/>
  <c r="K122" i="42"/>
  <c r="K96" i="42"/>
  <c r="K121" i="42"/>
  <c r="K105" i="42"/>
  <c r="K65" i="42"/>
  <c r="K60" i="42" s="1"/>
  <c r="K62" i="42"/>
  <c r="AI126" i="42"/>
  <c r="AI132" i="42"/>
  <c r="AI75" i="42"/>
  <c r="AI77" i="42"/>
  <c r="AI76" i="42" s="1"/>
  <c r="AI69" i="42"/>
  <c r="AI129" i="42"/>
  <c r="AI81" i="42"/>
  <c r="S68" i="42"/>
  <c r="S53" i="42"/>
  <c r="S50" i="42"/>
  <c r="S93" i="42"/>
  <c r="S90" i="42"/>
  <c r="CO50" i="42"/>
  <c r="AM87" i="42"/>
  <c r="AM89" i="42"/>
  <c r="AU129" i="42"/>
  <c r="AU81" i="42"/>
  <c r="AU126" i="42"/>
  <c r="AU69" i="42"/>
  <c r="AU75" i="42"/>
  <c r="AU77" i="42"/>
  <c r="AU76" i="42" s="1"/>
  <c r="AW16" i="42"/>
  <c r="AW20" i="42" s="1"/>
  <c r="AW24" i="42" s="1"/>
  <c r="AW23" i="42" s="1"/>
  <c r="BC126" i="42"/>
  <c r="BC127" i="42" s="1"/>
  <c r="BC74" i="42"/>
  <c r="BC76" i="42"/>
  <c r="BC129" i="42"/>
  <c r="BC130" i="42" s="1"/>
  <c r="BC69" i="42"/>
  <c r="BC132" i="42"/>
  <c r="BC133" i="42" s="1"/>
  <c r="BC142" i="42" s="1"/>
  <c r="Y75" i="42"/>
  <c r="Y69" i="42"/>
  <c r="Y129" i="42"/>
  <c r="Y130" i="42" s="1"/>
  <c r="Y142" i="42" s="1"/>
  <c r="Y132" i="42"/>
  <c r="Y133" i="42" s="1"/>
  <c r="CO16" i="42"/>
  <c r="CO20" i="42" s="1"/>
  <c r="CO24" i="42" s="1"/>
  <c r="CO23" i="42" s="1"/>
  <c r="Y77" i="42"/>
  <c r="Y76" i="42" s="1"/>
  <c r="AA142" i="42"/>
  <c r="M93" i="42"/>
  <c r="M90" i="42"/>
  <c r="G87" i="42"/>
  <c r="G89" i="42"/>
  <c r="W90" i="42"/>
  <c r="W93" i="42"/>
  <c r="AW87" i="42"/>
  <c r="AW89" i="42"/>
  <c r="K126" i="42"/>
  <c r="K127" i="42" s="1"/>
  <c r="K129" i="42"/>
  <c r="K130" i="42" s="1"/>
  <c r="K69" i="42"/>
  <c r="K75" i="42"/>
  <c r="K77" i="42"/>
  <c r="K76" i="42" s="1"/>
  <c r="O111" i="42"/>
  <c r="O112" i="42" s="1"/>
  <c r="O108" i="42"/>
  <c r="O109" i="42" s="1"/>
  <c r="O56" i="42"/>
  <c r="N8" i="42"/>
  <c r="O126" i="42"/>
  <c r="O127" i="42" s="1"/>
  <c r="O129" i="42"/>
  <c r="O130" i="42" s="1"/>
  <c r="O69" i="42"/>
  <c r="O75" i="42"/>
  <c r="AY84" i="42"/>
  <c r="AY86" i="42"/>
  <c r="U83" i="42"/>
  <c r="U82" i="42"/>
  <c r="U81" i="42"/>
  <c r="AG126" i="42"/>
  <c r="AG132" i="42"/>
  <c r="AG75" i="42"/>
  <c r="AG77" i="42"/>
  <c r="AG76" i="42" s="1"/>
  <c r="AG129" i="42"/>
  <c r="AG69" i="42"/>
  <c r="AG81" i="42"/>
  <c r="BI75" i="42"/>
  <c r="BI80" i="42"/>
  <c r="BI71" i="42"/>
  <c r="AU87" i="42"/>
  <c r="AU89" i="42"/>
  <c r="AA90" i="42"/>
  <c r="AA93" i="42"/>
  <c r="AE126" i="42"/>
  <c r="AE127" i="42" s="1"/>
  <c r="AE132" i="42"/>
  <c r="AE133" i="42" s="1"/>
  <c r="AE142" i="42" s="1"/>
  <c r="AE77" i="42"/>
  <c r="AE76" i="42" s="1"/>
  <c r="AE75" i="42"/>
  <c r="AE69" i="42"/>
  <c r="AE81" i="42"/>
  <c r="AE129" i="42"/>
  <c r="AE130" i="42" s="1"/>
  <c r="M50" i="42"/>
  <c r="M53" i="42"/>
  <c r="M68" i="42"/>
  <c r="BK80" i="42" l="1"/>
  <c r="BK71" i="42"/>
  <c r="G49" i="42"/>
  <c r="AS89" i="42"/>
  <c r="AE98" i="42"/>
  <c r="AE144" i="42" s="1"/>
  <c r="CL44" i="15"/>
  <c r="CL43" i="15" s="1"/>
  <c r="CM44" i="15"/>
  <c r="CM43" i="15" s="1"/>
  <c r="BC117" i="42"/>
  <c r="BC116" i="42" s="1"/>
  <c r="BC114" i="42" s="1"/>
  <c r="BC115" i="42" s="1"/>
  <c r="AG133" i="42"/>
  <c r="AG142" i="42" s="1"/>
  <c r="Q89" i="42"/>
  <c r="Q93" i="42" s="1"/>
  <c r="Q117" i="42"/>
  <c r="Q116" i="42" s="1"/>
  <c r="Q114" i="42" s="1"/>
  <c r="Q115" i="42" s="1"/>
  <c r="BE130" i="42"/>
  <c r="BE133" i="42"/>
  <c r="BE142" i="42" s="1"/>
  <c r="K59" i="42"/>
  <c r="BE127" i="42"/>
  <c r="AI89" i="42"/>
  <c r="AI87" i="42"/>
  <c r="I50" i="42"/>
  <c r="I54" i="42" s="1"/>
  <c r="I68" i="42"/>
  <c r="I53" i="42"/>
  <c r="BC60" i="42"/>
  <c r="BC111" i="42" s="1"/>
  <c r="BC112" i="42" s="1"/>
  <c r="W50" i="42"/>
  <c r="W54" i="42" s="1"/>
  <c r="W68" i="42"/>
  <c r="W53" i="42"/>
  <c r="BA53" i="42"/>
  <c r="BA50" i="42"/>
  <c r="BA54" i="42" s="1"/>
  <c r="AG127" i="42"/>
  <c r="K117" i="42"/>
  <c r="K116" i="42" s="1"/>
  <c r="K114" i="42" s="1"/>
  <c r="K115" i="42" s="1"/>
  <c r="U50" i="42"/>
  <c r="U68" i="42"/>
  <c r="AK93" i="42"/>
  <c r="AK94" i="42" s="1"/>
  <c r="AK90" i="42"/>
  <c r="BE52" i="42"/>
  <c r="BE122" i="42"/>
  <c r="BE106" i="42"/>
  <c r="BE65" i="42"/>
  <c r="BG66" i="42"/>
  <c r="BE123" i="42"/>
  <c r="BE120" i="42"/>
  <c r="BE96" i="42"/>
  <c r="BE121" i="42"/>
  <c r="BE105" i="42"/>
  <c r="BE119" i="42"/>
  <c r="U53" i="42"/>
  <c r="AE117" i="42"/>
  <c r="AE116" i="42" s="1"/>
  <c r="AE114" i="42" s="1"/>
  <c r="AE115" i="42" s="1"/>
  <c r="CM87" i="15"/>
  <c r="CM89" i="15"/>
  <c r="CM87" i="13"/>
  <c r="CM89" i="13"/>
  <c r="BM75" i="42"/>
  <c r="BM71" i="42"/>
  <c r="BM80" i="42"/>
  <c r="Q111" i="42"/>
  <c r="Q112" i="42" s="1"/>
  <c r="Q108" i="42"/>
  <c r="Q109" i="42" s="1"/>
  <c r="Q56" i="42"/>
  <c r="Q53" i="42" s="1"/>
  <c r="P8" i="42"/>
  <c r="AG65" i="42"/>
  <c r="AG121" i="42"/>
  <c r="AG123" i="42"/>
  <c r="AG122" i="42"/>
  <c r="AG119" i="42"/>
  <c r="AG120" i="42"/>
  <c r="AI66" i="42"/>
  <c r="AI130" i="42" s="1"/>
  <c r="AG52" i="42"/>
  <c r="AG106" i="42"/>
  <c r="AG96" i="42"/>
  <c r="AG105" i="42"/>
  <c r="AG130" i="42"/>
  <c r="M94" i="42"/>
  <c r="M98" i="42"/>
  <c r="AQ90" i="42"/>
  <c r="AQ93" i="42"/>
  <c r="AA50" i="42"/>
  <c r="AA54" i="42" s="1"/>
  <c r="AA68" i="42"/>
  <c r="AA53" i="42"/>
  <c r="Y87" i="42"/>
  <c r="Y89" i="42"/>
  <c r="G41" i="42"/>
  <c r="X41" i="42"/>
  <c r="Y41" i="42"/>
  <c r="AW93" i="42"/>
  <c r="AW90" i="42"/>
  <c r="O68" i="42"/>
  <c r="O50" i="42"/>
  <c r="AC87" i="42"/>
  <c r="AC89" i="42"/>
  <c r="Q59" i="42"/>
  <c r="AU90" i="42"/>
  <c r="AU93" i="42"/>
  <c r="AM93" i="42"/>
  <c r="AM90" i="42"/>
  <c r="S94" i="42"/>
  <c r="S98" i="42"/>
  <c r="AS93" i="42"/>
  <c r="AS90" i="42"/>
  <c r="O53" i="42"/>
  <c r="AG89" i="42"/>
  <c r="AG87" i="42"/>
  <c r="G48" i="42"/>
  <c r="F49" i="42"/>
  <c r="F48" i="42" s="1"/>
  <c r="G45" i="42"/>
  <c r="F45" i="42"/>
  <c r="F44" i="42" s="1"/>
  <c r="F43" i="42" s="1"/>
  <c r="AO87" i="42"/>
  <c r="AO89" i="42"/>
  <c r="S54" i="42"/>
  <c r="BE71" i="42"/>
  <c r="BE80" i="42"/>
  <c r="BE75" i="42"/>
  <c r="CO71" i="42"/>
  <c r="CO80" i="42"/>
  <c r="CO75" i="42"/>
  <c r="CO111" i="42"/>
  <c r="CO112" i="42" s="1"/>
  <c r="CO108" i="42"/>
  <c r="CO109" i="42" s="1"/>
  <c r="AA98" i="42"/>
  <c r="AA94" i="42"/>
  <c r="BK81" i="42"/>
  <c r="BK82" i="42"/>
  <c r="BK83" i="42"/>
  <c r="Y49" i="42"/>
  <c r="O89" i="42"/>
  <c r="O87" i="42"/>
  <c r="U86" i="42"/>
  <c r="U84" i="42"/>
  <c r="W94" i="42"/>
  <c r="W98" i="42"/>
  <c r="AY87" i="42"/>
  <c r="AY89" i="42"/>
  <c r="AE59" i="42"/>
  <c r="AE60" i="42"/>
  <c r="AX41" i="42"/>
  <c r="AY41" i="42"/>
  <c r="BI83" i="42"/>
  <c r="BI82" i="42"/>
  <c r="BI81" i="42"/>
  <c r="CO54" i="42"/>
  <c r="CO49" i="42" s="1"/>
  <c r="K56" i="42"/>
  <c r="K53" i="42" s="1"/>
  <c r="K108" i="42"/>
  <c r="K109" i="42" s="1"/>
  <c r="K111" i="42"/>
  <c r="K112" i="42" s="1"/>
  <c r="J8" i="42"/>
  <c r="AC68" i="42"/>
  <c r="AC50" i="42"/>
  <c r="AC54" i="42" s="1"/>
  <c r="AC53" i="42"/>
  <c r="K87" i="42"/>
  <c r="K89" i="42"/>
  <c r="BC71" i="42"/>
  <c r="BC80" i="42"/>
  <c r="BC75" i="42"/>
  <c r="AE99" i="42"/>
  <c r="Q90" i="42"/>
  <c r="BG83" i="42"/>
  <c r="BG82" i="42"/>
  <c r="BG81" i="42"/>
  <c r="I87" i="42"/>
  <c r="I89" i="42"/>
  <c r="M54" i="42"/>
  <c r="M49" i="42" s="1"/>
  <c r="G90" i="42"/>
  <c r="G93" i="42"/>
  <c r="BA87" i="42"/>
  <c r="BA89" i="42"/>
  <c r="AY49" i="42"/>
  <c r="BE117" i="42" l="1"/>
  <c r="BE116" i="42" s="1"/>
  <c r="BE114" i="42" s="1"/>
  <c r="BE115" i="42" s="1"/>
  <c r="BB8" i="42"/>
  <c r="BC56" i="42"/>
  <c r="BC108" i="42"/>
  <c r="BC109" i="42" s="1"/>
  <c r="AI127" i="42"/>
  <c r="AI133" i="42"/>
  <c r="AI142" i="42" s="1"/>
  <c r="BA49" i="42"/>
  <c r="BA45" i="42" s="1"/>
  <c r="I41" i="42"/>
  <c r="H41" i="42"/>
  <c r="BG133" i="42"/>
  <c r="BG142" i="42" s="1"/>
  <c r="BG121" i="42"/>
  <c r="BG105" i="42"/>
  <c r="BG65" i="42"/>
  <c r="BG120" i="42"/>
  <c r="BG106" i="42"/>
  <c r="BG127" i="42"/>
  <c r="BG52" i="42"/>
  <c r="BG119" i="42"/>
  <c r="BI66" i="42"/>
  <c r="BG123" i="42"/>
  <c r="BG130" i="42"/>
  <c r="BG96" i="42"/>
  <c r="BG122" i="42"/>
  <c r="BE59" i="42"/>
  <c r="BE60" i="42"/>
  <c r="I49" i="42"/>
  <c r="W41" i="42"/>
  <c r="V41" i="42"/>
  <c r="W49" i="42"/>
  <c r="U54" i="42"/>
  <c r="U49" i="42"/>
  <c r="AI93" i="42"/>
  <c r="AI94" i="42" s="1"/>
  <c r="AI90" i="42"/>
  <c r="CM93" i="15"/>
  <c r="CM90" i="15"/>
  <c r="CM90" i="13"/>
  <c r="CM93" i="13"/>
  <c r="AA41" i="42"/>
  <c r="Z41" i="42"/>
  <c r="Y48" i="42"/>
  <c r="Y45" i="42"/>
  <c r="Y44" i="42" s="1"/>
  <c r="Y43" i="42" s="1"/>
  <c r="X45" i="42"/>
  <c r="X44" i="42" s="1"/>
  <c r="X43" i="42" s="1"/>
  <c r="X49" i="42"/>
  <c r="X48" i="42" s="1"/>
  <c r="BM83" i="42"/>
  <c r="BM82" i="42"/>
  <c r="BM81" i="42"/>
  <c r="BG86" i="42"/>
  <c r="BG84" i="42"/>
  <c r="O90" i="42"/>
  <c r="O93" i="42"/>
  <c r="O54" i="42"/>
  <c r="O49" i="42" s="1"/>
  <c r="Y90" i="42"/>
  <c r="Y93" i="42"/>
  <c r="I93" i="42"/>
  <c r="I90" i="42"/>
  <c r="AC41" i="42"/>
  <c r="AB41" i="42"/>
  <c r="AM94" i="42"/>
  <c r="AA144" i="42"/>
  <c r="AA99" i="42"/>
  <c r="AG60" i="42"/>
  <c r="AG59" i="42"/>
  <c r="M45" i="42"/>
  <c r="L49" i="42"/>
  <c r="L48" i="42" s="1"/>
  <c r="L45" i="42"/>
  <c r="M48" i="42"/>
  <c r="AY93" i="42"/>
  <c r="AY90" i="42"/>
  <c r="S41" i="42"/>
  <c r="R41" i="42"/>
  <c r="BI84" i="42"/>
  <c r="BI86" i="42"/>
  <c r="AG90" i="42"/>
  <c r="AG93" i="42"/>
  <c r="AE111" i="42"/>
  <c r="AE112" i="42" s="1"/>
  <c r="AE108" i="42"/>
  <c r="AE109" i="42" s="1"/>
  <c r="AE56" i="42"/>
  <c r="AD8" i="42"/>
  <c r="AW94" i="42"/>
  <c r="Q68" i="42"/>
  <c r="Q50" i="42"/>
  <c r="K93" i="42"/>
  <c r="K90" i="42"/>
  <c r="G94" i="42"/>
  <c r="G98" i="42"/>
  <c r="AO93" i="42"/>
  <c r="AO90" i="42"/>
  <c r="BC81" i="42"/>
  <c r="BC83" i="42"/>
  <c r="BC82" i="42"/>
  <c r="AY45" i="42"/>
  <c r="AY44" i="42" s="1"/>
  <c r="AY43" i="42" s="1"/>
  <c r="AY48" i="42"/>
  <c r="AX45" i="42"/>
  <c r="AX44" i="42" s="1"/>
  <c r="AX43" i="42" s="1"/>
  <c r="AX49" i="42"/>
  <c r="AX48" i="42" s="1"/>
  <c r="AA49" i="42"/>
  <c r="BA93" i="42"/>
  <c r="BA90" i="42"/>
  <c r="CO48" i="42"/>
  <c r="CN49" i="42"/>
  <c r="CN48" i="42" s="1"/>
  <c r="CO45" i="42"/>
  <c r="CN45" i="42"/>
  <c r="CO82" i="42"/>
  <c r="CO81" i="42"/>
  <c r="CO83" i="42"/>
  <c r="AU94" i="42"/>
  <c r="AQ94" i="42"/>
  <c r="BE82" i="42"/>
  <c r="BE81" i="42"/>
  <c r="BE83" i="42"/>
  <c r="M99" i="42"/>
  <c r="M144" i="42"/>
  <c r="L41" i="42"/>
  <c r="M41" i="42"/>
  <c r="AC49" i="42"/>
  <c r="BK86" i="42"/>
  <c r="BK84" i="42"/>
  <c r="W144" i="42"/>
  <c r="W99" i="42"/>
  <c r="AC90" i="42"/>
  <c r="AC93" i="42"/>
  <c r="S49" i="42"/>
  <c r="K50" i="42"/>
  <c r="K54" i="42" s="1"/>
  <c r="K68" i="42"/>
  <c r="G44" i="42"/>
  <c r="G43" i="42" s="1"/>
  <c r="AI65" i="42"/>
  <c r="AI119" i="42"/>
  <c r="AI121" i="42"/>
  <c r="AI122" i="42"/>
  <c r="AI106" i="42"/>
  <c r="AI96" i="42"/>
  <c r="AI120" i="42"/>
  <c r="AK66" i="42"/>
  <c r="AI52" i="42"/>
  <c r="AI123" i="42"/>
  <c r="AI105" i="42"/>
  <c r="Q94" i="42"/>
  <c r="Q98" i="42"/>
  <c r="CO41" i="42"/>
  <c r="CN41" i="42"/>
  <c r="U89" i="42"/>
  <c r="U87" i="42"/>
  <c r="AS94" i="42"/>
  <c r="BC68" i="42"/>
  <c r="BC50" i="42"/>
  <c r="BC54" i="42" s="1"/>
  <c r="BC53" i="42"/>
  <c r="BA41" i="42"/>
  <c r="AZ41" i="42"/>
  <c r="S144" i="42"/>
  <c r="S99" i="42"/>
  <c r="AG117" i="42"/>
  <c r="AG116" i="42" s="1"/>
  <c r="AG114" i="42" s="1"/>
  <c r="AG115" i="42" s="1"/>
  <c r="BA44" i="42" l="1"/>
  <c r="BA43" i="42" s="1"/>
  <c r="AI98" i="42"/>
  <c r="BA48" i="42"/>
  <c r="AZ45" i="42"/>
  <c r="AZ44" i="42" s="1"/>
  <c r="AZ43" i="42" s="1"/>
  <c r="AZ49" i="42"/>
  <c r="AZ48" i="42" s="1"/>
  <c r="BG117" i="42"/>
  <c r="BG116" i="42" s="1"/>
  <c r="BG114" i="42" s="1"/>
  <c r="BG115" i="42" s="1"/>
  <c r="W48" i="42"/>
  <c r="W45" i="42"/>
  <c r="W44" i="42" s="1"/>
  <c r="W43" i="42" s="1"/>
  <c r="V45" i="42"/>
  <c r="V44" i="42" s="1"/>
  <c r="V43" i="42" s="1"/>
  <c r="V49" i="42"/>
  <c r="V48" i="42" s="1"/>
  <c r="BG60" i="42"/>
  <c r="BG59" i="42"/>
  <c r="U45" i="42"/>
  <c r="T45" i="42"/>
  <c r="U48" i="42"/>
  <c r="T49" i="42"/>
  <c r="T48" i="42" s="1"/>
  <c r="U41" i="42"/>
  <c r="T41" i="42"/>
  <c r="BE111" i="42"/>
  <c r="BE112" i="42" s="1"/>
  <c r="BE108" i="42"/>
  <c r="BE109" i="42" s="1"/>
  <c r="BE56" i="42"/>
  <c r="BD8" i="42"/>
  <c r="BI133" i="42"/>
  <c r="BI142" i="42" s="1"/>
  <c r="BI105" i="42"/>
  <c r="BI130" i="42"/>
  <c r="BI119" i="42"/>
  <c r="BI122" i="42"/>
  <c r="BI96" i="42"/>
  <c r="BI127" i="42"/>
  <c r="BI52" i="42"/>
  <c r="BI121" i="42"/>
  <c r="BI120" i="42"/>
  <c r="BK66" i="42"/>
  <c r="BI106" i="42"/>
  <c r="BI65" i="42"/>
  <c r="BI123" i="42"/>
  <c r="CO44" i="42"/>
  <c r="CO43" i="42" s="1"/>
  <c r="I45" i="42"/>
  <c r="I44" i="42" s="1"/>
  <c r="I43" i="42" s="1"/>
  <c r="H45" i="42"/>
  <c r="H44" i="42" s="1"/>
  <c r="H43" i="42" s="1"/>
  <c r="I48" i="42"/>
  <c r="H49" i="42"/>
  <c r="H48" i="42" s="1"/>
  <c r="CM98" i="15"/>
  <c r="CM94" i="15"/>
  <c r="CM98" i="13"/>
  <c r="CM94" i="13"/>
  <c r="O45" i="42"/>
  <c r="N49" i="42"/>
  <c r="N48" i="42" s="1"/>
  <c r="O48" i="42"/>
  <c r="N45" i="42"/>
  <c r="BC41" i="42"/>
  <c r="BB41" i="42"/>
  <c r="K41" i="42"/>
  <c r="J41" i="42"/>
  <c r="CN44" i="42"/>
  <c r="CN43" i="42" s="1"/>
  <c r="AG98" i="42"/>
  <c r="AG94" i="42"/>
  <c r="BI89" i="42"/>
  <c r="BI87" i="42"/>
  <c r="AI117" i="42"/>
  <c r="AI116" i="42" s="1"/>
  <c r="AI114" i="42" s="1"/>
  <c r="AI115" i="42" s="1"/>
  <c r="G144" i="42"/>
  <c r="G99" i="42"/>
  <c r="AI59" i="42"/>
  <c r="AI60" i="42"/>
  <c r="N41" i="42"/>
  <c r="O41" i="42"/>
  <c r="O94" i="42"/>
  <c r="O98" i="42"/>
  <c r="AB49" i="42"/>
  <c r="AB48" i="42" s="1"/>
  <c r="AC45" i="42"/>
  <c r="AC44" i="42" s="1"/>
  <c r="AC43" i="42" s="1"/>
  <c r="AB45" i="42"/>
  <c r="AB44" i="42" s="1"/>
  <c r="AB43" i="42" s="1"/>
  <c r="AC48" i="42"/>
  <c r="BA98" i="42"/>
  <c r="BA94" i="42"/>
  <c r="BK87" i="42"/>
  <c r="BK89" i="42"/>
  <c r="AA48" i="42"/>
  <c r="Z45" i="42"/>
  <c r="Z44" i="42" s="1"/>
  <c r="Z43" i="42" s="1"/>
  <c r="AA45" i="42"/>
  <c r="AA44" i="42" s="1"/>
  <c r="AA43" i="42" s="1"/>
  <c r="Z49" i="42"/>
  <c r="Z48" i="42" s="1"/>
  <c r="K94" i="42"/>
  <c r="K98" i="42"/>
  <c r="K49" i="42"/>
  <c r="AY94" i="42"/>
  <c r="AY98" i="42"/>
  <c r="BG89" i="42"/>
  <c r="BG87" i="42"/>
  <c r="BC49" i="42"/>
  <c r="U93" i="42"/>
  <c r="U90" i="42"/>
  <c r="M44" i="42"/>
  <c r="M43" i="42" s="1"/>
  <c r="Q54" i="42"/>
  <c r="BE86" i="42"/>
  <c r="BE84" i="42"/>
  <c r="AC98" i="42"/>
  <c r="AC94" i="42"/>
  <c r="Q99" i="42"/>
  <c r="Q144" i="42"/>
  <c r="AG111" i="42"/>
  <c r="AG112" i="42" s="1"/>
  <c r="AG56" i="42"/>
  <c r="AF8" i="42"/>
  <c r="AG108" i="42"/>
  <c r="AG109" i="42" s="1"/>
  <c r="AO94" i="42"/>
  <c r="R49" i="42"/>
  <c r="R48" i="42" s="1"/>
  <c r="R45" i="42"/>
  <c r="R44" i="42" s="1"/>
  <c r="R43" i="42" s="1"/>
  <c r="S48" i="42"/>
  <c r="S45" i="42"/>
  <c r="S44" i="42" s="1"/>
  <c r="S43" i="42" s="1"/>
  <c r="BC86" i="42"/>
  <c r="BC84" i="42"/>
  <c r="I94" i="42"/>
  <c r="I98" i="42"/>
  <c r="AI144" i="42"/>
  <c r="AI99" i="42"/>
  <c r="L44" i="42"/>
  <c r="L43" i="42" s="1"/>
  <c r="BM84" i="42"/>
  <c r="BM86" i="42"/>
  <c r="AK119" i="42"/>
  <c r="AK121" i="42"/>
  <c r="AK96" i="42"/>
  <c r="AK98" i="42" s="1"/>
  <c r="AK122" i="42"/>
  <c r="AK106" i="42"/>
  <c r="AK120" i="42"/>
  <c r="AM66" i="42"/>
  <c r="AK52" i="42"/>
  <c r="AK65" i="42"/>
  <c r="AK105" i="42"/>
  <c r="AK123" i="42"/>
  <c r="AK127" i="42"/>
  <c r="AK130" i="42"/>
  <c r="AK133" i="42"/>
  <c r="AK142" i="42" s="1"/>
  <c r="CO84" i="42"/>
  <c r="CO86" i="42"/>
  <c r="AE68" i="42"/>
  <c r="AE50" i="42"/>
  <c r="AE54" i="42" s="1"/>
  <c r="AE53" i="42"/>
  <c r="Y98" i="42"/>
  <c r="Y94" i="42"/>
  <c r="BI60" i="42" l="1"/>
  <c r="BI59" i="42"/>
  <c r="BG56" i="42"/>
  <c r="BF8" i="42"/>
  <c r="BG108" i="42"/>
  <c r="BG109" i="42" s="1"/>
  <c r="BG111" i="42"/>
  <c r="BG112" i="42" s="1"/>
  <c r="T44" i="42"/>
  <c r="T43" i="42" s="1"/>
  <c r="BE53" i="42"/>
  <c r="BE68" i="42"/>
  <c r="BE50" i="42"/>
  <c r="BE54" i="42" s="1"/>
  <c r="BK105" i="42"/>
  <c r="BK122" i="42"/>
  <c r="BK65" i="42"/>
  <c r="BK123" i="42"/>
  <c r="BK96" i="42"/>
  <c r="BK121" i="42"/>
  <c r="BK133" i="42"/>
  <c r="BK142" i="42" s="1"/>
  <c r="BK119" i="42"/>
  <c r="BM66" i="42"/>
  <c r="BK52" i="42"/>
  <c r="BK130" i="42"/>
  <c r="BK127" i="42"/>
  <c r="BK120" i="42"/>
  <c r="BK106" i="42"/>
  <c r="U44" i="42"/>
  <c r="U43" i="42" s="1"/>
  <c r="BI117" i="42"/>
  <c r="BI116" i="42" s="1"/>
  <c r="BI114" i="42" s="1"/>
  <c r="BI115" i="42" s="1"/>
  <c r="CM144" i="15"/>
  <c r="CM99" i="15"/>
  <c r="CM124" i="15" s="1"/>
  <c r="CM144" i="13"/>
  <c r="CM99" i="13"/>
  <c r="CM124" i="13" s="1"/>
  <c r="AD41" i="42"/>
  <c r="AE41" i="42"/>
  <c r="BG90" i="42"/>
  <c r="BG93" i="42"/>
  <c r="BA99" i="42"/>
  <c r="BA144" i="42"/>
  <c r="BI90" i="42"/>
  <c r="BI93" i="42"/>
  <c r="K45" i="42"/>
  <c r="K44" i="42" s="1"/>
  <c r="K43" i="42" s="1"/>
  <c r="J49" i="42"/>
  <c r="J48" i="42" s="1"/>
  <c r="J45" i="42"/>
  <c r="J44" i="42" s="1"/>
  <c r="J43" i="42" s="1"/>
  <c r="K48" i="42"/>
  <c r="K144" i="42"/>
  <c r="K99" i="42"/>
  <c r="O144" i="42"/>
  <c r="O99" i="42"/>
  <c r="Y144" i="42"/>
  <c r="Y99" i="42"/>
  <c r="AY144" i="42"/>
  <c r="AY99" i="42"/>
  <c r="AM65" i="42"/>
  <c r="AM119" i="42"/>
  <c r="AM122" i="42"/>
  <c r="AM106" i="42"/>
  <c r="AM96" i="42"/>
  <c r="AM98" i="42" s="1"/>
  <c r="AM120" i="42"/>
  <c r="AM121" i="42"/>
  <c r="AO66" i="42"/>
  <c r="AM52" i="42"/>
  <c r="AM123" i="42"/>
  <c r="AM130" i="42"/>
  <c r="AM105" i="42"/>
  <c r="AM133" i="42"/>
  <c r="AM142" i="42" s="1"/>
  <c r="AM127" i="42"/>
  <c r="AG144" i="42"/>
  <c r="AG99" i="42"/>
  <c r="AK117" i="42"/>
  <c r="AK116" i="42" s="1"/>
  <c r="AK114" i="42" s="1"/>
  <c r="AK115" i="42" s="1"/>
  <c r="BM87" i="42"/>
  <c r="BM89" i="42"/>
  <c r="AI108" i="42"/>
  <c r="AI109" i="42" s="1"/>
  <c r="AI111" i="42"/>
  <c r="AI112" i="42" s="1"/>
  <c r="AI56" i="42"/>
  <c r="AH8" i="42"/>
  <c r="AC144" i="42"/>
  <c r="AC99" i="42"/>
  <c r="N44" i="42"/>
  <c r="N43" i="42" s="1"/>
  <c r="AK99" i="42"/>
  <c r="AK144" i="42"/>
  <c r="AE49" i="42"/>
  <c r="BE89" i="42"/>
  <c r="BE87" i="42"/>
  <c r="P41" i="42"/>
  <c r="Q41" i="42"/>
  <c r="Q49" i="42"/>
  <c r="I144" i="42"/>
  <c r="I99" i="42"/>
  <c r="AK60" i="42"/>
  <c r="AK59" i="42"/>
  <c r="AG68" i="42"/>
  <c r="AG50" i="42"/>
  <c r="AG53" i="42"/>
  <c r="U94" i="42"/>
  <c r="U98" i="42"/>
  <c r="BC89" i="42"/>
  <c r="BC87" i="42"/>
  <c r="CO89" i="42"/>
  <c r="CO87" i="42"/>
  <c r="BK90" i="42"/>
  <c r="BK93" i="42"/>
  <c r="BC45" i="42"/>
  <c r="BC44" i="42" s="1"/>
  <c r="BC43" i="42" s="1"/>
  <c r="BB49" i="42"/>
  <c r="BB48" i="42" s="1"/>
  <c r="BB45" i="42"/>
  <c r="BB44" i="42" s="1"/>
  <c r="BB43" i="42" s="1"/>
  <c r="BC48" i="42"/>
  <c r="O44" i="42"/>
  <c r="O43" i="42" s="1"/>
  <c r="BK60" i="42" l="1"/>
  <c r="BK59" i="42"/>
  <c r="BE49" i="42"/>
  <c r="BG50" i="42"/>
  <c r="BG54" i="42" s="1"/>
  <c r="BG68" i="42"/>
  <c r="BG53" i="42"/>
  <c r="BD41" i="42"/>
  <c r="BE41" i="42"/>
  <c r="BI108" i="42"/>
  <c r="BI109" i="42" s="1"/>
  <c r="BH8" i="42"/>
  <c r="BI111" i="42"/>
  <c r="BI112" i="42" s="1"/>
  <c r="BI56" i="42"/>
  <c r="BM105" i="42"/>
  <c r="BM133" i="42"/>
  <c r="BM142" i="42" s="1"/>
  <c r="BM130" i="42"/>
  <c r="BM127" i="42"/>
  <c r="BM122" i="42"/>
  <c r="BM120" i="42"/>
  <c r="BM123" i="42"/>
  <c r="BM65" i="42"/>
  <c r="BM52" i="42"/>
  <c r="BM106" i="42"/>
  <c r="BM121" i="42"/>
  <c r="BM119" i="42"/>
  <c r="BM96" i="42"/>
  <c r="BK117" i="42"/>
  <c r="BK116" i="42" s="1"/>
  <c r="BK114" i="42" s="1"/>
  <c r="BK115" i="42" s="1"/>
  <c r="AK108" i="42"/>
  <c r="AK109" i="42" s="1"/>
  <c r="AK111" i="42"/>
  <c r="AK112" i="42" s="1"/>
  <c r="AK56" i="42"/>
  <c r="AJ8" i="42"/>
  <c r="AO119" i="42"/>
  <c r="AO122" i="42"/>
  <c r="AO106" i="42"/>
  <c r="AO120" i="42"/>
  <c r="AO121" i="42"/>
  <c r="AQ66" i="42"/>
  <c r="AO96" i="42"/>
  <c r="AO98" i="42" s="1"/>
  <c r="AO52" i="42"/>
  <c r="AO65" i="42"/>
  <c r="AO105" i="42"/>
  <c r="AO123" i="42"/>
  <c r="AO133" i="42"/>
  <c r="AO142" i="42" s="1"/>
  <c r="AO127" i="42"/>
  <c r="AO130" i="42"/>
  <c r="AM60" i="42"/>
  <c r="AM59" i="42"/>
  <c r="AM117" i="42"/>
  <c r="AM116" i="42" s="1"/>
  <c r="AM114" i="42" s="1"/>
  <c r="AM115" i="42" s="1"/>
  <c r="BM90" i="42"/>
  <c r="BM93" i="42"/>
  <c r="BI94" i="42"/>
  <c r="BI98" i="42"/>
  <c r="Q45" i="42"/>
  <c r="Q44" i="42" s="1"/>
  <c r="Q43" i="42" s="1"/>
  <c r="P49" i="42"/>
  <c r="P48" i="42" s="1"/>
  <c r="Q48" i="42"/>
  <c r="P45" i="42"/>
  <c r="P44" i="42" s="1"/>
  <c r="P43" i="42" s="1"/>
  <c r="AI68" i="42"/>
  <c r="AI50" i="42"/>
  <c r="AI54" i="42" s="1"/>
  <c r="AI53" i="42"/>
  <c r="BK94" i="42"/>
  <c r="BK98" i="42"/>
  <c r="CO90" i="42"/>
  <c r="CO93" i="42"/>
  <c r="BC93" i="42"/>
  <c r="BC90" i="42"/>
  <c r="BG94" i="42"/>
  <c r="BG98" i="42"/>
  <c r="BG41" i="42"/>
  <c r="BF41" i="42"/>
  <c r="BE93" i="42"/>
  <c r="BE90" i="42"/>
  <c r="U144" i="42"/>
  <c r="U99" i="42"/>
  <c r="AM99" i="42"/>
  <c r="AM144" i="42"/>
  <c r="AE45" i="42"/>
  <c r="AE44" i="42" s="1"/>
  <c r="AE43" i="42" s="1"/>
  <c r="AD45" i="42"/>
  <c r="AD44" i="42" s="1"/>
  <c r="AD43" i="42" s="1"/>
  <c r="AD49" i="42"/>
  <c r="AD48" i="42" s="1"/>
  <c r="AE48" i="42"/>
  <c r="BG49" i="42"/>
  <c r="AG54" i="42"/>
  <c r="AG49" i="42" s="1"/>
  <c r="BM59" i="42" l="1"/>
  <c r="BM60" i="42"/>
  <c r="BI68" i="42"/>
  <c r="BI50" i="42"/>
  <c r="BI53" i="42"/>
  <c r="BM117" i="42"/>
  <c r="BM116" i="42" s="1"/>
  <c r="BM114" i="42" s="1"/>
  <c r="BM115" i="42" s="1"/>
  <c r="BD49" i="42"/>
  <c r="BD48" i="42" s="1"/>
  <c r="BE48" i="42"/>
  <c r="BE45" i="42"/>
  <c r="BE44" i="42" s="1"/>
  <c r="BE43" i="42" s="1"/>
  <c r="BD45" i="42"/>
  <c r="BD44" i="42" s="1"/>
  <c r="BD43" i="42" s="1"/>
  <c r="BK56" i="42"/>
  <c r="BK108" i="42"/>
  <c r="BK109" i="42" s="1"/>
  <c r="BJ8" i="42"/>
  <c r="BK111" i="42"/>
  <c r="BK112" i="42" s="1"/>
  <c r="AH41" i="42"/>
  <c r="AI41" i="42"/>
  <c r="AG45" i="42"/>
  <c r="AF49" i="42"/>
  <c r="AF48" i="42" s="1"/>
  <c r="AF45" i="42"/>
  <c r="AF44" i="42" s="1"/>
  <c r="AF43" i="42" s="1"/>
  <c r="AG48" i="42"/>
  <c r="BG99" i="42"/>
  <c r="BG144" i="42"/>
  <c r="AO99" i="42"/>
  <c r="AO144" i="42"/>
  <c r="BC94" i="42"/>
  <c r="BC98" i="42"/>
  <c r="AI49" i="42"/>
  <c r="BE94" i="42"/>
  <c r="BE98" i="42"/>
  <c r="AG41" i="42"/>
  <c r="AF41" i="42"/>
  <c r="AQ122" i="42"/>
  <c r="AQ106" i="42"/>
  <c r="AQ65" i="42"/>
  <c r="AQ96" i="42"/>
  <c r="AQ98" i="42" s="1"/>
  <c r="AQ120" i="42"/>
  <c r="AQ119" i="42"/>
  <c r="AQ121" i="42"/>
  <c r="AS66" i="42"/>
  <c r="AQ52" i="42"/>
  <c r="AQ105" i="42"/>
  <c r="AQ123" i="42"/>
  <c r="AQ127" i="42"/>
  <c r="AQ133" i="42"/>
  <c r="AQ142" i="42" s="1"/>
  <c r="AQ130" i="42"/>
  <c r="AO117" i="42"/>
  <c r="AO116" i="42" s="1"/>
  <c r="AO114" i="42" s="1"/>
  <c r="AO115" i="42" s="1"/>
  <c r="BF49" i="42"/>
  <c r="BF48" i="42" s="1"/>
  <c r="BF45" i="42"/>
  <c r="BF44" i="42" s="1"/>
  <c r="BF43" i="42" s="1"/>
  <c r="BG45" i="42"/>
  <c r="BG44" i="42" s="1"/>
  <c r="BG43" i="42" s="1"/>
  <c r="BG48" i="42"/>
  <c r="BI144" i="42"/>
  <c r="BI99" i="42"/>
  <c r="AM108" i="42"/>
  <c r="AM109" i="42" s="1"/>
  <c r="AM111" i="42"/>
  <c r="AM112" i="42" s="1"/>
  <c r="AM56" i="42"/>
  <c r="AL8" i="42"/>
  <c r="AO59" i="42"/>
  <c r="AO60" i="42"/>
  <c r="CO98" i="42"/>
  <c r="CO94" i="42"/>
  <c r="BK99" i="42"/>
  <c r="BK144" i="42"/>
  <c r="AK50" i="42"/>
  <c r="AK54" i="42" s="1"/>
  <c r="AK68" i="42"/>
  <c r="AK53" i="42"/>
  <c r="BM98" i="42"/>
  <c r="BM94" i="42"/>
  <c r="BK68" i="42" l="1"/>
  <c r="BK50" i="42"/>
  <c r="BK53" i="42"/>
  <c r="BI54" i="42"/>
  <c r="BI49" i="42"/>
  <c r="BM56" i="42"/>
  <c r="BL8" i="42"/>
  <c r="BM111" i="42"/>
  <c r="BM112" i="42" s="1"/>
  <c r="BM108" i="42"/>
  <c r="BM109" i="42" s="1"/>
  <c r="BM99" i="42"/>
  <c r="BM144" i="42"/>
  <c r="BC99" i="42"/>
  <c r="BC144" i="42"/>
  <c r="AO108" i="42"/>
  <c r="AO109" i="42" s="1"/>
  <c r="AO111" i="42"/>
  <c r="AO112" i="42" s="1"/>
  <c r="AO56" i="42"/>
  <c r="AN8" i="42"/>
  <c r="AM68" i="42"/>
  <c r="AM50" i="42"/>
  <c r="AM54" i="42" s="1"/>
  <c r="AM53" i="42"/>
  <c r="AI45" i="42"/>
  <c r="AI44" i="42" s="1"/>
  <c r="AI43" i="42" s="1"/>
  <c r="AH49" i="42"/>
  <c r="AH48" i="42" s="1"/>
  <c r="AH45" i="42"/>
  <c r="AH44" i="42" s="1"/>
  <c r="AH43" i="42" s="1"/>
  <c r="AI48" i="42"/>
  <c r="AS120" i="42"/>
  <c r="AS122" i="42"/>
  <c r="AS106" i="42"/>
  <c r="AS65" i="42"/>
  <c r="AS119" i="42"/>
  <c r="AS96" i="42"/>
  <c r="AS98" i="42" s="1"/>
  <c r="AS121" i="42"/>
  <c r="AS105" i="42"/>
  <c r="AS52" i="42"/>
  <c r="AU66" i="42"/>
  <c r="AS123" i="42"/>
  <c r="AS133" i="42"/>
  <c r="AS142" i="42" s="1"/>
  <c r="AS130" i="42"/>
  <c r="AS127" i="42"/>
  <c r="AQ117" i="42"/>
  <c r="AQ116" i="42" s="1"/>
  <c r="AQ114" i="42" s="1"/>
  <c r="AQ115" i="42" s="1"/>
  <c r="AG44" i="42"/>
  <c r="AG43" i="42" s="1"/>
  <c r="BE99" i="42"/>
  <c r="BE144" i="42"/>
  <c r="CO144" i="42"/>
  <c r="CO99" i="42"/>
  <c r="AQ144" i="42"/>
  <c r="AQ99" i="42"/>
  <c r="AQ60" i="42"/>
  <c r="AQ59" i="42"/>
  <c r="AK41" i="42"/>
  <c r="AJ41" i="42"/>
  <c r="AK49" i="42"/>
  <c r="BM50" i="42" l="1"/>
  <c r="BM54" i="42" s="1"/>
  <c r="BM53" i="42"/>
  <c r="BM68" i="42"/>
  <c r="BH49" i="42"/>
  <c r="BH48" i="42" s="1"/>
  <c r="BI48" i="42"/>
  <c r="BH45" i="42"/>
  <c r="BI45" i="42"/>
  <c r="BH41" i="42"/>
  <c r="BI41" i="42"/>
  <c r="BK54" i="42"/>
  <c r="AM49" i="42"/>
  <c r="AQ111" i="42"/>
  <c r="AQ112" i="42" s="1"/>
  <c r="AQ56" i="42"/>
  <c r="AQ108" i="42"/>
  <c r="AQ109" i="42" s="1"/>
  <c r="AP8" i="42"/>
  <c r="AM41" i="42"/>
  <c r="AL41" i="42"/>
  <c r="AU120" i="42"/>
  <c r="AU122" i="42"/>
  <c r="AU106" i="42"/>
  <c r="AU65" i="42"/>
  <c r="AU123" i="42"/>
  <c r="AU119" i="42"/>
  <c r="AU121" i="42"/>
  <c r="AU52" i="42"/>
  <c r="AU96" i="42"/>
  <c r="AU98" i="42" s="1"/>
  <c r="AU105" i="42"/>
  <c r="AW66" i="42"/>
  <c r="AU133" i="42"/>
  <c r="AU142" i="42" s="1"/>
  <c r="AU130" i="42"/>
  <c r="AU127" i="42"/>
  <c r="AK45" i="42"/>
  <c r="AK44" i="42" s="1"/>
  <c r="AK43" i="42" s="1"/>
  <c r="AK48" i="42"/>
  <c r="AJ49" i="42"/>
  <c r="AJ48" i="42" s="1"/>
  <c r="AJ45" i="42"/>
  <c r="AJ44" i="42" s="1"/>
  <c r="AJ43" i="42" s="1"/>
  <c r="AS144" i="42"/>
  <c r="AS99" i="42"/>
  <c r="AO50" i="42"/>
  <c r="AO54" i="42" s="1"/>
  <c r="AO68" i="42"/>
  <c r="AO53" i="42"/>
  <c r="AS117" i="42"/>
  <c r="AS116" i="42" s="1"/>
  <c r="AS114" i="42" s="1"/>
  <c r="AS115" i="42" s="1"/>
  <c r="AS60" i="42"/>
  <c r="AS59" i="42"/>
  <c r="BI44" i="42" l="1"/>
  <c r="BI43" i="42" s="1"/>
  <c r="BK41" i="42"/>
  <c r="BJ41" i="42"/>
  <c r="BK49" i="42"/>
  <c r="AU117" i="42"/>
  <c r="AU116" i="42" s="1"/>
  <c r="AU114" i="42" s="1"/>
  <c r="AU115" i="42" s="1"/>
  <c r="BH44" i="42"/>
  <c r="BH43" i="42" s="1"/>
  <c r="BL41" i="42"/>
  <c r="BM41" i="42"/>
  <c r="BM49" i="42"/>
  <c r="AO41" i="42"/>
  <c r="AN41" i="42"/>
  <c r="AU144" i="42"/>
  <c r="AU99" i="42"/>
  <c r="AQ68" i="42"/>
  <c r="AQ50" i="42"/>
  <c r="AQ54" i="42" s="1"/>
  <c r="AQ53" i="42"/>
  <c r="AS56" i="42"/>
  <c r="AS108" i="42"/>
  <c r="AS109" i="42" s="1"/>
  <c r="AS111" i="42"/>
  <c r="AS112" i="42" s="1"/>
  <c r="AR8" i="42"/>
  <c r="AO49" i="42"/>
  <c r="AU60" i="42"/>
  <c r="AU59" i="42"/>
  <c r="AW120" i="42"/>
  <c r="AW123" i="42"/>
  <c r="AW119" i="42"/>
  <c r="AW122" i="42"/>
  <c r="AW121" i="42"/>
  <c r="AW52" i="42"/>
  <c r="AW96" i="42"/>
  <c r="AW98" i="42" s="1"/>
  <c r="AW65" i="42"/>
  <c r="AW105" i="42"/>
  <c r="AW106" i="42"/>
  <c r="AW127" i="42"/>
  <c r="AW133" i="42"/>
  <c r="AW142" i="42" s="1"/>
  <c r="AW130" i="42"/>
  <c r="AL49" i="42"/>
  <c r="AL48" i="42" s="1"/>
  <c r="AL45" i="42"/>
  <c r="AL44" i="42" s="1"/>
  <c r="AL43" i="42" s="1"/>
  <c r="AM48" i="42"/>
  <c r="AM45" i="42"/>
  <c r="AM44" i="42" s="1"/>
  <c r="AM43" i="42" s="1"/>
  <c r="BM45" i="42" l="1"/>
  <c r="BM44" i="42" s="1"/>
  <c r="BM43" i="42" s="1"/>
  <c r="BL49" i="42"/>
  <c r="BL48" i="42" s="1"/>
  <c r="BL45" i="42"/>
  <c r="BL44" i="42" s="1"/>
  <c r="BL43" i="42" s="1"/>
  <c r="BM48" i="42"/>
  <c r="BJ45" i="42"/>
  <c r="BJ44" i="42" s="1"/>
  <c r="BJ43" i="42" s="1"/>
  <c r="BK48" i="42"/>
  <c r="BJ49" i="42"/>
  <c r="BJ48" i="42" s="1"/>
  <c r="BK45" i="42"/>
  <c r="BK44" i="42" s="1"/>
  <c r="BK43" i="42" s="1"/>
  <c r="AO48" i="42"/>
  <c r="AN49" i="42"/>
  <c r="AN48" i="42" s="1"/>
  <c r="AO45" i="42"/>
  <c r="AO44" i="42" s="1"/>
  <c r="AO43" i="42" s="1"/>
  <c r="AN45" i="42"/>
  <c r="AN44" i="42" s="1"/>
  <c r="AN43" i="42" s="1"/>
  <c r="AS68" i="42"/>
  <c r="AS50" i="42"/>
  <c r="AS54" i="42" s="1"/>
  <c r="AS53" i="42"/>
  <c r="AW117" i="42"/>
  <c r="AW116" i="42" s="1"/>
  <c r="AW114" i="42" s="1"/>
  <c r="AW115" i="42" s="1"/>
  <c r="AU108" i="42"/>
  <c r="AU109" i="42" s="1"/>
  <c r="AU111" i="42"/>
  <c r="AU112" i="42" s="1"/>
  <c r="AU56" i="42"/>
  <c r="AT8" i="42"/>
  <c r="AQ49" i="42"/>
  <c r="AQ41" i="42"/>
  <c r="AP41" i="42"/>
  <c r="AW59" i="42"/>
  <c r="AW60" i="42"/>
  <c r="AW144" i="42"/>
  <c r="AW99" i="42"/>
  <c r="AS41" i="42" l="1"/>
  <c r="AR41" i="42"/>
  <c r="AW108" i="42"/>
  <c r="AW109" i="42" s="1"/>
  <c r="AW56" i="42"/>
  <c r="AW111" i="42"/>
  <c r="AW112" i="42" s="1"/>
  <c r="AV8" i="42"/>
  <c r="AQ48" i="42"/>
  <c r="AP49" i="42"/>
  <c r="AP48" i="42" s="1"/>
  <c r="AQ45" i="42"/>
  <c r="AQ44" i="42" s="1"/>
  <c r="AQ43" i="42" s="1"/>
  <c r="AP45" i="42"/>
  <c r="AP44" i="42" s="1"/>
  <c r="AP43" i="42" s="1"/>
  <c r="AU68" i="42"/>
  <c r="AU50" i="42"/>
  <c r="AU53" i="42"/>
  <c r="AS49" i="42"/>
  <c r="AS48" i="42" l="1"/>
  <c r="AR49" i="42"/>
  <c r="AR48" i="42" s="1"/>
  <c r="AS45" i="42"/>
  <c r="AS44" i="42" s="1"/>
  <c r="AS43" i="42" s="1"/>
  <c r="AR45" i="42"/>
  <c r="AR44" i="42" s="1"/>
  <c r="AR43" i="42" s="1"/>
  <c r="AU54" i="42"/>
  <c r="AW50" i="42"/>
  <c r="AW68" i="42"/>
  <c r="AW53" i="42"/>
  <c r="AW54" i="42" l="1"/>
  <c r="AU41" i="42"/>
  <c r="AT41" i="42"/>
  <c r="AU49" i="42"/>
  <c r="AU48" i="42" l="1"/>
  <c r="AU45" i="42"/>
  <c r="AU44" i="42" s="1"/>
  <c r="AU43" i="42" s="1"/>
  <c r="AT45" i="42"/>
  <c r="AT44" i="42" s="1"/>
  <c r="AT43" i="42" s="1"/>
  <c r="AT49" i="42"/>
  <c r="AT48" i="42" s="1"/>
  <c r="AW41" i="42"/>
  <c r="AV41" i="42"/>
  <c r="AW49" i="42"/>
  <c r="AW48" i="42" l="1"/>
  <c r="AW45" i="42"/>
  <c r="AW44" i="42" s="1"/>
  <c r="AW43" i="42" s="1"/>
  <c r="AV45" i="42"/>
  <c r="AV44" i="42" s="1"/>
  <c r="AV43" i="42" s="1"/>
  <c r="AV49" i="42"/>
  <c r="AV48" i="42" s="1"/>
  <c r="BL26" i="35" l="1"/>
  <c r="BJ26" i="35"/>
  <c r="BH26" i="35"/>
  <c r="BF26" i="35"/>
  <c r="BD26" i="35"/>
  <c r="BB26" i="35"/>
  <c r="BL32" i="35"/>
  <c r="BJ32" i="35"/>
  <c r="BH32" i="35"/>
  <c r="BF32" i="35"/>
  <c r="BD32" i="35"/>
  <c r="BB32" i="35"/>
  <c r="O141" i="41"/>
  <c r="O137" i="41"/>
  <c r="O135" i="41"/>
  <c r="O123" i="41"/>
  <c r="O122" i="41"/>
  <c r="O121" i="41"/>
  <c r="O120" i="41"/>
  <c r="O119" i="41"/>
  <c r="O117" i="41" s="1"/>
  <c r="O116" i="41" s="1"/>
  <c r="O114" i="41" s="1"/>
  <c r="O115" i="41" s="1"/>
  <c r="O106" i="41"/>
  <c r="O104" i="41"/>
  <c r="O105" i="41" s="1"/>
  <c r="O96" i="41"/>
  <c r="O65" i="41"/>
  <c r="O59" i="41" s="1"/>
  <c r="O63" i="41"/>
  <c r="O60" i="41"/>
  <c r="N8" i="41" s="1"/>
  <c r="O52" i="41"/>
  <c r="O42" i="41"/>
  <c r="N32" i="41"/>
  <c r="N42" i="41" s="1"/>
  <c r="O31" i="41"/>
  <c r="N31" i="41"/>
  <c r="O30" i="41"/>
  <c r="O29" i="41" s="1"/>
  <c r="N26" i="41"/>
  <c r="N25" i="41" s="1"/>
  <c r="O25" i="41"/>
  <c r="O19" i="41"/>
  <c r="N19" i="41"/>
  <c r="N16" i="41"/>
  <c r="N20" i="41" s="1"/>
  <c r="O15" i="41"/>
  <c r="N10" i="41"/>
  <c r="O10" i="41" s="1"/>
  <c r="N9" i="41"/>
  <c r="N2" i="41"/>
  <c r="J135" i="41"/>
  <c r="J141" i="41" s="1"/>
  <c r="J123" i="41"/>
  <c r="J122" i="41"/>
  <c r="J121" i="41"/>
  <c r="J120" i="41"/>
  <c r="J119" i="41"/>
  <c r="J117" i="41"/>
  <c r="J116" i="41" s="1"/>
  <c r="J114" i="41" s="1"/>
  <c r="J115" i="41" s="1"/>
  <c r="J106" i="41"/>
  <c r="J104" i="41"/>
  <c r="J105" i="41" s="1"/>
  <c r="J65" i="41"/>
  <c r="J60" i="41" s="1"/>
  <c r="J63" i="41"/>
  <c r="J52" i="41"/>
  <c r="J42" i="41"/>
  <c r="I32" i="41"/>
  <c r="J31" i="41"/>
  <c r="J30" i="41"/>
  <c r="J29" i="41" s="1"/>
  <c r="I26" i="41"/>
  <c r="I25" i="41" s="1"/>
  <c r="J25" i="41"/>
  <c r="I19" i="41"/>
  <c r="J15" i="41"/>
  <c r="I9" i="41"/>
  <c r="I2" i="41"/>
  <c r="I10" i="41" s="1"/>
  <c r="H137" i="41"/>
  <c r="M137" i="41" s="1"/>
  <c r="R137" i="41" s="1"/>
  <c r="T137" i="41" s="1"/>
  <c r="T135" i="41"/>
  <c r="T141" i="41" s="1"/>
  <c r="R135" i="41"/>
  <c r="R141" i="41" s="1"/>
  <c r="M135" i="41"/>
  <c r="H135" i="41"/>
  <c r="T123" i="41"/>
  <c r="R123" i="41"/>
  <c r="M123" i="41"/>
  <c r="H123" i="41"/>
  <c r="T122" i="41"/>
  <c r="R122" i="41"/>
  <c r="M122" i="41"/>
  <c r="H122" i="41"/>
  <c r="T121" i="41"/>
  <c r="R121" i="41"/>
  <c r="M121" i="41"/>
  <c r="H121" i="41"/>
  <c r="T120" i="41"/>
  <c r="R120" i="41"/>
  <c r="M120" i="41"/>
  <c r="H120" i="41"/>
  <c r="T119" i="41"/>
  <c r="R119" i="41"/>
  <c r="M119" i="41"/>
  <c r="H119" i="41"/>
  <c r="T106" i="41"/>
  <c r="R106" i="41"/>
  <c r="M106" i="41"/>
  <c r="H106" i="41"/>
  <c r="T104" i="41"/>
  <c r="T105" i="41" s="1"/>
  <c r="R104" i="41"/>
  <c r="R105" i="41" s="1"/>
  <c r="M104" i="41"/>
  <c r="M105" i="41" s="1"/>
  <c r="H104" i="41"/>
  <c r="H105" i="41" s="1"/>
  <c r="E75" i="41"/>
  <c r="E81" i="41" s="1"/>
  <c r="E74" i="41"/>
  <c r="E80" i="41" s="1"/>
  <c r="E83" i="41" s="1"/>
  <c r="E86" i="41" s="1"/>
  <c r="E89" i="41" s="1"/>
  <c r="T65" i="41"/>
  <c r="T60" i="41" s="1"/>
  <c r="R65" i="41"/>
  <c r="R60" i="41" s="1"/>
  <c r="M65" i="41"/>
  <c r="M59" i="41" s="1"/>
  <c r="H65" i="41"/>
  <c r="H59" i="41" s="1"/>
  <c r="E65" i="41"/>
  <c r="C65" i="41"/>
  <c r="T63" i="41"/>
  <c r="R63" i="41"/>
  <c r="M63" i="41"/>
  <c r="H63" i="41"/>
  <c r="E57" i="41"/>
  <c r="E58" i="41" s="1"/>
  <c r="T52" i="41"/>
  <c r="R52" i="41"/>
  <c r="M52" i="41"/>
  <c r="H52" i="41"/>
  <c r="T42" i="41"/>
  <c r="R42" i="41"/>
  <c r="M42" i="41"/>
  <c r="H42" i="41"/>
  <c r="S32" i="41"/>
  <c r="S42" i="41" s="1"/>
  <c r="Q32" i="41"/>
  <c r="Q31" i="41" s="1"/>
  <c r="L32" i="41"/>
  <c r="L31" i="41" s="1"/>
  <c r="G32" i="41"/>
  <c r="T31" i="41"/>
  <c r="R31" i="41"/>
  <c r="M31" i="41"/>
  <c r="H31" i="41"/>
  <c r="T30" i="41"/>
  <c r="T29" i="41" s="1"/>
  <c r="R30" i="41"/>
  <c r="R29" i="41" s="1"/>
  <c r="M30" i="41"/>
  <c r="M29" i="41" s="1"/>
  <c r="H30" i="41"/>
  <c r="H29" i="41" s="1"/>
  <c r="S26" i="41"/>
  <c r="Q26" i="41"/>
  <c r="L26" i="41"/>
  <c r="G26" i="41"/>
  <c r="T25" i="41"/>
  <c r="R25" i="41"/>
  <c r="M25" i="41"/>
  <c r="H25" i="41"/>
  <c r="S19" i="41"/>
  <c r="Q19" i="41"/>
  <c r="L19" i="41"/>
  <c r="G19" i="41"/>
  <c r="T15" i="41"/>
  <c r="T19" i="41" s="1"/>
  <c r="R15" i="41"/>
  <c r="R19" i="41" s="1"/>
  <c r="M15" i="41"/>
  <c r="M19" i="41" s="1"/>
  <c r="H15" i="41"/>
  <c r="H19" i="41" s="1"/>
  <c r="S9" i="41"/>
  <c r="Q9" i="41"/>
  <c r="L9" i="41"/>
  <c r="G9" i="41"/>
  <c r="S2" i="41"/>
  <c r="S10" i="41" s="1"/>
  <c r="S16" i="41" s="1"/>
  <c r="S20" i="41" s="1"/>
  <c r="S24" i="41" s="1"/>
  <c r="S23" i="41" s="1"/>
  <c r="Q2" i="41"/>
  <c r="Q10" i="41" s="1"/>
  <c r="R10" i="41" s="1"/>
  <c r="L2" i="41"/>
  <c r="L10" i="41" s="1"/>
  <c r="G2" i="41"/>
  <c r="G10" i="41" s="1"/>
  <c r="N24" i="41" l="1"/>
  <c r="N23" i="41" s="1"/>
  <c r="N30" i="41"/>
  <c r="N29" i="41" s="1"/>
  <c r="O126" i="41"/>
  <c r="O127" i="41" s="1"/>
  <c r="O76" i="41"/>
  <c r="O74" i="41" s="1"/>
  <c r="O111" i="41" s="1"/>
  <c r="O112" i="41" s="1"/>
  <c r="O16" i="41"/>
  <c r="O20" i="41" s="1"/>
  <c r="O24" i="41" s="1"/>
  <c r="O23" i="41" s="1"/>
  <c r="O69" i="41"/>
  <c r="O132" i="41"/>
  <c r="O133" i="41" s="1"/>
  <c r="O142" i="41" s="1"/>
  <c r="O129" i="41"/>
  <c r="O130" i="41" s="1"/>
  <c r="O56" i="41"/>
  <c r="J59" i="41"/>
  <c r="J137" i="41"/>
  <c r="T59" i="41"/>
  <c r="H60" i="41"/>
  <c r="H56" i="41" s="1"/>
  <c r="H53" i="41" s="1"/>
  <c r="M60" i="41"/>
  <c r="M56" i="41" s="1"/>
  <c r="M53" i="41" s="1"/>
  <c r="J96" i="41"/>
  <c r="J10" i="41"/>
  <c r="I16" i="41"/>
  <c r="I20" i="41" s="1"/>
  <c r="I24" i="41" s="1"/>
  <c r="I23" i="41" s="1"/>
  <c r="J16" i="41"/>
  <c r="J20" i="41" s="1"/>
  <c r="J24" i="41" s="1"/>
  <c r="J23" i="41" s="1"/>
  <c r="J19" i="41"/>
  <c r="I30" i="41"/>
  <c r="I29" i="41" s="1"/>
  <c r="I31" i="41"/>
  <c r="I42" i="41"/>
  <c r="I8" i="41"/>
  <c r="J56" i="41"/>
  <c r="Q16" i="41"/>
  <c r="Q20" i="41" s="1"/>
  <c r="Q24" i="41" s="1"/>
  <c r="Q23" i="41" s="1"/>
  <c r="Q42" i="41"/>
  <c r="Q30" i="41"/>
  <c r="Q29" i="41" s="1"/>
  <c r="R59" i="41"/>
  <c r="T96" i="41"/>
  <c r="S30" i="41"/>
  <c r="S29" i="41" s="1"/>
  <c r="S25" i="41"/>
  <c r="R96" i="41"/>
  <c r="R56" i="41"/>
  <c r="R53" i="41" s="1"/>
  <c r="Q8" i="41"/>
  <c r="S8" i="41"/>
  <c r="T56" i="41"/>
  <c r="G8" i="41"/>
  <c r="L8" i="41"/>
  <c r="S31" i="41"/>
  <c r="H117" i="41"/>
  <c r="H116" i="41" s="1"/>
  <c r="H114" i="41" s="1"/>
  <c r="H115" i="41" s="1"/>
  <c r="T117" i="41"/>
  <c r="T116" i="41" s="1"/>
  <c r="T114" i="41" s="1"/>
  <c r="T115" i="41" s="1"/>
  <c r="R117" i="41"/>
  <c r="R116" i="41" s="1"/>
  <c r="R114" i="41" s="1"/>
  <c r="R115" i="41" s="1"/>
  <c r="G25" i="41"/>
  <c r="G30" i="41"/>
  <c r="G29" i="41" s="1"/>
  <c r="L30" i="41"/>
  <c r="L29" i="41" s="1"/>
  <c r="L25" i="41"/>
  <c r="R126" i="41"/>
  <c r="R127" i="41" s="1"/>
  <c r="R129" i="41"/>
  <c r="R130" i="41" s="1"/>
  <c r="R69" i="41"/>
  <c r="R132" i="41"/>
  <c r="R133" i="41" s="1"/>
  <c r="R142" i="41" s="1"/>
  <c r="R76" i="41"/>
  <c r="R74" i="41" s="1"/>
  <c r="T10" i="41"/>
  <c r="Q25" i="41"/>
  <c r="H50" i="41"/>
  <c r="H54" i="41" s="1"/>
  <c r="H41" i="41" s="1"/>
  <c r="H68" i="41"/>
  <c r="M68" i="41"/>
  <c r="M50" i="41"/>
  <c r="M54" i="41" s="1"/>
  <c r="M41" i="41" s="1"/>
  <c r="L16" i="41"/>
  <c r="L20" i="41" s="1"/>
  <c r="L24" i="41" s="1"/>
  <c r="L23" i="41" s="1"/>
  <c r="M10" i="41"/>
  <c r="R16" i="41"/>
  <c r="R20" i="41" s="1"/>
  <c r="R24" i="41" s="1"/>
  <c r="R23" i="41" s="1"/>
  <c r="G16" i="41"/>
  <c r="G20" i="41" s="1"/>
  <c r="G24" i="41" s="1"/>
  <c r="G23" i="41" s="1"/>
  <c r="H10" i="41"/>
  <c r="G42" i="41"/>
  <c r="L42" i="41"/>
  <c r="G31" i="41"/>
  <c r="H141" i="41"/>
  <c r="H96" i="41"/>
  <c r="M141" i="41"/>
  <c r="M96" i="41"/>
  <c r="M117" i="41"/>
  <c r="M116" i="41" s="1"/>
  <c r="M114" i="41" s="1"/>
  <c r="M115" i="41" s="1"/>
  <c r="O108" i="41" l="1"/>
  <c r="O109" i="41" s="1"/>
  <c r="O54" i="41"/>
  <c r="O68" i="41"/>
  <c r="O50" i="41"/>
  <c r="O80" i="41"/>
  <c r="O75" i="41"/>
  <c r="O71" i="41"/>
  <c r="O53" i="41"/>
  <c r="J50" i="41"/>
  <c r="J54" i="41"/>
  <c r="J41" i="41" s="1"/>
  <c r="J68" i="41"/>
  <c r="J76" i="41"/>
  <c r="J74" i="41" s="1"/>
  <c r="J69" i="41"/>
  <c r="J126" i="41"/>
  <c r="J127" i="41" s="1"/>
  <c r="J129" i="41"/>
  <c r="J130" i="41" s="1"/>
  <c r="J132" i="41"/>
  <c r="J133" i="41" s="1"/>
  <c r="J142" i="41" s="1"/>
  <c r="J53" i="41"/>
  <c r="L41" i="41"/>
  <c r="T68" i="41"/>
  <c r="T50" i="41"/>
  <c r="T54" i="41" s="1"/>
  <c r="T49" i="41" s="1"/>
  <c r="S45" i="41" s="1"/>
  <c r="R68" i="41"/>
  <c r="R50" i="41"/>
  <c r="G41" i="41"/>
  <c r="T53" i="41"/>
  <c r="T126" i="41"/>
  <c r="T127" i="41" s="1"/>
  <c r="T129" i="41"/>
  <c r="T130" i="41" s="1"/>
  <c r="T132" i="41"/>
  <c r="T133" i="41" s="1"/>
  <c r="T142" i="41" s="1"/>
  <c r="T69" i="41"/>
  <c r="T76" i="41"/>
  <c r="T74" i="41" s="1"/>
  <c r="T16" i="41"/>
  <c r="T20" i="41" s="1"/>
  <c r="T24" i="41" s="1"/>
  <c r="T23" i="41" s="1"/>
  <c r="R80" i="41"/>
  <c r="R71" i="41"/>
  <c r="R75" i="41"/>
  <c r="R108" i="41"/>
  <c r="R109" i="41" s="1"/>
  <c r="R111" i="41"/>
  <c r="R112" i="41" s="1"/>
  <c r="S41" i="41"/>
  <c r="H49" i="41"/>
  <c r="H129" i="41"/>
  <c r="H130" i="41" s="1"/>
  <c r="H69" i="41"/>
  <c r="H76" i="41"/>
  <c r="H74" i="41" s="1"/>
  <c r="H126" i="41"/>
  <c r="H127" i="41" s="1"/>
  <c r="H132" i="41"/>
  <c r="H133" i="41" s="1"/>
  <c r="H142" i="41" s="1"/>
  <c r="H16" i="41"/>
  <c r="H20" i="41" s="1"/>
  <c r="H24" i="41" s="1"/>
  <c r="H23" i="41" s="1"/>
  <c r="M126" i="41"/>
  <c r="M127" i="41" s="1"/>
  <c r="M129" i="41"/>
  <c r="M130" i="41" s="1"/>
  <c r="M69" i="41"/>
  <c r="M76" i="41"/>
  <c r="M74" i="41" s="1"/>
  <c r="M132" i="41"/>
  <c r="M133" i="41" s="1"/>
  <c r="M142" i="41" s="1"/>
  <c r="M16" i="41"/>
  <c r="M20" i="41" s="1"/>
  <c r="M24" i="41" s="1"/>
  <c r="M23" i="41" s="1"/>
  <c r="M49" i="41"/>
  <c r="O41" i="41" l="1"/>
  <c r="N41" i="41"/>
  <c r="O83" i="41"/>
  <c r="O82" i="41"/>
  <c r="O81" i="41"/>
  <c r="O49" i="41"/>
  <c r="I41" i="41"/>
  <c r="J80" i="41"/>
  <c r="J75" i="41"/>
  <c r="J71" i="41"/>
  <c r="J111" i="41"/>
  <c r="J112" i="41" s="1"/>
  <c r="J108" i="41"/>
  <c r="J109" i="41" s="1"/>
  <c r="J49" i="41"/>
  <c r="R54" i="41"/>
  <c r="R49" i="41" s="1"/>
  <c r="S49" i="41"/>
  <c r="S48" i="41" s="1"/>
  <c r="T48" i="41"/>
  <c r="T45" i="41"/>
  <c r="T41" i="41"/>
  <c r="L45" i="41"/>
  <c r="L44" i="41" s="1"/>
  <c r="L43" i="41" s="1"/>
  <c r="L49" i="41"/>
  <c r="L48" i="41" s="1"/>
  <c r="M48" i="41"/>
  <c r="M45" i="41"/>
  <c r="M44" i="41" s="1"/>
  <c r="M43" i="41" s="1"/>
  <c r="H75" i="41"/>
  <c r="H71" i="41"/>
  <c r="H80" i="41"/>
  <c r="H111" i="41"/>
  <c r="H112" i="41" s="1"/>
  <c r="H108" i="41"/>
  <c r="H109" i="41" s="1"/>
  <c r="M80" i="41"/>
  <c r="M71" i="41"/>
  <c r="M75" i="41"/>
  <c r="M111" i="41"/>
  <c r="M112" i="41" s="1"/>
  <c r="M108" i="41"/>
  <c r="M109" i="41" s="1"/>
  <c r="R81" i="41"/>
  <c r="R83" i="41"/>
  <c r="R82" i="41"/>
  <c r="G49" i="41"/>
  <c r="G48" i="41" s="1"/>
  <c r="H48" i="41"/>
  <c r="H45" i="41"/>
  <c r="H44" i="41" s="1"/>
  <c r="H43" i="41" s="1"/>
  <c r="G45" i="41"/>
  <c r="G44" i="41" s="1"/>
  <c r="G43" i="41" s="1"/>
  <c r="S44" i="41"/>
  <c r="S43" i="41" s="1"/>
  <c r="T80" i="41"/>
  <c r="T75" i="41"/>
  <c r="T71" i="41"/>
  <c r="T111" i="41"/>
  <c r="T112" i="41" s="1"/>
  <c r="T108" i="41"/>
  <c r="T109" i="41" s="1"/>
  <c r="O45" i="41" l="1"/>
  <c r="O44" i="41" s="1"/>
  <c r="O43" i="41" s="1"/>
  <c r="N49" i="41"/>
  <c r="N48" i="41" s="1"/>
  <c r="O48" i="41"/>
  <c r="N45" i="41"/>
  <c r="N44" i="41" s="1"/>
  <c r="N43" i="41" s="1"/>
  <c r="O86" i="41"/>
  <c r="O84" i="41"/>
  <c r="J45" i="41"/>
  <c r="J44" i="41" s="1"/>
  <c r="J43" i="41" s="1"/>
  <c r="I45" i="41"/>
  <c r="I44" i="41" s="1"/>
  <c r="I43" i="41" s="1"/>
  <c r="I49" i="41"/>
  <c r="I48" i="41" s="1"/>
  <c r="J48" i="41"/>
  <c r="J83" i="41"/>
  <c r="J82" i="41"/>
  <c r="J81" i="41"/>
  <c r="T44" i="41"/>
  <c r="T43" i="41" s="1"/>
  <c r="R48" i="41"/>
  <c r="Q45" i="41"/>
  <c r="Q49" i="41"/>
  <c r="Q48" i="41" s="1"/>
  <c r="R45" i="41"/>
  <c r="R41" i="41"/>
  <c r="Q41" i="41"/>
  <c r="H83" i="41"/>
  <c r="H82" i="41"/>
  <c r="H81" i="41"/>
  <c r="R84" i="41"/>
  <c r="R86" i="41"/>
  <c r="M83" i="41"/>
  <c r="M81" i="41"/>
  <c r="M82" i="41"/>
  <c r="T83" i="41"/>
  <c r="T82" i="41"/>
  <c r="T81" i="41"/>
  <c r="O87" i="41" l="1"/>
  <c r="O89" i="41"/>
  <c r="J86" i="41"/>
  <c r="J84" i="41"/>
  <c r="R44" i="41"/>
  <c r="R43" i="41" s="1"/>
  <c r="Q44" i="41"/>
  <c r="Q43" i="41" s="1"/>
  <c r="T84" i="41"/>
  <c r="T86" i="41"/>
  <c r="H86" i="41"/>
  <c r="H84" i="41"/>
  <c r="R89" i="41"/>
  <c r="R87" i="41"/>
  <c r="M84" i="41"/>
  <c r="M86" i="41"/>
  <c r="O90" i="41" l="1"/>
  <c r="O93" i="41"/>
  <c r="J87" i="41"/>
  <c r="J89" i="41"/>
  <c r="R93" i="41"/>
  <c r="R90" i="41"/>
  <c r="T89" i="41"/>
  <c r="T87" i="41"/>
  <c r="H89" i="41"/>
  <c r="H87" i="41"/>
  <c r="M89" i="41"/>
  <c r="M87" i="41"/>
  <c r="O94" i="41" l="1"/>
  <c r="O98" i="41"/>
  <c r="J93" i="41"/>
  <c r="J90" i="41"/>
  <c r="M93" i="41"/>
  <c r="M90" i="41"/>
  <c r="R94" i="41"/>
  <c r="R98" i="41"/>
  <c r="H90" i="41"/>
  <c r="H93" i="41"/>
  <c r="T93" i="41"/>
  <c r="T90" i="41"/>
  <c r="O99" i="41" l="1"/>
  <c r="O144" i="41"/>
  <c r="J98" i="41"/>
  <c r="J94" i="41"/>
  <c r="R144" i="41"/>
  <c r="R99" i="41"/>
  <c r="T98" i="41"/>
  <c r="T94" i="41"/>
  <c r="H98" i="41"/>
  <c r="H94" i="41"/>
  <c r="M98" i="41"/>
  <c r="M94" i="41"/>
  <c r="J144" i="41" l="1"/>
  <c r="J99" i="41"/>
  <c r="T144" i="41"/>
  <c r="T99" i="41"/>
  <c r="H99" i="41"/>
  <c r="H144" i="41"/>
  <c r="M144" i="41"/>
  <c r="M99" i="41"/>
  <c r="BR137" i="40" l="1"/>
  <c r="BR135" i="40"/>
  <c r="BR141" i="40" s="1"/>
  <c r="BR131" i="40"/>
  <c r="BR132" i="40" s="1"/>
  <c r="BR133" i="40" s="1"/>
  <c r="BR129" i="40"/>
  <c r="BR130" i="40" s="1"/>
  <c r="BR117" i="40"/>
  <c r="BR116" i="40" s="1"/>
  <c r="BR114" i="40" s="1"/>
  <c r="BR115" i="40" s="1"/>
  <c r="BR106" i="40"/>
  <c r="BR100" i="40"/>
  <c r="BR72" i="40"/>
  <c r="BR65" i="40"/>
  <c r="BR59" i="40" s="1"/>
  <c r="BQ8" i="40" s="1"/>
  <c r="BR63" i="40"/>
  <c r="BR56" i="40"/>
  <c r="BR52" i="40"/>
  <c r="BR53" i="40" s="1"/>
  <c r="BR50" i="40"/>
  <c r="BR42" i="40"/>
  <c r="BQ32" i="40"/>
  <c r="BQ42" i="40" s="1"/>
  <c r="BR31" i="40"/>
  <c r="BR30" i="40"/>
  <c r="BR29" i="40"/>
  <c r="BQ26" i="40"/>
  <c r="BQ25" i="40" s="1"/>
  <c r="BR25" i="40"/>
  <c r="BQ19" i="40"/>
  <c r="BQ16" i="40"/>
  <c r="BQ20" i="40" s="1"/>
  <c r="BR15" i="40"/>
  <c r="BR19" i="40" s="1"/>
  <c r="BR10" i="40"/>
  <c r="BQ9" i="40"/>
  <c r="BP137" i="40"/>
  <c r="BP135" i="40"/>
  <c r="BP96" i="40" s="1"/>
  <c r="BP131" i="40"/>
  <c r="BP132" i="40" s="1"/>
  <c r="BP133" i="40" s="1"/>
  <c r="BP129" i="40"/>
  <c r="BP130" i="40" s="1"/>
  <c r="BP123" i="40"/>
  <c r="BP122" i="40"/>
  <c r="BP121" i="40"/>
  <c r="BP120" i="40"/>
  <c r="BP119" i="40"/>
  <c r="BP106" i="40"/>
  <c r="BP100" i="40"/>
  <c r="BP72" i="40"/>
  <c r="BP65" i="40"/>
  <c r="BP59" i="40" s="1"/>
  <c r="BO8" i="40" s="1"/>
  <c r="BP63" i="40"/>
  <c r="BP56" i="40"/>
  <c r="BP50" i="40" s="1"/>
  <c r="BP54" i="40" s="1"/>
  <c r="BP49" i="40" s="1"/>
  <c r="BP52" i="40"/>
  <c r="BP42" i="40"/>
  <c r="BO32" i="40"/>
  <c r="BO31" i="40" s="1"/>
  <c r="BP31" i="40"/>
  <c r="BP30" i="40"/>
  <c r="BP29" i="40" s="1"/>
  <c r="BO26" i="40"/>
  <c r="BO25" i="40" s="1"/>
  <c r="BP25" i="40"/>
  <c r="BO19" i="40"/>
  <c r="BO16" i="40"/>
  <c r="BO20" i="40" s="1"/>
  <c r="BO24" i="40" s="1"/>
  <c r="BO23" i="40" s="1"/>
  <c r="BP15" i="40"/>
  <c r="BP10" i="40"/>
  <c r="BP76" i="40" s="1"/>
  <c r="BP74" i="40" s="1"/>
  <c r="BP80" i="40" s="1"/>
  <c r="BO9" i="40"/>
  <c r="BN137" i="40"/>
  <c r="BN135" i="40"/>
  <c r="BN96" i="40" s="1"/>
  <c r="BN131" i="40"/>
  <c r="BN132" i="40" s="1"/>
  <c r="BN133" i="40" s="1"/>
  <c r="BN129" i="40"/>
  <c r="BN130" i="40" s="1"/>
  <c r="BN123" i="40"/>
  <c r="BN122" i="40"/>
  <c r="BN121" i="40"/>
  <c r="BN120" i="40"/>
  <c r="BN119" i="40"/>
  <c r="BN106" i="40"/>
  <c r="BN100" i="40"/>
  <c r="BN72" i="40"/>
  <c r="BN65" i="40"/>
  <c r="BN63" i="40"/>
  <c r="BN56" i="40"/>
  <c r="BN52" i="40"/>
  <c r="BN42" i="40"/>
  <c r="BM32" i="40"/>
  <c r="BM42" i="40" s="1"/>
  <c r="BN31" i="40"/>
  <c r="BM31" i="40"/>
  <c r="BN30" i="40"/>
  <c r="BN29" i="40" s="1"/>
  <c r="BM26" i="40"/>
  <c r="BM25" i="40" s="1"/>
  <c r="BN25" i="40"/>
  <c r="BM19" i="40"/>
  <c r="BM16" i="40"/>
  <c r="BM20" i="40" s="1"/>
  <c r="BN15" i="40"/>
  <c r="BN19" i="40" s="1"/>
  <c r="BN10" i="40"/>
  <c r="BN76" i="40" s="1"/>
  <c r="BN74" i="40" s="1"/>
  <c r="BM9" i="40"/>
  <c r="BL137" i="40"/>
  <c r="BL135" i="40"/>
  <c r="BL141" i="40" s="1"/>
  <c r="BL131" i="40"/>
  <c r="BL132" i="40" s="1"/>
  <c r="BL133" i="40" s="1"/>
  <c r="BL129" i="40"/>
  <c r="BL130" i="40" s="1"/>
  <c r="BL123" i="40"/>
  <c r="BL122" i="40"/>
  <c r="BL121" i="40"/>
  <c r="BL120" i="40"/>
  <c r="BL119" i="40"/>
  <c r="BL106" i="40"/>
  <c r="BL100" i="40"/>
  <c r="BL72" i="40"/>
  <c r="BL65" i="40"/>
  <c r="BL59" i="40" s="1"/>
  <c r="BK8" i="40" s="1"/>
  <c r="BL63" i="40"/>
  <c r="BL56" i="40"/>
  <c r="BL50" i="40" s="1"/>
  <c r="BL52" i="40"/>
  <c r="BL42" i="40"/>
  <c r="BK32" i="40"/>
  <c r="BK42" i="40" s="1"/>
  <c r="BL31" i="40"/>
  <c r="BL30" i="40"/>
  <c r="BL29" i="40" s="1"/>
  <c r="BK26" i="40"/>
  <c r="BL25" i="40"/>
  <c r="BK19" i="40"/>
  <c r="BK16" i="40"/>
  <c r="BK20" i="40" s="1"/>
  <c r="BL15" i="40"/>
  <c r="BL19" i="40" s="1"/>
  <c r="BL10" i="40"/>
  <c r="BL69" i="40" s="1"/>
  <c r="BK9" i="40"/>
  <c r="BG137" i="40"/>
  <c r="BG135" i="40"/>
  <c r="BG96" i="40" s="1"/>
  <c r="BG131" i="40"/>
  <c r="BG132" i="40" s="1"/>
  <c r="BG133" i="40" s="1"/>
  <c r="BG129" i="40"/>
  <c r="BG130" i="40" s="1"/>
  <c r="BG123" i="40"/>
  <c r="BG122" i="40"/>
  <c r="BG121" i="40"/>
  <c r="BG120" i="40"/>
  <c r="BG119" i="40"/>
  <c r="BG106" i="40"/>
  <c r="BG100" i="40"/>
  <c r="BG72" i="40"/>
  <c r="BG65" i="40"/>
  <c r="BG59" i="40" s="1"/>
  <c r="BF8" i="40" s="1"/>
  <c r="BG63" i="40"/>
  <c r="BG56" i="40"/>
  <c r="BG52" i="40"/>
  <c r="BG42" i="40"/>
  <c r="BF32" i="40"/>
  <c r="BF42" i="40" s="1"/>
  <c r="BG30" i="40"/>
  <c r="BG29" i="40" s="1"/>
  <c r="BF26" i="40"/>
  <c r="BF25" i="40" s="1"/>
  <c r="BG25" i="40"/>
  <c r="BF19" i="40"/>
  <c r="BF16" i="40"/>
  <c r="BF20" i="40" s="1"/>
  <c r="BG15" i="40"/>
  <c r="BG19" i="40" s="1"/>
  <c r="BG10" i="40"/>
  <c r="BG76" i="40" s="1"/>
  <c r="BG74" i="40" s="1"/>
  <c r="BF9" i="40"/>
  <c r="BE137" i="40"/>
  <c r="BE135" i="40"/>
  <c r="BE141" i="40" s="1"/>
  <c r="BE131" i="40"/>
  <c r="BE132" i="40" s="1"/>
  <c r="BE133" i="40" s="1"/>
  <c r="BE129" i="40"/>
  <c r="BE130" i="40" s="1"/>
  <c r="BE123" i="40"/>
  <c r="BE122" i="40"/>
  <c r="BE121" i="40"/>
  <c r="BE120" i="40"/>
  <c r="BE119" i="40"/>
  <c r="BE106" i="40"/>
  <c r="BE100" i="40"/>
  <c r="BE104" i="40" s="1"/>
  <c r="BE105" i="40" s="1"/>
  <c r="BE72" i="40"/>
  <c r="BE65" i="40"/>
  <c r="BE63" i="40"/>
  <c r="BE56" i="40"/>
  <c r="BE50" i="40" s="1"/>
  <c r="BE54" i="40" s="1"/>
  <c r="BE52" i="40"/>
  <c r="BE42" i="40"/>
  <c r="BD32" i="40"/>
  <c r="BD42" i="40" s="1"/>
  <c r="BE30" i="40"/>
  <c r="BE29" i="40" s="1"/>
  <c r="BD26" i="40"/>
  <c r="BD25" i="40" s="1"/>
  <c r="BE25" i="40"/>
  <c r="BD19" i="40"/>
  <c r="BD16" i="40"/>
  <c r="BD20" i="40" s="1"/>
  <c r="BE15" i="40"/>
  <c r="BE19" i="40" s="1"/>
  <c r="BE10" i="40"/>
  <c r="BE76" i="40" s="1"/>
  <c r="BE74" i="40" s="1"/>
  <c r="BD9" i="40"/>
  <c r="M198" i="40"/>
  <c r="L198" i="40"/>
  <c r="M197" i="40"/>
  <c r="L197" i="40"/>
  <c r="M196" i="40"/>
  <c r="L196" i="40"/>
  <c r="M195" i="40"/>
  <c r="L195" i="40"/>
  <c r="M194" i="40"/>
  <c r="L194" i="40"/>
  <c r="M193" i="40"/>
  <c r="L193" i="40"/>
  <c r="M192" i="40"/>
  <c r="L192" i="40"/>
  <c r="M191" i="40"/>
  <c r="L191" i="40"/>
  <c r="M190" i="40"/>
  <c r="L190" i="40"/>
  <c r="M189" i="40"/>
  <c r="L189" i="40"/>
  <c r="M188" i="40"/>
  <c r="L188" i="40"/>
  <c r="M187" i="40"/>
  <c r="L187" i="40"/>
  <c r="M186" i="40"/>
  <c r="L186" i="40"/>
  <c r="M185" i="40"/>
  <c r="L185" i="40"/>
  <c r="M184" i="40"/>
  <c r="L184" i="40"/>
  <c r="M183" i="40"/>
  <c r="L183" i="40"/>
  <c r="M182" i="40"/>
  <c r="L182" i="40"/>
  <c r="M181" i="40"/>
  <c r="L181" i="40"/>
  <c r="M180" i="40"/>
  <c r="L180" i="40"/>
  <c r="H180" i="40"/>
  <c r="F180" i="40"/>
  <c r="W160" i="40"/>
  <c r="W161" i="40" s="1"/>
  <c r="U160" i="40"/>
  <c r="U161" i="40" s="1"/>
  <c r="S160" i="40"/>
  <c r="S161" i="40" s="1"/>
  <c r="AO141" i="40"/>
  <c r="W138" i="40"/>
  <c r="U138" i="40"/>
  <c r="S138" i="40"/>
  <c r="M138" i="40"/>
  <c r="K138" i="40"/>
  <c r="BW137" i="40"/>
  <c r="BU137" i="40"/>
  <c r="BI137" i="40"/>
  <c r="BC137" i="40"/>
  <c r="BA137" i="40"/>
  <c r="AI137" i="40"/>
  <c r="AK137" i="40" s="1"/>
  <c r="AM137" i="40" s="1"/>
  <c r="AG137" i="40"/>
  <c r="AQ137" i="40" s="1"/>
  <c r="I137" i="40"/>
  <c r="G137" i="40"/>
  <c r="AS136" i="40"/>
  <c r="AS96" i="40" s="1"/>
  <c r="BW135" i="40"/>
  <c r="BW141" i="40" s="1"/>
  <c r="BU135" i="40"/>
  <c r="BU141" i="40" s="1"/>
  <c r="BI135" i="40"/>
  <c r="BI96" i="40" s="1"/>
  <c r="BC135" i="40"/>
  <c r="BA135" i="40"/>
  <c r="AY135" i="40"/>
  <c r="AU135" i="40"/>
  <c r="AQ135" i="40"/>
  <c r="AQ140" i="40" s="1"/>
  <c r="AM135" i="40"/>
  <c r="AM141" i="40" s="1"/>
  <c r="AK135" i="40"/>
  <c r="AK141" i="40" s="1"/>
  <c r="AI135" i="40"/>
  <c r="AI141" i="40" s="1"/>
  <c r="AG135" i="40"/>
  <c r="AG141" i="40" s="1"/>
  <c r="AE135" i="40"/>
  <c r="AE96" i="40" s="1"/>
  <c r="AA135" i="40"/>
  <c r="AA141" i="40" s="1"/>
  <c r="Y135" i="40"/>
  <c r="Y141" i="40" s="1"/>
  <c r="W135" i="40"/>
  <c r="W141" i="40" s="1"/>
  <c r="U135" i="40"/>
  <c r="U141" i="40" s="1"/>
  <c r="S135" i="40"/>
  <c r="S141" i="40" s="1"/>
  <c r="Q135" i="40"/>
  <c r="O135" i="40"/>
  <c r="O141" i="40" s="1"/>
  <c r="M135" i="40"/>
  <c r="M141" i="40" s="1"/>
  <c r="K135" i="40"/>
  <c r="K141" i="40" s="1"/>
  <c r="I135" i="40"/>
  <c r="I141" i="40" s="1"/>
  <c r="G135" i="40"/>
  <c r="AY132" i="40"/>
  <c r="AY133" i="40" s="1"/>
  <c r="AW132" i="40"/>
  <c r="AW133" i="40" s="1"/>
  <c r="AU132" i="40"/>
  <c r="AU133" i="40" s="1"/>
  <c r="AS132" i="40"/>
  <c r="AS133" i="40" s="1"/>
  <c r="AQ132" i="40"/>
  <c r="AQ133" i="40" s="1"/>
  <c r="AO132" i="40"/>
  <c r="AO133" i="40" s="1"/>
  <c r="AM132" i="40"/>
  <c r="AM133" i="40" s="1"/>
  <c r="AE132" i="40"/>
  <c r="AE133" i="40" s="1"/>
  <c r="AC132" i="40"/>
  <c r="AC133" i="40" s="1"/>
  <c r="AA132" i="40"/>
  <c r="AA133" i="40" s="1"/>
  <c r="BW131" i="40"/>
  <c r="BW132" i="40" s="1"/>
  <c r="BW133" i="40" s="1"/>
  <c r="BU131" i="40"/>
  <c r="BU132" i="40" s="1"/>
  <c r="BU133" i="40" s="1"/>
  <c r="BI131" i="40"/>
  <c r="BI132" i="40" s="1"/>
  <c r="BI133" i="40" s="1"/>
  <c r="BC131" i="40"/>
  <c r="BC132" i="40" s="1"/>
  <c r="BC133" i="40" s="1"/>
  <c r="BA131" i="40"/>
  <c r="BA132" i="40" s="1"/>
  <c r="BA133" i="40" s="1"/>
  <c r="AK131" i="40"/>
  <c r="AK132" i="40" s="1"/>
  <c r="AK133" i="40" s="1"/>
  <c r="AI131" i="40"/>
  <c r="AI132" i="40" s="1"/>
  <c r="AI133" i="40" s="1"/>
  <c r="AG131" i="40"/>
  <c r="AG132" i="40" s="1"/>
  <c r="AG133" i="40" s="1"/>
  <c r="Y131" i="40"/>
  <c r="Y132" i="40" s="1"/>
  <c r="Y133" i="40" s="1"/>
  <c r="W131" i="40"/>
  <c r="W132" i="40" s="1"/>
  <c r="W133" i="40" s="1"/>
  <c r="U131" i="40"/>
  <c r="U132" i="40" s="1"/>
  <c r="U133" i="40" s="1"/>
  <c r="S131" i="40"/>
  <c r="S132" i="40" s="1"/>
  <c r="S133" i="40" s="1"/>
  <c r="Q131" i="40"/>
  <c r="Q132" i="40" s="1"/>
  <c r="Q133" i="40" s="1"/>
  <c r="O131" i="40"/>
  <c r="O132" i="40" s="1"/>
  <c r="O133" i="40" s="1"/>
  <c r="M131" i="40"/>
  <c r="M132" i="40" s="1"/>
  <c r="M133" i="40" s="1"/>
  <c r="K131" i="40"/>
  <c r="K132" i="40" s="1"/>
  <c r="K133" i="40" s="1"/>
  <c r="I131" i="40"/>
  <c r="I132" i="40" s="1"/>
  <c r="I133" i="40" s="1"/>
  <c r="G131" i="40"/>
  <c r="G132" i="40" s="1"/>
  <c r="G133" i="40" s="1"/>
  <c r="BW129" i="40"/>
  <c r="BW130" i="40" s="1"/>
  <c r="BU129" i="40"/>
  <c r="BU130" i="40" s="1"/>
  <c r="BI129" i="40"/>
  <c r="BI130" i="40" s="1"/>
  <c r="BC129" i="40"/>
  <c r="BC130" i="40" s="1"/>
  <c r="BA129" i="40"/>
  <c r="BA130" i="40" s="1"/>
  <c r="AY129" i="40"/>
  <c r="AY130" i="40" s="1"/>
  <c r="AW129" i="40"/>
  <c r="AW130" i="40" s="1"/>
  <c r="AU129" i="40"/>
  <c r="AU130" i="40" s="1"/>
  <c r="AS129" i="40"/>
  <c r="AS130" i="40" s="1"/>
  <c r="AQ129" i="40"/>
  <c r="AQ130" i="40" s="1"/>
  <c r="AO129" i="40"/>
  <c r="AO130" i="40" s="1"/>
  <c r="AM129" i="40"/>
  <c r="AM130" i="40" s="1"/>
  <c r="AK129" i="40"/>
  <c r="AK130" i="40" s="1"/>
  <c r="AI129" i="40"/>
  <c r="AI130" i="40" s="1"/>
  <c r="AG129" i="40"/>
  <c r="AG130" i="40" s="1"/>
  <c r="AE129" i="40"/>
  <c r="AE130" i="40" s="1"/>
  <c r="AC129" i="40"/>
  <c r="AC130" i="40" s="1"/>
  <c r="AA129" i="40"/>
  <c r="AA130" i="40" s="1"/>
  <c r="Y129" i="40"/>
  <c r="Y130" i="40" s="1"/>
  <c r="W129" i="40"/>
  <c r="W130" i="40" s="1"/>
  <c r="U129" i="40"/>
  <c r="U130" i="40" s="1"/>
  <c r="S129" i="40"/>
  <c r="S130" i="40" s="1"/>
  <c r="M129" i="40"/>
  <c r="M130" i="40" s="1"/>
  <c r="K129" i="40"/>
  <c r="K130" i="40" s="1"/>
  <c r="I129" i="40"/>
  <c r="I130" i="40" s="1"/>
  <c r="G129" i="40"/>
  <c r="G130" i="40" s="1"/>
  <c r="O128" i="40"/>
  <c r="O129" i="40" s="1"/>
  <c r="O130" i="40" s="1"/>
  <c r="AM126" i="40"/>
  <c r="AM127" i="40" s="1"/>
  <c r="AK126" i="40"/>
  <c r="AK127" i="40" s="1"/>
  <c r="AA126" i="40"/>
  <c r="AA127" i="40" s="1"/>
  <c r="Y126" i="40"/>
  <c r="Y127" i="40" s="1"/>
  <c r="W126" i="40"/>
  <c r="W127" i="40" s="1"/>
  <c r="U126" i="40"/>
  <c r="U127" i="40" s="1"/>
  <c r="S126" i="40"/>
  <c r="S127" i="40" s="1"/>
  <c r="M126" i="40"/>
  <c r="M127" i="40" s="1"/>
  <c r="K126" i="40"/>
  <c r="K127" i="40" s="1"/>
  <c r="I126" i="40"/>
  <c r="I127" i="40" s="1"/>
  <c r="G126" i="40"/>
  <c r="G127" i="40" s="1"/>
  <c r="O125" i="40"/>
  <c r="Q125" i="40" s="1"/>
  <c r="Q126" i="40" s="1"/>
  <c r="Q127" i="40" s="1"/>
  <c r="BW123" i="40"/>
  <c r="BU123" i="40"/>
  <c r="BC123" i="40"/>
  <c r="BA123" i="40"/>
  <c r="AY123" i="40"/>
  <c r="AW123" i="40"/>
  <c r="AU123" i="40"/>
  <c r="AS123" i="40"/>
  <c r="AQ123" i="40"/>
  <c r="AO123" i="40"/>
  <c r="AM123" i="40"/>
  <c r="AK123" i="40"/>
  <c r="AI123" i="40"/>
  <c r="AG123" i="40"/>
  <c r="AE123" i="40"/>
  <c r="AC123" i="40"/>
  <c r="AA123" i="40"/>
  <c r="Y123" i="40"/>
  <c r="W123" i="40"/>
  <c r="U123" i="40"/>
  <c r="S123" i="40"/>
  <c r="Q123" i="40"/>
  <c r="O123" i="40"/>
  <c r="M123" i="40"/>
  <c r="K123" i="40"/>
  <c r="I123" i="40"/>
  <c r="G123" i="40"/>
  <c r="BW122" i="40"/>
  <c r="BU122" i="40"/>
  <c r="BC122" i="40"/>
  <c r="BA122" i="40"/>
  <c r="AY122" i="40"/>
  <c r="AW122" i="40"/>
  <c r="AU122" i="40"/>
  <c r="AS122" i="40"/>
  <c r="AQ122" i="40"/>
  <c r="AO122" i="40"/>
  <c r="AM122" i="40"/>
  <c r="AK122" i="40"/>
  <c r="AI122" i="40"/>
  <c r="AG122" i="40"/>
  <c r="AE122" i="40"/>
  <c r="AC122" i="40"/>
  <c r="AA122" i="40"/>
  <c r="Y122" i="40"/>
  <c r="W122" i="40"/>
  <c r="U122" i="40"/>
  <c r="S122" i="40"/>
  <c r="Q122" i="40"/>
  <c r="O122" i="40"/>
  <c r="M122" i="40"/>
  <c r="K122" i="40"/>
  <c r="I122" i="40"/>
  <c r="G122" i="40"/>
  <c r="BW121" i="40"/>
  <c r="BU121" i="40"/>
  <c r="BC121" i="40"/>
  <c r="BA121" i="40"/>
  <c r="AY121" i="40"/>
  <c r="AW121" i="40"/>
  <c r="AU121" i="40"/>
  <c r="AS121" i="40"/>
  <c r="AQ121" i="40"/>
  <c r="AO121" i="40"/>
  <c r="AM121" i="40"/>
  <c r="AK121" i="40"/>
  <c r="AI121" i="40"/>
  <c r="AG121" i="40"/>
  <c r="AE121" i="40"/>
  <c r="AC121" i="40"/>
  <c r="AA121" i="40"/>
  <c r="Y121" i="40"/>
  <c r="W121" i="40"/>
  <c r="U121" i="40"/>
  <c r="S121" i="40"/>
  <c r="Q121" i="40"/>
  <c r="O121" i="40"/>
  <c r="M121" i="40"/>
  <c r="K121" i="40"/>
  <c r="I121" i="40"/>
  <c r="G121" i="40"/>
  <c r="BW120" i="40"/>
  <c r="BU120" i="40"/>
  <c r="BC120" i="40"/>
  <c r="BA120" i="40"/>
  <c r="AY120" i="40"/>
  <c r="AW120" i="40"/>
  <c r="AU120" i="40"/>
  <c r="AS120" i="40"/>
  <c r="AQ120" i="40"/>
  <c r="AO120" i="40"/>
  <c r="AM120" i="40"/>
  <c r="AK120" i="40"/>
  <c r="AI120" i="40"/>
  <c r="AG120" i="40"/>
  <c r="AE120" i="40"/>
  <c r="AC120" i="40"/>
  <c r="AA120" i="40"/>
  <c r="Y120" i="40"/>
  <c r="W120" i="40"/>
  <c r="U120" i="40"/>
  <c r="S120" i="40"/>
  <c r="Q120" i="40"/>
  <c r="O120" i="40"/>
  <c r="M120" i="40"/>
  <c r="K120" i="40"/>
  <c r="I120" i="40"/>
  <c r="G120" i="40"/>
  <c r="BW119" i="40"/>
  <c r="BU119" i="40"/>
  <c r="BC119" i="40"/>
  <c r="BA119" i="40"/>
  <c r="AY119" i="40"/>
  <c r="AW119" i="40"/>
  <c r="AU119" i="40"/>
  <c r="AS119" i="40"/>
  <c r="AQ119" i="40"/>
  <c r="AO119" i="40"/>
  <c r="AM119" i="40"/>
  <c r="AK119" i="40"/>
  <c r="AI119" i="40"/>
  <c r="AG119" i="40"/>
  <c r="AE119" i="40"/>
  <c r="AC119" i="40"/>
  <c r="AA119" i="40"/>
  <c r="Y119" i="40"/>
  <c r="W119" i="40"/>
  <c r="U119" i="40"/>
  <c r="S119" i="40"/>
  <c r="Q119" i="40"/>
  <c r="O119" i="40"/>
  <c r="M119" i="40"/>
  <c r="K119" i="40"/>
  <c r="I119" i="40"/>
  <c r="G119" i="40"/>
  <c r="BW106" i="40"/>
  <c r="BU106" i="40"/>
  <c r="BI106" i="40"/>
  <c r="BC106" i="40"/>
  <c r="BA106" i="40"/>
  <c r="AY106" i="40"/>
  <c r="AW106" i="40"/>
  <c r="AU106" i="40"/>
  <c r="AS106" i="40"/>
  <c r="AQ106" i="40"/>
  <c r="AO106" i="40"/>
  <c r="AM106" i="40"/>
  <c r="AK106" i="40"/>
  <c r="AI106" i="40"/>
  <c r="AG106" i="40"/>
  <c r="AE106" i="40"/>
  <c r="AC106" i="40"/>
  <c r="AA106" i="40"/>
  <c r="Y106" i="40"/>
  <c r="W106" i="40"/>
  <c r="U106" i="40"/>
  <c r="S106" i="40"/>
  <c r="Q106" i="40"/>
  <c r="O106" i="40"/>
  <c r="M106" i="40"/>
  <c r="K106" i="40"/>
  <c r="I106" i="40"/>
  <c r="G106" i="40"/>
  <c r="AM104" i="40"/>
  <c r="AM105" i="40" s="1"/>
  <c r="AK104" i="40"/>
  <c r="AK105" i="40" s="1"/>
  <c r="AI104" i="40"/>
  <c r="AI105" i="40" s="1"/>
  <c r="AG104" i="40"/>
  <c r="AG105" i="40" s="1"/>
  <c r="AE104" i="40"/>
  <c r="AE105" i="40" s="1"/>
  <c r="AC104" i="40"/>
  <c r="AC105" i="40" s="1"/>
  <c r="AA104" i="40"/>
  <c r="AA105" i="40" s="1"/>
  <c r="Y104" i="40"/>
  <c r="Y105" i="40" s="1"/>
  <c r="Q104" i="40"/>
  <c r="Q105" i="40" s="1"/>
  <c r="O104" i="40"/>
  <c r="O105" i="40" s="1"/>
  <c r="I104" i="40"/>
  <c r="I105" i="40" s="1"/>
  <c r="G104" i="40"/>
  <c r="G105" i="40" s="1"/>
  <c r="BW100" i="40"/>
  <c r="BW104" i="40" s="1"/>
  <c r="BW105" i="40" s="1"/>
  <c r="BU100" i="40"/>
  <c r="BU104" i="40" s="1"/>
  <c r="BU105" i="40" s="1"/>
  <c r="BI100" i="40"/>
  <c r="BC100" i="40"/>
  <c r="BC104" i="40" s="1"/>
  <c r="BC105" i="40" s="1"/>
  <c r="BA100" i="40"/>
  <c r="BA104" i="40" s="1"/>
  <c r="BA105" i="40" s="1"/>
  <c r="AY100" i="40"/>
  <c r="AY104" i="40" s="1"/>
  <c r="AY105" i="40" s="1"/>
  <c r="AW100" i="40"/>
  <c r="AW104" i="40" s="1"/>
  <c r="AW105" i="40" s="1"/>
  <c r="AU100" i="40"/>
  <c r="AU104" i="40" s="1"/>
  <c r="AU105" i="40" s="1"/>
  <c r="AS100" i="40"/>
  <c r="AS104" i="40" s="1"/>
  <c r="AS105" i="40" s="1"/>
  <c r="AQ100" i="40"/>
  <c r="AQ104" i="40" s="1"/>
  <c r="AQ105" i="40" s="1"/>
  <c r="AO100" i="40"/>
  <c r="AO104" i="40" s="1"/>
  <c r="AO105" i="40" s="1"/>
  <c r="W100" i="40"/>
  <c r="W104" i="40" s="1"/>
  <c r="W105" i="40" s="1"/>
  <c r="U100" i="40"/>
  <c r="U104" i="40" s="1"/>
  <c r="U105" i="40" s="1"/>
  <c r="S100" i="40"/>
  <c r="S104" i="40" s="1"/>
  <c r="S105" i="40" s="1"/>
  <c r="M100" i="40"/>
  <c r="M104" i="40" s="1"/>
  <c r="M105" i="40" s="1"/>
  <c r="K100" i="40"/>
  <c r="K104" i="40" s="1"/>
  <c r="K105" i="40" s="1"/>
  <c r="AO96" i="40"/>
  <c r="AC96" i="40"/>
  <c r="AQ76" i="40"/>
  <c r="AQ74" i="40" s="1"/>
  <c r="AQ75" i="40" s="1"/>
  <c r="Y76" i="40"/>
  <c r="Y74" i="40" s="1"/>
  <c r="M76" i="40"/>
  <c r="M74" i="40" s="1"/>
  <c r="E75" i="40"/>
  <c r="E81" i="40" s="1"/>
  <c r="E74" i="40"/>
  <c r="E80" i="40" s="1"/>
  <c r="E83" i="40" s="1"/>
  <c r="E86" i="40" s="1"/>
  <c r="E89" i="40" s="1"/>
  <c r="BI72" i="40"/>
  <c r="BC72" i="40"/>
  <c r="BU72" i="40" s="1"/>
  <c r="BW72" i="40" s="1"/>
  <c r="BA72" i="40"/>
  <c r="AG72" i="40"/>
  <c r="AI72" i="40" s="1"/>
  <c r="M72" i="40"/>
  <c r="H72" i="40"/>
  <c r="Y69" i="40"/>
  <c r="BA67" i="40"/>
  <c r="AY67" i="40"/>
  <c r="AU67" i="40"/>
  <c r="AQ67" i="40"/>
  <c r="AO67" i="40"/>
  <c r="AM67" i="40"/>
  <c r="AI67" i="40"/>
  <c r="AE67" i="40"/>
  <c r="W67" i="40"/>
  <c r="U67" i="40"/>
  <c r="S67" i="40"/>
  <c r="Q67" i="40"/>
  <c r="O67" i="40"/>
  <c r="N72" i="40" s="1"/>
  <c r="M67" i="40"/>
  <c r="K67" i="40"/>
  <c r="J72" i="40" s="1"/>
  <c r="G67" i="40"/>
  <c r="F72" i="40" s="1"/>
  <c r="BW65" i="40"/>
  <c r="BW59" i="40" s="1"/>
  <c r="BV8" i="40" s="1"/>
  <c r="BU65" i="40"/>
  <c r="BU59" i="40" s="1"/>
  <c r="BT8" i="40" s="1"/>
  <c r="BI65" i="40"/>
  <c r="BI59" i="40" s="1"/>
  <c r="BH8" i="40" s="1"/>
  <c r="BC65" i="40"/>
  <c r="BC59" i="40" s="1"/>
  <c r="BB8" i="40" s="1"/>
  <c r="BA65" i="40"/>
  <c r="AY65" i="40"/>
  <c r="AW65" i="40"/>
  <c r="AW59" i="40" s="1"/>
  <c r="AV8" i="40" s="1"/>
  <c r="AU65" i="40"/>
  <c r="AS65" i="40"/>
  <c r="AQ65" i="40"/>
  <c r="AO65" i="40"/>
  <c r="AM65" i="40"/>
  <c r="AK65" i="40"/>
  <c r="AI65" i="40"/>
  <c r="AG65" i="40"/>
  <c r="AG60" i="40" s="1"/>
  <c r="AG56" i="40" s="1"/>
  <c r="AE65" i="40"/>
  <c r="AC65" i="40"/>
  <c r="AC59" i="40" s="1"/>
  <c r="AB8" i="40" s="1"/>
  <c r="AA65" i="40"/>
  <c r="AA59" i="40" s="1"/>
  <c r="Z8" i="40" s="1"/>
  <c r="Y65" i="40"/>
  <c r="W65" i="40"/>
  <c r="U65" i="40"/>
  <c r="S65" i="40"/>
  <c r="Q65" i="40"/>
  <c r="O65" i="40"/>
  <c r="M65" i="40"/>
  <c r="K65" i="40"/>
  <c r="I65" i="40"/>
  <c r="G65" i="40"/>
  <c r="E65" i="40"/>
  <c r="C65" i="40"/>
  <c r="BW63" i="40"/>
  <c r="BU63" i="40"/>
  <c r="BI63" i="40"/>
  <c r="BC63" i="40"/>
  <c r="BA63" i="40"/>
  <c r="AY63" i="40"/>
  <c r="AW63" i="40"/>
  <c r="AU63" i="40"/>
  <c r="AS63" i="40"/>
  <c r="AQ63" i="40"/>
  <c r="AO63" i="40"/>
  <c r="AM63" i="40"/>
  <c r="AK63" i="40"/>
  <c r="AI63" i="40"/>
  <c r="AG63" i="40"/>
  <c r="AE63" i="40"/>
  <c r="AC63" i="40"/>
  <c r="AA63" i="40"/>
  <c r="Y63" i="40"/>
  <c r="AK62" i="40"/>
  <c r="W57" i="40"/>
  <c r="W63" i="40" s="1"/>
  <c r="U57" i="40"/>
  <c r="U63" i="40" s="1"/>
  <c r="S57" i="40"/>
  <c r="S63" i="40" s="1"/>
  <c r="Q57" i="40"/>
  <c r="O57" i="40"/>
  <c r="M57" i="40"/>
  <c r="M63" i="40" s="1"/>
  <c r="K57" i="40"/>
  <c r="I57" i="40"/>
  <c r="I63" i="40" s="1"/>
  <c r="G57" i="40"/>
  <c r="G63" i="40" s="1"/>
  <c r="E57" i="40"/>
  <c r="E58" i="40" s="1"/>
  <c r="BW56" i="40"/>
  <c r="BU56" i="40"/>
  <c r="BU50" i="40" s="1"/>
  <c r="BI56" i="40"/>
  <c r="BI50" i="40" s="1"/>
  <c r="BI54" i="40" s="1"/>
  <c r="BC56" i="40"/>
  <c r="BW52" i="40"/>
  <c r="BU52" i="40"/>
  <c r="BI52" i="40"/>
  <c r="BC52" i="40"/>
  <c r="BA52" i="40"/>
  <c r="AY52" i="40"/>
  <c r="AW52" i="40"/>
  <c r="AU52" i="40"/>
  <c r="AS52" i="40"/>
  <c r="AQ52" i="40"/>
  <c r="AO52" i="40"/>
  <c r="AM52" i="40"/>
  <c r="AK52" i="40"/>
  <c r="AI52" i="40"/>
  <c r="AG52" i="40"/>
  <c r="AE52" i="40"/>
  <c r="AC52" i="40"/>
  <c r="AA52" i="40"/>
  <c r="Y52" i="40"/>
  <c r="W52" i="40"/>
  <c r="U52" i="40"/>
  <c r="S52" i="40"/>
  <c r="Q52" i="40"/>
  <c r="O52" i="40"/>
  <c r="M52" i="40"/>
  <c r="K52" i="40"/>
  <c r="I52" i="40"/>
  <c r="G52" i="40"/>
  <c r="BW42" i="40"/>
  <c r="BU42" i="40"/>
  <c r="BI42" i="40"/>
  <c r="BC42" i="40"/>
  <c r="BA42" i="40"/>
  <c r="AL42" i="40"/>
  <c r="AJ42" i="40"/>
  <c r="AA42" i="40"/>
  <c r="Y42" i="40"/>
  <c r="W42" i="40"/>
  <c r="U42" i="40"/>
  <c r="S42" i="40"/>
  <c r="O42" i="40"/>
  <c r="M42" i="40"/>
  <c r="K42" i="40"/>
  <c r="I42" i="40"/>
  <c r="G42" i="40"/>
  <c r="BV32" i="40"/>
  <c r="BV31" i="40" s="1"/>
  <c r="BT32" i="40"/>
  <c r="BT31" i="40" s="1"/>
  <c r="BH32" i="40"/>
  <c r="BH31" i="40" s="1"/>
  <c r="BB32" i="40"/>
  <c r="BB42" i="40" s="1"/>
  <c r="AZ32" i="40"/>
  <c r="AM32" i="40"/>
  <c r="AK32" i="40"/>
  <c r="AK31" i="40" s="1"/>
  <c r="AI32" i="40"/>
  <c r="AI31" i="40" s="1"/>
  <c r="AG32" i="40"/>
  <c r="AD32" i="40"/>
  <c r="AE32" i="40" s="1"/>
  <c r="AB32" i="40"/>
  <c r="AC32" i="40" s="1"/>
  <c r="AC31" i="40" s="1"/>
  <c r="Z32" i="40"/>
  <c r="X32" i="40"/>
  <c r="X31" i="40" s="1"/>
  <c r="V32" i="40"/>
  <c r="V31" i="40" s="1"/>
  <c r="T32" i="40"/>
  <c r="R32" i="40"/>
  <c r="R31" i="40" s="1"/>
  <c r="Q32" i="40"/>
  <c r="Q30" i="40" s="1"/>
  <c r="Q29" i="40" s="1"/>
  <c r="N32" i="40"/>
  <c r="L32" i="40"/>
  <c r="L42" i="40" s="1"/>
  <c r="J32" i="40"/>
  <c r="J30" i="40" s="1"/>
  <c r="J29" i="40" s="1"/>
  <c r="H32" i="40"/>
  <c r="H30" i="40" s="1"/>
  <c r="H29" i="40" s="1"/>
  <c r="F32" i="40"/>
  <c r="F31" i="40" s="1"/>
  <c r="BW31" i="40"/>
  <c r="BU31" i="40"/>
  <c r="BI31" i="40"/>
  <c r="BA31" i="40"/>
  <c r="AL31" i="40"/>
  <c r="AJ31" i="40"/>
  <c r="AA31" i="40"/>
  <c r="Y31" i="40"/>
  <c r="W31" i="40"/>
  <c r="W47" i="40" s="1"/>
  <c r="U31" i="40"/>
  <c r="U47" i="40" s="1"/>
  <c r="S31" i="40"/>
  <c r="S47" i="40" s="1"/>
  <c r="O31" i="40"/>
  <c r="M31" i="40"/>
  <c r="M47" i="40" s="1"/>
  <c r="K31" i="40"/>
  <c r="K47" i="40" s="1"/>
  <c r="I31" i="40"/>
  <c r="G31" i="40"/>
  <c r="BW30" i="40"/>
  <c r="BW29" i="40" s="1"/>
  <c r="BU30" i="40"/>
  <c r="BU29" i="40" s="1"/>
  <c r="BI30" i="40"/>
  <c r="BI29" i="40" s="1"/>
  <c r="BC30" i="40"/>
  <c r="BC29" i="40" s="1"/>
  <c r="AL30" i="40"/>
  <c r="AL29" i="40" s="1"/>
  <c r="AJ30" i="40"/>
  <c r="AJ29" i="40" s="1"/>
  <c r="W30" i="40"/>
  <c r="W29" i="40" s="1"/>
  <c r="U30" i="40"/>
  <c r="U29" i="40" s="1"/>
  <c r="S30" i="40"/>
  <c r="S29" i="40" s="1"/>
  <c r="O30" i="40"/>
  <c r="O29" i="40" s="1"/>
  <c r="M30" i="40"/>
  <c r="M29" i="40" s="1"/>
  <c r="K30" i="40"/>
  <c r="K29" i="40" s="1"/>
  <c r="BV26" i="40"/>
  <c r="BT26" i="40"/>
  <c r="BT25" i="40" s="1"/>
  <c r="BH26" i="40"/>
  <c r="BB26" i="40"/>
  <c r="BB25" i="40" s="1"/>
  <c r="AZ26" i="40"/>
  <c r="BA26" i="40" s="1"/>
  <c r="AX26" i="40"/>
  <c r="AV26" i="40"/>
  <c r="AV42" i="40" s="1"/>
  <c r="AT26" i="40"/>
  <c r="AR26" i="40"/>
  <c r="AS26" i="40" s="1"/>
  <c r="AP26" i="40"/>
  <c r="AQ26" i="40" s="1"/>
  <c r="AQ25" i="40" s="1"/>
  <c r="AN26" i="40"/>
  <c r="AM26" i="40"/>
  <c r="AM25" i="40" s="1"/>
  <c r="AK26" i="40"/>
  <c r="AK25" i="40" s="1"/>
  <c r="AH26" i="40"/>
  <c r="AH25" i="40" s="1"/>
  <c r="AF26" i="40"/>
  <c r="AG26" i="40" s="1"/>
  <c r="AD26" i="40"/>
  <c r="AD25" i="40" s="1"/>
  <c r="AB26" i="40"/>
  <c r="AA26" i="40"/>
  <c r="AA30" i="40" s="1"/>
  <c r="AA29" i="40" s="1"/>
  <c r="Y26" i="40"/>
  <c r="Y25" i="40" s="1"/>
  <c r="I26" i="40"/>
  <c r="I30" i="40" s="1"/>
  <c r="I29" i="40" s="1"/>
  <c r="G26" i="40"/>
  <c r="G30" i="40" s="1"/>
  <c r="G29" i="40" s="1"/>
  <c r="BW25" i="40"/>
  <c r="BI25" i="40"/>
  <c r="BC25" i="40"/>
  <c r="AL25" i="40"/>
  <c r="AJ25" i="40"/>
  <c r="Z25" i="40"/>
  <c r="X25" i="40"/>
  <c r="W25" i="40"/>
  <c r="V25" i="40"/>
  <c r="U25" i="40"/>
  <c r="T25" i="40"/>
  <c r="S25" i="40"/>
  <c r="R25" i="40"/>
  <c r="H25" i="40"/>
  <c r="F25" i="40"/>
  <c r="BV19" i="40"/>
  <c r="BT19" i="40"/>
  <c r="BH19" i="40"/>
  <c r="BB19" i="40"/>
  <c r="AZ19" i="40"/>
  <c r="AX19" i="40"/>
  <c r="AV19" i="40"/>
  <c r="AT19" i="40"/>
  <c r="AR19" i="40"/>
  <c r="AP19" i="40"/>
  <c r="AN19" i="40"/>
  <c r="AL19" i="40"/>
  <c r="AJ19" i="40"/>
  <c r="AH19" i="40"/>
  <c r="AF19" i="40"/>
  <c r="AD19" i="40"/>
  <c r="AB19" i="40"/>
  <c r="Z19" i="40"/>
  <c r="X19" i="40"/>
  <c r="V19" i="40"/>
  <c r="T19" i="40"/>
  <c r="R19" i="40"/>
  <c r="P19" i="40"/>
  <c r="N19" i="40"/>
  <c r="L19" i="40"/>
  <c r="J19" i="40"/>
  <c r="H19" i="40"/>
  <c r="F19" i="40"/>
  <c r="BV16" i="40"/>
  <c r="BV20" i="40" s="1"/>
  <c r="BT16" i="40"/>
  <c r="BT20" i="40" s="1"/>
  <c r="BH16" i="40"/>
  <c r="BH20" i="40" s="1"/>
  <c r="BB16" i="40"/>
  <c r="BB20" i="40" s="1"/>
  <c r="AZ16" i="40"/>
  <c r="AZ20" i="40" s="1"/>
  <c r="AP16" i="40"/>
  <c r="AP20" i="40" s="1"/>
  <c r="AH16" i="40"/>
  <c r="AH20" i="40" s="1"/>
  <c r="AF16" i="40"/>
  <c r="AF20" i="40" s="1"/>
  <c r="AB16" i="40"/>
  <c r="AB20" i="40" s="1"/>
  <c r="X16" i="40"/>
  <c r="X20" i="40" s="1"/>
  <c r="X24" i="40" s="1"/>
  <c r="X23" i="40" s="1"/>
  <c r="V16" i="40"/>
  <c r="V20" i="40" s="1"/>
  <c r="V24" i="40" s="1"/>
  <c r="V23" i="40" s="1"/>
  <c r="T16" i="40"/>
  <c r="T20" i="40" s="1"/>
  <c r="T24" i="40" s="1"/>
  <c r="T23" i="40" s="1"/>
  <c r="R16" i="40"/>
  <c r="R20" i="40" s="1"/>
  <c r="R24" i="40" s="1"/>
  <c r="R23" i="40" s="1"/>
  <c r="N16" i="40"/>
  <c r="N20" i="40" s="1"/>
  <c r="N24" i="40" s="1"/>
  <c r="N23" i="40" s="1"/>
  <c r="L16" i="40"/>
  <c r="L20" i="40" s="1"/>
  <c r="BW15" i="40"/>
  <c r="BW19" i="40" s="1"/>
  <c r="BU15" i="40"/>
  <c r="BU19" i="40" s="1"/>
  <c r="BI15" i="40"/>
  <c r="BI19" i="40" s="1"/>
  <c r="BC15" i="40"/>
  <c r="BC19" i="40" s="1"/>
  <c r="BA15" i="40"/>
  <c r="BA19" i="40" s="1"/>
  <c r="AY15" i="40"/>
  <c r="AY19" i="40" s="1"/>
  <c r="AW15" i="40"/>
  <c r="AW19" i="40" s="1"/>
  <c r="AU15" i="40"/>
  <c r="AU19" i="40" s="1"/>
  <c r="AS15" i="40"/>
  <c r="AS19" i="40" s="1"/>
  <c r="AQ15" i="40"/>
  <c r="AQ16" i="40" s="1"/>
  <c r="AQ20" i="40" s="1"/>
  <c r="AO15" i="40"/>
  <c r="AO19" i="40" s="1"/>
  <c r="AM15" i="40"/>
  <c r="AM19" i="40" s="1"/>
  <c r="AK15" i="40"/>
  <c r="AK19" i="40" s="1"/>
  <c r="AI15" i="40"/>
  <c r="AI19" i="40" s="1"/>
  <c r="AG15" i="40"/>
  <c r="AG19" i="40" s="1"/>
  <c r="AE15" i="40"/>
  <c r="AE19" i="40" s="1"/>
  <c r="AC15" i="40"/>
  <c r="AC19" i="40" s="1"/>
  <c r="AA15" i="40"/>
  <c r="AA19" i="40" s="1"/>
  <c r="Y15" i="40"/>
  <c r="Y19" i="40" s="1"/>
  <c r="W15" i="40"/>
  <c r="W19" i="40" s="1"/>
  <c r="U15" i="40"/>
  <c r="U19" i="40" s="1"/>
  <c r="S15" i="40"/>
  <c r="S19" i="40" s="1"/>
  <c r="Q15" i="40"/>
  <c r="Q19" i="40" s="1"/>
  <c r="O15" i="40"/>
  <c r="O19" i="40" s="1"/>
  <c r="M15" i="40"/>
  <c r="M16" i="40" s="1"/>
  <c r="M20" i="40" s="1"/>
  <c r="K15" i="40"/>
  <c r="K19" i="40" s="1"/>
  <c r="I15" i="40"/>
  <c r="I19" i="40" s="1"/>
  <c r="G15" i="40"/>
  <c r="G19" i="40" s="1"/>
  <c r="BW10" i="40"/>
  <c r="BW69" i="40" s="1"/>
  <c r="BU10" i="40"/>
  <c r="BU69" i="40" s="1"/>
  <c r="BI10" i="40"/>
  <c r="BC10" i="40"/>
  <c r="BA10" i="40"/>
  <c r="AR10" i="40"/>
  <c r="AR16" i="40" s="1"/>
  <c r="AR20" i="40" s="1"/>
  <c r="AI10" i="40"/>
  <c r="AG10" i="40"/>
  <c r="AG69" i="40" s="1"/>
  <c r="AC10" i="40"/>
  <c r="Z10" i="40"/>
  <c r="AA10" i="40" s="1"/>
  <c r="W10" i="40"/>
  <c r="U10" i="40"/>
  <c r="S10" i="40"/>
  <c r="S76" i="40" s="1"/>
  <c r="S74" i="40" s="1"/>
  <c r="O10" i="40"/>
  <c r="O76" i="40" s="1"/>
  <c r="O74" i="40" s="1"/>
  <c r="BV9" i="40"/>
  <c r="BT9" i="40"/>
  <c r="BH9" i="40"/>
  <c r="BB9" i="40"/>
  <c r="AN2" i="40"/>
  <c r="AN10" i="40" s="1"/>
  <c r="AJ2" i="40"/>
  <c r="AJ10" i="40" s="1"/>
  <c r="J2" i="40"/>
  <c r="J10" i="40" s="1"/>
  <c r="H2" i="40"/>
  <c r="H10" i="40" s="1"/>
  <c r="F2" i="40"/>
  <c r="F10" i="40" s="1"/>
  <c r="BL104" i="40" l="1"/>
  <c r="BL105" i="40" s="1"/>
  <c r="BP104" i="40"/>
  <c r="BP105" i="40" s="1"/>
  <c r="BI104" i="40"/>
  <c r="BI105" i="40" s="1"/>
  <c r="BR104" i="40"/>
  <c r="BR105" i="40" s="1"/>
  <c r="BN104" i="40"/>
  <c r="BN105" i="40" s="1"/>
  <c r="BG104" i="40"/>
  <c r="BG105" i="40" s="1"/>
  <c r="BA60" i="40"/>
  <c r="AZ62" i="40" s="1"/>
  <c r="BN53" i="40"/>
  <c r="BR16" i="40"/>
  <c r="BR20" i="40" s="1"/>
  <c r="BR24" i="40" s="1"/>
  <c r="BR23" i="40" s="1"/>
  <c r="BP53" i="40"/>
  <c r="BR68" i="40"/>
  <c r="BR69" i="40"/>
  <c r="AY59" i="40"/>
  <c r="AX8" i="40" s="1"/>
  <c r="BP41" i="40"/>
  <c r="BQ24" i="40"/>
  <c r="BQ23" i="40" s="1"/>
  <c r="BP68" i="40"/>
  <c r="BN141" i="40"/>
  <c r="BN142" i="40" s="1"/>
  <c r="BP16" i="40"/>
  <c r="BP20" i="40" s="1"/>
  <c r="BP24" i="40" s="1"/>
  <c r="BP23" i="40" s="1"/>
  <c r="BN68" i="40"/>
  <c r="BP69" i="40"/>
  <c r="BN69" i="40"/>
  <c r="BR76" i="40"/>
  <c r="BR74" i="40" s="1"/>
  <c r="BR78" i="40" s="1"/>
  <c r="BP19" i="40"/>
  <c r="BL53" i="40"/>
  <c r="BO42" i="40"/>
  <c r="BO41" i="40" s="1"/>
  <c r="BN16" i="40"/>
  <c r="BN20" i="40" s="1"/>
  <c r="BN24" i="40" s="1"/>
  <c r="BN23" i="40" s="1"/>
  <c r="BL96" i="40"/>
  <c r="BP117" i="40"/>
  <c r="BP116" i="40" s="1"/>
  <c r="BP114" i="40" s="1"/>
  <c r="BP115" i="40" s="1"/>
  <c r="BQ31" i="40"/>
  <c r="BP71" i="40"/>
  <c r="BN117" i="40"/>
  <c r="BN116" i="40" s="1"/>
  <c r="BN114" i="40" s="1"/>
  <c r="BN115" i="40" s="1"/>
  <c r="BR142" i="40"/>
  <c r="BQ30" i="40"/>
  <c r="BQ29" i="40" s="1"/>
  <c r="BR54" i="40"/>
  <c r="BR49" i="40" s="1"/>
  <c r="BR96" i="40"/>
  <c r="BP83" i="40"/>
  <c r="BP82" i="40"/>
  <c r="BP81" i="40"/>
  <c r="BO49" i="40"/>
  <c r="BO48" i="40" s="1"/>
  <c r="BP48" i="40"/>
  <c r="BP45" i="40"/>
  <c r="BP141" i="40"/>
  <c r="BP142" i="40" s="1"/>
  <c r="BP78" i="40"/>
  <c r="BP111" i="40"/>
  <c r="BP112" i="40" s="1"/>
  <c r="BO30" i="40"/>
  <c r="BO29" i="40" s="1"/>
  <c r="BP75" i="40"/>
  <c r="BP108" i="40"/>
  <c r="BP109" i="40" s="1"/>
  <c r="BN111" i="40"/>
  <c r="BN112" i="40" s="1"/>
  <c r="BN80" i="40"/>
  <c r="BN78" i="40"/>
  <c r="BN108" i="40"/>
  <c r="BN109" i="40" s="1"/>
  <c r="BN75" i="40"/>
  <c r="BN71" i="40"/>
  <c r="BN50" i="40"/>
  <c r="BM30" i="40"/>
  <c r="BM29" i="40" s="1"/>
  <c r="BN59" i="40"/>
  <c r="BM8" i="40" s="1"/>
  <c r="BM24" i="40"/>
  <c r="BM23" i="40" s="1"/>
  <c r="W16" i="40"/>
  <c r="W20" i="40" s="1"/>
  <c r="W24" i="40" s="1"/>
  <c r="W23" i="40" s="1"/>
  <c r="BL76" i="40"/>
  <c r="BL74" i="40" s="1"/>
  <c r="BL111" i="40" s="1"/>
  <c r="BL112" i="40" s="1"/>
  <c r="BL117" i="40"/>
  <c r="BL116" i="40" s="1"/>
  <c r="BL114" i="40" s="1"/>
  <c r="BL115" i="40" s="1"/>
  <c r="BK24" i="40"/>
  <c r="BK23" i="40" s="1"/>
  <c r="BK30" i="40"/>
  <c r="BK29" i="40" s="1"/>
  <c r="BT24" i="40"/>
  <c r="BT23" i="40" s="1"/>
  <c r="BI53" i="40"/>
  <c r="BG141" i="40"/>
  <c r="BG142" i="40" s="1"/>
  <c r="BL16" i="40"/>
  <c r="BL20" i="40" s="1"/>
  <c r="BL24" i="40" s="1"/>
  <c r="BL23" i="40" s="1"/>
  <c r="BK25" i="40"/>
  <c r="I96" i="40"/>
  <c r="BL142" i="40"/>
  <c r="BA59" i="40"/>
  <c r="AZ8" i="40" s="1"/>
  <c r="Y96" i="40"/>
  <c r="BL54" i="40"/>
  <c r="BL41" i="40" s="1"/>
  <c r="BK41" i="40"/>
  <c r="BL68" i="40"/>
  <c r="BK31" i="40"/>
  <c r="BG68" i="40"/>
  <c r="BG117" i="40"/>
  <c r="BG116" i="40" s="1"/>
  <c r="BG114" i="40" s="1"/>
  <c r="BG115" i="40" s="1"/>
  <c r="BG16" i="40"/>
  <c r="BG20" i="40" s="1"/>
  <c r="BG24" i="40" s="1"/>
  <c r="BG23" i="40" s="1"/>
  <c r="BE68" i="40"/>
  <c r="U16" i="40"/>
  <c r="U20" i="40" s="1"/>
  <c r="U24" i="40" s="1"/>
  <c r="U23" i="40" s="1"/>
  <c r="Q31" i="40"/>
  <c r="AU59" i="40"/>
  <c r="AT8" i="40" s="1"/>
  <c r="AI96" i="40"/>
  <c r="BV30" i="40"/>
  <c r="BV29" i="40" s="1"/>
  <c r="BU96" i="40"/>
  <c r="I25" i="40"/>
  <c r="BE53" i="40"/>
  <c r="BE41" i="40"/>
  <c r="BF24" i="40"/>
  <c r="BF23" i="40" s="1"/>
  <c r="BE69" i="40"/>
  <c r="BE96" i="40"/>
  <c r="BD24" i="40"/>
  <c r="BD23" i="40" s="1"/>
  <c r="BE16" i="40"/>
  <c r="BE20" i="40" s="1"/>
  <c r="BE24" i="40" s="1"/>
  <c r="BE23" i="40" s="1"/>
  <c r="AV25" i="40"/>
  <c r="K96" i="40"/>
  <c r="BE117" i="40"/>
  <c r="BE116" i="40" s="1"/>
  <c r="BE114" i="40" s="1"/>
  <c r="BE115" i="40" s="1"/>
  <c r="BG111" i="40"/>
  <c r="BG112" i="40" s="1"/>
  <c r="BG80" i="40"/>
  <c r="BG78" i="40"/>
  <c r="BG75" i="40"/>
  <c r="BG71" i="40"/>
  <c r="BG108" i="40"/>
  <c r="BG109" i="40" s="1"/>
  <c r="BG69" i="40"/>
  <c r="BG50" i="40"/>
  <c r="BG54" i="40" s="1"/>
  <c r="BF41" i="40" s="1"/>
  <c r="BF30" i="40"/>
  <c r="BF29" i="40" s="1"/>
  <c r="BG53" i="40"/>
  <c r="BF31" i="40"/>
  <c r="BE111" i="40"/>
  <c r="BE112" i="40" s="1"/>
  <c r="BE80" i="40"/>
  <c r="BE78" i="40"/>
  <c r="BE108" i="40"/>
  <c r="BE109" i="40" s="1"/>
  <c r="BE75" i="40"/>
  <c r="BE71" i="40"/>
  <c r="BE142" i="40"/>
  <c r="BD41" i="40"/>
  <c r="BE49" i="40"/>
  <c r="BD30" i="40"/>
  <c r="BD29" i="40" s="1"/>
  <c r="BD31" i="40"/>
  <c r="BE59" i="40"/>
  <c r="BD8" i="40" s="1"/>
  <c r="AM59" i="40"/>
  <c r="AL8" i="40" s="1"/>
  <c r="AQ117" i="40"/>
  <c r="AQ116" i="40" s="1"/>
  <c r="AQ114" i="40" s="1"/>
  <c r="AQ115" i="40" s="1"/>
  <c r="AQ72" i="40" s="1"/>
  <c r="AQ71" i="40" s="1"/>
  <c r="M59" i="40"/>
  <c r="L8" i="40" s="1"/>
  <c r="L31" i="40"/>
  <c r="AS10" i="40"/>
  <c r="AS76" i="40" s="1"/>
  <c r="AS74" i="40" s="1"/>
  <c r="AS80" i="40" s="1"/>
  <c r="L30" i="40"/>
  <c r="L29" i="40" s="1"/>
  <c r="G59" i="40"/>
  <c r="F8" i="40" s="1"/>
  <c r="BC68" i="40"/>
  <c r="BU54" i="40"/>
  <c r="BU49" i="40" s="1"/>
  <c r="BT49" i="40" s="1"/>
  <c r="BT48" i="40" s="1"/>
  <c r="K60" i="40"/>
  <c r="K56" i="40" s="1"/>
  <c r="K53" i="40" s="1"/>
  <c r="AF25" i="40"/>
  <c r="BW68" i="40"/>
  <c r="AO142" i="40"/>
  <c r="U117" i="40"/>
  <c r="U116" i="40" s="1"/>
  <c r="U114" i="40" s="1"/>
  <c r="U115" i="40" s="1"/>
  <c r="AR24" i="40"/>
  <c r="AR23" i="40" s="1"/>
  <c r="BB30" i="40"/>
  <c r="BB29" i="40" s="1"/>
  <c r="AC60" i="40"/>
  <c r="AB62" i="40" s="1"/>
  <c r="I60" i="40"/>
  <c r="H63" i="40" s="1"/>
  <c r="AA96" i="40"/>
  <c r="O78" i="40"/>
  <c r="BW50" i="40"/>
  <c r="BW54" i="40" s="1"/>
  <c r="BW41" i="40" s="1"/>
  <c r="AH24" i="40"/>
  <c r="AH23" i="40" s="1"/>
  <c r="Q117" i="40"/>
  <c r="Q116" i="40" s="1"/>
  <c r="Q114" i="40" s="1"/>
  <c r="Q115" i="40" s="1"/>
  <c r="AI26" i="40"/>
  <c r="AI25" i="40" s="1"/>
  <c r="AQ80" i="40"/>
  <c r="AQ81" i="40" s="1"/>
  <c r="S60" i="40"/>
  <c r="S56" i="40" s="1"/>
  <c r="S53" i="40" s="1"/>
  <c r="BB24" i="40"/>
  <c r="BB23" i="40" s="1"/>
  <c r="AB30" i="40"/>
  <c r="AB29" i="40" s="1"/>
  <c r="U60" i="40"/>
  <c r="U56" i="40" s="1"/>
  <c r="F30" i="40"/>
  <c r="F29" i="40" s="1"/>
  <c r="K59" i="40"/>
  <c r="J8" i="40" s="1"/>
  <c r="AG142" i="40"/>
  <c r="AG59" i="40"/>
  <c r="AF8" i="40" s="1"/>
  <c r="AA60" i="40"/>
  <c r="AA56" i="40" s="1"/>
  <c r="AA50" i="40" s="1"/>
  <c r="M71" i="40"/>
  <c r="AC117" i="40"/>
  <c r="AC116" i="40" s="1"/>
  <c r="AC114" i="40" s="1"/>
  <c r="AC115" i="40" s="1"/>
  <c r="AC72" i="40" s="1"/>
  <c r="AE117" i="40"/>
  <c r="AE116" i="40" s="1"/>
  <c r="AE114" i="40" s="1"/>
  <c r="AE115" i="40" s="1"/>
  <c r="AE72" i="40" s="1"/>
  <c r="AM117" i="40"/>
  <c r="AM116" i="40" s="1"/>
  <c r="AM114" i="40" s="1"/>
  <c r="AM115" i="40" s="1"/>
  <c r="AU117" i="40"/>
  <c r="AU116" i="40" s="1"/>
  <c r="AU114" i="40" s="1"/>
  <c r="AU115" i="40" s="1"/>
  <c r="AU72" i="40" s="1"/>
  <c r="BI141" i="40"/>
  <c r="BI142" i="40" s="1"/>
  <c r="O62" i="40"/>
  <c r="O59" i="40" s="1"/>
  <c r="N8" i="40" s="1"/>
  <c r="O60" i="40"/>
  <c r="O111" i="40" s="1"/>
  <c r="O112" i="40" s="1"/>
  <c r="AD31" i="40"/>
  <c r="AM30" i="40"/>
  <c r="AM29" i="40" s="1"/>
  <c r="U59" i="40"/>
  <c r="T8" i="40" s="1"/>
  <c r="S96" i="40"/>
  <c r="AZ24" i="40"/>
  <c r="AZ23" i="40" s="1"/>
  <c r="BW53" i="40"/>
  <c r="U96" i="40"/>
  <c r="BT30" i="40"/>
  <c r="BT29" i="40" s="1"/>
  <c r="AA117" i="40"/>
  <c r="AA116" i="40" s="1"/>
  <c r="AA114" i="40" s="1"/>
  <c r="AA115" i="40" s="1"/>
  <c r="AG117" i="40"/>
  <c r="AG116" i="40" s="1"/>
  <c r="AG114" i="40" s="1"/>
  <c r="AG115" i="40" s="1"/>
  <c r="BA16" i="40"/>
  <c r="BA20" i="40" s="1"/>
  <c r="BA24" i="40" s="1"/>
  <c r="BA23" i="40" s="1"/>
  <c r="AZ30" i="40"/>
  <c r="AZ29" i="40" s="1"/>
  <c r="BI68" i="40"/>
  <c r="BU68" i="40"/>
  <c r="AQ96" i="40"/>
  <c r="BI49" i="40"/>
  <c r="BI45" i="40" s="1"/>
  <c r="AO117" i="40"/>
  <c r="AO116" i="40" s="1"/>
  <c r="AO114" i="40" s="1"/>
  <c r="AO115" i="40" s="1"/>
  <c r="AO72" i="40" s="1"/>
  <c r="AQ141" i="40"/>
  <c r="AK30" i="40"/>
  <c r="AK29" i="40" s="1"/>
  <c r="M19" i="40"/>
  <c r="I59" i="40"/>
  <c r="H8" i="40" s="1"/>
  <c r="S80" i="40"/>
  <c r="S82" i="40" s="1"/>
  <c r="G117" i="40"/>
  <c r="G116" i="40" s="1"/>
  <c r="G114" i="40" s="1"/>
  <c r="G115" i="40" s="1"/>
  <c r="K142" i="40"/>
  <c r="AQ60" i="40"/>
  <c r="AQ108" i="40" s="1"/>
  <c r="AQ109" i="40" s="1"/>
  <c r="AM60" i="40"/>
  <c r="AL62" i="40" s="1"/>
  <c r="AW26" i="40"/>
  <c r="AW42" i="40" s="1"/>
  <c r="AS60" i="40"/>
  <c r="AR62" i="40" s="1"/>
  <c r="AO60" i="40"/>
  <c r="AO68" i="40" s="1"/>
  <c r="O126" i="40"/>
  <c r="O127" i="40" s="1"/>
  <c r="O142" i="40"/>
  <c r="BW142" i="40"/>
  <c r="AG50" i="40"/>
  <c r="AG54" i="40" s="1"/>
  <c r="AG49" i="40" s="1"/>
  <c r="AF45" i="40" s="1"/>
  <c r="AF9" i="40"/>
  <c r="AG25" i="40"/>
  <c r="AG30" i="40"/>
  <c r="AG29" i="40" s="1"/>
  <c r="AQ24" i="40"/>
  <c r="AQ23" i="40" s="1"/>
  <c r="AB25" i="40"/>
  <c r="W96" i="40"/>
  <c r="AI142" i="40"/>
  <c r="BH24" i="40"/>
  <c r="BH23" i="40" s="1"/>
  <c r="AZ31" i="40"/>
  <c r="R42" i="40"/>
  <c r="I117" i="40"/>
  <c r="I116" i="40" s="1"/>
  <c r="I114" i="40" s="1"/>
  <c r="I115" i="40" s="1"/>
  <c r="AW117" i="40"/>
  <c r="AW116" i="40" s="1"/>
  <c r="AW114" i="40" s="1"/>
  <c r="AW115" i="40" s="1"/>
  <c r="AW72" i="40" s="1"/>
  <c r="BV24" i="40"/>
  <c r="BV23" i="40" s="1"/>
  <c r="R30" i="40"/>
  <c r="R29" i="40" s="1"/>
  <c r="K117" i="40"/>
  <c r="K116" i="40" s="1"/>
  <c r="K114" i="40" s="1"/>
  <c r="K115" i="40" s="1"/>
  <c r="AY117" i="40"/>
  <c r="AY116" i="40" s="1"/>
  <c r="AY114" i="40" s="1"/>
  <c r="AY115" i="40" s="1"/>
  <c r="AY72" i="40" s="1"/>
  <c r="J31" i="40"/>
  <c r="BB31" i="40"/>
  <c r="AO59" i="40"/>
  <c r="AN8" i="40" s="1"/>
  <c r="M75" i="40"/>
  <c r="AG96" i="40"/>
  <c r="M117" i="40"/>
  <c r="M116" i="40" s="1"/>
  <c r="M114" i="40" s="1"/>
  <c r="M115" i="40" s="1"/>
  <c r="BA117" i="40"/>
  <c r="BA116" i="40" s="1"/>
  <c r="BA114" i="40" s="1"/>
  <c r="BA115" i="40" s="1"/>
  <c r="AQ59" i="40"/>
  <c r="AP8" i="40" s="1"/>
  <c r="AK142" i="40"/>
  <c r="V30" i="40"/>
  <c r="V29" i="40" s="1"/>
  <c r="BU53" i="40"/>
  <c r="AS59" i="40"/>
  <c r="AR8" i="40" s="1"/>
  <c r="AK96" i="40"/>
  <c r="Q128" i="40"/>
  <c r="Q129" i="40" s="1"/>
  <c r="Q130" i="40" s="1"/>
  <c r="AM142" i="40"/>
  <c r="AI69" i="40"/>
  <c r="AP25" i="40"/>
  <c r="AW60" i="40"/>
  <c r="AW68" i="40" s="1"/>
  <c r="AM96" i="40"/>
  <c r="S117" i="40"/>
  <c r="S116" i="40" s="1"/>
  <c r="S114" i="40" s="1"/>
  <c r="S115" i="40" s="1"/>
  <c r="BU117" i="40"/>
  <c r="BU116" i="40" s="1"/>
  <c r="BU114" i="40" s="1"/>
  <c r="BU115" i="40" s="1"/>
  <c r="Y30" i="40"/>
  <c r="Y29" i="40" s="1"/>
  <c r="AY60" i="40"/>
  <c r="AY56" i="40" s="1"/>
  <c r="AY53" i="40" s="1"/>
  <c r="AG76" i="40"/>
  <c r="AG74" i="40" s="1"/>
  <c r="AG75" i="40" s="1"/>
  <c r="BU142" i="40"/>
  <c r="AU60" i="40"/>
  <c r="AU68" i="40" s="1"/>
  <c r="AI76" i="40"/>
  <c r="AI74" i="40" s="1"/>
  <c r="AI75" i="40" s="1"/>
  <c r="AS117" i="40"/>
  <c r="AS116" i="40" s="1"/>
  <c r="AS114" i="40" s="1"/>
  <c r="AS115" i="40" s="1"/>
  <c r="AS72" i="40" s="1"/>
  <c r="M142" i="40"/>
  <c r="AQ19" i="40"/>
  <c r="BC53" i="40"/>
  <c r="Y117" i="40"/>
  <c r="Y116" i="40" s="1"/>
  <c r="Y114" i="40" s="1"/>
  <c r="Y115" i="40" s="1"/>
  <c r="AZ42" i="40"/>
  <c r="AQ69" i="40"/>
  <c r="M78" i="40"/>
  <c r="Z16" i="40"/>
  <c r="Z20" i="40" s="1"/>
  <c r="Z24" i="40" s="1"/>
  <c r="Z23" i="40" s="1"/>
  <c r="BI41" i="40"/>
  <c r="AE60" i="40"/>
  <c r="AE68" i="40" s="1"/>
  <c r="BW96" i="40"/>
  <c r="AB24" i="40"/>
  <c r="AB23" i="40" s="1"/>
  <c r="AG53" i="40"/>
  <c r="AF24" i="40"/>
  <c r="AF23" i="40" s="1"/>
  <c r="G60" i="40"/>
  <c r="G56" i="40" s="1"/>
  <c r="O117" i="40"/>
  <c r="O116" i="40" s="1"/>
  <c r="O114" i="40" s="1"/>
  <c r="O115" i="40" s="1"/>
  <c r="BC117" i="40"/>
  <c r="BC116" i="40" s="1"/>
  <c r="BC114" i="40" s="1"/>
  <c r="BC115" i="40" s="1"/>
  <c r="BC50" i="40"/>
  <c r="BC54" i="40" s="1"/>
  <c r="BC49" i="40" s="1"/>
  <c r="M96" i="40"/>
  <c r="BI117" i="40"/>
  <c r="BI116" i="40" s="1"/>
  <c r="BI114" i="40" s="1"/>
  <c r="BI115" i="40" s="1"/>
  <c r="Y142" i="40"/>
  <c r="AP24" i="40"/>
  <c r="AP23" i="40" s="1"/>
  <c r="K63" i="40"/>
  <c r="O96" i="40"/>
  <c r="W142" i="40"/>
  <c r="AA142" i="40"/>
  <c r="AE31" i="40"/>
  <c r="AE42" i="40"/>
  <c r="AS42" i="40"/>
  <c r="AS25" i="40"/>
  <c r="BA30" i="40"/>
  <c r="BA29" i="40" s="1"/>
  <c r="BA25" i="40"/>
  <c r="F16" i="40"/>
  <c r="F20" i="40" s="1"/>
  <c r="F24" i="40" s="1"/>
  <c r="F23" i="40" s="1"/>
  <c r="G10" i="40"/>
  <c r="G69" i="40" s="1"/>
  <c r="I10" i="40"/>
  <c r="H16" i="40"/>
  <c r="H20" i="40" s="1"/>
  <c r="H24" i="40" s="1"/>
  <c r="H23" i="40" s="1"/>
  <c r="AA69" i="40"/>
  <c r="AA76" i="40"/>
  <c r="AA74" i="40" s="1"/>
  <c r="AJ16" i="40"/>
  <c r="AJ20" i="40" s="1"/>
  <c r="AJ24" i="40" s="1"/>
  <c r="AJ23" i="40" s="1"/>
  <c r="AK10" i="40"/>
  <c r="AK16" i="40" s="1"/>
  <c r="AK20" i="40" s="1"/>
  <c r="AK24" i="40" s="1"/>
  <c r="AK23" i="40" s="1"/>
  <c r="K10" i="40"/>
  <c r="K76" i="40" s="1"/>
  <c r="K74" i="40" s="1"/>
  <c r="J16" i="40"/>
  <c r="J20" i="40" s="1"/>
  <c r="AN16" i="40"/>
  <c r="AN20" i="40" s="1"/>
  <c r="AN24" i="40" s="1"/>
  <c r="AN23" i="40" s="1"/>
  <c r="AO10" i="40"/>
  <c r="AO76" i="40" s="1"/>
  <c r="AO74" i="40" s="1"/>
  <c r="AO80" i="40" s="1"/>
  <c r="AA16" i="40"/>
  <c r="AA20" i="40" s="1"/>
  <c r="AA24" i="40" s="1"/>
  <c r="AA23" i="40" s="1"/>
  <c r="W117" i="40"/>
  <c r="W116" i="40" s="1"/>
  <c r="W114" i="40" s="1"/>
  <c r="W115" i="40" s="1"/>
  <c r="AT42" i="40"/>
  <c r="T31" i="40"/>
  <c r="T42" i="40"/>
  <c r="U76" i="40"/>
  <c r="U74" i="40" s="1"/>
  <c r="AR42" i="40"/>
  <c r="BW117" i="40"/>
  <c r="BW116" i="40" s="1"/>
  <c r="BW114" i="40" s="1"/>
  <c r="BW115" i="40" s="1"/>
  <c r="AR25" i="40"/>
  <c r="AC69" i="40"/>
  <c r="AC76" i="40"/>
  <c r="AC74" i="40" s="1"/>
  <c r="BC76" i="40"/>
  <c r="BC74" i="40" s="1"/>
  <c r="BC69" i="40"/>
  <c r="AT25" i="40"/>
  <c r="AU26" i="40"/>
  <c r="N31" i="40"/>
  <c r="AI60" i="40"/>
  <c r="AI59" i="40"/>
  <c r="AH8" i="40" s="1"/>
  <c r="Q59" i="40"/>
  <c r="P8" i="40" s="1"/>
  <c r="P72" i="40"/>
  <c r="Q60" i="40"/>
  <c r="W76" i="40"/>
  <c r="W74" i="40" s="1"/>
  <c r="W80" i="40" s="1"/>
  <c r="AE137" i="40"/>
  <c r="AS137" i="40"/>
  <c r="AW137" i="40" s="1"/>
  <c r="AU137" i="40" s="1"/>
  <c r="AY137" i="40" s="1"/>
  <c r="AO137" i="40" s="1"/>
  <c r="AC137" i="40" s="1"/>
  <c r="AC140" i="40" s="1"/>
  <c r="AC141" i="40" s="1"/>
  <c r="BA76" i="40"/>
  <c r="BA74" i="40" s="1"/>
  <c r="BA80" i="40" s="1"/>
  <c r="BA69" i="40"/>
  <c r="AC16" i="40"/>
  <c r="AC20" i="40" s="1"/>
  <c r="AD10" i="40"/>
  <c r="BI76" i="40"/>
  <c r="BI74" i="40" s="1"/>
  <c r="BI69" i="40"/>
  <c r="AA25" i="40"/>
  <c r="X42" i="40"/>
  <c r="X30" i="40"/>
  <c r="X29" i="40" s="1"/>
  <c r="AK60" i="40"/>
  <c r="AK59" i="40"/>
  <c r="AJ8" i="40" s="1"/>
  <c r="S59" i="40"/>
  <c r="R8" i="40" s="1"/>
  <c r="S69" i="40"/>
  <c r="AK117" i="40"/>
  <c r="AK116" i="40" s="1"/>
  <c r="AK114" i="40" s="1"/>
  <c r="AK115" i="40" s="1"/>
  <c r="U69" i="40"/>
  <c r="O16" i="40"/>
  <c r="O20" i="40" s="1"/>
  <c r="O24" i="40" s="1"/>
  <c r="O23" i="40" s="1"/>
  <c r="AI16" i="40"/>
  <c r="AI20" i="40" s="1"/>
  <c r="BC16" i="40"/>
  <c r="BC20" i="40" s="1"/>
  <c r="BC24" i="40" s="1"/>
  <c r="BC23" i="40" s="1"/>
  <c r="AD30" i="40"/>
  <c r="AD29" i="40" s="1"/>
  <c r="Y75" i="40"/>
  <c r="Y80" i="40"/>
  <c r="BU76" i="40"/>
  <c r="BU74" i="40" s="1"/>
  <c r="AC26" i="40"/>
  <c r="AZ25" i="40"/>
  <c r="AE26" i="40"/>
  <c r="AG31" i="40"/>
  <c r="AG42" i="40"/>
  <c r="AF32" i="40"/>
  <c r="BW76" i="40"/>
  <c r="BW74" i="40" s="1"/>
  <c r="AQ42" i="40"/>
  <c r="AX42" i="40"/>
  <c r="AI117" i="40"/>
  <c r="AI116" i="40" s="1"/>
  <c r="AI114" i="40" s="1"/>
  <c r="AI115" i="40" s="1"/>
  <c r="AX25" i="40"/>
  <c r="BI16" i="40"/>
  <c r="BI20" i="40" s="1"/>
  <c r="BI24" i="40" s="1"/>
  <c r="BI23" i="40" s="1"/>
  <c r="AH32" i="40"/>
  <c r="AH30" i="40" s="1"/>
  <c r="AH29" i="40" s="1"/>
  <c r="BA96" i="40"/>
  <c r="BA141" i="40"/>
  <c r="BA142" i="40" s="1"/>
  <c r="P32" i="40"/>
  <c r="N30" i="40"/>
  <c r="N29" i="40" s="1"/>
  <c r="AG16" i="40"/>
  <c r="AG20" i="40" s="1"/>
  <c r="AG24" i="40" s="1"/>
  <c r="AG23" i="40" s="1"/>
  <c r="W69" i="40"/>
  <c r="AY26" i="40"/>
  <c r="AC42" i="40"/>
  <c r="BH30" i="40"/>
  <c r="BH29" i="40" s="1"/>
  <c r="AI42" i="40"/>
  <c r="G96" i="40"/>
  <c r="G141" i="40"/>
  <c r="G142" i="40" s="1"/>
  <c r="BC96" i="40"/>
  <c r="BC141" i="40"/>
  <c r="BC142" i="40" s="1"/>
  <c r="S16" i="40"/>
  <c r="S20" i="40" s="1"/>
  <c r="S24" i="40" s="1"/>
  <c r="S23" i="40" s="1"/>
  <c r="G25" i="40"/>
  <c r="Y71" i="40"/>
  <c r="I142" i="40"/>
  <c r="AB42" i="40"/>
  <c r="AD42" i="40"/>
  <c r="BH25" i="40"/>
  <c r="T30" i="40"/>
  <c r="T29" i="40" s="1"/>
  <c r="AM31" i="40"/>
  <c r="AM42" i="40"/>
  <c r="H42" i="40"/>
  <c r="BU16" i="40"/>
  <c r="BU20" i="40" s="1"/>
  <c r="BU24" i="40" s="1"/>
  <c r="BU23" i="40" s="1"/>
  <c r="AB31" i="40"/>
  <c r="O80" i="40"/>
  <c r="O71" i="40"/>
  <c r="P10" i="40"/>
  <c r="BW16" i="40"/>
  <c r="BW20" i="40" s="1"/>
  <c r="BW24" i="40" s="1"/>
  <c r="BW23" i="40" s="1"/>
  <c r="AN42" i="40"/>
  <c r="BH42" i="40"/>
  <c r="BH41" i="40" s="1"/>
  <c r="O75" i="40"/>
  <c r="Q96" i="40"/>
  <c r="Q141" i="40"/>
  <c r="Q142" i="40" s="1"/>
  <c r="AN25" i="40"/>
  <c r="AO26" i="40"/>
  <c r="H31" i="40"/>
  <c r="W59" i="40"/>
  <c r="V8" i="40" s="1"/>
  <c r="W60" i="40"/>
  <c r="S142" i="40"/>
  <c r="Z42" i="40"/>
  <c r="Z30" i="40"/>
  <c r="Z29" i="40" s="1"/>
  <c r="Z31" i="40"/>
  <c r="S78" i="40"/>
  <c r="S149" i="40" s="1"/>
  <c r="S75" i="40"/>
  <c r="S71" i="40"/>
  <c r="Y16" i="40"/>
  <c r="Y20" i="40" s="1"/>
  <c r="Y24" i="40" s="1"/>
  <c r="Y23" i="40" s="1"/>
  <c r="BV25" i="40"/>
  <c r="AP42" i="40"/>
  <c r="N42" i="40"/>
  <c r="Y59" i="40"/>
  <c r="X8" i="40" s="1"/>
  <c r="Y60" i="40"/>
  <c r="U142" i="40"/>
  <c r="J42" i="40"/>
  <c r="AE59" i="40"/>
  <c r="AD8" i="40" s="1"/>
  <c r="M60" i="40"/>
  <c r="M80" i="40"/>
  <c r="AS140" i="40"/>
  <c r="AS141" i="40" s="1"/>
  <c r="Q42" i="40"/>
  <c r="AK42" i="40"/>
  <c r="AW136" i="40"/>
  <c r="AG68" i="40"/>
  <c r="M69" i="40"/>
  <c r="L72" i="40"/>
  <c r="BT42" i="40"/>
  <c r="O69" i="40"/>
  <c r="V42" i="40"/>
  <c r="BV42" i="40"/>
  <c r="F42" i="40"/>
  <c r="BA56" i="40" l="1"/>
  <c r="BA50" i="40" s="1"/>
  <c r="BA54" i="40" s="1"/>
  <c r="BA41" i="40" s="1"/>
  <c r="BR111" i="40"/>
  <c r="BR112" i="40" s="1"/>
  <c r="Z9" i="40"/>
  <c r="BL71" i="40"/>
  <c r="AS69" i="40"/>
  <c r="BR80" i="40"/>
  <c r="BR108" i="40"/>
  <c r="BR109" i="40" s="1"/>
  <c r="BR71" i="40"/>
  <c r="AQ82" i="40"/>
  <c r="AS75" i="40"/>
  <c r="S81" i="40"/>
  <c r="S83" i="40"/>
  <c r="S86" i="40" s="1"/>
  <c r="BR75" i="40"/>
  <c r="BR82" i="40"/>
  <c r="BR81" i="40"/>
  <c r="BR83" i="40"/>
  <c r="BL80" i="40"/>
  <c r="BL83" i="40" s="1"/>
  <c r="BL75" i="40"/>
  <c r="BL78" i="40"/>
  <c r="BL108" i="40"/>
  <c r="BL109" i="40" s="1"/>
  <c r="BR45" i="40"/>
  <c r="BQ49" i="40"/>
  <c r="BQ48" i="40" s="1"/>
  <c r="BR48" i="40"/>
  <c r="BR41" i="40"/>
  <c r="BQ41" i="40"/>
  <c r="BP44" i="40"/>
  <c r="BP43" i="40" s="1"/>
  <c r="BO45" i="40"/>
  <c r="BO44" i="40" s="1"/>
  <c r="BO43" i="40" s="1"/>
  <c r="BP86" i="40"/>
  <c r="BP84" i="40"/>
  <c r="BN81" i="40"/>
  <c r="BN83" i="40"/>
  <c r="BN82" i="40"/>
  <c r="BN54" i="40"/>
  <c r="BL49" i="40"/>
  <c r="BK49" i="40" s="1"/>
  <c r="BK48" i="40" s="1"/>
  <c r="AS16" i="40"/>
  <c r="AS20" i="40" s="1"/>
  <c r="AS24" i="40" s="1"/>
  <c r="AS23" i="40" s="1"/>
  <c r="AC108" i="40"/>
  <c r="AC109" i="40" s="1"/>
  <c r="AV10" i="40"/>
  <c r="AW10" i="40" s="1"/>
  <c r="S108" i="40"/>
  <c r="S109" i="40" s="1"/>
  <c r="BU41" i="40"/>
  <c r="S111" i="40"/>
  <c r="S112" i="40" s="1"/>
  <c r="AQ83" i="40"/>
  <c r="AQ84" i="40" s="1"/>
  <c r="AS71" i="40"/>
  <c r="BA68" i="40"/>
  <c r="AZ9" i="40"/>
  <c r="BA53" i="40"/>
  <c r="AZ41" i="40"/>
  <c r="BG41" i="40"/>
  <c r="BA49" i="40"/>
  <c r="AZ49" i="40" s="1"/>
  <c r="AZ48" i="40" s="1"/>
  <c r="BG49" i="40"/>
  <c r="BG81" i="40"/>
  <c r="BG83" i="40"/>
  <c r="BG82" i="40"/>
  <c r="BE45" i="40"/>
  <c r="BE48" i="40"/>
  <c r="BD49" i="40"/>
  <c r="BD48" i="40" s="1"/>
  <c r="BE83" i="40"/>
  <c r="BE82" i="40"/>
  <c r="BE81" i="40"/>
  <c r="BH49" i="40"/>
  <c r="BH48" i="40" s="1"/>
  <c r="BT41" i="40"/>
  <c r="AA68" i="40"/>
  <c r="AI24" i="40"/>
  <c r="AI23" i="40" s="1"/>
  <c r="U108" i="40"/>
  <c r="U109" i="40" s="1"/>
  <c r="AP62" i="40"/>
  <c r="AA54" i="40"/>
  <c r="AA49" i="40" s="1"/>
  <c r="AA48" i="40" s="1"/>
  <c r="K108" i="40"/>
  <c r="K109" i="40" s="1"/>
  <c r="U111" i="40"/>
  <c r="U112" i="40" s="1"/>
  <c r="AA111" i="40"/>
  <c r="AA112" i="40" s="1"/>
  <c r="AI30" i="40"/>
  <c r="AI29" i="40" s="1"/>
  <c r="AC56" i="40"/>
  <c r="AC50" i="40" s="1"/>
  <c r="BU48" i="40"/>
  <c r="AC68" i="40"/>
  <c r="AO69" i="40"/>
  <c r="BI44" i="40"/>
  <c r="BI43" i="40" s="1"/>
  <c r="AO16" i="40"/>
  <c r="AO20" i="40" s="1"/>
  <c r="AO24" i="40" s="1"/>
  <c r="AO23" i="40" s="1"/>
  <c r="K80" i="40"/>
  <c r="K83" i="40" s="1"/>
  <c r="BU45" i="40"/>
  <c r="AI71" i="40"/>
  <c r="O108" i="40"/>
  <c r="O109" i="40" s="1"/>
  <c r="AA108" i="40"/>
  <c r="AA109" i="40" s="1"/>
  <c r="AW56" i="40"/>
  <c r="AW50" i="40" s="1"/>
  <c r="O56" i="40"/>
  <c r="O68" i="40" s="1"/>
  <c r="O63" i="40" s="1"/>
  <c r="AV62" i="40"/>
  <c r="I56" i="40"/>
  <c r="I68" i="40" s="1"/>
  <c r="BW49" i="40"/>
  <c r="BW45" i="40" s="1"/>
  <c r="AS111" i="40"/>
  <c r="AS112" i="40" s="1"/>
  <c r="AS108" i="40"/>
  <c r="AS109" i="40" s="1"/>
  <c r="AG41" i="40"/>
  <c r="BV41" i="40"/>
  <c r="AA53" i="40"/>
  <c r="BH45" i="40"/>
  <c r="BH44" i="40" s="1"/>
  <c r="BH43" i="40" s="1"/>
  <c r="AO111" i="40"/>
  <c r="AO112" i="40" s="1"/>
  <c r="AG71" i="40"/>
  <c r="AM56" i="40"/>
  <c r="AM53" i="40" s="1"/>
  <c r="AO56" i="40"/>
  <c r="AO108" i="40"/>
  <c r="AO109" i="40" s="1"/>
  <c r="AG80" i="40"/>
  <c r="AG82" i="40" s="1"/>
  <c r="AW25" i="40"/>
  <c r="AS56" i="40"/>
  <c r="AS50" i="40" s="1"/>
  <c r="AS54" i="40" s="1"/>
  <c r="AG111" i="40"/>
  <c r="AG112" i="40" s="1"/>
  <c r="AS68" i="40"/>
  <c r="AQ56" i="40"/>
  <c r="AP9" i="40" s="1"/>
  <c r="AG108" i="40"/>
  <c r="AG109" i="40" s="1"/>
  <c r="BI48" i="40"/>
  <c r="AQ68" i="40"/>
  <c r="AN62" i="40"/>
  <c r="AQ111" i="40"/>
  <c r="AQ112" i="40" s="1"/>
  <c r="AF49" i="40"/>
  <c r="AF48" i="40" s="1"/>
  <c r="AD62" i="40"/>
  <c r="AG48" i="40"/>
  <c r="AI80" i="40"/>
  <c r="AI82" i="40" s="1"/>
  <c r="BA108" i="40"/>
  <c r="BA109" i="40" s="1"/>
  <c r="AU56" i="40"/>
  <c r="AU50" i="40" s="1"/>
  <c r="AU54" i="40" s="1"/>
  <c r="AT41" i="40" s="1"/>
  <c r="AT62" i="40"/>
  <c r="AE56" i="40"/>
  <c r="AE50" i="40" s="1"/>
  <c r="K50" i="40"/>
  <c r="K54" i="40" s="1"/>
  <c r="J9" i="40"/>
  <c r="K68" i="40"/>
  <c r="AC111" i="40"/>
  <c r="AC112" i="40" s="1"/>
  <c r="BA111" i="40"/>
  <c r="BA112" i="40" s="1"/>
  <c r="K16" i="40"/>
  <c r="K20" i="40" s="1"/>
  <c r="K69" i="40"/>
  <c r="K111" i="40"/>
  <c r="K112" i="40" s="1"/>
  <c r="AX62" i="40"/>
  <c r="AY68" i="40"/>
  <c r="AG45" i="40"/>
  <c r="BC48" i="40"/>
  <c r="BB49" i="40"/>
  <c r="BB48" i="40" s="1"/>
  <c r="BC45" i="40"/>
  <c r="BA83" i="40"/>
  <c r="BA81" i="40"/>
  <c r="BA82" i="40"/>
  <c r="Q56" i="40"/>
  <c r="P62" i="40"/>
  <c r="W56" i="40"/>
  <c r="W108" i="40"/>
  <c r="W109" i="40" s="1"/>
  <c r="W111" i="40"/>
  <c r="W112" i="40" s="1"/>
  <c r="I76" i="40"/>
  <c r="I74" i="40" s="1"/>
  <c r="I69" i="40"/>
  <c r="I16" i="40"/>
  <c r="I20" i="40" s="1"/>
  <c r="I24" i="40" s="1"/>
  <c r="I23" i="40" s="1"/>
  <c r="AE10" i="40"/>
  <c r="AD16" i="40"/>
  <c r="AD20" i="40" s="1"/>
  <c r="AD24" i="40" s="1"/>
  <c r="AD23" i="40" s="1"/>
  <c r="Y56" i="40"/>
  <c r="Y111" i="40"/>
  <c r="Y112" i="40" s="1"/>
  <c r="Y108" i="40"/>
  <c r="Y109" i="40" s="1"/>
  <c r="Y82" i="40"/>
  <c r="Y83" i="40"/>
  <c r="Y81" i="40"/>
  <c r="AC24" i="40"/>
  <c r="AC23" i="40" s="1"/>
  <c r="BC41" i="40"/>
  <c r="G68" i="40"/>
  <c r="G50" i="40"/>
  <c r="F9" i="40"/>
  <c r="BU111" i="40"/>
  <c r="BU112" i="40" s="1"/>
  <c r="BU108" i="40"/>
  <c r="BU109" i="40" s="1"/>
  <c r="BU78" i="40"/>
  <c r="BU75" i="40"/>
  <c r="BU71" i="40"/>
  <c r="BU80" i="40"/>
  <c r="P31" i="40"/>
  <c r="P42" i="40"/>
  <c r="P30" i="40"/>
  <c r="P29" i="40" s="1"/>
  <c r="AU42" i="40"/>
  <c r="AU25" i="40"/>
  <c r="AO71" i="40"/>
  <c r="AO75" i="40"/>
  <c r="G76" i="40"/>
  <c r="G74" i="40" s="1"/>
  <c r="G16" i="40"/>
  <c r="G20" i="40" s="1"/>
  <c r="G24" i="40" s="1"/>
  <c r="G23" i="40" s="1"/>
  <c r="BA48" i="40"/>
  <c r="BW78" i="40"/>
  <c r="BW75" i="40"/>
  <c r="BW80" i="40"/>
  <c r="BW71" i="40"/>
  <c r="BW108" i="40"/>
  <c r="BW109" i="40" s="1"/>
  <c r="BW111" i="40"/>
  <c r="BW112" i="40" s="1"/>
  <c r="BA78" i="40"/>
  <c r="BA71" i="40"/>
  <c r="BA75" i="40"/>
  <c r="O83" i="40"/>
  <c r="O81" i="40"/>
  <c r="O82" i="40"/>
  <c r="AW96" i="40"/>
  <c r="AU136" i="40"/>
  <c r="AW140" i="40"/>
  <c r="AW141" i="40" s="1"/>
  <c r="W81" i="40"/>
  <c r="W82" i="40"/>
  <c r="W83" i="40"/>
  <c r="AS83" i="40"/>
  <c r="AS81" i="40"/>
  <c r="AS82" i="40"/>
  <c r="AO82" i="40"/>
  <c r="AO83" i="40"/>
  <c r="AO81" i="40"/>
  <c r="AK56" i="40"/>
  <c r="BC111" i="40"/>
  <c r="BC112" i="40" s="1"/>
  <c r="BC108" i="40"/>
  <c r="BC109" i="40" s="1"/>
  <c r="BC78" i="40"/>
  <c r="BC80" i="40"/>
  <c r="BC71" i="40"/>
  <c r="BC75" i="40"/>
  <c r="K78" i="40"/>
  <c r="K75" i="40"/>
  <c r="K71" i="40"/>
  <c r="AO25" i="40"/>
  <c r="AO42" i="40"/>
  <c r="BI111" i="40"/>
  <c r="BI112" i="40" s="1"/>
  <c r="BI108" i="40"/>
  <c r="BI109" i="40" s="1"/>
  <c r="BI78" i="40"/>
  <c r="BI75" i="40"/>
  <c r="BI80" i="40"/>
  <c r="BI71" i="40"/>
  <c r="U50" i="40"/>
  <c r="U54" i="40" s="1"/>
  <c r="U41" i="40" s="1"/>
  <c r="U68" i="40"/>
  <c r="T9" i="40"/>
  <c r="O137" i="40"/>
  <c r="Q137" i="40" s="1"/>
  <c r="Y137" i="40" s="1"/>
  <c r="AA137" i="40" s="1"/>
  <c r="AE140" i="40"/>
  <c r="AE141" i="40" s="1"/>
  <c r="AC75" i="40"/>
  <c r="AC80" i="40"/>
  <c r="AC71" i="40"/>
  <c r="BB41" i="40"/>
  <c r="AH31" i="40"/>
  <c r="AH42" i="40"/>
  <c r="AF31" i="40"/>
  <c r="AF30" i="40"/>
  <c r="AF29" i="40" s="1"/>
  <c r="AF42" i="40"/>
  <c r="AF41" i="40" s="1"/>
  <c r="AF44" i="40" s="1"/>
  <c r="AF43" i="40" s="1"/>
  <c r="AK76" i="40"/>
  <c r="AK74" i="40" s="1"/>
  <c r="AK111" i="40" s="1"/>
  <c r="AK112" i="40" s="1"/>
  <c r="AK69" i="40"/>
  <c r="AL10" i="40"/>
  <c r="AY42" i="40"/>
  <c r="AY25" i="40"/>
  <c r="W78" i="40"/>
  <c r="W149" i="40" s="1"/>
  <c r="W75" i="40"/>
  <c r="W71" i="40"/>
  <c r="M83" i="40"/>
  <c r="M81" i="40"/>
  <c r="M82" i="40"/>
  <c r="M111" i="40"/>
  <c r="M112" i="40" s="1"/>
  <c r="M108" i="40"/>
  <c r="M109" i="40" s="1"/>
  <c r="M56" i="40"/>
  <c r="L63" i="40"/>
  <c r="Q10" i="40"/>
  <c r="P16" i="40"/>
  <c r="P20" i="40" s="1"/>
  <c r="P24" i="40" s="1"/>
  <c r="P23" i="40" s="1"/>
  <c r="U53" i="40"/>
  <c r="AE25" i="40"/>
  <c r="AE30" i="40"/>
  <c r="AE29" i="40" s="1"/>
  <c r="AY50" i="40"/>
  <c r="AY54" i="40" s="1"/>
  <c r="AX41" i="40" s="1"/>
  <c r="AX9" i="40"/>
  <c r="G53" i="40"/>
  <c r="AC30" i="40"/>
  <c r="AC29" i="40" s="1"/>
  <c r="AC25" i="40"/>
  <c r="AH62" i="40"/>
  <c r="AI56" i="40"/>
  <c r="AI111" i="40"/>
  <c r="AI112" i="40" s="1"/>
  <c r="AI108" i="40"/>
  <c r="AI109" i="40" s="1"/>
  <c r="S50" i="40"/>
  <c r="S54" i="40" s="1"/>
  <c r="S68" i="40"/>
  <c r="R9" i="40"/>
  <c r="U78" i="40"/>
  <c r="U149" i="40" s="1"/>
  <c r="U75" i="40"/>
  <c r="U71" i="40"/>
  <c r="U80" i="40"/>
  <c r="AA75" i="40"/>
  <c r="AA80" i="40"/>
  <c r="AA71" i="40"/>
  <c r="AQ86" i="40" l="1"/>
  <c r="BL45" i="40"/>
  <c r="BK45" i="40" s="1"/>
  <c r="BK44" i="40" s="1"/>
  <c r="BK43" i="40" s="1"/>
  <c r="BL82" i="40"/>
  <c r="BL81" i="40"/>
  <c r="BL48" i="40"/>
  <c r="S84" i="40"/>
  <c r="AI81" i="40"/>
  <c r="BR86" i="40"/>
  <c r="BR84" i="40"/>
  <c r="BQ45" i="40"/>
  <c r="BQ44" i="40" s="1"/>
  <c r="BQ43" i="40" s="1"/>
  <c r="BR44" i="40"/>
  <c r="BR43" i="40" s="1"/>
  <c r="BP89" i="40"/>
  <c r="BP87" i="40"/>
  <c r="BN41" i="40"/>
  <c r="BM41" i="40"/>
  <c r="BN86" i="40"/>
  <c r="BN84" i="40"/>
  <c r="BN49" i="40"/>
  <c r="AV16" i="40"/>
  <c r="AV20" i="40" s="1"/>
  <c r="AV24" i="40" s="1"/>
  <c r="AV23" i="40" s="1"/>
  <c r="BL44" i="40"/>
  <c r="BL43" i="40" s="1"/>
  <c r="BL86" i="40"/>
  <c r="BL84" i="40"/>
  <c r="K82" i="40"/>
  <c r="K81" i="40"/>
  <c r="BU44" i="40"/>
  <c r="BU43" i="40" s="1"/>
  <c r="BT45" i="40"/>
  <c r="BT44" i="40" s="1"/>
  <c r="BT43" i="40" s="1"/>
  <c r="N9" i="40"/>
  <c r="O50" i="40"/>
  <c r="O54" i="40" s="1"/>
  <c r="O41" i="40" s="1"/>
  <c r="AQ50" i="40"/>
  <c r="AQ54" i="40" s="1"/>
  <c r="AP41" i="40" s="1"/>
  <c r="I53" i="40"/>
  <c r="AZ45" i="40"/>
  <c r="AZ44" i="40" s="1"/>
  <c r="AZ43" i="40" s="1"/>
  <c r="BA45" i="40"/>
  <c r="BA44" i="40" s="1"/>
  <c r="BA43" i="40" s="1"/>
  <c r="AG44" i="40"/>
  <c r="AG43" i="40" s="1"/>
  <c r="BG86" i="40"/>
  <c r="BG84" i="40"/>
  <c r="BG45" i="40"/>
  <c r="BG48" i="40"/>
  <c r="BF49" i="40"/>
  <c r="BF48" i="40" s="1"/>
  <c r="BE86" i="40"/>
  <c r="BE84" i="40"/>
  <c r="BD45" i="40"/>
  <c r="BD44" i="40" s="1"/>
  <c r="BD43" i="40" s="1"/>
  <c r="BE44" i="40"/>
  <c r="BE43" i="40" s="1"/>
  <c r="AA45" i="40"/>
  <c r="Z49" i="40"/>
  <c r="Z48" i="40" s="1"/>
  <c r="Z41" i="40"/>
  <c r="Z45" i="40"/>
  <c r="AC53" i="40"/>
  <c r="AW53" i="40"/>
  <c r="AA41" i="40"/>
  <c r="AC54" i="40"/>
  <c r="AC49" i="40" s="1"/>
  <c r="AC48" i="40" s="1"/>
  <c r="AI83" i="40"/>
  <c r="AI84" i="40" s="1"/>
  <c r="AV9" i="40"/>
  <c r="AB9" i="40"/>
  <c r="AQ53" i="40"/>
  <c r="BW48" i="40"/>
  <c r="O53" i="40"/>
  <c r="H9" i="40"/>
  <c r="I50" i="40"/>
  <c r="I54" i="40" s="1"/>
  <c r="AS53" i="40"/>
  <c r="AL9" i="40"/>
  <c r="BV49" i="40"/>
  <c r="BV48" i="40" s="1"/>
  <c r="K41" i="40"/>
  <c r="J41" i="40"/>
  <c r="AS49" i="40"/>
  <c r="AS45" i="40" s="1"/>
  <c r="AS41" i="40"/>
  <c r="AG81" i="40"/>
  <c r="AM50" i="40"/>
  <c r="AM54" i="40" s="1"/>
  <c r="AM41" i="40" s="1"/>
  <c r="AG83" i="40"/>
  <c r="AG84" i="40" s="1"/>
  <c r="AM68" i="40"/>
  <c r="AK108" i="40"/>
  <c r="AK109" i="40" s="1"/>
  <c r="AE53" i="40"/>
  <c r="AN9" i="40"/>
  <c r="AO50" i="40"/>
  <c r="AO53" i="40"/>
  <c r="AR9" i="40"/>
  <c r="AQ41" i="40"/>
  <c r="AQ49" i="40"/>
  <c r="AP49" i="40" s="1"/>
  <c r="AP48" i="40" s="1"/>
  <c r="AE54" i="40"/>
  <c r="AD41" i="40" s="1"/>
  <c r="AR41" i="40"/>
  <c r="AT9" i="40"/>
  <c r="AU53" i="40"/>
  <c r="AD9" i="40"/>
  <c r="K49" i="40"/>
  <c r="AY41" i="40"/>
  <c r="Y50" i="40"/>
  <c r="Y54" i="40" s="1"/>
  <c r="Y68" i="40"/>
  <c r="X9" i="40"/>
  <c r="Y53" i="40"/>
  <c r="U83" i="40"/>
  <c r="U81" i="40"/>
  <c r="U82" i="40"/>
  <c r="S41" i="40"/>
  <c r="R41" i="40"/>
  <c r="W50" i="40"/>
  <c r="W54" i="40" s="1"/>
  <c r="W68" i="40"/>
  <c r="V9" i="40"/>
  <c r="W53" i="40"/>
  <c r="AK68" i="40"/>
  <c r="AK50" i="40"/>
  <c r="AJ9" i="40"/>
  <c r="AK53" i="40"/>
  <c r="S49" i="40"/>
  <c r="T41" i="40"/>
  <c r="BU83" i="40"/>
  <c r="BU81" i="40"/>
  <c r="BU82" i="40"/>
  <c r="Y84" i="40"/>
  <c r="Y86" i="40"/>
  <c r="I71" i="40"/>
  <c r="I78" i="40"/>
  <c r="I75" i="40"/>
  <c r="I80" i="40"/>
  <c r="I108" i="40"/>
  <c r="I109" i="40" s="1"/>
  <c r="I111" i="40"/>
  <c r="I112" i="40" s="1"/>
  <c r="AW76" i="40"/>
  <c r="AW74" i="40" s="1"/>
  <c r="AW69" i="40"/>
  <c r="AT10" i="40"/>
  <c r="AW16" i="40"/>
  <c r="AW20" i="40" s="1"/>
  <c r="AW24" i="40" s="1"/>
  <c r="AW23" i="40" s="1"/>
  <c r="O86" i="40"/>
  <c r="O84" i="40"/>
  <c r="BW44" i="40"/>
  <c r="BW43" i="40" s="1"/>
  <c r="BV45" i="40"/>
  <c r="BV44" i="40" s="1"/>
  <c r="BV43" i="40" s="1"/>
  <c r="AO84" i="40"/>
  <c r="AO86" i="40"/>
  <c r="Q50" i="40"/>
  <c r="Q54" i="40" s="1"/>
  <c r="Q41" i="40" s="1"/>
  <c r="Q68" i="40"/>
  <c r="Q63" i="40" s="1"/>
  <c r="P9" i="40"/>
  <c r="Q53" i="40"/>
  <c r="W84" i="40"/>
  <c r="W86" i="40"/>
  <c r="BI83" i="40"/>
  <c r="BI81" i="40"/>
  <c r="BI82" i="40"/>
  <c r="M86" i="40"/>
  <c r="M84" i="40"/>
  <c r="AU49" i="40"/>
  <c r="AI68" i="40"/>
  <c r="AI50" i="40"/>
  <c r="AI54" i="40" s="1"/>
  <c r="AH9" i="40"/>
  <c r="AI53" i="40"/>
  <c r="AC82" i="40"/>
  <c r="AC83" i="40"/>
  <c r="AC81" i="40"/>
  <c r="M50" i="40"/>
  <c r="M54" i="40" s="1"/>
  <c r="M68" i="40"/>
  <c r="L9" i="40"/>
  <c r="M53" i="40"/>
  <c r="AL16" i="40"/>
  <c r="AL20" i="40" s="1"/>
  <c r="AL24" i="40" s="1"/>
  <c r="AL23" i="40" s="1"/>
  <c r="AM10" i="40"/>
  <c r="S87" i="40"/>
  <c r="S89" i="40"/>
  <c r="BW81" i="40"/>
  <c r="BW82" i="40"/>
  <c r="BW83" i="40"/>
  <c r="AA82" i="40"/>
  <c r="AA83" i="40"/>
  <c r="AA81" i="40"/>
  <c r="AQ89" i="40"/>
  <c r="AQ87" i="40"/>
  <c r="AK75" i="40"/>
  <c r="AK80" i="40"/>
  <c r="AK71" i="40"/>
  <c r="AS86" i="40"/>
  <c r="AS84" i="40"/>
  <c r="AW54" i="40"/>
  <c r="AW49" i="40" s="1"/>
  <c r="BA86" i="40"/>
  <c r="BA84" i="40"/>
  <c r="G71" i="40"/>
  <c r="G78" i="40"/>
  <c r="G75" i="40"/>
  <c r="G80" i="40"/>
  <c r="G111" i="40"/>
  <c r="G112" i="40" s="1"/>
  <c r="G108" i="40"/>
  <c r="G109" i="40" s="1"/>
  <c r="AU96" i="40"/>
  <c r="AY136" i="40"/>
  <c r="AU140" i="40"/>
  <c r="AU141" i="40" s="1"/>
  <c r="AE76" i="40"/>
  <c r="AE74" i="40" s="1"/>
  <c r="AE69" i="40"/>
  <c r="AE16" i="40"/>
  <c r="AE20" i="40" s="1"/>
  <c r="AE24" i="40" s="1"/>
  <c r="AE23" i="40" s="1"/>
  <c r="K86" i="40"/>
  <c r="K84" i="40"/>
  <c r="G54" i="40"/>
  <c r="G49" i="40" s="1"/>
  <c r="Q76" i="40"/>
  <c r="Q74" i="40" s="1"/>
  <c r="Q16" i="40"/>
  <c r="Q20" i="40" s="1"/>
  <c r="Q24" i="40" s="1"/>
  <c r="Q23" i="40" s="1"/>
  <c r="Q69" i="40"/>
  <c r="U49" i="40"/>
  <c r="BB45" i="40"/>
  <c r="BB44" i="40" s="1"/>
  <c r="BB43" i="40" s="1"/>
  <c r="BC44" i="40"/>
  <c r="BC43" i="40" s="1"/>
  <c r="AY49" i="40"/>
  <c r="BC83" i="40"/>
  <c r="BC81" i="40"/>
  <c r="BC82" i="40"/>
  <c r="AU41" i="40"/>
  <c r="Z44" i="40" l="1"/>
  <c r="Z43" i="40" s="1"/>
  <c r="BR87" i="40"/>
  <c r="BR89" i="40"/>
  <c r="BP93" i="40"/>
  <c r="BP90" i="40"/>
  <c r="BN45" i="40"/>
  <c r="BN48" i="40"/>
  <c r="BM49" i="40"/>
  <c r="BM48" i="40" s="1"/>
  <c r="BN87" i="40"/>
  <c r="BN89" i="40"/>
  <c r="AA44" i="40"/>
  <c r="AA43" i="40" s="1"/>
  <c r="O49" i="40"/>
  <c r="O48" i="40" s="1"/>
  <c r="N41" i="40"/>
  <c r="BL87" i="40"/>
  <c r="BL89" i="40"/>
  <c r="AI86" i="40"/>
  <c r="AI87" i="40" s="1"/>
  <c r="AB45" i="40"/>
  <c r="BF45" i="40"/>
  <c r="BF44" i="40" s="1"/>
  <c r="BF43" i="40" s="1"/>
  <c r="BG44" i="40"/>
  <c r="BG43" i="40" s="1"/>
  <c r="BG89" i="40"/>
  <c r="BG87" i="40"/>
  <c r="BE89" i="40"/>
  <c r="BE87" i="40"/>
  <c r="AB41" i="40"/>
  <c r="AB49" i="40"/>
  <c r="AB48" i="40" s="1"/>
  <c r="AC45" i="40"/>
  <c r="AC41" i="40"/>
  <c r="AG86" i="40"/>
  <c r="AG87" i="40" s="1"/>
  <c r="AS44" i="40"/>
  <c r="AS47" i="40" s="1"/>
  <c r="AQ48" i="40"/>
  <c r="I41" i="40"/>
  <c r="H41" i="40"/>
  <c r="I49" i="40"/>
  <c r="I48" i="40" s="1"/>
  <c r="AR49" i="40"/>
  <c r="AR48" i="40" s="1"/>
  <c r="AE41" i="40"/>
  <c r="AL41" i="40"/>
  <c r="AP45" i="40"/>
  <c r="AP44" i="40" s="1"/>
  <c r="AP43" i="40" s="1"/>
  <c r="AO54" i="40"/>
  <c r="AO49" i="40" s="1"/>
  <c r="AM49" i="40"/>
  <c r="AL45" i="40" s="1"/>
  <c r="AQ45" i="40"/>
  <c r="AQ44" i="40" s="1"/>
  <c r="AQ43" i="40" s="1"/>
  <c r="AR45" i="40"/>
  <c r="AR44" i="40" s="1"/>
  <c r="AR43" i="40" s="1"/>
  <c r="AS48" i="40"/>
  <c r="AE49" i="40"/>
  <c r="AE48" i="40" s="1"/>
  <c r="K48" i="40"/>
  <c r="K45" i="40"/>
  <c r="K44" i="40" s="1"/>
  <c r="K43" i="40" s="1"/>
  <c r="J45" i="40"/>
  <c r="J44" i="40" s="1"/>
  <c r="J43" i="40" s="1"/>
  <c r="J49" i="40"/>
  <c r="J48" i="40" s="1"/>
  <c r="AI41" i="40"/>
  <c r="AH41" i="40"/>
  <c r="F45" i="40"/>
  <c r="F49" i="40"/>
  <c r="F48" i="40" s="1"/>
  <c r="G45" i="40"/>
  <c r="G48" i="40"/>
  <c r="AW48" i="40"/>
  <c r="AV49" i="40"/>
  <c r="AV48" i="40" s="1"/>
  <c r="AV45" i="40"/>
  <c r="AW45" i="40"/>
  <c r="M89" i="40"/>
  <c r="M87" i="40"/>
  <c r="AW71" i="40"/>
  <c r="AW75" i="40"/>
  <c r="AW80" i="40"/>
  <c r="AW111" i="40"/>
  <c r="AW112" i="40" s="1"/>
  <c r="AW108" i="40"/>
  <c r="AW109" i="40" s="1"/>
  <c r="Q49" i="40"/>
  <c r="T45" i="40"/>
  <c r="T44" i="40" s="1"/>
  <c r="T43" i="40" s="1"/>
  <c r="T49" i="40"/>
  <c r="T48" i="40" s="1"/>
  <c r="U48" i="40"/>
  <c r="U45" i="40"/>
  <c r="U44" i="40" s="1"/>
  <c r="U43" i="40" s="1"/>
  <c r="W49" i="40"/>
  <c r="P41" i="40"/>
  <c r="M41" i="40"/>
  <c r="L41" i="40"/>
  <c r="M49" i="40"/>
  <c r="Q78" i="40"/>
  <c r="Q75" i="40"/>
  <c r="Q71" i="40"/>
  <c r="Q80" i="40"/>
  <c r="Q111" i="40"/>
  <c r="Q112" i="40" s="1"/>
  <c r="Q108" i="40"/>
  <c r="Q109" i="40" s="1"/>
  <c r="G83" i="40"/>
  <c r="G81" i="40"/>
  <c r="G82" i="40"/>
  <c r="BU84" i="40"/>
  <c r="BU86" i="40"/>
  <c r="AU10" i="40"/>
  <c r="AT16" i="40"/>
  <c r="AT20" i="40" s="1"/>
  <c r="AT24" i="40" s="1"/>
  <c r="AT23" i="40" s="1"/>
  <c r="AW41" i="40"/>
  <c r="AV41" i="40"/>
  <c r="AY96" i="40"/>
  <c r="AY140" i="40"/>
  <c r="AY141" i="40" s="1"/>
  <c r="AM76" i="40"/>
  <c r="AM74" i="40" s="1"/>
  <c r="AM69" i="40"/>
  <c r="AM16" i="40"/>
  <c r="AM20" i="40" s="1"/>
  <c r="AM24" i="40" s="1"/>
  <c r="AM23" i="40" s="1"/>
  <c r="AA84" i="40"/>
  <c r="AA86" i="40"/>
  <c r="AO89" i="40"/>
  <c r="AO87" i="40"/>
  <c r="AI49" i="40"/>
  <c r="S45" i="40"/>
  <c r="S44" i="40" s="1"/>
  <c r="S43" i="40" s="1"/>
  <c r="S48" i="40"/>
  <c r="R45" i="40"/>
  <c r="R44" i="40" s="1"/>
  <c r="R43" i="40" s="1"/>
  <c r="R49" i="40"/>
  <c r="R48" i="40" s="1"/>
  <c r="Y87" i="40"/>
  <c r="Y89" i="40"/>
  <c r="AQ93" i="40"/>
  <c r="AQ90" i="40"/>
  <c r="AC84" i="40"/>
  <c r="AC86" i="40"/>
  <c r="S90" i="40"/>
  <c r="S93" i="40"/>
  <c r="AT45" i="40"/>
  <c r="AT44" i="40" s="1"/>
  <c r="AT43" i="40" s="1"/>
  <c r="AT49" i="40"/>
  <c r="AT48" i="40" s="1"/>
  <c r="AU45" i="40"/>
  <c r="AU44" i="40" s="1"/>
  <c r="O89" i="40"/>
  <c r="O87" i="40"/>
  <c r="U84" i="40"/>
  <c r="U86" i="40"/>
  <c r="W41" i="40"/>
  <c r="V41" i="40"/>
  <c r="BW84" i="40"/>
  <c r="BW86" i="40"/>
  <c r="G41" i="40"/>
  <c r="F41" i="40"/>
  <c r="BC86" i="40"/>
  <c r="BC84" i="40"/>
  <c r="AS89" i="40"/>
  <c r="AS87" i="40"/>
  <c r="BI86" i="40"/>
  <c r="BI84" i="40"/>
  <c r="BA89" i="40"/>
  <c r="BA87" i="40"/>
  <c r="K89" i="40"/>
  <c r="K87" i="40"/>
  <c r="AE75" i="40"/>
  <c r="AE71" i="40"/>
  <c r="AE108" i="40"/>
  <c r="AE109" i="40" s="1"/>
  <c r="AE80" i="40"/>
  <c r="AE111" i="40"/>
  <c r="AE112" i="40" s="1"/>
  <c r="W87" i="40"/>
  <c r="W89" i="40"/>
  <c r="AK82" i="40"/>
  <c r="AK83" i="40"/>
  <c r="AK81" i="40"/>
  <c r="I83" i="40"/>
  <c r="I81" i="40"/>
  <c r="I82" i="40"/>
  <c r="AK54" i="40"/>
  <c r="Y41" i="40"/>
  <c r="X41" i="40"/>
  <c r="AY45" i="40"/>
  <c r="AY44" i="40" s="1"/>
  <c r="AX45" i="40"/>
  <c r="AX44" i="40" s="1"/>
  <c r="AX43" i="40" s="1"/>
  <c r="AX49" i="40"/>
  <c r="Y49" i="40"/>
  <c r="N45" i="40" l="1"/>
  <c r="N44" i="40" s="1"/>
  <c r="N43" i="40" s="1"/>
  <c r="O45" i="40"/>
  <c r="O44" i="40" s="1"/>
  <c r="O43" i="40" s="1"/>
  <c r="AI89" i="40"/>
  <c r="N49" i="40"/>
  <c r="N48" i="40" s="1"/>
  <c r="BR93" i="40"/>
  <c r="BR90" i="40"/>
  <c r="BP98" i="40"/>
  <c r="BP94" i="40"/>
  <c r="BN93" i="40"/>
  <c r="BN90" i="40"/>
  <c r="BM45" i="40"/>
  <c r="BM44" i="40" s="1"/>
  <c r="BM43" i="40" s="1"/>
  <c r="BN44" i="40"/>
  <c r="BN43" i="40" s="1"/>
  <c r="AC44" i="40"/>
  <c r="AC43" i="40" s="1"/>
  <c r="AG89" i="40"/>
  <c r="AG90" i="40" s="1"/>
  <c r="BL93" i="40"/>
  <c r="BL90" i="40"/>
  <c r="AB44" i="40"/>
  <c r="AB43" i="40" s="1"/>
  <c r="BG93" i="40"/>
  <c r="BG90" i="40"/>
  <c r="BE93" i="40"/>
  <c r="BE90" i="40"/>
  <c r="AQ47" i="40"/>
  <c r="I45" i="40"/>
  <c r="I44" i="40" s="1"/>
  <c r="I43" i="40" s="1"/>
  <c r="AS43" i="40"/>
  <c r="AM48" i="40"/>
  <c r="AE45" i="40"/>
  <c r="AE44" i="40" s="1"/>
  <c r="AE43" i="40" s="1"/>
  <c r="AD45" i="40"/>
  <c r="AD44" i="40" s="1"/>
  <c r="AD43" i="40" s="1"/>
  <c r="AL49" i="40"/>
  <c r="AL48" i="40" s="1"/>
  <c r="AM45" i="40"/>
  <c r="AM44" i="40" s="1"/>
  <c r="AM43" i="40" s="1"/>
  <c r="H45" i="40"/>
  <c r="H44" i="40" s="1"/>
  <c r="H43" i="40" s="1"/>
  <c r="H49" i="40"/>
  <c r="H48" i="40" s="1"/>
  <c r="AD49" i="40"/>
  <c r="AD48" i="40" s="1"/>
  <c r="AL44" i="40"/>
  <c r="AL43" i="40" s="1"/>
  <c r="AN41" i="40"/>
  <c r="AO41" i="40"/>
  <c r="AO45" i="40"/>
  <c r="AN49" i="40"/>
  <c r="AN48" i="40" s="1"/>
  <c r="AN45" i="40"/>
  <c r="AO48" i="40"/>
  <c r="AV44" i="40"/>
  <c r="AV43" i="40" s="1"/>
  <c r="AC87" i="40"/>
  <c r="AC89" i="40"/>
  <c r="AA87" i="40"/>
  <c r="AA89" i="40"/>
  <c r="X45" i="40"/>
  <c r="X44" i="40" s="1"/>
  <c r="X43" i="40" s="1"/>
  <c r="Y48" i="40"/>
  <c r="Y45" i="40"/>
  <c r="Y44" i="40" s="1"/>
  <c r="Y43" i="40" s="1"/>
  <c r="X49" i="40"/>
  <c r="X48" i="40" s="1"/>
  <c r="AW83" i="40"/>
  <c r="AW81" i="40"/>
  <c r="AW82" i="40"/>
  <c r="AI48" i="40"/>
  <c r="AH49" i="40"/>
  <c r="AH48" i="40" s="1"/>
  <c r="AI45" i="40"/>
  <c r="AI44" i="40" s="1"/>
  <c r="AI43" i="40" s="1"/>
  <c r="AH45" i="40"/>
  <c r="AH44" i="40" s="1"/>
  <c r="AH43" i="40" s="1"/>
  <c r="Q83" i="40"/>
  <c r="Q81" i="40"/>
  <c r="Q82" i="40"/>
  <c r="AE82" i="40"/>
  <c r="AE83" i="40"/>
  <c r="AE81" i="40"/>
  <c r="W90" i="40"/>
  <c r="W93" i="40"/>
  <c r="M48" i="40"/>
  <c r="L49" i="40"/>
  <c r="L48" i="40" s="1"/>
  <c r="M45" i="40"/>
  <c r="M44" i="40" s="1"/>
  <c r="M43" i="40" s="1"/>
  <c r="L45" i="40"/>
  <c r="L44" i="40" s="1"/>
  <c r="L43" i="40" s="1"/>
  <c r="AS93" i="40"/>
  <c r="AS90" i="40"/>
  <c r="AO93" i="40"/>
  <c r="AO90" i="40"/>
  <c r="BW87" i="40"/>
  <c r="BW89" i="40"/>
  <c r="AY47" i="40"/>
  <c r="AY43" i="40"/>
  <c r="AM75" i="40"/>
  <c r="AM71" i="40"/>
  <c r="AM108" i="40"/>
  <c r="AM109" i="40" s="1"/>
  <c r="AM80" i="40"/>
  <c r="AM111" i="40"/>
  <c r="AM112" i="40" s="1"/>
  <c r="M93" i="40"/>
  <c r="M90" i="40"/>
  <c r="Q45" i="40"/>
  <c r="Q44" i="40" s="1"/>
  <c r="Q43" i="40" s="1"/>
  <c r="P45" i="40"/>
  <c r="P44" i="40" s="1"/>
  <c r="P43" i="40" s="1"/>
  <c r="P49" i="40"/>
  <c r="P48" i="40" s="1"/>
  <c r="Q48" i="40"/>
  <c r="BC89" i="40"/>
  <c r="BC87" i="40"/>
  <c r="AQ98" i="40"/>
  <c r="AQ94" i="40"/>
  <c r="AW44" i="40"/>
  <c r="Y90" i="40"/>
  <c r="Y93" i="40"/>
  <c r="AJ41" i="40"/>
  <c r="AK41" i="40"/>
  <c r="BA93" i="40"/>
  <c r="BA90" i="40"/>
  <c r="G44" i="40"/>
  <c r="G43" i="40" s="1"/>
  <c r="BU87" i="40"/>
  <c r="BU89" i="40"/>
  <c r="AK84" i="40"/>
  <c r="AK86" i="40"/>
  <c r="W45" i="40"/>
  <c r="W44" i="40" s="1"/>
  <c r="W43" i="40" s="1"/>
  <c r="V45" i="40"/>
  <c r="V44" i="40" s="1"/>
  <c r="V43" i="40" s="1"/>
  <c r="V49" i="40"/>
  <c r="V48" i="40" s="1"/>
  <c r="W48" i="40"/>
  <c r="F44" i="40"/>
  <c r="F43" i="40" s="1"/>
  <c r="G86" i="40"/>
  <c r="G84" i="40"/>
  <c r="O93" i="40"/>
  <c r="O90" i="40"/>
  <c r="AU47" i="40"/>
  <c r="AU43" i="40"/>
  <c r="AU76" i="40"/>
  <c r="AU74" i="40" s="1"/>
  <c r="AX10" i="40"/>
  <c r="AX48" i="40" s="1"/>
  <c r="AU16" i="40"/>
  <c r="AU20" i="40" s="1"/>
  <c r="AU24" i="40" s="1"/>
  <c r="AU23" i="40" s="1"/>
  <c r="AU69" i="40"/>
  <c r="AK49" i="40"/>
  <c r="BI89" i="40"/>
  <c r="BI87" i="40"/>
  <c r="U87" i="40"/>
  <c r="U89" i="40"/>
  <c r="K93" i="40"/>
  <c r="K90" i="40"/>
  <c r="I86" i="40"/>
  <c r="I84" i="40"/>
  <c r="AU48" i="40"/>
  <c r="AI90" i="40"/>
  <c r="AI93" i="40"/>
  <c r="S98" i="40"/>
  <c r="S94" i="40"/>
  <c r="AG93" i="40" l="1"/>
  <c r="BR98" i="40"/>
  <c r="BR94" i="40"/>
  <c r="BP144" i="40"/>
  <c r="BP99" i="40"/>
  <c r="BN98" i="40"/>
  <c r="BN94" i="40"/>
  <c r="BL98" i="40"/>
  <c r="BL94" i="40"/>
  <c r="AO44" i="40"/>
  <c r="BG98" i="40"/>
  <c r="BG94" i="40"/>
  <c r="BE98" i="40"/>
  <c r="BE94" i="40"/>
  <c r="AN44" i="40"/>
  <c r="AN43" i="40" s="1"/>
  <c r="AO47" i="40"/>
  <c r="AO43" i="40"/>
  <c r="Q86" i="40"/>
  <c r="Q84" i="40"/>
  <c r="Y98" i="40"/>
  <c r="Y94" i="40"/>
  <c r="AW47" i="40"/>
  <c r="AW43" i="40"/>
  <c r="BW90" i="40"/>
  <c r="BW93" i="40"/>
  <c r="O98" i="40"/>
  <c r="O94" i="40"/>
  <c r="G89" i="40"/>
  <c r="G87" i="40"/>
  <c r="AQ99" i="40"/>
  <c r="AQ143" i="40"/>
  <c r="AX16" i="40"/>
  <c r="AX20" i="40" s="1"/>
  <c r="AX24" i="40" s="1"/>
  <c r="AX23" i="40" s="1"/>
  <c r="AY10" i="40"/>
  <c r="AG98" i="40"/>
  <c r="AG94" i="40"/>
  <c r="AO94" i="40"/>
  <c r="AO98" i="40"/>
  <c r="S144" i="40"/>
  <c r="S99" i="40"/>
  <c r="S124" i="40" s="1"/>
  <c r="I89" i="40"/>
  <c r="I87" i="40"/>
  <c r="AS98" i="40"/>
  <c r="AS94" i="40"/>
  <c r="AW86" i="40"/>
  <c r="AW84" i="40"/>
  <c r="AM82" i="40"/>
  <c r="AM83" i="40"/>
  <c r="AM81" i="40"/>
  <c r="BC93" i="40"/>
  <c r="BC90" i="40"/>
  <c r="K94" i="40"/>
  <c r="K98" i="40"/>
  <c r="W98" i="40"/>
  <c r="W94" i="40"/>
  <c r="AK45" i="40"/>
  <c r="AK44" i="40" s="1"/>
  <c r="AK43" i="40" s="1"/>
  <c r="AJ45" i="40"/>
  <c r="AJ44" i="40" s="1"/>
  <c r="AJ43" i="40" s="1"/>
  <c r="AJ49" i="40"/>
  <c r="AJ48" i="40" s="1"/>
  <c r="AK48" i="40"/>
  <c r="AK87" i="40"/>
  <c r="AK89" i="40"/>
  <c r="BU90" i="40"/>
  <c r="BU93" i="40"/>
  <c r="M94" i="40"/>
  <c r="M98" i="40"/>
  <c r="AC90" i="40"/>
  <c r="AC93" i="40"/>
  <c r="AU71" i="40"/>
  <c r="AU75" i="40"/>
  <c r="AU80" i="40"/>
  <c r="AU111" i="40"/>
  <c r="AU112" i="40" s="1"/>
  <c r="AU108" i="40"/>
  <c r="AU109" i="40" s="1"/>
  <c r="AI98" i="40"/>
  <c r="AI94" i="40"/>
  <c r="U90" i="40"/>
  <c r="U93" i="40"/>
  <c r="BI93" i="40"/>
  <c r="BI90" i="40"/>
  <c r="AA90" i="40"/>
  <c r="AA93" i="40"/>
  <c r="BA94" i="40"/>
  <c r="BA98" i="40"/>
  <c r="AE84" i="40"/>
  <c r="AE86" i="40"/>
  <c r="BR144" i="40" l="1"/>
  <c r="BR99" i="40"/>
  <c r="BN144" i="40"/>
  <c r="BN99" i="40"/>
  <c r="BL144" i="40"/>
  <c r="BL99" i="40"/>
  <c r="BG144" i="40"/>
  <c r="BG99" i="40"/>
  <c r="BE144" i="40"/>
  <c r="BE99" i="40"/>
  <c r="W144" i="40"/>
  <c r="W99" i="40"/>
  <c r="W124" i="40" s="1"/>
  <c r="AG144" i="40"/>
  <c r="AG99" i="40"/>
  <c r="AM84" i="40"/>
  <c r="AM86" i="40"/>
  <c r="G93" i="40"/>
  <c r="G90" i="40"/>
  <c r="M99" i="40"/>
  <c r="M124" i="40" s="1"/>
  <c r="M144" i="40"/>
  <c r="AW89" i="40"/>
  <c r="AW87" i="40"/>
  <c r="O99" i="40"/>
  <c r="O124" i="40" s="1"/>
  <c r="O144" i="40"/>
  <c r="K99" i="40"/>
  <c r="K124" i="40" s="1"/>
  <c r="K144" i="40"/>
  <c r="AU83" i="40"/>
  <c r="AU81" i="40"/>
  <c r="AU82" i="40"/>
  <c r="AE87" i="40"/>
  <c r="AE89" i="40"/>
  <c r="BW98" i="40"/>
  <c r="BW94" i="40"/>
  <c r="BU98" i="40"/>
  <c r="BU94" i="40"/>
  <c r="AS99" i="40"/>
  <c r="AS143" i="40"/>
  <c r="BA99" i="40"/>
  <c r="BA144" i="40"/>
  <c r="AI99" i="40"/>
  <c r="AI144" i="40"/>
  <c r="BC98" i="40"/>
  <c r="BC94" i="40"/>
  <c r="AY76" i="40"/>
  <c r="AY74" i="40" s="1"/>
  <c r="AY16" i="40"/>
  <c r="AY20" i="40" s="1"/>
  <c r="AY24" i="40" s="1"/>
  <c r="AY23" i="40" s="1"/>
  <c r="AY69" i="40"/>
  <c r="AY48" i="40"/>
  <c r="Y144" i="40"/>
  <c r="Y99" i="40"/>
  <c r="I93" i="40"/>
  <c r="I90" i="40"/>
  <c r="BI98" i="40"/>
  <c r="BI94" i="40"/>
  <c r="Q89" i="40"/>
  <c r="Q87" i="40"/>
  <c r="AC98" i="40"/>
  <c r="AC94" i="40"/>
  <c r="AK90" i="40"/>
  <c r="AK93" i="40"/>
  <c r="AA98" i="40"/>
  <c r="AA94" i="40"/>
  <c r="U98" i="40"/>
  <c r="U94" i="40"/>
  <c r="AO99" i="40"/>
  <c r="AO144" i="40"/>
  <c r="U144" i="40" l="1"/>
  <c r="U99" i="40"/>
  <c r="U124" i="40" s="1"/>
  <c r="AA144" i="40"/>
  <c r="AA99" i="40"/>
  <c r="BC99" i="40"/>
  <c r="BC144" i="40"/>
  <c r="AW93" i="40"/>
  <c r="AW90" i="40"/>
  <c r="AY75" i="40"/>
  <c r="AY71" i="40"/>
  <c r="AY80" i="40"/>
  <c r="AY108" i="40"/>
  <c r="AY109" i="40" s="1"/>
  <c r="AY111" i="40"/>
  <c r="AY112" i="40" s="1"/>
  <c r="AK98" i="40"/>
  <c r="AK94" i="40"/>
  <c r="Q93" i="40"/>
  <c r="Q90" i="40"/>
  <c r="AM87" i="40"/>
  <c r="AM89" i="40"/>
  <c r="AU86" i="40"/>
  <c r="AU84" i="40"/>
  <c r="AC99" i="40"/>
  <c r="AC143" i="40"/>
  <c r="BW144" i="40"/>
  <c r="BW99" i="40"/>
  <c r="G98" i="40"/>
  <c r="G94" i="40"/>
  <c r="BI99" i="40"/>
  <c r="BI144" i="40"/>
  <c r="BU144" i="40"/>
  <c r="BU99" i="40"/>
  <c r="I98" i="40"/>
  <c r="I94" i="40"/>
  <c r="AE90" i="40"/>
  <c r="AE93" i="40"/>
  <c r="AE98" i="40" l="1"/>
  <c r="AE94" i="40"/>
  <c r="I99" i="40"/>
  <c r="I124" i="40" s="1"/>
  <c r="I144" i="40"/>
  <c r="AK99" i="40"/>
  <c r="AK144" i="40"/>
  <c r="Q98" i="40"/>
  <c r="Q94" i="40"/>
  <c r="AY83" i="40"/>
  <c r="AY81" i="40"/>
  <c r="AY82" i="40"/>
  <c r="AW98" i="40"/>
  <c r="AW94" i="40"/>
  <c r="AU89" i="40"/>
  <c r="AU87" i="40"/>
  <c r="G99" i="40"/>
  <c r="G124" i="40" s="1"/>
  <c r="G144" i="40"/>
  <c r="AM93" i="40"/>
  <c r="AM90" i="40"/>
  <c r="AM94" i="40" l="1"/>
  <c r="AM98" i="40"/>
  <c r="Q99" i="40"/>
  <c r="Q124" i="40" s="1"/>
  <c r="Q144" i="40"/>
  <c r="AU93" i="40"/>
  <c r="AU90" i="40"/>
  <c r="AW99" i="40"/>
  <c r="AW143" i="40"/>
  <c r="AY86" i="40"/>
  <c r="AY84" i="40"/>
  <c r="AE143" i="40"/>
  <c r="AE99" i="40"/>
  <c r="AY89" i="40" l="1"/>
  <c r="AY87" i="40"/>
  <c r="AU98" i="40"/>
  <c r="AU94" i="40"/>
  <c r="AM99" i="40"/>
  <c r="AM144" i="40"/>
  <c r="AU99" i="40" l="1"/>
  <c r="AU143" i="40"/>
  <c r="AY93" i="40"/>
  <c r="AY90" i="40"/>
  <c r="AY94" i="40" l="1"/>
  <c r="AY98" i="40"/>
  <c r="AY99" i="40" l="1"/>
  <c r="AY143" i="40"/>
  <c r="BM137" i="35" l="1"/>
  <c r="BM135" i="35"/>
  <c r="BM141" i="35" s="1"/>
  <c r="BM117" i="35"/>
  <c r="BM116" i="35" s="1"/>
  <c r="BM114" i="35" s="1"/>
  <c r="BM115" i="35" s="1"/>
  <c r="BM106" i="35"/>
  <c r="BM104" i="35"/>
  <c r="BM105" i="35" s="1"/>
  <c r="BM96" i="35"/>
  <c r="BM67" i="35"/>
  <c r="BM65" i="35"/>
  <c r="BM59" i="35" s="1"/>
  <c r="BM63" i="35"/>
  <c r="BM60" i="35"/>
  <c r="BM52" i="35"/>
  <c r="BM42" i="35"/>
  <c r="BL42" i="35"/>
  <c r="BM31" i="35"/>
  <c r="BL31" i="35"/>
  <c r="BL30" i="35"/>
  <c r="BL29" i="35" s="1"/>
  <c r="BM25" i="35"/>
  <c r="BL25" i="35"/>
  <c r="BM19" i="35"/>
  <c r="BL19" i="35"/>
  <c r="BM15" i="35"/>
  <c r="BL9" i="35"/>
  <c r="BL2" i="35"/>
  <c r="BL10" i="35" s="1"/>
  <c r="BS137" i="38"/>
  <c r="BS140" i="38" s="1"/>
  <c r="BS123" i="38"/>
  <c r="BS122" i="38"/>
  <c r="BS121" i="38"/>
  <c r="BS120" i="38"/>
  <c r="BS119" i="38"/>
  <c r="BS117" i="38" s="1"/>
  <c r="BS116" i="38" s="1"/>
  <c r="BS114" i="38" s="1"/>
  <c r="BS115" i="38" s="1"/>
  <c r="BS106" i="38"/>
  <c r="BS104" i="38"/>
  <c r="BS105" i="38" s="1"/>
  <c r="BS96" i="38"/>
  <c r="BS67" i="38"/>
  <c r="BS69" i="38" s="1"/>
  <c r="BS65" i="38"/>
  <c r="BS63" i="38"/>
  <c r="BS60" i="38"/>
  <c r="BS59" i="38"/>
  <c r="BS52" i="38"/>
  <c r="BS42" i="38"/>
  <c r="BR32" i="38"/>
  <c r="BS31" i="38"/>
  <c r="BS30" i="38"/>
  <c r="BS29" i="38" s="1"/>
  <c r="BR26" i="38"/>
  <c r="BS25" i="38"/>
  <c r="BR25" i="38"/>
  <c r="BR19" i="38"/>
  <c r="BR16" i="38"/>
  <c r="BR20" i="38" s="1"/>
  <c r="BR24" i="38" s="1"/>
  <c r="BR23" i="38" s="1"/>
  <c r="BS15" i="38"/>
  <c r="BS19" i="38" s="1"/>
  <c r="BR10" i="38"/>
  <c r="BS10" i="38" s="1"/>
  <c r="BR9" i="38"/>
  <c r="BR2" i="38"/>
  <c r="BQ140" i="38"/>
  <c r="BQ137" i="38"/>
  <c r="BQ123" i="38"/>
  <c r="BQ122" i="38"/>
  <c r="BQ121" i="38"/>
  <c r="BQ120" i="38"/>
  <c r="BQ119" i="38"/>
  <c r="BQ106" i="38"/>
  <c r="BQ105" i="38"/>
  <c r="BQ104" i="38"/>
  <c r="BQ96" i="38"/>
  <c r="BQ67" i="38"/>
  <c r="BQ65" i="38"/>
  <c r="BQ63" i="38"/>
  <c r="BQ60" i="38" s="1"/>
  <c r="BQ59" i="38"/>
  <c r="BQ52" i="38"/>
  <c r="BQ42" i="38"/>
  <c r="BP42" i="38"/>
  <c r="BP32" i="38"/>
  <c r="BP31" i="38" s="1"/>
  <c r="BQ31" i="38"/>
  <c r="BQ30" i="38"/>
  <c r="BQ29" i="38"/>
  <c r="BP26" i="38"/>
  <c r="BP30" i="38" s="1"/>
  <c r="BP29" i="38" s="1"/>
  <c r="BQ25" i="38"/>
  <c r="BP25" i="38"/>
  <c r="BP19" i="38"/>
  <c r="BQ15" i="38"/>
  <c r="BQ19" i="38" s="1"/>
  <c r="BP9" i="38"/>
  <c r="BP2" i="38"/>
  <c r="BP10" i="38" s="1"/>
  <c r="BM137" i="33"/>
  <c r="BM135" i="33"/>
  <c r="BM141" i="33" s="1"/>
  <c r="BM104" i="33"/>
  <c r="BM105" i="33" s="1"/>
  <c r="BM96" i="33"/>
  <c r="BM66" i="33"/>
  <c r="BM106" i="33" s="1"/>
  <c r="BM65" i="33"/>
  <c r="BM59" i="33" s="1"/>
  <c r="BM63" i="33"/>
  <c r="BM60" i="33"/>
  <c r="BM42" i="33"/>
  <c r="BL42" i="33"/>
  <c r="BL32" i="33"/>
  <c r="BL31" i="33" s="1"/>
  <c r="BM31" i="33"/>
  <c r="BM30" i="33"/>
  <c r="BM29" i="33" s="1"/>
  <c r="BM26" i="33"/>
  <c r="BM25" i="33"/>
  <c r="BL25" i="33"/>
  <c r="BM19" i="33"/>
  <c r="BL19" i="33"/>
  <c r="BL16" i="33"/>
  <c r="BL20" i="33" s="1"/>
  <c r="BL24" i="33" s="1"/>
  <c r="BL23" i="33" s="1"/>
  <c r="BM15" i="33"/>
  <c r="BL10" i="33"/>
  <c r="BM10" i="33" s="1"/>
  <c r="BL9" i="33"/>
  <c r="BL2" i="33"/>
  <c r="CC153" i="36"/>
  <c r="CC151" i="36"/>
  <c r="CC150" i="36"/>
  <c r="CC138" i="36"/>
  <c r="CC135" i="36"/>
  <c r="CC141" i="36" s="1"/>
  <c r="CC131" i="36"/>
  <c r="CC117" i="36"/>
  <c r="CC116" i="36" s="1"/>
  <c r="CC114" i="36" s="1"/>
  <c r="CC115" i="36" s="1"/>
  <c r="CC106" i="36"/>
  <c r="CC100" i="36"/>
  <c r="CC104" i="36" s="1"/>
  <c r="CC105" i="36" s="1"/>
  <c r="CC96" i="36"/>
  <c r="CC65" i="36"/>
  <c r="CC60" i="36" s="1"/>
  <c r="CC59" i="36"/>
  <c r="CC57" i="36"/>
  <c r="CC63" i="36" s="1"/>
  <c r="CC52" i="36"/>
  <c r="CC42" i="36"/>
  <c r="CB32" i="36"/>
  <c r="CC31" i="36"/>
  <c r="CB31" i="36"/>
  <c r="CC30" i="36"/>
  <c r="CC29" i="36" s="1"/>
  <c r="CC25" i="36"/>
  <c r="CC24" i="36"/>
  <c r="CC23" i="36"/>
  <c r="CB20" i="36"/>
  <c r="CB19" i="36"/>
  <c r="CC15" i="36"/>
  <c r="CC19" i="36" s="1"/>
  <c r="CB2" i="36"/>
  <c r="CB10" i="36" s="1"/>
  <c r="CA153" i="36"/>
  <c r="CA151" i="36"/>
  <c r="CA150" i="36"/>
  <c r="CA141" i="36"/>
  <c r="CA138" i="36"/>
  <c r="CA135" i="36"/>
  <c r="CA96" i="36" s="1"/>
  <c r="CA131" i="36"/>
  <c r="CA123" i="36"/>
  <c r="CA122" i="36"/>
  <c r="CA121" i="36"/>
  <c r="CA120" i="36"/>
  <c r="CA119" i="36"/>
  <c r="CA106" i="36"/>
  <c r="CA100" i="36"/>
  <c r="CA104" i="36" s="1"/>
  <c r="CA105" i="36" s="1"/>
  <c r="CA65" i="36"/>
  <c r="CA59" i="36" s="1"/>
  <c r="CA57" i="36"/>
  <c r="BZ9" i="36" s="1"/>
  <c r="CA52" i="36"/>
  <c r="CA42" i="36"/>
  <c r="BZ32" i="36"/>
  <c r="CA31" i="36"/>
  <c r="BZ31" i="36"/>
  <c r="CA30" i="36"/>
  <c r="CA29" i="36" s="1"/>
  <c r="CA25" i="36"/>
  <c r="CA24" i="36"/>
  <c r="CA23" i="36"/>
  <c r="BZ20" i="36"/>
  <c r="BZ19" i="36"/>
  <c r="CA15" i="36"/>
  <c r="CA19" i="36" s="1"/>
  <c r="BZ2" i="36"/>
  <c r="BZ10" i="36" s="1"/>
  <c r="EV140" i="3"/>
  <c r="EV137" i="3"/>
  <c r="EV117" i="3"/>
  <c r="EV116" i="3" s="1"/>
  <c r="EV114" i="3" s="1"/>
  <c r="EV115" i="3" s="1"/>
  <c r="EV106" i="3"/>
  <c r="EV100" i="3"/>
  <c r="EV104" i="3" s="1"/>
  <c r="EV105" i="3" s="1"/>
  <c r="EV96" i="3"/>
  <c r="EV67" i="3"/>
  <c r="EV65" i="3"/>
  <c r="EV63" i="3"/>
  <c r="EV60" i="3"/>
  <c r="EV59" i="3"/>
  <c r="EV52" i="3"/>
  <c r="EV42" i="3"/>
  <c r="EU42" i="3"/>
  <c r="EU32" i="3"/>
  <c r="EV31" i="3"/>
  <c r="EU31" i="3"/>
  <c r="EV30" i="3"/>
  <c r="EV29" i="3"/>
  <c r="EU26" i="3"/>
  <c r="EU30" i="3" s="1"/>
  <c r="EU29" i="3" s="1"/>
  <c r="EV25" i="3"/>
  <c r="EU25" i="3" s="1"/>
  <c r="EV19" i="3"/>
  <c r="EU19" i="3"/>
  <c r="EV15" i="3"/>
  <c r="EU9" i="3"/>
  <c r="EU2" i="3"/>
  <c r="EU10" i="3" s="1"/>
  <c r="ES140" i="3"/>
  <c r="ES137" i="3"/>
  <c r="ES117" i="3"/>
  <c r="ES116" i="3" s="1"/>
  <c r="ES114" i="3" s="1"/>
  <c r="ES115" i="3" s="1"/>
  <c r="ES106" i="3"/>
  <c r="ES100" i="3"/>
  <c r="ES104" i="3" s="1"/>
  <c r="ES105" i="3" s="1"/>
  <c r="ES96" i="3"/>
  <c r="ES67" i="3"/>
  <c r="ES65" i="3"/>
  <c r="ES63" i="3"/>
  <c r="ER62" i="3"/>
  <c r="ES60" i="3"/>
  <c r="ES68" i="3" s="1"/>
  <c r="ES59" i="3"/>
  <c r="ES56" i="3"/>
  <c r="ES52" i="3"/>
  <c r="ES53" i="3" s="1"/>
  <c r="ES42" i="3"/>
  <c r="ER32" i="3"/>
  <c r="ES31" i="3"/>
  <c r="ES30" i="3"/>
  <c r="ES29" i="3" s="1"/>
  <c r="ER26" i="3"/>
  <c r="ES25" i="3"/>
  <c r="ER25" i="3"/>
  <c r="ER19" i="3"/>
  <c r="ER16" i="3"/>
  <c r="ER20" i="3" s="1"/>
  <c r="ER24" i="3" s="1"/>
  <c r="ER23" i="3" s="1"/>
  <c r="ES15" i="3"/>
  <c r="ES19" i="3" s="1"/>
  <c r="ER10" i="3"/>
  <c r="ES10" i="3" s="1"/>
  <c r="ER9" i="3"/>
  <c r="ER2" i="3"/>
  <c r="EQ140" i="3"/>
  <c r="EQ137" i="3"/>
  <c r="EQ123" i="3"/>
  <c r="EQ122" i="3"/>
  <c r="EQ121" i="3"/>
  <c r="EQ120" i="3"/>
  <c r="EQ119" i="3"/>
  <c r="EQ106" i="3"/>
  <c r="EQ100" i="3"/>
  <c r="EQ104" i="3" s="1"/>
  <c r="EQ105" i="3" s="1"/>
  <c r="EQ96" i="3"/>
  <c r="EQ67" i="3"/>
  <c r="EQ65" i="3"/>
  <c r="EQ63" i="3"/>
  <c r="EQ59" i="3"/>
  <c r="EQ52" i="3"/>
  <c r="EQ42" i="3"/>
  <c r="EP42" i="3"/>
  <c r="EP32" i="3"/>
  <c r="EQ31" i="3"/>
  <c r="EP31" i="3"/>
  <c r="EQ30" i="3"/>
  <c r="EQ29" i="3" s="1"/>
  <c r="EP26" i="3"/>
  <c r="EP30" i="3" s="1"/>
  <c r="EP29" i="3" s="1"/>
  <c r="EQ25" i="3"/>
  <c r="EP25" i="3" s="1"/>
  <c r="EP19" i="3"/>
  <c r="EQ15" i="3"/>
  <c r="EQ19" i="3" s="1"/>
  <c r="EP9" i="3"/>
  <c r="EP2" i="3"/>
  <c r="EP10" i="3" s="1"/>
  <c r="CJ181" i="15"/>
  <c r="CK137" i="15"/>
  <c r="CK135" i="15"/>
  <c r="CK141" i="15" s="1"/>
  <c r="CK131" i="15"/>
  <c r="CK123" i="15"/>
  <c r="CK122" i="15"/>
  <c r="CK121" i="15"/>
  <c r="CK120" i="15"/>
  <c r="CK119" i="15"/>
  <c r="CK117" i="15" s="1"/>
  <c r="CK116" i="15" s="1"/>
  <c r="CK114" i="15" s="1"/>
  <c r="CK115" i="15" s="1"/>
  <c r="CK106" i="15"/>
  <c r="CK104" i="15"/>
  <c r="CK105" i="15" s="1"/>
  <c r="CK65" i="15"/>
  <c r="CK60" i="15" s="1"/>
  <c r="CK57" i="15"/>
  <c r="CJ9" i="15" s="1"/>
  <c r="CK52" i="15"/>
  <c r="CK42" i="15"/>
  <c r="CJ32" i="15"/>
  <c r="CJ42" i="15" s="1"/>
  <c r="CK31" i="15"/>
  <c r="CK30" i="15"/>
  <c r="CK29" i="15" s="1"/>
  <c r="CJ26" i="15"/>
  <c r="CJ25" i="15" s="1"/>
  <c r="CK25" i="15"/>
  <c r="CK20" i="15"/>
  <c r="CK24" i="15" s="1"/>
  <c r="CK23" i="15" s="1"/>
  <c r="CJ19" i="15"/>
  <c r="CJ16" i="15"/>
  <c r="CJ20" i="15" s="1"/>
  <c r="CJ24" i="15" s="1"/>
  <c r="CJ23" i="15" s="1"/>
  <c r="CK15" i="15"/>
  <c r="CK19" i="15" s="1"/>
  <c r="CJ2" i="15"/>
  <c r="CJ10" i="15" s="1"/>
  <c r="CK10" i="15" s="1"/>
  <c r="CH181" i="15"/>
  <c r="CI137" i="15"/>
  <c r="CI135" i="15"/>
  <c r="CI141" i="15" s="1"/>
  <c r="CI131" i="15"/>
  <c r="CI123" i="15"/>
  <c r="CI122" i="15"/>
  <c r="CI121" i="15"/>
  <c r="CI120" i="15"/>
  <c r="CI119" i="15"/>
  <c r="CI106" i="15"/>
  <c r="CI104" i="15"/>
  <c r="CI105" i="15" s="1"/>
  <c r="CI65" i="15"/>
  <c r="CI60" i="15" s="1"/>
  <c r="CI59" i="15"/>
  <c r="CI57" i="15"/>
  <c r="CH9" i="15" s="1"/>
  <c r="CI52" i="15"/>
  <c r="CI42" i="15"/>
  <c r="CH32" i="15"/>
  <c r="CI31" i="15"/>
  <c r="CI30" i="15"/>
  <c r="CI29" i="15" s="1"/>
  <c r="CH26" i="15"/>
  <c r="CI25" i="15"/>
  <c r="CH25" i="15"/>
  <c r="CI20" i="15"/>
  <c r="CI24" i="15" s="1"/>
  <c r="CI23" i="15" s="1"/>
  <c r="CI19" i="15"/>
  <c r="CH19" i="15"/>
  <c r="CH16" i="15"/>
  <c r="CH20" i="15" s="1"/>
  <c r="CI15" i="15"/>
  <c r="CH2" i="15"/>
  <c r="CH10" i="15" s="1"/>
  <c r="CI10" i="15" s="1"/>
  <c r="CI76" i="15" s="1"/>
  <c r="CK141" i="14"/>
  <c r="CK137" i="14"/>
  <c r="CK135" i="14"/>
  <c r="CK96" i="14" s="1"/>
  <c r="CK131" i="14"/>
  <c r="CK128" i="14"/>
  <c r="CK129" i="14" s="1"/>
  <c r="CK130" i="14" s="1"/>
  <c r="CK125" i="14"/>
  <c r="CK106" i="14"/>
  <c r="CK104" i="14"/>
  <c r="CK105" i="14" s="1"/>
  <c r="CK67" i="14"/>
  <c r="CK65" i="14"/>
  <c r="CK62" i="14"/>
  <c r="CK59" i="14" s="1"/>
  <c r="CK60" i="14"/>
  <c r="CK56" i="14" s="1"/>
  <c r="CK57" i="14"/>
  <c r="CJ9" i="14" s="1"/>
  <c r="CK52" i="14"/>
  <c r="CK42" i="14"/>
  <c r="CJ42" i="14"/>
  <c r="CK32" i="14"/>
  <c r="CJ32" i="14"/>
  <c r="CK31" i="14"/>
  <c r="CJ31" i="14"/>
  <c r="CJ30" i="14"/>
  <c r="CJ29" i="14"/>
  <c r="CK26" i="14"/>
  <c r="CK30" i="14" s="1"/>
  <c r="CK29" i="14" s="1"/>
  <c r="CJ26" i="14"/>
  <c r="CJ25" i="14" s="1"/>
  <c r="CK20" i="14"/>
  <c r="CK24" i="14" s="1"/>
  <c r="CK23" i="14" s="1"/>
  <c r="CK19" i="14"/>
  <c r="CJ19" i="14"/>
  <c r="CK16" i="14"/>
  <c r="CJ16" i="14" s="1"/>
  <c r="CJ20" i="14" s="1"/>
  <c r="CJ24" i="14" s="1"/>
  <c r="CJ23" i="14" s="1"/>
  <c r="CK15" i="14"/>
  <c r="CJ2" i="14"/>
  <c r="CJ10" i="14" s="1"/>
  <c r="CK10" i="14" s="1"/>
  <c r="CI137" i="14"/>
  <c r="CI135" i="14"/>
  <c r="CI141" i="14" s="1"/>
  <c r="CI131" i="14"/>
  <c r="CI128" i="14"/>
  <c r="CI125" i="14"/>
  <c r="CI126" i="14" s="1"/>
  <c r="CI127" i="14" s="1"/>
  <c r="CI123" i="14"/>
  <c r="CI122" i="14"/>
  <c r="CI121" i="14"/>
  <c r="CI120" i="14"/>
  <c r="CI119" i="14"/>
  <c r="CI117" i="14" s="1"/>
  <c r="CI116" i="14" s="1"/>
  <c r="CI114" i="14" s="1"/>
  <c r="CI115" i="14" s="1"/>
  <c r="CI106" i="14"/>
  <c r="CI104" i="14"/>
  <c r="CI105" i="14" s="1"/>
  <c r="CI67" i="14"/>
  <c r="CI65" i="14"/>
  <c r="CI60" i="14" s="1"/>
  <c r="CI62" i="14"/>
  <c r="CI57" i="14"/>
  <c r="CI52" i="14"/>
  <c r="CH42" i="14"/>
  <c r="CI32" i="14"/>
  <c r="CH32" i="14"/>
  <c r="CI31" i="14"/>
  <c r="CH31" i="14"/>
  <c r="CI30" i="14"/>
  <c r="CH30" i="14"/>
  <c r="CH29" i="14" s="1"/>
  <c r="CI29" i="14"/>
  <c r="CI26" i="14"/>
  <c r="CH26" i="14"/>
  <c r="CI25" i="14"/>
  <c r="CH25" i="14"/>
  <c r="CH19" i="14"/>
  <c r="CI16" i="14"/>
  <c r="CH16" i="14" s="1"/>
  <c r="CH20" i="14" s="1"/>
  <c r="CH24" i="14" s="1"/>
  <c r="CH23" i="14" s="1"/>
  <c r="CI15" i="14"/>
  <c r="CI19" i="14" s="1"/>
  <c r="CH10" i="14"/>
  <c r="CI10" i="14" s="1"/>
  <c r="CH9" i="14"/>
  <c r="CH2" i="14"/>
  <c r="CK153" i="13"/>
  <c r="CK151" i="13"/>
  <c r="CK150" i="13"/>
  <c r="CK138" i="13"/>
  <c r="CK135" i="13"/>
  <c r="CK96" i="13" s="1"/>
  <c r="CK131" i="13"/>
  <c r="CK123" i="13"/>
  <c r="CK122" i="13"/>
  <c r="CK121" i="13"/>
  <c r="CK120" i="13"/>
  <c r="CK119" i="13"/>
  <c r="CK106" i="13"/>
  <c r="CK100" i="13"/>
  <c r="CK104" i="13" s="1"/>
  <c r="CK105" i="13" s="1"/>
  <c r="CK67" i="13"/>
  <c r="CK65" i="13"/>
  <c r="CK59" i="13" s="1"/>
  <c r="CK57" i="13"/>
  <c r="CK52" i="13"/>
  <c r="CK42" i="13"/>
  <c r="CK39" i="13"/>
  <c r="CJ32" i="13"/>
  <c r="CK31" i="13"/>
  <c r="CJ31" i="13"/>
  <c r="CJ19" i="13"/>
  <c r="CK15" i="13"/>
  <c r="CK19" i="13" s="1"/>
  <c r="CJ9" i="13"/>
  <c r="CJ2" i="13"/>
  <c r="CJ10" i="13" s="1"/>
  <c r="CK10" i="13" s="1"/>
  <c r="CI153" i="13"/>
  <c r="CI151" i="13"/>
  <c r="CI150" i="13"/>
  <c r="CI141" i="13"/>
  <c r="CI138" i="13"/>
  <c r="CI135" i="13"/>
  <c r="CI131" i="13"/>
  <c r="CI123" i="13"/>
  <c r="CI122" i="13"/>
  <c r="CI121" i="13"/>
  <c r="CI120" i="13"/>
  <c r="CI119" i="13"/>
  <c r="CI106" i="13"/>
  <c r="CI100" i="13"/>
  <c r="CI104" i="13" s="1"/>
  <c r="CI105" i="13" s="1"/>
  <c r="CI96" i="13"/>
  <c r="CI67" i="13"/>
  <c r="CI65" i="13"/>
  <c r="CI59" i="13" s="1"/>
  <c r="CI57" i="13"/>
  <c r="CH9" i="13" s="1"/>
  <c r="CI52" i="13"/>
  <c r="CI42" i="13"/>
  <c r="CH42" i="13"/>
  <c r="CI39" i="13"/>
  <c r="CH32" i="13"/>
  <c r="CH31" i="13" s="1"/>
  <c r="CI31" i="13"/>
  <c r="CH19" i="13"/>
  <c r="CI15" i="13"/>
  <c r="CI19" i="13" s="1"/>
  <c r="CH2" i="13"/>
  <c r="CH10" i="13" s="1"/>
  <c r="CI10" i="13" s="1"/>
  <c r="CG153" i="13"/>
  <c r="CG151" i="13"/>
  <c r="CG150" i="13"/>
  <c r="CG138" i="13"/>
  <c r="CG135" i="13"/>
  <c r="CG141" i="13" s="1"/>
  <c r="CG131" i="13"/>
  <c r="CG123" i="13"/>
  <c r="CG122" i="13"/>
  <c r="CG121" i="13"/>
  <c r="CG120" i="13"/>
  <c r="CG119" i="13"/>
  <c r="CG106" i="13"/>
  <c r="CG100" i="13"/>
  <c r="CG104" i="13" s="1"/>
  <c r="CG105" i="13" s="1"/>
  <c r="CG67" i="13"/>
  <c r="CG65" i="13"/>
  <c r="CG57" i="13"/>
  <c r="CF9" i="13" s="1"/>
  <c r="CG52" i="13"/>
  <c r="CG42" i="13"/>
  <c r="CG39" i="13"/>
  <c r="CF32" i="13"/>
  <c r="CF42" i="13" s="1"/>
  <c r="CG31" i="13"/>
  <c r="CF31" i="13"/>
  <c r="CF19" i="13"/>
  <c r="CG15" i="13"/>
  <c r="CG19" i="13" s="1"/>
  <c r="CF2" i="13"/>
  <c r="CF10" i="13" s="1"/>
  <c r="CG10" i="13" s="1"/>
  <c r="CG135" i="14"/>
  <c r="CG96" i="14" s="1"/>
  <c r="CG131" i="14"/>
  <c r="CG123" i="14"/>
  <c r="CG122" i="14"/>
  <c r="CG121" i="14"/>
  <c r="CG120" i="14"/>
  <c r="CG119" i="14"/>
  <c r="CG106" i="14"/>
  <c r="CG104" i="14"/>
  <c r="CG105" i="14" s="1"/>
  <c r="CG67" i="14"/>
  <c r="CG65" i="14"/>
  <c r="CG62" i="14"/>
  <c r="CG60" i="14"/>
  <c r="CG59" i="14"/>
  <c r="CG57" i="14"/>
  <c r="CF9" i="14" s="1"/>
  <c r="CG56" i="14"/>
  <c r="CG50" i="14" s="1"/>
  <c r="CG52" i="14"/>
  <c r="CF19" i="14"/>
  <c r="CG15" i="14"/>
  <c r="CG19" i="14" s="1"/>
  <c r="CF2" i="14"/>
  <c r="CF10" i="14" s="1"/>
  <c r="CG10" i="14" s="1"/>
  <c r="EN140" i="3"/>
  <c r="EN137" i="3"/>
  <c r="EN123" i="3"/>
  <c r="EN122" i="3"/>
  <c r="EN121" i="3"/>
  <c r="EN120" i="3"/>
  <c r="EN119" i="3"/>
  <c r="EN117" i="3" s="1"/>
  <c r="EN116" i="3" s="1"/>
  <c r="EN114" i="3" s="1"/>
  <c r="EN115" i="3" s="1"/>
  <c r="EN106" i="3"/>
  <c r="EN100" i="3"/>
  <c r="EN104" i="3" s="1"/>
  <c r="EN105" i="3" s="1"/>
  <c r="EN96" i="3"/>
  <c r="EN67" i="3"/>
  <c r="EN65" i="3"/>
  <c r="EN63" i="3"/>
  <c r="EN52" i="3"/>
  <c r="EN42" i="3"/>
  <c r="EM32" i="3"/>
  <c r="EM42" i="3" s="1"/>
  <c r="EN31" i="3"/>
  <c r="EN30" i="3"/>
  <c r="EN29" i="3"/>
  <c r="EM26" i="3"/>
  <c r="EM30" i="3" s="1"/>
  <c r="EM29" i="3" s="1"/>
  <c r="EN25" i="3"/>
  <c r="EM25" i="3"/>
  <c r="EM19" i="3"/>
  <c r="EN15" i="3"/>
  <c r="EN19" i="3" s="1"/>
  <c r="EM9" i="3"/>
  <c r="EM2" i="3"/>
  <c r="EM10" i="3" s="1"/>
  <c r="CF181" i="15"/>
  <c r="CG137" i="15"/>
  <c r="CG135" i="15"/>
  <c r="CG141" i="15" s="1"/>
  <c r="CG131" i="15"/>
  <c r="CG123" i="15"/>
  <c r="CG122" i="15"/>
  <c r="CG121" i="15"/>
  <c r="CG120" i="15"/>
  <c r="CG119" i="15"/>
  <c r="CG106" i="15"/>
  <c r="CG104" i="15"/>
  <c r="CG105" i="15" s="1"/>
  <c r="CG65" i="15"/>
  <c r="CG60" i="15" s="1"/>
  <c r="CF8" i="15" s="1"/>
  <c r="CG57" i="15"/>
  <c r="CG52" i="15"/>
  <c r="CG42" i="15"/>
  <c r="CF32" i="15"/>
  <c r="CF42" i="15" s="1"/>
  <c r="CG31" i="15"/>
  <c r="CG30" i="15"/>
  <c r="CG29" i="15" s="1"/>
  <c r="CF26" i="15"/>
  <c r="CF25" i="15" s="1"/>
  <c r="CG25" i="15"/>
  <c r="CG20" i="15"/>
  <c r="CG24" i="15" s="1"/>
  <c r="CG23" i="15" s="1"/>
  <c r="CF19" i="15"/>
  <c r="CF16" i="15"/>
  <c r="CF20" i="15" s="1"/>
  <c r="CG15" i="15"/>
  <c r="CG19" i="15" s="1"/>
  <c r="CF2" i="15"/>
  <c r="CF10" i="15" s="1"/>
  <c r="CG10" i="15" s="1"/>
  <c r="BY153" i="36"/>
  <c r="BY151" i="36"/>
  <c r="BY150" i="36"/>
  <c r="BY138" i="36"/>
  <c r="BY135" i="36"/>
  <c r="BY96" i="36" s="1"/>
  <c r="BY131" i="36"/>
  <c r="BY123" i="36"/>
  <c r="BY122" i="36"/>
  <c r="BY121" i="36"/>
  <c r="BY120" i="36"/>
  <c r="BY119" i="36"/>
  <c r="BY106" i="36"/>
  <c r="BY100" i="36"/>
  <c r="BY104" i="36" s="1"/>
  <c r="BY105" i="36" s="1"/>
  <c r="BY65" i="36"/>
  <c r="BY59" i="36" s="1"/>
  <c r="BY60" i="36"/>
  <c r="BX8" i="36" s="1"/>
  <c r="BY57" i="36"/>
  <c r="BY63" i="36" s="1"/>
  <c r="BY52" i="36"/>
  <c r="BY42" i="36"/>
  <c r="BX32" i="36"/>
  <c r="BX31" i="36" s="1"/>
  <c r="BY31" i="36"/>
  <c r="BY30" i="36"/>
  <c r="BY29" i="36" s="1"/>
  <c r="BY25" i="36"/>
  <c r="BY24" i="36"/>
  <c r="BY23" i="36" s="1"/>
  <c r="BX20" i="36"/>
  <c r="BX19" i="36"/>
  <c r="BY15" i="36"/>
  <c r="BY19" i="36" s="1"/>
  <c r="BX2" i="36"/>
  <c r="BX10" i="36" s="1"/>
  <c r="BX16" i="36" s="1"/>
  <c r="BO123" i="38"/>
  <c r="BO122" i="38"/>
  <c r="BO121" i="38"/>
  <c r="BO120" i="38"/>
  <c r="BO119" i="38"/>
  <c r="BO106" i="38"/>
  <c r="BO105" i="38"/>
  <c r="BO104" i="38"/>
  <c r="BO96" i="38"/>
  <c r="BO67" i="38"/>
  <c r="BO65" i="38"/>
  <c r="BO60" i="38" s="1"/>
  <c r="BO68" i="38" s="1"/>
  <c r="BO63" i="38"/>
  <c r="BO59" i="38"/>
  <c r="BO52" i="38"/>
  <c r="BO42" i="38"/>
  <c r="BN32" i="38"/>
  <c r="BN42" i="38" s="1"/>
  <c r="BO31" i="38"/>
  <c r="BO30" i="38"/>
  <c r="BO29" i="38"/>
  <c r="BN26" i="38"/>
  <c r="BN30" i="38" s="1"/>
  <c r="BN29" i="38" s="1"/>
  <c r="BO25" i="38"/>
  <c r="BN25" i="38"/>
  <c r="BN19" i="38"/>
  <c r="BO15" i="38"/>
  <c r="BO19" i="38" s="1"/>
  <c r="BN9" i="38"/>
  <c r="BN2" i="38"/>
  <c r="BN10" i="38" s="1"/>
  <c r="BS137" i="34"/>
  <c r="BS135" i="34"/>
  <c r="BS141" i="34" s="1"/>
  <c r="BS131" i="34"/>
  <c r="BS123" i="34"/>
  <c r="BS122" i="34"/>
  <c r="BS121" i="34"/>
  <c r="BS120" i="34"/>
  <c r="BS119" i="34"/>
  <c r="BS106" i="34"/>
  <c r="BS104" i="34"/>
  <c r="BS105" i="34" s="1"/>
  <c r="BS67" i="34"/>
  <c r="BS65" i="34"/>
  <c r="BS59" i="34" s="1"/>
  <c r="BS63" i="34"/>
  <c r="BS52" i="34"/>
  <c r="BS42" i="34"/>
  <c r="BR32" i="34"/>
  <c r="BR42" i="34" s="1"/>
  <c r="BS31" i="34"/>
  <c r="BR31" i="34"/>
  <c r="BS30" i="34"/>
  <c r="BS29" i="34" s="1"/>
  <c r="BR26" i="34"/>
  <c r="BR25" i="34" s="1"/>
  <c r="BS25" i="34"/>
  <c r="BR19" i="34"/>
  <c r="BS15" i="34"/>
  <c r="BS19" i="34" s="1"/>
  <c r="BR9" i="34"/>
  <c r="BR2" i="34"/>
  <c r="BR10" i="34" s="1"/>
  <c r="BK135" i="35"/>
  <c r="BK141" i="35" s="1"/>
  <c r="BK123" i="35"/>
  <c r="BK117" i="35" s="1"/>
  <c r="BK116" i="35" s="1"/>
  <c r="BK114" i="35" s="1"/>
  <c r="BK115" i="35" s="1"/>
  <c r="BK122" i="35"/>
  <c r="BK121" i="35"/>
  <c r="BK120" i="35"/>
  <c r="BK119" i="35"/>
  <c r="BK106" i="35"/>
  <c r="BK104" i="35"/>
  <c r="BK105" i="35" s="1"/>
  <c r="BK96" i="35"/>
  <c r="BK67" i="35"/>
  <c r="BK65" i="35"/>
  <c r="BK60" i="35" s="1"/>
  <c r="BK63" i="35"/>
  <c r="BK52" i="35"/>
  <c r="BJ42" i="35"/>
  <c r="BK42" i="35"/>
  <c r="BK31" i="35"/>
  <c r="BJ31" i="35"/>
  <c r="BJ30" i="35"/>
  <c r="BJ29" i="35" s="1"/>
  <c r="BK30" i="35"/>
  <c r="BK29" i="35" s="1"/>
  <c r="BK25" i="35"/>
  <c r="BJ25" i="35"/>
  <c r="BJ19" i="35"/>
  <c r="BK15" i="35"/>
  <c r="BK19" i="35" s="1"/>
  <c r="BJ9" i="35"/>
  <c r="BJ2" i="35"/>
  <c r="BJ10" i="35" s="1"/>
  <c r="CB9" i="36" l="1"/>
  <c r="CA63" i="36"/>
  <c r="CA117" i="36"/>
  <c r="CA116" i="36" s="1"/>
  <c r="CA114" i="36" s="1"/>
  <c r="CA115" i="36" s="1"/>
  <c r="CI117" i="15"/>
  <c r="CI116" i="15" s="1"/>
  <c r="CI114" i="15" s="1"/>
  <c r="CI115" i="15" s="1"/>
  <c r="CH24" i="15"/>
  <c r="CH23" i="15" s="1"/>
  <c r="CK60" i="13"/>
  <c r="CG60" i="13"/>
  <c r="CG56" i="13" s="1"/>
  <c r="BS117" i="34"/>
  <c r="BS116" i="34" s="1"/>
  <c r="BS114" i="34" s="1"/>
  <c r="BS115" i="34" s="1"/>
  <c r="CI132" i="15"/>
  <c r="CI133" i="15" s="1"/>
  <c r="CK59" i="15"/>
  <c r="CH30" i="15"/>
  <c r="CH29" i="15" s="1"/>
  <c r="CK117" i="13"/>
  <c r="CK116" i="13" s="1"/>
  <c r="CK114" i="13" s="1"/>
  <c r="CK115" i="13" s="1"/>
  <c r="CI60" i="13"/>
  <c r="CI56" i="13" s="1"/>
  <c r="CI53" i="13" s="1"/>
  <c r="BL16" i="35"/>
  <c r="BL20" i="35" s="1"/>
  <c r="BL24" i="35" s="1"/>
  <c r="BL23" i="35" s="1"/>
  <c r="BM10" i="35"/>
  <c r="BL62" i="35"/>
  <c r="BL8" i="35"/>
  <c r="BM30" i="35"/>
  <c r="BM29" i="35" s="1"/>
  <c r="BM56" i="35"/>
  <c r="BM69" i="35"/>
  <c r="BR30" i="34"/>
  <c r="BR29" i="34" s="1"/>
  <c r="BS60" i="34"/>
  <c r="BR62" i="34" s="1"/>
  <c r="BS96" i="34"/>
  <c r="BQ117" i="38"/>
  <c r="BQ116" i="38" s="1"/>
  <c r="BQ114" i="38" s="1"/>
  <c r="BQ115" i="38" s="1"/>
  <c r="BS74" i="38"/>
  <c r="BS111" i="38" s="1"/>
  <c r="BS112" i="38" s="1"/>
  <c r="BS129" i="38"/>
  <c r="BS130" i="38" s="1"/>
  <c r="BS132" i="38"/>
  <c r="BS133" i="38" s="1"/>
  <c r="BS141" i="38" s="1"/>
  <c r="BS76" i="38"/>
  <c r="BS16" i="38"/>
  <c r="BS20" i="38" s="1"/>
  <c r="BS24" i="38" s="1"/>
  <c r="BS23" i="38" s="1"/>
  <c r="BR8" i="38"/>
  <c r="BR30" i="38"/>
  <c r="BR29" i="38" s="1"/>
  <c r="BR31" i="38"/>
  <c r="BS56" i="38"/>
  <c r="BR42" i="38"/>
  <c r="BS68" i="38"/>
  <c r="BR62" i="38"/>
  <c r="BQ68" i="38"/>
  <c r="BP62" i="38"/>
  <c r="BQ56" i="38"/>
  <c r="BP8" i="38"/>
  <c r="BP16" i="38"/>
  <c r="BP20" i="38" s="1"/>
  <c r="BP24" i="38" s="1"/>
  <c r="BP23" i="38" s="1"/>
  <c r="BQ10" i="38"/>
  <c r="BQ16" i="38" s="1"/>
  <c r="BQ20" i="38" s="1"/>
  <c r="BQ24" i="38" s="1"/>
  <c r="BQ23" i="38" s="1"/>
  <c r="BM76" i="33"/>
  <c r="BM74" i="33"/>
  <c r="BM111" i="33" s="1"/>
  <c r="BM112" i="33" s="1"/>
  <c r="BM16" i="33"/>
  <c r="BM20" i="33" s="1"/>
  <c r="BM24" i="33" s="1"/>
  <c r="BM23" i="33" s="1"/>
  <c r="BM129" i="33"/>
  <c r="BM130" i="33" s="1"/>
  <c r="BM69" i="33"/>
  <c r="BM126" i="33"/>
  <c r="BM127" i="33" s="1"/>
  <c r="BM132" i="33"/>
  <c r="BM133" i="33" s="1"/>
  <c r="BM142" i="33"/>
  <c r="BL30" i="33"/>
  <c r="BL29" i="33" s="1"/>
  <c r="BM52" i="33"/>
  <c r="BL8" i="33"/>
  <c r="BM56" i="33"/>
  <c r="BM108" i="33"/>
  <c r="BM109" i="33" s="1"/>
  <c r="CC10" i="36"/>
  <c r="CB16" i="36"/>
  <c r="CC56" i="36"/>
  <c r="CB8" i="36"/>
  <c r="CB42" i="36"/>
  <c r="CA10" i="36"/>
  <c r="CA132" i="36" s="1"/>
  <c r="CA133" i="36" s="1"/>
  <c r="CA142" i="36" s="1"/>
  <c r="BZ16" i="36"/>
  <c r="BZ42" i="36"/>
  <c r="CA60" i="36"/>
  <c r="BY141" i="36"/>
  <c r="BY56" i="36"/>
  <c r="BY50" i="36" s="1"/>
  <c r="BX9" i="36"/>
  <c r="BY53" i="36"/>
  <c r="EV10" i="3"/>
  <c r="EV69" i="3" s="1"/>
  <c r="EU16" i="3"/>
  <c r="EU20" i="3" s="1"/>
  <c r="EU24" i="3" s="1"/>
  <c r="EU23" i="3" s="1"/>
  <c r="EU8" i="3"/>
  <c r="EV56" i="3"/>
  <c r="EU62" i="3"/>
  <c r="EV68" i="3"/>
  <c r="ES69" i="3"/>
  <c r="ES132" i="3"/>
  <c r="ES133" i="3" s="1"/>
  <c r="ES141" i="3" s="1"/>
  <c r="ES129" i="3"/>
  <c r="ES130" i="3" s="1"/>
  <c r="ES74" i="3"/>
  <c r="ES80" i="3" s="1"/>
  <c r="ES76" i="3"/>
  <c r="ER8" i="3"/>
  <c r="ER30" i="3"/>
  <c r="ER29" i="3" s="1"/>
  <c r="ES50" i="3"/>
  <c r="ER31" i="3"/>
  <c r="ES16" i="3"/>
  <c r="ES20" i="3" s="1"/>
  <c r="ES24" i="3" s="1"/>
  <c r="ES23" i="3" s="1"/>
  <c r="ER42" i="3"/>
  <c r="EQ10" i="3"/>
  <c r="EP16" i="3"/>
  <c r="EP20" i="3" s="1"/>
  <c r="EP24" i="3" s="1"/>
  <c r="EP23" i="3" s="1"/>
  <c r="EQ117" i="3"/>
  <c r="EQ116" i="3" s="1"/>
  <c r="EQ114" i="3" s="1"/>
  <c r="EQ115" i="3" s="1"/>
  <c r="EQ60" i="3"/>
  <c r="EQ53" i="3"/>
  <c r="EQ68" i="3"/>
  <c r="EP62" i="3"/>
  <c r="EQ56" i="3"/>
  <c r="EP8" i="3"/>
  <c r="EQ69" i="3"/>
  <c r="EQ74" i="3"/>
  <c r="EQ111" i="3" s="1"/>
  <c r="EQ112" i="3" s="1"/>
  <c r="EQ132" i="3"/>
  <c r="EQ133" i="3" s="1"/>
  <c r="EQ141" i="3" s="1"/>
  <c r="EQ129" i="3"/>
  <c r="EQ130" i="3" s="1"/>
  <c r="EQ16" i="3"/>
  <c r="EQ20" i="3" s="1"/>
  <c r="EQ24" i="3" s="1"/>
  <c r="EQ23" i="3" s="1"/>
  <c r="EQ76" i="3"/>
  <c r="EN60" i="3"/>
  <c r="EM62" i="3" s="1"/>
  <c r="EM31" i="3"/>
  <c r="CK76" i="15"/>
  <c r="CK129" i="15"/>
  <c r="CK130" i="15" s="1"/>
  <c r="CK126" i="15"/>
  <c r="CK127" i="15" s="1"/>
  <c r="CK74" i="15"/>
  <c r="CK108" i="15" s="1"/>
  <c r="CK109" i="15" s="1"/>
  <c r="CK69" i="15"/>
  <c r="CK56" i="15"/>
  <c r="CJ8" i="15"/>
  <c r="CK132" i="15"/>
  <c r="CK133" i="15" s="1"/>
  <c r="CK142" i="15" s="1"/>
  <c r="CJ30" i="15"/>
  <c r="CJ29" i="15" s="1"/>
  <c r="CJ31" i="15"/>
  <c r="CK96" i="15"/>
  <c r="CI56" i="15"/>
  <c r="CH8" i="15"/>
  <c r="CI142" i="15"/>
  <c r="CH31" i="15"/>
  <c r="CI96" i="15"/>
  <c r="CI126" i="15"/>
  <c r="CI127" i="15" s="1"/>
  <c r="CH42" i="15"/>
  <c r="CI129" i="15"/>
  <c r="CI130" i="15" s="1"/>
  <c r="CI69" i="15"/>
  <c r="CI74" i="15"/>
  <c r="CG117" i="15"/>
  <c r="CG116" i="15" s="1"/>
  <c r="CG114" i="15" s="1"/>
  <c r="CG115" i="15" s="1"/>
  <c r="CF31" i="15"/>
  <c r="CF30" i="15"/>
  <c r="CF29" i="15" s="1"/>
  <c r="CG56" i="15"/>
  <c r="CG50" i="15" s="1"/>
  <c r="CG59" i="15"/>
  <c r="CG96" i="15"/>
  <c r="CF24" i="15"/>
  <c r="CF23" i="15" s="1"/>
  <c r="CG53" i="15"/>
  <c r="CK117" i="14"/>
  <c r="CK116" i="14" s="1"/>
  <c r="CK114" i="14" s="1"/>
  <c r="CK115" i="14" s="1"/>
  <c r="CK69" i="14"/>
  <c r="CK76" i="14"/>
  <c r="CK74" i="14"/>
  <c r="CK111" i="14" s="1"/>
  <c r="CK112" i="14" s="1"/>
  <c r="CK126" i="14"/>
  <c r="CK127" i="14" s="1"/>
  <c r="CK53" i="14"/>
  <c r="CK50" i="14"/>
  <c r="CK68" i="14"/>
  <c r="CK63" i="14" s="1"/>
  <c r="CK132" i="14"/>
  <c r="CK133" i="14" s="1"/>
  <c r="CK142" i="14"/>
  <c r="CJ62" i="14"/>
  <c r="CK25" i="14"/>
  <c r="CJ8" i="14"/>
  <c r="CI56" i="14"/>
  <c r="CI53" i="14" s="1"/>
  <c r="CH8" i="14"/>
  <c r="CH62" i="14"/>
  <c r="CI76" i="14"/>
  <c r="CI74" i="14"/>
  <c r="CI129" i="14"/>
  <c r="CI130" i="14" s="1"/>
  <c r="CI69" i="14"/>
  <c r="CI132" i="14"/>
  <c r="CI133" i="14" s="1"/>
  <c r="CI142" i="14" s="1"/>
  <c r="CI59" i="14"/>
  <c r="CI20" i="14"/>
  <c r="CI24" i="14" s="1"/>
  <c r="CI23" i="14" s="1"/>
  <c r="CI42" i="14"/>
  <c r="CI96" i="14"/>
  <c r="CG117" i="14"/>
  <c r="CG116" i="14" s="1"/>
  <c r="CG114" i="14" s="1"/>
  <c r="CG115" i="14" s="1"/>
  <c r="CG141" i="14"/>
  <c r="CG53" i="14"/>
  <c r="CI117" i="13"/>
  <c r="CI116" i="13" s="1"/>
  <c r="CI114" i="13" s="1"/>
  <c r="CI115" i="13" s="1"/>
  <c r="CK76" i="13"/>
  <c r="CK129" i="13"/>
  <c r="CK130" i="13" s="1"/>
  <c r="CK69" i="13"/>
  <c r="CK74" i="13"/>
  <c r="CK108" i="13" s="1"/>
  <c r="CK109" i="13" s="1"/>
  <c r="CK126" i="13"/>
  <c r="CK127" i="13" s="1"/>
  <c r="CK132" i="13"/>
  <c r="CK133" i="13" s="1"/>
  <c r="CJ42" i="13"/>
  <c r="CK141" i="13"/>
  <c r="CI76" i="13"/>
  <c r="CI126" i="13"/>
  <c r="CI127" i="13" s="1"/>
  <c r="CI132" i="13"/>
  <c r="CI133" i="13" s="1"/>
  <c r="CI142" i="13" s="1"/>
  <c r="CI74" i="13"/>
  <c r="CI80" i="13" s="1"/>
  <c r="CI129" i="13"/>
  <c r="CI130" i="13" s="1"/>
  <c r="CI69" i="13"/>
  <c r="CG53" i="13"/>
  <c r="CG59" i="13"/>
  <c r="CG96" i="13"/>
  <c r="CG117" i="13"/>
  <c r="CG116" i="13" s="1"/>
  <c r="CG114" i="13" s="1"/>
  <c r="CG115" i="13" s="1"/>
  <c r="CG69" i="13"/>
  <c r="CG126" i="13"/>
  <c r="CG127" i="13" s="1"/>
  <c r="CG129" i="13"/>
  <c r="CG130" i="13" s="1"/>
  <c r="CG76" i="13"/>
  <c r="CG74" i="13"/>
  <c r="CG111" i="13" s="1"/>
  <c r="CG112" i="13" s="1"/>
  <c r="CG50" i="13"/>
  <c r="CG54" i="13" s="1"/>
  <c r="CG68" i="13"/>
  <c r="CG132" i="13"/>
  <c r="CG133" i="13" s="1"/>
  <c r="CG142" i="13" s="1"/>
  <c r="CF8" i="13"/>
  <c r="CG76" i="14"/>
  <c r="CG74" i="14"/>
  <c r="CG108" i="14" s="1"/>
  <c r="CG109" i="14" s="1"/>
  <c r="CG54" i="14"/>
  <c r="CG49" i="14" s="1"/>
  <c r="CG132" i="14"/>
  <c r="CG133" i="14" s="1"/>
  <c r="CG142" i="14" s="1"/>
  <c r="CF62" i="14"/>
  <c r="CG68" i="14"/>
  <c r="CG63" i="14" s="1"/>
  <c r="CG69" i="14"/>
  <c r="CF8" i="14"/>
  <c r="EM16" i="3"/>
  <c r="EM20" i="3" s="1"/>
  <c r="EM24" i="3" s="1"/>
  <c r="EM23" i="3" s="1"/>
  <c r="EN10" i="3"/>
  <c r="EN69" i="3" s="1"/>
  <c r="EN59" i="3"/>
  <c r="CG132" i="15"/>
  <c r="CG133" i="15" s="1"/>
  <c r="CG142" i="15" s="1"/>
  <c r="CG76" i="15"/>
  <c r="CG129" i="15"/>
  <c r="CG130" i="15" s="1"/>
  <c r="CG126" i="15"/>
  <c r="CG127" i="15" s="1"/>
  <c r="CG74" i="15"/>
  <c r="CG108" i="15" s="1"/>
  <c r="CG109" i="15" s="1"/>
  <c r="CG69" i="15"/>
  <c r="CF9" i="15"/>
  <c r="BY117" i="36"/>
  <c r="BY116" i="36" s="1"/>
  <c r="BY114" i="36" s="1"/>
  <c r="BY115" i="36" s="1"/>
  <c r="BY68" i="36"/>
  <c r="BY10" i="36"/>
  <c r="BX42" i="36"/>
  <c r="BO56" i="38"/>
  <c r="BO50" i="38" s="1"/>
  <c r="BO117" i="38"/>
  <c r="BO116" i="38" s="1"/>
  <c r="BO114" i="38" s="1"/>
  <c r="BO115" i="38" s="1"/>
  <c r="BN8" i="38"/>
  <c r="BN16" i="38"/>
  <c r="BN20" i="38" s="1"/>
  <c r="BN24" i="38" s="1"/>
  <c r="BN23" i="38" s="1"/>
  <c r="BO10" i="38"/>
  <c r="BO16" i="38" s="1"/>
  <c r="BO20" i="38" s="1"/>
  <c r="BO24" i="38" s="1"/>
  <c r="BO23" i="38" s="1"/>
  <c r="BN31" i="38"/>
  <c r="BN62" i="38"/>
  <c r="BR16" i="34"/>
  <c r="BR20" i="34" s="1"/>
  <c r="BR24" i="34" s="1"/>
  <c r="BR23" i="34" s="1"/>
  <c r="BS10" i="34"/>
  <c r="BS69" i="34" s="1"/>
  <c r="BJ62" i="35"/>
  <c r="BK56" i="35"/>
  <c r="BK53" i="35" s="1"/>
  <c r="BJ8" i="35"/>
  <c r="BJ16" i="35"/>
  <c r="BJ20" i="35" s="1"/>
  <c r="BJ24" i="35" s="1"/>
  <c r="BJ23" i="35" s="1"/>
  <c r="BK10" i="35"/>
  <c r="BK69" i="35" s="1"/>
  <c r="BK59" i="35"/>
  <c r="BO135" i="35"/>
  <c r="BO141" i="35" s="1"/>
  <c r="BO123" i="35"/>
  <c r="BO122" i="35"/>
  <c r="BO121" i="35"/>
  <c r="BO120" i="35"/>
  <c r="BO117" i="35" s="1"/>
  <c r="BO116" i="35" s="1"/>
  <c r="BO114" i="35" s="1"/>
  <c r="BO115" i="35" s="1"/>
  <c r="BO119" i="35"/>
  <c r="BO106" i="35"/>
  <c r="BO104" i="35"/>
  <c r="BO105" i="35" s="1"/>
  <c r="BO96" i="35"/>
  <c r="BO67" i="35"/>
  <c r="BO65" i="35"/>
  <c r="BO59" i="35" s="1"/>
  <c r="BO63" i="35"/>
  <c r="BO60" i="35"/>
  <c r="BN8" i="35" s="1"/>
  <c r="BO52" i="35"/>
  <c r="BN42" i="35"/>
  <c r="BO32" i="35"/>
  <c r="BO31" i="35" s="1"/>
  <c r="BN31" i="35"/>
  <c r="BN30" i="35"/>
  <c r="BN29" i="35" s="1"/>
  <c r="BO26" i="35"/>
  <c r="BO25" i="35" s="1"/>
  <c r="BN25" i="35"/>
  <c r="BN19" i="35"/>
  <c r="BO15" i="35"/>
  <c r="BO19" i="35" s="1"/>
  <c r="BN9" i="35"/>
  <c r="BN2" i="35"/>
  <c r="BN10" i="35" s="1"/>
  <c r="BY137" i="34"/>
  <c r="BY135" i="34"/>
  <c r="BY141" i="34" s="1"/>
  <c r="BY131" i="34"/>
  <c r="BY123" i="34"/>
  <c r="BY122" i="34"/>
  <c r="BY121" i="34"/>
  <c r="BY120" i="34"/>
  <c r="BY119" i="34"/>
  <c r="BY106" i="34"/>
  <c r="BY104" i="34"/>
  <c r="BY105" i="34" s="1"/>
  <c r="BY67" i="34"/>
  <c r="BY65" i="34"/>
  <c r="BY59" i="34" s="1"/>
  <c r="BY63" i="34"/>
  <c r="BY60" i="34"/>
  <c r="BX8" i="34" s="1"/>
  <c r="BY52" i="34"/>
  <c r="BY42" i="34"/>
  <c r="BX32" i="34"/>
  <c r="BX31" i="34" s="1"/>
  <c r="BY31" i="34"/>
  <c r="BY30" i="34"/>
  <c r="BY29" i="34"/>
  <c r="BX26" i="34"/>
  <c r="BX25" i="34" s="1"/>
  <c r="BY25" i="34"/>
  <c r="BX19" i="34"/>
  <c r="BY15" i="34"/>
  <c r="BY19" i="34" s="1"/>
  <c r="BX9" i="34"/>
  <c r="BX2" i="34"/>
  <c r="BX10" i="34" s="1"/>
  <c r="CH8" i="13" l="1"/>
  <c r="CI68" i="13"/>
  <c r="CI50" i="13"/>
  <c r="CI54" i="13" s="1"/>
  <c r="CH41" i="13" s="1"/>
  <c r="CK56" i="13"/>
  <c r="CJ8" i="13"/>
  <c r="BS56" i="34"/>
  <c r="BS53" i="34" s="1"/>
  <c r="BR8" i="34"/>
  <c r="BM68" i="35"/>
  <c r="BM50" i="35"/>
  <c r="BM53" i="35"/>
  <c r="BM74" i="35"/>
  <c r="BM76" i="35"/>
  <c r="BM16" i="35"/>
  <c r="BM20" i="35" s="1"/>
  <c r="BM24" i="35" s="1"/>
  <c r="BM23" i="35" s="1"/>
  <c r="BM132" i="35"/>
  <c r="BM133" i="35" s="1"/>
  <c r="BM142" i="35" s="1"/>
  <c r="BM129" i="35"/>
  <c r="BM130" i="35" s="1"/>
  <c r="BM126" i="35"/>
  <c r="BM127" i="35" s="1"/>
  <c r="BK16" i="35"/>
  <c r="BK20" i="35" s="1"/>
  <c r="BK24" i="35" s="1"/>
  <c r="BK23" i="35" s="1"/>
  <c r="BO56" i="35"/>
  <c r="BO68" i="35" s="1"/>
  <c r="BS132" i="34"/>
  <c r="BS133" i="34" s="1"/>
  <c r="BY117" i="34"/>
  <c r="BY116" i="34" s="1"/>
  <c r="BY114" i="34" s="1"/>
  <c r="BY115" i="34" s="1"/>
  <c r="BS53" i="38"/>
  <c r="BS50" i="38"/>
  <c r="BS80" i="38"/>
  <c r="BS71" i="38"/>
  <c r="BS75" i="38"/>
  <c r="BS108" i="38"/>
  <c r="BS109" i="38" s="1"/>
  <c r="BQ54" i="38"/>
  <c r="BQ50" i="38"/>
  <c r="BQ74" i="38"/>
  <c r="BQ69" i="38"/>
  <c r="BQ132" i="38"/>
  <c r="BQ133" i="38" s="1"/>
  <c r="BQ141" i="38" s="1"/>
  <c r="BQ129" i="38"/>
  <c r="BQ130" i="38" s="1"/>
  <c r="BQ76" i="38"/>
  <c r="BQ53" i="38"/>
  <c r="BM68" i="33"/>
  <c r="BM50" i="33"/>
  <c r="BM117" i="33"/>
  <c r="BM116" i="33" s="1"/>
  <c r="BM114" i="33" s="1"/>
  <c r="BM115" i="33" s="1"/>
  <c r="BM53" i="33"/>
  <c r="BM80" i="33"/>
  <c r="BM71" i="33"/>
  <c r="BM75" i="33"/>
  <c r="CC50" i="36"/>
  <c r="CC54" i="36"/>
  <c r="CC41" i="36" s="1"/>
  <c r="CC68" i="36"/>
  <c r="CC74" i="36"/>
  <c r="CC126" i="36"/>
  <c r="CC127" i="36" s="1"/>
  <c r="CC76" i="36"/>
  <c r="CC129" i="36"/>
  <c r="CC130" i="36" s="1"/>
  <c r="CC69" i="36"/>
  <c r="CC53" i="36"/>
  <c r="CC132" i="36"/>
  <c r="CC133" i="36" s="1"/>
  <c r="CC142" i="36" s="1"/>
  <c r="CA56" i="36"/>
  <c r="BZ8" i="36"/>
  <c r="CA76" i="36"/>
  <c r="CA74" i="36"/>
  <c r="CA108" i="36" s="1"/>
  <c r="CA109" i="36" s="1"/>
  <c r="CA129" i="36"/>
  <c r="CA130" i="36" s="1"/>
  <c r="CA69" i="36"/>
  <c r="CA126" i="36"/>
  <c r="CA127" i="36" s="1"/>
  <c r="BY54" i="36"/>
  <c r="BY41" i="36" s="1"/>
  <c r="EV53" i="3"/>
  <c r="EV50" i="3"/>
  <c r="EV74" i="3"/>
  <c r="EV129" i="3"/>
  <c r="EV130" i="3" s="1"/>
  <c r="EV16" i="3"/>
  <c r="EV20" i="3" s="1"/>
  <c r="EV24" i="3" s="1"/>
  <c r="EV23" i="3" s="1"/>
  <c r="EV132" i="3"/>
  <c r="EV133" i="3" s="1"/>
  <c r="EV141" i="3" s="1"/>
  <c r="EV76" i="3"/>
  <c r="EQ108" i="3"/>
  <c r="EQ109" i="3" s="1"/>
  <c r="ES111" i="3"/>
  <c r="ES112" i="3" s="1"/>
  <c r="ES108" i="3"/>
  <c r="ES109" i="3" s="1"/>
  <c r="EQ80" i="3"/>
  <c r="EQ83" i="3" s="1"/>
  <c r="ES83" i="3"/>
  <c r="ES82" i="3"/>
  <c r="ES81" i="3"/>
  <c r="ES71" i="3"/>
  <c r="ES75" i="3"/>
  <c r="ES54" i="3"/>
  <c r="ES41" i="3" s="1"/>
  <c r="EN56" i="3"/>
  <c r="EN53" i="3" s="1"/>
  <c r="EN68" i="3"/>
  <c r="EM8" i="3"/>
  <c r="EQ75" i="3"/>
  <c r="EQ71" i="3"/>
  <c r="EQ54" i="3"/>
  <c r="EQ50" i="3"/>
  <c r="CK111" i="15"/>
  <c r="CK112" i="15" s="1"/>
  <c r="CK53" i="15"/>
  <c r="CK50" i="15"/>
  <c r="CK54" i="15" s="1"/>
  <c r="CK68" i="15"/>
  <c r="CK80" i="15"/>
  <c r="CK78" i="15"/>
  <c r="CK71" i="15"/>
  <c r="CK75" i="15"/>
  <c r="CI80" i="15"/>
  <c r="CI78" i="15"/>
  <c r="CI75" i="15"/>
  <c r="CI71" i="15"/>
  <c r="CI68" i="15"/>
  <c r="CI50" i="15"/>
  <c r="CI53" i="15"/>
  <c r="CI108" i="15"/>
  <c r="CI109" i="15" s="1"/>
  <c r="CI111" i="15"/>
  <c r="CI112" i="15" s="1"/>
  <c r="CG54" i="15"/>
  <c r="CG41" i="15" s="1"/>
  <c r="CG68" i="15"/>
  <c r="CK108" i="14"/>
  <c r="CK109" i="14" s="1"/>
  <c r="CK80" i="14"/>
  <c r="CK78" i="14"/>
  <c r="CK75" i="14"/>
  <c r="CK71" i="14"/>
  <c r="CK54" i="14"/>
  <c r="CI75" i="14"/>
  <c r="CI71" i="14"/>
  <c r="CI80" i="14"/>
  <c r="CI78" i="14"/>
  <c r="CI108" i="14"/>
  <c r="CI109" i="14" s="1"/>
  <c r="CI111" i="14"/>
  <c r="CI112" i="14" s="1"/>
  <c r="CI68" i="14"/>
  <c r="CI63" i="14" s="1"/>
  <c r="CI50" i="14"/>
  <c r="CI54" i="14" s="1"/>
  <c r="CI111" i="13"/>
  <c r="CI112" i="13" s="1"/>
  <c r="CI108" i="13"/>
  <c r="CI109" i="13" s="1"/>
  <c r="CK142" i="13"/>
  <c r="CK78" i="13"/>
  <c r="CK149" i="13" s="1"/>
  <c r="CK152" i="13" s="1"/>
  <c r="CK154" i="13" s="1"/>
  <c r="CK75" i="13"/>
  <c r="CK71" i="13"/>
  <c r="CK80" i="13"/>
  <c r="CK111" i="13"/>
  <c r="CK112" i="13" s="1"/>
  <c r="CI41" i="13"/>
  <c r="CI82" i="13"/>
  <c r="CI83" i="13"/>
  <c r="CI81" i="13"/>
  <c r="CI49" i="13"/>
  <c r="CI78" i="13"/>
  <c r="CI149" i="13" s="1"/>
  <c r="CI152" i="13" s="1"/>
  <c r="CI154" i="13" s="1"/>
  <c r="CI75" i="13"/>
  <c r="CI71" i="13"/>
  <c r="CG108" i="13"/>
  <c r="CG109" i="13" s="1"/>
  <c r="CG80" i="13"/>
  <c r="CG83" i="13" s="1"/>
  <c r="CG41" i="13"/>
  <c r="CF41" i="13"/>
  <c r="CG71" i="13"/>
  <c r="CG78" i="13"/>
  <c r="CG149" i="13" s="1"/>
  <c r="CG152" i="13" s="1"/>
  <c r="CG154" i="13" s="1"/>
  <c r="CG75" i="13"/>
  <c r="CG49" i="13"/>
  <c r="CG80" i="14"/>
  <c r="CG83" i="14" s="1"/>
  <c r="CG111" i="14"/>
  <c r="CG112" i="14" s="1"/>
  <c r="CF49" i="14"/>
  <c r="CF48" i="14" s="1"/>
  <c r="CG48" i="14"/>
  <c r="CG45" i="14"/>
  <c r="CF45" i="14"/>
  <c r="CG78" i="14"/>
  <c r="CG75" i="14"/>
  <c r="CG71" i="14"/>
  <c r="EN132" i="3"/>
  <c r="EN133" i="3" s="1"/>
  <c r="EN141" i="3" s="1"/>
  <c r="EN76" i="3"/>
  <c r="EN74" i="3"/>
  <c r="EN129" i="3"/>
  <c r="EN130" i="3" s="1"/>
  <c r="EN50" i="3"/>
  <c r="EN54" i="3"/>
  <c r="EN16" i="3"/>
  <c r="EN20" i="3" s="1"/>
  <c r="EN24" i="3" s="1"/>
  <c r="EN23" i="3" s="1"/>
  <c r="CG80" i="15"/>
  <c r="CG78" i="15"/>
  <c r="CG75" i="15"/>
  <c r="CG71" i="15"/>
  <c r="CG111" i="15"/>
  <c r="CG112" i="15" s="1"/>
  <c r="CG49" i="15"/>
  <c r="CF41" i="15"/>
  <c r="BY126" i="36"/>
  <c r="BY127" i="36" s="1"/>
  <c r="BY76" i="36"/>
  <c r="BY74" i="36"/>
  <c r="BY129" i="36"/>
  <c r="BY130" i="36" s="1"/>
  <c r="BY69" i="36"/>
  <c r="BY132" i="36"/>
  <c r="BY133" i="36" s="1"/>
  <c r="BY142" i="36" s="1"/>
  <c r="BO53" i="38"/>
  <c r="BO54" i="38"/>
  <c r="BO49" i="38" s="1"/>
  <c r="BN45" i="38" s="1"/>
  <c r="BO132" i="38"/>
  <c r="BO133" i="38" s="1"/>
  <c r="BO129" i="38"/>
  <c r="BO130" i="38" s="1"/>
  <c r="BO69" i="38"/>
  <c r="BO76" i="38"/>
  <c r="BO74" i="38"/>
  <c r="BS129" i="34"/>
  <c r="BS130" i="34" s="1"/>
  <c r="BS142" i="34" s="1"/>
  <c r="BS16" i="34"/>
  <c r="BS20" i="34" s="1"/>
  <c r="BS24" i="34" s="1"/>
  <c r="BS23" i="34" s="1"/>
  <c r="BS76" i="34"/>
  <c r="BS74" i="34"/>
  <c r="BS68" i="34"/>
  <c r="BS50" i="34"/>
  <c r="BS54" i="34"/>
  <c r="BY96" i="34"/>
  <c r="BK68" i="35"/>
  <c r="BK54" i="35"/>
  <c r="BK50" i="35"/>
  <c r="BK132" i="35"/>
  <c r="BK133" i="35" s="1"/>
  <c r="BK142" i="35" s="1"/>
  <c r="BK129" i="35"/>
  <c r="BK130" i="35" s="1"/>
  <c r="BK126" i="35"/>
  <c r="BK127" i="35" s="1"/>
  <c r="BK76" i="35"/>
  <c r="BK74" i="35"/>
  <c r="BO53" i="35"/>
  <c r="BO50" i="35"/>
  <c r="BO54" i="35" s="1"/>
  <c r="BN41" i="35" s="1"/>
  <c r="BN16" i="35"/>
  <c r="BN20" i="35" s="1"/>
  <c r="BN24" i="35" s="1"/>
  <c r="BN23" i="35" s="1"/>
  <c r="BO10" i="35"/>
  <c r="BO69" i="35" s="1"/>
  <c r="BO30" i="35"/>
  <c r="BO29" i="35" s="1"/>
  <c r="BN62" i="35"/>
  <c r="BO42" i="35"/>
  <c r="BY56" i="34"/>
  <c r="BY53" i="34" s="1"/>
  <c r="BX16" i="34"/>
  <c r="BX20" i="34" s="1"/>
  <c r="BX24" i="34" s="1"/>
  <c r="BX23" i="34" s="1"/>
  <c r="BY10" i="34"/>
  <c r="BY69" i="34" s="1"/>
  <c r="BX30" i="34"/>
  <c r="BX29" i="34" s="1"/>
  <c r="BX62" i="34"/>
  <c r="BX42" i="34"/>
  <c r="BX41" i="36" l="1"/>
  <c r="BY49" i="36"/>
  <c r="CK68" i="13"/>
  <c r="CK50" i="13"/>
  <c r="CK54" i="13" s="1"/>
  <c r="CK53" i="13"/>
  <c r="BM54" i="35"/>
  <c r="BM75" i="35"/>
  <c r="BM71" i="35"/>
  <c r="BM80" i="35"/>
  <c r="BM111" i="35"/>
  <c r="BM112" i="35" s="1"/>
  <c r="BM108" i="35"/>
  <c r="BM109" i="35" s="1"/>
  <c r="BO16" i="35"/>
  <c r="BO20" i="35" s="1"/>
  <c r="BO24" i="35" s="1"/>
  <c r="BO23" i="35" s="1"/>
  <c r="BO41" i="35"/>
  <c r="BO49" i="35"/>
  <c r="BY16" i="34"/>
  <c r="BY20" i="34" s="1"/>
  <c r="BY24" i="34" s="1"/>
  <c r="BY23" i="34" s="1"/>
  <c r="BY132" i="34"/>
  <c r="BY133" i="34" s="1"/>
  <c r="BS83" i="38"/>
  <c r="BS82" i="38"/>
  <c r="BS81" i="38"/>
  <c r="BS54" i="38"/>
  <c r="BQ41" i="38"/>
  <c r="BP41" i="38"/>
  <c r="BQ71" i="38"/>
  <c r="BQ75" i="38"/>
  <c r="BQ108" i="38"/>
  <c r="BQ109" i="38" s="1"/>
  <c r="BQ111" i="38"/>
  <c r="BQ112" i="38" s="1"/>
  <c r="BQ80" i="38"/>
  <c r="BQ49" i="38"/>
  <c r="BM83" i="33"/>
  <c r="BM82" i="33"/>
  <c r="BM81" i="33"/>
  <c r="BM54" i="33"/>
  <c r="CC80" i="36"/>
  <c r="CC78" i="36"/>
  <c r="CC149" i="36" s="1"/>
  <c r="CC152" i="36" s="1"/>
  <c r="CC154" i="36" s="1"/>
  <c r="CC75" i="36"/>
  <c r="CC71" i="36"/>
  <c r="CC108" i="36"/>
  <c r="CC109" i="36" s="1"/>
  <c r="CC111" i="36"/>
  <c r="CC112" i="36" s="1"/>
  <c r="CB41" i="36"/>
  <c r="CC49" i="36"/>
  <c r="CA111" i="36"/>
  <c r="CA112" i="36" s="1"/>
  <c r="CA78" i="36"/>
  <c r="CA149" i="36" s="1"/>
  <c r="CA152" i="36" s="1"/>
  <c r="CA154" i="36" s="1"/>
  <c r="CA71" i="36"/>
  <c r="CA75" i="36"/>
  <c r="CA80" i="36"/>
  <c r="CA53" i="36"/>
  <c r="CA50" i="36"/>
  <c r="CA54" i="36" s="1"/>
  <c r="CA68" i="36"/>
  <c r="EV75" i="3"/>
  <c r="EV71" i="3"/>
  <c r="EV108" i="3"/>
  <c r="EV109" i="3" s="1"/>
  <c r="EV111" i="3"/>
  <c r="EV112" i="3" s="1"/>
  <c r="EV80" i="3"/>
  <c r="EV54" i="3"/>
  <c r="EV49" i="3" s="1"/>
  <c r="EQ82" i="3"/>
  <c r="EQ81" i="3"/>
  <c r="ES86" i="3"/>
  <c r="ES84" i="3"/>
  <c r="ES49" i="3"/>
  <c r="ER41" i="3"/>
  <c r="EQ49" i="3"/>
  <c r="EQ86" i="3"/>
  <c r="EQ84" i="3"/>
  <c r="EP41" i="3"/>
  <c r="EQ41" i="3"/>
  <c r="CK81" i="15"/>
  <c r="CK82" i="15"/>
  <c r="CK83" i="15"/>
  <c r="CK49" i="15"/>
  <c r="CK41" i="15"/>
  <c r="CJ41" i="15"/>
  <c r="CI54" i="15"/>
  <c r="CI83" i="15"/>
  <c r="CI81" i="15"/>
  <c r="CI82" i="15"/>
  <c r="CK83" i="14"/>
  <c r="CK82" i="14"/>
  <c r="CK81" i="14"/>
  <c r="CK41" i="14"/>
  <c r="CJ41" i="14"/>
  <c r="CK49" i="14"/>
  <c r="CH41" i="14"/>
  <c r="CI41" i="14"/>
  <c r="CI81" i="14"/>
  <c r="CI83" i="14"/>
  <c r="CI82" i="14"/>
  <c r="CI49" i="14"/>
  <c r="CG81" i="14"/>
  <c r="CG82" i="14"/>
  <c r="CK83" i="13"/>
  <c r="CK81" i="13"/>
  <c r="CK82" i="13"/>
  <c r="CH49" i="13"/>
  <c r="CH48" i="13" s="1"/>
  <c r="CI48" i="13"/>
  <c r="CI45" i="13"/>
  <c r="CI44" i="13" s="1"/>
  <c r="CH45" i="13"/>
  <c r="CH44" i="13" s="1"/>
  <c r="CH43" i="13" s="1"/>
  <c r="CI86" i="13"/>
  <c r="CI84" i="13"/>
  <c r="CG81" i="13"/>
  <c r="CG82" i="13"/>
  <c r="CF45" i="13"/>
  <c r="CF44" i="13" s="1"/>
  <c r="CF43" i="13" s="1"/>
  <c r="CF49" i="13"/>
  <c r="CF48" i="13" s="1"/>
  <c r="CG48" i="13"/>
  <c r="CG45" i="13"/>
  <c r="CG44" i="13" s="1"/>
  <c r="CG86" i="13"/>
  <c r="CG84" i="13"/>
  <c r="CG86" i="14"/>
  <c r="CG84" i="14"/>
  <c r="EN80" i="3"/>
  <c r="EN75" i="3"/>
  <c r="EN71" i="3"/>
  <c r="EN108" i="3"/>
  <c r="EN109" i="3" s="1"/>
  <c r="EN111" i="3"/>
  <c r="EN112" i="3" s="1"/>
  <c r="EM41" i="3"/>
  <c r="EN41" i="3"/>
  <c r="EN49" i="3"/>
  <c r="CG82" i="15"/>
  <c r="CG81" i="15"/>
  <c r="CG83" i="15"/>
  <c r="CF49" i="15"/>
  <c r="CF48" i="15" s="1"/>
  <c r="CF45" i="15"/>
  <c r="CF44" i="15" s="1"/>
  <c r="CF43" i="15" s="1"/>
  <c r="CG48" i="15"/>
  <c r="CG45" i="15"/>
  <c r="CG44" i="15" s="1"/>
  <c r="CG43" i="15" s="1"/>
  <c r="BX49" i="36"/>
  <c r="BX48" i="36" s="1"/>
  <c r="BY48" i="36"/>
  <c r="BY45" i="36"/>
  <c r="BY44" i="36" s="1"/>
  <c r="BX45" i="36"/>
  <c r="BX44" i="36" s="1"/>
  <c r="BX43" i="36" s="1"/>
  <c r="BY80" i="36"/>
  <c r="BY78" i="36"/>
  <c r="BY149" i="36" s="1"/>
  <c r="BY152" i="36" s="1"/>
  <c r="BY154" i="36" s="1"/>
  <c r="BY75" i="36"/>
  <c r="BY71" i="36"/>
  <c r="BY108" i="36"/>
  <c r="BY109" i="36" s="1"/>
  <c r="BY111" i="36"/>
  <c r="BY112" i="36" s="1"/>
  <c r="BO41" i="38"/>
  <c r="BN49" i="38"/>
  <c r="BN48" i="38" s="1"/>
  <c r="BO48" i="38"/>
  <c r="BO45" i="38"/>
  <c r="BN41" i="38"/>
  <c r="BN44" i="38" s="1"/>
  <c r="BN43" i="38" s="1"/>
  <c r="BO80" i="38"/>
  <c r="BO75" i="38"/>
  <c r="BO71" i="38"/>
  <c r="BO108" i="38"/>
  <c r="BO109" i="38" s="1"/>
  <c r="BO111" i="38"/>
  <c r="BO112" i="38" s="1"/>
  <c r="BS49" i="34"/>
  <c r="BS80" i="34"/>
  <c r="BS111" i="34"/>
  <c r="BS112" i="34" s="1"/>
  <c r="BS75" i="34"/>
  <c r="BS108" i="34"/>
  <c r="BS109" i="34" s="1"/>
  <c r="BS71" i="34"/>
  <c r="BS41" i="34"/>
  <c r="BR41" i="34"/>
  <c r="BK41" i="35"/>
  <c r="BJ41" i="35"/>
  <c r="BK71" i="35"/>
  <c r="BK80" i="35"/>
  <c r="BK75" i="35"/>
  <c r="BK111" i="35"/>
  <c r="BK112" i="35" s="1"/>
  <c r="BK108" i="35"/>
  <c r="BK109" i="35" s="1"/>
  <c r="BK49" i="35"/>
  <c r="BO48" i="35"/>
  <c r="BN49" i="35"/>
  <c r="BN48" i="35" s="1"/>
  <c r="BO45" i="35"/>
  <c r="BO44" i="35" s="1"/>
  <c r="BO43" i="35" s="1"/>
  <c r="BN45" i="35"/>
  <c r="BN44" i="35" s="1"/>
  <c r="BN43" i="35" s="1"/>
  <c r="BO76" i="35"/>
  <c r="BO74" i="35"/>
  <c r="BO132" i="35"/>
  <c r="BO133" i="35" s="1"/>
  <c r="BO142" i="35" s="1"/>
  <c r="BO129" i="35"/>
  <c r="BO130" i="35" s="1"/>
  <c r="BO126" i="35"/>
  <c r="BO127" i="35" s="1"/>
  <c r="BY68" i="34"/>
  <c r="BY50" i="34"/>
  <c r="BY76" i="34"/>
  <c r="BY74" i="34"/>
  <c r="BY129" i="34"/>
  <c r="BY130" i="34" s="1"/>
  <c r="BY142" i="34" s="1"/>
  <c r="CK49" i="13" l="1"/>
  <c r="CK41" i="13"/>
  <c r="CJ41" i="13"/>
  <c r="BM83" i="35"/>
  <c r="BM82" i="35"/>
  <c r="BM81" i="35"/>
  <c r="BL41" i="35"/>
  <c r="BM41" i="35"/>
  <c r="BM49" i="35"/>
  <c r="BS41" i="38"/>
  <c r="BR41" i="38"/>
  <c r="BS49" i="38"/>
  <c r="BS86" i="38"/>
  <c r="BS84" i="38"/>
  <c r="BP45" i="38"/>
  <c r="BP44" i="38" s="1"/>
  <c r="BP43" i="38" s="1"/>
  <c r="BQ45" i="38"/>
  <c r="BQ44" i="38" s="1"/>
  <c r="BQ43" i="38" s="1"/>
  <c r="BP49" i="38"/>
  <c r="BP48" i="38" s="1"/>
  <c r="BQ48" i="38"/>
  <c r="BQ83" i="38"/>
  <c r="BQ82" i="38"/>
  <c r="BQ81" i="38"/>
  <c r="BM41" i="33"/>
  <c r="BL41" i="33"/>
  <c r="BM86" i="33"/>
  <c r="BM84" i="33"/>
  <c r="BM49" i="33"/>
  <c r="CC48" i="36"/>
  <c r="CB45" i="36"/>
  <c r="CB44" i="36" s="1"/>
  <c r="CB43" i="36" s="1"/>
  <c r="CC45" i="36"/>
  <c r="CC44" i="36" s="1"/>
  <c r="CB49" i="36"/>
  <c r="CB48" i="36" s="1"/>
  <c r="CC82" i="36"/>
  <c r="CC81" i="36"/>
  <c r="CC83" i="36"/>
  <c r="CA49" i="36"/>
  <c r="CA41" i="36"/>
  <c r="BZ41" i="36"/>
  <c r="CA83" i="36"/>
  <c r="CA82" i="36"/>
  <c r="CA81" i="36"/>
  <c r="EV45" i="3"/>
  <c r="EU45" i="3"/>
  <c r="EU49" i="3"/>
  <c r="EU48" i="3" s="1"/>
  <c r="EV48" i="3"/>
  <c r="EV83" i="3"/>
  <c r="EV82" i="3"/>
  <c r="EV81" i="3"/>
  <c r="EV41" i="3"/>
  <c r="EU41" i="3"/>
  <c r="ER45" i="3"/>
  <c r="ER44" i="3" s="1"/>
  <c r="ER43" i="3" s="1"/>
  <c r="ER49" i="3"/>
  <c r="ER48" i="3" s="1"/>
  <c r="ES48" i="3"/>
  <c r="ES45" i="3"/>
  <c r="ES44" i="3" s="1"/>
  <c r="ES87" i="3"/>
  <c r="ES89" i="3"/>
  <c r="EQ89" i="3"/>
  <c r="EQ87" i="3"/>
  <c r="EQ45" i="3"/>
  <c r="EQ44" i="3" s="1"/>
  <c r="EP45" i="3"/>
  <c r="EP44" i="3" s="1"/>
  <c r="EP43" i="3" s="1"/>
  <c r="EQ48" i="3"/>
  <c r="EP49" i="3"/>
  <c r="EP48" i="3" s="1"/>
  <c r="CK48" i="15"/>
  <c r="CK45" i="15"/>
  <c r="CK44" i="15" s="1"/>
  <c r="CK43" i="15" s="1"/>
  <c r="CJ45" i="15"/>
  <c r="CJ44" i="15" s="1"/>
  <c r="CJ43" i="15" s="1"/>
  <c r="CJ49" i="15"/>
  <c r="CJ48" i="15" s="1"/>
  <c r="CK86" i="15"/>
  <c r="CK84" i="15"/>
  <c r="CI84" i="15"/>
  <c r="CI86" i="15"/>
  <c r="CI41" i="15"/>
  <c r="CH41" i="15"/>
  <c r="CI49" i="15"/>
  <c r="CJ49" i="14"/>
  <c r="CJ48" i="14" s="1"/>
  <c r="CK45" i="14"/>
  <c r="CK44" i="14" s="1"/>
  <c r="CK43" i="14" s="1"/>
  <c r="CJ45" i="14"/>
  <c r="CJ44" i="14" s="1"/>
  <c r="CJ43" i="14" s="1"/>
  <c r="CK48" i="14"/>
  <c r="CK84" i="14"/>
  <c r="CK86" i="14"/>
  <c r="CI84" i="14"/>
  <c r="CI86" i="14"/>
  <c r="CH49" i="14"/>
  <c r="CH48" i="14" s="1"/>
  <c r="CI45" i="14"/>
  <c r="CI44" i="14" s="1"/>
  <c r="CI43" i="14" s="1"/>
  <c r="CI48" i="14"/>
  <c r="CH45" i="14"/>
  <c r="CH44" i="14" s="1"/>
  <c r="CH43" i="14" s="1"/>
  <c r="CK84" i="13"/>
  <c r="CK86" i="13"/>
  <c r="CI89" i="13"/>
  <c r="CI87" i="13"/>
  <c r="CI43" i="13"/>
  <c r="CI47" i="13"/>
  <c r="CG89" i="13"/>
  <c r="CG87" i="13"/>
  <c r="CG43" i="13"/>
  <c r="CG47" i="13"/>
  <c r="CG89" i="14"/>
  <c r="CG87" i="14"/>
  <c r="EN82" i="3"/>
  <c r="EN81" i="3"/>
  <c r="EN83" i="3"/>
  <c r="EM49" i="3"/>
  <c r="EM48" i="3" s="1"/>
  <c r="EN45" i="3"/>
  <c r="EN44" i="3" s="1"/>
  <c r="EN48" i="3"/>
  <c r="EM45" i="3"/>
  <c r="EM44" i="3" s="1"/>
  <c r="EM43" i="3" s="1"/>
  <c r="CG86" i="15"/>
  <c r="CG84" i="15"/>
  <c r="BY83" i="36"/>
  <c r="BY82" i="36"/>
  <c r="BY81" i="36"/>
  <c r="BY47" i="36"/>
  <c r="BY43" i="36"/>
  <c r="BO44" i="38"/>
  <c r="BO43" i="38" s="1"/>
  <c r="BO83" i="38"/>
  <c r="BO82" i="38"/>
  <c r="BO81" i="38"/>
  <c r="BS83" i="34"/>
  <c r="BS82" i="34"/>
  <c r="BS81" i="34"/>
  <c r="BR49" i="34"/>
  <c r="BR48" i="34" s="1"/>
  <c r="BS48" i="34"/>
  <c r="BS45" i="34"/>
  <c r="BS44" i="34" s="1"/>
  <c r="BS43" i="34" s="1"/>
  <c r="BR45" i="34"/>
  <c r="BR44" i="34" s="1"/>
  <c r="BR43" i="34" s="1"/>
  <c r="BJ49" i="35"/>
  <c r="BJ48" i="35" s="1"/>
  <c r="BK48" i="35"/>
  <c r="BK45" i="35"/>
  <c r="BK44" i="35" s="1"/>
  <c r="BK43" i="35" s="1"/>
  <c r="BJ45" i="35"/>
  <c r="BJ44" i="35" s="1"/>
  <c r="BJ43" i="35" s="1"/>
  <c r="BK83" i="35"/>
  <c r="BK82" i="35"/>
  <c r="BK81" i="35"/>
  <c r="BO80" i="35"/>
  <c r="BO75" i="35"/>
  <c r="BO71" i="35"/>
  <c r="BO111" i="35"/>
  <c r="BO112" i="35" s="1"/>
  <c r="BO108" i="35"/>
  <c r="BO109" i="35" s="1"/>
  <c r="BY54" i="34"/>
  <c r="BY49" i="34" s="1"/>
  <c r="BY111" i="34"/>
  <c r="BY112" i="34" s="1"/>
  <c r="BY75" i="34"/>
  <c r="BY71" i="34"/>
  <c r="BY80" i="34"/>
  <c r="BY108" i="34"/>
  <c r="BY109" i="34" s="1"/>
  <c r="CJ49" i="13" l="1"/>
  <c r="CJ48" i="13" s="1"/>
  <c r="CK45" i="13"/>
  <c r="CK44" i="13" s="1"/>
  <c r="CJ45" i="13"/>
  <c r="CJ44" i="13" s="1"/>
  <c r="CJ43" i="13" s="1"/>
  <c r="CK48" i="13"/>
  <c r="BM48" i="35"/>
  <c r="BL45" i="35"/>
  <c r="BL44" i="35" s="1"/>
  <c r="BL43" i="35" s="1"/>
  <c r="BM45" i="35"/>
  <c r="BM44" i="35" s="1"/>
  <c r="BM43" i="35" s="1"/>
  <c r="BL49" i="35"/>
  <c r="BL48" i="35" s="1"/>
  <c r="BM86" i="35"/>
  <c r="BM84" i="35"/>
  <c r="BS89" i="38"/>
  <c r="BS87" i="38"/>
  <c r="BR45" i="38"/>
  <c r="BR44" i="38" s="1"/>
  <c r="BR43" i="38" s="1"/>
  <c r="BS45" i="38"/>
  <c r="BS44" i="38" s="1"/>
  <c r="BS43" i="38" s="1"/>
  <c r="BR49" i="38"/>
  <c r="BR48" i="38" s="1"/>
  <c r="BS48" i="38"/>
  <c r="BQ86" i="38"/>
  <c r="BQ84" i="38"/>
  <c r="BM45" i="33"/>
  <c r="BM44" i="33" s="1"/>
  <c r="BM43" i="33" s="1"/>
  <c r="BL45" i="33"/>
  <c r="BL44" i="33" s="1"/>
  <c r="BL43" i="33" s="1"/>
  <c r="BL49" i="33"/>
  <c r="BL48" i="33" s="1"/>
  <c r="BM48" i="33"/>
  <c r="BM87" i="33"/>
  <c r="BM89" i="33"/>
  <c r="CC47" i="36"/>
  <c r="CC43" i="36"/>
  <c r="CC86" i="36"/>
  <c r="CC84" i="36"/>
  <c r="CA86" i="36"/>
  <c r="CA84" i="36"/>
  <c r="CA45" i="36"/>
  <c r="CA44" i="36" s="1"/>
  <c r="BZ49" i="36"/>
  <c r="BZ48" i="36" s="1"/>
  <c r="BZ45" i="36"/>
  <c r="BZ44" i="36" s="1"/>
  <c r="BZ43" i="36" s="1"/>
  <c r="CA48" i="36"/>
  <c r="EV86" i="3"/>
  <c r="EV84" i="3"/>
  <c r="EU44" i="3"/>
  <c r="EU43" i="3" s="1"/>
  <c r="EV44" i="3"/>
  <c r="ES93" i="3"/>
  <c r="ES90" i="3"/>
  <c r="ES43" i="3"/>
  <c r="ES47" i="3"/>
  <c r="EQ47" i="3"/>
  <c r="EQ43" i="3"/>
  <c r="EQ93" i="3"/>
  <c r="EQ90" i="3"/>
  <c r="CK89" i="15"/>
  <c r="CK87" i="15"/>
  <c r="CI48" i="15"/>
  <c r="CH49" i="15"/>
  <c r="CH48" i="15" s="1"/>
  <c r="CI45" i="15"/>
  <c r="CI44" i="15" s="1"/>
  <c r="CI43" i="15" s="1"/>
  <c r="CH45" i="15"/>
  <c r="CH44" i="15" s="1"/>
  <c r="CH43" i="15" s="1"/>
  <c r="CI87" i="15"/>
  <c r="CI89" i="15"/>
  <c r="CK89" i="14"/>
  <c r="CK87" i="14"/>
  <c r="CI89" i="14"/>
  <c r="CI87" i="14"/>
  <c r="CK87" i="13"/>
  <c r="CK89" i="13"/>
  <c r="CI93" i="13"/>
  <c r="CI90" i="13"/>
  <c r="CG93" i="13"/>
  <c r="CG90" i="13"/>
  <c r="CG93" i="14"/>
  <c r="CG90" i="14"/>
  <c r="EN86" i="3"/>
  <c r="EN84" i="3"/>
  <c r="EN47" i="3"/>
  <c r="EN43" i="3"/>
  <c r="CG87" i="15"/>
  <c r="CG89" i="15"/>
  <c r="BY86" i="36"/>
  <c r="BY84" i="36"/>
  <c r="BO84" i="38"/>
  <c r="BO86" i="38"/>
  <c r="BS84" i="34"/>
  <c r="BS86" i="34"/>
  <c r="BK86" i="35"/>
  <c r="BK84" i="35"/>
  <c r="BO81" i="35"/>
  <c r="BO83" i="35"/>
  <c r="BO82" i="35"/>
  <c r="BY48" i="34"/>
  <c r="BX45" i="34"/>
  <c r="BX49" i="34"/>
  <c r="BX48" i="34" s="1"/>
  <c r="BY45" i="34"/>
  <c r="BY41" i="34"/>
  <c r="BX41" i="34"/>
  <c r="BY81" i="34"/>
  <c r="BY83" i="34"/>
  <c r="BY82" i="34"/>
  <c r="CK43" i="13" l="1"/>
  <c r="CK47" i="13"/>
  <c r="BM89" i="35"/>
  <c r="BM87" i="35"/>
  <c r="BS90" i="38"/>
  <c r="BS93" i="38"/>
  <c r="BQ89" i="38"/>
  <c r="BQ87" i="38"/>
  <c r="BM93" i="33"/>
  <c r="BM90" i="33"/>
  <c r="CC87" i="36"/>
  <c r="CC89" i="36"/>
  <c r="CA47" i="36"/>
  <c r="CA43" i="36"/>
  <c r="CA89" i="36"/>
  <c r="CA87" i="36"/>
  <c r="EV47" i="3"/>
  <c r="EV43" i="3"/>
  <c r="EV89" i="3"/>
  <c r="EV87" i="3"/>
  <c r="ES98" i="3"/>
  <c r="ES94" i="3"/>
  <c r="EQ98" i="3"/>
  <c r="EQ94" i="3"/>
  <c r="CK93" i="15"/>
  <c r="CK90" i="15"/>
  <c r="CI93" i="15"/>
  <c r="CI90" i="15"/>
  <c r="CK93" i="14"/>
  <c r="CK90" i="14"/>
  <c r="CI93" i="14"/>
  <c r="CI90" i="14"/>
  <c r="CK93" i="13"/>
  <c r="CK90" i="13"/>
  <c r="CI98" i="13"/>
  <c r="CI94" i="13"/>
  <c r="CG98" i="13"/>
  <c r="CG94" i="13"/>
  <c r="CG98" i="14"/>
  <c r="CG94" i="14"/>
  <c r="EN89" i="3"/>
  <c r="EN87" i="3"/>
  <c r="CG93" i="15"/>
  <c r="CG90" i="15"/>
  <c r="BY89" i="36"/>
  <c r="BY87" i="36"/>
  <c r="BO89" i="38"/>
  <c r="BO87" i="38"/>
  <c r="BS89" i="34"/>
  <c r="BS87" i="34"/>
  <c r="BK89" i="35"/>
  <c r="BK87" i="35"/>
  <c r="BO86" i="35"/>
  <c r="BO84" i="35"/>
  <c r="BY44" i="34"/>
  <c r="BY43" i="34" s="1"/>
  <c r="BX44" i="34"/>
  <c r="BX43" i="34" s="1"/>
  <c r="BY86" i="34"/>
  <c r="BY84" i="34"/>
  <c r="BM93" i="35" l="1"/>
  <c r="BM90" i="35"/>
  <c r="BS98" i="38"/>
  <c r="BS94" i="38"/>
  <c r="BQ93" i="38"/>
  <c r="BQ90" i="38"/>
  <c r="BM98" i="33"/>
  <c r="BM94" i="33"/>
  <c r="CC90" i="36"/>
  <c r="CC93" i="36"/>
  <c r="CA93" i="36"/>
  <c r="CA90" i="36"/>
  <c r="EV90" i="3"/>
  <c r="EV93" i="3"/>
  <c r="ES99" i="3"/>
  <c r="ES143" i="3"/>
  <c r="EQ143" i="3"/>
  <c r="EQ99" i="3"/>
  <c r="CK98" i="15"/>
  <c r="CK94" i="15"/>
  <c r="CI98" i="15"/>
  <c r="CI94" i="15"/>
  <c r="CK98" i="14"/>
  <c r="CK94" i="14"/>
  <c r="CI98" i="14"/>
  <c r="CI94" i="14"/>
  <c r="CK94" i="13"/>
  <c r="CK98" i="13"/>
  <c r="CI144" i="13"/>
  <c r="CI99" i="13"/>
  <c r="CI124" i="13" s="1"/>
  <c r="CG99" i="13"/>
  <c r="CG124" i="13" s="1"/>
  <c r="CG144" i="13"/>
  <c r="CG144" i="14"/>
  <c r="CG99" i="14"/>
  <c r="CG124" i="14" s="1"/>
  <c r="EN93" i="3"/>
  <c r="EN90" i="3"/>
  <c r="CG98" i="15"/>
  <c r="CG94" i="15"/>
  <c r="BY90" i="36"/>
  <c r="BY93" i="36"/>
  <c r="BO93" i="38"/>
  <c r="BO90" i="38"/>
  <c r="BS93" i="34"/>
  <c r="BS90" i="34"/>
  <c r="BK93" i="35"/>
  <c r="BK90" i="35"/>
  <c r="BO89" i="35"/>
  <c r="BO87" i="35"/>
  <c r="BY89" i="34"/>
  <c r="BY87" i="34"/>
  <c r="BM94" i="35" l="1"/>
  <c r="BM98" i="35"/>
  <c r="BS143" i="38"/>
  <c r="BS99" i="38"/>
  <c r="BQ98" i="38"/>
  <c r="BQ94" i="38"/>
  <c r="BM144" i="33"/>
  <c r="BM99" i="33"/>
  <c r="CC98" i="36"/>
  <c r="CC94" i="36"/>
  <c r="CA98" i="36"/>
  <c r="CA94" i="36"/>
  <c r="EV98" i="3"/>
  <c r="EV94" i="3"/>
  <c r="CK144" i="15"/>
  <c r="CK99" i="15"/>
  <c r="CK124" i="15" s="1"/>
  <c r="CI144" i="15"/>
  <c r="CI99" i="15"/>
  <c r="CI124" i="15" s="1"/>
  <c r="CK144" i="14"/>
  <c r="CK99" i="14"/>
  <c r="CK124" i="14" s="1"/>
  <c r="CI144" i="14"/>
  <c r="CI99" i="14"/>
  <c r="CI124" i="14" s="1"/>
  <c r="CK144" i="13"/>
  <c r="CK99" i="13"/>
  <c r="CK124" i="13" s="1"/>
  <c r="EN98" i="3"/>
  <c r="EN94" i="3"/>
  <c r="CG144" i="15"/>
  <c r="CG99" i="15"/>
  <c r="CG124" i="15" s="1"/>
  <c r="BY98" i="36"/>
  <c r="BY94" i="36"/>
  <c r="BO98" i="38"/>
  <c r="BO94" i="38"/>
  <c r="BS98" i="34"/>
  <c r="BS94" i="34"/>
  <c r="BK98" i="35"/>
  <c r="BK94" i="35"/>
  <c r="BO93" i="35"/>
  <c r="BO90" i="35"/>
  <c r="BY93" i="34"/>
  <c r="BY90" i="34"/>
  <c r="BM144" i="35" l="1"/>
  <c r="BM99" i="35"/>
  <c r="BQ143" i="38"/>
  <c r="BQ99" i="38"/>
  <c r="CC144" i="36"/>
  <c r="CC99" i="36"/>
  <c r="CC124" i="36" s="1"/>
  <c r="CA144" i="36"/>
  <c r="CA99" i="36"/>
  <c r="CA124" i="36" s="1"/>
  <c r="EV143" i="3"/>
  <c r="EV99" i="3"/>
  <c r="EN99" i="3"/>
  <c r="EN143" i="3"/>
  <c r="BY144" i="36"/>
  <c r="BY99" i="36"/>
  <c r="BY124" i="36" s="1"/>
  <c r="BO99" i="38"/>
  <c r="BO143" i="38"/>
  <c r="BS99" i="34"/>
  <c r="BS144" i="34"/>
  <c r="BK99" i="35"/>
  <c r="BK144" i="35"/>
  <c r="BO98" i="35"/>
  <c r="BO94" i="35"/>
  <c r="BY98" i="34"/>
  <c r="BY94" i="34"/>
  <c r="BO144" i="35" l="1"/>
  <c r="BO99" i="35"/>
  <c r="BY144" i="34"/>
  <c r="BY99" i="34"/>
  <c r="BW123" i="38" l="1"/>
  <c r="BW122" i="38"/>
  <c r="BW121" i="38"/>
  <c r="BW120" i="38"/>
  <c r="BW119" i="38"/>
  <c r="BW117" i="38" s="1"/>
  <c r="BW116" i="38" s="1"/>
  <c r="BW114" i="38" s="1"/>
  <c r="BW115" i="38" s="1"/>
  <c r="BW106" i="38"/>
  <c r="BW104" i="38"/>
  <c r="BW105" i="38" s="1"/>
  <c r="BW96" i="38"/>
  <c r="BW67" i="38"/>
  <c r="BW65" i="38"/>
  <c r="BW63" i="38"/>
  <c r="BW52" i="38"/>
  <c r="BW42" i="38"/>
  <c r="BV32" i="38"/>
  <c r="BV42" i="38" s="1"/>
  <c r="BW31" i="38"/>
  <c r="BV31" i="38"/>
  <c r="BW30" i="38"/>
  <c r="BW29" i="38"/>
  <c r="BV26" i="38"/>
  <c r="BV30" i="38" s="1"/>
  <c r="BV29" i="38" s="1"/>
  <c r="BW25" i="38"/>
  <c r="BV19" i="38"/>
  <c r="BW15" i="38"/>
  <c r="BW19" i="38" s="1"/>
  <c r="BV9" i="38"/>
  <c r="BV2" i="38"/>
  <c r="BV10" i="38" s="1"/>
  <c r="BO135" i="33"/>
  <c r="BO141" i="33" s="1"/>
  <c r="BO104" i="33"/>
  <c r="BO63" i="33"/>
  <c r="BO42" i="33"/>
  <c r="BN32" i="33"/>
  <c r="BN31" i="33" s="1"/>
  <c r="BO31" i="33"/>
  <c r="BN30" i="33"/>
  <c r="BN29" i="33" s="1"/>
  <c r="BO26" i="33"/>
  <c r="BO30" i="33" s="1"/>
  <c r="BO29" i="33" s="1"/>
  <c r="BN25" i="33"/>
  <c r="BN19" i="33"/>
  <c r="BO15" i="33"/>
  <c r="BO19" i="33" s="1"/>
  <c r="BN9" i="33"/>
  <c r="BN2" i="33"/>
  <c r="BN10" i="33" s="1"/>
  <c r="DU153" i="36"/>
  <c r="DU151" i="36"/>
  <c r="DU150" i="36"/>
  <c r="DU138" i="36"/>
  <c r="DU135" i="36"/>
  <c r="DU141" i="36" s="1"/>
  <c r="DU131" i="36"/>
  <c r="DU123" i="36"/>
  <c r="DU122" i="36"/>
  <c r="DU121" i="36"/>
  <c r="DU120" i="36"/>
  <c r="DU119" i="36"/>
  <c r="DU106" i="36"/>
  <c r="DU100" i="36"/>
  <c r="DU104" i="36" s="1"/>
  <c r="DU105" i="36" s="1"/>
  <c r="DU96" i="36"/>
  <c r="DU65" i="36"/>
  <c r="DU59" i="36" s="1"/>
  <c r="DU57" i="36"/>
  <c r="DU63" i="36" s="1"/>
  <c r="DU52" i="36"/>
  <c r="DU42" i="36"/>
  <c r="DT32" i="36"/>
  <c r="DT31" i="36" s="1"/>
  <c r="DU31" i="36"/>
  <c r="DU30" i="36"/>
  <c r="DU29" i="36"/>
  <c r="DU25" i="36"/>
  <c r="DU24" i="36"/>
  <c r="DU23" i="36" s="1"/>
  <c r="DT20" i="36"/>
  <c r="DT19" i="36"/>
  <c r="DU15" i="36"/>
  <c r="DU19" i="36" s="1"/>
  <c r="DT2" i="36"/>
  <c r="DT10" i="36" s="1"/>
  <c r="DS153" i="36"/>
  <c r="DS151" i="36"/>
  <c r="DS150" i="36"/>
  <c r="DS138" i="36"/>
  <c r="DS135" i="36"/>
  <c r="DS141" i="36" s="1"/>
  <c r="DS131" i="36"/>
  <c r="DS123" i="36"/>
  <c r="DS122" i="36"/>
  <c r="DS121" i="36"/>
  <c r="DS120" i="36"/>
  <c r="DS119" i="36"/>
  <c r="DS106" i="36"/>
  <c r="DS100" i="36"/>
  <c r="DS104" i="36" s="1"/>
  <c r="DS105" i="36" s="1"/>
  <c r="DS65" i="36"/>
  <c r="DS60" i="36" s="1"/>
  <c r="DS56" i="36" s="1"/>
  <c r="DS57" i="36"/>
  <c r="DR9" i="36" s="1"/>
  <c r="DS52" i="36"/>
  <c r="DS42" i="36"/>
  <c r="DR32" i="36"/>
  <c r="DR31" i="36" s="1"/>
  <c r="DS31" i="36"/>
  <c r="DR20" i="36"/>
  <c r="DR19" i="36"/>
  <c r="DS15" i="36"/>
  <c r="DS19" i="36" s="1"/>
  <c r="DR2" i="36"/>
  <c r="DR10" i="36" s="1"/>
  <c r="FC140" i="3"/>
  <c r="FC123" i="3"/>
  <c r="FC122" i="3"/>
  <c r="FC121" i="3"/>
  <c r="FC120" i="3"/>
  <c r="FC119" i="3"/>
  <c r="FC106" i="3"/>
  <c r="FC100" i="3"/>
  <c r="FC104" i="3" s="1"/>
  <c r="FC105" i="3" s="1"/>
  <c r="FC96" i="3"/>
  <c r="FC67" i="3"/>
  <c r="FC65" i="3"/>
  <c r="FC63" i="3"/>
  <c r="FC52" i="3"/>
  <c r="FC42" i="3"/>
  <c r="FB32" i="3"/>
  <c r="FB31" i="3" s="1"/>
  <c r="FC31" i="3"/>
  <c r="FC30" i="3"/>
  <c r="FC29" i="3" s="1"/>
  <c r="FB26" i="3"/>
  <c r="FB30" i="3" s="1"/>
  <c r="FB29" i="3" s="1"/>
  <c r="FC25" i="3"/>
  <c r="FB25" i="3" s="1"/>
  <c r="FB19" i="3"/>
  <c r="FC15" i="3"/>
  <c r="FC19" i="3" s="1"/>
  <c r="FB9" i="3"/>
  <c r="FB2" i="3"/>
  <c r="FB10" i="3" s="1"/>
  <c r="FA140" i="3"/>
  <c r="FA123" i="3"/>
  <c r="FA122" i="3"/>
  <c r="FA121" i="3"/>
  <c r="FA120" i="3"/>
  <c r="FA119" i="3"/>
  <c r="FA106" i="3"/>
  <c r="FA100" i="3"/>
  <c r="FA104" i="3" s="1"/>
  <c r="FA105" i="3" s="1"/>
  <c r="FA96" i="3"/>
  <c r="FA67" i="3"/>
  <c r="FA65" i="3"/>
  <c r="FA63" i="3"/>
  <c r="FA52" i="3"/>
  <c r="FA42" i="3"/>
  <c r="EZ32" i="3"/>
  <c r="EZ42" i="3" s="1"/>
  <c r="FA31" i="3"/>
  <c r="FA30" i="3"/>
  <c r="FA29" i="3" s="1"/>
  <c r="EZ26" i="3"/>
  <c r="FA25" i="3"/>
  <c r="EZ25" i="3" s="1"/>
  <c r="EZ19" i="3"/>
  <c r="FA15" i="3"/>
  <c r="FA19" i="3" s="1"/>
  <c r="EZ9" i="3"/>
  <c r="EZ2" i="3"/>
  <c r="EZ10" i="3" s="1"/>
  <c r="EY140" i="3"/>
  <c r="EY137" i="3"/>
  <c r="FA137" i="3" s="1"/>
  <c r="FC137" i="3" s="1"/>
  <c r="EY123" i="3"/>
  <c r="EY122" i="3"/>
  <c r="EY121" i="3"/>
  <c r="EY120" i="3"/>
  <c r="EY119" i="3"/>
  <c r="EY106" i="3"/>
  <c r="EY100" i="3"/>
  <c r="EY104" i="3" s="1"/>
  <c r="EY105" i="3" s="1"/>
  <c r="EY96" i="3"/>
  <c r="EY67" i="3"/>
  <c r="EY65" i="3"/>
  <c r="EY59" i="3" s="1"/>
  <c r="EY63" i="3"/>
  <c r="EY52" i="3"/>
  <c r="EY42" i="3"/>
  <c r="EX32" i="3"/>
  <c r="EY31" i="3"/>
  <c r="EX31" i="3"/>
  <c r="EY30" i="3"/>
  <c r="EY29" i="3" s="1"/>
  <c r="EX26" i="3"/>
  <c r="EY25" i="3"/>
  <c r="EX25" i="3" s="1"/>
  <c r="EX19" i="3"/>
  <c r="EY15" i="3"/>
  <c r="EY19" i="3" s="1"/>
  <c r="EX9" i="3"/>
  <c r="EX2" i="3"/>
  <c r="EX10" i="3" s="1"/>
  <c r="CM135" i="14"/>
  <c r="CM141" i="14" s="1"/>
  <c r="CM131" i="14"/>
  <c r="CM123" i="14"/>
  <c r="CM122" i="14"/>
  <c r="CM121" i="14"/>
  <c r="CM120" i="14"/>
  <c r="CM119" i="14"/>
  <c r="CM117" i="14" s="1"/>
  <c r="CM116" i="14" s="1"/>
  <c r="CM114" i="14" s="1"/>
  <c r="CM115" i="14" s="1"/>
  <c r="CM106" i="14"/>
  <c r="CM104" i="14"/>
  <c r="CM105" i="14" s="1"/>
  <c r="CM96" i="14"/>
  <c r="CM67" i="14"/>
  <c r="CM65" i="14"/>
  <c r="CM62" i="14"/>
  <c r="CM57" i="14"/>
  <c r="CL9" i="14" s="1"/>
  <c r="CM52" i="14"/>
  <c r="CL19" i="14"/>
  <c r="CM15" i="14"/>
  <c r="CM19" i="14" s="1"/>
  <c r="CL2" i="14"/>
  <c r="CL10" i="14" s="1"/>
  <c r="CM10" i="14" s="1"/>
  <c r="CE62" i="14"/>
  <c r="DT42" i="36" l="1"/>
  <c r="DU60" i="36"/>
  <c r="DT8" i="36" s="1"/>
  <c r="DS63" i="36"/>
  <c r="DS96" i="36"/>
  <c r="EZ31" i="3"/>
  <c r="FA60" i="3"/>
  <c r="FA68" i="3" s="1"/>
  <c r="CM59" i="14"/>
  <c r="CM60" i="14"/>
  <c r="CM56" i="14" s="1"/>
  <c r="CM132" i="14"/>
  <c r="CM133" i="14" s="1"/>
  <c r="CM142" i="14" s="1"/>
  <c r="FA59" i="3"/>
  <c r="EY60" i="3"/>
  <c r="EY117" i="3"/>
  <c r="EY116" i="3" s="1"/>
  <c r="EY114" i="3" s="1"/>
  <c r="EY115" i="3" s="1"/>
  <c r="FC60" i="3"/>
  <c r="FB8" i="3" s="1"/>
  <c r="EY68" i="3"/>
  <c r="EX8" i="3"/>
  <c r="EY56" i="3"/>
  <c r="EY50" i="3" s="1"/>
  <c r="EY54" i="3" s="1"/>
  <c r="EY41" i="3" s="1"/>
  <c r="FC56" i="3"/>
  <c r="FC50" i="3" s="1"/>
  <c r="FC54" i="3" s="1"/>
  <c r="FC41" i="3" s="1"/>
  <c r="FC117" i="3"/>
  <c r="FC116" i="3" s="1"/>
  <c r="FC114" i="3" s="1"/>
  <c r="FC115" i="3" s="1"/>
  <c r="FC59" i="3"/>
  <c r="EZ8" i="3"/>
  <c r="EZ30" i="3"/>
  <c r="EZ29" i="3" s="1"/>
  <c r="EY53" i="3"/>
  <c r="EX30" i="3"/>
  <c r="EX29" i="3" s="1"/>
  <c r="DT9" i="36"/>
  <c r="DU117" i="36"/>
  <c r="DU116" i="36" s="1"/>
  <c r="DU114" i="36" s="1"/>
  <c r="DU115" i="36" s="1"/>
  <c r="DR42" i="36"/>
  <c r="BW60" i="38"/>
  <c r="BW68" i="38" s="1"/>
  <c r="BV25" i="38"/>
  <c r="BV16" i="38"/>
  <c r="BV20" i="38" s="1"/>
  <c r="BV24" i="38" s="1"/>
  <c r="BV23" i="38" s="1"/>
  <c r="BW10" i="38"/>
  <c r="BW69" i="38" s="1"/>
  <c r="BW59" i="38"/>
  <c r="BO25" i="33"/>
  <c r="BN16" i="33"/>
  <c r="BN20" i="33" s="1"/>
  <c r="BN24" i="33" s="1"/>
  <c r="BN23" i="33" s="1"/>
  <c r="BO10" i="33"/>
  <c r="BO16" i="33" s="1"/>
  <c r="BO20" i="33" s="1"/>
  <c r="BO24" i="33" s="1"/>
  <c r="BO23" i="33" s="1"/>
  <c r="BN42" i="33"/>
  <c r="DS59" i="36"/>
  <c r="DS53" i="36"/>
  <c r="DS117" i="36"/>
  <c r="DS116" i="36" s="1"/>
  <c r="DS114" i="36" s="1"/>
  <c r="DS115" i="36" s="1"/>
  <c r="DU10" i="36"/>
  <c r="DT16" i="36"/>
  <c r="DU56" i="36"/>
  <c r="DR16" i="36"/>
  <c r="DS10" i="36"/>
  <c r="DS132" i="36" s="1"/>
  <c r="DS133" i="36" s="1"/>
  <c r="DS142" i="36" s="1"/>
  <c r="DS50" i="36"/>
  <c r="DS68" i="36"/>
  <c r="DR8" i="36"/>
  <c r="FA117" i="3"/>
  <c r="FA116" i="3" s="1"/>
  <c r="FA114" i="3" s="1"/>
  <c r="FA115" i="3" s="1"/>
  <c r="FB16" i="3"/>
  <c r="FB20" i="3" s="1"/>
  <c r="FB24" i="3" s="1"/>
  <c r="FB23" i="3" s="1"/>
  <c r="FC10" i="3"/>
  <c r="FC69" i="3" s="1"/>
  <c r="FB42" i="3"/>
  <c r="EZ16" i="3"/>
  <c r="EZ20" i="3" s="1"/>
  <c r="EZ24" i="3" s="1"/>
  <c r="EZ23" i="3" s="1"/>
  <c r="FA10" i="3"/>
  <c r="FA69" i="3" s="1"/>
  <c r="FA56" i="3"/>
  <c r="EZ62" i="3"/>
  <c r="EY49" i="3"/>
  <c r="EY10" i="3"/>
  <c r="EY16" i="3" s="1"/>
  <c r="EY20" i="3" s="1"/>
  <c r="EY24" i="3" s="1"/>
  <c r="EY23" i="3" s="1"/>
  <c r="EX16" i="3"/>
  <c r="EX20" i="3" s="1"/>
  <c r="EX24" i="3" s="1"/>
  <c r="EX23" i="3" s="1"/>
  <c r="EX62" i="3"/>
  <c r="EX42" i="3"/>
  <c r="EX41" i="3" s="1"/>
  <c r="CM53" i="14"/>
  <c r="CM50" i="14"/>
  <c r="CM68" i="14"/>
  <c r="CM63" i="14" s="1"/>
  <c r="CM74" i="14"/>
  <c r="CM108" i="14" s="1"/>
  <c r="CM109" i="14" s="1"/>
  <c r="CM76" i="14"/>
  <c r="CL62" i="14"/>
  <c r="CM69" i="14"/>
  <c r="CL8" i="14"/>
  <c r="FB62" i="3" l="1"/>
  <c r="CM111" i="14"/>
  <c r="CM112" i="14" s="1"/>
  <c r="FC68" i="3"/>
  <c r="FC53" i="3"/>
  <c r="FB41" i="3"/>
  <c r="FC16" i="3"/>
  <c r="FC20" i="3" s="1"/>
  <c r="FC24" i="3" s="1"/>
  <c r="FC23" i="3" s="1"/>
  <c r="FC49" i="3"/>
  <c r="BV8" i="38"/>
  <c r="BW56" i="38"/>
  <c r="BW53" i="38" s="1"/>
  <c r="BW74" i="38"/>
  <c r="BW76" i="38"/>
  <c r="BW129" i="38"/>
  <c r="BW130" i="38" s="1"/>
  <c r="BW16" i="38"/>
  <c r="BW20" i="38" s="1"/>
  <c r="BW24" i="38" s="1"/>
  <c r="BW23" i="38" s="1"/>
  <c r="BW132" i="38"/>
  <c r="BW133" i="38" s="1"/>
  <c r="BO76" i="33"/>
  <c r="BO74" i="33"/>
  <c r="BO69" i="33"/>
  <c r="BO132" i="33"/>
  <c r="BO126" i="33"/>
  <c r="BO129" i="33"/>
  <c r="DU50" i="36"/>
  <c r="DU68" i="36"/>
  <c r="DU54" i="36"/>
  <c r="DU76" i="36"/>
  <c r="DU74" i="36"/>
  <c r="DU129" i="36"/>
  <c r="DU130" i="36" s="1"/>
  <c r="DU69" i="36"/>
  <c r="DU126" i="36"/>
  <c r="DU127" i="36" s="1"/>
  <c r="DU53" i="36"/>
  <c r="DU132" i="36"/>
  <c r="DU133" i="36" s="1"/>
  <c r="DU142" i="36" s="1"/>
  <c r="DS126" i="36"/>
  <c r="DS127" i="36" s="1"/>
  <c r="DS76" i="36"/>
  <c r="DS74" i="36"/>
  <c r="DS69" i="36"/>
  <c r="DS129" i="36"/>
  <c r="DS130" i="36" s="1"/>
  <c r="DS54" i="36"/>
  <c r="FB45" i="3"/>
  <c r="FB44" i="3" s="1"/>
  <c r="FB43" i="3" s="1"/>
  <c r="FB49" i="3"/>
  <c r="FB48" i="3" s="1"/>
  <c r="FC48" i="3"/>
  <c r="FC45" i="3"/>
  <c r="FC44" i="3" s="1"/>
  <c r="FC132" i="3"/>
  <c r="FC133" i="3" s="1"/>
  <c r="FC141" i="3" s="1"/>
  <c r="FC129" i="3"/>
  <c r="FC130" i="3" s="1"/>
  <c r="FC76" i="3"/>
  <c r="FC74" i="3"/>
  <c r="FA50" i="3"/>
  <c r="FA54" i="3" s="1"/>
  <c r="FA132" i="3"/>
  <c r="FA133" i="3" s="1"/>
  <c r="FA141" i="3" s="1"/>
  <c r="FA129" i="3"/>
  <c r="FA130" i="3" s="1"/>
  <c r="FA16" i="3"/>
  <c r="FA20" i="3" s="1"/>
  <c r="FA24" i="3" s="1"/>
  <c r="FA23" i="3" s="1"/>
  <c r="FA76" i="3"/>
  <c r="FA74" i="3"/>
  <c r="FA53" i="3"/>
  <c r="EY129" i="3"/>
  <c r="EY130" i="3" s="1"/>
  <c r="EY132" i="3"/>
  <c r="EY133" i="3" s="1"/>
  <c r="EY141" i="3" s="1"/>
  <c r="EY76" i="3"/>
  <c r="EY74" i="3"/>
  <c r="EY69" i="3"/>
  <c r="EX49" i="3"/>
  <c r="EX48" i="3" s="1"/>
  <c r="EY48" i="3"/>
  <c r="EY45" i="3"/>
  <c r="EY44" i="3" s="1"/>
  <c r="EX45" i="3"/>
  <c r="EX44" i="3" s="1"/>
  <c r="EX43" i="3" s="1"/>
  <c r="CM78" i="14"/>
  <c r="CM75" i="14"/>
  <c r="CM71" i="14"/>
  <c r="CM80" i="14"/>
  <c r="CM54" i="14"/>
  <c r="CM49" i="14" s="1"/>
  <c r="BW50" i="38" l="1"/>
  <c r="BW71" i="38"/>
  <c r="BW75" i="38"/>
  <c r="BW80" i="38"/>
  <c r="BW108" i="38"/>
  <c r="BW109" i="38" s="1"/>
  <c r="BW111" i="38"/>
  <c r="BW112" i="38" s="1"/>
  <c r="BW54" i="38"/>
  <c r="BO80" i="33"/>
  <c r="BO75" i="33"/>
  <c r="BO71" i="33"/>
  <c r="DU80" i="36"/>
  <c r="DU78" i="36"/>
  <c r="DU149" i="36" s="1"/>
  <c r="DU152" i="36" s="1"/>
  <c r="DU154" i="36" s="1"/>
  <c r="DU75" i="36"/>
  <c r="DU71" i="36"/>
  <c r="DU108" i="36"/>
  <c r="DU109" i="36" s="1"/>
  <c r="DU111" i="36"/>
  <c r="DU112" i="36" s="1"/>
  <c r="DT41" i="36"/>
  <c r="DU41" i="36"/>
  <c r="DU49" i="36"/>
  <c r="DS41" i="36"/>
  <c r="DR41" i="36"/>
  <c r="DS49" i="36"/>
  <c r="DS80" i="36"/>
  <c r="DS78" i="36"/>
  <c r="DS149" i="36" s="1"/>
  <c r="DS152" i="36" s="1"/>
  <c r="DS154" i="36" s="1"/>
  <c r="DS75" i="36"/>
  <c r="DS108" i="36"/>
  <c r="DS109" i="36" s="1"/>
  <c r="DS111" i="36"/>
  <c r="DS112" i="36" s="1"/>
  <c r="FC71" i="3"/>
  <c r="FC111" i="3"/>
  <c r="FC112" i="3" s="1"/>
  <c r="FC80" i="3"/>
  <c r="FC108" i="3"/>
  <c r="FC109" i="3" s="1"/>
  <c r="FC75" i="3"/>
  <c r="FC43" i="3"/>
  <c r="FC47" i="3"/>
  <c r="FA111" i="3"/>
  <c r="FA112" i="3" s="1"/>
  <c r="FA80" i="3"/>
  <c r="FA108" i="3"/>
  <c r="FA109" i="3" s="1"/>
  <c r="FA75" i="3"/>
  <c r="FA71" i="3"/>
  <c r="FA41" i="3"/>
  <c r="EZ41" i="3"/>
  <c r="FA49" i="3"/>
  <c r="EY111" i="3"/>
  <c r="EY112" i="3" s="1"/>
  <c r="EY80" i="3"/>
  <c r="EY108" i="3"/>
  <c r="EY109" i="3" s="1"/>
  <c r="EY75" i="3"/>
  <c r="EY71" i="3"/>
  <c r="EY43" i="3"/>
  <c r="EY47" i="3"/>
  <c r="CL49" i="14"/>
  <c r="CL48" i="14" s="1"/>
  <c r="CM48" i="14"/>
  <c r="CM45" i="14"/>
  <c r="CL45" i="14"/>
  <c r="CM83" i="14"/>
  <c r="CM82" i="14"/>
  <c r="CM81" i="14"/>
  <c r="BW41" i="38" l="1"/>
  <c r="BV41" i="38"/>
  <c r="BW49" i="38"/>
  <c r="BW83" i="38"/>
  <c r="BW82" i="38"/>
  <c r="BW81" i="38"/>
  <c r="BO83" i="33"/>
  <c r="BO82" i="33"/>
  <c r="BO81" i="33"/>
  <c r="DT49" i="36"/>
  <c r="DT48" i="36" s="1"/>
  <c r="DU48" i="36"/>
  <c r="DU45" i="36"/>
  <c r="DU44" i="36" s="1"/>
  <c r="DT45" i="36"/>
  <c r="DT44" i="36" s="1"/>
  <c r="DT43" i="36" s="1"/>
  <c r="DU83" i="36"/>
  <c r="DU82" i="36"/>
  <c r="DU81" i="36"/>
  <c r="DS83" i="36"/>
  <c r="DS82" i="36"/>
  <c r="DS81" i="36"/>
  <c r="DR49" i="36"/>
  <c r="DR48" i="36" s="1"/>
  <c r="DS48" i="36"/>
  <c r="DS45" i="36"/>
  <c r="DS44" i="36" s="1"/>
  <c r="DR45" i="36"/>
  <c r="DR44" i="36" s="1"/>
  <c r="DR43" i="36" s="1"/>
  <c r="FC83" i="3"/>
  <c r="FC82" i="3"/>
  <c r="FC81" i="3"/>
  <c r="FA83" i="3"/>
  <c r="FA82" i="3"/>
  <c r="FA81" i="3"/>
  <c r="EZ49" i="3"/>
  <c r="EZ48" i="3" s="1"/>
  <c r="FA48" i="3"/>
  <c r="FA45" i="3"/>
  <c r="FA44" i="3" s="1"/>
  <c r="EZ45" i="3"/>
  <c r="EZ44" i="3" s="1"/>
  <c r="EZ43" i="3" s="1"/>
  <c r="EY83" i="3"/>
  <c r="EY82" i="3"/>
  <c r="EY81" i="3"/>
  <c r="CM84" i="14"/>
  <c r="CM86" i="14"/>
  <c r="BW86" i="38" l="1"/>
  <c r="BW84" i="38"/>
  <c r="BV45" i="38"/>
  <c r="BV44" i="38" s="1"/>
  <c r="BV43" i="38" s="1"/>
  <c r="BW48" i="38"/>
  <c r="BV49" i="38"/>
  <c r="BV48" i="38" s="1"/>
  <c r="BW45" i="38"/>
  <c r="BW44" i="38" s="1"/>
  <c r="BW43" i="38" s="1"/>
  <c r="BO86" i="33"/>
  <c r="BO84" i="33"/>
  <c r="DU86" i="36"/>
  <c r="DU84" i="36"/>
  <c r="DU47" i="36"/>
  <c r="DU43" i="36"/>
  <c r="DS47" i="36"/>
  <c r="DS43" i="36"/>
  <c r="DS86" i="36"/>
  <c r="DS84" i="36"/>
  <c r="FC86" i="3"/>
  <c r="FC84" i="3"/>
  <c r="FA43" i="3"/>
  <c r="FA47" i="3"/>
  <c r="FA86" i="3"/>
  <c r="FA84" i="3"/>
  <c r="EY84" i="3"/>
  <c r="EY86" i="3"/>
  <c r="CM87" i="14"/>
  <c r="CM89" i="14"/>
  <c r="BW89" i="38" l="1"/>
  <c r="BW87" i="38"/>
  <c r="BO87" i="33"/>
  <c r="BO89" i="33"/>
  <c r="DU89" i="36"/>
  <c r="DU87" i="36"/>
  <c r="DS89" i="36"/>
  <c r="DS87" i="36"/>
  <c r="FC89" i="3"/>
  <c r="FC87" i="3"/>
  <c r="FA89" i="3"/>
  <c r="FA87" i="3"/>
  <c r="EY89" i="3"/>
  <c r="EY87" i="3"/>
  <c r="CM93" i="14"/>
  <c r="CM90" i="14"/>
  <c r="BW93" i="38" l="1"/>
  <c r="BW90" i="38"/>
  <c r="BO90" i="33"/>
  <c r="BO93" i="33"/>
  <c r="DU93" i="36"/>
  <c r="DU90" i="36"/>
  <c r="DS93" i="36"/>
  <c r="DS90" i="36"/>
  <c r="FC93" i="3"/>
  <c r="FC90" i="3"/>
  <c r="FA93" i="3"/>
  <c r="FA90" i="3"/>
  <c r="EY93" i="3"/>
  <c r="EY90" i="3"/>
  <c r="CM98" i="14"/>
  <c r="CM94" i="14"/>
  <c r="BW98" i="38" l="1"/>
  <c r="BW94" i="38"/>
  <c r="BO94" i="33"/>
  <c r="DU98" i="36"/>
  <c r="DU94" i="36"/>
  <c r="DS94" i="36"/>
  <c r="DS98" i="36"/>
  <c r="FC98" i="3"/>
  <c r="FC94" i="3"/>
  <c r="FA98" i="3"/>
  <c r="FA94" i="3"/>
  <c r="EY98" i="3"/>
  <c r="EY94" i="3"/>
  <c r="CM144" i="14"/>
  <c r="CM99" i="14"/>
  <c r="CM124" i="14" s="1"/>
  <c r="BW143" i="38" l="1"/>
  <c r="BW99" i="38"/>
  <c r="DU144" i="36"/>
  <c r="DU99" i="36"/>
  <c r="DU124" i="36" s="1"/>
  <c r="DS99" i="36"/>
  <c r="DS124" i="36" s="1"/>
  <c r="DS144" i="36"/>
  <c r="FC143" i="3"/>
  <c r="FC99" i="3"/>
  <c r="FA99" i="3"/>
  <c r="FA143" i="3"/>
  <c r="EY143" i="3"/>
  <c r="EY99" i="3"/>
  <c r="BW26" i="34" l="1"/>
  <c r="BQ137" i="34"/>
  <c r="BQ135" i="34"/>
  <c r="BQ141" i="34" s="1"/>
  <c r="BQ131" i="34"/>
  <c r="BQ123" i="34"/>
  <c r="BQ122" i="34"/>
  <c r="BQ121" i="34"/>
  <c r="BQ120" i="34"/>
  <c r="BQ119" i="34"/>
  <c r="BQ106" i="34"/>
  <c r="BQ104" i="34"/>
  <c r="BQ105" i="34" s="1"/>
  <c r="BQ96" i="34"/>
  <c r="BQ67" i="34"/>
  <c r="BQ65" i="34"/>
  <c r="BQ59" i="34" s="1"/>
  <c r="BQ63" i="34"/>
  <c r="BQ52" i="34"/>
  <c r="BQ42" i="34"/>
  <c r="BP32" i="34"/>
  <c r="BP42" i="34" s="1"/>
  <c r="BQ31" i="34"/>
  <c r="BQ30" i="34"/>
  <c r="BQ29" i="34" s="1"/>
  <c r="BP26" i="34"/>
  <c r="BQ25" i="34"/>
  <c r="BP19" i="34"/>
  <c r="BQ15" i="34"/>
  <c r="BQ19" i="34" s="1"/>
  <c r="BP9" i="34"/>
  <c r="BP2" i="34"/>
  <c r="BP10" i="34" s="1"/>
  <c r="BM123" i="38"/>
  <c r="BM122" i="38"/>
  <c r="BM121" i="38"/>
  <c r="BM120" i="38"/>
  <c r="BM119" i="38"/>
  <c r="BM117" i="38"/>
  <c r="BM116" i="38" s="1"/>
  <c r="BM114" i="38" s="1"/>
  <c r="BM115" i="38" s="1"/>
  <c r="BM106" i="38"/>
  <c r="BM104" i="38"/>
  <c r="BM105" i="38" s="1"/>
  <c r="BM96" i="38"/>
  <c r="BM67" i="38"/>
  <c r="BM65" i="38"/>
  <c r="BM63" i="38"/>
  <c r="BM60" i="38" s="1"/>
  <c r="BM59" i="38"/>
  <c r="BM52" i="38"/>
  <c r="BM42" i="38"/>
  <c r="BL32" i="38"/>
  <c r="BL42" i="38" s="1"/>
  <c r="BM31" i="38"/>
  <c r="BL31" i="38"/>
  <c r="BM30" i="38"/>
  <c r="BM29" i="38" s="1"/>
  <c r="BL26" i="38"/>
  <c r="BL30" i="38" s="1"/>
  <c r="BL29" i="38" s="1"/>
  <c r="BM25" i="38"/>
  <c r="BL19" i="38"/>
  <c r="BM15" i="38"/>
  <c r="BM19" i="38" s="1"/>
  <c r="BL9" i="38"/>
  <c r="BL2" i="38"/>
  <c r="BL10" i="38" s="1"/>
  <c r="BK141" i="33"/>
  <c r="BK135" i="33"/>
  <c r="BK104" i="33"/>
  <c r="BK63" i="33"/>
  <c r="BK42" i="33"/>
  <c r="BJ32" i="33"/>
  <c r="BJ42" i="33" s="1"/>
  <c r="BK31" i="33"/>
  <c r="BJ31" i="33"/>
  <c r="BJ30" i="33"/>
  <c r="BJ29" i="33" s="1"/>
  <c r="BK26" i="33"/>
  <c r="BK30" i="33" s="1"/>
  <c r="BK29" i="33" s="1"/>
  <c r="BJ25" i="33"/>
  <c r="BJ19" i="33"/>
  <c r="BK15" i="33"/>
  <c r="BK19" i="33" s="1"/>
  <c r="BJ9" i="33"/>
  <c r="BJ2" i="33"/>
  <c r="BJ10" i="33" s="1"/>
  <c r="BW153" i="36"/>
  <c r="BW151" i="36"/>
  <c r="BW150" i="36"/>
  <c r="BW138" i="36"/>
  <c r="BW135" i="36"/>
  <c r="BW141" i="36" s="1"/>
  <c r="BW131" i="36"/>
  <c r="BW123" i="36"/>
  <c r="BW122" i="36"/>
  <c r="BW121" i="36"/>
  <c r="BW120" i="36"/>
  <c r="BW119" i="36"/>
  <c r="BW106" i="36"/>
  <c r="BW100" i="36"/>
  <c r="BW104" i="36" s="1"/>
  <c r="BW105" i="36" s="1"/>
  <c r="BW96" i="36"/>
  <c r="BW65" i="36"/>
  <c r="BW59" i="36" s="1"/>
  <c r="BW57" i="36"/>
  <c r="BV9" i="36" s="1"/>
  <c r="BW52" i="36"/>
  <c r="BW42" i="36"/>
  <c r="BV32" i="36"/>
  <c r="BV42" i="36" s="1"/>
  <c r="BW31" i="36"/>
  <c r="BV31" i="36"/>
  <c r="BW30" i="36"/>
  <c r="BW29" i="36" s="1"/>
  <c r="BW25" i="36"/>
  <c r="BW24" i="36"/>
  <c r="BW23" i="36" s="1"/>
  <c r="BV20" i="36"/>
  <c r="BV19" i="36"/>
  <c r="BW15" i="36"/>
  <c r="BW19" i="36" s="1"/>
  <c r="BV2" i="36"/>
  <c r="BV10" i="36" s="1"/>
  <c r="CD181" i="15"/>
  <c r="CE137" i="15"/>
  <c r="CE135" i="15"/>
  <c r="CE141" i="15" s="1"/>
  <c r="CE131" i="15"/>
  <c r="CE123" i="15"/>
  <c r="CE122" i="15"/>
  <c r="CE121" i="15"/>
  <c r="CE120" i="15"/>
  <c r="CE119" i="15"/>
  <c r="CE106" i="15"/>
  <c r="CE104" i="15"/>
  <c r="CE105" i="15" s="1"/>
  <c r="CE65" i="15"/>
  <c r="CE59" i="15" s="1"/>
  <c r="CE57" i="15"/>
  <c r="CD9" i="15" s="1"/>
  <c r="CE52" i="15"/>
  <c r="CE42" i="15"/>
  <c r="CD32" i="15"/>
  <c r="CD31" i="15" s="1"/>
  <c r="CE31" i="15"/>
  <c r="CE30" i="15"/>
  <c r="CE29" i="15" s="1"/>
  <c r="CD26" i="15"/>
  <c r="CD25" i="15" s="1"/>
  <c r="CE25" i="15"/>
  <c r="CE20" i="15"/>
  <c r="CE24" i="15" s="1"/>
  <c r="CE23" i="15" s="1"/>
  <c r="CD19" i="15"/>
  <c r="CD16" i="15"/>
  <c r="CD20" i="15" s="1"/>
  <c r="CE15" i="15"/>
  <c r="CE19" i="15" s="1"/>
  <c r="CD2" i="15"/>
  <c r="CD10" i="15" s="1"/>
  <c r="CE10" i="15" s="1"/>
  <c r="CE74" i="15" s="1"/>
  <c r="EK140" i="3"/>
  <c r="EK137" i="3"/>
  <c r="EK123" i="3"/>
  <c r="EK122" i="3"/>
  <c r="EK121" i="3"/>
  <c r="EK120" i="3"/>
  <c r="EK119" i="3"/>
  <c r="EK106" i="3"/>
  <c r="EK100" i="3"/>
  <c r="EK104" i="3" s="1"/>
  <c r="EK105" i="3" s="1"/>
  <c r="EK96" i="3"/>
  <c r="EK67" i="3"/>
  <c r="EK65" i="3"/>
  <c r="EK63" i="3"/>
  <c r="EK52" i="3"/>
  <c r="EK42" i="3"/>
  <c r="EJ32" i="3"/>
  <c r="EJ31" i="3" s="1"/>
  <c r="EK31" i="3"/>
  <c r="EK30" i="3"/>
  <c r="EK29" i="3" s="1"/>
  <c r="EJ26" i="3"/>
  <c r="EJ30" i="3" s="1"/>
  <c r="EJ29" i="3" s="1"/>
  <c r="EK25" i="3"/>
  <c r="EJ25" i="3"/>
  <c r="EJ19" i="3"/>
  <c r="EK15" i="3"/>
  <c r="EK19" i="3" s="1"/>
  <c r="EJ9" i="3"/>
  <c r="EJ2" i="3"/>
  <c r="EJ10" i="3" s="1"/>
  <c r="CE135" i="14"/>
  <c r="CE141" i="14" s="1"/>
  <c r="CE131" i="14"/>
  <c r="CE123" i="14"/>
  <c r="CE122" i="14"/>
  <c r="CE121" i="14"/>
  <c r="CE120" i="14"/>
  <c r="CE119" i="14"/>
  <c r="CE106" i="14"/>
  <c r="CE104" i="14"/>
  <c r="CE105" i="14" s="1"/>
  <c r="CE67" i="14"/>
  <c r="CE59" i="14" s="1"/>
  <c r="CE65" i="14"/>
  <c r="CE57" i="14"/>
  <c r="CD9" i="14" s="1"/>
  <c r="CE52" i="14"/>
  <c r="CD19" i="14"/>
  <c r="CE15" i="14"/>
  <c r="CE19" i="14" s="1"/>
  <c r="CD2" i="14"/>
  <c r="CD10" i="14" s="1"/>
  <c r="CE10" i="14" s="1"/>
  <c r="CE74" i="14" s="1"/>
  <c r="CE71" i="14" s="1"/>
  <c r="CE153" i="13"/>
  <c r="CE151" i="13"/>
  <c r="CE150" i="13"/>
  <c r="CE138" i="13"/>
  <c r="CE135" i="13"/>
  <c r="CE141" i="13" s="1"/>
  <c r="CE131" i="13"/>
  <c r="CE123" i="13"/>
  <c r="CE122" i="13"/>
  <c r="CE121" i="13"/>
  <c r="CE120" i="13"/>
  <c r="CE119" i="13"/>
  <c r="CE106" i="13"/>
  <c r="CE100" i="13"/>
  <c r="CE104" i="13" s="1"/>
  <c r="CE105" i="13" s="1"/>
  <c r="CE67" i="13"/>
  <c r="CE65" i="13"/>
  <c r="CE59" i="13" s="1"/>
  <c r="CE57" i="13"/>
  <c r="CD9" i="13" s="1"/>
  <c r="CE52" i="13"/>
  <c r="CE42" i="13"/>
  <c r="CE39" i="13"/>
  <c r="CD32" i="13"/>
  <c r="CD42" i="13" s="1"/>
  <c r="CE31" i="13"/>
  <c r="CD19" i="13"/>
  <c r="CE15" i="13"/>
  <c r="CE19" i="13" s="1"/>
  <c r="CD2" i="13"/>
  <c r="CD10" i="13" s="1"/>
  <c r="CE10" i="13" s="1"/>
  <c r="CE74" i="13" s="1"/>
  <c r="CE71" i="13" s="1"/>
  <c r="BO137" i="34"/>
  <c r="BO135" i="34"/>
  <c r="BO141" i="34" s="1"/>
  <c r="BO131" i="34"/>
  <c r="BO123" i="34"/>
  <c r="BO122" i="34"/>
  <c r="BO121" i="34"/>
  <c r="BO120" i="34"/>
  <c r="BO119" i="34"/>
  <c r="BO106" i="34"/>
  <c r="BO104" i="34"/>
  <c r="BO105" i="34" s="1"/>
  <c r="BO67" i="34"/>
  <c r="BO65" i="34"/>
  <c r="BO63" i="34"/>
  <c r="BO52" i="34"/>
  <c r="BO42" i="34"/>
  <c r="BN32" i="34"/>
  <c r="BN31" i="34" s="1"/>
  <c r="BO31" i="34"/>
  <c r="BO30" i="34"/>
  <c r="BO29" i="34"/>
  <c r="BN26" i="34"/>
  <c r="BO25" i="34"/>
  <c r="BN19" i="34"/>
  <c r="BO15" i="34"/>
  <c r="BO19" i="34" s="1"/>
  <c r="BN9" i="34"/>
  <c r="BN2" i="34"/>
  <c r="BN10" i="34" s="1"/>
  <c r="BN30" i="34" l="1"/>
  <c r="BN29" i="34" s="1"/>
  <c r="CE60" i="13"/>
  <c r="CD8" i="13" s="1"/>
  <c r="CD31" i="13"/>
  <c r="BQ117" i="34"/>
  <c r="BQ116" i="34" s="1"/>
  <c r="BQ114" i="34" s="1"/>
  <c r="BQ115" i="34" s="1"/>
  <c r="BO60" i="34"/>
  <c r="BN62" i="34" s="1"/>
  <c r="BN25" i="34"/>
  <c r="BW60" i="36"/>
  <c r="BW56" i="36" s="1"/>
  <c r="BW53" i="36" s="1"/>
  <c r="EK60" i="3"/>
  <c r="CE60" i="15"/>
  <c r="CE56" i="15" s="1"/>
  <c r="CE50" i="15" s="1"/>
  <c r="CE117" i="15"/>
  <c r="CE116" i="15" s="1"/>
  <c r="CE114" i="15" s="1"/>
  <c r="CE115" i="15" s="1"/>
  <c r="CE96" i="15"/>
  <c r="CD24" i="15"/>
  <c r="CD23" i="15" s="1"/>
  <c r="CE117" i="14"/>
  <c r="CE116" i="14" s="1"/>
  <c r="CE114" i="14" s="1"/>
  <c r="CE115" i="14" s="1"/>
  <c r="CE96" i="13"/>
  <c r="CE60" i="14"/>
  <c r="CE56" i="14" s="1"/>
  <c r="CE50" i="14" s="1"/>
  <c r="CE96" i="14"/>
  <c r="EK68" i="3"/>
  <c r="EJ8" i="3"/>
  <c r="EK117" i="3"/>
  <c r="EK116" i="3" s="1"/>
  <c r="EK114" i="3" s="1"/>
  <c r="EK115" i="3" s="1"/>
  <c r="EK59" i="3"/>
  <c r="BP31" i="34"/>
  <c r="BO96" i="34"/>
  <c r="BL25" i="38"/>
  <c r="BK25" i="33"/>
  <c r="CE53" i="14"/>
  <c r="CE80" i="14"/>
  <c r="CE81" i="14" s="1"/>
  <c r="CE111" i="14"/>
  <c r="CE112" i="14" s="1"/>
  <c r="CE80" i="15"/>
  <c r="CE83" i="15" s="1"/>
  <c r="CE86" i="15" s="1"/>
  <c r="CE78" i="15"/>
  <c r="CE108" i="15"/>
  <c r="CE109" i="15" s="1"/>
  <c r="CE71" i="15"/>
  <c r="CE75" i="13"/>
  <c r="CE78" i="13"/>
  <c r="CE149" i="13" s="1"/>
  <c r="CE152" i="13" s="1"/>
  <c r="CE154" i="13" s="1"/>
  <c r="BP30" i="34"/>
  <c r="BP29" i="34" s="1"/>
  <c r="BQ60" i="34"/>
  <c r="BQ56" i="34" s="1"/>
  <c r="BP16" i="34"/>
  <c r="BP20" i="34" s="1"/>
  <c r="BP24" i="34" s="1"/>
  <c r="BP23" i="34" s="1"/>
  <c r="BQ10" i="34"/>
  <c r="BQ132" i="34" s="1"/>
  <c r="BQ133" i="34" s="1"/>
  <c r="BP25" i="34"/>
  <c r="BO59" i="34"/>
  <c r="BO117" i="34"/>
  <c r="BO116" i="34" s="1"/>
  <c r="BO114" i="34" s="1"/>
  <c r="BO115" i="34" s="1"/>
  <c r="BL16" i="38"/>
  <c r="BL20" i="38" s="1"/>
  <c r="BL24" i="38" s="1"/>
  <c r="BL23" i="38" s="1"/>
  <c r="BM10" i="38"/>
  <c r="BL62" i="38"/>
  <c r="BM68" i="38"/>
  <c r="BL8" i="38"/>
  <c r="BM56" i="38"/>
  <c r="BJ16" i="33"/>
  <c r="BJ20" i="33" s="1"/>
  <c r="BJ24" i="33" s="1"/>
  <c r="BJ23" i="33" s="1"/>
  <c r="BK10" i="33"/>
  <c r="BK74" i="33" s="1"/>
  <c r="BW117" i="36"/>
  <c r="BW116" i="36" s="1"/>
  <c r="BW114" i="36" s="1"/>
  <c r="BW115" i="36" s="1"/>
  <c r="BW50" i="36"/>
  <c r="BW54" i="36" s="1"/>
  <c r="BV41" i="36" s="1"/>
  <c r="BW68" i="36"/>
  <c r="BV16" i="36"/>
  <c r="BW10" i="36"/>
  <c r="BW74" i="36" s="1"/>
  <c r="BW108" i="36" s="1"/>
  <c r="BW109" i="36" s="1"/>
  <c r="BW63" i="36"/>
  <c r="BV8" i="36"/>
  <c r="CE132" i="15"/>
  <c r="CE133" i="15" s="1"/>
  <c r="CE142" i="15" s="1"/>
  <c r="CE76" i="15"/>
  <c r="CE75" i="15"/>
  <c r="CE129" i="15"/>
  <c r="CE130" i="15" s="1"/>
  <c r="CE69" i="15"/>
  <c r="CE126" i="15"/>
  <c r="CE127" i="15" s="1"/>
  <c r="CD42" i="15"/>
  <c r="CD30" i="15"/>
  <c r="CD29" i="15" s="1"/>
  <c r="EK10" i="3"/>
  <c r="EJ16" i="3"/>
  <c r="EJ20" i="3" s="1"/>
  <c r="EJ24" i="3" s="1"/>
  <c r="EJ23" i="3" s="1"/>
  <c r="EK56" i="3"/>
  <c r="EJ62" i="3"/>
  <c r="EJ42" i="3"/>
  <c r="CE75" i="14"/>
  <c r="CE76" i="14"/>
  <c r="CE54" i="14"/>
  <c r="CE49" i="14" s="1"/>
  <c r="CE132" i="14"/>
  <c r="CE133" i="14" s="1"/>
  <c r="CE142" i="14" s="1"/>
  <c r="CE68" i="14"/>
  <c r="CE63" i="14" s="1"/>
  <c r="CE69" i="14"/>
  <c r="CD62" i="14"/>
  <c r="CE108" i="14"/>
  <c r="CE109" i="14" s="1"/>
  <c r="CD8" i="14"/>
  <c r="CE78" i="14"/>
  <c r="CE117" i="13"/>
  <c r="CE116" i="13" s="1"/>
  <c r="CE114" i="13" s="1"/>
  <c r="CE115" i="13" s="1"/>
  <c r="CE129" i="13"/>
  <c r="CE130" i="13" s="1"/>
  <c r="CE126" i="13"/>
  <c r="CE127" i="13" s="1"/>
  <c r="CE76" i="13"/>
  <c r="CE132" i="13"/>
  <c r="CE133" i="13" s="1"/>
  <c r="CE142" i="13" s="1"/>
  <c r="CE108" i="13"/>
  <c r="CE109" i="13" s="1"/>
  <c r="CE69" i="13"/>
  <c r="CE111" i="13"/>
  <c r="CE112" i="13" s="1"/>
  <c r="CE80" i="13"/>
  <c r="CE56" i="13"/>
  <c r="BN16" i="34"/>
  <c r="BN20" i="34" s="1"/>
  <c r="BN24" i="34" s="1"/>
  <c r="BN23" i="34" s="1"/>
  <c r="BO10" i="34"/>
  <c r="BN42" i="34"/>
  <c r="CE111" i="15" l="1"/>
  <c r="CE112" i="15" s="1"/>
  <c r="CE68" i="15"/>
  <c r="CE54" i="15"/>
  <c r="CE41" i="15" s="1"/>
  <c r="CE49" i="15"/>
  <c r="CD49" i="15" s="1"/>
  <c r="CD48" i="15" s="1"/>
  <c r="CE82" i="15"/>
  <c r="CE81" i="15"/>
  <c r="CE53" i="15"/>
  <c r="CD8" i="15"/>
  <c r="BN8" i="34"/>
  <c r="BO56" i="34"/>
  <c r="BO53" i="34" s="1"/>
  <c r="CD41" i="15"/>
  <c r="CE83" i="14"/>
  <c r="CE82" i="14"/>
  <c r="EK74" i="3"/>
  <c r="EK75" i="3" s="1"/>
  <c r="EK76" i="3"/>
  <c r="CE84" i="15"/>
  <c r="BW111" i="36"/>
  <c r="BW112" i="36" s="1"/>
  <c r="BW132" i="36"/>
  <c r="BW133" i="36" s="1"/>
  <c r="BW142" i="36" s="1"/>
  <c r="BW80" i="36"/>
  <c r="BW78" i="36"/>
  <c r="BW149" i="36" s="1"/>
  <c r="BW152" i="36" s="1"/>
  <c r="BW154" i="36" s="1"/>
  <c r="BW71" i="36"/>
  <c r="BQ69" i="34"/>
  <c r="BQ74" i="34"/>
  <c r="BQ108" i="34" s="1"/>
  <c r="BQ109" i="34" s="1"/>
  <c r="BO16" i="34"/>
  <c r="BO20" i="34" s="1"/>
  <c r="BO24" i="34" s="1"/>
  <c r="BO23" i="34" s="1"/>
  <c r="BO74" i="34"/>
  <c r="BO75" i="34" s="1"/>
  <c r="BM69" i="38"/>
  <c r="BM74" i="38"/>
  <c r="BM75" i="38" s="1"/>
  <c r="BM76" i="38" s="1"/>
  <c r="BK80" i="33"/>
  <c r="BK71" i="33"/>
  <c r="BO132" i="34"/>
  <c r="BO133" i="34" s="1"/>
  <c r="BP62" i="34"/>
  <c r="BP8" i="34"/>
  <c r="BQ68" i="34"/>
  <c r="BQ50" i="34"/>
  <c r="BQ54" i="34" s="1"/>
  <c r="BQ53" i="34"/>
  <c r="BO69" i="34"/>
  <c r="BQ76" i="34"/>
  <c r="BQ129" i="34"/>
  <c r="BQ130" i="34" s="1"/>
  <c r="BQ142" i="34" s="1"/>
  <c r="BQ16" i="34"/>
  <c r="BQ20" i="34" s="1"/>
  <c r="BQ24" i="34" s="1"/>
  <c r="BQ23" i="34" s="1"/>
  <c r="BM50" i="38"/>
  <c r="BM53" i="38"/>
  <c r="BM16" i="38"/>
  <c r="BM20" i="38" s="1"/>
  <c r="BM24" i="38" s="1"/>
  <c r="BM23" i="38" s="1"/>
  <c r="BM132" i="38"/>
  <c r="BM133" i="38" s="1"/>
  <c r="BM129" i="38"/>
  <c r="BM130" i="38" s="1"/>
  <c r="BK129" i="33"/>
  <c r="BK16" i="33"/>
  <c r="BK20" i="33" s="1"/>
  <c r="BK24" i="33" s="1"/>
  <c r="BK23" i="33" s="1"/>
  <c r="BK75" i="33"/>
  <c r="BK69" i="33"/>
  <c r="BK132" i="33"/>
  <c r="BK76" i="33"/>
  <c r="BK126" i="33"/>
  <c r="BW41" i="36"/>
  <c r="BW69" i="36"/>
  <c r="BW129" i="36"/>
  <c r="BW130" i="36" s="1"/>
  <c r="BW75" i="36"/>
  <c r="BW76" i="36" s="1"/>
  <c r="BW126" i="36"/>
  <c r="BW127" i="36" s="1"/>
  <c r="BW49" i="36"/>
  <c r="CE48" i="15"/>
  <c r="CE45" i="15"/>
  <c r="CE44" i="15" s="1"/>
  <c r="CE43" i="15" s="1"/>
  <c r="CD45" i="15"/>
  <c r="CD44" i="15" s="1"/>
  <c r="CD43" i="15" s="1"/>
  <c r="CE89" i="15"/>
  <c r="CE87" i="15"/>
  <c r="EK50" i="3"/>
  <c r="EK54" i="3" s="1"/>
  <c r="EK16" i="3"/>
  <c r="EK20" i="3" s="1"/>
  <c r="EK24" i="3" s="1"/>
  <c r="EK23" i="3" s="1"/>
  <c r="EK132" i="3"/>
  <c r="EK133" i="3" s="1"/>
  <c r="EK141" i="3" s="1"/>
  <c r="EK129" i="3"/>
  <c r="EK130" i="3" s="1"/>
  <c r="EK69" i="3"/>
  <c r="EK53" i="3"/>
  <c r="CD49" i="14"/>
  <c r="CD48" i="14" s="1"/>
  <c r="CE45" i="14"/>
  <c r="CE48" i="14"/>
  <c r="CD45" i="14"/>
  <c r="CE86" i="14"/>
  <c r="CE84" i="14"/>
  <c r="CE83" i="13"/>
  <c r="CE82" i="13"/>
  <c r="CE81" i="13"/>
  <c r="CE50" i="13"/>
  <c r="CE54" i="13" s="1"/>
  <c r="CE68" i="13"/>
  <c r="CE53" i="13"/>
  <c r="BO129" i="34"/>
  <c r="BO130" i="34" s="1"/>
  <c r="BO142" i="34" s="1"/>
  <c r="BO76" i="34"/>
  <c r="BO50" i="34" l="1"/>
  <c r="BO68" i="34"/>
  <c r="BQ75" i="34"/>
  <c r="BQ111" i="34"/>
  <c r="BQ112" i="34" s="1"/>
  <c r="EK41" i="3"/>
  <c r="EJ41" i="3"/>
  <c r="EK80" i="3"/>
  <c r="EK111" i="3"/>
  <c r="EK112" i="3" s="1"/>
  <c r="EK108" i="3"/>
  <c r="EK109" i="3" s="1"/>
  <c r="EK71" i="3"/>
  <c r="BW83" i="36"/>
  <c r="BW81" i="36"/>
  <c r="BW82" i="36"/>
  <c r="BO71" i="34"/>
  <c r="BO108" i="34"/>
  <c r="BO109" i="34" s="1"/>
  <c r="BO111" i="34"/>
  <c r="BO112" i="34" s="1"/>
  <c r="BO80" i="34"/>
  <c r="BQ71" i="34"/>
  <c r="BQ80" i="34"/>
  <c r="BM80" i="38"/>
  <c r="BM111" i="38"/>
  <c r="BM112" i="38" s="1"/>
  <c r="BM108" i="38"/>
  <c r="BM109" i="38" s="1"/>
  <c r="BM71" i="38"/>
  <c r="BK82" i="33"/>
  <c r="BK81" i="33"/>
  <c r="BK83" i="33"/>
  <c r="BO54" i="34"/>
  <c r="BO49" i="34" s="1"/>
  <c r="BQ41" i="34"/>
  <c r="BP41" i="34"/>
  <c r="BQ49" i="34"/>
  <c r="BM54" i="38"/>
  <c r="BV45" i="36"/>
  <c r="BV44" i="36" s="1"/>
  <c r="BV43" i="36" s="1"/>
  <c r="BW48" i="36"/>
  <c r="BW45" i="36"/>
  <c r="BW44" i="36" s="1"/>
  <c r="BV49" i="36"/>
  <c r="BV48" i="36" s="1"/>
  <c r="CE93" i="15"/>
  <c r="CE90" i="15"/>
  <c r="EK49" i="3"/>
  <c r="CE89" i="14"/>
  <c r="CE87" i="14"/>
  <c r="CD41" i="13"/>
  <c r="CE41" i="13"/>
  <c r="CE49" i="13"/>
  <c r="CE86" i="13"/>
  <c r="CE84" i="13"/>
  <c r="EK82" i="3" l="1"/>
  <c r="EK83" i="3"/>
  <c r="EK81" i="3"/>
  <c r="BW86" i="36"/>
  <c r="BW84" i="36"/>
  <c r="BQ83" i="34"/>
  <c r="BQ82" i="34"/>
  <c r="BQ81" i="34"/>
  <c r="BO83" i="34"/>
  <c r="BO82" i="34"/>
  <c r="BO81" i="34"/>
  <c r="BM82" i="38"/>
  <c r="BM83" i="38"/>
  <c r="BM81" i="38"/>
  <c r="BK84" i="33"/>
  <c r="BK86" i="33"/>
  <c r="BP49" i="34"/>
  <c r="BP48" i="34" s="1"/>
  <c r="BQ48" i="34"/>
  <c r="BQ45" i="34"/>
  <c r="BQ44" i="34" s="1"/>
  <c r="BQ43" i="34" s="1"/>
  <c r="BP45" i="34"/>
  <c r="BP44" i="34" s="1"/>
  <c r="BP43" i="34" s="1"/>
  <c r="BN49" i="34"/>
  <c r="BN48" i="34" s="1"/>
  <c r="BN45" i="34"/>
  <c r="BO48" i="34"/>
  <c r="BO45" i="34"/>
  <c r="BO41" i="34"/>
  <c r="BN41" i="34"/>
  <c r="BM41" i="38"/>
  <c r="BL41" i="38"/>
  <c r="BM49" i="38"/>
  <c r="BW43" i="36"/>
  <c r="BW47" i="36"/>
  <c r="CE98" i="15"/>
  <c r="CE94" i="15"/>
  <c r="EJ49" i="3"/>
  <c r="EJ48" i="3" s="1"/>
  <c r="EK48" i="3"/>
  <c r="EK45" i="3"/>
  <c r="EK44" i="3" s="1"/>
  <c r="EJ45" i="3"/>
  <c r="EJ44" i="3" s="1"/>
  <c r="EJ43" i="3" s="1"/>
  <c r="CE90" i="14"/>
  <c r="CE93" i="14"/>
  <c r="CE89" i="13"/>
  <c r="CE87" i="13"/>
  <c r="CE45" i="13"/>
  <c r="CE44" i="13" s="1"/>
  <c r="CD45" i="13"/>
  <c r="CD44" i="13" s="1"/>
  <c r="CD43" i="13" s="1"/>
  <c r="CD49" i="13"/>
  <c r="CD48" i="13" s="1"/>
  <c r="CE48" i="13"/>
  <c r="EK86" i="3" l="1"/>
  <c r="EK84" i="3"/>
  <c r="BW89" i="36"/>
  <c r="BW87" i="36"/>
  <c r="BO84" i="34"/>
  <c r="BO86" i="34"/>
  <c r="BQ84" i="34"/>
  <c r="BQ86" i="34"/>
  <c r="BM84" i="38"/>
  <c r="BM86" i="38"/>
  <c r="BK89" i="33"/>
  <c r="BK87" i="33"/>
  <c r="BO44" i="34"/>
  <c r="BO43" i="34" s="1"/>
  <c r="BN44" i="34"/>
  <c r="BN43" i="34" s="1"/>
  <c r="BM45" i="38"/>
  <c r="BM44" i="38" s="1"/>
  <c r="BM43" i="38" s="1"/>
  <c r="BL49" i="38"/>
  <c r="BL48" i="38" s="1"/>
  <c r="BM48" i="38"/>
  <c r="BL45" i="38"/>
  <c r="BL44" i="38" s="1"/>
  <c r="BL43" i="38" s="1"/>
  <c r="CE99" i="15"/>
  <c r="CE124" i="15" s="1"/>
  <c r="CE144" i="15"/>
  <c r="EK47" i="3"/>
  <c r="EK43" i="3"/>
  <c r="CE98" i="14"/>
  <c r="CE94" i="14"/>
  <c r="CE43" i="13"/>
  <c r="CE47" i="13"/>
  <c r="CE90" i="13"/>
  <c r="CE93" i="13"/>
  <c r="EK89" i="3" l="1"/>
  <c r="EK87" i="3"/>
  <c r="BW90" i="36"/>
  <c r="BW93" i="36"/>
  <c r="BQ87" i="34"/>
  <c r="BQ89" i="34"/>
  <c r="BO87" i="34"/>
  <c r="BO89" i="34"/>
  <c r="BM89" i="38"/>
  <c r="BM87" i="38"/>
  <c r="BK93" i="33"/>
  <c r="BK90" i="33"/>
  <c r="CE144" i="14"/>
  <c r="CE99" i="14"/>
  <c r="CE124" i="14" s="1"/>
  <c r="CE94" i="13"/>
  <c r="CE98" i="13"/>
  <c r="BI135" i="33"/>
  <c r="BI141" i="33" s="1"/>
  <c r="BI104" i="33"/>
  <c r="BI63" i="33"/>
  <c r="BI42" i="33"/>
  <c r="BH32" i="33"/>
  <c r="BH30" i="33" s="1"/>
  <c r="BH29" i="33" s="1"/>
  <c r="BI31" i="33"/>
  <c r="BH31" i="33"/>
  <c r="BI26" i="33"/>
  <c r="BI30" i="33" s="1"/>
  <c r="BI29" i="33" s="1"/>
  <c r="BI25" i="33"/>
  <c r="BH25" i="33"/>
  <c r="BH19" i="33"/>
  <c r="BI15" i="33"/>
  <c r="BI19" i="33" s="1"/>
  <c r="BH9" i="33"/>
  <c r="BH2" i="33"/>
  <c r="BH10" i="33" s="1"/>
  <c r="BU153" i="36"/>
  <c r="BU151" i="36"/>
  <c r="BU150" i="36"/>
  <c r="BU138" i="36"/>
  <c r="BU135" i="36"/>
  <c r="BU141" i="36" s="1"/>
  <c r="BU131" i="36"/>
  <c r="BU123" i="36"/>
  <c r="BU122" i="36"/>
  <c r="BU121" i="36"/>
  <c r="BU120" i="36"/>
  <c r="BU119" i="36"/>
  <c r="BU106" i="36"/>
  <c r="BU100" i="36"/>
  <c r="BU104" i="36" s="1"/>
  <c r="BU105" i="36" s="1"/>
  <c r="BU65" i="36"/>
  <c r="BU59" i="36" s="1"/>
  <c r="BU57" i="36"/>
  <c r="BU63" i="36" s="1"/>
  <c r="BU52" i="36"/>
  <c r="BU42" i="36"/>
  <c r="BT32" i="36"/>
  <c r="BT42" i="36" s="1"/>
  <c r="BU31" i="36"/>
  <c r="BT31" i="36"/>
  <c r="BU30" i="36"/>
  <c r="BU29" i="36" s="1"/>
  <c r="BU25" i="36"/>
  <c r="BU24" i="36"/>
  <c r="BU23" i="36"/>
  <c r="BT20" i="36"/>
  <c r="BT19" i="36"/>
  <c r="BU15" i="36"/>
  <c r="BU19" i="36" s="1"/>
  <c r="BT2" i="36"/>
  <c r="BT10" i="36" s="1"/>
  <c r="EH140" i="3"/>
  <c r="EH137" i="3"/>
  <c r="EH123" i="3"/>
  <c r="EH122" i="3"/>
  <c r="EH121" i="3"/>
  <c r="EH120" i="3"/>
  <c r="EH119" i="3"/>
  <c r="EH106" i="3"/>
  <c r="EH100" i="3"/>
  <c r="EH104" i="3" s="1"/>
  <c r="EH105" i="3" s="1"/>
  <c r="EH96" i="3"/>
  <c r="EH67" i="3"/>
  <c r="EH65" i="3"/>
  <c r="EH63" i="3"/>
  <c r="EH52" i="3"/>
  <c r="EH42" i="3"/>
  <c r="EG32" i="3"/>
  <c r="EG31" i="3" s="1"/>
  <c r="EH31" i="3"/>
  <c r="EH30" i="3"/>
  <c r="EH29" i="3" s="1"/>
  <c r="EG26" i="3"/>
  <c r="EH25" i="3"/>
  <c r="EG25" i="3" s="1"/>
  <c r="EG19" i="3"/>
  <c r="EH15" i="3"/>
  <c r="EH19" i="3" s="1"/>
  <c r="EG9" i="3"/>
  <c r="EG2" i="3"/>
  <c r="EG10" i="3" s="1"/>
  <c r="CC135" i="14"/>
  <c r="CC141" i="14" s="1"/>
  <c r="CC131" i="14"/>
  <c r="CC123" i="14"/>
  <c r="CC122" i="14"/>
  <c r="CC121" i="14"/>
  <c r="CC120" i="14"/>
  <c r="CC119" i="14"/>
  <c r="CC117" i="14" s="1"/>
  <c r="CC116" i="14" s="1"/>
  <c r="CC114" i="14" s="1"/>
  <c r="CC115" i="14" s="1"/>
  <c r="CC106" i="14"/>
  <c r="CC104" i="14"/>
  <c r="CC105" i="14" s="1"/>
  <c r="CC67" i="14"/>
  <c r="CB72" i="14" s="1"/>
  <c r="CC65" i="14"/>
  <c r="CC57" i="14"/>
  <c r="CB9" i="14" s="1"/>
  <c r="CC52" i="14"/>
  <c r="CB19" i="14"/>
  <c r="CC15" i="14"/>
  <c r="CC19" i="14" s="1"/>
  <c r="CB2" i="14"/>
  <c r="CB10" i="14" s="1"/>
  <c r="CC10" i="14" s="1"/>
  <c r="CC74" i="14" s="1"/>
  <c r="CC78" i="14" s="1"/>
  <c r="CC153" i="13"/>
  <c r="CC151" i="13"/>
  <c r="CC150" i="13"/>
  <c r="CC138" i="13"/>
  <c r="CC135" i="13"/>
  <c r="CC141" i="13" s="1"/>
  <c r="CC131" i="13"/>
  <c r="CC123" i="13"/>
  <c r="CC122" i="13"/>
  <c r="CC121" i="13"/>
  <c r="CC120" i="13"/>
  <c r="CC119" i="13"/>
  <c r="CC106" i="13"/>
  <c r="CC100" i="13"/>
  <c r="CC104" i="13" s="1"/>
  <c r="CC105" i="13" s="1"/>
  <c r="CC96" i="13"/>
  <c r="CC67" i="13"/>
  <c r="CB72" i="13" s="1"/>
  <c r="CC65" i="13"/>
  <c r="CC57" i="13"/>
  <c r="CB9" i="13" s="1"/>
  <c r="CC52" i="13"/>
  <c r="CC42" i="13"/>
  <c r="CC39" i="13"/>
  <c r="CB32" i="13"/>
  <c r="CB42" i="13" s="1"/>
  <c r="CC31" i="13"/>
  <c r="CB19" i="13"/>
  <c r="CC15" i="13"/>
  <c r="CC19" i="13" s="1"/>
  <c r="CB2" i="13"/>
  <c r="CB10" i="13" s="1"/>
  <c r="CC10" i="13" s="1"/>
  <c r="CC74" i="13" s="1"/>
  <c r="CC71" i="13" s="1"/>
  <c r="CC117" i="13" l="1"/>
  <c r="CC116" i="13" s="1"/>
  <c r="CC114" i="13" s="1"/>
  <c r="CC115" i="13" s="1"/>
  <c r="CC60" i="14"/>
  <c r="EG42" i="3"/>
  <c r="EH60" i="3"/>
  <c r="EG30" i="3"/>
  <c r="EG29" i="3" s="1"/>
  <c r="EH117" i="3"/>
  <c r="EH116" i="3" s="1"/>
  <c r="EH114" i="3" s="1"/>
  <c r="EH115" i="3" s="1"/>
  <c r="EK93" i="3"/>
  <c r="EK90" i="3"/>
  <c r="BW98" i="36"/>
  <c r="BW94" i="36"/>
  <c r="BU96" i="36"/>
  <c r="BO90" i="34"/>
  <c r="BO93" i="34"/>
  <c r="BQ90" i="34"/>
  <c r="BQ93" i="34"/>
  <c r="BM90" i="38"/>
  <c r="BM93" i="38"/>
  <c r="BK94" i="33"/>
  <c r="CC80" i="14"/>
  <c r="CC83" i="14" s="1"/>
  <c r="CC86" i="14" s="1"/>
  <c r="CC71" i="14"/>
  <c r="BU117" i="36"/>
  <c r="BU116" i="36" s="1"/>
  <c r="BU114" i="36" s="1"/>
  <c r="BU115" i="36" s="1"/>
  <c r="BU60" i="36"/>
  <c r="BT8" i="36" s="1"/>
  <c r="BT9" i="36"/>
  <c r="CC56" i="14"/>
  <c r="CB8" i="14"/>
  <c r="CC111" i="14"/>
  <c r="CC112" i="14" s="1"/>
  <c r="CC108" i="14"/>
  <c r="CC109" i="14" s="1"/>
  <c r="CC132" i="14"/>
  <c r="CC133" i="14" s="1"/>
  <c r="CC142" i="14" s="1"/>
  <c r="CC59" i="14"/>
  <c r="CC53" i="14"/>
  <c r="CE144" i="13"/>
  <c r="CE99" i="13"/>
  <c r="CE124" i="13" s="1"/>
  <c r="CC132" i="13"/>
  <c r="CC133" i="13" s="1"/>
  <c r="CC142" i="13" s="1"/>
  <c r="CB31" i="13"/>
  <c r="CC60" i="13"/>
  <c r="CC111" i="13" s="1"/>
  <c r="CC112" i="13" s="1"/>
  <c r="BI10" i="33"/>
  <c r="BH16" i="33"/>
  <c r="BH20" i="33" s="1"/>
  <c r="BH24" i="33" s="1"/>
  <c r="BH23" i="33" s="1"/>
  <c r="BH42" i="33"/>
  <c r="BU10" i="36"/>
  <c r="BT16" i="36"/>
  <c r="BU56" i="36"/>
  <c r="EG16" i="3"/>
  <c r="EG20" i="3" s="1"/>
  <c r="EG24" i="3" s="1"/>
  <c r="EG23" i="3" s="1"/>
  <c r="EH10" i="3"/>
  <c r="EH74" i="3" s="1"/>
  <c r="EH71" i="3" s="1"/>
  <c r="EG62" i="3"/>
  <c r="EH68" i="3"/>
  <c r="EH56" i="3"/>
  <c r="EH53" i="3" s="1"/>
  <c r="EG8" i="3"/>
  <c r="EH111" i="3"/>
  <c r="EH112" i="3" s="1"/>
  <c r="EH59" i="3"/>
  <c r="CC76" i="14"/>
  <c r="CC75" i="14"/>
  <c r="CC50" i="14"/>
  <c r="CC68" i="14"/>
  <c r="CC63" i="14" s="1"/>
  <c r="CB62" i="14"/>
  <c r="CC96" i="14"/>
  <c r="CC69" i="14"/>
  <c r="CC56" i="13"/>
  <c r="CC53" i="13" s="1"/>
  <c r="CB8" i="13"/>
  <c r="CC108" i="13"/>
  <c r="CC109" i="13" s="1"/>
  <c r="CC129" i="13"/>
  <c r="CC130" i="13" s="1"/>
  <c r="CC126" i="13"/>
  <c r="CC127" i="13" s="1"/>
  <c r="CC75" i="13"/>
  <c r="CC78" i="13"/>
  <c r="CC149" i="13" s="1"/>
  <c r="CC152" i="13" s="1"/>
  <c r="CC154" i="13" s="1"/>
  <c r="CC69" i="13"/>
  <c r="CC80" i="13"/>
  <c r="CC59" i="13"/>
  <c r="CC84" i="14" l="1"/>
  <c r="CC81" i="14"/>
  <c r="CC82" i="14"/>
  <c r="EK98" i="3"/>
  <c r="EK94" i="3"/>
  <c r="EH108" i="3"/>
  <c r="EH109" i="3" s="1"/>
  <c r="EH69" i="3"/>
  <c r="EH16" i="3"/>
  <c r="EH20" i="3" s="1"/>
  <c r="EH24" i="3" s="1"/>
  <c r="EH23" i="3" s="1"/>
  <c r="EH80" i="3"/>
  <c r="BU132" i="36"/>
  <c r="BU133" i="36" s="1"/>
  <c r="BU142" i="36" s="1"/>
  <c r="BU74" i="36"/>
  <c r="BW99" i="36"/>
  <c r="BW124" i="36" s="1"/>
  <c r="BW144" i="36"/>
  <c r="BQ94" i="34"/>
  <c r="BQ98" i="34"/>
  <c r="BO98" i="34"/>
  <c r="BO94" i="34"/>
  <c r="BM94" i="38"/>
  <c r="BM98" i="38"/>
  <c r="BI16" i="33"/>
  <c r="BI20" i="33" s="1"/>
  <c r="BI24" i="33" s="1"/>
  <c r="BI23" i="33" s="1"/>
  <c r="BI74" i="33"/>
  <c r="CC76" i="13"/>
  <c r="BI76" i="33"/>
  <c r="BI75" i="33"/>
  <c r="BI69" i="33"/>
  <c r="BI132" i="33"/>
  <c r="BI129" i="33"/>
  <c r="BI126" i="33"/>
  <c r="BU68" i="36"/>
  <c r="BU50" i="36"/>
  <c r="BU129" i="36"/>
  <c r="BU130" i="36" s="1"/>
  <c r="BU69" i="36"/>
  <c r="BU126" i="36"/>
  <c r="BU127" i="36" s="1"/>
  <c r="BU53" i="36"/>
  <c r="EH50" i="3"/>
  <c r="EH54" i="3" s="1"/>
  <c r="EH132" i="3"/>
  <c r="EH133" i="3" s="1"/>
  <c r="EH141" i="3" s="1"/>
  <c r="EH129" i="3"/>
  <c r="EH130" i="3" s="1"/>
  <c r="EH76" i="3"/>
  <c r="EH75" i="3"/>
  <c r="CC89" i="14"/>
  <c r="CC87" i="14"/>
  <c r="CC54" i="14"/>
  <c r="CC83" i="13"/>
  <c r="CC82" i="13"/>
  <c r="CC81" i="13"/>
  <c r="CC50" i="13"/>
  <c r="CC68" i="13"/>
  <c r="EH83" i="3" l="1"/>
  <c r="EH81" i="3"/>
  <c r="EH82" i="3"/>
  <c r="EK143" i="3"/>
  <c r="EK99" i="3"/>
  <c r="BU80" i="36"/>
  <c r="BU78" i="36"/>
  <c r="BU149" i="36" s="1"/>
  <c r="BU152" i="36" s="1"/>
  <c r="BU154" i="36" s="1"/>
  <c r="BU71" i="36"/>
  <c r="BU108" i="36"/>
  <c r="BU109" i="36" s="1"/>
  <c r="BU111" i="36"/>
  <c r="BU112" i="36" s="1"/>
  <c r="BU75" i="36"/>
  <c r="BU76" i="36" s="1"/>
  <c r="BO144" i="34"/>
  <c r="BO99" i="34"/>
  <c r="BQ144" i="34"/>
  <c r="BQ99" i="34"/>
  <c r="BM99" i="38"/>
  <c r="BM143" i="38"/>
  <c r="BI80" i="33"/>
  <c r="BI71" i="33"/>
  <c r="BU54" i="36"/>
  <c r="EH41" i="3"/>
  <c r="EG41" i="3"/>
  <c r="EH49" i="3"/>
  <c r="CC49" i="14"/>
  <c r="CC93" i="14"/>
  <c r="CC90" i="14"/>
  <c r="CC54" i="13"/>
  <c r="CC86" i="13"/>
  <c r="CC84" i="13"/>
  <c r="EH86" i="3" l="1"/>
  <c r="EH84" i="3"/>
  <c r="BU82" i="36"/>
  <c r="BU81" i="36"/>
  <c r="BU83" i="36"/>
  <c r="BI82" i="33"/>
  <c r="BI83" i="33"/>
  <c r="BI81" i="33"/>
  <c r="BT41" i="36"/>
  <c r="BU41" i="36"/>
  <c r="BU49" i="36"/>
  <c r="EH45" i="3"/>
  <c r="EH44" i="3" s="1"/>
  <c r="EG45" i="3"/>
  <c r="EG44" i="3" s="1"/>
  <c r="EG43" i="3" s="1"/>
  <c r="EG49" i="3"/>
  <c r="EG48" i="3" s="1"/>
  <c r="EH48" i="3"/>
  <c r="CC98" i="14"/>
  <c r="CC94" i="14"/>
  <c r="CB49" i="14"/>
  <c r="CB48" i="14" s="1"/>
  <c r="CC45" i="14"/>
  <c r="CB45" i="14"/>
  <c r="CC48" i="14"/>
  <c r="CC41" i="13"/>
  <c r="CB41" i="13"/>
  <c r="CC49" i="13"/>
  <c r="CC89" i="13"/>
  <c r="CC87" i="13"/>
  <c r="EH87" i="3" l="1"/>
  <c r="EH89" i="3"/>
  <c r="BU86" i="36"/>
  <c r="BU84" i="36"/>
  <c r="BI84" i="33"/>
  <c r="BI86" i="33"/>
  <c r="BT49" i="36"/>
  <c r="BT48" i="36" s="1"/>
  <c r="BU48" i="36"/>
  <c r="BU45" i="36"/>
  <c r="BU44" i="36" s="1"/>
  <c r="BT45" i="36"/>
  <c r="BT44" i="36" s="1"/>
  <c r="BT43" i="36" s="1"/>
  <c r="EH47" i="3"/>
  <c r="EH43" i="3"/>
  <c r="CC144" i="14"/>
  <c r="CC99" i="14"/>
  <c r="CC124" i="14" s="1"/>
  <c r="CC93" i="13"/>
  <c r="CC90" i="13"/>
  <c r="CB49" i="13"/>
  <c r="CB48" i="13" s="1"/>
  <c r="CB45" i="13"/>
  <c r="CB44" i="13" s="1"/>
  <c r="CB43" i="13" s="1"/>
  <c r="CC48" i="13"/>
  <c r="CC45" i="13"/>
  <c r="CC44" i="13" s="1"/>
  <c r="EH93" i="3" l="1"/>
  <c r="EH90" i="3"/>
  <c r="BU87" i="36"/>
  <c r="BU89" i="36"/>
  <c r="BI89" i="33"/>
  <c r="BI87" i="33"/>
  <c r="BU43" i="36"/>
  <c r="BU47" i="36"/>
  <c r="CC94" i="13"/>
  <c r="CC98" i="13"/>
  <c r="CC43" i="13"/>
  <c r="CC47" i="13"/>
  <c r="EH94" i="3" l="1"/>
  <c r="EH98" i="3"/>
  <c r="BU93" i="36"/>
  <c r="BU90" i="36"/>
  <c r="BI93" i="33"/>
  <c r="BI90" i="33"/>
  <c r="CC144" i="13"/>
  <c r="CC99" i="13"/>
  <c r="CC124" i="13" s="1"/>
  <c r="EH99" i="3" l="1"/>
  <c r="EH143" i="3"/>
  <c r="BU94" i="36"/>
  <c r="BU98" i="36"/>
  <c r="BI94" i="33"/>
  <c r="CB181" i="15"/>
  <c r="CC137" i="15"/>
  <c r="CC135" i="15"/>
  <c r="CC141" i="15" s="1"/>
  <c r="CC131" i="15"/>
  <c r="CC123" i="15"/>
  <c r="CC122" i="15"/>
  <c r="CC121" i="15"/>
  <c r="CC120" i="15"/>
  <c r="CC119" i="15"/>
  <c r="CC106" i="15"/>
  <c r="CC104" i="15"/>
  <c r="CC105" i="15" s="1"/>
  <c r="CC96" i="15"/>
  <c r="CB72" i="15"/>
  <c r="CC65" i="15"/>
  <c r="CC59" i="15" s="1"/>
  <c r="CC57" i="15"/>
  <c r="CB9" i="15" s="1"/>
  <c r="CC52" i="15"/>
  <c r="CC42" i="15"/>
  <c r="CB32" i="15"/>
  <c r="CB31" i="15" s="1"/>
  <c r="CC31" i="15"/>
  <c r="CC30" i="15"/>
  <c r="CC29" i="15" s="1"/>
  <c r="CB26" i="15"/>
  <c r="CC25" i="15"/>
  <c r="CC20" i="15"/>
  <c r="CC24" i="15" s="1"/>
  <c r="CC23" i="15" s="1"/>
  <c r="CB19" i="15"/>
  <c r="CB16" i="15"/>
  <c r="CB20" i="15" s="1"/>
  <c r="CB24" i="15" s="1"/>
  <c r="CB23" i="15" s="1"/>
  <c r="CC15" i="15"/>
  <c r="CC19" i="15" s="1"/>
  <c r="CB2" i="15"/>
  <c r="CB10" i="15" s="1"/>
  <c r="CC10" i="15" s="1"/>
  <c r="CC74" i="15" s="1"/>
  <c r="CQ79" i="15"/>
  <c r="CQ79" i="13"/>
  <c r="CQ77" i="13"/>
  <c r="CA65" i="13"/>
  <c r="CU65" i="13"/>
  <c r="CU59" i="13" s="1"/>
  <c r="CS65" i="13"/>
  <c r="CQ65" i="13"/>
  <c r="CT181" i="15"/>
  <c r="CU137" i="15"/>
  <c r="CU135" i="15"/>
  <c r="CU141" i="15" s="1"/>
  <c r="CU131" i="15"/>
  <c r="CU123" i="15"/>
  <c r="CU122" i="15"/>
  <c r="CU121" i="15"/>
  <c r="CU120" i="15"/>
  <c r="CU119" i="15"/>
  <c r="CU106" i="15"/>
  <c r="CU104" i="15"/>
  <c r="CU105" i="15" s="1"/>
  <c r="CU80" i="15"/>
  <c r="CU82" i="15" s="1"/>
  <c r="CU78" i="15"/>
  <c r="CT72" i="15"/>
  <c r="CU71" i="15"/>
  <c r="CU65" i="15"/>
  <c r="CU60" i="15" s="1"/>
  <c r="CU57" i="15"/>
  <c r="CU52" i="15"/>
  <c r="CU42" i="15"/>
  <c r="CT32" i="15"/>
  <c r="CT31" i="15" s="1"/>
  <c r="CU31" i="15"/>
  <c r="CU30" i="15"/>
  <c r="CU29" i="15" s="1"/>
  <c r="CT26" i="15"/>
  <c r="CU25" i="15"/>
  <c r="CU20" i="15"/>
  <c r="CU24" i="15" s="1"/>
  <c r="CU23" i="15" s="1"/>
  <c r="CT19" i="15"/>
  <c r="CT16" i="15"/>
  <c r="CT20" i="15" s="1"/>
  <c r="CT24" i="15" s="1"/>
  <c r="CT23" i="15" s="1"/>
  <c r="CU15" i="15"/>
  <c r="CU19" i="15" s="1"/>
  <c r="CT2" i="15"/>
  <c r="CT10" i="15" s="1"/>
  <c r="CU10" i="15" s="1"/>
  <c r="CT26" i="13"/>
  <c r="CT25" i="13" s="1"/>
  <c r="CU153" i="13"/>
  <c r="CU151" i="13"/>
  <c r="CU150" i="13"/>
  <c r="CU138" i="13"/>
  <c r="CU135" i="13"/>
  <c r="CU141" i="13" s="1"/>
  <c r="CU131" i="13"/>
  <c r="CU123" i="13"/>
  <c r="CU122" i="13"/>
  <c r="CU121" i="13"/>
  <c r="CU120" i="13"/>
  <c r="CU119" i="13"/>
  <c r="CU106" i="13"/>
  <c r="CU100" i="13"/>
  <c r="CU104" i="13" s="1"/>
  <c r="CU105" i="13" s="1"/>
  <c r="CU71" i="13"/>
  <c r="CU67" i="13"/>
  <c r="CU80" i="13" s="1"/>
  <c r="CU57" i="13"/>
  <c r="CU52" i="13"/>
  <c r="CU39" i="13"/>
  <c r="CU42" i="13"/>
  <c r="CT32" i="13"/>
  <c r="CT42" i="13" s="1"/>
  <c r="CU31" i="13"/>
  <c r="CU30" i="13"/>
  <c r="CU29" i="13" s="1"/>
  <c r="CU25" i="13"/>
  <c r="CT19" i="13"/>
  <c r="CU15" i="13"/>
  <c r="CU19" i="13" s="1"/>
  <c r="CT9" i="13"/>
  <c r="CT2" i="13"/>
  <c r="CT10" i="13" s="1"/>
  <c r="CU10" i="13" s="1"/>
  <c r="DO23" i="13"/>
  <c r="BM137" i="34"/>
  <c r="BM135" i="34"/>
  <c r="BM96" i="34" s="1"/>
  <c r="BM131" i="34"/>
  <c r="BM123" i="34"/>
  <c r="BM122" i="34"/>
  <c r="BM121" i="34"/>
  <c r="BM120" i="34"/>
  <c r="BM119" i="34"/>
  <c r="BM106" i="34"/>
  <c r="BM104" i="34"/>
  <c r="BM105" i="34" s="1"/>
  <c r="BM67" i="34"/>
  <c r="BM65" i="34"/>
  <c r="BM60" i="34" s="1"/>
  <c r="BM63" i="34"/>
  <c r="BM52" i="34"/>
  <c r="BM42" i="34"/>
  <c r="BL32" i="34"/>
  <c r="BM31" i="34"/>
  <c r="BL31" i="34"/>
  <c r="BM30" i="34"/>
  <c r="BM29" i="34" s="1"/>
  <c r="BL26" i="34"/>
  <c r="BL25" i="34" s="1"/>
  <c r="BM25" i="34"/>
  <c r="BL19" i="34"/>
  <c r="BM15" i="34"/>
  <c r="BM19" i="34" s="1"/>
  <c r="BL9" i="34"/>
  <c r="BL2" i="34"/>
  <c r="BL10" i="34" s="1"/>
  <c r="BK123" i="38"/>
  <c r="BK122" i="38"/>
  <c r="BK121" i="38"/>
  <c r="BK120" i="38"/>
  <c r="BK119" i="38"/>
  <c r="BK106" i="38"/>
  <c r="BK104" i="38"/>
  <c r="BK105" i="38" s="1"/>
  <c r="BK96" i="38"/>
  <c r="BK67" i="38"/>
  <c r="BK65" i="38"/>
  <c r="BK63" i="38"/>
  <c r="BK52" i="38"/>
  <c r="BK42" i="38"/>
  <c r="BJ32" i="38"/>
  <c r="BJ31" i="38" s="1"/>
  <c r="BK31" i="38"/>
  <c r="BK30" i="38"/>
  <c r="BK29" i="38" s="1"/>
  <c r="BJ26" i="38"/>
  <c r="BJ25" i="38" s="1"/>
  <c r="BK25" i="38"/>
  <c r="BJ19" i="38"/>
  <c r="BK15" i="38"/>
  <c r="BK19" i="38" s="1"/>
  <c r="BJ9" i="38"/>
  <c r="BJ2" i="38"/>
  <c r="BJ10" i="38" s="1"/>
  <c r="BS153" i="36"/>
  <c r="BS151" i="36"/>
  <c r="BS150" i="36"/>
  <c r="BS138" i="36"/>
  <c r="BS135" i="36"/>
  <c r="BS141" i="36" s="1"/>
  <c r="BS131" i="36"/>
  <c r="BS123" i="36"/>
  <c r="BS122" i="36"/>
  <c r="BS121" i="36"/>
  <c r="BS120" i="36"/>
  <c r="BS119" i="36"/>
  <c r="BS106" i="36"/>
  <c r="BS100" i="36"/>
  <c r="BS104" i="36" s="1"/>
  <c r="BS105" i="36" s="1"/>
  <c r="BS65" i="36"/>
  <c r="BS59" i="36" s="1"/>
  <c r="BS57" i="36"/>
  <c r="BS63" i="36" s="1"/>
  <c r="BS52" i="36"/>
  <c r="BS42" i="36"/>
  <c r="BR32" i="36"/>
  <c r="BR42" i="36" s="1"/>
  <c r="BS31" i="36"/>
  <c r="BS30" i="36"/>
  <c r="BS29" i="36"/>
  <c r="BS25" i="36"/>
  <c r="BS24" i="36"/>
  <c r="BS23" i="36" s="1"/>
  <c r="BR20" i="36"/>
  <c r="BR19" i="36"/>
  <c r="BS15" i="36"/>
  <c r="BS19" i="36" s="1"/>
  <c r="BR2" i="36"/>
  <c r="BR10" i="36" s="1"/>
  <c r="DN153" i="36"/>
  <c r="DN151" i="36"/>
  <c r="DN150" i="36"/>
  <c r="DN138" i="36"/>
  <c r="DN135" i="36"/>
  <c r="DN141" i="36" s="1"/>
  <c r="DN131" i="36"/>
  <c r="DN123" i="36"/>
  <c r="DN122" i="36"/>
  <c r="DN121" i="36"/>
  <c r="DN120" i="36"/>
  <c r="DN119" i="36"/>
  <c r="DN106" i="36"/>
  <c r="DN100" i="36"/>
  <c r="DN104" i="36" s="1"/>
  <c r="DN105" i="36" s="1"/>
  <c r="DN65" i="36"/>
  <c r="DN59" i="36" s="1"/>
  <c r="DN57" i="36"/>
  <c r="DM9" i="36" s="1"/>
  <c r="DN52" i="36"/>
  <c r="DN42" i="36"/>
  <c r="DM32" i="36"/>
  <c r="DM42" i="36" s="1"/>
  <c r="DN31" i="36"/>
  <c r="DN26" i="36"/>
  <c r="DN30" i="36" s="1"/>
  <c r="DN29" i="36" s="1"/>
  <c r="DM20" i="36"/>
  <c r="DM19" i="36"/>
  <c r="DN15" i="36"/>
  <c r="DN19" i="36" s="1"/>
  <c r="DM2" i="36"/>
  <c r="DM10" i="36" s="1"/>
  <c r="BZ181" i="15"/>
  <c r="CA137" i="15"/>
  <c r="CA135" i="15"/>
  <c r="CA96" i="15" s="1"/>
  <c r="CA131" i="15"/>
  <c r="CA123" i="15"/>
  <c r="CA122" i="15"/>
  <c r="CA121" i="15"/>
  <c r="CA120" i="15"/>
  <c r="CA119" i="15"/>
  <c r="CA106" i="15"/>
  <c r="CA104" i="15"/>
  <c r="CA105" i="15" s="1"/>
  <c r="BZ72" i="15"/>
  <c r="CA65" i="15"/>
  <c r="CA59" i="15" s="1"/>
  <c r="CA57" i="15"/>
  <c r="BZ9" i="15" s="1"/>
  <c r="CA52" i="15"/>
  <c r="CA42" i="15"/>
  <c r="BZ32" i="15"/>
  <c r="BZ42" i="15" s="1"/>
  <c r="CA31" i="15"/>
  <c r="CA30" i="15"/>
  <c r="CA29" i="15" s="1"/>
  <c r="BZ26" i="15"/>
  <c r="CA25" i="15"/>
  <c r="CA20" i="15"/>
  <c r="CA24" i="15" s="1"/>
  <c r="CA23" i="15" s="1"/>
  <c r="BZ19" i="15"/>
  <c r="BZ16" i="15"/>
  <c r="BZ20" i="15" s="1"/>
  <c r="CA15" i="15"/>
  <c r="CA19" i="15" s="1"/>
  <c r="BZ2" i="15"/>
  <c r="BZ10" i="15" s="1"/>
  <c r="CA10" i="15" s="1"/>
  <c r="CA74" i="15" s="1"/>
  <c r="CA78" i="15" s="1"/>
  <c r="EE140" i="3"/>
  <c r="EE137" i="3"/>
  <c r="EE123" i="3"/>
  <c r="EE122" i="3"/>
  <c r="EE121" i="3"/>
  <c r="EE120" i="3"/>
  <c r="EE119" i="3"/>
  <c r="EE106" i="3"/>
  <c r="EE100" i="3"/>
  <c r="EE104" i="3" s="1"/>
  <c r="EE105" i="3" s="1"/>
  <c r="EE96" i="3"/>
  <c r="EE67" i="3"/>
  <c r="EE65" i="3"/>
  <c r="EE63" i="3"/>
  <c r="EE52" i="3"/>
  <c r="EE42" i="3"/>
  <c r="ED32" i="3"/>
  <c r="ED42" i="3" s="1"/>
  <c r="EE31" i="3"/>
  <c r="EE30" i="3"/>
  <c r="EE29" i="3" s="1"/>
  <c r="ED26" i="3"/>
  <c r="EE25" i="3"/>
  <c r="ED25" i="3" s="1"/>
  <c r="ED19" i="3"/>
  <c r="EE15" i="3"/>
  <c r="EE19" i="3" s="1"/>
  <c r="ED9" i="3"/>
  <c r="ED2" i="3"/>
  <c r="ED10" i="3" s="1"/>
  <c r="CA135" i="14"/>
  <c r="CA141" i="14" s="1"/>
  <c r="CA131" i="14"/>
  <c r="CA123" i="14"/>
  <c r="CA122" i="14"/>
  <c r="CA121" i="14"/>
  <c r="CA120" i="14"/>
  <c r="CA119" i="14"/>
  <c r="CA106" i="14"/>
  <c r="CA104" i="14"/>
  <c r="CA105" i="14" s="1"/>
  <c r="CA67" i="14"/>
  <c r="CA65" i="14"/>
  <c r="CA60" i="14" s="1"/>
  <c r="CA56" i="14" s="1"/>
  <c r="CA57" i="14"/>
  <c r="BZ9" i="14" s="1"/>
  <c r="CA52" i="14"/>
  <c r="BZ19" i="14"/>
  <c r="CA15" i="14"/>
  <c r="CA19" i="14" s="1"/>
  <c r="BZ2" i="14"/>
  <c r="BZ10" i="14" s="1"/>
  <c r="CA10" i="14" s="1"/>
  <c r="CA74" i="14" s="1"/>
  <c r="CA71" i="14" s="1"/>
  <c r="BM141" i="34" l="1"/>
  <c r="DN96" i="36"/>
  <c r="ED30" i="3"/>
  <c r="ED29" i="3" s="1"/>
  <c r="CA60" i="15"/>
  <c r="BZ63" i="15" s="1"/>
  <c r="CT30" i="15"/>
  <c r="CT29" i="15" s="1"/>
  <c r="CC60" i="15"/>
  <c r="EE60" i="3"/>
  <c r="ED31" i="3"/>
  <c r="EE59" i="3"/>
  <c r="CA80" i="15"/>
  <c r="CA83" i="15" s="1"/>
  <c r="CA86" i="15" s="1"/>
  <c r="CA71" i="15"/>
  <c r="CC80" i="15"/>
  <c r="CC83" i="15" s="1"/>
  <c r="CC86" i="15" s="1"/>
  <c r="CB30" i="15"/>
  <c r="CB29" i="15" s="1"/>
  <c r="CC117" i="15"/>
  <c r="CC116" i="15" s="1"/>
  <c r="CC114" i="15" s="1"/>
  <c r="CC115" i="15" s="1"/>
  <c r="CC71" i="15"/>
  <c r="CC78" i="15"/>
  <c r="CC111" i="15"/>
  <c r="CC112" i="15" s="1"/>
  <c r="BS96" i="36"/>
  <c r="BR9" i="36"/>
  <c r="BU144" i="36"/>
  <c r="BU99" i="36"/>
  <c r="BU124" i="36" s="1"/>
  <c r="DN60" i="36"/>
  <c r="BJ30" i="38"/>
  <c r="BJ29" i="38" s="1"/>
  <c r="BK60" i="38"/>
  <c r="CA59" i="14"/>
  <c r="CA80" i="14"/>
  <c r="CA81" i="14" s="1"/>
  <c r="BL8" i="34"/>
  <c r="BM56" i="34"/>
  <c r="BM68" i="34" s="1"/>
  <c r="BM59" i="34"/>
  <c r="BM117" i="34"/>
  <c r="BM116" i="34" s="1"/>
  <c r="BM114" i="34" s="1"/>
  <c r="BM115" i="34" s="1"/>
  <c r="BJ8" i="38"/>
  <c r="BK56" i="38"/>
  <c r="BK50" i="38" s="1"/>
  <c r="BK54" i="38" s="1"/>
  <c r="BK41" i="38" s="1"/>
  <c r="BK117" i="38"/>
  <c r="BK116" i="38" s="1"/>
  <c r="BK114" i="38" s="1"/>
  <c r="BK115" i="38" s="1"/>
  <c r="BK59" i="38"/>
  <c r="BR31" i="36"/>
  <c r="CB8" i="15"/>
  <c r="CU117" i="15"/>
  <c r="CU116" i="15" s="1"/>
  <c r="CU114" i="15" s="1"/>
  <c r="CU115" i="15" s="1"/>
  <c r="CU83" i="15"/>
  <c r="CU84" i="15" s="1"/>
  <c r="CC56" i="15"/>
  <c r="CC50" i="15" s="1"/>
  <c r="BM50" i="34"/>
  <c r="BM54" i="34" s="1"/>
  <c r="BM41" i="34" s="1"/>
  <c r="DN25" i="36"/>
  <c r="CA53" i="14"/>
  <c r="CA96" i="14"/>
  <c r="CT31" i="13"/>
  <c r="CU117" i="13"/>
  <c r="CU116" i="13" s="1"/>
  <c r="CU114" i="13" s="1"/>
  <c r="CU115" i="13" s="1"/>
  <c r="CU60" i="13"/>
  <c r="CU111" i="13" s="1"/>
  <c r="CU112" i="13" s="1"/>
  <c r="CU78" i="13"/>
  <c r="CU149" i="13" s="1"/>
  <c r="CU152" i="13" s="1"/>
  <c r="CU154" i="13" s="1"/>
  <c r="CC132" i="15"/>
  <c r="CC133" i="15" s="1"/>
  <c r="CC142" i="15" s="1"/>
  <c r="CC75" i="15"/>
  <c r="CC129" i="15"/>
  <c r="CC130" i="15" s="1"/>
  <c r="CC69" i="15"/>
  <c r="CC126" i="15"/>
  <c r="CC127" i="15" s="1"/>
  <c r="CB42" i="15"/>
  <c r="CB63" i="15"/>
  <c r="CC108" i="15"/>
  <c r="CC109" i="15" s="1"/>
  <c r="CB25" i="15"/>
  <c r="CC81" i="15"/>
  <c r="CC82" i="15"/>
  <c r="CT9" i="15"/>
  <c r="CA117" i="15"/>
  <c r="CA116" i="15" s="1"/>
  <c r="CA114" i="15" s="1"/>
  <c r="CA115" i="15" s="1"/>
  <c r="CU96" i="15"/>
  <c r="CA141" i="15"/>
  <c r="CU77" i="15"/>
  <c r="CU76" i="15" s="1"/>
  <c r="CU132" i="15"/>
  <c r="CU133" i="15" s="1"/>
  <c r="CU142" i="15" s="1"/>
  <c r="CU75" i="15"/>
  <c r="CU129" i="15"/>
  <c r="CU130" i="15" s="1"/>
  <c r="CU69" i="15"/>
  <c r="CU126" i="15"/>
  <c r="CU127" i="15" s="1"/>
  <c r="CU111" i="15"/>
  <c r="CU112" i="15" s="1"/>
  <c r="CU108" i="15"/>
  <c r="CU109" i="15" s="1"/>
  <c r="CT63" i="15"/>
  <c r="CU56" i="15"/>
  <c r="CU53" i="15" s="1"/>
  <c r="CT8" i="15"/>
  <c r="CU59" i="15"/>
  <c r="CT42" i="15"/>
  <c r="CT25" i="15"/>
  <c r="CU81" i="15"/>
  <c r="BZ8" i="15"/>
  <c r="BZ24" i="15"/>
  <c r="BZ23" i="15" s="1"/>
  <c r="BZ30" i="15"/>
  <c r="BZ29" i="15" s="1"/>
  <c r="BZ31" i="15"/>
  <c r="CT30" i="13"/>
  <c r="CT29" i="13" s="1"/>
  <c r="CU77" i="13"/>
  <c r="CU75" i="13"/>
  <c r="CU129" i="13"/>
  <c r="CU130" i="13" s="1"/>
  <c r="CU126" i="13"/>
  <c r="CU127" i="13" s="1"/>
  <c r="CU81" i="13"/>
  <c r="CU132" i="13"/>
  <c r="CU133" i="13" s="1"/>
  <c r="CU142" i="13" s="1"/>
  <c r="CU82" i="13"/>
  <c r="CU96" i="13"/>
  <c r="CU69" i="13"/>
  <c r="CU83" i="13"/>
  <c r="CT72" i="13"/>
  <c r="EE117" i="3"/>
  <c r="EE116" i="3" s="1"/>
  <c r="EE114" i="3" s="1"/>
  <c r="EE115" i="3" s="1"/>
  <c r="CA117" i="14"/>
  <c r="CA116" i="14" s="1"/>
  <c r="CA114" i="14" s="1"/>
  <c r="CA115" i="14" s="1"/>
  <c r="BL16" i="34"/>
  <c r="BL20" i="34" s="1"/>
  <c r="BL24" i="34" s="1"/>
  <c r="BL23" i="34" s="1"/>
  <c r="BM10" i="34"/>
  <c r="BL42" i="34"/>
  <c r="BL62" i="34"/>
  <c r="BL30" i="34"/>
  <c r="BL29" i="34" s="1"/>
  <c r="BJ16" i="38"/>
  <c r="BJ20" i="38" s="1"/>
  <c r="BJ24" i="38" s="1"/>
  <c r="BJ23" i="38" s="1"/>
  <c r="BK10" i="38"/>
  <c r="BK69" i="38" s="1"/>
  <c r="BJ62" i="38"/>
  <c r="BJ42" i="38"/>
  <c r="BK68" i="38"/>
  <c r="DN63" i="36"/>
  <c r="DN56" i="36"/>
  <c r="DN53" i="36" s="1"/>
  <c r="DM31" i="36"/>
  <c r="BS117" i="36"/>
  <c r="BS116" i="36" s="1"/>
  <c r="BS114" i="36" s="1"/>
  <c r="BS115" i="36" s="1"/>
  <c r="BS60" i="36"/>
  <c r="BS56" i="36" s="1"/>
  <c r="BS50" i="36" s="1"/>
  <c r="BS10" i="36"/>
  <c r="BS132" i="36" s="1"/>
  <c r="BS133" i="36" s="1"/>
  <c r="BS142" i="36" s="1"/>
  <c r="BR16" i="36"/>
  <c r="DN24" i="36"/>
  <c r="DN23" i="36" s="1"/>
  <c r="DN117" i="36"/>
  <c r="DN116" i="36" s="1"/>
  <c r="DN114" i="36" s="1"/>
  <c r="DN115" i="36" s="1"/>
  <c r="DM16" i="36"/>
  <c r="DN10" i="36"/>
  <c r="DN74" i="36" s="1"/>
  <c r="DN111" i="36" s="1"/>
  <c r="DN112" i="36" s="1"/>
  <c r="DM8" i="36"/>
  <c r="CA132" i="15"/>
  <c r="CA133" i="15" s="1"/>
  <c r="CA69" i="15"/>
  <c r="CA126" i="15"/>
  <c r="CA127" i="15" s="1"/>
  <c r="CA75" i="15"/>
  <c r="CA129" i="15"/>
  <c r="CA130" i="15" s="1"/>
  <c r="CA76" i="15"/>
  <c r="CA108" i="15"/>
  <c r="CA109" i="15" s="1"/>
  <c r="BZ25" i="15"/>
  <c r="CA111" i="15"/>
  <c r="CA112" i="15" s="1"/>
  <c r="ED16" i="3"/>
  <c r="ED20" i="3" s="1"/>
  <c r="ED24" i="3" s="1"/>
  <c r="ED23" i="3" s="1"/>
  <c r="EE10" i="3"/>
  <c r="ED8" i="3"/>
  <c r="EE56" i="3"/>
  <c r="EE68" i="3"/>
  <c r="ED62" i="3"/>
  <c r="CA50" i="14"/>
  <c r="CA68" i="14"/>
  <c r="CA63" i="14" s="1"/>
  <c r="CA76" i="14"/>
  <c r="CA75" i="14"/>
  <c r="CA132" i="14"/>
  <c r="CA133" i="14" s="1"/>
  <c r="CA142" i="14" s="1"/>
  <c r="BZ72" i="14"/>
  <c r="CA108" i="14"/>
  <c r="CA109" i="14" s="1"/>
  <c r="BZ62" i="14"/>
  <c r="CA69" i="14"/>
  <c r="BZ8" i="14"/>
  <c r="CA78" i="14"/>
  <c r="CA111" i="14"/>
  <c r="CA112" i="14" s="1"/>
  <c r="CA82" i="15" l="1"/>
  <c r="CA81" i="15"/>
  <c r="CA56" i="15"/>
  <c r="CA50" i="15" s="1"/>
  <c r="BM53" i="34"/>
  <c r="CU86" i="15"/>
  <c r="CU89" i="15" s="1"/>
  <c r="CC84" i="15"/>
  <c r="CA83" i="14"/>
  <c r="CA82" i="14"/>
  <c r="EE74" i="3"/>
  <c r="EE75" i="3" s="1"/>
  <c r="CC53" i="15"/>
  <c r="DN78" i="36"/>
  <c r="DN149" i="36" s="1"/>
  <c r="DN152" i="36" s="1"/>
  <c r="DN154" i="36" s="1"/>
  <c r="DN80" i="36"/>
  <c r="DN81" i="36" s="1"/>
  <c r="DN108" i="36"/>
  <c r="DN109" i="36" s="1"/>
  <c r="BS74" i="36"/>
  <c r="BS108" i="36" s="1"/>
  <c r="BS109" i="36" s="1"/>
  <c r="BK16" i="38"/>
  <c r="BK20" i="38" s="1"/>
  <c r="BK24" i="38" s="1"/>
  <c r="BK23" i="38" s="1"/>
  <c r="BK49" i="38"/>
  <c r="BJ49" i="38" s="1"/>
  <c r="BJ48" i="38" s="1"/>
  <c r="BM16" i="34"/>
  <c r="BM20" i="34" s="1"/>
  <c r="BM24" i="34" s="1"/>
  <c r="BM23" i="34" s="1"/>
  <c r="BM74" i="34"/>
  <c r="BM75" i="34" s="1"/>
  <c r="BK74" i="38"/>
  <c r="BJ41" i="38"/>
  <c r="BM49" i="34"/>
  <c r="BM45" i="34" s="1"/>
  <c r="BM44" i="34" s="1"/>
  <c r="BM43" i="34" s="1"/>
  <c r="BL41" i="34"/>
  <c r="BK53" i="38"/>
  <c r="BR8" i="36"/>
  <c r="BS53" i="36"/>
  <c r="BS68" i="36"/>
  <c r="DN68" i="36"/>
  <c r="CA54" i="15"/>
  <c r="CA41" i="15" s="1"/>
  <c r="CC76" i="15"/>
  <c r="CQ77" i="15"/>
  <c r="CA68" i="15"/>
  <c r="CC68" i="15"/>
  <c r="CC54" i="15"/>
  <c r="CC41" i="15" s="1"/>
  <c r="CU56" i="13"/>
  <c r="CU53" i="13" s="1"/>
  <c r="CU108" i="13"/>
  <c r="CU109" i="13" s="1"/>
  <c r="CT8" i="13"/>
  <c r="DN50" i="36"/>
  <c r="DN54" i="36" s="1"/>
  <c r="CA84" i="15"/>
  <c r="CC89" i="15"/>
  <c r="CC87" i="15"/>
  <c r="CA142" i="15"/>
  <c r="CU50" i="15"/>
  <c r="CU54" i="15" s="1"/>
  <c r="CU68" i="15"/>
  <c r="CU76" i="13"/>
  <c r="CU86" i="13"/>
  <c r="CU84" i="13"/>
  <c r="BM76" i="34"/>
  <c r="BM129" i="34"/>
  <c r="BM130" i="34" s="1"/>
  <c r="BM142" i="34" s="1"/>
  <c r="BM132" i="34"/>
  <c r="BM133" i="34" s="1"/>
  <c r="BM69" i="34"/>
  <c r="BK48" i="38"/>
  <c r="BK45" i="38"/>
  <c r="BK44" i="38" s="1"/>
  <c r="BK43" i="38" s="1"/>
  <c r="BK75" i="38"/>
  <c r="BK76" i="38" s="1"/>
  <c r="BK132" i="38"/>
  <c r="BK133" i="38" s="1"/>
  <c r="BK129" i="38"/>
  <c r="BK130" i="38" s="1"/>
  <c r="BS54" i="36"/>
  <c r="BS49" i="36" s="1"/>
  <c r="BS129" i="36"/>
  <c r="BS130" i="36" s="1"/>
  <c r="BS69" i="36"/>
  <c r="BS126" i="36"/>
  <c r="BS127" i="36" s="1"/>
  <c r="DN75" i="36"/>
  <c r="DN76" i="36" s="1"/>
  <c r="DN69" i="36"/>
  <c r="DN129" i="36"/>
  <c r="DN130" i="36" s="1"/>
  <c r="DN126" i="36"/>
  <c r="DN127" i="36" s="1"/>
  <c r="DN16" i="36"/>
  <c r="DN132" i="36"/>
  <c r="DN133" i="36" s="1"/>
  <c r="DN142" i="36" s="1"/>
  <c r="CA89" i="15"/>
  <c r="CA87" i="15"/>
  <c r="EE50" i="3"/>
  <c r="EE132" i="3"/>
  <c r="EE133" i="3" s="1"/>
  <c r="EE141" i="3" s="1"/>
  <c r="EE16" i="3"/>
  <c r="EE20" i="3" s="1"/>
  <c r="EE24" i="3" s="1"/>
  <c r="EE23" i="3" s="1"/>
  <c r="EE129" i="3"/>
  <c r="EE130" i="3" s="1"/>
  <c r="EE76" i="3"/>
  <c r="EE69" i="3"/>
  <c r="EE53" i="3"/>
  <c r="CA84" i="14"/>
  <c r="CA86" i="14"/>
  <c r="CA54" i="14"/>
  <c r="CU87" i="15" l="1"/>
  <c r="CA53" i="15"/>
  <c r="BL49" i="34"/>
  <c r="BL48" i="34" s="1"/>
  <c r="BM48" i="34"/>
  <c r="BL45" i="34"/>
  <c r="BL44" i="34" s="1"/>
  <c r="BL43" i="34" s="1"/>
  <c r="BJ45" i="38"/>
  <c r="BJ44" i="38" s="1"/>
  <c r="BJ43" i="38" s="1"/>
  <c r="BS75" i="36"/>
  <c r="BS76" i="36" s="1"/>
  <c r="BS111" i="36"/>
  <c r="BS112" i="36" s="1"/>
  <c r="CC49" i="15"/>
  <c r="CC45" i="15" s="1"/>
  <c r="CC44" i="15" s="1"/>
  <c r="CC43" i="15" s="1"/>
  <c r="EE71" i="3"/>
  <c r="EE80" i="3"/>
  <c r="EE108" i="3"/>
  <c r="EE109" i="3" s="1"/>
  <c r="EE111" i="3"/>
  <c r="EE112" i="3" s="1"/>
  <c r="BS80" i="36"/>
  <c r="BS78" i="36"/>
  <c r="BS149" i="36" s="1"/>
  <c r="BS152" i="36" s="1"/>
  <c r="BS154" i="36" s="1"/>
  <c r="BS71" i="36"/>
  <c r="DN82" i="36"/>
  <c r="DN83" i="36"/>
  <c r="BM71" i="34"/>
  <c r="BM80" i="34"/>
  <c r="BM111" i="34"/>
  <c r="BM112" i="34" s="1"/>
  <c r="BM108" i="34"/>
  <c r="BM109" i="34" s="1"/>
  <c r="BK71" i="38"/>
  <c r="BK80" i="38"/>
  <c r="BK111" i="38"/>
  <c r="BK112" i="38" s="1"/>
  <c r="BK108" i="38"/>
  <c r="BK109" i="38" s="1"/>
  <c r="BZ41" i="15"/>
  <c r="CB41" i="15"/>
  <c r="CA49" i="15"/>
  <c r="BZ49" i="15" s="1"/>
  <c r="BZ48" i="15" s="1"/>
  <c r="CU68" i="13"/>
  <c r="CU50" i="13"/>
  <c r="CU54" i="13" s="1"/>
  <c r="CT41" i="13" s="1"/>
  <c r="CC90" i="15"/>
  <c r="CC93" i="15"/>
  <c r="CU41" i="15"/>
  <c r="CT41" i="15"/>
  <c r="CU49" i="15"/>
  <c r="CU93" i="15"/>
  <c r="CU90" i="15"/>
  <c r="CU41" i="13"/>
  <c r="CU89" i="13"/>
  <c r="CU87" i="13"/>
  <c r="BS41" i="36"/>
  <c r="BR41" i="36"/>
  <c r="BR49" i="36"/>
  <c r="BR48" i="36" s="1"/>
  <c r="BS48" i="36"/>
  <c r="BS45" i="36"/>
  <c r="BR45" i="36"/>
  <c r="DN41" i="36"/>
  <c r="DM41" i="36"/>
  <c r="DN49" i="36"/>
  <c r="CA93" i="15"/>
  <c r="CA90" i="15"/>
  <c r="EE54" i="3"/>
  <c r="CA49" i="14"/>
  <c r="CA89" i="14"/>
  <c r="CA87" i="14"/>
  <c r="CB49" i="15" l="1"/>
  <c r="CB48" i="15" s="1"/>
  <c r="CC48" i="15"/>
  <c r="CB45" i="15"/>
  <c r="CU49" i="13"/>
  <c r="EE83" i="3"/>
  <c r="EE82" i="3"/>
  <c r="EE81" i="3"/>
  <c r="CB44" i="15"/>
  <c r="CB43" i="15" s="1"/>
  <c r="BZ45" i="15"/>
  <c r="BZ44" i="15" s="1"/>
  <c r="BZ43" i="15" s="1"/>
  <c r="CA48" i="15"/>
  <c r="CA45" i="15"/>
  <c r="CA44" i="15" s="1"/>
  <c r="CA43" i="15" s="1"/>
  <c r="DN86" i="36"/>
  <c r="DN84" i="36"/>
  <c r="BS82" i="36"/>
  <c r="BS83" i="36"/>
  <c r="BS81" i="36"/>
  <c r="BM83" i="34"/>
  <c r="BM82" i="34"/>
  <c r="BM81" i="34"/>
  <c r="BK82" i="38"/>
  <c r="BK83" i="38"/>
  <c r="BK81" i="38"/>
  <c r="BR44" i="36"/>
  <c r="BR43" i="36" s="1"/>
  <c r="BS44" i="36"/>
  <c r="BS43" i="36" s="1"/>
  <c r="CC98" i="15"/>
  <c r="CC94" i="15"/>
  <c r="CU98" i="15"/>
  <c r="CU94" i="15"/>
  <c r="CT49" i="15"/>
  <c r="CT48" i="15" s="1"/>
  <c r="CU48" i="15"/>
  <c r="CU45" i="15"/>
  <c r="CU44" i="15" s="1"/>
  <c r="CU43" i="15" s="1"/>
  <c r="CT45" i="15"/>
  <c r="CT44" i="15" s="1"/>
  <c r="CT43" i="15" s="1"/>
  <c r="CU93" i="13"/>
  <c r="CU90" i="13"/>
  <c r="CT49" i="13"/>
  <c r="CT48" i="13" s="1"/>
  <c r="CU48" i="13"/>
  <c r="CU45" i="13"/>
  <c r="CU44" i="13" s="1"/>
  <c r="CT45" i="13"/>
  <c r="CT44" i="13" s="1"/>
  <c r="CT43" i="13" s="1"/>
  <c r="DM49" i="36"/>
  <c r="DM48" i="36" s="1"/>
  <c r="DN48" i="36"/>
  <c r="DN45" i="36"/>
  <c r="DN44" i="36" s="1"/>
  <c r="DM45" i="36"/>
  <c r="DM44" i="36" s="1"/>
  <c r="DM43" i="36" s="1"/>
  <c r="CA94" i="15"/>
  <c r="CA98" i="15"/>
  <c r="EE41" i="3"/>
  <c r="ED41" i="3"/>
  <c r="EE49" i="3"/>
  <c r="CA93" i="14"/>
  <c r="CA90" i="14"/>
  <c r="BZ49" i="14"/>
  <c r="BZ48" i="14" s="1"/>
  <c r="CA48" i="14"/>
  <c r="CA45" i="14"/>
  <c r="BZ45" i="14"/>
  <c r="EE86" i="3" l="1"/>
  <c r="EE84" i="3"/>
  <c r="BS47" i="36"/>
  <c r="BS86" i="36"/>
  <c r="BS84" i="36"/>
  <c r="DN89" i="36"/>
  <c r="DN87" i="36"/>
  <c r="BM84" i="34"/>
  <c r="BM86" i="34"/>
  <c r="BK84" i="38"/>
  <c r="BK86" i="38"/>
  <c r="CC144" i="15"/>
  <c r="CC99" i="15"/>
  <c r="CC124" i="15" s="1"/>
  <c r="CU144" i="15"/>
  <c r="CU99" i="15"/>
  <c r="CU124" i="15" s="1"/>
  <c r="CU94" i="13"/>
  <c r="CU98" i="13"/>
  <c r="CU47" i="13"/>
  <c r="CU43" i="13"/>
  <c r="DN47" i="36"/>
  <c r="DN43" i="36"/>
  <c r="CA144" i="15"/>
  <c r="CA99" i="15"/>
  <c r="CA124" i="15" s="1"/>
  <c r="EE45" i="3"/>
  <c r="EE44" i="3" s="1"/>
  <c r="ED45" i="3"/>
  <c r="ED44" i="3" s="1"/>
  <c r="ED43" i="3" s="1"/>
  <c r="ED49" i="3"/>
  <c r="ED48" i="3" s="1"/>
  <c r="EE48" i="3"/>
  <c r="CA94" i="14"/>
  <c r="CA98" i="14"/>
  <c r="EE87" i="3" l="1"/>
  <c r="EE89" i="3"/>
  <c r="DN93" i="36"/>
  <c r="DN90" i="36"/>
  <c r="BS89" i="36"/>
  <c r="BS87" i="36"/>
  <c r="BM87" i="34"/>
  <c r="BM89" i="34"/>
  <c r="BK89" i="38"/>
  <c r="BK87" i="38"/>
  <c r="CU144" i="13"/>
  <c r="CU99" i="13"/>
  <c r="CU124" i="13" s="1"/>
  <c r="EE47" i="3"/>
  <c r="EE43" i="3"/>
  <c r="CA144" i="14"/>
  <c r="CA99" i="14"/>
  <c r="CA124" i="14" s="1"/>
  <c r="EE90" i="3" l="1"/>
  <c r="EE93" i="3"/>
  <c r="BS90" i="36"/>
  <c r="BS93" i="36"/>
  <c r="DN98" i="36"/>
  <c r="DN94" i="36"/>
  <c r="BM90" i="34"/>
  <c r="BM93" i="34"/>
  <c r="BK93" i="38"/>
  <c r="BK90" i="38"/>
  <c r="CA153" i="13"/>
  <c r="CA151" i="13"/>
  <c r="CA150" i="13"/>
  <c r="CA138" i="13"/>
  <c r="CA135" i="13"/>
  <c r="CA141" i="13" s="1"/>
  <c r="CA131" i="13"/>
  <c r="CA123" i="13"/>
  <c r="CA122" i="13"/>
  <c r="CA121" i="13"/>
  <c r="CA120" i="13"/>
  <c r="CA119" i="13"/>
  <c r="CA106" i="13"/>
  <c r="CA100" i="13"/>
  <c r="CA104" i="13" s="1"/>
  <c r="CA105" i="13" s="1"/>
  <c r="CA67" i="13"/>
  <c r="CA60" i="13"/>
  <c r="CA57" i="13"/>
  <c r="BZ9" i="13" s="1"/>
  <c r="CA52" i="13"/>
  <c r="CA42" i="13"/>
  <c r="CA39" i="13"/>
  <c r="BZ32" i="13"/>
  <c r="BZ42" i="13" s="1"/>
  <c r="CA31" i="13"/>
  <c r="BZ31" i="13"/>
  <c r="BZ19" i="13"/>
  <c r="CA15" i="13"/>
  <c r="CA19" i="13" s="1"/>
  <c r="BZ2" i="13"/>
  <c r="BZ10" i="13" s="1"/>
  <c r="CA10" i="13" s="1"/>
  <c r="CA74" i="13" s="1"/>
  <c r="CA71" i="13" s="1"/>
  <c r="BI135" i="35"/>
  <c r="BI141" i="35" s="1"/>
  <c r="BI123" i="35"/>
  <c r="BI122" i="35"/>
  <c r="BI121" i="35"/>
  <c r="BI120" i="35"/>
  <c r="BI117" i="35" s="1"/>
  <c r="BI116" i="35" s="1"/>
  <c r="BI114" i="35" s="1"/>
  <c r="BI115" i="35" s="1"/>
  <c r="BI119" i="35"/>
  <c r="BI106" i="35"/>
  <c r="BI104" i="35"/>
  <c r="BI105" i="35" s="1"/>
  <c r="BI67" i="35"/>
  <c r="BI65" i="35"/>
  <c r="BI60" i="35" s="1"/>
  <c r="BI63" i="35"/>
  <c r="BI52" i="35"/>
  <c r="BH42" i="35"/>
  <c r="BI31" i="35"/>
  <c r="BH31" i="35"/>
  <c r="BH30" i="35"/>
  <c r="BH29" i="35" s="1"/>
  <c r="BI25" i="35"/>
  <c r="BH25" i="35"/>
  <c r="BH19" i="35"/>
  <c r="BI15" i="35"/>
  <c r="BI19" i="35" s="1"/>
  <c r="BH9" i="35"/>
  <c r="BH2" i="35"/>
  <c r="BH10" i="35" s="1"/>
  <c r="CC92" i="34"/>
  <c r="BK137" i="34"/>
  <c r="BK135" i="34"/>
  <c r="BK141" i="34" s="1"/>
  <c r="BK131" i="34"/>
  <c r="BK123" i="34"/>
  <c r="BK122" i="34"/>
  <c r="BK121" i="34"/>
  <c r="BK120" i="34"/>
  <c r="BK119" i="34"/>
  <c r="BK106" i="34"/>
  <c r="BK104" i="34"/>
  <c r="BK105" i="34" s="1"/>
  <c r="BK67" i="34"/>
  <c r="BK65" i="34"/>
  <c r="BK63" i="34"/>
  <c r="BK52" i="34"/>
  <c r="BK42" i="34"/>
  <c r="BJ32" i="34"/>
  <c r="BJ42" i="34" s="1"/>
  <c r="BK31" i="34"/>
  <c r="BK30" i="34"/>
  <c r="BK29" i="34" s="1"/>
  <c r="BJ26" i="34"/>
  <c r="BJ25" i="34" s="1"/>
  <c r="BK25" i="34"/>
  <c r="BJ19" i="34"/>
  <c r="BK15" i="34"/>
  <c r="BK19" i="34" s="1"/>
  <c r="BJ9" i="34"/>
  <c r="BJ2" i="34"/>
  <c r="BJ10" i="34" s="1"/>
  <c r="BG135" i="33"/>
  <c r="BG141" i="33" s="1"/>
  <c r="BG104" i="33"/>
  <c r="BG63" i="33"/>
  <c r="BG42" i="33"/>
  <c r="BF32" i="33"/>
  <c r="BF30" i="33" s="1"/>
  <c r="BF29" i="33" s="1"/>
  <c r="BG31" i="33"/>
  <c r="BG26" i="33"/>
  <c r="BG30" i="33" s="1"/>
  <c r="BG29" i="33" s="1"/>
  <c r="BF25" i="33"/>
  <c r="BF19" i="33"/>
  <c r="BG15" i="33"/>
  <c r="BG19" i="33" s="1"/>
  <c r="BF9" i="33"/>
  <c r="BF2" i="33"/>
  <c r="BF10" i="33" s="1"/>
  <c r="BQ153" i="36"/>
  <c r="BQ151" i="36"/>
  <c r="BQ150" i="36"/>
  <c r="BQ138" i="36"/>
  <c r="BQ135" i="36"/>
  <c r="BQ141" i="36" s="1"/>
  <c r="BQ131" i="36"/>
  <c r="BQ123" i="36"/>
  <c r="BQ122" i="36"/>
  <c r="BQ121" i="36"/>
  <c r="BQ120" i="36"/>
  <c r="BQ119" i="36"/>
  <c r="BQ106" i="36"/>
  <c r="BQ100" i="36"/>
  <c r="BQ104" i="36" s="1"/>
  <c r="BQ105" i="36" s="1"/>
  <c r="BQ65" i="36"/>
  <c r="BQ59" i="36" s="1"/>
  <c r="BQ60" i="36"/>
  <c r="BQ57" i="36"/>
  <c r="BP9" i="36" s="1"/>
  <c r="BQ52" i="36"/>
  <c r="BQ42" i="36"/>
  <c r="BP32" i="36"/>
  <c r="BP31" i="36" s="1"/>
  <c r="BQ31" i="36"/>
  <c r="BQ30" i="36"/>
  <c r="BQ29" i="36" s="1"/>
  <c r="BQ25" i="36"/>
  <c r="BQ24" i="36"/>
  <c r="BQ23" i="36" s="1"/>
  <c r="BP20" i="36"/>
  <c r="BP19" i="36"/>
  <c r="BQ15" i="36"/>
  <c r="BQ19" i="36" s="1"/>
  <c r="BP2" i="36"/>
  <c r="BP10" i="36" s="1"/>
  <c r="DL153" i="36"/>
  <c r="DL151" i="36"/>
  <c r="DL150" i="36"/>
  <c r="DL138" i="36"/>
  <c r="DL135" i="36"/>
  <c r="DL141" i="36" s="1"/>
  <c r="DL131" i="36"/>
  <c r="DL123" i="36"/>
  <c r="DL122" i="36"/>
  <c r="DL121" i="36"/>
  <c r="DL120" i="36"/>
  <c r="DL119" i="36"/>
  <c r="DL106" i="36"/>
  <c r="DL100" i="36"/>
  <c r="DL104" i="36" s="1"/>
  <c r="DL105" i="36" s="1"/>
  <c r="DL65" i="36"/>
  <c r="DL60" i="36" s="1"/>
  <c r="DK8" i="36" s="1"/>
  <c r="DL57" i="36"/>
  <c r="DK9" i="36" s="1"/>
  <c r="DL52" i="36"/>
  <c r="DL42" i="36"/>
  <c r="DK32" i="36"/>
  <c r="DK31" i="36" s="1"/>
  <c r="DL31" i="36"/>
  <c r="DL26" i="36"/>
  <c r="DL30" i="36" s="1"/>
  <c r="DL29" i="36" s="1"/>
  <c r="DK20" i="36"/>
  <c r="DK19" i="36"/>
  <c r="DL15" i="36"/>
  <c r="DL19" i="36" s="1"/>
  <c r="DK2" i="36"/>
  <c r="DK10" i="36" s="1"/>
  <c r="DL10" i="36" s="1"/>
  <c r="DL74" i="36" s="1"/>
  <c r="DL78" i="36" s="1"/>
  <c r="BX181" i="15"/>
  <c r="BY137" i="15"/>
  <c r="BY135" i="15"/>
  <c r="BY141" i="15" s="1"/>
  <c r="BY131" i="15"/>
  <c r="BY123" i="15"/>
  <c r="BY122" i="15"/>
  <c r="BY121" i="15"/>
  <c r="BY120" i="15"/>
  <c r="BY119" i="15"/>
  <c r="BY106" i="15"/>
  <c r="BY104" i="15"/>
  <c r="BY105" i="15" s="1"/>
  <c r="BX72" i="15"/>
  <c r="BY65" i="15"/>
  <c r="BY59" i="15" s="1"/>
  <c r="BY57" i="15"/>
  <c r="BX9" i="15" s="1"/>
  <c r="BY52" i="15"/>
  <c r="BY42" i="15"/>
  <c r="BX32" i="15"/>
  <c r="BX31" i="15" s="1"/>
  <c r="BY31" i="15"/>
  <c r="BY30" i="15"/>
  <c r="BY29" i="15" s="1"/>
  <c r="BX26" i="15"/>
  <c r="BX25" i="15" s="1"/>
  <c r="BY25" i="15"/>
  <c r="BY20" i="15"/>
  <c r="BY24" i="15" s="1"/>
  <c r="BY23" i="15" s="1"/>
  <c r="BX19" i="15"/>
  <c r="BX16" i="15"/>
  <c r="BX20" i="15" s="1"/>
  <c r="BY15" i="15"/>
  <c r="BY19" i="15" s="1"/>
  <c r="BX2" i="15"/>
  <c r="BX10" i="15" s="1"/>
  <c r="BY10" i="15" s="1"/>
  <c r="BY74" i="15" s="1"/>
  <c r="BY78" i="15" s="1"/>
  <c r="BY135" i="14"/>
  <c r="BY141" i="14" s="1"/>
  <c r="BY131" i="14"/>
  <c r="BY123" i="14"/>
  <c r="BY122" i="14"/>
  <c r="BY121" i="14"/>
  <c r="BY120" i="14"/>
  <c r="BY119" i="14"/>
  <c r="BY106" i="14"/>
  <c r="BY104" i="14"/>
  <c r="BY105" i="14" s="1"/>
  <c r="BY67" i="14"/>
  <c r="BY65" i="14"/>
  <c r="BY57" i="14"/>
  <c r="BX9" i="14" s="1"/>
  <c r="BY52" i="14"/>
  <c r="BX19" i="14"/>
  <c r="BY15" i="14"/>
  <c r="BY19" i="14" s="1"/>
  <c r="BX2" i="14"/>
  <c r="BX10" i="14" s="1"/>
  <c r="BY10" i="14" s="1"/>
  <c r="BY74" i="14" s="1"/>
  <c r="BY71" i="14" s="1"/>
  <c r="BY153" i="13"/>
  <c r="BY151" i="13"/>
  <c r="BY150" i="13"/>
  <c r="BY138" i="13"/>
  <c r="BY135" i="13"/>
  <c r="BY141" i="13" s="1"/>
  <c r="BY131" i="13"/>
  <c r="BY123" i="13"/>
  <c r="BY122" i="13"/>
  <c r="BY121" i="13"/>
  <c r="BY120" i="13"/>
  <c r="BY119" i="13"/>
  <c r="BY106" i="13"/>
  <c r="BY100" i="13"/>
  <c r="BY104" i="13" s="1"/>
  <c r="BY105" i="13" s="1"/>
  <c r="BY67" i="13"/>
  <c r="BX72" i="13" s="1"/>
  <c r="BY65" i="13"/>
  <c r="BY57" i="13"/>
  <c r="BX9" i="13" s="1"/>
  <c r="BY52" i="13"/>
  <c r="BY42" i="13"/>
  <c r="BY39" i="13"/>
  <c r="BX32" i="13"/>
  <c r="BX31" i="13" s="1"/>
  <c r="BY31" i="13"/>
  <c r="BX19" i="13"/>
  <c r="BY15" i="13"/>
  <c r="BY19" i="13" s="1"/>
  <c r="BX2" i="13"/>
  <c r="BX10" i="13" s="1"/>
  <c r="BY10" i="13" s="1"/>
  <c r="BY74" i="13" s="1"/>
  <c r="BY71" i="13" s="1"/>
  <c r="BG25" i="33" l="1"/>
  <c r="DL80" i="36"/>
  <c r="EE98" i="3"/>
  <c r="EE94" i="3"/>
  <c r="BY80" i="15"/>
  <c r="BY82" i="15" s="1"/>
  <c r="BY71" i="15"/>
  <c r="DN99" i="36"/>
  <c r="DN124" i="36" s="1"/>
  <c r="DN144" i="36"/>
  <c r="BS98" i="36"/>
  <c r="BS94" i="36"/>
  <c r="BK96" i="34"/>
  <c r="BM94" i="34"/>
  <c r="BM98" i="34"/>
  <c r="BI56" i="35"/>
  <c r="BI53" i="35" s="1"/>
  <c r="BH8" i="35"/>
  <c r="BI59" i="35"/>
  <c r="BI96" i="35"/>
  <c r="BK98" i="38"/>
  <c r="BK94" i="38"/>
  <c r="BY80" i="14"/>
  <c r="BY82" i="14" s="1"/>
  <c r="BQ117" i="36"/>
  <c r="BQ116" i="36" s="1"/>
  <c r="BQ114" i="36" s="1"/>
  <c r="BQ115" i="36" s="1"/>
  <c r="BY117" i="15"/>
  <c r="BY116" i="15" s="1"/>
  <c r="BY114" i="15" s="1"/>
  <c r="BY115" i="15" s="1"/>
  <c r="BY60" i="14"/>
  <c r="BY60" i="13"/>
  <c r="BY56" i="13" s="1"/>
  <c r="BK117" i="34"/>
  <c r="BK116" i="34" s="1"/>
  <c r="BK114" i="34" s="1"/>
  <c r="BK115" i="34" s="1"/>
  <c r="BJ31" i="34"/>
  <c r="DL25" i="36"/>
  <c r="BY117" i="14"/>
  <c r="BY116" i="14" s="1"/>
  <c r="BY114" i="14" s="1"/>
  <c r="BY115" i="14" s="1"/>
  <c r="BY60" i="15"/>
  <c r="BY108" i="15" s="1"/>
  <c r="BY109" i="15" s="1"/>
  <c r="BX24" i="15"/>
  <c r="BX23" i="15" s="1"/>
  <c r="CA96" i="13"/>
  <c r="BY96" i="13"/>
  <c r="CA117" i="13"/>
  <c r="CA116" i="13" s="1"/>
  <c r="CA114" i="13" s="1"/>
  <c r="CA115" i="13" s="1"/>
  <c r="BK60" i="34"/>
  <c r="BJ62" i="34" s="1"/>
  <c r="DL24" i="36"/>
  <c r="DL23" i="36" s="1"/>
  <c r="DL59" i="36"/>
  <c r="BP42" i="36"/>
  <c r="BQ96" i="36"/>
  <c r="DL117" i="36"/>
  <c r="DL116" i="36" s="1"/>
  <c r="DL114" i="36" s="1"/>
  <c r="DL115" i="36" s="1"/>
  <c r="BQ56" i="36"/>
  <c r="BQ50" i="36" s="1"/>
  <c r="BQ63" i="36"/>
  <c r="DL149" i="36"/>
  <c r="DL152" i="36" s="1"/>
  <c r="DL154" i="36" s="1"/>
  <c r="DL83" i="36"/>
  <c r="DL84" i="36" s="1"/>
  <c r="DL96" i="36"/>
  <c r="BX30" i="15"/>
  <c r="BX29" i="15" s="1"/>
  <c r="BY111" i="14"/>
  <c r="BY112" i="14" s="1"/>
  <c r="BY56" i="14"/>
  <c r="BY50" i="14" s="1"/>
  <c r="BY96" i="14"/>
  <c r="BX72" i="14"/>
  <c r="BY132" i="14"/>
  <c r="BY133" i="14" s="1"/>
  <c r="BY142" i="14" s="1"/>
  <c r="BY53" i="14"/>
  <c r="BY59" i="14"/>
  <c r="CA56" i="13"/>
  <c r="CA111" i="13"/>
  <c r="CA112" i="13" s="1"/>
  <c r="BZ8" i="13"/>
  <c r="CA108" i="13"/>
  <c r="CA109" i="13" s="1"/>
  <c r="CA129" i="13"/>
  <c r="CA130" i="13" s="1"/>
  <c r="CA75" i="13"/>
  <c r="CA76" i="13"/>
  <c r="CA126" i="13"/>
  <c r="CA127" i="13" s="1"/>
  <c r="CA132" i="13"/>
  <c r="CA133" i="13" s="1"/>
  <c r="CA142" i="13" s="1"/>
  <c r="CA69" i="13"/>
  <c r="CA80" i="13"/>
  <c r="CA78" i="13"/>
  <c r="CA149" i="13" s="1"/>
  <c r="CA152" i="13" s="1"/>
  <c r="CA154" i="13" s="1"/>
  <c r="BZ72" i="13"/>
  <c r="CA59" i="13"/>
  <c r="BX42" i="13"/>
  <c r="BH16" i="35"/>
  <c r="BH20" i="35" s="1"/>
  <c r="BH24" i="35" s="1"/>
  <c r="BH23" i="35" s="1"/>
  <c r="BI10" i="35"/>
  <c r="BI69" i="35" s="1"/>
  <c r="BI30" i="35"/>
  <c r="BI29" i="35" s="1"/>
  <c r="BH62" i="35"/>
  <c r="BI42" i="35"/>
  <c r="BJ16" i="34"/>
  <c r="BJ20" i="34" s="1"/>
  <c r="BJ24" i="34" s="1"/>
  <c r="BJ23" i="34" s="1"/>
  <c r="BK10" i="34"/>
  <c r="BJ30" i="34"/>
  <c r="BJ29" i="34" s="1"/>
  <c r="BK59" i="34"/>
  <c r="BG10" i="33"/>
  <c r="BG74" i="33" s="1"/>
  <c r="BF16" i="33"/>
  <c r="BF20" i="33" s="1"/>
  <c r="BF24" i="33" s="1"/>
  <c r="BF23" i="33" s="1"/>
  <c r="BF31" i="33"/>
  <c r="BF42" i="33"/>
  <c r="BQ10" i="36"/>
  <c r="BP16" i="36"/>
  <c r="BP8" i="36"/>
  <c r="DL108" i="36"/>
  <c r="DL109" i="36" s="1"/>
  <c r="DL56" i="36"/>
  <c r="DL68" i="36" s="1"/>
  <c r="DL132" i="36"/>
  <c r="DL133" i="36" s="1"/>
  <c r="DL142" i="36" s="1"/>
  <c r="DL75" i="36"/>
  <c r="DL76" i="36" s="1"/>
  <c r="DL69" i="36"/>
  <c r="DL129" i="36"/>
  <c r="DL130" i="36" s="1"/>
  <c r="DL126" i="36"/>
  <c r="DL127" i="36" s="1"/>
  <c r="DK16" i="36"/>
  <c r="DL16" i="36"/>
  <c r="DK42" i="36"/>
  <c r="DL63" i="36"/>
  <c r="DL111" i="36"/>
  <c r="DL112" i="36" s="1"/>
  <c r="DL81" i="36"/>
  <c r="DL82" i="36"/>
  <c r="BY83" i="15"/>
  <c r="BY86" i="15" s="1"/>
  <c r="BY81" i="15"/>
  <c r="BY76" i="15"/>
  <c r="BY132" i="15"/>
  <c r="BY133" i="15" s="1"/>
  <c r="BY142" i="15" s="1"/>
  <c r="BY75" i="15"/>
  <c r="BY129" i="15"/>
  <c r="BY130" i="15" s="1"/>
  <c r="BY69" i="15"/>
  <c r="BY126" i="15"/>
  <c r="BY127" i="15" s="1"/>
  <c r="BX42" i="15"/>
  <c r="BY96" i="15"/>
  <c r="BY76" i="14"/>
  <c r="BY69" i="14"/>
  <c r="BY75" i="14"/>
  <c r="BX62" i="14"/>
  <c r="BY108" i="14"/>
  <c r="BY109" i="14" s="1"/>
  <c r="BX8" i="14"/>
  <c r="BY78" i="14"/>
  <c r="BY117" i="13"/>
  <c r="BY116" i="13" s="1"/>
  <c r="BY114" i="13" s="1"/>
  <c r="BY115" i="13" s="1"/>
  <c r="BY132" i="13"/>
  <c r="BY133" i="13" s="1"/>
  <c r="BY142" i="13" s="1"/>
  <c r="BY129" i="13"/>
  <c r="BY130" i="13" s="1"/>
  <c r="BY76" i="13"/>
  <c r="BY75" i="13"/>
  <c r="BY126" i="13"/>
  <c r="BY127" i="13" s="1"/>
  <c r="BY69" i="13"/>
  <c r="BY78" i="13"/>
  <c r="BY149" i="13" s="1"/>
  <c r="BY152" i="13" s="1"/>
  <c r="BY154" i="13" s="1"/>
  <c r="BY80" i="13"/>
  <c r="BY59" i="13"/>
  <c r="BX63" i="15" l="1"/>
  <c r="BY111" i="15"/>
  <c r="BY112" i="15" s="1"/>
  <c r="BY81" i="14"/>
  <c r="BY83" i="14"/>
  <c r="EE99" i="3"/>
  <c r="EE143" i="3"/>
  <c r="BS144" i="36"/>
  <c r="BS99" i="36"/>
  <c r="BS124" i="36" s="1"/>
  <c r="BQ74" i="36"/>
  <c r="BK132" i="34"/>
  <c r="BK133" i="34" s="1"/>
  <c r="BK74" i="34"/>
  <c r="BK75" i="34" s="1"/>
  <c r="BM144" i="34"/>
  <c r="BM99" i="34"/>
  <c r="BI16" i="35"/>
  <c r="BI20" i="35" s="1"/>
  <c r="BI24" i="35" s="1"/>
  <c r="BI23" i="35" s="1"/>
  <c r="BI74" i="35"/>
  <c r="BI68" i="35"/>
  <c r="BI50" i="35"/>
  <c r="BK143" i="38"/>
  <c r="BK99" i="38"/>
  <c r="BG80" i="33"/>
  <c r="BG81" i="33" s="1"/>
  <c r="BG71" i="33"/>
  <c r="BG16" i="33"/>
  <c r="BG20" i="33" s="1"/>
  <c r="BG24" i="33" s="1"/>
  <c r="BG23" i="33" s="1"/>
  <c r="BY68" i="14"/>
  <c r="BY63" i="14" s="1"/>
  <c r="BY54" i="14"/>
  <c r="DL86" i="36"/>
  <c r="DL89" i="36" s="1"/>
  <c r="BX8" i="15"/>
  <c r="BY56" i="15"/>
  <c r="BY68" i="15" s="1"/>
  <c r="BY111" i="13"/>
  <c r="BY112" i="13" s="1"/>
  <c r="BY108" i="13"/>
  <c r="BY109" i="13" s="1"/>
  <c r="BX8" i="13"/>
  <c r="BJ8" i="34"/>
  <c r="BK56" i="34"/>
  <c r="BK68" i="34" s="1"/>
  <c r="BQ132" i="36"/>
  <c r="BQ133" i="36" s="1"/>
  <c r="BQ142" i="36" s="1"/>
  <c r="BQ53" i="36"/>
  <c r="BQ68" i="36"/>
  <c r="BY84" i="15"/>
  <c r="BY49" i="14"/>
  <c r="BX45" i="14" s="1"/>
  <c r="CA82" i="13"/>
  <c r="CA83" i="13"/>
  <c r="CA81" i="13"/>
  <c r="CA50" i="13"/>
  <c r="CA54" i="13" s="1"/>
  <c r="CA68" i="13"/>
  <c r="CA53" i="13"/>
  <c r="BI132" i="35"/>
  <c r="BI133" i="35" s="1"/>
  <c r="BI142" i="35" s="1"/>
  <c r="BI76" i="35"/>
  <c r="BI129" i="35"/>
  <c r="BI130" i="35" s="1"/>
  <c r="BI126" i="35"/>
  <c r="BI127" i="35" s="1"/>
  <c r="BK76" i="34"/>
  <c r="BK129" i="34"/>
  <c r="BK130" i="34" s="1"/>
  <c r="BK142" i="34" s="1"/>
  <c r="BK16" i="34"/>
  <c r="BK20" i="34" s="1"/>
  <c r="BK24" i="34" s="1"/>
  <c r="BK23" i="34" s="1"/>
  <c r="BK69" i="34"/>
  <c r="BG76" i="33"/>
  <c r="BG75" i="33"/>
  <c r="BG69" i="33"/>
  <c r="BG132" i="33"/>
  <c r="BG129" i="33"/>
  <c r="BG126" i="33"/>
  <c r="BQ69" i="36"/>
  <c r="BQ129" i="36"/>
  <c r="BQ130" i="36" s="1"/>
  <c r="BQ126" i="36"/>
  <c r="BQ127" i="36" s="1"/>
  <c r="BQ54" i="36"/>
  <c r="DL50" i="36"/>
  <c r="DL54" i="36" s="1"/>
  <c r="DL41" i="36" s="1"/>
  <c r="DL53" i="36"/>
  <c r="BY89" i="15"/>
  <c r="BY87" i="15"/>
  <c r="BY86" i="14"/>
  <c r="BY84" i="14"/>
  <c r="BY81" i="13"/>
  <c r="BY83" i="13"/>
  <c r="BY82" i="13"/>
  <c r="BY53" i="13"/>
  <c r="BY50" i="13"/>
  <c r="BY54" i="13" s="1"/>
  <c r="BY68" i="13"/>
  <c r="BK111" i="34" l="1"/>
  <c r="BK112" i="34" s="1"/>
  <c r="BK108" i="34"/>
  <c r="BK109" i="34" s="1"/>
  <c r="BQ78" i="36"/>
  <c r="BQ149" i="36" s="1"/>
  <c r="BQ152" i="36" s="1"/>
  <c r="BQ154" i="36" s="1"/>
  <c r="BQ71" i="36"/>
  <c r="BQ80" i="36"/>
  <c r="BQ108" i="36"/>
  <c r="BQ109" i="36" s="1"/>
  <c r="BQ111" i="36"/>
  <c r="BQ112" i="36" s="1"/>
  <c r="BQ75" i="36"/>
  <c r="BQ76" i="36" s="1"/>
  <c r="BK71" i="34"/>
  <c r="BK80" i="34"/>
  <c r="BI54" i="35"/>
  <c r="BI49" i="35" s="1"/>
  <c r="BI71" i="35"/>
  <c r="BI111" i="35"/>
  <c r="BI112" i="35" s="1"/>
  <c r="BI80" i="35"/>
  <c r="BI108" i="35"/>
  <c r="BI109" i="35" s="1"/>
  <c r="BI75" i="35"/>
  <c r="BG83" i="33"/>
  <c r="BG82" i="33"/>
  <c r="BK53" i="34"/>
  <c r="BK50" i="34"/>
  <c r="BK54" i="34" s="1"/>
  <c r="BK41" i="34" s="1"/>
  <c r="DL87" i="36"/>
  <c r="BY53" i="15"/>
  <c r="BY50" i="15"/>
  <c r="BY54" i="15" s="1"/>
  <c r="BY41" i="15" s="1"/>
  <c r="BX49" i="14"/>
  <c r="BX48" i="14" s="1"/>
  <c r="BY45" i="14"/>
  <c r="BY48" i="14"/>
  <c r="CA49" i="13"/>
  <c r="CA41" i="13"/>
  <c r="BZ41" i="13"/>
  <c r="CA86" i="13"/>
  <c r="CA84" i="13"/>
  <c r="BP41" i="36"/>
  <c r="BQ41" i="36"/>
  <c r="BQ49" i="36"/>
  <c r="DK41" i="36"/>
  <c r="DL49" i="36"/>
  <c r="DK45" i="36" s="1"/>
  <c r="DK44" i="36" s="1"/>
  <c r="DK43" i="36" s="1"/>
  <c r="DL90" i="36"/>
  <c r="DL93" i="36"/>
  <c r="BY93" i="15"/>
  <c r="BY90" i="15"/>
  <c r="BY89" i="14"/>
  <c r="BY87" i="14"/>
  <c r="BY41" i="13"/>
  <c r="BX41" i="13"/>
  <c r="BY84" i="13"/>
  <c r="BY86" i="13"/>
  <c r="BY49" i="13"/>
  <c r="BQ82" i="36" l="1"/>
  <c r="BQ83" i="36"/>
  <c r="BQ81" i="36"/>
  <c r="BK49" i="34"/>
  <c r="BJ41" i="34"/>
  <c r="BK83" i="34"/>
  <c r="BK82" i="34"/>
  <c r="BK81" i="34"/>
  <c r="BI82" i="35"/>
  <c r="BI83" i="35"/>
  <c r="BI81" i="35"/>
  <c r="BI45" i="35"/>
  <c r="BH49" i="35"/>
  <c r="BH48" i="35" s="1"/>
  <c r="BI48" i="35"/>
  <c r="BH45" i="35"/>
  <c r="BH41" i="35"/>
  <c r="BI41" i="35"/>
  <c r="BG86" i="33"/>
  <c r="BG84" i="33"/>
  <c r="BX41" i="15"/>
  <c r="BY49" i="15"/>
  <c r="CA89" i="13"/>
  <c r="CA87" i="13"/>
  <c r="BZ45" i="13"/>
  <c r="BZ44" i="13" s="1"/>
  <c r="BZ43" i="13" s="1"/>
  <c r="BZ49" i="13"/>
  <c r="BZ48" i="13" s="1"/>
  <c r="CA48" i="13"/>
  <c r="CA45" i="13"/>
  <c r="CA44" i="13" s="1"/>
  <c r="BK45" i="34"/>
  <c r="BK44" i="34" s="1"/>
  <c r="BK43" i="34" s="1"/>
  <c r="BJ45" i="34"/>
  <c r="BJ44" i="34" s="1"/>
  <c r="BJ43" i="34" s="1"/>
  <c r="BJ49" i="34"/>
  <c r="BJ48" i="34" s="1"/>
  <c r="BK48" i="34"/>
  <c r="BP45" i="36"/>
  <c r="BP44" i="36" s="1"/>
  <c r="BP43" i="36" s="1"/>
  <c r="BQ45" i="36"/>
  <c r="BQ44" i="36" s="1"/>
  <c r="BP49" i="36"/>
  <c r="BP48" i="36" s="1"/>
  <c r="BQ48" i="36"/>
  <c r="DL48" i="36"/>
  <c r="DK49" i="36"/>
  <c r="DK48" i="36" s="1"/>
  <c r="DL45" i="36"/>
  <c r="DL44" i="36" s="1"/>
  <c r="DL47" i="36" s="1"/>
  <c r="DL98" i="36"/>
  <c r="DL94" i="36"/>
  <c r="BY94" i="15"/>
  <c r="BY98" i="15"/>
  <c r="BY93" i="14"/>
  <c r="BY90" i="14"/>
  <c r="BY89" i="13"/>
  <c r="BY87" i="13"/>
  <c r="BX45" i="13"/>
  <c r="BX44" i="13" s="1"/>
  <c r="BX43" i="13" s="1"/>
  <c r="BX49" i="13"/>
  <c r="BX48" i="13" s="1"/>
  <c r="BY45" i="13"/>
  <c r="BY44" i="13" s="1"/>
  <c r="BY48" i="13"/>
  <c r="BQ86" i="36" l="1"/>
  <c r="BQ84" i="36"/>
  <c r="BK86" i="34"/>
  <c r="BK84" i="34"/>
  <c r="BI44" i="35"/>
  <c r="BI43" i="35" s="1"/>
  <c r="BH44" i="35"/>
  <c r="BH43" i="35" s="1"/>
  <c r="BI86" i="35"/>
  <c r="BI84" i="35"/>
  <c r="BG89" i="33"/>
  <c r="BG87" i="33"/>
  <c r="BY48" i="15"/>
  <c r="BX45" i="15"/>
  <c r="BX44" i="15" s="1"/>
  <c r="BX43" i="15" s="1"/>
  <c r="BX49" i="15"/>
  <c r="BX48" i="15" s="1"/>
  <c r="BY45" i="15"/>
  <c r="BY44" i="15" s="1"/>
  <c r="BY43" i="15" s="1"/>
  <c r="CA43" i="13"/>
  <c r="CA47" i="13"/>
  <c r="CA93" i="13"/>
  <c r="CA90" i="13"/>
  <c r="BQ43" i="36"/>
  <c r="BQ47" i="36"/>
  <c r="DL43" i="36"/>
  <c r="DL144" i="36"/>
  <c r="DL99" i="36"/>
  <c r="DL124" i="36" s="1"/>
  <c r="BY144" i="15"/>
  <c r="BY99" i="15"/>
  <c r="BY124" i="15" s="1"/>
  <c r="BY98" i="14"/>
  <c r="BY94" i="14"/>
  <c r="BY43" i="13"/>
  <c r="BY47" i="13"/>
  <c r="BY93" i="13"/>
  <c r="BY90" i="13"/>
  <c r="BQ89" i="36" l="1"/>
  <c r="BQ87" i="36"/>
  <c r="BK89" i="34"/>
  <c r="BK87" i="34"/>
  <c r="BI89" i="35"/>
  <c r="BI87" i="35"/>
  <c r="BG93" i="33"/>
  <c r="BG90" i="33"/>
  <c r="CA98" i="13"/>
  <c r="CA94" i="13"/>
  <c r="BY99" i="14"/>
  <c r="BY124" i="14" s="1"/>
  <c r="BY144" i="14"/>
  <c r="BY98" i="13"/>
  <c r="BY94" i="13"/>
  <c r="BQ93" i="36" l="1"/>
  <c r="BQ90" i="36"/>
  <c r="BK90" i="34"/>
  <c r="BK93" i="34"/>
  <c r="BI90" i="35"/>
  <c r="BI93" i="35"/>
  <c r="BG94" i="33"/>
  <c r="CA99" i="13"/>
  <c r="CA124" i="13" s="1"/>
  <c r="CA144" i="13"/>
  <c r="BY99" i="13"/>
  <c r="BY124" i="13" s="1"/>
  <c r="BY144" i="13"/>
  <c r="BQ98" i="36" l="1"/>
  <c r="BQ94" i="36"/>
  <c r="BK98" i="34"/>
  <c r="BK94" i="34"/>
  <c r="BI98" i="35"/>
  <c r="BI94" i="35"/>
  <c r="CQ153" i="13"/>
  <c r="CQ151" i="13"/>
  <c r="CQ150" i="13"/>
  <c r="CQ138" i="13"/>
  <c r="CQ135" i="13"/>
  <c r="CQ141" i="13" s="1"/>
  <c r="CQ131" i="13"/>
  <c r="CQ123" i="13"/>
  <c r="CQ122" i="13"/>
  <c r="CQ121" i="13"/>
  <c r="CQ120" i="13"/>
  <c r="CQ119" i="13"/>
  <c r="CQ106" i="13"/>
  <c r="CQ100" i="13"/>
  <c r="CQ104" i="13" s="1"/>
  <c r="CQ105" i="13" s="1"/>
  <c r="CQ67" i="13"/>
  <c r="CQ57" i="13"/>
  <c r="CP9" i="13" s="1"/>
  <c r="CQ52" i="13"/>
  <c r="CQ42" i="13"/>
  <c r="CQ39" i="13"/>
  <c r="CP32" i="13"/>
  <c r="CP42" i="13" s="1"/>
  <c r="CQ31" i="13"/>
  <c r="CP19" i="13"/>
  <c r="CQ15" i="13"/>
  <c r="CQ19" i="13" s="1"/>
  <c r="CP2" i="13"/>
  <c r="CP10" i="13" s="1"/>
  <c r="CQ10" i="13" s="1"/>
  <c r="CO153" i="13"/>
  <c r="CO151" i="13"/>
  <c r="CO150" i="13"/>
  <c r="CO138" i="13"/>
  <c r="CO135" i="13"/>
  <c r="CO141" i="13" s="1"/>
  <c r="CO131" i="13"/>
  <c r="CO123" i="13"/>
  <c r="CO122" i="13"/>
  <c r="CO121" i="13"/>
  <c r="CO120" i="13"/>
  <c r="CO119" i="13"/>
  <c r="CO106" i="13"/>
  <c r="CO100" i="13"/>
  <c r="CO104" i="13" s="1"/>
  <c r="CO105" i="13" s="1"/>
  <c r="CO67" i="13"/>
  <c r="CO65" i="13"/>
  <c r="CO57" i="13"/>
  <c r="CN9" i="13" s="1"/>
  <c r="CO52" i="13"/>
  <c r="CO42" i="13"/>
  <c r="CO39" i="13"/>
  <c r="CN32" i="13"/>
  <c r="CN42" i="13" s="1"/>
  <c r="CO31" i="13"/>
  <c r="CN19" i="13"/>
  <c r="CO15" i="13"/>
  <c r="CO19" i="13" s="1"/>
  <c r="CN2" i="13"/>
  <c r="CN10" i="13" s="1"/>
  <c r="CO10" i="13" s="1"/>
  <c r="CP181" i="15"/>
  <c r="CQ137" i="15"/>
  <c r="CQ135" i="15"/>
  <c r="CQ141" i="15" s="1"/>
  <c r="CQ131" i="15"/>
  <c r="CQ123" i="15"/>
  <c r="CQ122" i="15"/>
  <c r="CQ121" i="15"/>
  <c r="CQ120" i="15"/>
  <c r="CQ119" i="15"/>
  <c r="CQ106" i="15"/>
  <c r="CQ104" i="15"/>
  <c r="CQ105" i="15" s="1"/>
  <c r="CP72" i="15"/>
  <c r="CQ65" i="15"/>
  <c r="CQ60" i="15" s="1"/>
  <c r="CQ59" i="15"/>
  <c r="CQ57" i="15"/>
  <c r="CP9" i="15" s="1"/>
  <c r="CQ52" i="15"/>
  <c r="CQ42" i="15"/>
  <c r="CP32" i="15"/>
  <c r="CQ31" i="15"/>
  <c r="CQ30" i="15"/>
  <c r="CQ29" i="15" s="1"/>
  <c r="CP26" i="15"/>
  <c r="CP25" i="15" s="1"/>
  <c r="CQ25" i="15"/>
  <c r="CQ20" i="15"/>
  <c r="CQ24" i="15" s="1"/>
  <c r="CQ23" i="15" s="1"/>
  <c r="CP19" i="15"/>
  <c r="CP16" i="15"/>
  <c r="CP20" i="15" s="1"/>
  <c r="CP24" i="15" s="1"/>
  <c r="CP23" i="15" s="1"/>
  <c r="CQ15" i="15"/>
  <c r="CQ19" i="15" s="1"/>
  <c r="CP2" i="15"/>
  <c r="CP10" i="15" s="1"/>
  <c r="CQ10" i="15" s="1"/>
  <c r="CN181" i="15"/>
  <c r="CO137" i="15"/>
  <c r="CO135" i="15"/>
  <c r="CO141" i="15" s="1"/>
  <c r="CO131" i="15"/>
  <c r="CO123" i="15"/>
  <c r="CO122" i="15"/>
  <c r="CO121" i="15"/>
  <c r="CO120" i="15"/>
  <c r="CO119" i="15"/>
  <c r="CO106" i="15"/>
  <c r="CO104" i="15"/>
  <c r="CO105" i="15" s="1"/>
  <c r="CO65" i="15"/>
  <c r="CO60" i="15" s="1"/>
  <c r="CO59" i="15"/>
  <c r="CO57" i="15"/>
  <c r="CN9" i="15" s="1"/>
  <c r="CO52" i="15"/>
  <c r="CO42" i="15"/>
  <c r="CN32" i="15"/>
  <c r="CN42" i="15" s="1"/>
  <c r="CO31" i="15"/>
  <c r="CO30" i="15"/>
  <c r="CO29" i="15" s="1"/>
  <c r="CN26" i="15"/>
  <c r="CN25" i="15" s="1"/>
  <c r="CO25" i="15"/>
  <c r="CO20" i="15"/>
  <c r="CO24" i="15" s="1"/>
  <c r="CO23" i="15" s="1"/>
  <c r="CN19" i="15"/>
  <c r="CN16" i="15"/>
  <c r="CN20" i="15" s="1"/>
  <c r="CO15" i="15"/>
  <c r="CO19" i="15" s="1"/>
  <c r="CN2" i="15"/>
  <c r="CN10" i="15" s="1"/>
  <c r="CO10" i="15" s="1"/>
  <c r="BG135" i="35"/>
  <c r="BG141" i="35" s="1"/>
  <c r="BG122" i="35"/>
  <c r="BG121" i="35"/>
  <c r="BG120" i="35"/>
  <c r="BG119" i="35"/>
  <c r="BG106" i="35"/>
  <c r="BG104" i="35"/>
  <c r="BG105" i="35" s="1"/>
  <c r="BG96" i="35"/>
  <c r="BG123" i="35"/>
  <c r="BG117" i="35" s="1"/>
  <c r="BG116" i="35" s="1"/>
  <c r="BG114" i="35" s="1"/>
  <c r="BG115" i="35" s="1"/>
  <c r="BG67" i="35"/>
  <c r="BG65" i="35"/>
  <c r="BG60" i="35" s="1"/>
  <c r="BG63" i="35"/>
  <c r="BG52" i="35"/>
  <c r="BF42" i="35"/>
  <c r="BG42" i="35"/>
  <c r="BG31" i="35"/>
  <c r="BF31" i="35"/>
  <c r="BF30" i="35"/>
  <c r="BF29" i="35" s="1"/>
  <c r="BG30" i="35"/>
  <c r="BG29" i="35" s="1"/>
  <c r="BF25" i="35"/>
  <c r="BF19" i="35"/>
  <c r="BG15" i="35"/>
  <c r="BG19" i="35" s="1"/>
  <c r="BF9" i="35"/>
  <c r="BF2" i="35"/>
  <c r="BF10" i="35" s="1"/>
  <c r="DJ153" i="36"/>
  <c r="DJ151" i="36"/>
  <c r="DJ150" i="36"/>
  <c r="DJ138" i="36"/>
  <c r="DJ135" i="36"/>
  <c r="DJ141" i="36" s="1"/>
  <c r="DJ131" i="36"/>
  <c r="DJ123" i="36"/>
  <c r="DJ122" i="36"/>
  <c r="DJ121" i="36"/>
  <c r="DJ120" i="36"/>
  <c r="DJ119" i="36"/>
  <c r="DJ106" i="36"/>
  <c r="DJ100" i="36"/>
  <c r="DJ104" i="36" s="1"/>
  <c r="DJ105" i="36" s="1"/>
  <c r="DJ65" i="36"/>
  <c r="DJ60" i="36" s="1"/>
  <c r="DJ57" i="36"/>
  <c r="DI9" i="36" s="1"/>
  <c r="DJ52" i="36"/>
  <c r="DJ42" i="36"/>
  <c r="DI32" i="36"/>
  <c r="DI31" i="36" s="1"/>
  <c r="DJ31" i="36"/>
  <c r="DJ26" i="36"/>
  <c r="DJ30" i="36" s="1"/>
  <c r="DJ29" i="36" s="1"/>
  <c r="DI20" i="36"/>
  <c r="DI19" i="36"/>
  <c r="DJ15" i="36"/>
  <c r="DJ19" i="36" s="1"/>
  <c r="DI2" i="36"/>
  <c r="DI10" i="36" s="1"/>
  <c r="BO153" i="36"/>
  <c r="BO151" i="36"/>
  <c r="BO150" i="36"/>
  <c r="BO138" i="36"/>
  <c r="BO135" i="36"/>
  <c r="BO96" i="36" s="1"/>
  <c r="BO131" i="36"/>
  <c r="BO123" i="36"/>
  <c r="BO122" i="36"/>
  <c r="BO121" i="36"/>
  <c r="BO120" i="36"/>
  <c r="BO119" i="36"/>
  <c r="BO106" i="36"/>
  <c r="BO100" i="36"/>
  <c r="BO104" i="36" s="1"/>
  <c r="BO105" i="36" s="1"/>
  <c r="BO65" i="36"/>
  <c r="BO59" i="36" s="1"/>
  <c r="BO57" i="36"/>
  <c r="BN9" i="36" s="1"/>
  <c r="BO52" i="36"/>
  <c r="BO42" i="36"/>
  <c r="BN32" i="36"/>
  <c r="BN31" i="36" s="1"/>
  <c r="BO31" i="36"/>
  <c r="BO30" i="36"/>
  <c r="BO29" i="36" s="1"/>
  <c r="BO25" i="36"/>
  <c r="BO24" i="36"/>
  <c r="BO23" i="36"/>
  <c r="BN20" i="36"/>
  <c r="BN19" i="36"/>
  <c r="BO15" i="36"/>
  <c r="BO19" i="36" s="1"/>
  <c r="BN2" i="36"/>
  <c r="BN10" i="36" s="1"/>
  <c r="BV181" i="15"/>
  <c r="BW137" i="15"/>
  <c r="BW135" i="15"/>
  <c r="BW141" i="15" s="1"/>
  <c r="BW131" i="15"/>
  <c r="BW123" i="15"/>
  <c r="BW122" i="15"/>
  <c r="BW121" i="15"/>
  <c r="BW120" i="15"/>
  <c r="BW119" i="15"/>
  <c r="BW106" i="15"/>
  <c r="BW104" i="15"/>
  <c r="BW105" i="15" s="1"/>
  <c r="BV72" i="15"/>
  <c r="BW65" i="15"/>
  <c r="BW60" i="15" s="1"/>
  <c r="BW57" i="15"/>
  <c r="BV9" i="15" s="1"/>
  <c r="BW52" i="15"/>
  <c r="BW42" i="15"/>
  <c r="BV32" i="15"/>
  <c r="BV31" i="15" s="1"/>
  <c r="BW31" i="15"/>
  <c r="BW30" i="15"/>
  <c r="BW29" i="15" s="1"/>
  <c r="BV26" i="15"/>
  <c r="BV25" i="15" s="1"/>
  <c r="BW25" i="15"/>
  <c r="BW20" i="15"/>
  <c r="BW24" i="15" s="1"/>
  <c r="BW23" i="15" s="1"/>
  <c r="BV19" i="15"/>
  <c r="BV16" i="15"/>
  <c r="BV20" i="15" s="1"/>
  <c r="BW15" i="15"/>
  <c r="BW19" i="15" s="1"/>
  <c r="BV2" i="15"/>
  <c r="BV10" i="15" s="1"/>
  <c r="BW10" i="15" s="1"/>
  <c r="BW74" i="15" s="1"/>
  <c r="BW78" i="15" s="1"/>
  <c r="EB140" i="3"/>
  <c r="EB137" i="3"/>
  <c r="EB123" i="3"/>
  <c r="EB122" i="3"/>
  <c r="EB121" i="3"/>
  <c r="EB120" i="3"/>
  <c r="EB119" i="3"/>
  <c r="EB106" i="3"/>
  <c r="EB100" i="3"/>
  <c r="EB104" i="3" s="1"/>
  <c r="EB105" i="3" s="1"/>
  <c r="EB96" i="3"/>
  <c r="EB67" i="3"/>
  <c r="EB65" i="3"/>
  <c r="EB63" i="3"/>
  <c r="EB52" i="3"/>
  <c r="EB42" i="3"/>
  <c r="EA32" i="3"/>
  <c r="EA31" i="3" s="1"/>
  <c r="EB31" i="3"/>
  <c r="EB30" i="3"/>
  <c r="EB29" i="3" s="1"/>
  <c r="EA26" i="3"/>
  <c r="EA30" i="3" s="1"/>
  <c r="EA29" i="3" s="1"/>
  <c r="EB25" i="3"/>
  <c r="EA25" i="3" s="1"/>
  <c r="EA19" i="3"/>
  <c r="EB15" i="3"/>
  <c r="EB19" i="3" s="1"/>
  <c r="EA9" i="3"/>
  <c r="EA2" i="3"/>
  <c r="EA10" i="3" s="1"/>
  <c r="BW135" i="14"/>
  <c r="BW141" i="14" s="1"/>
  <c r="BW131" i="14"/>
  <c r="BW123" i="14"/>
  <c r="BW122" i="14"/>
  <c r="BW121" i="14"/>
  <c r="BW120" i="14"/>
  <c r="BW119" i="14"/>
  <c r="BW106" i="14"/>
  <c r="BW104" i="14"/>
  <c r="BW105" i="14" s="1"/>
  <c r="BW67" i="14"/>
  <c r="BW65" i="14"/>
  <c r="BW57" i="14"/>
  <c r="BV9" i="14" s="1"/>
  <c r="BW52" i="14"/>
  <c r="BV19" i="14"/>
  <c r="BW15" i="14"/>
  <c r="BW19" i="14" s="1"/>
  <c r="BV2" i="14"/>
  <c r="BV10" i="14" s="1"/>
  <c r="BW10" i="14" s="1"/>
  <c r="BW74" i="14" s="1"/>
  <c r="BW71" i="14" s="1"/>
  <c r="BW153" i="13"/>
  <c r="BW151" i="13"/>
  <c r="BW150" i="13"/>
  <c r="BW138" i="13"/>
  <c r="BW135" i="13"/>
  <c r="BW141" i="13" s="1"/>
  <c r="BW131" i="13"/>
  <c r="BW123" i="13"/>
  <c r="BW122" i="13"/>
  <c r="BW121" i="13"/>
  <c r="BW120" i="13"/>
  <c r="BW119" i="13"/>
  <c r="BW106" i="13"/>
  <c r="BW100" i="13"/>
  <c r="BW104" i="13" s="1"/>
  <c r="BW105" i="13" s="1"/>
  <c r="BW67" i="13"/>
  <c r="BW65" i="13"/>
  <c r="BW57" i="13"/>
  <c r="BV9" i="13" s="1"/>
  <c r="BW52" i="13"/>
  <c r="BW42" i="13"/>
  <c r="BW39" i="13"/>
  <c r="BV32" i="13"/>
  <c r="BV42" i="13" s="1"/>
  <c r="BW31" i="13"/>
  <c r="BV19" i="13"/>
  <c r="BW15" i="13"/>
  <c r="BW19" i="13" s="1"/>
  <c r="BV2" i="13"/>
  <c r="BV10" i="13" s="1"/>
  <c r="BW10" i="13" s="1"/>
  <c r="BW74" i="13" s="1"/>
  <c r="BW71" i="13" s="1"/>
  <c r="BW32" i="34"/>
  <c r="BV32" i="34" s="1"/>
  <c r="BV31" i="34" s="1"/>
  <c r="BW137" i="34"/>
  <c r="BW135" i="34"/>
  <c r="BW141" i="34" s="1"/>
  <c r="BW131" i="34"/>
  <c r="BW106" i="34"/>
  <c r="BW104" i="34"/>
  <c r="BW105" i="34" s="1"/>
  <c r="BW71" i="34"/>
  <c r="BW67" i="34"/>
  <c r="BW80" i="34" s="1"/>
  <c r="BW83" i="34" s="1"/>
  <c r="BW65" i="34"/>
  <c r="BW63" i="34"/>
  <c r="BW52" i="34"/>
  <c r="BV26" i="34"/>
  <c r="BV25" i="34" s="1"/>
  <c r="BW25" i="34"/>
  <c r="BV19" i="34"/>
  <c r="BW15" i="34"/>
  <c r="BW19" i="34" s="1"/>
  <c r="BV9" i="34"/>
  <c r="BU32" i="38"/>
  <c r="BU26" i="38" s="1"/>
  <c r="BU25" i="38" s="1"/>
  <c r="BU123" i="38"/>
  <c r="BU122" i="38"/>
  <c r="BU121" i="38"/>
  <c r="BU120" i="38"/>
  <c r="BU119" i="38"/>
  <c r="BU106" i="38"/>
  <c r="BU104" i="38"/>
  <c r="BU105" i="38" s="1"/>
  <c r="BU96" i="38"/>
  <c r="BU71" i="38"/>
  <c r="BU67" i="38"/>
  <c r="BU80" i="38" s="1"/>
  <c r="BU82" i="38" s="1"/>
  <c r="BU65" i="38"/>
  <c r="BU63" i="38"/>
  <c r="BU52" i="38"/>
  <c r="BT19" i="38"/>
  <c r="BU15" i="38"/>
  <c r="BU19" i="38" s="1"/>
  <c r="BT9" i="38"/>
  <c r="BT2" i="38"/>
  <c r="BT10" i="38" s="1"/>
  <c r="CE32" i="36"/>
  <c r="CS32" i="15"/>
  <c r="CO32" i="14"/>
  <c r="CN32" i="14" s="1"/>
  <c r="CO74" i="15" l="1"/>
  <c r="CQ74" i="15" s="1"/>
  <c r="BW59" i="15"/>
  <c r="BW111" i="15"/>
  <c r="BW112" i="15" s="1"/>
  <c r="BW71" i="15"/>
  <c r="BW80" i="13"/>
  <c r="EB117" i="3"/>
  <c r="EB116" i="3" s="1"/>
  <c r="EB114" i="3" s="1"/>
  <c r="EB115" i="3" s="1"/>
  <c r="EB60" i="3"/>
  <c r="BW80" i="15"/>
  <c r="BW82" i="15" s="1"/>
  <c r="BO60" i="36"/>
  <c r="BO56" i="36" s="1"/>
  <c r="BO53" i="36" s="1"/>
  <c r="BQ144" i="36"/>
  <c r="BQ99" i="36"/>
  <c r="BQ124" i="36" s="1"/>
  <c r="BK99" i="34"/>
  <c r="BK144" i="34"/>
  <c r="BG25" i="35"/>
  <c r="BI144" i="35"/>
  <c r="BI99" i="35"/>
  <c r="BU117" i="38"/>
  <c r="BU116" i="38" s="1"/>
  <c r="BU114" i="38" s="1"/>
  <c r="BU115" i="38" s="1"/>
  <c r="BW80" i="14"/>
  <c r="BW83" i="14" s="1"/>
  <c r="CO74" i="13"/>
  <c r="CO71" i="13" s="1"/>
  <c r="BW60" i="34"/>
  <c r="BW111" i="34" s="1"/>
  <c r="BW112" i="34" s="1"/>
  <c r="DJ117" i="36"/>
  <c r="DJ116" i="36" s="1"/>
  <c r="DJ114" i="36" s="1"/>
  <c r="DJ115" i="36" s="1"/>
  <c r="BV24" i="15"/>
  <c r="BV23" i="15" s="1"/>
  <c r="DJ56" i="36"/>
  <c r="DJ53" i="36" s="1"/>
  <c r="CO71" i="15"/>
  <c r="CO78" i="15"/>
  <c r="CO80" i="15"/>
  <c r="CO83" i="15" s="1"/>
  <c r="CO84" i="15" s="1"/>
  <c r="CN31" i="15"/>
  <c r="CO60" i="13"/>
  <c r="CN8" i="13" s="1"/>
  <c r="BW117" i="34"/>
  <c r="BW116" i="34" s="1"/>
  <c r="BW114" i="34" s="1"/>
  <c r="BW115" i="34" s="1"/>
  <c r="BW59" i="34"/>
  <c r="BU60" i="38"/>
  <c r="BU108" i="38" s="1"/>
  <c r="BU109" i="38" s="1"/>
  <c r="CQ117" i="15"/>
  <c r="CQ116" i="15" s="1"/>
  <c r="CQ114" i="15" s="1"/>
  <c r="CQ115" i="15" s="1"/>
  <c r="CP30" i="15"/>
  <c r="CP29" i="15" s="1"/>
  <c r="BW96" i="14"/>
  <c r="CO117" i="13"/>
  <c r="CO116" i="13" s="1"/>
  <c r="CO114" i="13" s="1"/>
  <c r="CO115" i="13" s="1"/>
  <c r="CQ96" i="13"/>
  <c r="CN31" i="13"/>
  <c r="BV31" i="13"/>
  <c r="BW60" i="13"/>
  <c r="BV8" i="13" s="1"/>
  <c r="DJ24" i="36"/>
  <c r="DJ23" i="36" s="1"/>
  <c r="DJ25" i="36"/>
  <c r="DI42" i="36"/>
  <c r="DJ59" i="36"/>
  <c r="DJ63" i="36"/>
  <c r="DJ96" i="36"/>
  <c r="CO111" i="15"/>
  <c r="CO112" i="15" s="1"/>
  <c r="CN8" i="15"/>
  <c r="CQ56" i="15"/>
  <c r="CQ50" i="15" s="1"/>
  <c r="CQ96" i="15"/>
  <c r="CP8" i="15"/>
  <c r="CN24" i="15"/>
  <c r="CN23" i="15" s="1"/>
  <c r="CO117" i="15"/>
  <c r="CO116" i="15" s="1"/>
  <c r="CO114" i="15" s="1"/>
  <c r="CO115" i="15" s="1"/>
  <c r="CP31" i="15"/>
  <c r="BW59" i="14"/>
  <c r="BW60" i="14"/>
  <c r="BW56" i="14" s="1"/>
  <c r="BW53" i="14" s="1"/>
  <c r="CO59" i="13"/>
  <c r="CO96" i="13"/>
  <c r="CQ117" i="13"/>
  <c r="CQ116" i="13" s="1"/>
  <c r="CQ114" i="13" s="1"/>
  <c r="CQ115" i="13" s="1"/>
  <c r="BW59" i="13"/>
  <c r="CP31" i="13"/>
  <c r="CQ129" i="13"/>
  <c r="CQ130" i="13" s="1"/>
  <c r="CQ126" i="13"/>
  <c r="CQ127" i="13" s="1"/>
  <c r="CQ132" i="13"/>
  <c r="CQ133" i="13" s="1"/>
  <c r="CQ142" i="13" s="1"/>
  <c r="CQ59" i="13"/>
  <c r="CQ60" i="13"/>
  <c r="CQ69" i="13"/>
  <c r="CP72" i="13"/>
  <c r="CO56" i="13"/>
  <c r="CO126" i="13"/>
  <c r="CO127" i="13" s="1"/>
  <c r="CO129" i="13"/>
  <c r="CO130" i="13" s="1"/>
  <c r="CO132" i="13"/>
  <c r="CO133" i="13" s="1"/>
  <c r="CO142" i="13" s="1"/>
  <c r="CO69" i="13"/>
  <c r="BW96" i="13"/>
  <c r="CQ132" i="15"/>
  <c r="CQ133" i="15" s="1"/>
  <c r="CQ142" i="15" s="1"/>
  <c r="CQ129" i="15"/>
  <c r="CQ130" i="15" s="1"/>
  <c r="CQ69" i="15"/>
  <c r="CQ76" i="15"/>
  <c r="CQ126" i="15"/>
  <c r="CQ127" i="15" s="1"/>
  <c r="CP42" i="15"/>
  <c r="CP63" i="15"/>
  <c r="CO108" i="15"/>
  <c r="CO109" i="15" s="1"/>
  <c r="CN30" i="15"/>
  <c r="CN29" i="15" s="1"/>
  <c r="CO132" i="15"/>
  <c r="CO133" i="15" s="1"/>
  <c r="CO142" i="15" s="1"/>
  <c r="CO56" i="15"/>
  <c r="CO50" i="15" s="1"/>
  <c r="CO129" i="15"/>
  <c r="CO130" i="15" s="1"/>
  <c r="CO76" i="15"/>
  <c r="CO75" i="15"/>
  <c r="CO69" i="15"/>
  <c r="CO126" i="15"/>
  <c r="CO127" i="15" s="1"/>
  <c r="CO96" i="15"/>
  <c r="BW96" i="15"/>
  <c r="BV30" i="15"/>
  <c r="BV29" i="15" s="1"/>
  <c r="BV8" i="15"/>
  <c r="BW117" i="15"/>
  <c r="BW116" i="15" s="1"/>
  <c r="BW114" i="15" s="1"/>
  <c r="BW115" i="15" s="1"/>
  <c r="BW56" i="15"/>
  <c r="BG10" i="35"/>
  <c r="BG74" i="35" s="1"/>
  <c r="BG71" i="35" s="1"/>
  <c r="BF16" i="35"/>
  <c r="BF20" i="35" s="1"/>
  <c r="BF24" i="35" s="1"/>
  <c r="BF23" i="35" s="1"/>
  <c r="BG56" i="35"/>
  <c r="BG53" i="35" s="1"/>
  <c r="BF62" i="35"/>
  <c r="BF8" i="35"/>
  <c r="BG59" i="35"/>
  <c r="DI16" i="36"/>
  <c r="DJ10" i="36"/>
  <c r="BO63" i="36"/>
  <c r="BO141" i="36"/>
  <c r="DI8" i="36"/>
  <c r="BO117" i="36"/>
  <c r="BO116" i="36" s="1"/>
  <c r="BO114" i="36" s="1"/>
  <c r="BO115" i="36" s="1"/>
  <c r="BN42" i="36"/>
  <c r="BO10" i="36"/>
  <c r="BO74" i="36" s="1"/>
  <c r="BO108" i="36" s="1"/>
  <c r="BO109" i="36" s="1"/>
  <c r="BN16" i="36"/>
  <c r="BN8" i="36"/>
  <c r="BW69" i="15"/>
  <c r="BW126" i="15"/>
  <c r="BW127" i="15" s="1"/>
  <c r="BW76" i="15"/>
  <c r="BW75" i="15"/>
  <c r="BW129" i="15"/>
  <c r="BW130" i="15" s="1"/>
  <c r="BW132" i="15"/>
  <c r="BW133" i="15" s="1"/>
  <c r="BW142" i="15" s="1"/>
  <c r="BV63" i="15"/>
  <c r="BV42" i="15"/>
  <c r="BW108" i="15"/>
  <c r="BW109" i="15" s="1"/>
  <c r="EA8" i="3"/>
  <c r="EB68" i="3"/>
  <c r="EA62" i="3"/>
  <c r="EB56" i="3"/>
  <c r="EB10" i="3"/>
  <c r="EB74" i="3" s="1"/>
  <c r="EB71" i="3" s="1"/>
  <c r="EA16" i="3"/>
  <c r="EA20" i="3" s="1"/>
  <c r="EA24" i="3" s="1"/>
  <c r="EA23" i="3" s="1"/>
  <c r="EB53" i="3"/>
  <c r="EB69" i="3"/>
  <c r="EB59" i="3"/>
  <c r="EA42" i="3"/>
  <c r="BW117" i="14"/>
  <c r="BW116" i="14" s="1"/>
  <c r="BW114" i="14" s="1"/>
  <c r="BW115" i="14" s="1"/>
  <c r="BW132" i="14"/>
  <c r="BW133" i="14" s="1"/>
  <c r="BW142" i="14" s="1"/>
  <c r="BW76" i="14"/>
  <c r="BW75" i="14"/>
  <c r="BW78" i="14"/>
  <c r="BW69" i="14"/>
  <c r="BV72" i="14"/>
  <c r="BW117" i="13"/>
  <c r="BW116" i="13" s="1"/>
  <c r="BW114" i="13" s="1"/>
  <c r="BW115" i="13" s="1"/>
  <c r="BW132" i="13"/>
  <c r="BW133" i="13" s="1"/>
  <c r="BW142" i="13" s="1"/>
  <c r="BW75" i="13"/>
  <c r="BW129" i="13"/>
  <c r="BW130" i="13" s="1"/>
  <c r="BW126" i="13"/>
  <c r="BW127" i="13" s="1"/>
  <c r="BW83" i="13"/>
  <c r="BW82" i="13"/>
  <c r="BW81" i="13"/>
  <c r="BW69" i="13"/>
  <c r="BV72" i="13"/>
  <c r="BW78" i="13"/>
  <c r="BW149" i="13" s="1"/>
  <c r="BW152" i="13" s="1"/>
  <c r="BW154" i="13" s="1"/>
  <c r="BW30" i="34"/>
  <c r="BW29" i="34" s="1"/>
  <c r="BW42" i="34"/>
  <c r="BW31" i="34"/>
  <c r="BW86" i="34"/>
  <c r="BW84" i="34"/>
  <c r="BV42" i="34"/>
  <c r="BW96" i="34"/>
  <c r="BV30" i="34"/>
  <c r="BV29" i="34" s="1"/>
  <c r="BW82" i="34"/>
  <c r="BT26" i="38"/>
  <c r="BT25" i="38" s="1"/>
  <c r="BU30" i="38"/>
  <c r="BU29" i="38" s="1"/>
  <c r="BU31" i="38"/>
  <c r="BT32" i="38"/>
  <c r="BU42" i="38"/>
  <c r="BT16" i="38"/>
  <c r="BT20" i="38" s="1"/>
  <c r="BU10" i="38"/>
  <c r="BU69" i="38" s="1"/>
  <c r="BU83" i="38"/>
  <c r="BU59" i="38"/>
  <c r="CQ80" i="15" l="1"/>
  <c r="CQ75" i="15"/>
  <c r="CQ111" i="15"/>
  <c r="CQ112" i="15" s="1"/>
  <c r="CQ108" i="15"/>
  <c r="CQ109" i="15" s="1"/>
  <c r="CQ71" i="15"/>
  <c r="CQ78" i="15"/>
  <c r="BW83" i="15"/>
  <c r="BW86" i="15" s="1"/>
  <c r="BW56" i="34"/>
  <c r="BW53" i="34" s="1"/>
  <c r="BV8" i="34"/>
  <c r="BV62" i="34"/>
  <c r="BW108" i="34"/>
  <c r="BW109" i="34" s="1"/>
  <c r="BW84" i="15"/>
  <c r="BW81" i="15"/>
  <c r="CO80" i="13"/>
  <c r="CO82" i="13" s="1"/>
  <c r="BW81" i="14"/>
  <c r="BW82" i="14"/>
  <c r="EB111" i="3"/>
  <c r="EB112" i="3" s="1"/>
  <c r="EB16" i="3"/>
  <c r="EB20" i="3" s="1"/>
  <c r="EB24" i="3" s="1"/>
  <c r="EB23" i="3" s="1"/>
  <c r="EB108" i="3"/>
  <c r="EB109" i="3" s="1"/>
  <c r="EB80" i="3"/>
  <c r="CO82" i="15"/>
  <c r="CO81" i="15"/>
  <c r="DJ50" i="36"/>
  <c r="DJ68" i="36"/>
  <c r="DJ132" i="36"/>
  <c r="DJ133" i="36" s="1"/>
  <c r="DJ142" i="36" s="1"/>
  <c r="DJ74" i="36"/>
  <c r="DJ75" i="36" s="1"/>
  <c r="DJ76" i="36" s="1"/>
  <c r="BO111" i="36"/>
  <c r="BO112" i="36" s="1"/>
  <c r="BO71" i="36"/>
  <c r="BO78" i="36"/>
  <c r="BO149" i="36" s="1"/>
  <c r="BO152" i="36" s="1"/>
  <c r="BO154" i="36" s="1"/>
  <c r="BO80" i="36"/>
  <c r="BG16" i="35"/>
  <c r="BG20" i="35" s="1"/>
  <c r="BG24" i="35" s="1"/>
  <c r="BG23" i="35" s="1"/>
  <c r="BG69" i="35"/>
  <c r="BG108" i="35"/>
  <c r="BG109" i="35" s="1"/>
  <c r="BG111" i="35"/>
  <c r="BG112" i="35" s="1"/>
  <c r="BG80" i="35"/>
  <c r="CO78" i="13"/>
  <c r="CO149" i="13" s="1"/>
  <c r="CO152" i="13" s="1"/>
  <c r="CO154" i="13" s="1"/>
  <c r="CO75" i="13"/>
  <c r="CQ74" i="13"/>
  <c r="CQ111" i="13" s="1"/>
  <c r="CQ112" i="13" s="1"/>
  <c r="BT8" i="38"/>
  <c r="BU111" i="38"/>
  <c r="BU112" i="38" s="1"/>
  <c r="BU68" i="38"/>
  <c r="BU56" i="38"/>
  <c r="BU53" i="38" s="1"/>
  <c r="BT62" i="38"/>
  <c r="BV8" i="14"/>
  <c r="BV62" i="14"/>
  <c r="BW111" i="14"/>
  <c r="BW112" i="14" s="1"/>
  <c r="CO111" i="13"/>
  <c r="CO112" i="13" s="1"/>
  <c r="CO108" i="13"/>
  <c r="CO109" i="13" s="1"/>
  <c r="CO86" i="15"/>
  <c r="CO89" i="15" s="1"/>
  <c r="BU81" i="38"/>
  <c r="CQ68" i="15"/>
  <c r="CO54" i="15"/>
  <c r="CO41" i="15" s="1"/>
  <c r="CO53" i="15"/>
  <c r="CQ54" i="15"/>
  <c r="CQ41" i="15" s="1"/>
  <c r="CO68" i="15"/>
  <c r="BW108" i="14"/>
  <c r="BW109" i="14" s="1"/>
  <c r="BW68" i="14"/>
  <c r="BW63" i="14" s="1"/>
  <c r="BW50" i="14"/>
  <c r="BW54" i="14" s="1"/>
  <c r="BW56" i="13"/>
  <c r="BW50" i="13" s="1"/>
  <c r="BW111" i="13"/>
  <c r="BW112" i="13" s="1"/>
  <c r="BW108" i="13"/>
  <c r="BW109" i="13" s="1"/>
  <c r="BO50" i="36"/>
  <c r="BO54" i="36" s="1"/>
  <c r="BN41" i="36" s="1"/>
  <c r="CQ53" i="15"/>
  <c r="CP8" i="13"/>
  <c r="CQ56" i="13"/>
  <c r="CQ76" i="13"/>
  <c r="CO50" i="13"/>
  <c r="CO54" i="13" s="1"/>
  <c r="CO68" i="13"/>
  <c r="CO76" i="13"/>
  <c r="CO53" i="13"/>
  <c r="BW50" i="15"/>
  <c r="BW53" i="15"/>
  <c r="BW68" i="15"/>
  <c r="BG68" i="35"/>
  <c r="BG50" i="35"/>
  <c r="BG75" i="35"/>
  <c r="BG76" i="35"/>
  <c r="BG132" i="35"/>
  <c r="BG133" i="35" s="1"/>
  <c r="BG142" i="35" s="1"/>
  <c r="BG129" i="35"/>
  <c r="BG130" i="35" s="1"/>
  <c r="BG126" i="35"/>
  <c r="BG127" i="35" s="1"/>
  <c r="BO68" i="36"/>
  <c r="DJ54" i="36"/>
  <c r="DJ49" i="36" s="1"/>
  <c r="DJ16" i="36"/>
  <c r="DJ69" i="36"/>
  <c r="DJ129" i="36"/>
  <c r="DJ130" i="36" s="1"/>
  <c r="DJ126" i="36"/>
  <c r="DJ127" i="36" s="1"/>
  <c r="BO129" i="36"/>
  <c r="BO130" i="36" s="1"/>
  <c r="BO126" i="36"/>
  <c r="BO127" i="36" s="1"/>
  <c r="BO69" i="36"/>
  <c r="BO75" i="36"/>
  <c r="BO76" i="36" s="1"/>
  <c r="BO132" i="36"/>
  <c r="BO133" i="36" s="1"/>
  <c r="BO142" i="36" s="1"/>
  <c r="BW87" i="15"/>
  <c r="BW89" i="15"/>
  <c r="EB50" i="3"/>
  <c r="EB54" i="3"/>
  <c r="EB41" i="3" s="1"/>
  <c r="EB76" i="3"/>
  <c r="EB132" i="3"/>
  <c r="EB133" i="3" s="1"/>
  <c r="EB141" i="3" s="1"/>
  <c r="EB75" i="3"/>
  <c r="EB129" i="3"/>
  <c r="EB130" i="3" s="1"/>
  <c r="BW84" i="14"/>
  <c r="BW86" i="14"/>
  <c r="BW76" i="13"/>
  <c r="BW86" i="13"/>
  <c r="BW84" i="13"/>
  <c r="BW68" i="34"/>
  <c r="BW50" i="34"/>
  <c r="BW89" i="34"/>
  <c r="BW87" i="34"/>
  <c r="BT24" i="38"/>
  <c r="BT23" i="38" s="1"/>
  <c r="BT30" i="38"/>
  <c r="BT29" i="38" s="1"/>
  <c r="BT42" i="38"/>
  <c r="BT31" i="38"/>
  <c r="BU84" i="38"/>
  <c r="BU86" i="38"/>
  <c r="BU75" i="38"/>
  <c r="BU77" i="38" s="1"/>
  <c r="BU76" i="38" s="1"/>
  <c r="BU132" i="38"/>
  <c r="BU133" i="38" s="1"/>
  <c r="BU16" i="38"/>
  <c r="BU20" i="38" s="1"/>
  <c r="BU24" i="38" s="1"/>
  <c r="BU23" i="38" s="1"/>
  <c r="BU129" i="38"/>
  <c r="BU130" i="38" s="1"/>
  <c r="CQ82" i="15" l="1"/>
  <c r="CQ81" i="15"/>
  <c r="CQ83" i="15"/>
  <c r="CQ108" i="13"/>
  <c r="CQ109" i="13" s="1"/>
  <c r="CO83" i="13"/>
  <c r="CO81" i="13"/>
  <c r="EA41" i="3"/>
  <c r="EB83" i="3"/>
  <c r="EB82" i="3"/>
  <c r="EB81" i="3"/>
  <c r="BO82" i="36"/>
  <c r="BO83" i="36"/>
  <c r="DJ80" i="36"/>
  <c r="DJ78" i="36"/>
  <c r="DJ149" i="36" s="1"/>
  <c r="DJ152" i="36" s="1"/>
  <c r="DJ154" i="36" s="1"/>
  <c r="DJ108" i="36"/>
  <c r="DJ109" i="36" s="1"/>
  <c r="DJ111" i="36"/>
  <c r="DJ112" i="36" s="1"/>
  <c r="BO81" i="36"/>
  <c r="BU50" i="38"/>
  <c r="BU54" i="38" s="1"/>
  <c r="BU41" i="38" s="1"/>
  <c r="BG82" i="35"/>
  <c r="BG83" i="35"/>
  <c r="BG81" i="35"/>
  <c r="CQ71" i="13"/>
  <c r="CQ78" i="13"/>
  <c r="CQ149" i="13" s="1"/>
  <c r="CQ152" i="13" s="1"/>
  <c r="CQ154" i="13" s="1"/>
  <c r="CQ75" i="13"/>
  <c r="CQ80" i="13"/>
  <c r="CO87" i="15"/>
  <c r="CQ49" i="15"/>
  <c r="CQ45" i="15" s="1"/>
  <c r="CQ44" i="15" s="1"/>
  <c r="CQ43" i="15" s="1"/>
  <c r="BW49" i="14"/>
  <c r="BV45" i="14" s="1"/>
  <c r="BW68" i="13"/>
  <c r="BW53" i="13"/>
  <c r="CN41" i="15"/>
  <c r="BW54" i="13"/>
  <c r="BV41" i="13" s="1"/>
  <c r="BO41" i="36"/>
  <c r="BO49" i="36"/>
  <c r="BN45" i="36" s="1"/>
  <c r="BN44" i="36" s="1"/>
  <c r="BN43" i="36" s="1"/>
  <c r="CP41" i="15"/>
  <c r="CO49" i="15"/>
  <c r="CQ68" i="13"/>
  <c r="CQ50" i="13"/>
  <c r="CQ53" i="13"/>
  <c r="CO41" i="13"/>
  <c r="CN41" i="13"/>
  <c r="CO86" i="13"/>
  <c r="CO84" i="13"/>
  <c r="CO49" i="13"/>
  <c r="CO93" i="15"/>
  <c r="CO90" i="15"/>
  <c r="BW54" i="15"/>
  <c r="BG54" i="35"/>
  <c r="DJ48" i="36"/>
  <c r="DJ45" i="36"/>
  <c r="DI49" i="36"/>
  <c r="DI48" i="36" s="1"/>
  <c r="DI45" i="36"/>
  <c r="DJ41" i="36"/>
  <c r="DI41" i="36"/>
  <c r="BO45" i="36"/>
  <c r="BO44" i="36" s="1"/>
  <c r="BO48" i="36"/>
  <c r="BW90" i="15"/>
  <c r="BW93" i="15"/>
  <c r="EB49" i="3"/>
  <c r="BW87" i="14"/>
  <c r="BW89" i="14"/>
  <c r="BV49" i="14"/>
  <c r="BV48" i="14" s="1"/>
  <c r="BW48" i="14"/>
  <c r="BW89" i="13"/>
  <c r="BW87" i="13"/>
  <c r="BW54" i="34"/>
  <c r="BW49" i="34" s="1"/>
  <c r="BW93" i="34"/>
  <c r="BW90" i="34"/>
  <c r="BU89" i="38"/>
  <c r="BU87" i="38"/>
  <c r="BN49" i="36" l="1"/>
  <c r="BN48" i="36" s="1"/>
  <c r="CQ86" i="15"/>
  <c r="CQ84" i="15"/>
  <c r="BT41" i="38"/>
  <c r="BU49" i="38"/>
  <c r="BW45" i="14"/>
  <c r="BW49" i="13"/>
  <c r="BW41" i="13"/>
  <c r="EB86" i="3"/>
  <c r="EB84" i="3"/>
  <c r="CQ48" i="15"/>
  <c r="DJ82" i="36"/>
  <c r="DJ83" i="36"/>
  <c r="DJ81" i="36"/>
  <c r="BO84" i="36"/>
  <c r="BO86" i="36"/>
  <c r="BG84" i="35"/>
  <c r="BG86" i="35"/>
  <c r="CQ83" i="13"/>
  <c r="CQ82" i="13"/>
  <c r="CQ81" i="13"/>
  <c r="CP45" i="15"/>
  <c r="CP44" i="15" s="1"/>
  <c r="CP43" i="15" s="1"/>
  <c r="CP49" i="15"/>
  <c r="CP48" i="15" s="1"/>
  <c r="CN49" i="15"/>
  <c r="CN48" i="15" s="1"/>
  <c r="CO48" i="15"/>
  <c r="CO45" i="15"/>
  <c r="CO44" i="15" s="1"/>
  <c r="CO43" i="15" s="1"/>
  <c r="CN45" i="15"/>
  <c r="CN44" i="15" s="1"/>
  <c r="CN43" i="15" s="1"/>
  <c r="DI44" i="36"/>
  <c r="DI43" i="36" s="1"/>
  <c r="CQ54" i="13"/>
  <c r="CN45" i="13"/>
  <c r="CN44" i="13" s="1"/>
  <c r="CN43" i="13" s="1"/>
  <c r="CN49" i="13"/>
  <c r="CN48" i="13" s="1"/>
  <c r="CO48" i="13"/>
  <c r="CO45" i="13"/>
  <c r="CO44" i="13" s="1"/>
  <c r="CO89" i="13"/>
  <c r="CO87" i="13"/>
  <c r="CO98" i="15"/>
  <c r="CO94" i="15"/>
  <c r="BW41" i="15"/>
  <c r="BV41" i="15"/>
  <c r="BW49" i="15"/>
  <c r="BF41" i="35"/>
  <c r="BG41" i="35"/>
  <c r="BG49" i="35"/>
  <c r="DJ44" i="36"/>
  <c r="BO43" i="36"/>
  <c r="BO47" i="36"/>
  <c r="BW94" i="15"/>
  <c r="BW98" i="15"/>
  <c r="EB48" i="3"/>
  <c r="EA45" i="3"/>
  <c r="EA44" i="3" s="1"/>
  <c r="EA43" i="3" s="1"/>
  <c r="EA49" i="3"/>
  <c r="EA48" i="3" s="1"/>
  <c r="EB45" i="3"/>
  <c r="EB44" i="3" s="1"/>
  <c r="BW90" i="14"/>
  <c r="BW93" i="14"/>
  <c r="BV49" i="13"/>
  <c r="BV48" i="13" s="1"/>
  <c r="BW48" i="13"/>
  <c r="BW45" i="13"/>
  <c r="BW44" i="13" s="1"/>
  <c r="BV45" i="13"/>
  <c r="BV44" i="13" s="1"/>
  <c r="BV43" i="13" s="1"/>
  <c r="BW90" i="13"/>
  <c r="BW93" i="13"/>
  <c r="BW45" i="34"/>
  <c r="BV49" i="34"/>
  <c r="BV45" i="34"/>
  <c r="BV41" i="34"/>
  <c r="BW41" i="34"/>
  <c r="BW98" i="34"/>
  <c r="BW94" i="34"/>
  <c r="BT45" i="38"/>
  <c r="BT44" i="38" s="1"/>
  <c r="BT43" i="38" s="1"/>
  <c r="BU48" i="38"/>
  <c r="BU45" i="38"/>
  <c r="BU44" i="38" s="1"/>
  <c r="BU43" i="38" s="1"/>
  <c r="BT49" i="38"/>
  <c r="BT48" i="38" s="1"/>
  <c r="BU93" i="38"/>
  <c r="BU90" i="38"/>
  <c r="CQ87" i="15" l="1"/>
  <c r="CQ89" i="15"/>
  <c r="EB87" i="3"/>
  <c r="EB89" i="3"/>
  <c r="BO89" i="36"/>
  <c r="BO87" i="36"/>
  <c r="DJ84" i="36"/>
  <c r="DJ86" i="36"/>
  <c r="BG89" i="35"/>
  <c r="BG87" i="35"/>
  <c r="CQ84" i="13"/>
  <c r="CQ86" i="13"/>
  <c r="BW44" i="34"/>
  <c r="BW43" i="34" s="1"/>
  <c r="BV44" i="34"/>
  <c r="BV43" i="34" s="1"/>
  <c r="CQ41" i="13"/>
  <c r="CP41" i="13"/>
  <c r="CQ49" i="13"/>
  <c r="CO93" i="13"/>
  <c r="CO90" i="13"/>
  <c r="CO47" i="13"/>
  <c r="CO43" i="13"/>
  <c r="CO144" i="15"/>
  <c r="CO99" i="15"/>
  <c r="CO124" i="15" s="1"/>
  <c r="BW48" i="15"/>
  <c r="BV45" i="15"/>
  <c r="BV44" i="15" s="1"/>
  <c r="BV43" i="15" s="1"/>
  <c r="BW45" i="15"/>
  <c r="BW44" i="15" s="1"/>
  <c r="BW43" i="15" s="1"/>
  <c r="BV49" i="15"/>
  <c r="BV48" i="15" s="1"/>
  <c r="BF45" i="35"/>
  <c r="BF44" i="35" s="1"/>
  <c r="BF43" i="35" s="1"/>
  <c r="BF49" i="35"/>
  <c r="BF48" i="35" s="1"/>
  <c r="BG48" i="35"/>
  <c r="BG45" i="35"/>
  <c r="BG44" i="35" s="1"/>
  <c r="BG43" i="35" s="1"/>
  <c r="DJ47" i="36"/>
  <c r="DJ43" i="36"/>
  <c r="BW144" i="15"/>
  <c r="BW99" i="15"/>
  <c r="BW124" i="15" s="1"/>
  <c r="EB43" i="3"/>
  <c r="EB47" i="3"/>
  <c r="BW98" i="14"/>
  <c r="BW94" i="14"/>
  <c r="BW98" i="13"/>
  <c r="BW99" i="13" s="1"/>
  <c r="BW94" i="13"/>
  <c r="BW47" i="13"/>
  <c r="BW43" i="13"/>
  <c r="BW99" i="34"/>
  <c r="BU98" i="38"/>
  <c r="BU94" i="38"/>
  <c r="CQ93" i="15" l="1"/>
  <c r="CQ90" i="15"/>
  <c r="EB90" i="3"/>
  <c r="EB93" i="3"/>
  <c r="DJ87" i="36"/>
  <c r="DJ89" i="36"/>
  <c r="BO93" i="36"/>
  <c r="BO90" i="36"/>
  <c r="BG93" i="35"/>
  <c r="BG90" i="35"/>
  <c r="CQ87" i="13"/>
  <c r="CQ89" i="13"/>
  <c r="CQ45" i="13"/>
  <c r="CQ44" i="13" s="1"/>
  <c r="CP49" i="13"/>
  <c r="CP48" i="13" s="1"/>
  <c r="CQ48" i="13"/>
  <c r="CP45" i="13"/>
  <c r="CP44" i="13" s="1"/>
  <c r="CP43" i="13" s="1"/>
  <c r="CO94" i="13"/>
  <c r="CO98" i="13"/>
  <c r="CO99" i="13" s="1"/>
  <c r="BW144" i="14"/>
  <c r="BW99" i="14"/>
  <c r="BW124" i="14" s="1"/>
  <c r="BW144" i="13"/>
  <c r="BW124" i="13"/>
  <c r="BU143" i="38"/>
  <c r="BU99" i="38"/>
  <c r="CS32" i="13"/>
  <c r="BI137" i="34"/>
  <c r="BI135" i="34"/>
  <c r="BI141" i="34" s="1"/>
  <c r="BI131" i="34"/>
  <c r="BI122" i="34"/>
  <c r="BI121" i="34"/>
  <c r="BI120" i="34"/>
  <c r="BI119" i="34"/>
  <c r="BI106" i="34"/>
  <c r="BI104" i="34"/>
  <c r="BI105" i="34" s="1"/>
  <c r="BI96" i="34"/>
  <c r="BI123" i="34"/>
  <c r="BI117" i="34" s="1"/>
  <c r="BI116" i="34" s="1"/>
  <c r="BI114" i="34" s="1"/>
  <c r="BI115" i="34" s="1"/>
  <c r="BI67" i="34"/>
  <c r="BI65" i="34"/>
  <c r="BI60" i="34" s="1"/>
  <c r="BI63" i="34"/>
  <c r="BI52" i="34"/>
  <c r="BI42" i="34"/>
  <c r="BH32" i="34"/>
  <c r="BH31" i="34" s="1"/>
  <c r="BI31" i="34"/>
  <c r="BI30" i="34"/>
  <c r="BI29" i="34" s="1"/>
  <c r="BH26" i="34"/>
  <c r="BH25" i="34" s="1"/>
  <c r="BI25" i="34"/>
  <c r="BH19" i="34"/>
  <c r="BI15" i="34"/>
  <c r="BI19" i="34" s="1"/>
  <c r="BH9" i="34"/>
  <c r="BI123" i="38"/>
  <c r="BI122" i="38"/>
  <c r="BI121" i="38"/>
  <c r="BI120" i="38"/>
  <c r="BI119" i="38"/>
  <c r="BI106" i="38"/>
  <c r="BI104" i="38"/>
  <c r="BI105" i="38" s="1"/>
  <c r="BI96" i="38"/>
  <c r="BI67" i="38"/>
  <c r="BI65" i="38"/>
  <c r="BI63" i="38"/>
  <c r="BI52" i="38"/>
  <c r="BI42" i="38"/>
  <c r="BH32" i="38"/>
  <c r="BH31" i="38" s="1"/>
  <c r="BI31" i="38"/>
  <c r="BI30" i="38"/>
  <c r="BI29" i="38" s="1"/>
  <c r="BH26" i="38"/>
  <c r="BI25" i="38"/>
  <c r="BH19" i="38"/>
  <c r="BI15" i="38"/>
  <c r="BI19" i="38" s="1"/>
  <c r="BH9" i="38"/>
  <c r="BH2" i="38"/>
  <c r="BH10" i="38" s="1"/>
  <c r="BE135" i="33"/>
  <c r="BE141" i="33" s="1"/>
  <c r="BE104" i="33"/>
  <c r="BE63" i="33"/>
  <c r="BE42" i="33"/>
  <c r="BD32" i="33"/>
  <c r="BD31" i="33" s="1"/>
  <c r="BE31" i="33"/>
  <c r="BE26" i="33"/>
  <c r="BE30" i="33" s="1"/>
  <c r="BE29" i="33" s="1"/>
  <c r="BE25" i="33"/>
  <c r="BD25" i="33"/>
  <c r="BE19" i="33"/>
  <c r="BD19" i="33"/>
  <c r="BE15" i="33"/>
  <c r="BD9" i="33"/>
  <c r="BD2" i="33"/>
  <c r="BD10" i="33" s="1"/>
  <c r="BM151" i="36"/>
  <c r="BM150" i="36"/>
  <c r="BM138" i="36"/>
  <c r="BM135" i="36"/>
  <c r="BM141" i="36" s="1"/>
  <c r="BM131" i="36"/>
  <c r="BM123" i="36"/>
  <c r="BM122" i="36"/>
  <c r="BM121" i="36"/>
  <c r="BM120" i="36"/>
  <c r="BM119" i="36"/>
  <c r="BM106" i="36"/>
  <c r="BM100" i="36"/>
  <c r="BM104" i="36" s="1"/>
  <c r="BM105" i="36" s="1"/>
  <c r="BM65" i="36"/>
  <c r="BM59" i="36" s="1"/>
  <c r="BM57" i="36"/>
  <c r="BL9" i="36" s="1"/>
  <c r="BM52" i="36"/>
  <c r="BM42" i="36"/>
  <c r="BL32" i="36"/>
  <c r="BL31" i="36" s="1"/>
  <c r="BM31" i="36"/>
  <c r="BM30" i="36"/>
  <c r="BM29" i="36" s="1"/>
  <c r="BM25" i="36"/>
  <c r="BM24" i="36"/>
  <c r="BM23" i="36" s="1"/>
  <c r="BL20" i="36"/>
  <c r="BL19" i="36"/>
  <c r="BM15" i="36"/>
  <c r="BM19" i="36" s="1"/>
  <c r="BL2" i="36"/>
  <c r="BL10" i="36" s="1"/>
  <c r="BT181" i="15"/>
  <c r="BU137" i="15"/>
  <c r="BU135" i="15"/>
  <c r="BU141" i="15" s="1"/>
  <c r="BU131" i="15"/>
  <c r="BU123" i="15"/>
  <c r="BU122" i="15"/>
  <c r="BU121" i="15"/>
  <c r="BU120" i="15"/>
  <c r="BU119" i="15"/>
  <c r="BU106" i="15"/>
  <c r="BU104" i="15"/>
  <c r="BU105" i="15" s="1"/>
  <c r="BT72" i="15"/>
  <c r="BU65" i="15"/>
  <c r="BU59" i="15" s="1"/>
  <c r="BU57" i="15"/>
  <c r="BT9" i="15" s="1"/>
  <c r="BU52" i="15"/>
  <c r="BU42" i="15"/>
  <c r="BT32" i="15"/>
  <c r="BT42" i="15" s="1"/>
  <c r="BU31" i="15"/>
  <c r="BU30" i="15"/>
  <c r="BU29" i="15" s="1"/>
  <c r="BT26" i="15"/>
  <c r="BT30" i="15" s="1"/>
  <c r="BT29" i="15" s="1"/>
  <c r="BU25" i="15"/>
  <c r="BU20" i="15"/>
  <c r="BU24" i="15" s="1"/>
  <c r="BU23" i="15" s="1"/>
  <c r="BT19" i="15"/>
  <c r="BT16" i="15"/>
  <c r="BT20" i="15" s="1"/>
  <c r="BU15" i="15"/>
  <c r="BU19" i="15" s="1"/>
  <c r="BT2" i="15"/>
  <c r="BT10" i="15" s="1"/>
  <c r="BU10" i="15" s="1"/>
  <c r="BU74" i="15" s="1"/>
  <c r="BU71" i="15" s="1"/>
  <c r="DX3" i="3"/>
  <c r="DW140" i="3"/>
  <c r="DW137" i="3"/>
  <c r="DY137" i="3" s="1"/>
  <c r="DY140" i="3"/>
  <c r="DY123" i="3"/>
  <c r="DW123" i="3"/>
  <c r="DY122" i="3"/>
  <c r="DW122" i="3"/>
  <c r="DY121" i="3"/>
  <c r="DW121" i="3"/>
  <c r="DY120" i="3"/>
  <c r="DW120" i="3"/>
  <c r="DY119" i="3"/>
  <c r="DW119" i="3"/>
  <c r="DY106" i="3"/>
  <c r="DW106" i="3"/>
  <c r="DY100" i="3"/>
  <c r="DY104" i="3" s="1"/>
  <c r="DY105" i="3" s="1"/>
  <c r="DW100" i="3"/>
  <c r="DW104" i="3" s="1"/>
  <c r="DW105" i="3" s="1"/>
  <c r="DW96" i="3"/>
  <c r="DY71" i="3"/>
  <c r="DY67" i="3"/>
  <c r="DW67" i="3"/>
  <c r="DY65" i="3"/>
  <c r="DW65" i="3"/>
  <c r="DY63" i="3"/>
  <c r="DW63" i="3"/>
  <c r="DY52" i="3"/>
  <c r="DW52" i="3"/>
  <c r="DY42" i="3"/>
  <c r="DW42" i="3"/>
  <c r="DX32" i="3"/>
  <c r="DX42" i="3" s="1"/>
  <c r="DV32" i="3"/>
  <c r="DV42" i="3" s="1"/>
  <c r="DY31" i="3"/>
  <c r="DX31" i="3"/>
  <c r="DW31" i="3"/>
  <c r="DV31" i="3"/>
  <c r="DY30" i="3"/>
  <c r="DY29" i="3" s="1"/>
  <c r="DW30" i="3"/>
  <c r="DW29" i="3" s="1"/>
  <c r="DX26" i="3"/>
  <c r="DX30" i="3" s="1"/>
  <c r="DX29" i="3" s="1"/>
  <c r="DV26" i="3"/>
  <c r="DV30" i="3" s="1"/>
  <c r="DV29" i="3" s="1"/>
  <c r="DY25" i="3"/>
  <c r="DX25" i="3" s="1"/>
  <c r="DW25" i="3"/>
  <c r="DV25" i="3" s="1"/>
  <c r="DX19" i="3"/>
  <c r="DV19" i="3"/>
  <c r="DY15" i="3"/>
  <c r="DY19" i="3" s="1"/>
  <c r="DW15" i="3"/>
  <c r="DW19" i="3" s="1"/>
  <c r="DX9" i="3"/>
  <c r="DV9" i="3"/>
  <c r="DX2" i="3"/>
  <c r="DX10" i="3" s="1"/>
  <c r="DY10" i="3" s="1"/>
  <c r="DY74" i="3" s="1"/>
  <c r="DV2" i="3"/>
  <c r="DV10" i="3" s="1"/>
  <c r="BU135" i="14"/>
  <c r="BU141" i="14" s="1"/>
  <c r="BU131" i="14"/>
  <c r="BU123" i="14"/>
  <c r="BU122" i="14"/>
  <c r="BU121" i="14"/>
  <c r="BU120" i="14"/>
  <c r="BU119" i="14"/>
  <c r="BU106" i="14"/>
  <c r="BU104" i="14"/>
  <c r="BU105" i="14" s="1"/>
  <c r="BU67" i="14"/>
  <c r="BU65" i="14"/>
  <c r="BU57" i="14"/>
  <c r="BT9" i="14" s="1"/>
  <c r="BU52" i="14"/>
  <c r="BT19" i="14"/>
  <c r="BU15" i="14"/>
  <c r="BU19" i="14" s="1"/>
  <c r="BT2" i="14"/>
  <c r="BT10" i="14" s="1"/>
  <c r="BU10" i="14" s="1"/>
  <c r="BU74" i="14" s="1"/>
  <c r="BU71" i="14" s="1"/>
  <c r="BU151" i="13"/>
  <c r="BU150" i="13"/>
  <c r="BU138" i="13"/>
  <c r="BU135" i="13"/>
  <c r="BU141" i="13" s="1"/>
  <c r="BU131" i="13"/>
  <c r="BU123" i="13"/>
  <c r="BU122" i="13"/>
  <c r="BU121" i="13"/>
  <c r="BU120" i="13"/>
  <c r="BU119" i="13"/>
  <c r="BU106" i="13"/>
  <c r="BU100" i="13"/>
  <c r="BU104" i="13" s="1"/>
  <c r="BU105" i="13" s="1"/>
  <c r="BU71" i="13"/>
  <c r="BU67" i="13"/>
  <c r="BT72" i="13" s="1"/>
  <c r="BU65" i="13"/>
  <c r="BU57" i="13"/>
  <c r="BT9" i="13" s="1"/>
  <c r="BU52" i="13"/>
  <c r="BU42" i="13"/>
  <c r="BU39" i="13"/>
  <c r="BT32" i="13"/>
  <c r="BT42" i="13" s="1"/>
  <c r="BU31" i="13"/>
  <c r="BT19" i="13"/>
  <c r="BU15" i="13"/>
  <c r="BU19" i="13" s="1"/>
  <c r="BT2" i="13"/>
  <c r="BT10" i="13" s="1"/>
  <c r="BU10" i="13" s="1"/>
  <c r="BU74" i="13" s="1"/>
  <c r="CQ94" i="15" l="1"/>
  <c r="CQ98" i="15"/>
  <c r="EB94" i="3"/>
  <c r="EB98" i="3"/>
  <c r="BU78" i="15"/>
  <c r="BU80" i="15"/>
  <c r="BU82" i="15" s="1"/>
  <c r="BO94" i="36"/>
  <c r="BO98" i="36"/>
  <c r="DJ90" i="36"/>
  <c r="DJ93" i="36"/>
  <c r="BG98" i="35"/>
  <c r="BG94" i="35"/>
  <c r="BU80" i="14"/>
  <c r="CQ93" i="13"/>
  <c r="CQ90" i="13"/>
  <c r="BH42" i="38"/>
  <c r="BH30" i="38"/>
  <c r="BH29" i="38" s="1"/>
  <c r="BU60" i="14"/>
  <c r="BU108" i="14" s="1"/>
  <c r="BU109" i="14" s="1"/>
  <c r="BT31" i="13"/>
  <c r="BH42" i="34"/>
  <c r="BU56" i="14"/>
  <c r="BU50" i="14" s="1"/>
  <c r="BU59" i="14"/>
  <c r="CQ47" i="13"/>
  <c r="CQ43" i="13"/>
  <c r="CO144" i="13"/>
  <c r="CO124" i="13"/>
  <c r="BU117" i="15"/>
  <c r="BU116" i="15" s="1"/>
  <c r="BU114" i="15" s="1"/>
  <c r="BU115" i="15" s="1"/>
  <c r="BU60" i="15"/>
  <c r="BU108" i="15" s="1"/>
  <c r="BU109" i="15" s="1"/>
  <c r="BU132" i="13"/>
  <c r="BU133" i="13" s="1"/>
  <c r="BU142" i="13" s="1"/>
  <c r="BT24" i="15"/>
  <c r="BT23" i="15" s="1"/>
  <c r="BU60" i="13"/>
  <c r="BU108" i="13" s="1"/>
  <c r="BU109" i="13" s="1"/>
  <c r="BU78" i="13"/>
  <c r="BU149" i="13" s="1"/>
  <c r="BU152" i="13" s="1"/>
  <c r="BM117" i="36"/>
  <c r="BM116" i="36" s="1"/>
  <c r="BM114" i="36" s="1"/>
  <c r="BM115" i="36" s="1"/>
  <c r="BU80" i="13"/>
  <c r="BU83" i="13" s="1"/>
  <c r="BU86" i="13" s="1"/>
  <c r="BU78" i="14"/>
  <c r="BD42" i="33"/>
  <c r="BU96" i="14"/>
  <c r="BT25" i="15"/>
  <c r="BU83" i="15"/>
  <c r="BU86" i="15" s="1"/>
  <c r="BU87" i="15" s="1"/>
  <c r="DW117" i="3"/>
  <c r="DW116" i="3" s="1"/>
  <c r="DW114" i="3" s="1"/>
  <c r="DW115" i="3" s="1"/>
  <c r="BU117" i="13"/>
  <c r="BU116" i="13" s="1"/>
  <c r="BU114" i="13" s="1"/>
  <c r="BU115" i="13" s="1"/>
  <c r="BU132" i="15"/>
  <c r="BU133" i="15" s="1"/>
  <c r="BU142" i="15" s="1"/>
  <c r="BI117" i="38"/>
  <c r="BI116" i="38" s="1"/>
  <c r="BI114" i="38" s="1"/>
  <c r="BI115" i="38" s="1"/>
  <c r="BI60" i="38"/>
  <c r="BI56" i="38" s="1"/>
  <c r="BI53" i="38" s="1"/>
  <c r="BH62" i="34"/>
  <c r="BI56" i="34"/>
  <c r="BH8" i="34"/>
  <c r="BH30" i="34"/>
  <c r="BH29" i="34" s="1"/>
  <c r="BI59" i="34"/>
  <c r="BH16" i="38"/>
  <c r="BH20" i="38" s="1"/>
  <c r="BH24" i="38" s="1"/>
  <c r="BH23" i="38" s="1"/>
  <c r="BI10" i="38"/>
  <c r="BH25" i="38"/>
  <c r="BI59" i="38"/>
  <c r="BD16" i="33"/>
  <c r="BD20" i="33" s="1"/>
  <c r="BD24" i="33" s="1"/>
  <c r="BD23" i="33" s="1"/>
  <c r="BE10" i="33"/>
  <c r="BE74" i="33" s="1"/>
  <c r="BD30" i="33"/>
  <c r="BD29" i="33" s="1"/>
  <c r="BL16" i="36"/>
  <c r="BM10" i="36"/>
  <c r="BL42" i="36"/>
  <c r="BM60" i="36"/>
  <c r="BM63" i="36"/>
  <c r="BM96" i="36"/>
  <c r="BU75" i="15"/>
  <c r="BU129" i="15"/>
  <c r="BU130" i="15" s="1"/>
  <c r="BU69" i="15"/>
  <c r="BU126" i="15"/>
  <c r="BU127" i="15" s="1"/>
  <c r="BU76" i="15"/>
  <c r="BT31" i="15"/>
  <c r="BU96" i="15"/>
  <c r="BU81" i="15"/>
  <c r="DY117" i="3"/>
  <c r="DY116" i="3" s="1"/>
  <c r="DY114" i="3" s="1"/>
  <c r="DY115" i="3" s="1"/>
  <c r="DW60" i="3"/>
  <c r="DV62" i="3" s="1"/>
  <c r="DY60" i="3"/>
  <c r="DY108" i="3" s="1"/>
  <c r="DY109" i="3" s="1"/>
  <c r="DY96" i="3"/>
  <c r="DX62" i="3"/>
  <c r="DX8" i="3"/>
  <c r="DY68" i="3"/>
  <c r="DY56" i="3"/>
  <c r="DY111" i="3"/>
  <c r="DY112" i="3" s="1"/>
  <c r="DY69" i="3"/>
  <c r="DY76" i="3"/>
  <c r="DY129" i="3"/>
  <c r="DY130" i="3" s="1"/>
  <c r="DY75" i="3"/>
  <c r="DY132" i="3"/>
  <c r="DY133" i="3" s="1"/>
  <c r="DY141" i="3" s="1"/>
  <c r="DW10" i="3"/>
  <c r="DW74" i="3" s="1"/>
  <c r="DW71" i="3" s="1"/>
  <c r="DV16" i="3"/>
  <c r="DV20" i="3" s="1"/>
  <c r="DV24" i="3" s="1"/>
  <c r="DV23" i="3" s="1"/>
  <c r="DY16" i="3"/>
  <c r="DY20" i="3" s="1"/>
  <c r="DY24" i="3" s="1"/>
  <c r="DY23" i="3" s="1"/>
  <c r="DY80" i="3"/>
  <c r="DW59" i="3"/>
  <c r="DY59" i="3"/>
  <c r="DX16" i="3"/>
  <c r="DX20" i="3" s="1"/>
  <c r="DX24" i="3" s="1"/>
  <c r="DX23" i="3" s="1"/>
  <c r="BU117" i="14"/>
  <c r="BU116" i="14" s="1"/>
  <c r="BU114" i="14" s="1"/>
  <c r="BU115" i="14" s="1"/>
  <c r="BU132" i="14"/>
  <c r="BU133" i="14" s="1"/>
  <c r="BU142" i="14" s="1"/>
  <c r="BU76" i="14"/>
  <c r="BU75" i="14"/>
  <c r="BU69" i="14"/>
  <c r="BU83" i="14"/>
  <c r="BU82" i="14"/>
  <c r="BU81" i="14"/>
  <c r="BT62" i="14"/>
  <c r="BT72" i="14"/>
  <c r="CT77" i="13"/>
  <c r="BU75" i="13"/>
  <c r="BU129" i="13"/>
  <c r="BU130" i="13" s="1"/>
  <c r="BU126" i="13"/>
  <c r="BU127" i="13" s="1"/>
  <c r="BU96" i="13"/>
  <c r="BU69" i="13"/>
  <c r="BU59" i="13"/>
  <c r="CQ144" i="15" l="1"/>
  <c r="CQ99" i="15"/>
  <c r="CQ124" i="15" s="1"/>
  <c r="BU111" i="14"/>
  <c r="BU112" i="14" s="1"/>
  <c r="BU53" i="14"/>
  <c r="BT8" i="14"/>
  <c r="DW80" i="3"/>
  <c r="DV8" i="3"/>
  <c r="EB143" i="3"/>
  <c r="EB99" i="3"/>
  <c r="DW111" i="3"/>
  <c r="DW112" i="3" s="1"/>
  <c r="BM74" i="36"/>
  <c r="BM75" i="36" s="1"/>
  <c r="BM76" i="36" s="1"/>
  <c r="DJ94" i="36"/>
  <c r="DJ98" i="36"/>
  <c r="BO99" i="36"/>
  <c r="BO124" i="36" s="1"/>
  <c r="BO144" i="36"/>
  <c r="BG99" i="35"/>
  <c r="BG144" i="35"/>
  <c r="BI69" i="38"/>
  <c r="BI74" i="38"/>
  <c r="BI108" i="38" s="1"/>
  <c r="BI109" i="38" s="1"/>
  <c r="BE80" i="33"/>
  <c r="BE71" i="33"/>
  <c r="BU68" i="14"/>
  <c r="BU63" i="14" s="1"/>
  <c r="CQ94" i="13"/>
  <c r="CQ98" i="13"/>
  <c r="BH62" i="38"/>
  <c r="BI68" i="38"/>
  <c r="BU111" i="13"/>
  <c r="BU112" i="13" s="1"/>
  <c r="BH8" i="38"/>
  <c r="BT8" i="13"/>
  <c r="BU56" i="13"/>
  <c r="BU50" i="13" s="1"/>
  <c r="BT8" i="15"/>
  <c r="BU111" i="15"/>
  <c r="BU112" i="15" s="1"/>
  <c r="BU84" i="13"/>
  <c r="BU81" i="13"/>
  <c r="BU82" i="13"/>
  <c r="BU89" i="15"/>
  <c r="BU90" i="15" s="1"/>
  <c r="BT63" i="15"/>
  <c r="BU56" i="15"/>
  <c r="DW56" i="3"/>
  <c r="DW53" i="3" s="1"/>
  <c r="DW68" i="3"/>
  <c r="DW108" i="3"/>
  <c r="DW109" i="3" s="1"/>
  <c r="BU84" i="15"/>
  <c r="BI68" i="34"/>
  <c r="BI53" i="34"/>
  <c r="BI50" i="34"/>
  <c r="BI132" i="38"/>
  <c r="BI133" i="38" s="1"/>
  <c r="BI129" i="38"/>
  <c r="BI130" i="38" s="1"/>
  <c r="BI16" i="38"/>
  <c r="BI20" i="38" s="1"/>
  <c r="BI24" i="38" s="1"/>
  <c r="BI23" i="38" s="1"/>
  <c r="BI50" i="38"/>
  <c r="BE76" i="33"/>
  <c r="BE75" i="33"/>
  <c r="BE69" i="33"/>
  <c r="BE132" i="33"/>
  <c r="BE129" i="33"/>
  <c r="BE16" i="33"/>
  <c r="BE20" i="33" s="1"/>
  <c r="BE24" i="33" s="1"/>
  <c r="BE23" i="33" s="1"/>
  <c r="BE126" i="33"/>
  <c r="BE81" i="33"/>
  <c r="BM111" i="36"/>
  <c r="BM112" i="36" s="1"/>
  <c r="BM108" i="36"/>
  <c r="BM109" i="36" s="1"/>
  <c r="BM56" i="36"/>
  <c r="BL8" i="36"/>
  <c r="BM132" i="36"/>
  <c r="BM133" i="36" s="1"/>
  <c r="BM142" i="36" s="1"/>
  <c r="BM129" i="36"/>
  <c r="BM130" i="36" s="1"/>
  <c r="BM69" i="36"/>
  <c r="BM126" i="36"/>
  <c r="BM127" i="36" s="1"/>
  <c r="DW76" i="3"/>
  <c r="DW129" i="3"/>
  <c r="DW130" i="3" s="1"/>
  <c r="DW75" i="3"/>
  <c r="DW16" i="3"/>
  <c r="DW20" i="3" s="1"/>
  <c r="DW24" i="3" s="1"/>
  <c r="DW23" i="3" s="1"/>
  <c r="DW132" i="3"/>
  <c r="DW133" i="3" s="1"/>
  <c r="DW141" i="3" s="1"/>
  <c r="DW83" i="3"/>
  <c r="DW82" i="3"/>
  <c r="DW81" i="3"/>
  <c r="DY83" i="3"/>
  <c r="DY82" i="3"/>
  <c r="DY81" i="3"/>
  <c r="DW69" i="3"/>
  <c r="DY50" i="3"/>
  <c r="DY54" i="3" s="1"/>
  <c r="DY53" i="3"/>
  <c r="BU84" i="14"/>
  <c r="BU86" i="14"/>
  <c r="BU54" i="14"/>
  <c r="BU89" i="13"/>
  <c r="BU87" i="13"/>
  <c r="BU76" i="13"/>
  <c r="BI75" i="38" l="1"/>
  <c r="BI76" i="38" s="1"/>
  <c r="BI111" i="38"/>
  <c r="BI112" i="38" s="1"/>
  <c r="BU53" i="13"/>
  <c r="BU68" i="13"/>
  <c r="DW50" i="3"/>
  <c r="DJ144" i="36"/>
  <c r="DJ99" i="36"/>
  <c r="DJ124" i="36" s="1"/>
  <c r="BM78" i="36"/>
  <c r="BM149" i="36" s="1"/>
  <c r="BM152" i="36" s="1"/>
  <c r="BM80" i="36"/>
  <c r="BM71" i="36"/>
  <c r="BI71" i="38"/>
  <c r="BI80" i="38"/>
  <c r="BE82" i="33"/>
  <c r="BE83" i="33"/>
  <c r="CQ144" i="13"/>
  <c r="CQ99" i="13"/>
  <c r="CQ124" i="13" s="1"/>
  <c r="BU93" i="15"/>
  <c r="BU94" i="15" s="1"/>
  <c r="BU50" i="15"/>
  <c r="BU53" i="15"/>
  <c r="BU68" i="15"/>
  <c r="BI54" i="34"/>
  <c r="BI49" i="34" s="1"/>
  <c r="BI54" i="38"/>
  <c r="BI49" i="38" s="1"/>
  <c r="BM50" i="36"/>
  <c r="BM68" i="36"/>
  <c r="BM53" i="36"/>
  <c r="DY86" i="3"/>
  <c r="DY84" i="3"/>
  <c r="DW86" i="3"/>
  <c r="DW84" i="3"/>
  <c r="DX41" i="3"/>
  <c r="DY41" i="3"/>
  <c r="DY49" i="3"/>
  <c r="DW54" i="3"/>
  <c r="BU49" i="14"/>
  <c r="BU89" i="14"/>
  <c r="BU87" i="14"/>
  <c r="BU90" i="13"/>
  <c r="BU93" i="13"/>
  <c r="BU54" i="13"/>
  <c r="BM82" i="36" l="1"/>
  <c r="BM83" i="36"/>
  <c r="BM81" i="36"/>
  <c r="BI83" i="38"/>
  <c r="BI82" i="38"/>
  <c r="BI81" i="38"/>
  <c r="BE86" i="33"/>
  <c r="BE84" i="33"/>
  <c r="BU98" i="15"/>
  <c r="BU99" i="15" s="1"/>
  <c r="BU124" i="15" s="1"/>
  <c r="BU54" i="15"/>
  <c r="BH49" i="34"/>
  <c r="BH45" i="34"/>
  <c r="BI45" i="34"/>
  <c r="BH41" i="34"/>
  <c r="BI41" i="34"/>
  <c r="BI48" i="38"/>
  <c r="BH49" i="38"/>
  <c r="BH48" i="38" s="1"/>
  <c r="BI45" i="38"/>
  <c r="BH45" i="38"/>
  <c r="BH41" i="38"/>
  <c r="BI41" i="38"/>
  <c r="BM54" i="36"/>
  <c r="BM49" i="36" s="1"/>
  <c r="DY87" i="3"/>
  <c r="DY89" i="3"/>
  <c r="DV41" i="3"/>
  <c r="DW41" i="3"/>
  <c r="DW49" i="3"/>
  <c r="DY45" i="3"/>
  <c r="DY44" i="3" s="1"/>
  <c r="DX45" i="3"/>
  <c r="DX44" i="3" s="1"/>
  <c r="DX43" i="3" s="1"/>
  <c r="DX49" i="3"/>
  <c r="DX48" i="3" s="1"/>
  <c r="DY48" i="3"/>
  <c r="DW87" i="3"/>
  <c r="DW89" i="3"/>
  <c r="BU93" i="14"/>
  <c r="BU90" i="14"/>
  <c r="BT49" i="14"/>
  <c r="BT48" i="14" s="1"/>
  <c r="BU48" i="14"/>
  <c r="BU45" i="14"/>
  <c r="BT45" i="14"/>
  <c r="BT41" i="13"/>
  <c r="BU41" i="13"/>
  <c r="BU49" i="13"/>
  <c r="BU98" i="13"/>
  <c r="BU94" i="13"/>
  <c r="BU144" i="15" l="1"/>
  <c r="BM86" i="36"/>
  <c r="BM84" i="36"/>
  <c r="BI84" i="38"/>
  <c r="BI86" i="38"/>
  <c r="BE89" i="33"/>
  <c r="BE87" i="33"/>
  <c r="BU41" i="15"/>
  <c r="BT41" i="15"/>
  <c r="BU49" i="15"/>
  <c r="BH44" i="38"/>
  <c r="BH43" i="38" s="1"/>
  <c r="BI44" i="38"/>
  <c r="BI43" i="38" s="1"/>
  <c r="BI44" i="34"/>
  <c r="BI43" i="34" s="1"/>
  <c r="BH44" i="34"/>
  <c r="BH43" i="34" s="1"/>
  <c r="BL49" i="36"/>
  <c r="BL48" i="36" s="1"/>
  <c r="BM48" i="36"/>
  <c r="BM45" i="36"/>
  <c r="BL45" i="36"/>
  <c r="BM41" i="36"/>
  <c r="BL41" i="36"/>
  <c r="DW93" i="3"/>
  <c r="DW90" i="3"/>
  <c r="DY47" i="3"/>
  <c r="DY43" i="3"/>
  <c r="DW48" i="3"/>
  <c r="DW45" i="3"/>
  <c r="DW44" i="3" s="1"/>
  <c r="DV45" i="3"/>
  <c r="DV44" i="3" s="1"/>
  <c r="DV43" i="3" s="1"/>
  <c r="DV49" i="3"/>
  <c r="DV48" i="3" s="1"/>
  <c r="DY93" i="3"/>
  <c r="DY90" i="3"/>
  <c r="BU98" i="14"/>
  <c r="BU94" i="14"/>
  <c r="BU144" i="13"/>
  <c r="BU99" i="13"/>
  <c r="BU124" i="13" s="1"/>
  <c r="BU48" i="13"/>
  <c r="BU45" i="13"/>
  <c r="BU44" i="13" s="1"/>
  <c r="BT49" i="13"/>
  <c r="BT48" i="13" s="1"/>
  <c r="BT45" i="13"/>
  <c r="BT44" i="13" s="1"/>
  <c r="BT43" i="13" s="1"/>
  <c r="BM87" i="36" l="1"/>
  <c r="BM89" i="36"/>
  <c r="BI89" i="38"/>
  <c r="BI87" i="38"/>
  <c r="BE90" i="33"/>
  <c r="BE93" i="33"/>
  <c r="BE94" i="33" s="1"/>
  <c r="BT49" i="15"/>
  <c r="BT48" i="15" s="1"/>
  <c r="BU45" i="15"/>
  <c r="BU44" i="15" s="1"/>
  <c r="BU43" i="15" s="1"/>
  <c r="BT45" i="15"/>
  <c r="BT44" i="15" s="1"/>
  <c r="BT43" i="15" s="1"/>
  <c r="BU48" i="15"/>
  <c r="BL44" i="36"/>
  <c r="BL43" i="36" s="1"/>
  <c r="BM44" i="36"/>
  <c r="DW98" i="3"/>
  <c r="DW94" i="3"/>
  <c r="DY98" i="3"/>
  <c r="DY94" i="3"/>
  <c r="DW43" i="3"/>
  <c r="DW47" i="3"/>
  <c r="BU144" i="14"/>
  <c r="BU99" i="14"/>
  <c r="BU124" i="14" s="1"/>
  <c r="BU47" i="13"/>
  <c r="BU43" i="13"/>
  <c r="BM93" i="36" l="1"/>
  <c r="BM90" i="36"/>
  <c r="BI90" i="38"/>
  <c r="BI93" i="38"/>
  <c r="BM47" i="36"/>
  <c r="BM43" i="36"/>
  <c r="DW143" i="3"/>
  <c r="DW99" i="3"/>
  <c r="DY143" i="3"/>
  <c r="DY99" i="3"/>
  <c r="BM98" i="36" l="1"/>
  <c r="BM94" i="36"/>
  <c r="BI94" i="38"/>
  <c r="BI98" i="38"/>
  <c r="DP32" i="36"/>
  <c r="DP42" i="36" s="1"/>
  <c r="DP151" i="36"/>
  <c r="DP150" i="36"/>
  <c r="DP138" i="36"/>
  <c r="DP135" i="36"/>
  <c r="DP141" i="36" s="1"/>
  <c r="DP131" i="36"/>
  <c r="DP123" i="36"/>
  <c r="DP122" i="36"/>
  <c r="DP121" i="36"/>
  <c r="DP120" i="36"/>
  <c r="DP119" i="36"/>
  <c r="DP106" i="36"/>
  <c r="DP100" i="36"/>
  <c r="DP104" i="36" s="1"/>
  <c r="DP105" i="36" s="1"/>
  <c r="DP96" i="36"/>
  <c r="DP80" i="36"/>
  <c r="DP82" i="36" s="1"/>
  <c r="DP78" i="36"/>
  <c r="DP149" i="36" s="1"/>
  <c r="DP65" i="36"/>
  <c r="DP59" i="36" s="1"/>
  <c r="DP60" i="36"/>
  <c r="DP111" i="36" s="1"/>
  <c r="DP112" i="36" s="1"/>
  <c r="DP57" i="36"/>
  <c r="DP63" i="36" s="1"/>
  <c r="DP52" i="36"/>
  <c r="DP26" i="36"/>
  <c r="DO20" i="36"/>
  <c r="DO19" i="36"/>
  <c r="DP15" i="36"/>
  <c r="DP19" i="36" s="1"/>
  <c r="DO2" i="36"/>
  <c r="DO10" i="36" s="1"/>
  <c r="CE151" i="36"/>
  <c r="CE150" i="36"/>
  <c r="CE138" i="36"/>
  <c r="CE135" i="36"/>
  <c r="CE141" i="36" s="1"/>
  <c r="CE131" i="36"/>
  <c r="CE123" i="36"/>
  <c r="CE122" i="36"/>
  <c r="CE121" i="36"/>
  <c r="CE120" i="36"/>
  <c r="CE119" i="36"/>
  <c r="CE106" i="36"/>
  <c r="CE100" i="36"/>
  <c r="CE104" i="36" s="1"/>
  <c r="CE105" i="36" s="1"/>
  <c r="CE80" i="36"/>
  <c r="CE78" i="36"/>
  <c r="CE71" i="36"/>
  <c r="CE65" i="36"/>
  <c r="CE59" i="36" s="1"/>
  <c r="CE57" i="36"/>
  <c r="CE63" i="36" s="1"/>
  <c r="CE52" i="36"/>
  <c r="CE42" i="36"/>
  <c r="CD32" i="36"/>
  <c r="CD31" i="36" s="1"/>
  <c r="CE31" i="36"/>
  <c r="CE30" i="36"/>
  <c r="CE29" i="36" s="1"/>
  <c r="CE25" i="36"/>
  <c r="CE24" i="36"/>
  <c r="CE23" i="36" s="1"/>
  <c r="CD20" i="36"/>
  <c r="CD19" i="36"/>
  <c r="CE15" i="36"/>
  <c r="CE19" i="36" s="1"/>
  <c r="CD2" i="36"/>
  <c r="CD10" i="36" s="1"/>
  <c r="CD16" i="36" s="1"/>
  <c r="CS31" i="15"/>
  <c r="CR181" i="15"/>
  <c r="CS137" i="15"/>
  <c r="CS135" i="15"/>
  <c r="CS141" i="15" s="1"/>
  <c r="CS131" i="15"/>
  <c r="CS123" i="15"/>
  <c r="CS122" i="15"/>
  <c r="CS121" i="15"/>
  <c r="CS120" i="15"/>
  <c r="CS119" i="15"/>
  <c r="CS106" i="15"/>
  <c r="CS104" i="15"/>
  <c r="CS105" i="15" s="1"/>
  <c r="CS80" i="15"/>
  <c r="CS78" i="15"/>
  <c r="CR72" i="15"/>
  <c r="CS71" i="15"/>
  <c r="CS65" i="15"/>
  <c r="CS60" i="15" s="1"/>
  <c r="CS57" i="15"/>
  <c r="CR9" i="15" s="1"/>
  <c r="CS52" i="15"/>
  <c r="CR26" i="15"/>
  <c r="CR25" i="15" s="1"/>
  <c r="CS25" i="15"/>
  <c r="CS20" i="15"/>
  <c r="CS24" i="15" s="1"/>
  <c r="CS23" i="15" s="1"/>
  <c r="CR19" i="15"/>
  <c r="CR16" i="15"/>
  <c r="CR20" i="15" s="1"/>
  <c r="CS15" i="15"/>
  <c r="CS19" i="15" s="1"/>
  <c r="CR2" i="15"/>
  <c r="CR10" i="15" s="1"/>
  <c r="CS10" i="15" s="1"/>
  <c r="CO135" i="14"/>
  <c r="CO141" i="14" s="1"/>
  <c r="CO131" i="14"/>
  <c r="CO123" i="14"/>
  <c r="CO122" i="14"/>
  <c r="CO121" i="14"/>
  <c r="CO120" i="14"/>
  <c r="CO119" i="14"/>
  <c r="CO106" i="14"/>
  <c r="CO104" i="14"/>
  <c r="CO105" i="14" s="1"/>
  <c r="CO96" i="14"/>
  <c r="CO71" i="14"/>
  <c r="CO67" i="14"/>
  <c r="CO80" i="14" s="1"/>
  <c r="CO65" i="14"/>
  <c r="CO57" i="14"/>
  <c r="CN9" i="14" s="1"/>
  <c r="CO52" i="14"/>
  <c r="CO31" i="14"/>
  <c r="CN19" i="14"/>
  <c r="CO15" i="14"/>
  <c r="CO19" i="14" s="1"/>
  <c r="CN2" i="14"/>
  <c r="CN10" i="14" s="1"/>
  <c r="CO10" i="14" s="1"/>
  <c r="CR32" i="13"/>
  <c r="CS151" i="13"/>
  <c r="CS150" i="13"/>
  <c r="CS138" i="13"/>
  <c r="CS135" i="13"/>
  <c r="CS141" i="13" s="1"/>
  <c r="CS131" i="13"/>
  <c r="CS123" i="13"/>
  <c r="CS122" i="13"/>
  <c r="CS121" i="13"/>
  <c r="CS120" i="13"/>
  <c r="CS119" i="13"/>
  <c r="CS106" i="13"/>
  <c r="CS100" i="13"/>
  <c r="CS104" i="13" s="1"/>
  <c r="CS105" i="13" s="1"/>
  <c r="CS71" i="13"/>
  <c r="CS67" i="13"/>
  <c r="CS57" i="13"/>
  <c r="CR9" i="13" s="1"/>
  <c r="CS52" i="13"/>
  <c r="CS39" i="13"/>
  <c r="CR19" i="13"/>
  <c r="CS15" i="13"/>
  <c r="CS19" i="13" s="1"/>
  <c r="CR2" i="13"/>
  <c r="CR10" i="13" s="1"/>
  <c r="CS10" i="13" s="1"/>
  <c r="BG15" i="34"/>
  <c r="BE15" i="34"/>
  <c r="BF26" i="34"/>
  <c r="BD26" i="34"/>
  <c r="BB26" i="34"/>
  <c r="BC62" i="38"/>
  <c r="BA62" i="38"/>
  <c r="AX32" i="38"/>
  <c r="AX31" i="38" s="1"/>
  <c r="AY31" i="38"/>
  <c r="AY30" i="38"/>
  <c r="AY29" i="38"/>
  <c r="AX26" i="38"/>
  <c r="AY25" i="38"/>
  <c r="AX25" i="38"/>
  <c r="BF26" i="38"/>
  <c r="BF25" i="38" s="1"/>
  <c r="BG25" i="38"/>
  <c r="BD26" i="38"/>
  <c r="BD25" i="38" s="1"/>
  <c r="BE25" i="38"/>
  <c r="BB26" i="38"/>
  <c r="BB25" i="38" s="1"/>
  <c r="BC25" i="38"/>
  <c r="AZ26" i="38"/>
  <c r="BF32" i="38"/>
  <c r="BF31" i="38" s="1"/>
  <c r="BG31" i="38"/>
  <c r="BD32" i="38"/>
  <c r="BD31" i="38" s="1"/>
  <c r="BE31" i="38"/>
  <c r="BB32" i="38"/>
  <c r="BB31" i="38" s="1"/>
  <c r="BC31" i="38"/>
  <c r="AZ32" i="38"/>
  <c r="DG20" i="36"/>
  <c r="DE20" i="36"/>
  <c r="DC20" i="36"/>
  <c r="DC26" i="36"/>
  <c r="DH31" i="36"/>
  <c r="DF31" i="36"/>
  <c r="BJ20" i="36"/>
  <c r="BJ19" i="36"/>
  <c r="BH19" i="36"/>
  <c r="BH20" i="36"/>
  <c r="BL16" i="15"/>
  <c r="BL20" i="15" s="1"/>
  <c r="BN16" i="15"/>
  <c r="BP16" i="15"/>
  <c r="BR16" i="15"/>
  <c r="BH26" i="36"/>
  <c r="BM20" i="15"/>
  <c r="BL19" i="15"/>
  <c r="BM25" i="15"/>
  <c r="BM31" i="15"/>
  <c r="BR26" i="15"/>
  <c r="BP26" i="15"/>
  <c r="BN26" i="15"/>
  <c r="DS19" i="3"/>
  <c r="DQ19" i="3"/>
  <c r="DO19" i="3"/>
  <c r="DT15" i="3"/>
  <c r="DT19" i="3" s="1"/>
  <c r="DR15" i="3"/>
  <c r="DR19" i="3" s="1"/>
  <c r="DP15" i="3"/>
  <c r="DP19" i="3" s="1"/>
  <c r="DS26" i="3"/>
  <c r="DQ26" i="3"/>
  <c r="DO26" i="3"/>
  <c r="DT25" i="3"/>
  <c r="DS25" i="3" s="1"/>
  <c r="DR25" i="3"/>
  <c r="DQ25" i="3" s="1"/>
  <c r="DP25" i="3"/>
  <c r="DO25" i="3" s="1"/>
  <c r="DT42" i="3"/>
  <c r="DR42" i="3"/>
  <c r="DP42" i="3"/>
  <c r="DI42" i="3"/>
  <c r="DK42" i="3"/>
  <c r="DM42" i="3"/>
  <c r="DS32" i="3"/>
  <c r="DS31" i="3" s="1"/>
  <c r="DQ32" i="3"/>
  <c r="DQ31" i="3" s="1"/>
  <c r="DO32" i="3"/>
  <c r="DO31" i="3" s="1"/>
  <c r="DT31" i="3"/>
  <c r="DR31" i="3"/>
  <c r="DP31" i="3"/>
  <c r="DT30" i="3"/>
  <c r="DT29" i="3" s="1"/>
  <c r="DR30" i="3"/>
  <c r="DR29" i="3" s="1"/>
  <c r="DP30" i="3"/>
  <c r="DP29" i="3" s="1"/>
  <c r="DL19" i="3"/>
  <c r="DJ19" i="3"/>
  <c r="DL26" i="3"/>
  <c r="DM25" i="3"/>
  <c r="DL25" i="3" s="1"/>
  <c r="DJ26" i="3"/>
  <c r="DK25" i="3"/>
  <c r="DJ25" i="3" s="1"/>
  <c r="DH26" i="3"/>
  <c r="DI30" i="3"/>
  <c r="DI29" i="3" s="1"/>
  <c r="DL32" i="3"/>
  <c r="DL31" i="3" s="1"/>
  <c r="DM31" i="3"/>
  <c r="DJ32" i="3"/>
  <c r="DJ31" i="3" s="1"/>
  <c r="DK31" i="3"/>
  <c r="DI31" i="3"/>
  <c r="DH32" i="3"/>
  <c r="DM30" i="3"/>
  <c r="DK30" i="3"/>
  <c r="DK29" i="3" s="1"/>
  <c r="DM29" i="3"/>
  <c r="BL16" i="13"/>
  <c r="BO16" i="13"/>
  <c r="BN16" i="13" s="1"/>
  <c r="BS15" i="14"/>
  <c r="BO16" i="14"/>
  <c r="BN16" i="14" s="1"/>
  <c r="BL16" i="14"/>
  <c r="BL32" i="14"/>
  <c r="BL26" i="14"/>
  <c r="DO30" i="3" l="1"/>
  <c r="DO29" i="3" s="1"/>
  <c r="DJ42" i="3"/>
  <c r="DP24" i="36"/>
  <c r="DP23" i="36" s="1"/>
  <c r="DS26" i="36"/>
  <c r="BM99" i="36"/>
  <c r="BM124" i="36" s="1"/>
  <c r="BM144" i="36"/>
  <c r="BI99" i="38"/>
  <c r="BI143" i="38"/>
  <c r="DP117" i="36"/>
  <c r="DP116" i="36" s="1"/>
  <c r="DP114" i="36" s="1"/>
  <c r="DP115" i="36" s="1"/>
  <c r="DO9" i="36"/>
  <c r="CS83" i="15"/>
  <c r="CS86" i="15" s="1"/>
  <c r="CS89" i="15" s="1"/>
  <c r="CS117" i="15"/>
  <c r="CS116" i="15" s="1"/>
  <c r="CS114" i="15" s="1"/>
  <c r="CS115" i="15" s="1"/>
  <c r="DO8" i="36"/>
  <c r="CS82" i="15"/>
  <c r="DP83" i="36"/>
  <c r="DP86" i="36" s="1"/>
  <c r="DP89" i="36" s="1"/>
  <c r="CO60" i="14"/>
  <c r="CO56" i="14" s="1"/>
  <c r="CO53" i="14" s="1"/>
  <c r="CE149" i="36"/>
  <c r="CE152" i="36" s="1"/>
  <c r="CE96" i="36"/>
  <c r="DP56" i="36"/>
  <c r="DP68" i="36" s="1"/>
  <c r="CD9" i="36"/>
  <c r="CE117" i="36"/>
  <c r="CE116" i="36" s="1"/>
  <c r="CE114" i="36" s="1"/>
  <c r="CE115" i="36" s="1"/>
  <c r="CO117" i="14"/>
  <c r="CO116" i="14" s="1"/>
  <c r="CO114" i="14" s="1"/>
  <c r="CO115" i="14" s="1"/>
  <c r="DP25" i="36"/>
  <c r="CE60" i="36"/>
  <c r="CE111" i="36" s="1"/>
  <c r="CE112" i="36" s="1"/>
  <c r="CE83" i="36"/>
  <c r="CE86" i="36" s="1"/>
  <c r="CS108" i="15"/>
  <c r="CS109" i="15" s="1"/>
  <c r="CR8" i="15"/>
  <c r="CS56" i="15"/>
  <c r="CS53" i="15" s="1"/>
  <c r="CS59" i="15"/>
  <c r="CS96" i="15"/>
  <c r="CR24" i="15"/>
  <c r="CR23" i="15" s="1"/>
  <c r="DH30" i="3"/>
  <c r="DH29" i="3" s="1"/>
  <c r="DH42" i="3"/>
  <c r="DH31" i="3"/>
  <c r="DO42" i="3"/>
  <c r="DQ30" i="3"/>
  <c r="DQ29" i="3" s="1"/>
  <c r="DQ42" i="3"/>
  <c r="DS42" i="3"/>
  <c r="DL42" i="3"/>
  <c r="CN8" i="14"/>
  <c r="DP152" i="36"/>
  <c r="CO132" i="14"/>
  <c r="CO133" i="14" s="1"/>
  <c r="CO142" i="14" s="1"/>
  <c r="CO59" i="14"/>
  <c r="CS59" i="13"/>
  <c r="CS96" i="13"/>
  <c r="CS117" i="13"/>
  <c r="CS116" i="13" s="1"/>
  <c r="CS114" i="13" s="1"/>
  <c r="CS115" i="13" s="1"/>
  <c r="DP31" i="36"/>
  <c r="DO32" i="36"/>
  <c r="DP30" i="36"/>
  <c r="DP29" i="36" s="1"/>
  <c r="DO16" i="36"/>
  <c r="DP10" i="36"/>
  <c r="DP16" i="36" s="1"/>
  <c r="DP108" i="36"/>
  <c r="DP109" i="36" s="1"/>
  <c r="CD42" i="36"/>
  <c r="CE82" i="36"/>
  <c r="CE10" i="36"/>
  <c r="CE81" i="36" s="1"/>
  <c r="CS30" i="15"/>
  <c r="CS29" i="15" s="1"/>
  <c r="CS42" i="15"/>
  <c r="CR32" i="15"/>
  <c r="CS75" i="15"/>
  <c r="CS81" i="15"/>
  <c r="CS77" i="15"/>
  <c r="CS76" i="15" s="1"/>
  <c r="CS129" i="15"/>
  <c r="CS130" i="15" s="1"/>
  <c r="CS69" i="15"/>
  <c r="CS126" i="15"/>
  <c r="CS127" i="15" s="1"/>
  <c r="CS132" i="15"/>
  <c r="CS133" i="15" s="1"/>
  <c r="CS142" i="15" s="1"/>
  <c r="CR63" i="15"/>
  <c r="CS111" i="15"/>
  <c r="CS112" i="15" s="1"/>
  <c r="CO83" i="14"/>
  <c r="CO82" i="14"/>
  <c r="CO81" i="14"/>
  <c r="CO77" i="14"/>
  <c r="CO76" i="14" s="1"/>
  <c r="CO75" i="14"/>
  <c r="CN72" i="14"/>
  <c r="CO69" i="14"/>
  <c r="CO42" i="14"/>
  <c r="CO78" i="14"/>
  <c r="BQ16" i="14"/>
  <c r="CR31" i="13"/>
  <c r="CR42" i="13"/>
  <c r="CS31" i="13"/>
  <c r="CS42" i="13"/>
  <c r="CS132" i="13"/>
  <c r="CS133" i="13" s="1"/>
  <c r="CS142" i="13" s="1"/>
  <c r="CS129" i="13"/>
  <c r="CS130" i="13" s="1"/>
  <c r="CS126" i="13"/>
  <c r="CS127" i="13" s="1"/>
  <c r="CS77" i="13"/>
  <c r="CS75" i="13"/>
  <c r="CS80" i="13"/>
  <c r="CS78" i="13"/>
  <c r="CS149" i="13" s="1"/>
  <c r="CS152" i="13" s="1"/>
  <c r="CR72" i="13"/>
  <c r="CS69" i="13"/>
  <c r="CS60" i="13"/>
  <c r="BQ16" i="13"/>
  <c r="AX30" i="38"/>
  <c r="AX29" i="38" s="1"/>
  <c r="DS30" i="3"/>
  <c r="DS29" i="3" s="1"/>
  <c r="DL30" i="3"/>
  <c r="DL29" i="3" s="1"/>
  <c r="DJ30" i="3"/>
  <c r="DJ29" i="3" s="1"/>
  <c r="CO111" i="14" l="1"/>
  <c r="CO112" i="14" s="1"/>
  <c r="CO108" i="14"/>
  <c r="CO109" i="14" s="1"/>
  <c r="CN62" i="14"/>
  <c r="DP84" i="36"/>
  <c r="DP50" i="36"/>
  <c r="DP54" i="36" s="1"/>
  <c r="DP41" i="36" s="1"/>
  <c r="DS30" i="36"/>
  <c r="DS29" i="36" s="1"/>
  <c r="DS24" i="36"/>
  <c r="DS23" i="36" s="1"/>
  <c r="DS25" i="36"/>
  <c r="CO68" i="14"/>
  <c r="CO63" i="14" s="1"/>
  <c r="CE108" i="36"/>
  <c r="CE109" i="36" s="1"/>
  <c r="DP87" i="36"/>
  <c r="CS87" i="15"/>
  <c r="CS84" i="15"/>
  <c r="CE84" i="36"/>
  <c r="DP53" i="36"/>
  <c r="CO50" i="14"/>
  <c r="CO54" i="14" s="1"/>
  <c r="CO41" i="14" s="1"/>
  <c r="DP49" i="36"/>
  <c r="DO45" i="36" s="1"/>
  <c r="CD8" i="36"/>
  <c r="CE56" i="36"/>
  <c r="CS68" i="15"/>
  <c r="CS50" i="15"/>
  <c r="DO42" i="36"/>
  <c r="DO31" i="36"/>
  <c r="DP93" i="36"/>
  <c r="DP90" i="36"/>
  <c r="DP132" i="36"/>
  <c r="DP133" i="36" s="1"/>
  <c r="DP142" i="36" s="1"/>
  <c r="DP75" i="36"/>
  <c r="DP77" i="36" s="1"/>
  <c r="DP76" i="36" s="1"/>
  <c r="DP69" i="36"/>
  <c r="DP129" i="36"/>
  <c r="DP130" i="36" s="1"/>
  <c r="DP126" i="36"/>
  <c r="DP127" i="36" s="1"/>
  <c r="DP81" i="36"/>
  <c r="CE87" i="36"/>
  <c r="CE89" i="36"/>
  <c r="CE69" i="36"/>
  <c r="CE126" i="36"/>
  <c r="CE127" i="36" s="1"/>
  <c r="CE129" i="36"/>
  <c r="CE130" i="36" s="1"/>
  <c r="CE75" i="36"/>
  <c r="CE77" i="36" s="1"/>
  <c r="CE76" i="36" s="1"/>
  <c r="CE132" i="36"/>
  <c r="CE133" i="36" s="1"/>
  <c r="CE142" i="36" s="1"/>
  <c r="CR42" i="15"/>
  <c r="CR31" i="15"/>
  <c r="CR30" i="15"/>
  <c r="CR29" i="15" s="1"/>
  <c r="CS93" i="15"/>
  <c r="CS90" i="15"/>
  <c r="CO86" i="14"/>
  <c r="CO84" i="14"/>
  <c r="BP16" i="14"/>
  <c r="BS16" i="14"/>
  <c r="BU16" i="14" s="1"/>
  <c r="BW16" i="14" s="1"/>
  <c r="BY16" i="14" s="1"/>
  <c r="CA16" i="14" s="1"/>
  <c r="CC16" i="14" s="1"/>
  <c r="CE16" i="14" s="1"/>
  <c r="CG16" i="14" s="1"/>
  <c r="CS82" i="13"/>
  <c r="CS83" i="13"/>
  <c r="CS81" i="13"/>
  <c r="CR8" i="13"/>
  <c r="CS56" i="13"/>
  <c r="CS108" i="13"/>
  <c r="CS109" i="13" s="1"/>
  <c r="CS111" i="13"/>
  <c r="CS112" i="13" s="1"/>
  <c r="CS76" i="13"/>
  <c r="BS16" i="13"/>
  <c r="BU16" i="13" s="1"/>
  <c r="BP16" i="13"/>
  <c r="BM67" i="13"/>
  <c r="BM65" i="13"/>
  <c r="BS67" i="13"/>
  <c r="BQ67" i="13"/>
  <c r="BO67" i="13"/>
  <c r="BL26" i="13"/>
  <c r="DO41" i="36" l="1"/>
  <c r="CG20" i="14"/>
  <c r="CF16" i="14"/>
  <c r="CF20" i="14" s="1"/>
  <c r="DP45" i="36"/>
  <c r="DP44" i="36" s="1"/>
  <c r="DP47" i="36" s="1"/>
  <c r="DO49" i="36"/>
  <c r="DO48" i="36" s="1"/>
  <c r="DP48" i="36"/>
  <c r="CE20" i="14"/>
  <c r="CM16" i="14"/>
  <c r="CD16" i="14"/>
  <c r="CD20" i="14" s="1"/>
  <c r="CB16" i="14"/>
  <c r="CB20" i="14" s="1"/>
  <c r="CC20" i="14"/>
  <c r="BZ16" i="14"/>
  <c r="BZ20" i="14" s="1"/>
  <c r="CA20" i="14"/>
  <c r="BW16" i="13"/>
  <c r="BV16" i="13" s="1"/>
  <c r="BV20" i="13" s="1"/>
  <c r="CU16" i="13"/>
  <c r="BY20" i="14"/>
  <c r="BX16" i="14"/>
  <c r="BX20" i="14" s="1"/>
  <c r="CO16" i="13"/>
  <c r="CO20" i="13" s="1"/>
  <c r="BY16" i="13"/>
  <c r="CA16" i="13" s="1"/>
  <c r="CC16" i="13" s="1"/>
  <c r="CE16" i="13" s="1"/>
  <c r="CG16" i="13" s="1"/>
  <c r="CI16" i="13" s="1"/>
  <c r="CO49" i="14"/>
  <c r="CO48" i="14" s="1"/>
  <c r="BV16" i="14"/>
  <c r="BV20" i="14" s="1"/>
  <c r="BW20" i="14"/>
  <c r="BU20" i="13"/>
  <c r="BT16" i="13"/>
  <c r="BT20" i="13" s="1"/>
  <c r="BT16" i="14"/>
  <c r="BT20" i="14" s="1"/>
  <c r="BU20" i="14"/>
  <c r="BM60" i="13"/>
  <c r="CE53" i="36"/>
  <c r="CE50" i="36"/>
  <c r="CE54" i="36" s="1"/>
  <c r="CE41" i="36" s="1"/>
  <c r="CE68" i="36"/>
  <c r="CS54" i="15"/>
  <c r="CS41" i="15" s="1"/>
  <c r="BR16" i="14"/>
  <c r="CO16" i="14"/>
  <c r="BR16" i="13"/>
  <c r="CS16" i="13"/>
  <c r="DO44" i="36"/>
  <c r="DO43" i="36" s="1"/>
  <c r="DP94" i="36"/>
  <c r="DP98" i="36"/>
  <c r="CE93" i="36"/>
  <c r="CE90" i="36"/>
  <c r="CS94" i="15"/>
  <c r="CS98" i="15"/>
  <c r="CO89" i="14"/>
  <c r="CO87" i="14"/>
  <c r="CS68" i="13"/>
  <c r="CS50" i="13"/>
  <c r="CS53" i="13"/>
  <c r="CS86" i="13"/>
  <c r="CS84" i="13"/>
  <c r="CI20" i="13" l="1"/>
  <c r="CK16" i="13"/>
  <c r="CM16" i="13" s="1"/>
  <c r="CH16" i="13"/>
  <c r="CH20" i="13" s="1"/>
  <c r="CQ16" i="13"/>
  <c r="CN16" i="13"/>
  <c r="CN20" i="13" s="1"/>
  <c r="DP43" i="36"/>
  <c r="CF16" i="13"/>
  <c r="CF20" i="13" s="1"/>
  <c r="CG20" i="13"/>
  <c r="BW20" i="13"/>
  <c r="CD16" i="13"/>
  <c r="CD20" i="13" s="1"/>
  <c r="CE20" i="13"/>
  <c r="CL16" i="14"/>
  <c r="CL20" i="14" s="1"/>
  <c r="CM20" i="14"/>
  <c r="CO45" i="14"/>
  <c r="CO44" i="14" s="1"/>
  <c r="CO43" i="14" s="1"/>
  <c r="CN49" i="14"/>
  <c r="CN48" i="14" s="1"/>
  <c r="CB16" i="13"/>
  <c r="CB20" i="13" s="1"/>
  <c r="CC20" i="13"/>
  <c r="CN45" i="14"/>
  <c r="CU20" i="13"/>
  <c r="CU24" i="13" s="1"/>
  <c r="CU23" i="13" s="1"/>
  <c r="CT16" i="13"/>
  <c r="CT20" i="13" s="1"/>
  <c r="CT24" i="13" s="1"/>
  <c r="CT23" i="13" s="1"/>
  <c r="CA20" i="13"/>
  <c r="BZ16" i="13"/>
  <c r="BZ20" i="13" s="1"/>
  <c r="BX16" i="13"/>
  <c r="BX20" i="13" s="1"/>
  <c r="BY20" i="13"/>
  <c r="CQ20" i="13"/>
  <c r="CP16" i="13"/>
  <c r="CP20" i="13" s="1"/>
  <c r="CS49" i="15"/>
  <c r="CS48" i="15" s="1"/>
  <c r="CD41" i="36"/>
  <c r="CE49" i="36"/>
  <c r="CE48" i="36" s="1"/>
  <c r="CR41" i="15"/>
  <c r="CO20" i="14"/>
  <c r="CN16" i="14"/>
  <c r="CN20" i="14" s="1"/>
  <c r="CS20" i="13"/>
  <c r="CR16" i="13"/>
  <c r="CR20" i="13" s="1"/>
  <c r="DP144" i="36"/>
  <c r="DP99" i="36"/>
  <c r="DP124" i="36" s="1"/>
  <c r="CE94" i="36"/>
  <c r="CE98" i="36"/>
  <c r="CS144" i="15"/>
  <c r="CS99" i="15"/>
  <c r="CS124" i="15" s="1"/>
  <c r="CO93" i="14"/>
  <c r="CO90" i="14"/>
  <c r="CS89" i="13"/>
  <c r="CS87" i="13"/>
  <c r="CS54" i="13"/>
  <c r="CS49" i="13" s="1"/>
  <c r="BK57" i="39"/>
  <c r="CL29" i="39"/>
  <c r="CL27" i="39"/>
  <c r="CL25" i="39"/>
  <c r="CL23" i="39"/>
  <c r="CI29" i="39"/>
  <c r="CI27" i="39"/>
  <c r="CI25" i="39"/>
  <c r="CI23" i="39"/>
  <c r="CF23" i="39"/>
  <c r="CF25" i="39"/>
  <c r="BG15" i="39"/>
  <c r="CF29" i="39"/>
  <c r="BL26" i="39"/>
  <c r="BL32" i="39"/>
  <c r="CM20" i="13" l="1"/>
  <c r="CL16" i="13"/>
  <c r="CL20" i="13" s="1"/>
  <c r="CK20" i="13"/>
  <c r="CJ16" i="13"/>
  <c r="CJ20" i="13" s="1"/>
  <c r="CD45" i="36"/>
  <c r="CD44" i="36" s="1"/>
  <c r="CD43" i="36" s="1"/>
  <c r="CD49" i="36"/>
  <c r="CD48" i="36" s="1"/>
  <c r="CS45" i="15"/>
  <c r="CS44" i="15" s="1"/>
  <c r="CS43" i="15" s="1"/>
  <c r="CR49" i="15"/>
  <c r="CR48" i="15" s="1"/>
  <c r="CR45" i="15"/>
  <c r="CR44" i="15" s="1"/>
  <c r="CR43" i="15" s="1"/>
  <c r="CE45" i="36"/>
  <c r="CE44" i="36" s="1"/>
  <c r="CE43" i="36" s="1"/>
  <c r="CE144" i="36"/>
  <c r="CE99" i="36"/>
  <c r="CE124" i="36" s="1"/>
  <c r="CO98" i="14"/>
  <c r="CO94" i="14"/>
  <c r="CS45" i="13"/>
  <c r="CR49" i="13"/>
  <c r="CR48" i="13" s="1"/>
  <c r="CS48" i="13"/>
  <c r="CR45" i="13"/>
  <c r="CS41" i="13"/>
  <c r="CR41" i="13"/>
  <c r="CS93" i="13"/>
  <c r="CS90" i="13"/>
  <c r="BL30" i="39"/>
  <c r="BL29" i="39" s="1"/>
  <c r="BM132" i="39"/>
  <c r="BM133" i="39" s="1"/>
  <c r="BM129" i="39"/>
  <c r="BM130" i="39" s="1"/>
  <c r="BM123" i="39"/>
  <c r="BM122" i="39"/>
  <c r="BM121" i="39"/>
  <c r="BM120" i="39"/>
  <c r="BM119" i="39"/>
  <c r="BM106" i="39"/>
  <c r="BM104" i="39"/>
  <c r="BM105" i="39" s="1"/>
  <c r="BM96" i="39"/>
  <c r="BM75" i="39"/>
  <c r="BM77" i="39" s="1"/>
  <c r="BM76" i="39" s="1"/>
  <c r="BM71" i="39"/>
  <c r="BM67" i="39"/>
  <c r="BM69" i="39" s="1"/>
  <c r="BM65" i="39"/>
  <c r="BM59" i="39" s="1"/>
  <c r="BM63" i="39"/>
  <c r="BM60" i="39"/>
  <c r="BL62" i="39" s="1"/>
  <c r="BM52" i="39"/>
  <c r="BL42" i="39"/>
  <c r="BL31" i="39"/>
  <c r="BL20" i="39"/>
  <c r="BM19" i="39"/>
  <c r="BL19" i="39"/>
  <c r="BL16" i="39"/>
  <c r="BM15" i="39"/>
  <c r="BM10" i="39"/>
  <c r="BL9" i="39"/>
  <c r="BP26" i="39"/>
  <c r="BP25" i="39" s="1"/>
  <c r="BJ26" i="39"/>
  <c r="BR26" i="39"/>
  <c r="BF26" i="39"/>
  <c r="BF25" i="39" s="1"/>
  <c r="BP32" i="39"/>
  <c r="BP42" i="39" s="1"/>
  <c r="BQ123" i="39"/>
  <c r="BQ122" i="39"/>
  <c r="BQ121" i="39"/>
  <c r="BQ120" i="39"/>
  <c r="BQ119" i="39"/>
  <c r="BQ117" i="39" s="1"/>
  <c r="BQ116" i="39" s="1"/>
  <c r="BQ114" i="39" s="1"/>
  <c r="BQ115" i="39" s="1"/>
  <c r="BQ106" i="39"/>
  <c r="BQ104" i="39"/>
  <c r="BQ105" i="39" s="1"/>
  <c r="BQ96" i="39"/>
  <c r="BQ71" i="39"/>
  <c r="BQ67" i="39"/>
  <c r="BQ69" i="39" s="1"/>
  <c r="BQ65" i="39"/>
  <c r="BQ59" i="39" s="1"/>
  <c r="BQ63" i="39"/>
  <c r="BQ52" i="39"/>
  <c r="BP19" i="39"/>
  <c r="BP16" i="39"/>
  <c r="BP20" i="39" s="1"/>
  <c r="BQ15" i="39"/>
  <c r="BQ19" i="39" s="1"/>
  <c r="BQ10" i="39"/>
  <c r="BQ75" i="39" s="1"/>
  <c r="BQ77" i="39" s="1"/>
  <c r="BQ76" i="39" s="1"/>
  <c r="BP9" i="39"/>
  <c r="BX30" i="39"/>
  <c r="BG137" i="39"/>
  <c r="BG135" i="39"/>
  <c r="BG141" i="39" s="1"/>
  <c r="BG131" i="39"/>
  <c r="BG132" i="39" s="1"/>
  <c r="BG133" i="39" s="1"/>
  <c r="BG129" i="39"/>
  <c r="BG130" i="39" s="1"/>
  <c r="BG122" i="39"/>
  <c r="BG121" i="39"/>
  <c r="BG120" i="39"/>
  <c r="BG119" i="39"/>
  <c r="BG106" i="39"/>
  <c r="BG104" i="39"/>
  <c r="BG105" i="39" s="1"/>
  <c r="BG79" i="39"/>
  <c r="BG71" i="39"/>
  <c r="BG67" i="39"/>
  <c r="BG65" i="39"/>
  <c r="BG63" i="39"/>
  <c r="BG52" i="39"/>
  <c r="BG42" i="39"/>
  <c r="BF32" i="39"/>
  <c r="BF31" i="39" s="1"/>
  <c r="BG31" i="39"/>
  <c r="BF19" i="39"/>
  <c r="BF16" i="39"/>
  <c r="BF20" i="39" s="1"/>
  <c r="BG19" i="39"/>
  <c r="BG10" i="39"/>
  <c r="BG75" i="39" s="1"/>
  <c r="BF9" i="39"/>
  <c r="CE47" i="36" l="1"/>
  <c r="BG69" i="39"/>
  <c r="BG77" i="39"/>
  <c r="BG76" i="39" s="1"/>
  <c r="BG96" i="39"/>
  <c r="BM16" i="39"/>
  <c r="BM20" i="39" s="1"/>
  <c r="BM24" i="39" s="1"/>
  <c r="BM23" i="39" s="1"/>
  <c r="BQ60" i="39"/>
  <c r="BM117" i="39"/>
  <c r="BM116" i="39" s="1"/>
  <c r="BM114" i="39" s="1"/>
  <c r="BM115" i="39" s="1"/>
  <c r="CR44" i="13"/>
  <c r="CR43" i="13" s="1"/>
  <c r="CS44" i="13"/>
  <c r="CO144" i="14"/>
  <c r="CO99" i="14"/>
  <c r="CO124" i="14" s="1"/>
  <c r="CS94" i="13"/>
  <c r="CS98" i="13"/>
  <c r="CS47" i="13"/>
  <c r="CS43" i="13"/>
  <c r="BP24" i="39"/>
  <c r="BP23" i="39" s="1"/>
  <c r="BL25" i="39"/>
  <c r="BL24" i="39"/>
  <c r="BL23" i="39" s="1"/>
  <c r="BM31" i="39"/>
  <c r="BM42" i="39"/>
  <c r="BM53" i="39"/>
  <c r="BM30" i="39"/>
  <c r="BM29" i="39" s="1"/>
  <c r="BM108" i="39"/>
  <c r="BM109" i="39" s="1"/>
  <c r="BM25" i="39"/>
  <c r="BM111" i="39"/>
  <c r="BM112" i="39" s="1"/>
  <c r="BM80" i="39"/>
  <c r="BL8" i="39"/>
  <c r="BM56" i="39"/>
  <c r="BQ80" i="39"/>
  <c r="BQ83" i="39" s="1"/>
  <c r="BG60" i="39"/>
  <c r="BF62" i="39" s="1"/>
  <c r="BF24" i="39"/>
  <c r="BF23" i="39" s="1"/>
  <c r="BP31" i="39"/>
  <c r="BQ108" i="39"/>
  <c r="BQ109" i="39" s="1"/>
  <c r="BQ111" i="39"/>
  <c r="BQ112" i="39" s="1"/>
  <c r="BP8" i="39"/>
  <c r="BQ84" i="39"/>
  <c r="BQ86" i="39"/>
  <c r="BQ31" i="39"/>
  <c r="BQ56" i="39"/>
  <c r="BQ129" i="39"/>
  <c r="BQ130" i="39" s="1"/>
  <c r="BQ42" i="39"/>
  <c r="BP30" i="39"/>
  <c r="BP29" i="39" s="1"/>
  <c r="BQ16" i="39"/>
  <c r="BQ20" i="39" s="1"/>
  <c r="BP62" i="39"/>
  <c r="BQ132" i="39"/>
  <c r="BQ133" i="39" s="1"/>
  <c r="BG80" i="39"/>
  <c r="BG82" i="39" s="1"/>
  <c r="BF42" i="39"/>
  <c r="BG108" i="39"/>
  <c r="BG109" i="39" s="1"/>
  <c r="BG56" i="39"/>
  <c r="BG142" i="39"/>
  <c r="BG16" i="39"/>
  <c r="BG20" i="39" s="1"/>
  <c r="BG59" i="39"/>
  <c r="BF30" i="39"/>
  <c r="BF29" i="39" s="1"/>
  <c r="BG123" i="39"/>
  <c r="BG117" i="39" s="1"/>
  <c r="BG116" i="39" s="1"/>
  <c r="BG114" i="39" s="1"/>
  <c r="BG115" i="39" s="1"/>
  <c r="BF8" i="39" l="1"/>
  <c r="BQ82" i="39"/>
  <c r="BQ81" i="39"/>
  <c r="BG111" i="39"/>
  <c r="BG112" i="39" s="1"/>
  <c r="CS99" i="13"/>
  <c r="CS124" i="13" s="1"/>
  <c r="CS144" i="13"/>
  <c r="BM68" i="39"/>
  <c r="BM50" i="39"/>
  <c r="BM83" i="39"/>
  <c r="BM82" i="39"/>
  <c r="BM81" i="39"/>
  <c r="BG81" i="39"/>
  <c r="BQ53" i="39"/>
  <c r="BQ68" i="39"/>
  <c r="BG83" i="39"/>
  <c r="BG84" i="39" s="1"/>
  <c r="BQ50" i="39"/>
  <c r="BQ25" i="39"/>
  <c r="BQ30" i="39"/>
  <c r="BQ29" i="39" s="1"/>
  <c r="BQ24" i="39"/>
  <c r="BQ23" i="39" s="1"/>
  <c r="BQ89" i="39"/>
  <c r="BQ87" i="39"/>
  <c r="BG25" i="39"/>
  <c r="BG30" i="39"/>
  <c r="BG29" i="39" s="1"/>
  <c r="BG24" i="39"/>
  <c r="BG23" i="39" s="1"/>
  <c r="BG68" i="39"/>
  <c r="BG50" i="39"/>
  <c r="BG54" i="39"/>
  <c r="BG53" i="39"/>
  <c r="BM84" i="39" l="1"/>
  <c r="BM86" i="39"/>
  <c r="BM54" i="39"/>
  <c r="BM49" i="39" s="1"/>
  <c r="BG86" i="39"/>
  <c r="BQ93" i="39"/>
  <c r="BQ90" i="39"/>
  <c r="BQ54" i="39"/>
  <c r="BG41" i="39"/>
  <c r="BF41" i="39"/>
  <c r="BG49" i="39"/>
  <c r="CF28" i="39" s="1"/>
  <c r="CF27" i="39" s="1"/>
  <c r="BG89" i="39"/>
  <c r="BG87" i="39"/>
  <c r="BL49" i="39" l="1"/>
  <c r="BL48" i="39" s="1"/>
  <c r="BM48" i="39"/>
  <c r="BM45" i="39"/>
  <c r="BL45" i="39"/>
  <c r="BL41" i="39"/>
  <c r="BM41" i="39"/>
  <c r="BM89" i="39"/>
  <c r="BM87" i="39"/>
  <c r="BP41" i="39"/>
  <c r="BQ41" i="39"/>
  <c r="BQ49" i="39"/>
  <c r="BQ94" i="39"/>
  <c r="BQ98" i="39"/>
  <c r="BF45" i="39"/>
  <c r="BF44" i="39" s="1"/>
  <c r="BF43" i="39" s="1"/>
  <c r="BG48" i="39"/>
  <c r="BF49" i="39"/>
  <c r="BF48" i="39" s="1"/>
  <c r="BG45" i="39"/>
  <c r="BG44" i="39" s="1"/>
  <c r="BG93" i="39"/>
  <c r="BG90" i="39"/>
  <c r="BM90" i="39" l="1"/>
  <c r="BM93" i="39"/>
  <c r="BL44" i="39"/>
  <c r="BL43" i="39" s="1"/>
  <c r="BM44" i="39"/>
  <c r="BM43" i="39" s="1"/>
  <c r="BP45" i="39"/>
  <c r="BP44" i="39" s="1"/>
  <c r="BP43" i="39" s="1"/>
  <c r="BP49" i="39"/>
  <c r="BP48" i="39" s="1"/>
  <c r="BQ45" i="39"/>
  <c r="BQ44" i="39" s="1"/>
  <c r="BQ43" i="39" s="1"/>
  <c r="BQ48" i="39"/>
  <c r="BQ143" i="39"/>
  <c r="BQ99" i="39"/>
  <c r="BG43" i="39"/>
  <c r="BF2" i="39"/>
  <c r="BG98" i="39"/>
  <c r="BG94" i="39"/>
  <c r="BM98" i="39" l="1"/>
  <c r="BM94" i="39"/>
  <c r="BG99" i="39"/>
  <c r="BG144" i="39"/>
  <c r="BM99" i="39" l="1"/>
  <c r="BM143" i="39"/>
  <c r="BU32" i="39" l="1"/>
  <c r="BT32" i="39" s="1"/>
  <c r="BT31" i="39" s="1"/>
  <c r="BR19" i="39"/>
  <c r="BU25" i="39"/>
  <c r="BJ32" i="39"/>
  <c r="BJ31" i="39" s="1"/>
  <c r="BT26" i="39"/>
  <c r="BT25" i="39" s="1"/>
  <c r="BU135" i="39"/>
  <c r="BU141" i="39" s="1"/>
  <c r="BU104" i="39"/>
  <c r="BU80" i="39"/>
  <c r="BU83" i="39" s="1"/>
  <c r="BU86" i="39" s="1"/>
  <c r="BU71" i="39"/>
  <c r="BU66" i="39"/>
  <c r="BU106" i="39" s="1"/>
  <c r="BU63" i="39"/>
  <c r="BT19" i="39"/>
  <c r="BU15" i="39"/>
  <c r="BU19" i="39" s="1"/>
  <c r="BT9" i="39"/>
  <c r="BK137" i="39"/>
  <c r="BU137" i="39" s="1"/>
  <c r="BK135" i="39"/>
  <c r="BK141" i="39" s="1"/>
  <c r="BK131" i="39"/>
  <c r="BK122" i="39"/>
  <c r="BK121" i="39"/>
  <c r="BK120" i="39"/>
  <c r="BK119" i="39"/>
  <c r="BK106" i="39"/>
  <c r="BK104" i="39"/>
  <c r="BK105" i="39" s="1"/>
  <c r="BK79" i="39"/>
  <c r="BK71" i="39"/>
  <c r="BK67" i="39"/>
  <c r="BK80" i="39" s="1"/>
  <c r="BK83" i="39" s="1"/>
  <c r="BK65" i="39"/>
  <c r="BK63" i="39"/>
  <c r="BK52" i="39"/>
  <c r="BK31" i="39"/>
  <c r="BJ19" i="39"/>
  <c r="BK15" i="39"/>
  <c r="BK19" i="39" s="1"/>
  <c r="BJ9" i="39"/>
  <c r="BV32" i="39"/>
  <c r="BV31" i="39" s="1"/>
  <c r="BW31" i="39"/>
  <c r="BX31" i="39" s="1"/>
  <c r="BW26" i="39"/>
  <c r="BW30" i="39" s="1"/>
  <c r="BW29" i="39" s="1"/>
  <c r="BV25" i="39"/>
  <c r="BV19" i="39"/>
  <c r="BW15" i="39"/>
  <c r="BW19" i="39" s="1"/>
  <c r="BV9" i="39"/>
  <c r="BV8" i="39"/>
  <c r="BV2" i="39"/>
  <c r="BV10" i="39" s="1"/>
  <c r="BO123" i="39"/>
  <c r="BO122" i="39"/>
  <c r="BO121" i="39"/>
  <c r="BO120" i="39"/>
  <c r="BO119" i="39"/>
  <c r="BO106" i="39"/>
  <c r="BO104" i="39"/>
  <c r="BO105" i="39" s="1"/>
  <c r="BO96" i="39"/>
  <c r="BO71" i="39"/>
  <c r="BO67" i="39"/>
  <c r="BO80" i="39" s="1"/>
  <c r="BO65" i="39"/>
  <c r="BO63" i="39"/>
  <c r="BO52" i="39"/>
  <c r="BN32" i="39"/>
  <c r="BN42" i="39" s="1"/>
  <c r="BN26" i="39"/>
  <c r="BN25" i="39" s="1"/>
  <c r="BN19" i="39"/>
  <c r="BO15" i="39"/>
  <c r="BO19" i="39" s="1"/>
  <c r="BN9" i="39"/>
  <c r="BS135" i="39"/>
  <c r="BS141" i="39" s="1"/>
  <c r="BS104" i="39"/>
  <c r="BS80" i="39"/>
  <c r="BS83" i="39" s="1"/>
  <c r="BS86" i="39" s="1"/>
  <c r="BS71" i="39"/>
  <c r="BS66" i="39"/>
  <c r="BS106" i="39" s="1"/>
  <c r="BS63" i="39"/>
  <c r="BS42" i="39"/>
  <c r="BR32" i="39"/>
  <c r="BR42" i="39" s="1"/>
  <c r="BS31" i="39"/>
  <c r="BS30" i="39"/>
  <c r="BS29" i="39" s="1"/>
  <c r="BS25" i="39"/>
  <c r="BR25" i="39"/>
  <c r="BS15" i="39"/>
  <c r="BS19" i="39" s="1"/>
  <c r="BR9" i="39"/>
  <c r="BI137" i="39"/>
  <c r="BS137" i="39" s="1"/>
  <c r="BE137" i="39"/>
  <c r="BC137" i="39"/>
  <c r="BA137" i="39"/>
  <c r="AY137" i="39"/>
  <c r="AW137" i="39"/>
  <c r="BQ137" i="39" s="1"/>
  <c r="BQ140" i="39" s="1"/>
  <c r="BQ141" i="39" s="1"/>
  <c r="AU137" i="39"/>
  <c r="BO137" i="39" s="1"/>
  <c r="BO140" i="39" s="1"/>
  <c r="AS137" i="39"/>
  <c r="BM137" i="39" s="1"/>
  <c r="BM140" i="39" s="1"/>
  <c r="BM141" i="39" s="1"/>
  <c r="AQ137" i="39"/>
  <c r="AO137" i="39"/>
  <c r="AM137" i="39"/>
  <c r="AK137" i="39"/>
  <c r="AI137" i="39"/>
  <c r="AG137" i="39"/>
  <c r="AE137" i="39"/>
  <c r="AC137" i="39"/>
  <c r="AA137" i="39"/>
  <c r="Y137" i="39"/>
  <c r="W137" i="39"/>
  <c r="U137" i="39"/>
  <c r="S137" i="39"/>
  <c r="Q137" i="39"/>
  <c r="O137" i="39"/>
  <c r="M137" i="39"/>
  <c r="K137" i="39"/>
  <c r="I137" i="39"/>
  <c r="G137" i="39"/>
  <c r="BI135" i="39"/>
  <c r="BE135" i="39"/>
  <c r="BE141" i="39" s="1"/>
  <c r="BC135" i="39"/>
  <c r="BC141" i="39" s="1"/>
  <c r="BA135" i="39"/>
  <c r="BA96" i="39" s="1"/>
  <c r="AY135" i="39"/>
  <c r="AY141" i="39" s="1"/>
  <c r="AW135" i="39"/>
  <c r="AU135" i="39"/>
  <c r="AU141" i="39" s="1"/>
  <c r="AS135" i="39"/>
  <c r="AS141" i="39" s="1"/>
  <c r="AQ135" i="39"/>
  <c r="AQ141" i="39" s="1"/>
  <c r="AO135" i="39"/>
  <c r="AO141" i="39" s="1"/>
  <c r="AM135" i="39"/>
  <c r="AK135" i="39"/>
  <c r="AK141" i="39" s="1"/>
  <c r="AI135" i="39"/>
  <c r="AI96" i="39" s="1"/>
  <c r="AG135" i="39"/>
  <c r="AG96" i="39" s="1"/>
  <c r="AE135" i="39"/>
  <c r="AE141" i="39" s="1"/>
  <c r="AC135" i="39"/>
  <c r="AC96" i="39" s="1"/>
  <c r="AA135" i="39"/>
  <c r="AA141" i="39" s="1"/>
  <c r="Y135" i="39"/>
  <c r="Y141" i="39" s="1"/>
  <c r="W135" i="39"/>
  <c r="W141" i="39" s="1"/>
  <c r="U135" i="39"/>
  <c r="S135" i="39"/>
  <c r="Q135" i="39"/>
  <c r="O135" i="39"/>
  <c r="O141" i="39" s="1"/>
  <c r="M135" i="39"/>
  <c r="M96" i="39" s="1"/>
  <c r="K135" i="39"/>
  <c r="K141" i="39" s="1"/>
  <c r="I135" i="39"/>
  <c r="G135" i="39"/>
  <c r="BI131" i="39"/>
  <c r="BE131" i="39"/>
  <c r="BC131" i="39"/>
  <c r="BA131" i="39"/>
  <c r="AY131" i="39"/>
  <c r="AW131" i="39"/>
  <c r="AU131" i="39"/>
  <c r="AS131" i="39"/>
  <c r="AQ131" i="39"/>
  <c r="AO131" i="39"/>
  <c r="AM131" i="39"/>
  <c r="AK131" i="39"/>
  <c r="AI131" i="39"/>
  <c r="AG131" i="39"/>
  <c r="AE131" i="39"/>
  <c r="G131" i="39"/>
  <c r="BI122" i="39"/>
  <c r="BE122" i="39"/>
  <c r="BC122" i="39"/>
  <c r="BA122" i="39"/>
  <c r="AY122" i="39"/>
  <c r="AW122" i="39"/>
  <c r="AU122" i="39"/>
  <c r="AS122" i="39"/>
  <c r="AQ122" i="39"/>
  <c r="AO122" i="39"/>
  <c r="AM122" i="39"/>
  <c r="AK122" i="39"/>
  <c r="AI122" i="39"/>
  <c r="AG122" i="39"/>
  <c r="AE122" i="39"/>
  <c r="AC122" i="39"/>
  <c r="AA122" i="39"/>
  <c r="Y122" i="39"/>
  <c r="W122" i="39"/>
  <c r="U122" i="39"/>
  <c r="S122" i="39"/>
  <c r="Q122" i="39"/>
  <c r="O122" i="39"/>
  <c r="M122" i="39"/>
  <c r="K122" i="39"/>
  <c r="I122" i="39"/>
  <c r="G122" i="39"/>
  <c r="BI121" i="39"/>
  <c r="BE121" i="39"/>
  <c r="BC121" i="39"/>
  <c r="BA121" i="39"/>
  <c r="AY121" i="39"/>
  <c r="AW121" i="39"/>
  <c r="AU121" i="39"/>
  <c r="AS121" i="39"/>
  <c r="AQ121" i="39"/>
  <c r="AO121" i="39"/>
  <c r="AM121" i="39"/>
  <c r="AK121" i="39"/>
  <c r="AI121" i="39"/>
  <c r="AG121" i="39"/>
  <c r="AE121" i="39"/>
  <c r="AC121" i="39"/>
  <c r="AA121" i="39"/>
  <c r="Y121" i="39"/>
  <c r="W121" i="39"/>
  <c r="U121" i="39"/>
  <c r="S121" i="39"/>
  <c r="Q121" i="39"/>
  <c r="O121" i="39"/>
  <c r="M121" i="39"/>
  <c r="K121" i="39"/>
  <c r="I121" i="39"/>
  <c r="G121" i="39"/>
  <c r="BI120" i="39"/>
  <c r="BE120" i="39"/>
  <c r="BC120" i="39"/>
  <c r="BA120" i="39"/>
  <c r="AY120" i="39"/>
  <c r="AW120" i="39"/>
  <c r="AU120" i="39"/>
  <c r="AS120" i="39"/>
  <c r="AQ120" i="39"/>
  <c r="AO120" i="39"/>
  <c r="AM120" i="39"/>
  <c r="AK120" i="39"/>
  <c r="AI120" i="39"/>
  <c r="AG120" i="39"/>
  <c r="AE120" i="39"/>
  <c r="AC120" i="39"/>
  <c r="AA120" i="39"/>
  <c r="Y120" i="39"/>
  <c r="W120" i="39"/>
  <c r="U120" i="39"/>
  <c r="S120" i="39"/>
  <c r="Q120" i="39"/>
  <c r="O120" i="39"/>
  <c r="M120" i="39"/>
  <c r="K120" i="39"/>
  <c r="I120" i="39"/>
  <c r="G120" i="39"/>
  <c r="BI119" i="39"/>
  <c r="BE119" i="39"/>
  <c r="BC119" i="39"/>
  <c r="BA119" i="39"/>
  <c r="AY119" i="39"/>
  <c r="AW119" i="39"/>
  <c r="AU119" i="39"/>
  <c r="AS119" i="39"/>
  <c r="AQ119" i="39"/>
  <c r="AO119" i="39"/>
  <c r="AM119" i="39"/>
  <c r="AK119" i="39"/>
  <c r="AI119" i="39"/>
  <c r="AG119" i="39"/>
  <c r="AE119" i="39"/>
  <c r="AC119" i="39"/>
  <c r="AA119" i="39"/>
  <c r="Y119" i="39"/>
  <c r="W119" i="39"/>
  <c r="U119" i="39"/>
  <c r="S119" i="39"/>
  <c r="Q119" i="39"/>
  <c r="O119" i="39"/>
  <c r="M119" i="39"/>
  <c r="K119" i="39"/>
  <c r="I119" i="39"/>
  <c r="G119" i="39"/>
  <c r="BI106" i="39"/>
  <c r="BE106" i="39"/>
  <c r="BC106" i="39"/>
  <c r="BA106" i="39"/>
  <c r="AY106" i="39"/>
  <c r="AW106" i="39"/>
  <c r="AU106" i="39"/>
  <c r="AS106" i="39"/>
  <c r="AQ106" i="39"/>
  <c r="AO106" i="39"/>
  <c r="AM106" i="39"/>
  <c r="AK106" i="39"/>
  <c r="AI106" i="39"/>
  <c r="AG106" i="39"/>
  <c r="AE106" i="39"/>
  <c r="AC106" i="39"/>
  <c r="AA106" i="39"/>
  <c r="Y106" i="39"/>
  <c r="W106" i="39"/>
  <c r="U106" i="39"/>
  <c r="S106" i="39"/>
  <c r="Q106" i="39"/>
  <c r="O106" i="39"/>
  <c r="M106" i="39"/>
  <c r="K106" i="39"/>
  <c r="I106" i="39"/>
  <c r="G106" i="39"/>
  <c r="BI104" i="39"/>
  <c r="BI105" i="39" s="1"/>
  <c r="BE104" i="39"/>
  <c r="BE105" i="39" s="1"/>
  <c r="BC104" i="39"/>
  <c r="BC105" i="39" s="1"/>
  <c r="BA104" i="39"/>
  <c r="BA105" i="39" s="1"/>
  <c r="AY104" i="39"/>
  <c r="AY105" i="39" s="1"/>
  <c r="AW104" i="39"/>
  <c r="AW105" i="39" s="1"/>
  <c r="AU104" i="39"/>
  <c r="AU105" i="39" s="1"/>
  <c r="AS104" i="39"/>
  <c r="AS105" i="39" s="1"/>
  <c r="AQ104" i="39"/>
  <c r="AQ105" i="39" s="1"/>
  <c r="AO104" i="39"/>
  <c r="AO105" i="39" s="1"/>
  <c r="AM104" i="39"/>
  <c r="AM105" i="39" s="1"/>
  <c r="AK104" i="39"/>
  <c r="AK105" i="39" s="1"/>
  <c r="AI104" i="39"/>
  <c r="AI105" i="39" s="1"/>
  <c r="AG104" i="39"/>
  <c r="AG105" i="39" s="1"/>
  <c r="AE104" i="39"/>
  <c r="AE105" i="39" s="1"/>
  <c r="AC104" i="39"/>
  <c r="AC105" i="39" s="1"/>
  <c r="AA104" i="39"/>
  <c r="AA105" i="39" s="1"/>
  <c r="Y104" i="39"/>
  <c r="Y105" i="39" s="1"/>
  <c r="W104" i="39"/>
  <c r="W105" i="39" s="1"/>
  <c r="U104" i="39"/>
  <c r="U105" i="39" s="1"/>
  <c r="S104" i="39"/>
  <c r="S105" i="39" s="1"/>
  <c r="Q104" i="39"/>
  <c r="Q105" i="39" s="1"/>
  <c r="O104" i="39"/>
  <c r="O105" i="39" s="1"/>
  <c r="M104" i="39"/>
  <c r="M105" i="39" s="1"/>
  <c r="K104" i="39"/>
  <c r="K105" i="39" s="1"/>
  <c r="I104" i="39"/>
  <c r="I105" i="39" s="1"/>
  <c r="G104" i="39"/>
  <c r="G105" i="39" s="1"/>
  <c r="AW80" i="39"/>
  <c r="AW83" i="39" s="1"/>
  <c r="AW86" i="39" s="1"/>
  <c r="AU80" i="39"/>
  <c r="AU83" i="39" s="1"/>
  <c r="AS80" i="39"/>
  <c r="AS82" i="39" s="1"/>
  <c r="AQ80" i="39"/>
  <c r="AQ83" i="39" s="1"/>
  <c r="AO80" i="39"/>
  <c r="AM80" i="39"/>
  <c r="AM83" i="39" s="1"/>
  <c r="AK80" i="39"/>
  <c r="AK83" i="39" s="1"/>
  <c r="AI80" i="39"/>
  <c r="AI83" i="39" s="1"/>
  <c r="AG80" i="39"/>
  <c r="AG83" i="39" s="1"/>
  <c r="AE80" i="39"/>
  <c r="AC80" i="39"/>
  <c r="AC83" i="39" s="1"/>
  <c r="AA80" i="39"/>
  <c r="Y80" i="39"/>
  <c r="Y82" i="39" s="1"/>
  <c r="W80" i="39"/>
  <c r="U80" i="39"/>
  <c r="U82" i="39" s="1"/>
  <c r="S80" i="39"/>
  <c r="Q80" i="39"/>
  <c r="Q83" i="39" s="1"/>
  <c r="O80" i="39"/>
  <c r="O83" i="39" s="1"/>
  <c r="M80" i="39"/>
  <c r="M83" i="39" s="1"/>
  <c r="M86" i="39" s="1"/>
  <c r="K80" i="39"/>
  <c r="K83" i="39" s="1"/>
  <c r="I80" i="39"/>
  <c r="I83" i="39" s="1"/>
  <c r="I84" i="39" s="1"/>
  <c r="G80" i="39"/>
  <c r="G82" i="39" s="1"/>
  <c r="BI79" i="39"/>
  <c r="BI123" i="39" s="1"/>
  <c r="BE79" i="39"/>
  <c r="BE123" i="39" s="1"/>
  <c r="BC79" i="39"/>
  <c r="BA79" i="39"/>
  <c r="AY79" i="39"/>
  <c r="AW79" i="39"/>
  <c r="AW123" i="39" s="1"/>
  <c r="AU79" i="39"/>
  <c r="AU123" i="39" s="1"/>
  <c r="AS79" i="39"/>
  <c r="AS123" i="39" s="1"/>
  <c r="AQ79" i="39"/>
  <c r="AQ123" i="39" s="1"/>
  <c r="AO79" i="39"/>
  <c r="AO123" i="39" s="1"/>
  <c r="AM79" i="39"/>
  <c r="AM123" i="39" s="1"/>
  <c r="AK79" i="39"/>
  <c r="E75" i="39"/>
  <c r="E81" i="39" s="1"/>
  <c r="AY74" i="39"/>
  <c r="AY80" i="39" s="1"/>
  <c r="AY83" i="39" s="1"/>
  <c r="E74" i="39"/>
  <c r="E80" i="39" s="1"/>
  <c r="E83" i="39" s="1"/>
  <c r="E86" i="39" s="1"/>
  <c r="E89" i="39" s="1"/>
  <c r="BI71" i="39"/>
  <c r="BE71" i="39"/>
  <c r="BC71" i="39"/>
  <c r="BA71" i="39"/>
  <c r="AW71" i="39"/>
  <c r="AU71" i="39"/>
  <c r="AS71" i="39"/>
  <c r="AQ71" i="39"/>
  <c r="AO71" i="39"/>
  <c r="AM71" i="39"/>
  <c r="AK71" i="39"/>
  <c r="AI71" i="39"/>
  <c r="AG71" i="39"/>
  <c r="AE71" i="39"/>
  <c r="AC71" i="39"/>
  <c r="AA71" i="39"/>
  <c r="Y71" i="39"/>
  <c r="W71" i="39"/>
  <c r="U71" i="39"/>
  <c r="S71" i="39"/>
  <c r="Q71" i="39"/>
  <c r="O71" i="39"/>
  <c r="M71" i="39"/>
  <c r="K71" i="39"/>
  <c r="I71" i="39"/>
  <c r="G71" i="39"/>
  <c r="BI67" i="39"/>
  <c r="BI80" i="39" s="1"/>
  <c r="BI82" i="39" s="1"/>
  <c r="BE67" i="39"/>
  <c r="BE80" i="39" s="1"/>
  <c r="BC67" i="39"/>
  <c r="BC80" i="39" s="1"/>
  <c r="BA67" i="39"/>
  <c r="BI65" i="39"/>
  <c r="BI60" i="39" s="1"/>
  <c r="BE65" i="39"/>
  <c r="BC65" i="39"/>
  <c r="BA65" i="39"/>
  <c r="AY65" i="39"/>
  <c r="AY60" i="39" s="1"/>
  <c r="AX8" i="39" s="1"/>
  <c r="AW65" i="39"/>
  <c r="AW60" i="39" s="1"/>
  <c r="AW56" i="39" s="1"/>
  <c r="AU65" i="39"/>
  <c r="AU59" i="39" s="1"/>
  <c r="AS65" i="39"/>
  <c r="AS59" i="39" s="1"/>
  <c r="AQ65" i="39"/>
  <c r="AQ60" i="39" s="1"/>
  <c r="AQ108" i="39" s="1"/>
  <c r="AQ109" i="39" s="1"/>
  <c r="AO65" i="39"/>
  <c r="AO59" i="39" s="1"/>
  <c r="AM65" i="39"/>
  <c r="AM59" i="39" s="1"/>
  <c r="AK65" i="39"/>
  <c r="AK59" i="39" s="1"/>
  <c r="AI65" i="39"/>
  <c r="AG65" i="39"/>
  <c r="AE65" i="39"/>
  <c r="AE60" i="39" s="1"/>
  <c r="AE111" i="39" s="1"/>
  <c r="AE112" i="39" s="1"/>
  <c r="AC65" i="39"/>
  <c r="AC59" i="39" s="1"/>
  <c r="AA65" i="39"/>
  <c r="AA59" i="39" s="1"/>
  <c r="Y65" i="39"/>
  <c r="Y59" i="39" s="1"/>
  <c r="W65" i="39"/>
  <c r="W59" i="39" s="1"/>
  <c r="U65" i="39"/>
  <c r="S65" i="39"/>
  <c r="S59" i="39" s="1"/>
  <c r="Q65" i="39"/>
  <c r="Q60" i="39" s="1"/>
  <c r="O65" i="39"/>
  <c r="O59" i="39" s="1"/>
  <c r="M65" i="39"/>
  <c r="M60" i="39" s="1"/>
  <c r="M111" i="39" s="1"/>
  <c r="M112" i="39" s="1"/>
  <c r="K65" i="39"/>
  <c r="K60" i="39" s="1"/>
  <c r="K56" i="39" s="1"/>
  <c r="I65" i="39"/>
  <c r="I60" i="39" s="1"/>
  <c r="I56" i="39" s="1"/>
  <c r="G65" i="39"/>
  <c r="E65" i="39"/>
  <c r="C65" i="39"/>
  <c r="BI63" i="39"/>
  <c r="BE63" i="39"/>
  <c r="BC63" i="39"/>
  <c r="BA63" i="39"/>
  <c r="AY63" i="39"/>
  <c r="AW63" i="39"/>
  <c r="AU63" i="39"/>
  <c r="AS63" i="39"/>
  <c r="AQ63" i="39"/>
  <c r="AO63" i="39"/>
  <c r="AM63" i="39"/>
  <c r="AK63" i="39"/>
  <c r="AI63" i="39"/>
  <c r="AG63" i="39"/>
  <c r="AE63" i="39"/>
  <c r="AC63" i="39"/>
  <c r="AA63" i="39"/>
  <c r="Y63" i="39"/>
  <c r="W63" i="39"/>
  <c r="U63" i="39"/>
  <c r="S63" i="39"/>
  <c r="Q63" i="39"/>
  <c r="O63" i="39"/>
  <c r="M63" i="39"/>
  <c r="K63" i="39"/>
  <c r="I63" i="39"/>
  <c r="G63" i="39"/>
  <c r="AA60" i="39"/>
  <c r="AA111" i="39" s="1"/>
  <c r="AA112" i="39" s="1"/>
  <c r="E57" i="39"/>
  <c r="E58" i="39" s="1"/>
  <c r="BI52" i="39"/>
  <c r="BE52" i="39"/>
  <c r="BC52" i="39"/>
  <c r="BA52" i="39"/>
  <c r="AY52" i="39"/>
  <c r="AW52" i="39"/>
  <c r="AU52" i="39"/>
  <c r="AS52" i="39"/>
  <c r="AQ52" i="39"/>
  <c r="AO52" i="39"/>
  <c r="AM52" i="39"/>
  <c r="AK52" i="39"/>
  <c r="AI52" i="39"/>
  <c r="AG52" i="39"/>
  <c r="AE52" i="39"/>
  <c r="AC52" i="39"/>
  <c r="AA52" i="39"/>
  <c r="Y52" i="39"/>
  <c r="W52" i="39"/>
  <c r="U52" i="39"/>
  <c r="S52" i="39"/>
  <c r="Q52" i="39"/>
  <c r="O52" i="39"/>
  <c r="M52" i="39"/>
  <c r="K52" i="39"/>
  <c r="I52" i="39"/>
  <c r="G52" i="39"/>
  <c r="AQ35" i="39"/>
  <c r="BI32" i="39"/>
  <c r="BE32" i="39"/>
  <c r="BD32" i="39" s="1"/>
  <c r="BD42" i="39" s="1"/>
  <c r="BC32" i="39"/>
  <c r="BC31" i="39" s="1"/>
  <c r="BA32" i="39"/>
  <c r="AY32" i="39"/>
  <c r="AX32" i="39" s="1"/>
  <c r="AW32" i="39"/>
  <c r="AV32" i="39" s="1"/>
  <c r="AU32" i="39"/>
  <c r="AU42" i="39" s="1"/>
  <c r="AS32" i="39"/>
  <c r="AS31" i="39" s="1"/>
  <c r="AQ32" i="39"/>
  <c r="AQ31" i="39" s="1"/>
  <c r="AO32" i="39"/>
  <c r="AO42" i="39" s="1"/>
  <c r="AM32" i="39"/>
  <c r="AK32" i="39"/>
  <c r="AK31" i="39" s="1"/>
  <c r="AI32" i="39"/>
  <c r="AI42" i="39" s="1"/>
  <c r="AG32" i="39"/>
  <c r="AG31" i="39" s="1"/>
  <c r="AE32" i="39"/>
  <c r="AE31" i="39" s="1"/>
  <c r="AC32" i="39"/>
  <c r="AA32" i="39"/>
  <c r="Z32" i="39" s="1"/>
  <c r="Y32" i="39"/>
  <c r="X32" i="39" s="1"/>
  <c r="W32" i="39"/>
  <c r="W31" i="39" s="1"/>
  <c r="U32" i="39"/>
  <c r="S32" i="39"/>
  <c r="S42" i="39" s="1"/>
  <c r="Q32" i="39"/>
  <c r="O32" i="39"/>
  <c r="M32" i="39"/>
  <c r="M42" i="39" s="1"/>
  <c r="K32" i="39"/>
  <c r="K42" i="39" s="1"/>
  <c r="I32" i="39"/>
  <c r="I31" i="39" s="1"/>
  <c r="G32" i="39"/>
  <c r="BH26" i="39"/>
  <c r="BI26" i="39" s="1"/>
  <c r="BD26" i="39"/>
  <c r="BE26" i="39" s="1"/>
  <c r="BE25" i="39" s="1"/>
  <c r="BB26" i="39"/>
  <c r="BB25" i="39" s="1"/>
  <c r="AZ26" i="39"/>
  <c r="BA26" i="39" s="1"/>
  <c r="BA25" i="39" s="1"/>
  <c r="AX26" i="39"/>
  <c r="AX25" i="39" s="1"/>
  <c r="AV26" i="39"/>
  <c r="AV25" i="39" s="1"/>
  <c r="AT26" i="39"/>
  <c r="AU26" i="39" s="1"/>
  <c r="AU25" i="39" s="1"/>
  <c r="AR26" i="39"/>
  <c r="AQ26" i="39"/>
  <c r="AQ25" i="39" s="1"/>
  <c r="AO26" i="39"/>
  <c r="AO25" i="39" s="1"/>
  <c r="AM26" i="39"/>
  <c r="AM25" i="39" s="1"/>
  <c r="AK26" i="39"/>
  <c r="AH26" i="39"/>
  <c r="AH25" i="39" s="1"/>
  <c r="AG26" i="39"/>
  <c r="AE26" i="39"/>
  <c r="AC26" i="39"/>
  <c r="AC25" i="39" s="1"/>
  <c r="AA26" i="39"/>
  <c r="AA25" i="39" s="1"/>
  <c r="Y26" i="39"/>
  <c r="Y25" i="39" s="1"/>
  <c r="W26" i="39"/>
  <c r="W25" i="39" s="1"/>
  <c r="U26" i="39"/>
  <c r="U25" i="39" s="1"/>
  <c r="S26" i="39"/>
  <c r="Q26" i="39"/>
  <c r="O26" i="39"/>
  <c r="O25" i="39" s="1"/>
  <c r="M26" i="39"/>
  <c r="M25" i="39" s="1"/>
  <c r="K26" i="39"/>
  <c r="K25" i="39" s="1"/>
  <c r="I26" i="39"/>
  <c r="G26" i="39"/>
  <c r="G25" i="39" s="1"/>
  <c r="AP25" i="39"/>
  <c r="AN25" i="39"/>
  <c r="AL25" i="39"/>
  <c r="AJ25" i="39"/>
  <c r="AF25" i="39"/>
  <c r="AD25" i="39"/>
  <c r="AB25" i="39"/>
  <c r="Z25" i="39"/>
  <c r="X25" i="39"/>
  <c r="V25" i="39"/>
  <c r="T25" i="39"/>
  <c r="R25" i="39"/>
  <c r="P25" i="39"/>
  <c r="N25" i="39"/>
  <c r="L25" i="39"/>
  <c r="J25" i="39"/>
  <c r="H25" i="39"/>
  <c r="F25" i="39"/>
  <c r="BH19" i="39"/>
  <c r="BD19" i="39"/>
  <c r="BB19" i="39"/>
  <c r="AZ19" i="39"/>
  <c r="AX19" i="39"/>
  <c r="AV19" i="39"/>
  <c r="AT19" i="39"/>
  <c r="AR19" i="39"/>
  <c r="AP19" i="39"/>
  <c r="AN19" i="39"/>
  <c r="AL19" i="39"/>
  <c r="AJ19" i="39"/>
  <c r="AF19" i="39"/>
  <c r="AD19" i="39"/>
  <c r="AB19" i="39"/>
  <c r="Z19" i="39"/>
  <c r="X19" i="39"/>
  <c r="V19" i="39"/>
  <c r="T19" i="39"/>
  <c r="R19" i="39"/>
  <c r="P19" i="39"/>
  <c r="N19" i="39"/>
  <c r="L19" i="39"/>
  <c r="J19" i="39"/>
  <c r="H19" i="39"/>
  <c r="F19" i="39"/>
  <c r="BI15" i="39"/>
  <c r="BI19" i="39" s="1"/>
  <c r="BE15" i="39"/>
  <c r="BE19" i="39" s="1"/>
  <c r="BC15" i="39"/>
  <c r="BC19" i="39" s="1"/>
  <c r="BA15" i="39"/>
  <c r="BA19" i="39" s="1"/>
  <c r="AY15" i="39"/>
  <c r="AY19" i="39" s="1"/>
  <c r="AW15" i="39"/>
  <c r="AU15" i="39"/>
  <c r="AS15" i="39"/>
  <c r="AQ15" i="39"/>
  <c r="AO15" i="39"/>
  <c r="AO19" i="39" s="1"/>
  <c r="AM15" i="39"/>
  <c r="AM19" i="39" s="1"/>
  <c r="AK15" i="39"/>
  <c r="AK19" i="39" s="1"/>
  <c r="AI15" i="39"/>
  <c r="AG15" i="39"/>
  <c r="AG19" i="39" s="1"/>
  <c r="AE15" i="39"/>
  <c r="AE19" i="39" s="1"/>
  <c r="AC15" i="39"/>
  <c r="AC19" i="39" s="1"/>
  <c r="AA15" i="39"/>
  <c r="AA19" i="39" s="1"/>
  <c r="Y15" i="39"/>
  <c r="Y19" i="39" s="1"/>
  <c r="W15" i="39"/>
  <c r="W19" i="39" s="1"/>
  <c r="U15" i="39"/>
  <c r="U19" i="39" s="1"/>
  <c r="S15" i="39"/>
  <c r="S19" i="39" s="1"/>
  <c r="Q15" i="39"/>
  <c r="Q19" i="39" s="1"/>
  <c r="O15" i="39"/>
  <c r="O19" i="39" s="1"/>
  <c r="M15" i="39"/>
  <c r="M19" i="39" s="1"/>
  <c r="K15" i="39"/>
  <c r="K19" i="39" s="1"/>
  <c r="I15" i="39"/>
  <c r="I19" i="39" s="1"/>
  <c r="G15" i="39"/>
  <c r="BH9" i="39"/>
  <c r="BD9" i="39"/>
  <c r="BB9" i="39"/>
  <c r="AZ9" i="39"/>
  <c r="AX9" i="39"/>
  <c r="AV9" i="39"/>
  <c r="AT9" i="39"/>
  <c r="AR9" i="39"/>
  <c r="AP9" i="39"/>
  <c r="AN9" i="39"/>
  <c r="AL9" i="39"/>
  <c r="AJ9" i="39"/>
  <c r="AH9" i="39"/>
  <c r="AF9" i="39"/>
  <c r="AD9" i="39"/>
  <c r="AB9" i="39"/>
  <c r="Z9" i="39"/>
  <c r="X9" i="39"/>
  <c r="V9" i="39"/>
  <c r="T9" i="39"/>
  <c r="R9" i="39"/>
  <c r="P9" i="39"/>
  <c r="N9" i="39"/>
  <c r="L9" i="39"/>
  <c r="J9" i="39"/>
  <c r="H9" i="39"/>
  <c r="F9" i="39"/>
  <c r="H4" i="39"/>
  <c r="I131" i="39" s="1"/>
  <c r="F2" i="39"/>
  <c r="F10" i="39" s="1"/>
  <c r="BS151" i="13"/>
  <c r="BS150" i="13"/>
  <c r="BS138" i="13"/>
  <c r="BS135" i="13"/>
  <c r="BS141" i="13" s="1"/>
  <c r="BS131" i="13"/>
  <c r="BS123" i="13"/>
  <c r="BS122" i="13"/>
  <c r="BS121" i="13"/>
  <c r="BS120" i="13"/>
  <c r="BS119" i="13"/>
  <c r="BS106" i="13"/>
  <c r="BS100" i="13"/>
  <c r="BS104" i="13" s="1"/>
  <c r="BS105" i="13" s="1"/>
  <c r="BS65" i="13"/>
  <c r="BS60" i="13" s="1"/>
  <c r="BS57" i="13"/>
  <c r="BS52" i="13"/>
  <c r="BS42" i="13"/>
  <c r="BS39" i="13"/>
  <c r="BR32" i="13"/>
  <c r="BR42" i="13" s="1"/>
  <c r="BS31" i="13"/>
  <c r="BR19" i="13"/>
  <c r="BS15" i="13"/>
  <c r="BS19" i="13" s="1"/>
  <c r="BR2" i="13"/>
  <c r="BR10" i="13" s="1"/>
  <c r="BR20" i="13" s="1"/>
  <c r="BS135" i="14"/>
  <c r="BS96" i="14" s="1"/>
  <c r="BS131" i="14"/>
  <c r="BS123" i="14"/>
  <c r="BS122" i="14"/>
  <c r="BS121" i="14"/>
  <c r="BS120" i="14"/>
  <c r="BS119" i="14"/>
  <c r="BS106" i="14"/>
  <c r="BS104" i="14"/>
  <c r="BS105" i="14" s="1"/>
  <c r="BS67" i="14"/>
  <c r="BS65" i="14"/>
  <c r="BS59" i="14" s="1"/>
  <c r="BS57" i="14"/>
  <c r="BR9" i="14" s="1"/>
  <c r="BS52" i="14"/>
  <c r="BR2" i="14"/>
  <c r="BR10" i="14" s="1"/>
  <c r="BR181" i="15"/>
  <c r="BS137" i="15"/>
  <c r="BS135" i="15"/>
  <c r="BS141" i="15" s="1"/>
  <c r="BS131" i="15"/>
  <c r="BS123" i="15"/>
  <c r="BS122" i="15"/>
  <c r="BS121" i="15"/>
  <c r="BS120" i="15"/>
  <c r="BS119" i="15"/>
  <c r="BS106" i="15"/>
  <c r="BS104" i="15"/>
  <c r="BS105" i="15" s="1"/>
  <c r="BR72" i="15"/>
  <c r="BS52" i="15"/>
  <c r="BS65" i="15"/>
  <c r="BS60" i="15" s="1"/>
  <c r="BR8" i="15" s="1"/>
  <c r="BS57" i="15"/>
  <c r="BR9" i="15" s="1"/>
  <c r="BS42" i="15"/>
  <c r="BR32" i="15"/>
  <c r="BR30" i="15" s="1"/>
  <c r="BR29" i="15" s="1"/>
  <c r="BS31" i="15"/>
  <c r="BS30" i="15"/>
  <c r="BS29" i="15" s="1"/>
  <c r="BS25" i="15"/>
  <c r="BR25" i="15"/>
  <c r="BR19" i="15"/>
  <c r="BS15" i="15"/>
  <c r="BS19" i="15" s="1"/>
  <c r="BR2" i="15"/>
  <c r="BR10" i="15" s="1"/>
  <c r="BR20" i="15" s="1"/>
  <c r="BR24" i="15" s="1"/>
  <c r="BR23" i="15" s="1"/>
  <c r="DH151" i="36"/>
  <c r="DH150" i="36"/>
  <c r="DH138" i="36"/>
  <c r="DH135" i="36"/>
  <c r="DH141" i="36" s="1"/>
  <c r="DH131" i="36"/>
  <c r="DH123" i="36"/>
  <c r="DH122" i="36"/>
  <c r="DH121" i="36"/>
  <c r="DH120" i="36"/>
  <c r="DH119" i="36"/>
  <c r="DH106" i="36"/>
  <c r="DH100" i="36"/>
  <c r="DH104" i="36" s="1"/>
  <c r="DH105" i="36" s="1"/>
  <c r="DH65" i="36"/>
  <c r="DH57" i="36"/>
  <c r="DH63" i="36" s="1"/>
  <c r="DH52" i="36"/>
  <c r="DH42" i="36"/>
  <c r="DG32" i="36"/>
  <c r="DG42" i="36" s="1"/>
  <c r="DH26" i="36"/>
  <c r="DH30" i="36" s="1"/>
  <c r="DH29" i="36" s="1"/>
  <c r="DG19" i="36"/>
  <c r="DH15" i="36"/>
  <c r="DH19" i="36" s="1"/>
  <c r="DG2" i="36"/>
  <c r="DG10" i="36" s="1"/>
  <c r="BK151" i="36"/>
  <c r="BK150" i="36"/>
  <c r="BK138" i="36"/>
  <c r="BK135" i="36"/>
  <c r="BK141" i="36" s="1"/>
  <c r="BK131" i="36"/>
  <c r="BK123" i="36"/>
  <c r="BK122" i="36"/>
  <c r="BK121" i="36"/>
  <c r="BK120" i="36"/>
  <c r="BK119" i="36"/>
  <c r="BK106" i="36"/>
  <c r="BK100" i="36"/>
  <c r="BK104" i="36" s="1"/>
  <c r="BK105" i="36" s="1"/>
  <c r="BK65" i="36"/>
  <c r="BK57" i="36"/>
  <c r="BJ9" i="36" s="1"/>
  <c r="BK52" i="36"/>
  <c r="BK42" i="36"/>
  <c r="BJ32" i="36"/>
  <c r="BJ31" i="36" s="1"/>
  <c r="BK31" i="36"/>
  <c r="BK30" i="36"/>
  <c r="BK29" i="36" s="1"/>
  <c r="BJ26" i="36"/>
  <c r="BK15" i="36"/>
  <c r="BK19" i="36" s="1"/>
  <c r="BJ2" i="36"/>
  <c r="BJ10" i="36" s="1"/>
  <c r="BJ16" i="36" s="1"/>
  <c r="BC135" i="33"/>
  <c r="BC141" i="33" s="1"/>
  <c r="BC104" i="33"/>
  <c r="BC63" i="33"/>
  <c r="BC42" i="33"/>
  <c r="BB32" i="33"/>
  <c r="BB31" i="33" s="1"/>
  <c r="BC31" i="33"/>
  <c r="BC26" i="33"/>
  <c r="BC30" i="33" s="1"/>
  <c r="BC29" i="33" s="1"/>
  <c r="BB25" i="33"/>
  <c r="BB19" i="33"/>
  <c r="BC15" i="33"/>
  <c r="BC19" i="33" s="1"/>
  <c r="BB9" i="33"/>
  <c r="BB2" i="33"/>
  <c r="BB10" i="33" s="1"/>
  <c r="BE135" i="35"/>
  <c r="BE141" i="35" s="1"/>
  <c r="BE122" i="35"/>
  <c r="BE121" i="35"/>
  <c r="BE120" i="35"/>
  <c r="BE119" i="35"/>
  <c r="BE106" i="35"/>
  <c r="BE104" i="35"/>
  <c r="BE105" i="35" s="1"/>
  <c r="BE67" i="35"/>
  <c r="BE65" i="35"/>
  <c r="BE60" i="35" s="1"/>
  <c r="BE63" i="35"/>
  <c r="BE52" i="35"/>
  <c r="BD42" i="35"/>
  <c r="BE42" i="35"/>
  <c r="BD31" i="35"/>
  <c r="BD30" i="35"/>
  <c r="BD29" i="35" s="1"/>
  <c r="BE25" i="35"/>
  <c r="BD25" i="35"/>
  <c r="BD19" i="35"/>
  <c r="BE15" i="35"/>
  <c r="BE19" i="35" s="1"/>
  <c r="BD9" i="35"/>
  <c r="BD2" i="35"/>
  <c r="BD10" i="35" s="1"/>
  <c r="BG137" i="34"/>
  <c r="BG135" i="34"/>
  <c r="BG141" i="34" s="1"/>
  <c r="BG131" i="34"/>
  <c r="BG122" i="34"/>
  <c r="BG121" i="34"/>
  <c r="BG120" i="34"/>
  <c r="BG119" i="34"/>
  <c r="BG106" i="34"/>
  <c r="BG104" i="34"/>
  <c r="BG105" i="34" s="1"/>
  <c r="BG79" i="34"/>
  <c r="BG67" i="34"/>
  <c r="BG65" i="34"/>
  <c r="BG63" i="34"/>
  <c r="BG52" i="34"/>
  <c r="BG42" i="34"/>
  <c r="BF32" i="34"/>
  <c r="BG25" i="34"/>
  <c r="BF25" i="34"/>
  <c r="BG19" i="34"/>
  <c r="BF19" i="34"/>
  <c r="BF9" i="34"/>
  <c r="DF151" i="36"/>
  <c r="DF150" i="36"/>
  <c r="DF138" i="36"/>
  <c r="DF135" i="36"/>
  <c r="DF141" i="36" s="1"/>
  <c r="DF131" i="36"/>
  <c r="DF123" i="36"/>
  <c r="DF122" i="36"/>
  <c r="DF121" i="36"/>
  <c r="DF120" i="36"/>
  <c r="DF119" i="36"/>
  <c r="DF106" i="36"/>
  <c r="DF100" i="36"/>
  <c r="DF104" i="36" s="1"/>
  <c r="DF105" i="36" s="1"/>
  <c r="DF65" i="36"/>
  <c r="DF57" i="36"/>
  <c r="DF63" i="36" s="1"/>
  <c r="DF52" i="36"/>
  <c r="DF42" i="36"/>
  <c r="DE32" i="36"/>
  <c r="DE31" i="36" s="1"/>
  <c r="DE19" i="36"/>
  <c r="DF15" i="36"/>
  <c r="DF19" i="36" s="1"/>
  <c r="DE2" i="36"/>
  <c r="DE10" i="36" s="1"/>
  <c r="BP181" i="15"/>
  <c r="BQ137" i="15"/>
  <c r="BQ135" i="15"/>
  <c r="BQ141" i="15" s="1"/>
  <c r="BQ131" i="15"/>
  <c r="BQ104" i="15"/>
  <c r="BP72" i="15"/>
  <c r="BQ57" i="15"/>
  <c r="BP9" i="15" s="1"/>
  <c r="BQ42" i="15"/>
  <c r="BP32" i="15"/>
  <c r="BP30" i="15" s="1"/>
  <c r="BP29" i="15" s="1"/>
  <c r="BQ31" i="15"/>
  <c r="BQ30" i="15"/>
  <c r="BQ29" i="15" s="1"/>
  <c r="BP25" i="15"/>
  <c r="BP19" i="15"/>
  <c r="BQ15" i="15"/>
  <c r="BQ19" i="15" s="1"/>
  <c r="BP2" i="15"/>
  <c r="BP10" i="15" s="1"/>
  <c r="DP140" i="3"/>
  <c r="DP137" i="3"/>
  <c r="DR137" i="3" s="1"/>
  <c r="DT137" i="3" s="1"/>
  <c r="DR136" i="3"/>
  <c r="DT136" i="3" s="1"/>
  <c r="DT123" i="3"/>
  <c r="DR123" i="3"/>
  <c r="DP123" i="3"/>
  <c r="DT122" i="3"/>
  <c r="DR122" i="3"/>
  <c r="DP122" i="3"/>
  <c r="DT121" i="3"/>
  <c r="DR121" i="3"/>
  <c r="DP121" i="3"/>
  <c r="DT120" i="3"/>
  <c r="DR120" i="3"/>
  <c r="DP120" i="3"/>
  <c r="DT119" i="3"/>
  <c r="DR119" i="3"/>
  <c r="DP119" i="3"/>
  <c r="DT106" i="3"/>
  <c r="DR106" i="3"/>
  <c r="DP106" i="3"/>
  <c r="DT100" i="3"/>
  <c r="DT104" i="3" s="1"/>
  <c r="DT105" i="3" s="1"/>
  <c r="DR100" i="3"/>
  <c r="DR104" i="3" s="1"/>
  <c r="DR105" i="3" s="1"/>
  <c r="DP100" i="3"/>
  <c r="DP104" i="3" s="1"/>
  <c r="DP105" i="3" s="1"/>
  <c r="DP96" i="3"/>
  <c r="DT67" i="3"/>
  <c r="DR67" i="3"/>
  <c r="DP67" i="3"/>
  <c r="DT65" i="3"/>
  <c r="DR65" i="3"/>
  <c r="DP65" i="3"/>
  <c r="DT63" i="3"/>
  <c r="DR63" i="3"/>
  <c r="DP63" i="3"/>
  <c r="DT52" i="3"/>
  <c r="DR52" i="3"/>
  <c r="DP52" i="3"/>
  <c r="DS9" i="3"/>
  <c r="DQ9" i="3"/>
  <c r="DO9" i="3"/>
  <c r="DS2" i="3"/>
  <c r="DS10" i="3" s="1"/>
  <c r="DS16" i="3" s="1"/>
  <c r="DS20" i="3" s="1"/>
  <c r="DS24" i="3" s="1"/>
  <c r="DS23" i="3" s="1"/>
  <c r="DQ2" i="3"/>
  <c r="DQ10" i="3" s="1"/>
  <c r="DO2" i="3"/>
  <c r="DO10" i="3" s="1"/>
  <c r="DO16" i="3" s="1"/>
  <c r="DO20" i="3" s="1"/>
  <c r="DO24" i="3" s="1"/>
  <c r="DO23" i="3" s="1"/>
  <c r="BG123" i="38"/>
  <c r="BG122" i="38"/>
  <c r="BG121" i="38"/>
  <c r="BG120" i="38"/>
  <c r="BG119" i="38"/>
  <c r="BG106" i="38"/>
  <c r="BG104" i="38"/>
  <c r="BG105" i="38" s="1"/>
  <c r="BG96" i="38"/>
  <c r="BG67" i="38"/>
  <c r="BG65" i="38"/>
  <c r="BG63" i="38"/>
  <c r="BG52" i="38"/>
  <c r="BF19" i="38"/>
  <c r="BG15" i="38"/>
  <c r="BG19" i="38" s="1"/>
  <c r="BF9" i="38"/>
  <c r="BF2" i="38"/>
  <c r="BF10" i="38" s="1"/>
  <c r="BF16" i="38" s="1"/>
  <c r="BF20" i="38" s="1"/>
  <c r="BQ135" i="14"/>
  <c r="BQ141" i="14" s="1"/>
  <c r="BQ131" i="14"/>
  <c r="BQ123" i="14"/>
  <c r="BQ122" i="14"/>
  <c r="BQ121" i="14"/>
  <c r="BQ120" i="14"/>
  <c r="BQ119" i="14"/>
  <c r="BQ106" i="14"/>
  <c r="BQ104" i="14"/>
  <c r="BQ105" i="14" s="1"/>
  <c r="BQ67" i="14"/>
  <c r="BQ65" i="14"/>
  <c r="BQ57" i="14"/>
  <c r="BP9" i="14" s="1"/>
  <c r="BQ52" i="14"/>
  <c r="BP19" i="14"/>
  <c r="BQ15" i="14"/>
  <c r="BQ19" i="14" s="1"/>
  <c r="BP2" i="14"/>
  <c r="BP10" i="14" s="1"/>
  <c r="BC135" i="35"/>
  <c r="BC141" i="35" s="1"/>
  <c r="BC122" i="35"/>
  <c r="BC121" i="35"/>
  <c r="BC120" i="35"/>
  <c r="BC119" i="35"/>
  <c r="BC106" i="35"/>
  <c r="BC104" i="35"/>
  <c r="BC105" i="35" s="1"/>
  <c r="BC67" i="35"/>
  <c r="BC65" i="35"/>
  <c r="BC63" i="35"/>
  <c r="BC52" i="35"/>
  <c r="BB42" i="35"/>
  <c r="BC42" i="35"/>
  <c r="BB31" i="35"/>
  <c r="BB30" i="35"/>
  <c r="BB29" i="35" s="1"/>
  <c r="BC25" i="35"/>
  <c r="BB25" i="35"/>
  <c r="BB19" i="35"/>
  <c r="BC15" i="35"/>
  <c r="BC19" i="35" s="1"/>
  <c r="BB9" i="35"/>
  <c r="BB2" i="35"/>
  <c r="BB10" i="35" s="1"/>
  <c r="BA135" i="35"/>
  <c r="BA141" i="35" s="1"/>
  <c r="BA122" i="35"/>
  <c r="BA121" i="35"/>
  <c r="BA120" i="35"/>
  <c r="BA119" i="35"/>
  <c r="BA106" i="35"/>
  <c r="BA104" i="35"/>
  <c r="BA105" i="35" s="1"/>
  <c r="BA71" i="35"/>
  <c r="BA67" i="35"/>
  <c r="BA80" i="35" s="1"/>
  <c r="BA65" i="35"/>
  <c r="BA63" i="35"/>
  <c r="BA52" i="35"/>
  <c r="AZ42" i="35"/>
  <c r="BA32" i="35"/>
  <c r="BA42" i="35" s="1"/>
  <c r="BA31" i="35"/>
  <c r="AZ31" i="35"/>
  <c r="AZ30" i="35"/>
  <c r="AZ29" i="35" s="1"/>
  <c r="BA26" i="35"/>
  <c r="BA30" i="35" s="1"/>
  <c r="BA29" i="35" s="1"/>
  <c r="AZ25" i="35"/>
  <c r="AZ19" i="35"/>
  <c r="BA15" i="35"/>
  <c r="BA19" i="35" s="1"/>
  <c r="AZ9" i="35"/>
  <c r="AZ2" i="35"/>
  <c r="AZ10" i="35" s="1"/>
  <c r="BE137" i="34"/>
  <c r="BE135" i="34"/>
  <c r="BE96" i="34" s="1"/>
  <c r="BE131" i="34"/>
  <c r="BE122" i="34"/>
  <c r="BE121" i="34"/>
  <c r="BE120" i="34"/>
  <c r="BE119" i="34"/>
  <c r="BE106" i="34"/>
  <c r="BE104" i="34"/>
  <c r="BE105" i="34" s="1"/>
  <c r="BE79" i="34"/>
  <c r="BE67" i="34"/>
  <c r="BE65" i="34"/>
  <c r="BE63" i="34"/>
  <c r="BE52" i="34"/>
  <c r="BE42" i="34"/>
  <c r="BD32" i="34"/>
  <c r="BD31" i="34" s="1"/>
  <c r="BE31" i="34"/>
  <c r="BE19" i="34"/>
  <c r="BD19" i="34"/>
  <c r="BD9" i="34"/>
  <c r="BN181" i="15"/>
  <c r="BO137" i="15"/>
  <c r="BO135" i="15"/>
  <c r="BO141" i="15" s="1"/>
  <c r="BO131" i="15"/>
  <c r="BO104" i="15"/>
  <c r="BN72" i="15"/>
  <c r="BO57" i="15"/>
  <c r="BN9" i="15" s="1"/>
  <c r="BO42" i="15"/>
  <c r="BN32" i="15"/>
  <c r="BN31" i="15" s="1"/>
  <c r="BO31" i="15"/>
  <c r="BO30" i="15"/>
  <c r="BO29" i="15" s="1"/>
  <c r="BN25" i="15"/>
  <c r="BN19" i="15"/>
  <c r="BO15" i="15"/>
  <c r="BO19" i="15" s="1"/>
  <c r="BN2" i="15"/>
  <c r="BN10" i="15" s="1"/>
  <c r="DI140" i="3"/>
  <c r="DI137" i="3"/>
  <c r="DK137" i="3" s="1"/>
  <c r="DM137" i="3" s="1"/>
  <c r="DK136" i="3"/>
  <c r="DK96" i="3" s="1"/>
  <c r="DM123" i="3"/>
  <c r="DK123" i="3"/>
  <c r="DI123" i="3"/>
  <c r="DM122" i="3"/>
  <c r="DK122" i="3"/>
  <c r="DI122" i="3"/>
  <c r="DM121" i="3"/>
  <c r="DK121" i="3"/>
  <c r="DI121" i="3"/>
  <c r="DM120" i="3"/>
  <c r="DK120" i="3"/>
  <c r="DI120" i="3"/>
  <c r="DM119" i="3"/>
  <c r="DK119" i="3"/>
  <c r="DI119" i="3"/>
  <c r="DM106" i="3"/>
  <c r="DK106" i="3"/>
  <c r="DI106" i="3"/>
  <c r="DM100" i="3"/>
  <c r="DM104" i="3" s="1"/>
  <c r="DM105" i="3" s="1"/>
  <c r="DK100" i="3"/>
  <c r="DK104" i="3" s="1"/>
  <c r="DK105" i="3" s="1"/>
  <c r="DI100" i="3"/>
  <c r="DI104" i="3" s="1"/>
  <c r="DI105" i="3" s="1"/>
  <c r="DI96" i="3"/>
  <c r="DM67" i="3"/>
  <c r="DK67" i="3"/>
  <c r="DI67" i="3"/>
  <c r="DM65" i="3"/>
  <c r="DK65" i="3"/>
  <c r="DI65" i="3"/>
  <c r="DM63" i="3"/>
  <c r="DK63" i="3"/>
  <c r="DI63" i="3"/>
  <c r="DM52" i="3"/>
  <c r="DK52" i="3"/>
  <c r="DI52" i="3"/>
  <c r="DH19" i="3"/>
  <c r="DM15" i="3"/>
  <c r="DM19" i="3" s="1"/>
  <c r="DK15" i="3"/>
  <c r="DK19" i="3" s="1"/>
  <c r="DI15" i="3"/>
  <c r="DI19" i="3" s="1"/>
  <c r="DL9" i="3"/>
  <c r="DJ9" i="3"/>
  <c r="DH9" i="3"/>
  <c r="DL2" i="3"/>
  <c r="DL10" i="3" s="1"/>
  <c r="DM10" i="3" s="1"/>
  <c r="DM74" i="3" s="1"/>
  <c r="DJ2" i="3"/>
  <c r="DJ10" i="3" s="1"/>
  <c r="DK10" i="3" s="1"/>
  <c r="DK74" i="3" s="1"/>
  <c r="DH2" i="3"/>
  <c r="DH10" i="3" s="1"/>
  <c r="DI10" i="3" s="1"/>
  <c r="DI74" i="3" s="1"/>
  <c r="BE123" i="38"/>
  <c r="BE122" i="38"/>
  <c r="BE121" i="38"/>
  <c r="BE120" i="38"/>
  <c r="BE119" i="38"/>
  <c r="BE106" i="38"/>
  <c r="BE104" i="38"/>
  <c r="BE105" i="38" s="1"/>
  <c r="BE96" i="38"/>
  <c r="BE67" i="38"/>
  <c r="BE65" i="38"/>
  <c r="BE63" i="38"/>
  <c r="BE52" i="38"/>
  <c r="BD42" i="38"/>
  <c r="BD19" i="38"/>
  <c r="BE15" i="38"/>
  <c r="BE19" i="38" s="1"/>
  <c r="BD9" i="38"/>
  <c r="BD2" i="38"/>
  <c r="BD10" i="38" s="1"/>
  <c r="BO135" i="14"/>
  <c r="BO141" i="14" s="1"/>
  <c r="BO131" i="14"/>
  <c r="BO122" i="14"/>
  <c r="BO121" i="14"/>
  <c r="BO120" i="14"/>
  <c r="BO119" i="14"/>
  <c r="BO106" i="14"/>
  <c r="BO104" i="14"/>
  <c r="BO105" i="14" s="1"/>
  <c r="BO67" i="14"/>
  <c r="BO65" i="14"/>
  <c r="BO57" i="14"/>
  <c r="BN9" i="14" s="1"/>
  <c r="BO52" i="14"/>
  <c r="BN19" i="14"/>
  <c r="BO15" i="14"/>
  <c r="BO19" i="14" s="1"/>
  <c r="BN2" i="14"/>
  <c r="BN10" i="14" s="1"/>
  <c r="BN20" i="14" s="1"/>
  <c r="BM135" i="14"/>
  <c r="BM96" i="14" s="1"/>
  <c r="BM131" i="14"/>
  <c r="BM122" i="14"/>
  <c r="BM121" i="14"/>
  <c r="BM120" i="14"/>
  <c r="BM119" i="14"/>
  <c r="BM106" i="14"/>
  <c r="BM104" i="14"/>
  <c r="BM105" i="14" s="1"/>
  <c r="BM67" i="14"/>
  <c r="BM80" i="14" s="1"/>
  <c r="BM65" i="14"/>
  <c r="BM57" i="14"/>
  <c r="BL9" i="14" s="1"/>
  <c r="BM52" i="14"/>
  <c r="BL19" i="14"/>
  <c r="BM15" i="14"/>
  <c r="BM19" i="14" s="1"/>
  <c r="BL2" i="14"/>
  <c r="BL10" i="14" s="1"/>
  <c r="BL20" i="14" s="1"/>
  <c r="BC123" i="38"/>
  <c r="BC122" i="38"/>
  <c r="BC121" i="38"/>
  <c r="BC120" i="38"/>
  <c r="BC119" i="38"/>
  <c r="BC106" i="38"/>
  <c r="BC104" i="38"/>
  <c r="BC105" i="38" s="1"/>
  <c r="BC96" i="38"/>
  <c r="BC65" i="38"/>
  <c r="BC59" i="38" s="1"/>
  <c r="BC63" i="38"/>
  <c r="BC52" i="38"/>
  <c r="BB42" i="38"/>
  <c r="BB19" i="38"/>
  <c r="BC15" i="38"/>
  <c r="BC19" i="38" s="1"/>
  <c r="BB9" i="38"/>
  <c r="BB2" i="38"/>
  <c r="BB10" i="38" s="1"/>
  <c r="DB140" i="3"/>
  <c r="DB137" i="3"/>
  <c r="DD137" i="3" s="1"/>
  <c r="DF137" i="3" s="1"/>
  <c r="DD136" i="3"/>
  <c r="DD96" i="3" s="1"/>
  <c r="DF123" i="3"/>
  <c r="DD123" i="3"/>
  <c r="DB123" i="3"/>
  <c r="DF122" i="3"/>
  <c r="DD122" i="3"/>
  <c r="DB122" i="3"/>
  <c r="DF121" i="3"/>
  <c r="DD121" i="3"/>
  <c r="DB121" i="3"/>
  <c r="DF120" i="3"/>
  <c r="DD120" i="3"/>
  <c r="DB120" i="3"/>
  <c r="DF119" i="3"/>
  <c r="DD119" i="3"/>
  <c r="DB119" i="3"/>
  <c r="DF106" i="3"/>
  <c r="DD106" i="3"/>
  <c r="DB106" i="3"/>
  <c r="DF100" i="3"/>
  <c r="DF104" i="3" s="1"/>
  <c r="DF105" i="3" s="1"/>
  <c r="DD100" i="3"/>
  <c r="DD104" i="3" s="1"/>
  <c r="DD105" i="3" s="1"/>
  <c r="DB100" i="3"/>
  <c r="DB104" i="3" s="1"/>
  <c r="DB105" i="3" s="1"/>
  <c r="DB96" i="3"/>
  <c r="DF67" i="3"/>
  <c r="DD67" i="3"/>
  <c r="DD80" i="3" s="1"/>
  <c r="DB67" i="3"/>
  <c r="DF65" i="3"/>
  <c r="DD65" i="3"/>
  <c r="DB65" i="3"/>
  <c r="DF63" i="3"/>
  <c r="DD63" i="3"/>
  <c r="DB63" i="3"/>
  <c r="DF52" i="3"/>
  <c r="DD52" i="3"/>
  <c r="DB52" i="3"/>
  <c r="DE26" i="3"/>
  <c r="DE25" i="3" s="1"/>
  <c r="DC26" i="3"/>
  <c r="DC42" i="3" s="1"/>
  <c r="DA26" i="3"/>
  <c r="DB26" i="3" s="1"/>
  <c r="DE19" i="3"/>
  <c r="DC19" i="3"/>
  <c r="DA19" i="3"/>
  <c r="DF15" i="3"/>
  <c r="DD15" i="3"/>
  <c r="DD19" i="3" s="1"/>
  <c r="DB15" i="3"/>
  <c r="DB19" i="3" s="1"/>
  <c r="DE9" i="3"/>
  <c r="DC9" i="3"/>
  <c r="DA9" i="3"/>
  <c r="DE2" i="3"/>
  <c r="DE10" i="3" s="1"/>
  <c r="DC2" i="3"/>
  <c r="DC10" i="3" s="1"/>
  <c r="DD10" i="3" s="1"/>
  <c r="DA2" i="3"/>
  <c r="DA10" i="3" s="1"/>
  <c r="BL181" i="15"/>
  <c r="BM137" i="15"/>
  <c r="BM135" i="15"/>
  <c r="BM141" i="15" s="1"/>
  <c r="BM131" i="15"/>
  <c r="BM104" i="15"/>
  <c r="BM80" i="15"/>
  <c r="BM78" i="15"/>
  <c r="BL72" i="15"/>
  <c r="BM71" i="15"/>
  <c r="BM57" i="15"/>
  <c r="BL9" i="15" s="1"/>
  <c r="BM42" i="15"/>
  <c r="BL32" i="15"/>
  <c r="BL31" i="15" s="1"/>
  <c r="BM30" i="15"/>
  <c r="BM29" i="15" s="1"/>
  <c r="BL25" i="15"/>
  <c r="BM15" i="15"/>
  <c r="BM19" i="15" s="1"/>
  <c r="BL2" i="15"/>
  <c r="BL10" i="15" s="1"/>
  <c r="BI151" i="36"/>
  <c r="BI150" i="36"/>
  <c r="BI138" i="36"/>
  <c r="BI135" i="36"/>
  <c r="BI141" i="36" s="1"/>
  <c r="BI131" i="36"/>
  <c r="BI123" i="36"/>
  <c r="BI122" i="36"/>
  <c r="BI121" i="36"/>
  <c r="BI120" i="36"/>
  <c r="BI119" i="36"/>
  <c r="BI106" i="36"/>
  <c r="BI100" i="36"/>
  <c r="BI104" i="36" s="1"/>
  <c r="BI105" i="36" s="1"/>
  <c r="BI65" i="36"/>
  <c r="BI60" i="36" s="1"/>
  <c r="BI57" i="36"/>
  <c r="BI63" i="36" s="1"/>
  <c r="BI52" i="36"/>
  <c r="BI42" i="36"/>
  <c r="BH32" i="36"/>
  <c r="BH42" i="36" s="1"/>
  <c r="BI31" i="36"/>
  <c r="BI15" i="36"/>
  <c r="BI19" i="36" s="1"/>
  <c r="BH2" i="36"/>
  <c r="BH10" i="36" s="1"/>
  <c r="BH16" i="36" s="1"/>
  <c r="BA135" i="33"/>
  <c r="BA141" i="33" s="1"/>
  <c r="BA104" i="33"/>
  <c r="BA80" i="33"/>
  <c r="BA83" i="33" s="1"/>
  <c r="BA66" i="33"/>
  <c r="BA122" i="33" s="1"/>
  <c r="BA65" i="33"/>
  <c r="BA60" i="33" s="1"/>
  <c r="BA63" i="33"/>
  <c r="BA42" i="33"/>
  <c r="AZ32" i="33"/>
  <c r="AZ42" i="33" s="1"/>
  <c r="BA31" i="33"/>
  <c r="BA26" i="33"/>
  <c r="BA25" i="33" s="1"/>
  <c r="AZ25" i="33"/>
  <c r="AZ19" i="33"/>
  <c r="BA15" i="33"/>
  <c r="BA19" i="33" s="1"/>
  <c r="AZ9" i="33"/>
  <c r="AZ2" i="33"/>
  <c r="AZ10" i="33" s="1"/>
  <c r="BC137" i="34"/>
  <c r="BC135" i="34"/>
  <c r="BC141" i="34" s="1"/>
  <c r="BC131" i="34"/>
  <c r="BC122" i="34"/>
  <c r="BC121" i="34"/>
  <c r="BC120" i="34"/>
  <c r="BC119" i="34"/>
  <c r="BC106" i="34"/>
  <c r="BC104" i="34"/>
  <c r="BC105" i="34" s="1"/>
  <c r="BC79" i="34"/>
  <c r="BC123" i="34" s="1"/>
  <c r="BC67" i="34"/>
  <c r="BC80" i="34" s="1"/>
  <c r="BC83" i="34" s="1"/>
  <c r="BC65" i="34"/>
  <c r="BC63" i="34"/>
  <c r="BC52" i="34"/>
  <c r="BC42" i="34"/>
  <c r="BC31" i="34"/>
  <c r="BB25" i="34"/>
  <c r="BB19" i="34"/>
  <c r="BC15" i="34"/>
  <c r="BC19" i="34" s="1"/>
  <c r="BB9" i="34"/>
  <c r="DD151" i="36"/>
  <c r="DD150" i="36"/>
  <c r="DD138" i="36"/>
  <c r="DD135" i="36"/>
  <c r="DD141" i="36" s="1"/>
  <c r="DD131" i="36"/>
  <c r="DD123" i="36"/>
  <c r="DD122" i="36"/>
  <c r="DD121" i="36"/>
  <c r="DD120" i="36"/>
  <c r="DD119" i="36"/>
  <c r="DD106" i="36"/>
  <c r="DD100" i="36"/>
  <c r="DD104" i="36" s="1"/>
  <c r="DD105" i="36" s="1"/>
  <c r="DD80" i="36"/>
  <c r="DD65" i="36"/>
  <c r="DD57" i="36"/>
  <c r="DD63" i="36" s="1"/>
  <c r="DD52" i="36"/>
  <c r="DD42" i="36"/>
  <c r="DC32" i="36"/>
  <c r="DC31" i="36" s="1"/>
  <c r="DD31" i="36"/>
  <c r="DC19" i="36"/>
  <c r="DD15" i="36"/>
  <c r="DD19" i="36" s="1"/>
  <c r="DC2" i="36"/>
  <c r="DC10" i="36" s="1"/>
  <c r="BG151" i="36"/>
  <c r="BG150" i="36"/>
  <c r="BG138" i="36"/>
  <c r="BG135" i="36"/>
  <c r="BG141" i="36" s="1"/>
  <c r="BG131" i="36"/>
  <c r="BG123" i="36"/>
  <c r="BG122" i="36"/>
  <c r="BG121" i="36"/>
  <c r="BG120" i="36"/>
  <c r="BG119" i="36"/>
  <c r="BG106" i="36"/>
  <c r="BG100" i="36"/>
  <c r="BG104" i="36" s="1"/>
  <c r="BG105" i="36" s="1"/>
  <c r="BG67" i="36"/>
  <c r="BG65" i="36"/>
  <c r="BG57" i="36"/>
  <c r="BF9" i="36" s="1"/>
  <c r="BG52" i="36"/>
  <c r="BG42" i="36"/>
  <c r="BF32" i="36"/>
  <c r="BF42" i="36" s="1"/>
  <c r="BG31" i="36"/>
  <c r="BF19" i="36"/>
  <c r="BG15" i="36"/>
  <c r="BG19" i="36" s="1"/>
  <c r="BF2" i="36"/>
  <c r="BF10" i="36" s="1"/>
  <c r="BA123" i="38"/>
  <c r="BA122" i="38"/>
  <c r="BA121" i="38"/>
  <c r="BA120" i="38"/>
  <c r="BA119" i="38"/>
  <c r="BA106" i="38"/>
  <c r="BA104" i="38"/>
  <c r="BA105" i="38" s="1"/>
  <c r="BA96" i="38"/>
  <c r="BA65" i="38"/>
  <c r="BA59" i="38" s="1"/>
  <c r="BA63" i="38"/>
  <c r="BA52" i="38"/>
  <c r="AZ19" i="38"/>
  <c r="BA15" i="38"/>
  <c r="BA19" i="38" s="1"/>
  <c r="AZ9" i="38"/>
  <c r="AZ2" i="38"/>
  <c r="AZ10" i="38" s="1"/>
  <c r="AY123" i="38"/>
  <c r="AY122" i="38"/>
  <c r="AY121" i="38"/>
  <c r="AY120" i="38"/>
  <c r="AY119" i="38"/>
  <c r="AY106" i="38"/>
  <c r="AY104" i="38"/>
  <c r="AY105" i="38" s="1"/>
  <c r="AY96" i="38"/>
  <c r="AY80" i="38"/>
  <c r="AY83" i="38" s="1"/>
  <c r="AY65" i="38"/>
  <c r="AY59" i="38" s="1"/>
  <c r="AY63" i="38"/>
  <c r="AY52" i="38"/>
  <c r="AX42" i="38"/>
  <c r="AX19" i="38"/>
  <c r="AY15" i="38"/>
  <c r="AY19" i="38" s="1"/>
  <c r="AX9" i="38"/>
  <c r="AX2" i="38"/>
  <c r="AX10" i="38" s="1"/>
  <c r="AW137" i="38"/>
  <c r="BI137" i="38" s="1"/>
  <c r="BI140" i="38" s="1"/>
  <c r="BI141" i="38" s="1"/>
  <c r="AU137" i="38"/>
  <c r="BG137" i="38" s="1"/>
  <c r="BG140" i="38" s="1"/>
  <c r="AS137" i="38"/>
  <c r="BE137" i="38" s="1"/>
  <c r="AQ137" i="38"/>
  <c r="BC137" i="38" s="1"/>
  <c r="AO137" i="38"/>
  <c r="BA137" i="38" s="1"/>
  <c r="AM137" i="38"/>
  <c r="AY137" i="38" s="1"/>
  <c r="BK137" i="38" s="1"/>
  <c r="BK140" i="38" s="1"/>
  <c r="BK141" i="38" s="1"/>
  <c r="AK137" i="38"/>
  <c r="AI137" i="38"/>
  <c r="AG137" i="38"/>
  <c r="AE137" i="38"/>
  <c r="AC137" i="38"/>
  <c r="AA137" i="38"/>
  <c r="Y137" i="38"/>
  <c r="W137" i="38"/>
  <c r="U137" i="38"/>
  <c r="S137" i="38"/>
  <c r="Q137" i="38"/>
  <c r="O137" i="38"/>
  <c r="M137" i="38"/>
  <c r="K137" i="38"/>
  <c r="I137" i="38"/>
  <c r="G137" i="38"/>
  <c r="AW135" i="38"/>
  <c r="AW96" i="38" s="1"/>
  <c r="AU135" i="38"/>
  <c r="AS135" i="38"/>
  <c r="AS141" i="38" s="1"/>
  <c r="AQ135" i="38"/>
  <c r="AQ141" i="38" s="1"/>
  <c r="AO135" i="38"/>
  <c r="AO141" i="38" s="1"/>
  <c r="AM135" i="38"/>
  <c r="AM141" i="38" s="1"/>
  <c r="AK135" i="38"/>
  <c r="AK141" i="38" s="1"/>
  <c r="AI135" i="38"/>
  <c r="AI141" i="38" s="1"/>
  <c r="AG135" i="38"/>
  <c r="AG96" i="38" s="1"/>
  <c r="AE135" i="38"/>
  <c r="AE141" i="38" s="1"/>
  <c r="AC135" i="38"/>
  <c r="AC141" i="38" s="1"/>
  <c r="AA135" i="38"/>
  <c r="AA141" i="38" s="1"/>
  <c r="Y135" i="38"/>
  <c r="Y141" i="38" s="1"/>
  <c r="W135" i="38"/>
  <c r="W141" i="38" s="1"/>
  <c r="U135" i="38"/>
  <c r="U141" i="38" s="1"/>
  <c r="S135" i="38"/>
  <c r="S141" i="38" s="1"/>
  <c r="Q135" i="38"/>
  <c r="Q141" i="38" s="1"/>
  <c r="O135" i="38"/>
  <c r="O141" i="38" s="1"/>
  <c r="M135" i="38"/>
  <c r="K135" i="38"/>
  <c r="K141" i="38" s="1"/>
  <c r="I135" i="38"/>
  <c r="I141" i="38" s="1"/>
  <c r="G135" i="38"/>
  <c r="AW131" i="38"/>
  <c r="AU131" i="38"/>
  <c r="AS131" i="38"/>
  <c r="AQ131" i="38"/>
  <c r="AO131" i="38"/>
  <c r="AM131" i="38"/>
  <c r="AK131" i="38"/>
  <c r="AI131" i="38"/>
  <c r="AG131" i="38"/>
  <c r="AE131" i="38"/>
  <c r="G131" i="38"/>
  <c r="AW122" i="38"/>
  <c r="AU122" i="38"/>
  <c r="AS122" i="38"/>
  <c r="AQ122" i="38"/>
  <c r="AO122" i="38"/>
  <c r="AM122" i="38"/>
  <c r="AK122" i="38"/>
  <c r="AI122" i="38"/>
  <c r="AG122" i="38"/>
  <c r="AE122" i="38"/>
  <c r="AC122" i="38"/>
  <c r="AA122" i="38"/>
  <c r="Y122" i="38"/>
  <c r="W122" i="38"/>
  <c r="U122" i="38"/>
  <c r="S122" i="38"/>
  <c r="Q122" i="38"/>
  <c r="O122" i="38"/>
  <c r="M122" i="38"/>
  <c r="K122" i="38"/>
  <c r="I122" i="38"/>
  <c r="G122" i="38"/>
  <c r="AW121" i="38"/>
  <c r="AU121" i="38"/>
  <c r="AS121" i="38"/>
  <c r="AQ121" i="38"/>
  <c r="AO121" i="38"/>
  <c r="AM121" i="38"/>
  <c r="AK121" i="38"/>
  <c r="AI121" i="38"/>
  <c r="AG121" i="38"/>
  <c r="AE121" i="38"/>
  <c r="AC121" i="38"/>
  <c r="AA121" i="38"/>
  <c r="Y121" i="38"/>
  <c r="W121" i="38"/>
  <c r="U121" i="38"/>
  <c r="S121" i="38"/>
  <c r="Q121" i="38"/>
  <c r="O121" i="38"/>
  <c r="M121" i="38"/>
  <c r="K121" i="38"/>
  <c r="I121" i="38"/>
  <c r="G121" i="38"/>
  <c r="AW120" i="38"/>
  <c r="AU120" i="38"/>
  <c r="AS120" i="38"/>
  <c r="AQ120" i="38"/>
  <c r="AO120" i="38"/>
  <c r="AM120" i="38"/>
  <c r="AK120" i="38"/>
  <c r="AI120" i="38"/>
  <c r="AG120" i="38"/>
  <c r="AE120" i="38"/>
  <c r="AC120" i="38"/>
  <c r="AA120" i="38"/>
  <c r="Y120" i="38"/>
  <c r="W120" i="38"/>
  <c r="U120" i="38"/>
  <c r="S120" i="38"/>
  <c r="Q120" i="38"/>
  <c r="O120" i="38"/>
  <c r="M120" i="38"/>
  <c r="K120" i="38"/>
  <c r="I120" i="38"/>
  <c r="G120" i="38"/>
  <c r="AW119" i="38"/>
  <c r="AU119" i="38"/>
  <c r="AS119" i="38"/>
  <c r="AQ119" i="38"/>
  <c r="AO119" i="38"/>
  <c r="AM119" i="38"/>
  <c r="AK119" i="38"/>
  <c r="AI119" i="38"/>
  <c r="AG119" i="38"/>
  <c r="AE119" i="38"/>
  <c r="AC119" i="38"/>
  <c r="AA119" i="38"/>
  <c r="Y119" i="38"/>
  <c r="W119" i="38"/>
  <c r="U119" i="38"/>
  <c r="S119" i="38"/>
  <c r="Q119" i="38"/>
  <c r="O119" i="38"/>
  <c r="M119" i="38"/>
  <c r="K119" i="38"/>
  <c r="I119" i="38"/>
  <c r="G119" i="38"/>
  <c r="AW106" i="38"/>
  <c r="AU106" i="38"/>
  <c r="AS106" i="38"/>
  <c r="AQ106" i="38"/>
  <c r="AO106" i="38"/>
  <c r="AM106" i="38"/>
  <c r="AK106" i="38"/>
  <c r="AI106" i="38"/>
  <c r="AG106" i="38"/>
  <c r="AE106" i="38"/>
  <c r="AC106" i="38"/>
  <c r="AA106" i="38"/>
  <c r="Y106" i="38"/>
  <c r="W106" i="38"/>
  <c r="U106" i="38"/>
  <c r="S106" i="38"/>
  <c r="Q106" i="38"/>
  <c r="O106" i="38"/>
  <c r="M106" i="38"/>
  <c r="K106" i="38"/>
  <c r="I106" i="38"/>
  <c r="G106" i="38"/>
  <c r="AW104" i="38"/>
  <c r="AW105" i="38" s="1"/>
  <c r="AU104" i="38"/>
  <c r="AU105" i="38" s="1"/>
  <c r="AS104" i="38"/>
  <c r="AS105" i="38" s="1"/>
  <c r="AQ104" i="38"/>
  <c r="AQ105" i="38" s="1"/>
  <c r="AO104" i="38"/>
  <c r="AO105" i="38" s="1"/>
  <c r="AM104" i="38"/>
  <c r="AM105" i="38" s="1"/>
  <c r="AK104" i="38"/>
  <c r="AK105" i="38" s="1"/>
  <c r="AI104" i="38"/>
  <c r="AI105" i="38" s="1"/>
  <c r="AG104" i="38"/>
  <c r="AG105" i="38" s="1"/>
  <c r="AE104" i="38"/>
  <c r="AE105" i="38" s="1"/>
  <c r="AC104" i="38"/>
  <c r="AC105" i="38" s="1"/>
  <c r="AA104" i="38"/>
  <c r="AA105" i="38" s="1"/>
  <c r="Y104" i="38"/>
  <c r="Y105" i="38" s="1"/>
  <c r="W104" i="38"/>
  <c r="W105" i="38" s="1"/>
  <c r="U104" i="38"/>
  <c r="U105" i="38" s="1"/>
  <c r="S104" i="38"/>
  <c r="S105" i="38" s="1"/>
  <c r="Q104" i="38"/>
  <c r="Q105" i="38" s="1"/>
  <c r="O104" i="38"/>
  <c r="O105" i="38" s="1"/>
  <c r="M104" i="38"/>
  <c r="M105" i="38" s="1"/>
  <c r="K104" i="38"/>
  <c r="K105" i="38" s="1"/>
  <c r="I104" i="38"/>
  <c r="I105" i="38" s="1"/>
  <c r="G104" i="38"/>
  <c r="G105" i="38" s="1"/>
  <c r="AW80" i="38"/>
  <c r="AW83" i="38" s="1"/>
  <c r="AW86" i="38" s="1"/>
  <c r="AU80" i="38"/>
  <c r="AU83" i="38" s="1"/>
  <c r="AS80" i="38"/>
  <c r="AS82" i="38" s="1"/>
  <c r="AQ80" i="38"/>
  <c r="AQ82" i="38" s="1"/>
  <c r="AO80" i="38"/>
  <c r="AM80" i="38"/>
  <c r="AK80" i="38"/>
  <c r="AK83" i="38" s="1"/>
  <c r="AI80" i="38"/>
  <c r="AI83" i="38" s="1"/>
  <c r="AI84" i="38" s="1"/>
  <c r="AG80" i="38"/>
  <c r="AG83" i="38" s="1"/>
  <c r="AE80" i="38"/>
  <c r="AE83" i="38" s="1"/>
  <c r="AE86" i="38" s="1"/>
  <c r="AC80" i="38"/>
  <c r="AC83" i="38" s="1"/>
  <c r="AC86" i="38" s="1"/>
  <c r="AA80" i="38"/>
  <c r="AA82" i="38" s="1"/>
  <c r="Y80" i="38"/>
  <c r="W80" i="38"/>
  <c r="W83" i="38" s="1"/>
  <c r="U80" i="38"/>
  <c r="U83" i="38" s="1"/>
  <c r="S80" i="38"/>
  <c r="S82" i="38" s="1"/>
  <c r="Q80" i="38"/>
  <c r="Q82" i="38" s="1"/>
  <c r="O80" i="38"/>
  <c r="O82" i="38" s="1"/>
  <c r="M80" i="38"/>
  <c r="K80" i="38"/>
  <c r="K82" i="38" s="1"/>
  <c r="I80" i="38"/>
  <c r="I82" i="38" s="1"/>
  <c r="G80" i="38"/>
  <c r="G83" i="38" s="1"/>
  <c r="AW79" i="38"/>
  <c r="AW123" i="38" s="1"/>
  <c r="AU79" i="38"/>
  <c r="AU123" i="38" s="1"/>
  <c r="AS79" i="38"/>
  <c r="AQ79" i="38"/>
  <c r="AO79" i="38"/>
  <c r="AO123" i="38" s="1"/>
  <c r="AM79" i="38"/>
  <c r="AM123" i="38" s="1"/>
  <c r="AK79" i="38"/>
  <c r="AK123" i="38" s="1"/>
  <c r="E75" i="38"/>
  <c r="E81" i="38" s="1"/>
  <c r="E74" i="38"/>
  <c r="E80" i="38" s="1"/>
  <c r="E83" i="38" s="1"/>
  <c r="E86" i="38" s="1"/>
  <c r="E89" i="38" s="1"/>
  <c r="AW71" i="38"/>
  <c r="AU71" i="38"/>
  <c r="AS71" i="38"/>
  <c r="AQ71" i="38"/>
  <c r="AO71" i="38"/>
  <c r="AM71" i="38"/>
  <c r="AK71" i="38"/>
  <c r="AI71" i="38"/>
  <c r="AG71" i="38"/>
  <c r="AE71" i="38"/>
  <c r="AC71" i="38"/>
  <c r="AA71" i="38"/>
  <c r="Y71" i="38"/>
  <c r="W71" i="38"/>
  <c r="U71" i="38"/>
  <c r="S71" i="38"/>
  <c r="Q71" i="38"/>
  <c r="O71" i="38"/>
  <c r="M71" i="38"/>
  <c r="K71" i="38"/>
  <c r="I71" i="38"/>
  <c r="G71" i="38"/>
  <c r="AW65" i="38"/>
  <c r="AW60" i="38" s="1"/>
  <c r="AU65" i="38"/>
  <c r="AU59" i="38" s="1"/>
  <c r="AS65" i="38"/>
  <c r="AS59" i="38" s="1"/>
  <c r="AQ65" i="38"/>
  <c r="AQ60" i="38" s="1"/>
  <c r="AQ108" i="38" s="1"/>
  <c r="AQ109" i="38" s="1"/>
  <c r="AO65" i="38"/>
  <c r="AO60" i="38" s="1"/>
  <c r="AM65" i="38"/>
  <c r="AM60" i="38" s="1"/>
  <c r="AM108" i="38" s="1"/>
  <c r="AM109" i="38" s="1"/>
  <c r="AK65" i="38"/>
  <c r="AK60" i="38" s="1"/>
  <c r="AI65" i="38"/>
  <c r="AI60" i="38" s="1"/>
  <c r="AG65" i="38"/>
  <c r="AG60" i="38" s="1"/>
  <c r="AE65" i="38"/>
  <c r="AE60" i="38" s="1"/>
  <c r="AC65" i="38"/>
  <c r="AC60" i="38" s="1"/>
  <c r="AB8" i="38" s="1"/>
  <c r="AA65" i="38"/>
  <c r="AA60" i="38" s="1"/>
  <c r="Y65" i="38"/>
  <c r="Y60" i="38" s="1"/>
  <c r="W65" i="38"/>
  <c r="U65" i="38"/>
  <c r="U59" i="38" s="1"/>
  <c r="S65" i="38"/>
  <c r="S60" i="38" s="1"/>
  <c r="R8" i="38" s="1"/>
  <c r="Q65" i="38"/>
  <c r="Q60" i="38" s="1"/>
  <c r="O65" i="38"/>
  <c r="O59" i="38" s="1"/>
  <c r="M65" i="38"/>
  <c r="M59" i="38" s="1"/>
  <c r="K65" i="38"/>
  <c r="K59" i="38" s="1"/>
  <c r="I65" i="38"/>
  <c r="I60" i="38" s="1"/>
  <c r="G65" i="38"/>
  <c r="G59" i="38" s="1"/>
  <c r="E65" i="38"/>
  <c r="C65" i="38"/>
  <c r="AW63" i="38"/>
  <c r="AU63" i="38"/>
  <c r="AS63" i="38"/>
  <c r="AQ63" i="38"/>
  <c r="AO63" i="38"/>
  <c r="AM63" i="38"/>
  <c r="AK63" i="38"/>
  <c r="AI63" i="38"/>
  <c r="AG63" i="38"/>
  <c r="AE63" i="38"/>
  <c r="AC63" i="38"/>
  <c r="AA63" i="38"/>
  <c r="Y63" i="38"/>
  <c r="W63" i="38"/>
  <c r="U63" i="38"/>
  <c r="S63" i="38"/>
  <c r="Q63" i="38"/>
  <c r="O63" i="38"/>
  <c r="M63" i="38"/>
  <c r="K63" i="38"/>
  <c r="I63" i="38"/>
  <c r="G63" i="38"/>
  <c r="E57" i="38"/>
  <c r="E58" i="38" s="1"/>
  <c r="AW52" i="38"/>
  <c r="AU52" i="38"/>
  <c r="AS52" i="38"/>
  <c r="AQ52" i="38"/>
  <c r="AO52" i="38"/>
  <c r="AM52" i="38"/>
  <c r="AK52" i="38"/>
  <c r="AI52" i="38"/>
  <c r="AG52" i="38"/>
  <c r="AE52" i="38"/>
  <c r="AC52" i="38"/>
  <c r="AA52" i="38"/>
  <c r="Y52" i="38"/>
  <c r="W52" i="38"/>
  <c r="U52" i="38"/>
  <c r="S52" i="38"/>
  <c r="Q52" i="38"/>
  <c r="O52" i="38"/>
  <c r="M52" i="38"/>
  <c r="K52" i="38"/>
  <c r="I52" i="38"/>
  <c r="G52" i="38"/>
  <c r="AQ35" i="38"/>
  <c r="AW32" i="38"/>
  <c r="AW42" i="38" s="1"/>
  <c r="AU32" i="38"/>
  <c r="AT32" i="38" s="1"/>
  <c r="AS32" i="38"/>
  <c r="AS42" i="38" s="1"/>
  <c r="AQ32" i="38"/>
  <c r="AQ31" i="38" s="1"/>
  <c r="AO32" i="38"/>
  <c r="AO31" i="38" s="1"/>
  <c r="AM32" i="38"/>
  <c r="AL32" i="38" s="1"/>
  <c r="AK32" i="38"/>
  <c r="AJ32" i="38" s="1"/>
  <c r="AI32" i="38"/>
  <c r="AI42" i="38" s="1"/>
  <c r="AG32" i="38"/>
  <c r="AG42" i="38" s="1"/>
  <c r="AE32" i="38"/>
  <c r="AD32" i="38" s="1"/>
  <c r="AC32" i="38"/>
  <c r="AB32" i="38" s="1"/>
  <c r="AA32" i="38"/>
  <c r="AA31" i="38" s="1"/>
  <c r="Y32" i="38"/>
  <c r="X32" i="38" s="1"/>
  <c r="W32" i="38"/>
  <c r="W31" i="38" s="1"/>
  <c r="U32" i="38"/>
  <c r="U31" i="38" s="1"/>
  <c r="S32" i="38"/>
  <c r="R32" i="38" s="1"/>
  <c r="Q32" i="38"/>
  <c r="P32" i="38" s="1"/>
  <c r="P42" i="38" s="1"/>
  <c r="O32" i="38"/>
  <c r="O42" i="38" s="1"/>
  <c r="M32" i="38"/>
  <c r="M31" i="38" s="1"/>
  <c r="K32" i="38"/>
  <c r="J32" i="38" s="1"/>
  <c r="J31" i="38" s="1"/>
  <c r="I32" i="38"/>
  <c r="H32" i="38" s="1"/>
  <c r="G32" i="38"/>
  <c r="G42" i="38" s="1"/>
  <c r="AV26" i="38"/>
  <c r="AW26" i="38" s="1"/>
  <c r="AT26" i="38"/>
  <c r="AU26" i="38" s="1"/>
  <c r="AR26" i="38"/>
  <c r="AQ26" i="38"/>
  <c r="AO26" i="38"/>
  <c r="AO25" i="38" s="1"/>
  <c r="AM26" i="38"/>
  <c r="AM25" i="38" s="1"/>
  <c r="AK26" i="38"/>
  <c r="AK25" i="38" s="1"/>
  <c r="AH26" i="38"/>
  <c r="AH25" i="38" s="1"/>
  <c r="AG26" i="38"/>
  <c r="AG25" i="38" s="1"/>
  <c r="AE26" i="38"/>
  <c r="AC26" i="38"/>
  <c r="AA26" i="38"/>
  <c r="AA25" i="38" s="1"/>
  <c r="Y26" i="38"/>
  <c r="W26" i="38"/>
  <c r="W25" i="38" s="1"/>
  <c r="U26" i="38"/>
  <c r="U25" i="38" s="1"/>
  <c r="S26" i="38"/>
  <c r="S25" i="38" s="1"/>
  <c r="Q26" i="38"/>
  <c r="Q25" i="38" s="1"/>
  <c r="O26" i="38"/>
  <c r="M26" i="38"/>
  <c r="M25" i="38" s="1"/>
  <c r="K26" i="38"/>
  <c r="I26" i="38"/>
  <c r="I25" i="38" s="1"/>
  <c r="G26" i="38"/>
  <c r="AP25" i="38"/>
  <c r="AN25" i="38"/>
  <c r="AL25" i="38"/>
  <c r="AJ25" i="38"/>
  <c r="AF25" i="38"/>
  <c r="AD25" i="38"/>
  <c r="AB25" i="38"/>
  <c r="Z25" i="38"/>
  <c r="X25" i="38"/>
  <c r="V25" i="38"/>
  <c r="T25" i="38"/>
  <c r="R25" i="38"/>
  <c r="P25" i="38"/>
  <c r="N25" i="38"/>
  <c r="L25" i="38"/>
  <c r="J25" i="38"/>
  <c r="H25" i="38"/>
  <c r="F25" i="38"/>
  <c r="AV19" i="38"/>
  <c r="AT19" i="38"/>
  <c r="AR19" i="38"/>
  <c r="AP19" i="38"/>
  <c r="AN19" i="38"/>
  <c r="AL19" i="38"/>
  <c r="AJ19" i="38"/>
  <c r="AF19" i="38"/>
  <c r="AD19" i="38"/>
  <c r="AB19" i="38"/>
  <c r="Z19" i="38"/>
  <c r="X19" i="38"/>
  <c r="V19" i="38"/>
  <c r="T19" i="38"/>
  <c r="R19" i="38"/>
  <c r="P19" i="38"/>
  <c r="N19" i="38"/>
  <c r="L19" i="38"/>
  <c r="J19" i="38"/>
  <c r="H19" i="38"/>
  <c r="F19" i="38"/>
  <c r="AW15" i="38"/>
  <c r="AW19" i="38" s="1"/>
  <c r="AU15" i="38"/>
  <c r="AU19" i="38" s="1"/>
  <c r="AS15" i="38"/>
  <c r="AS19" i="38" s="1"/>
  <c r="AQ15" i="38"/>
  <c r="AQ19" i="38" s="1"/>
  <c r="AO15" i="38"/>
  <c r="AM15" i="38"/>
  <c r="AK15" i="38"/>
  <c r="AK19" i="38" s="1"/>
  <c r="AI15" i="38"/>
  <c r="AI19" i="38" s="1"/>
  <c r="AG15" i="38"/>
  <c r="AG19" i="38" s="1"/>
  <c r="AE15" i="38"/>
  <c r="AE19" i="38" s="1"/>
  <c r="AC15" i="38"/>
  <c r="AC19" i="38" s="1"/>
  <c r="AA15" i="38"/>
  <c r="AA19" i="38" s="1"/>
  <c r="Y15" i="38"/>
  <c r="Y19" i="38" s="1"/>
  <c r="W15" i="38"/>
  <c r="W19" i="38" s="1"/>
  <c r="U15" i="38"/>
  <c r="S15" i="38"/>
  <c r="S19" i="38" s="1"/>
  <c r="Q15" i="38"/>
  <c r="Q19" i="38" s="1"/>
  <c r="O15" i="38"/>
  <c r="O19" i="38" s="1"/>
  <c r="M15" i="38"/>
  <c r="M19" i="38" s="1"/>
  <c r="K15" i="38"/>
  <c r="K19" i="38" s="1"/>
  <c r="I15" i="38"/>
  <c r="I19" i="38" s="1"/>
  <c r="G15" i="38"/>
  <c r="G19" i="38" s="1"/>
  <c r="AV9" i="38"/>
  <c r="AT9" i="38"/>
  <c r="AR9" i="38"/>
  <c r="AP9" i="38"/>
  <c r="AN9" i="38"/>
  <c r="AL9" i="38"/>
  <c r="AJ9" i="38"/>
  <c r="AH9" i="38"/>
  <c r="AF9" i="38"/>
  <c r="AD9" i="38"/>
  <c r="AB9" i="38"/>
  <c r="Z9" i="38"/>
  <c r="X9" i="38"/>
  <c r="V9" i="38"/>
  <c r="T9" i="38"/>
  <c r="R9" i="38"/>
  <c r="P9" i="38"/>
  <c r="N9" i="38"/>
  <c r="L9" i="38"/>
  <c r="J9" i="38"/>
  <c r="H9" i="38"/>
  <c r="F9" i="38"/>
  <c r="H4" i="38"/>
  <c r="I131" i="38" s="1"/>
  <c r="F2" i="38"/>
  <c r="F10" i="38" s="1"/>
  <c r="DB151" i="36"/>
  <c r="DB150" i="36"/>
  <c r="DB138" i="36"/>
  <c r="DB135" i="36"/>
  <c r="DB141" i="36" s="1"/>
  <c r="DB131" i="36"/>
  <c r="DB123" i="36"/>
  <c r="DB122" i="36"/>
  <c r="DB121" i="36"/>
  <c r="DB120" i="36"/>
  <c r="DB119" i="36"/>
  <c r="DB106" i="36"/>
  <c r="DB100" i="36"/>
  <c r="DB104" i="36" s="1"/>
  <c r="DB105" i="36" s="1"/>
  <c r="DB67" i="36"/>
  <c r="DB65" i="36"/>
  <c r="DB57" i="36"/>
  <c r="DA9" i="36" s="1"/>
  <c r="DB52" i="36"/>
  <c r="DB42" i="36"/>
  <c r="DA32" i="36"/>
  <c r="DA42" i="36" s="1"/>
  <c r="DB31" i="36"/>
  <c r="DA19" i="36"/>
  <c r="DB15" i="36"/>
  <c r="DB19" i="36" s="1"/>
  <c r="DA2" i="36"/>
  <c r="DA10" i="36" s="1"/>
  <c r="BQ151" i="13"/>
  <c r="BQ150" i="13"/>
  <c r="BQ138" i="13"/>
  <c r="BQ135" i="13"/>
  <c r="BQ141" i="13" s="1"/>
  <c r="BQ131" i="13"/>
  <c r="BQ123" i="13"/>
  <c r="BQ122" i="13"/>
  <c r="BQ121" i="13"/>
  <c r="BQ120" i="13"/>
  <c r="BQ119" i="13"/>
  <c r="BQ106" i="13"/>
  <c r="BQ100" i="13"/>
  <c r="BQ104" i="13" s="1"/>
  <c r="BQ105" i="13" s="1"/>
  <c r="BQ65" i="13"/>
  <c r="BQ60" i="13" s="1"/>
  <c r="BP8" i="13" s="1"/>
  <c r="BQ57" i="13"/>
  <c r="BQ52" i="13"/>
  <c r="BQ42" i="13"/>
  <c r="BQ39" i="13"/>
  <c r="BP32" i="13"/>
  <c r="BP42" i="13" s="1"/>
  <c r="BQ31" i="13"/>
  <c r="BP19" i="13"/>
  <c r="BQ15" i="13"/>
  <c r="BP2" i="13"/>
  <c r="BP10" i="13" s="1"/>
  <c r="BP20" i="13" s="1"/>
  <c r="BO151" i="13"/>
  <c r="BO150" i="13"/>
  <c r="BO138" i="13"/>
  <c r="BO135" i="13"/>
  <c r="BO141" i="13" s="1"/>
  <c r="BO131" i="13"/>
  <c r="BO123" i="13"/>
  <c r="BO122" i="13"/>
  <c r="BO121" i="13"/>
  <c r="BO120" i="13"/>
  <c r="BO119" i="13"/>
  <c r="BO106" i="13"/>
  <c r="BO100" i="13"/>
  <c r="BO104" i="13" s="1"/>
  <c r="BO105" i="13" s="1"/>
  <c r="BO65" i="13"/>
  <c r="BO60" i="13" s="1"/>
  <c r="BN8" i="13" s="1"/>
  <c r="BO57" i="13"/>
  <c r="BN9" i="13" s="1"/>
  <c r="BO52" i="13"/>
  <c r="BO42" i="13"/>
  <c r="BO39" i="13"/>
  <c r="BN32" i="13"/>
  <c r="BO31" i="13"/>
  <c r="BN19" i="13"/>
  <c r="BO15" i="13"/>
  <c r="BO19" i="13" s="1"/>
  <c r="BN2" i="13"/>
  <c r="BN10" i="13" s="1"/>
  <c r="BN20" i="13" s="1"/>
  <c r="BM151" i="13"/>
  <c r="BM150" i="13"/>
  <c r="BM138" i="13"/>
  <c r="BM135" i="13"/>
  <c r="BM141" i="13" s="1"/>
  <c r="BM131" i="13"/>
  <c r="BM123" i="13"/>
  <c r="BM122" i="13"/>
  <c r="BM121" i="13"/>
  <c r="BM120" i="13"/>
  <c r="BM119" i="13"/>
  <c r="BM106" i="13"/>
  <c r="BM100" i="13"/>
  <c r="BM104" i="13" s="1"/>
  <c r="BM105" i="13" s="1"/>
  <c r="BM78" i="13"/>
  <c r="BM57" i="13"/>
  <c r="BL9" i="13" s="1"/>
  <c r="BM52" i="13"/>
  <c r="BM42" i="13"/>
  <c r="BM39" i="13"/>
  <c r="BL32" i="13"/>
  <c r="BL42" i="13" s="1"/>
  <c r="BM31" i="13"/>
  <c r="BL19" i="13"/>
  <c r="BM15" i="13"/>
  <c r="BM19" i="13" s="1"/>
  <c r="BL2" i="13"/>
  <c r="BL10" i="13" s="1"/>
  <c r="BL20" i="13" s="1"/>
  <c r="CY67" i="3"/>
  <c r="CW67" i="3"/>
  <c r="CW80" i="3" s="1"/>
  <c r="CW82" i="3" s="1"/>
  <c r="CU67" i="3"/>
  <c r="CU80" i="3" s="1"/>
  <c r="CS67" i="3"/>
  <c r="CS80" i="3" s="1"/>
  <c r="CS140" i="3"/>
  <c r="CY137" i="3"/>
  <c r="CY140" i="3" s="1"/>
  <c r="CU136" i="3"/>
  <c r="CU140" i="3" s="1"/>
  <c r="CY123" i="3"/>
  <c r="CW123" i="3"/>
  <c r="CU123" i="3"/>
  <c r="CS123" i="3"/>
  <c r="CY122" i="3"/>
  <c r="CW122" i="3"/>
  <c r="CU122" i="3"/>
  <c r="CS122" i="3"/>
  <c r="CY121" i="3"/>
  <c r="CW121" i="3"/>
  <c r="CU121" i="3"/>
  <c r="CS121" i="3"/>
  <c r="CY120" i="3"/>
  <c r="CW120" i="3"/>
  <c r="CU120" i="3"/>
  <c r="CS120" i="3"/>
  <c r="CY119" i="3"/>
  <c r="CW119" i="3"/>
  <c r="CU119" i="3"/>
  <c r="CS119" i="3"/>
  <c r="CY106" i="3"/>
  <c r="CW106" i="3"/>
  <c r="CU106" i="3"/>
  <c r="CS106" i="3"/>
  <c r="CY104" i="3"/>
  <c r="CY105" i="3" s="1"/>
  <c r="CW100" i="3"/>
  <c r="CW104" i="3" s="1"/>
  <c r="CW105" i="3" s="1"/>
  <c r="CU100" i="3"/>
  <c r="CU104" i="3" s="1"/>
  <c r="CU105" i="3" s="1"/>
  <c r="CS100" i="3"/>
  <c r="CS104" i="3" s="1"/>
  <c r="CS105" i="3" s="1"/>
  <c r="CY96" i="3"/>
  <c r="CS96" i="3"/>
  <c r="CY65" i="3"/>
  <c r="CW65" i="3"/>
  <c r="CU65" i="3"/>
  <c r="CS65" i="3"/>
  <c r="CY63" i="3"/>
  <c r="CW63" i="3"/>
  <c r="CU63" i="3"/>
  <c r="CS63" i="3"/>
  <c r="CY52" i="3"/>
  <c r="CW52" i="3"/>
  <c r="CU52" i="3"/>
  <c r="CS52" i="3"/>
  <c r="CX32" i="3"/>
  <c r="CY32" i="3" s="1"/>
  <c r="CX26" i="3"/>
  <c r="CV26" i="3"/>
  <c r="CW26" i="3" s="1"/>
  <c r="CT26" i="3"/>
  <c r="CT42" i="3" s="1"/>
  <c r="CR26" i="3"/>
  <c r="CR25" i="3" s="1"/>
  <c r="CX19" i="3"/>
  <c r="CV19" i="3"/>
  <c r="CT19" i="3"/>
  <c r="CR19" i="3"/>
  <c r="CY15" i="3"/>
  <c r="CY19" i="3" s="1"/>
  <c r="CW15" i="3"/>
  <c r="CW19" i="3" s="1"/>
  <c r="CU15" i="3"/>
  <c r="CU19" i="3" s="1"/>
  <c r="CS15" i="3"/>
  <c r="CS19" i="3" s="1"/>
  <c r="CX9" i="3"/>
  <c r="CV9" i="3"/>
  <c r="CT9" i="3"/>
  <c r="CR9" i="3"/>
  <c r="CX2" i="3"/>
  <c r="CX10" i="3" s="1"/>
  <c r="CV2" i="3"/>
  <c r="CV10" i="3" s="1"/>
  <c r="CT2" i="3"/>
  <c r="CT10" i="3" s="1"/>
  <c r="CU10" i="3" s="1"/>
  <c r="CR2" i="3"/>
  <c r="CR10" i="3" s="1"/>
  <c r="CO26" i="3"/>
  <c r="CO32" i="3"/>
  <c r="BA137" i="37"/>
  <c r="AY137" i="37"/>
  <c r="AW137" i="37"/>
  <c r="AU137" i="37"/>
  <c r="AS137" i="37"/>
  <c r="AQ137" i="37"/>
  <c r="AO137" i="37"/>
  <c r="AM137" i="37"/>
  <c r="AK137" i="37"/>
  <c r="AI137" i="37"/>
  <c r="AG137" i="37"/>
  <c r="AE137" i="37"/>
  <c r="AC137" i="37"/>
  <c r="AA137" i="37"/>
  <c r="Y137" i="37"/>
  <c r="W137" i="37"/>
  <c r="U137" i="37"/>
  <c r="S137" i="37"/>
  <c r="Q137" i="37"/>
  <c r="O137" i="37"/>
  <c r="M137" i="37"/>
  <c r="K137" i="37"/>
  <c r="I137" i="37"/>
  <c r="G137" i="37"/>
  <c r="BA135" i="37"/>
  <c r="BA141" i="37" s="1"/>
  <c r="AY135" i="37"/>
  <c r="AY141" i="37" s="1"/>
  <c r="AW135" i="37"/>
  <c r="AW141" i="37" s="1"/>
  <c r="AU135" i="37"/>
  <c r="AU141" i="37" s="1"/>
  <c r="AS135" i="37"/>
  <c r="AS141" i="37" s="1"/>
  <c r="AQ135" i="37"/>
  <c r="AQ141" i="37" s="1"/>
  <c r="AO135" i="37"/>
  <c r="AO141" i="37" s="1"/>
  <c r="AM135" i="37"/>
  <c r="AM141" i="37" s="1"/>
  <c r="AK135" i="37"/>
  <c r="AK141" i="37" s="1"/>
  <c r="AI135" i="37"/>
  <c r="AI141" i="37" s="1"/>
  <c r="AG135" i="37"/>
  <c r="AG141" i="37" s="1"/>
  <c r="AE135" i="37"/>
  <c r="AE141" i="37" s="1"/>
  <c r="AC135" i="37"/>
  <c r="AC141" i="37" s="1"/>
  <c r="AA135" i="37"/>
  <c r="AA141" i="37" s="1"/>
  <c r="Y135" i="37"/>
  <c r="Y96" i="37" s="1"/>
  <c r="W135" i="37"/>
  <c r="W96" i="37" s="1"/>
  <c r="U135" i="37"/>
  <c r="U141" i="37" s="1"/>
  <c r="S135" i="37"/>
  <c r="S141" i="37" s="1"/>
  <c r="Q135" i="37"/>
  <c r="Q141" i="37" s="1"/>
  <c r="O135" i="37"/>
  <c r="O141" i="37" s="1"/>
  <c r="M135" i="37"/>
  <c r="M141" i="37" s="1"/>
  <c r="K135" i="37"/>
  <c r="K141" i="37" s="1"/>
  <c r="I135" i="37"/>
  <c r="I141" i="37" s="1"/>
  <c r="G135" i="37"/>
  <c r="G141" i="37" s="1"/>
  <c r="BA131" i="37"/>
  <c r="AY131" i="37"/>
  <c r="AW131" i="37"/>
  <c r="AU131" i="37"/>
  <c r="AS131" i="37"/>
  <c r="AQ131" i="37"/>
  <c r="AO131" i="37"/>
  <c r="AM131" i="37"/>
  <c r="AK131" i="37"/>
  <c r="AI131" i="37"/>
  <c r="AG131" i="37"/>
  <c r="AE131" i="37"/>
  <c r="G131" i="37"/>
  <c r="BA122" i="37"/>
  <c r="AY122" i="37"/>
  <c r="AW122" i="37"/>
  <c r="AU122" i="37"/>
  <c r="AS122" i="37"/>
  <c r="AQ122" i="37"/>
  <c r="AO122" i="37"/>
  <c r="AM122" i="37"/>
  <c r="AK122" i="37"/>
  <c r="AI122" i="37"/>
  <c r="AG122" i="37"/>
  <c r="AE122" i="37"/>
  <c r="AC122" i="37"/>
  <c r="AA122" i="37"/>
  <c r="Y122" i="37"/>
  <c r="W122" i="37"/>
  <c r="U122" i="37"/>
  <c r="S122" i="37"/>
  <c r="Q122" i="37"/>
  <c r="O122" i="37"/>
  <c r="M122" i="37"/>
  <c r="K122" i="37"/>
  <c r="I122" i="37"/>
  <c r="G122" i="37"/>
  <c r="BA121" i="37"/>
  <c r="AY121" i="37"/>
  <c r="AW121" i="37"/>
  <c r="AU121" i="37"/>
  <c r="AS121" i="37"/>
  <c r="AQ121" i="37"/>
  <c r="AO121" i="37"/>
  <c r="AM121" i="37"/>
  <c r="AK121" i="37"/>
  <c r="AI121" i="37"/>
  <c r="AG121" i="37"/>
  <c r="AE121" i="37"/>
  <c r="AC121" i="37"/>
  <c r="AA121" i="37"/>
  <c r="Y121" i="37"/>
  <c r="W121" i="37"/>
  <c r="U121" i="37"/>
  <c r="S121" i="37"/>
  <c r="Q121" i="37"/>
  <c r="O121" i="37"/>
  <c r="M121" i="37"/>
  <c r="K121" i="37"/>
  <c r="I121" i="37"/>
  <c r="G121" i="37"/>
  <c r="BA120" i="37"/>
  <c r="AY120" i="37"/>
  <c r="AW120" i="37"/>
  <c r="AU120" i="37"/>
  <c r="AS120" i="37"/>
  <c r="AQ120" i="37"/>
  <c r="AO120" i="37"/>
  <c r="AM120" i="37"/>
  <c r="AK120" i="37"/>
  <c r="AI120" i="37"/>
  <c r="AG120" i="37"/>
  <c r="AE120" i="37"/>
  <c r="AC120" i="37"/>
  <c r="AA120" i="37"/>
  <c r="Y120" i="37"/>
  <c r="W120" i="37"/>
  <c r="U120" i="37"/>
  <c r="S120" i="37"/>
  <c r="Q120" i="37"/>
  <c r="O120" i="37"/>
  <c r="M120" i="37"/>
  <c r="K120" i="37"/>
  <c r="I120" i="37"/>
  <c r="G120" i="37"/>
  <c r="BA119" i="37"/>
  <c r="AY119" i="37"/>
  <c r="AW119" i="37"/>
  <c r="AU119" i="37"/>
  <c r="AS119" i="37"/>
  <c r="AQ119" i="37"/>
  <c r="AO119" i="37"/>
  <c r="AM119" i="37"/>
  <c r="AK119" i="37"/>
  <c r="AI119" i="37"/>
  <c r="AG119" i="37"/>
  <c r="AE119" i="37"/>
  <c r="AC119" i="37"/>
  <c r="AA119" i="37"/>
  <c r="Y119" i="37"/>
  <c r="W119" i="37"/>
  <c r="U119" i="37"/>
  <c r="S119" i="37"/>
  <c r="Q119" i="37"/>
  <c r="O119" i="37"/>
  <c r="M119" i="37"/>
  <c r="K119" i="37"/>
  <c r="I119" i="37"/>
  <c r="G119" i="37"/>
  <c r="BA106" i="37"/>
  <c r="AY106" i="37"/>
  <c r="AW106" i="37"/>
  <c r="AU106" i="37"/>
  <c r="AS106" i="37"/>
  <c r="AQ106" i="37"/>
  <c r="AO106" i="37"/>
  <c r="AM106" i="37"/>
  <c r="AK106" i="37"/>
  <c r="AI106" i="37"/>
  <c r="AG106" i="37"/>
  <c r="AE106" i="37"/>
  <c r="AC106" i="37"/>
  <c r="AA106" i="37"/>
  <c r="Y106" i="37"/>
  <c r="W106" i="37"/>
  <c r="U106" i="37"/>
  <c r="S106" i="37"/>
  <c r="Q106" i="37"/>
  <c r="O106" i="37"/>
  <c r="M106" i="37"/>
  <c r="K106" i="37"/>
  <c r="I106" i="37"/>
  <c r="G106" i="37"/>
  <c r="AU105" i="37"/>
  <c r="AS105" i="37"/>
  <c r="AQ105" i="37"/>
  <c r="Y105" i="37"/>
  <c r="K105" i="37"/>
  <c r="BA104" i="37"/>
  <c r="BA105" i="37" s="1"/>
  <c r="AY104" i="37"/>
  <c r="AY105" i="37" s="1"/>
  <c r="AW104" i="37"/>
  <c r="AW105" i="37" s="1"/>
  <c r="AU104" i="37"/>
  <c r="AS104" i="37"/>
  <c r="AQ104" i="37"/>
  <c r="AO104" i="37"/>
  <c r="AO105" i="37" s="1"/>
  <c r="AM104" i="37"/>
  <c r="AM105" i="37" s="1"/>
  <c r="AK104" i="37"/>
  <c r="AK105" i="37" s="1"/>
  <c r="AI104" i="37"/>
  <c r="AI105" i="37" s="1"/>
  <c r="AG104" i="37"/>
  <c r="AG105" i="37" s="1"/>
  <c r="AE104" i="37"/>
  <c r="AE105" i="37" s="1"/>
  <c r="AC104" i="37"/>
  <c r="AC105" i="37" s="1"/>
  <c r="AA104" i="37"/>
  <c r="AA105" i="37" s="1"/>
  <c r="Y104" i="37"/>
  <c r="W104" i="37"/>
  <c r="W105" i="37" s="1"/>
  <c r="U104" i="37"/>
  <c r="U105" i="37" s="1"/>
  <c r="S104" i="37"/>
  <c r="S105" i="37" s="1"/>
  <c r="Q104" i="37"/>
  <c r="Q105" i="37" s="1"/>
  <c r="O104" i="37"/>
  <c r="O105" i="37" s="1"/>
  <c r="M104" i="37"/>
  <c r="M105" i="37" s="1"/>
  <c r="K104" i="37"/>
  <c r="I104" i="37"/>
  <c r="I105" i="37" s="1"/>
  <c r="G104" i="37"/>
  <c r="G105" i="37" s="1"/>
  <c r="BA96" i="37"/>
  <c r="AY96" i="37"/>
  <c r="AQ96" i="37"/>
  <c r="AC96" i="37"/>
  <c r="AA96" i="37"/>
  <c r="U96" i="37"/>
  <c r="S96" i="37"/>
  <c r="Q96" i="37"/>
  <c r="M96" i="37"/>
  <c r="K96" i="37"/>
  <c r="AS84" i="37"/>
  <c r="M84" i="37"/>
  <c r="W83" i="37"/>
  <c r="W84" i="37" s="1"/>
  <c r="S83" i="37"/>
  <c r="S86" i="37" s="1"/>
  <c r="AS82" i="37"/>
  <c r="AQ82" i="37"/>
  <c r="AO82" i="37"/>
  <c r="M82" i="37"/>
  <c r="AW80" i="37"/>
  <c r="AU80" i="37"/>
  <c r="AU82" i="37" s="1"/>
  <c r="AS80" i="37"/>
  <c r="AS83" i="37" s="1"/>
  <c r="AS86" i="37" s="1"/>
  <c r="AQ80" i="37"/>
  <c r="AQ83" i="37" s="1"/>
  <c r="AQ86" i="37" s="1"/>
  <c r="AQ89" i="37" s="1"/>
  <c r="AO80" i="37"/>
  <c r="AO83" i="37" s="1"/>
  <c r="AM80" i="37"/>
  <c r="AM82" i="37" s="1"/>
  <c r="AK80" i="37"/>
  <c r="AK82" i="37" s="1"/>
  <c r="AI80" i="37"/>
  <c r="AI82" i="37" s="1"/>
  <c r="AG80" i="37"/>
  <c r="AG83" i="37" s="1"/>
  <c r="AE80" i="37"/>
  <c r="AE82" i="37" s="1"/>
  <c r="AC80" i="37"/>
  <c r="AC82" i="37" s="1"/>
  <c r="AA80" i="37"/>
  <c r="AA82" i="37" s="1"/>
  <c r="Y80" i="37"/>
  <c r="Y82" i="37" s="1"/>
  <c r="W80" i="37"/>
  <c r="U80" i="37"/>
  <c r="U83" i="37" s="1"/>
  <c r="S80" i="37"/>
  <c r="S82" i="37" s="1"/>
  <c r="Q80" i="37"/>
  <c r="O80" i="37"/>
  <c r="O82" i="37" s="1"/>
  <c r="M80" i="37"/>
  <c r="M83" i="37" s="1"/>
  <c r="M86" i="37" s="1"/>
  <c r="K80" i="37"/>
  <c r="K83" i="37" s="1"/>
  <c r="K86" i="37" s="1"/>
  <c r="K89" i="37" s="1"/>
  <c r="I80" i="37"/>
  <c r="I83" i="37" s="1"/>
  <c r="G80" i="37"/>
  <c r="G82" i="37" s="1"/>
  <c r="BA79" i="37"/>
  <c r="BA123" i="37" s="1"/>
  <c r="AY79" i="37"/>
  <c r="AY123" i="37" s="1"/>
  <c r="AW79" i="37"/>
  <c r="AW123" i="37" s="1"/>
  <c r="AU79" i="37"/>
  <c r="AU123" i="37" s="1"/>
  <c r="AS79" i="37"/>
  <c r="AS123" i="37" s="1"/>
  <c r="AQ79" i="37"/>
  <c r="AQ123" i="37" s="1"/>
  <c r="AO79" i="37"/>
  <c r="AO123" i="37" s="1"/>
  <c r="AM79" i="37"/>
  <c r="AM123" i="37" s="1"/>
  <c r="AK79" i="37"/>
  <c r="AK123" i="37" s="1"/>
  <c r="AK117" i="37" s="1"/>
  <c r="AK116" i="37" s="1"/>
  <c r="AK114" i="37" s="1"/>
  <c r="AK115" i="37" s="1"/>
  <c r="E75" i="37"/>
  <c r="E81" i="37" s="1"/>
  <c r="AY74" i="37"/>
  <c r="AY80" i="37" s="1"/>
  <c r="E74" i="37"/>
  <c r="E80" i="37" s="1"/>
  <c r="E83" i="37" s="1"/>
  <c r="E86" i="37" s="1"/>
  <c r="E89" i="37" s="1"/>
  <c r="AY72" i="37"/>
  <c r="BA72" i="37" s="1"/>
  <c r="BA71" i="37" s="1"/>
  <c r="AW71" i="37"/>
  <c r="AU71" i="37"/>
  <c r="AS71" i="37"/>
  <c r="AQ71" i="37"/>
  <c r="AO71" i="37"/>
  <c r="AM71" i="37"/>
  <c r="AK71" i="37"/>
  <c r="AI71" i="37"/>
  <c r="AG71" i="37"/>
  <c r="AE71" i="37"/>
  <c r="AC71" i="37"/>
  <c r="AA71" i="37"/>
  <c r="Y71" i="37"/>
  <c r="W71" i="37"/>
  <c r="U71" i="37"/>
  <c r="S71" i="37"/>
  <c r="Q71" i="37"/>
  <c r="O71" i="37"/>
  <c r="M71" i="37"/>
  <c r="K71" i="37"/>
  <c r="I71" i="37"/>
  <c r="G71" i="37"/>
  <c r="BA67" i="37"/>
  <c r="BA65" i="37"/>
  <c r="BA60" i="37" s="1"/>
  <c r="AZ62" i="37" s="1"/>
  <c r="AY65" i="37"/>
  <c r="AY60" i="37" s="1"/>
  <c r="AX8" i="37" s="1"/>
  <c r="AW65" i="37"/>
  <c r="AW60" i="37" s="1"/>
  <c r="AU65" i="37"/>
  <c r="AS65" i="37"/>
  <c r="AS59" i="37" s="1"/>
  <c r="AQ65" i="37"/>
  <c r="AQ59" i="37" s="1"/>
  <c r="AO65" i="37"/>
  <c r="AO60" i="37" s="1"/>
  <c r="AM65" i="37"/>
  <c r="AK65" i="37"/>
  <c r="AK59" i="37" s="1"/>
  <c r="AI65" i="37"/>
  <c r="AI60" i="37" s="1"/>
  <c r="AG65" i="37"/>
  <c r="AG60" i="37" s="1"/>
  <c r="AF8" i="37" s="1"/>
  <c r="AE65" i="37"/>
  <c r="AE60" i="37" s="1"/>
  <c r="AC65" i="37"/>
  <c r="AA65" i="37"/>
  <c r="AA59" i="37" s="1"/>
  <c r="Y65" i="37"/>
  <c r="Y59" i="37" s="1"/>
  <c r="W65" i="37"/>
  <c r="U65" i="37"/>
  <c r="U60" i="37" s="1"/>
  <c r="S65" i="37"/>
  <c r="S60" i="37" s="1"/>
  <c r="Q65" i="37"/>
  <c r="Q60" i="37" s="1"/>
  <c r="O65" i="37"/>
  <c r="M65" i="37"/>
  <c r="M60" i="37" s="1"/>
  <c r="K65" i="37"/>
  <c r="K59" i="37" s="1"/>
  <c r="I65" i="37"/>
  <c r="I60" i="37" s="1"/>
  <c r="I56" i="37" s="1"/>
  <c r="G65" i="37"/>
  <c r="E65" i="37"/>
  <c r="C65" i="37"/>
  <c r="BA63" i="37"/>
  <c r="AY63" i="37"/>
  <c r="AW63" i="37"/>
  <c r="AU63" i="37"/>
  <c r="AS63" i="37"/>
  <c r="AQ63" i="37"/>
  <c r="AO63" i="37"/>
  <c r="AM63" i="37"/>
  <c r="AK63" i="37"/>
  <c r="AI63" i="37"/>
  <c r="AG63" i="37"/>
  <c r="AE63" i="37"/>
  <c r="AC63" i="37"/>
  <c r="AA63" i="37"/>
  <c r="Y63" i="37"/>
  <c r="W63" i="37"/>
  <c r="U63" i="37"/>
  <c r="S63" i="37"/>
  <c r="Q63" i="37"/>
  <c r="O63" i="37"/>
  <c r="M63" i="37"/>
  <c r="K63" i="37"/>
  <c r="I63" i="37"/>
  <c r="G63" i="37"/>
  <c r="AU60" i="37"/>
  <c r="AT8" i="37" s="1"/>
  <c r="AQ60" i="37"/>
  <c r="AQ111" i="37" s="1"/>
  <c r="AQ112" i="37" s="1"/>
  <c r="AM60" i="37"/>
  <c r="AM111" i="37" s="1"/>
  <c r="AM112" i="37" s="1"/>
  <c r="AK60" i="37"/>
  <c r="W60" i="37"/>
  <c r="W56" i="37" s="1"/>
  <c r="W50" i="37" s="1"/>
  <c r="O60" i="37"/>
  <c r="G60" i="37"/>
  <c r="G111" i="37" s="1"/>
  <c r="G112" i="37" s="1"/>
  <c r="BA59" i="37"/>
  <c r="AW59" i="37"/>
  <c r="AU59" i="37"/>
  <c r="AM59" i="37"/>
  <c r="W59" i="37"/>
  <c r="U59" i="37"/>
  <c r="S59" i="37"/>
  <c r="Q59" i="37"/>
  <c r="O59" i="37"/>
  <c r="M59" i="37"/>
  <c r="G59" i="37"/>
  <c r="E57" i="37"/>
  <c r="E58" i="37" s="1"/>
  <c r="AY56" i="37"/>
  <c r="AY68" i="37" s="1"/>
  <c r="S56" i="37"/>
  <c r="S68" i="37" s="1"/>
  <c r="G56" i="37"/>
  <c r="BA52" i="37"/>
  <c r="AY52" i="37"/>
  <c r="AW52" i="37"/>
  <c r="AU52" i="37"/>
  <c r="AS52" i="37"/>
  <c r="AQ52" i="37"/>
  <c r="AO52" i="37"/>
  <c r="AM52" i="37"/>
  <c r="AK52" i="37"/>
  <c r="AI52" i="37"/>
  <c r="AG52" i="37"/>
  <c r="AE52" i="37"/>
  <c r="AC52" i="37"/>
  <c r="AA52" i="37"/>
  <c r="Y52" i="37"/>
  <c r="W52" i="37"/>
  <c r="W53" i="37" s="1"/>
  <c r="U52" i="37"/>
  <c r="S52" i="37"/>
  <c r="Q52" i="37"/>
  <c r="O52" i="37"/>
  <c r="M52" i="37"/>
  <c r="K52" i="37"/>
  <c r="I52" i="37"/>
  <c r="G52" i="37"/>
  <c r="G53" i="37" s="1"/>
  <c r="S50" i="37"/>
  <c r="S54" i="37" s="1"/>
  <c r="G50" i="37"/>
  <c r="AW42" i="37"/>
  <c r="AU42" i="37"/>
  <c r="Q42" i="37"/>
  <c r="AQ35" i="37"/>
  <c r="BA32" i="37"/>
  <c r="AZ32" i="37" s="1"/>
  <c r="AZ31" i="37" s="1"/>
  <c r="AY32" i="37"/>
  <c r="AW32" i="37"/>
  <c r="AV32" i="37" s="1"/>
  <c r="AU32" i="37"/>
  <c r="AU31" i="37" s="1"/>
  <c r="AS32" i="37"/>
  <c r="AR32" i="37" s="1"/>
  <c r="AQ32" i="37"/>
  <c r="AQ31" i="37" s="1"/>
  <c r="AO32" i="37"/>
  <c r="AO31" i="37" s="1"/>
  <c r="AN32" i="37"/>
  <c r="AN30" i="37" s="1"/>
  <c r="AN29" i="37" s="1"/>
  <c r="AM32" i="37"/>
  <c r="AM42" i="37" s="1"/>
  <c r="AK32" i="37"/>
  <c r="AJ32" i="37" s="1"/>
  <c r="AJ31" i="37" s="1"/>
  <c r="AI32" i="37"/>
  <c r="AH32" i="37" s="1"/>
  <c r="AG32" i="37"/>
  <c r="AG31" i="37" s="1"/>
  <c r="AF32" i="37"/>
  <c r="AE32" i="37"/>
  <c r="AE42" i="37" s="1"/>
  <c r="AC32" i="37"/>
  <c r="AB32" i="37" s="1"/>
  <c r="AA32" i="37"/>
  <c r="AA42" i="37" s="1"/>
  <c r="Y32" i="37"/>
  <c r="X32" i="37" s="1"/>
  <c r="W32" i="37"/>
  <c r="W31" i="37" s="1"/>
  <c r="U32" i="37"/>
  <c r="T32" i="37" s="1"/>
  <c r="T42" i="37" s="1"/>
  <c r="S32" i="37"/>
  <c r="R32" i="37" s="1"/>
  <c r="Q32" i="37"/>
  <c r="O32" i="37"/>
  <c r="O42" i="37" s="1"/>
  <c r="M32" i="37"/>
  <c r="M31" i="37" s="1"/>
  <c r="L32" i="37"/>
  <c r="L42" i="37" s="1"/>
  <c r="K32" i="37"/>
  <c r="K42" i="37" s="1"/>
  <c r="I32" i="37"/>
  <c r="H32" i="37"/>
  <c r="H31" i="37" s="1"/>
  <c r="G32" i="37"/>
  <c r="F32" i="37" s="1"/>
  <c r="F31" i="37" s="1"/>
  <c r="AK31" i="37"/>
  <c r="AI31" i="37"/>
  <c r="AE31" i="37"/>
  <c r="AA31" i="37"/>
  <c r="Y31" i="37"/>
  <c r="U31" i="37"/>
  <c r="T31" i="37"/>
  <c r="S31" i="37"/>
  <c r="O31" i="37"/>
  <c r="K31" i="37"/>
  <c r="I31" i="37"/>
  <c r="BA26" i="37"/>
  <c r="BA25" i="37" s="1"/>
  <c r="AZ26" i="37"/>
  <c r="AZ25" i="37" s="1"/>
  <c r="AX26" i="37"/>
  <c r="AX25" i="37" s="1"/>
  <c r="AV26" i="37"/>
  <c r="AV25" i="37" s="1"/>
  <c r="AT26" i="37"/>
  <c r="AU26" i="37" s="1"/>
  <c r="AR26" i="37"/>
  <c r="AS26" i="37" s="1"/>
  <c r="AQ26" i="37"/>
  <c r="AO26" i="37"/>
  <c r="AM26" i="37"/>
  <c r="AM25" i="37" s="1"/>
  <c r="AK26" i="37"/>
  <c r="AK25" i="37" s="1"/>
  <c r="AI26" i="37"/>
  <c r="AI30" i="37" s="1"/>
  <c r="AI29" i="37" s="1"/>
  <c r="AH26" i="37"/>
  <c r="AG26" i="37"/>
  <c r="AG25" i="37" s="1"/>
  <c r="AE26" i="37"/>
  <c r="AE25" i="37" s="1"/>
  <c r="AC26" i="37"/>
  <c r="AC25" i="37" s="1"/>
  <c r="AA26" i="37"/>
  <c r="AA25" i="37" s="1"/>
  <c r="Y26" i="37"/>
  <c r="Y25" i="37" s="1"/>
  <c r="W26" i="37"/>
  <c r="W30" i="37" s="1"/>
  <c r="W29" i="37" s="1"/>
  <c r="U26" i="37"/>
  <c r="U25" i="37" s="1"/>
  <c r="S26" i="37"/>
  <c r="Q26" i="37"/>
  <c r="Q30" i="37" s="1"/>
  <c r="Q29" i="37" s="1"/>
  <c r="O26" i="37"/>
  <c r="O25" i="37" s="1"/>
  <c r="M26" i="37"/>
  <c r="M25" i="37" s="1"/>
  <c r="K26" i="37"/>
  <c r="K25" i="37" s="1"/>
  <c r="I26" i="37"/>
  <c r="G26" i="37"/>
  <c r="G25" i="37" s="1"/>
  <c r="AT25" i="37"/>
  <c r="AR25" i="37"/>
  <c r="AP25" i="37"/>
  <c r="AN25" i="37"/>
  <c r="AL25" i="37"/>
  <c r="AJ25" i="37"/>
  <c r="AI25" i="37"/>
  <c r="AH25" i="37"/>
  <c r="AF25" i="37"/>
  <c r="AD25" i="37"/>
  <c r="AB25" i="37"/>
  <c r="Z25" i="37"/>
  <c r="X25" i="37"/>
  <c r="V25" i="37"/>
  <c r="T25" i="37"/>
  <c r="S25" i="37"/>
  <c r="R25" i="37"/>
  <c r="Q25" i="37"/>
  <c r="P25" i="37"/>
  <c r="N25" i="37"/>
  <c r="L25" i="37"/>
  <c r="J25" i="37"/>
  <c r="I25" i="37"/>
  <c r="H25" i="37"/>
  <c r="F25" i="37"/>
  <c r="AZ19" i="37"/>
  <c r="AY19" i="37"/>
  <c r="AX19" i="37"/>
  <c r="AV19" i="37"/>
  <c r="AT19" i="37"/>
  <c r="AR19" i="37"/>
  <c r="AP19" i="37"/>
  <c r="AN19" i="37"/>
  <c r="AL19" i="37"/>
  <c r="AJ19" i="37"/>
  <c r="AI19" i="37"/>
  <c r="AF19" i="37"/>
  <c r="AD19" i="37"/>
  <c r="AC19" i="37"/>
  <c r="AB19" i="37"/>
  <c r="Z19" i="37"/>
  <c r="X19" i="37"/>
  <c r="W19" i="37"/>
  <c r="V19" i="37"/>
  <c r="T19" i="37"/>
  <c r="R19" i="37"/>
  <c r="P19" i="37"/>
  <c r="N19" i="37"/>
  <c r="L19" i="37"/>
  <c r="J19" i="37"/>
  <c r="H19" i="37"/>
  <c r="F19" i="37"/>
  <c r="BA15" i="37"/>
  <c r="AY15" i="37"/>
  <c r="AW15" i="37"/>
  <c r="AW19" i="37" s="1"/>
  <c r="AU15" i="37"/>
  <c r="AS15" i="37"/>
  <c r="AS19" i="37" s="1"/>
  <c r="AQ15" i="37"/>
  <c r="AO15" i="37"/>
  <c r="AO19" i="37" s="1"/>
  <c r="AM15" i="37"/>
  <c r="AM19" i="37" s="1"/>
  <c r="AK15" i="37"/>
  <c r="AK19" i="37" s="1"/>
  <c r="AI15" i="37"/>
  <c r="AG15" i="37"/>
  <c r="AG19" i="37" s="1"/>
  <c r="AE15" i="37"/>
  <c r="AE19" i="37" s="1"/>
  <c r="AC15" i="37"/>
  <c r="AA15" i="37"/>
  <c r="AA19" i="37" s="1"/>
  <c r="Y15" i="37"/>
  <c r="Y19" i="37" s="1"/>
  <c r="W15" i="37"/>
  <c r="U15" i="37"/>
  <c r="U19" i="37" s="1"/>
  <c r="S15" i="37"/>
  <c r="S19" i="37" s="1"/>
  <c r="Q15" i="37"/>
  <c r="Q19" i="37" s="1"/>
  <c r="O15" i="37"/>
  <c r="O19" i="37" s="1"/>
  <c r="M15" i="37"/>
  <c r="M19" i="37" s="1"/>
  <c r="K15" i="37"/>
  <c r="K19" i="37" s="1"/>
  <c r="I15" i="37"/>
  <c r="I19" i="37" s="1"/>
  <c r="G15" i="37"/>
  <c r="G19" i="37" s="1"/>
  <c r="AZ9" i="37"/>
  <c r="AX9" i="37"/>
  <c r="AV9" i="37"/>
  <c r="AT9" i="37"/>
  <c r="AR9" i="37"/>
  <c r="AP9" i="37"/>
  <c r="AN9" i="37"/>
  <c r="AL9" i="37"/>
  <c r="AJ9" i="37"/>
  <c r="AH9" i="37"/>
  <c r="AF9" i="37"/>
  <c r="AD9" i="37"/>
  <c r="AB9" i="37"/>
  <c r="Z9" i="37"/>
  <c r="X9" i="37"/>
  <c r="V9" i="37"/>
  <c r="T9" i="37"/>
  <c r="R9" i="37"/>
  <c r="P9" i="37"/>
  <c r="N9" i="37"/>
  <c r="L9" i="37"/>
  <c r="J9" i="37"/>
  <c r="H9" i="37"/>
  <c r="F9" i="37"/>
  <c r="AZ8" i="37"/>
  <c r="AV8" i="37"/>
  <c r="V8" i="37"/>
  <c r="T8" i="37"/>
  <c r="R8" i="37"/>
  <c r="P8" i="37"/>
  <c r="N8" i="37"/>
  <c r="L8" i="37"/>
  <c r="F8" i="37"/>
  <c r="H4" i="37"/>
  <c r="H2" i="37" s="1"/>
  <c r="H10" i="37" s="1"/>
  <c r="F2" i="37"/>
  <c r="F10" i="37" s="1"/>
  <c r="BA67" i="34"/>
  <c r="AY67" i="35"/>
  <c r="AQ74" i="35"/>
  <c r="AM74" i="35"/>
  <c r="AW131" i="35"/>
  <c r="AU131" i="35"/>
  <c r="AS131" i="35"/>
  <c r="AQ131" i="35"/>
  <c r="AO131" i="35"/>
  <c r="AM131" i="35"/>
  <c r="AK131" i="35"/>
  <c r="AI131" i="35"/>
  <c r="AG131" i="35"/>
  <c r="AE131" i="35"/>
  <c r="AY71" i="35"/>
  <c r="AQ72" i="35"/>
  <c r="AY135" i="35"/>
  <c r="AY141" i="35" s="1"/>
  <c r="AW135" i="35"/>
  <c r="AW141" i="35" s="1"/>
  <c r="AU135" i="35"/>
  <c r="AU141" i="35" s="1"/>
  <c r="AY122" i="35"/>
  <c r="AW122" i="35"/>
  <c r="AU122" i="35"/>
  <c r="AY121" i="35"/>
  <c r="AW121" i="35"/>
  <c r="AU121" i="35"/>
  <c r="AY120" i="35"/>
  <c r="AW120" i="35"/>
  <c r="AU120" i="35"/>
  <c r="AY119" i="35"/>
  <c r="AW119" i="35"/>
  <c r="AU119" i="35"/>
  <c r="AY106" i="35"/>
  <c r="AW106" i="35"/>
  <c r="AU106" i="35"/>
  <c r="AY104" i="35"/>
  <c r="AY105" i="35" s="1"/>
  <c r="AW104" i="35"/>
  <c r="AW105" i="35" s="1"/>
  <c r="AU104" i="35"/>
  <c r="AU105" i="35" s="1"/>
  <c r="AW96" i="35"/>
  <c r="AU83" i="35"/>
  <c r="AU86" i="35" s="1"/>
  <c r="AW80" i="35"/>
  <c r="AW83" i="35" s="1"/>
  <c r="AU80" i="35"/>
  <c r="AU82" i="35" s="1"/>
  <c r="AW71" i="35"/>
  <c r="AU71" i="35"/>
  <c r="AY65" i="35"/>
  <c r="AY60" i="35" s="1"/>
  <c r="AX62" i="35" s="1"/>
  <c r="AW65" i="35"/>
  <c r="AW60" i="35" s="1"/>
  <c r="AU65" i="35"/>
  <c r="AU60" i="35" s="1"/>
  <c r="AY63" i="35"/>
  <c r="AW63" i="35"/>
  <c r="AU63" i="35"/>
  <c r="AW62" i="35"/>
  <c r="AU62" i="35"/>
  <c r="AU59" i="35" s="1"/>
  <c r="AY52" i="35"/>
  <c r="AW52" i="35"/>
  <c r="AU52" i="35"/>
  <c r="AX42" i="35"/>
  <c r="AV42" i="35"/>
  <c r="AT42" i="35"/>
  <c r="AY32" i="35"/>
  <c r="AY42" i="35" s="1"/>
  <c r="AW32" i="35"/>
  <c r="AW42" i="35" s="1"/>
  <c r="AU32" i="35"/>
  <c r="AU42" i="35" s="1"/>
  <c r="AX31" i="35"/>
  <c r="AV31" i="35"/>
  <c r="AU31" i="35"/>
  <c r="AT31" i="35"/>
  <c r="AX30" i="35"/>
  <c r="AV30" i="35"/>
  <c r="AT30" i="35"/>
  <c r="AT29" i="35" s="1"/>
  <c r="AX29" i="35"/>
  <c r="AV29" i="35"/>
  <c r="AY26" i="35"/>
  <c r="AY25" i="35" s="1"/>
  <c r="AW26" i="35"/>
  <c r="AW25" i="35" s="1"/>
  <c r="AU26" i="35"/>
  <c r="AU25" i="35" s="1"/>
  <c r="AX25" i="35"/>
  <c r="AV25" i="35"/>
  <c r="AT25" i="35"/>
  <c r="AX19" i="35"/>
  <c r="AV19" i="35"/>
  <c r="AT19" i="35"/>
  <c r="AY15" i="35"/>
  <c r="AY19" i="35" s="1"/>
  <c r="AW15" i="35"/>
  <c r="AU15" i="35"/>
  <c r="AU19" i="35" s="1"/>
  <c r="AX9" i="35"/>
  <c r="AV9" i="35"/>
  <c r="AT9" i="35"/>
  <c r="AX2" i="35"/>
  <c r="AX10" i="35" s="1"/>
  <c r="AV2" i="35"/>
  <c r="AV10" i="35" s="1"/>
  <c r="AT2" i="35"/>
  <c r="AT10" i="35" s="1"/>
  <c r="AT16" i="35" s="1"/>
  <c r="AT20" i="35" s="1"/>
  <c r="AT24" i="35" s="1"/>
  <c r="AT23" i="35" s="1"/>
  <c r="AW131" i="33"/>
  <c r="AU131" i="33"/>
  <c r="AS131" i="33"/>
  <c r="AQ131" i="33"/>
  <c r="AO131" i="33"/>
  <c r="AM131" i="33"/>
  <c r="AK131" i="33"/>
  <c r="AI131" i="33"/>
  <c r="AG131" i="33"/>
  <c r="AE131" i="33"/>
  <c r="BA71" i="33"/>
  <c r="AQ72" i="33"/>
  <c r="AS72" i="33" s="1"/>
  <c r="AS79" i="33"/>
  <c r="AQ79" i="33"/>
  <c r="AY135" i="33"/>
  <c r="AY141" i="33" s="1"/>
  <c r="AW135" i="33"/>
  <c r="AW141" i="33" s="1"/>
  <c r="AU135" i="33"/>
  <c r="AU141" i="33" s="1"/>
  <c r="AY104" i="33"/>
  <c r="AW104" i="33"/>
  <c r="AU104" i="33"/>
  <c r="AY80" i="33"/>
  <c r="AY83" i="33" s="1"/>
  <c r="AW80" i="33"/>
  <c r="AW83" i="33" s="1"/>
  <c r="AU80" i="33"/>
  <c r="AU83" i="33" s="1"/>
  <c r="AW71" i="33"/>
  <c r="AU71" i="33"/>
  <c r="AY63" i="33"/>
  <c r="AW63" i="33"/>
  <c r="AU63" i="33"/>
  <c r="AY42" i="33"/>
  <c r="AW42" i="33"/>
  <c r="AU42" i="33"/>
  <c r="AX32" i="33"/>
  <c r="AX42" i="33" s="1"/>
  <c r="AV32" i="33"/>
  <c r="AV31" i="33" s="1"/>
  <c r="AT32" i="33"/>
  <c r="AT42" i="33" s="1"/>
  <c r="AY31" i="33"/>
  <c r="AX31" i="33"/>
  <c r="AW31" i="33"/>
  <c r="AU31" i="33"/>
  <c r="AY26" i="33"/>
  <c r="AY30" i="33" s="1"/>
  <c r="AY29" i="33" s="1"/>
  <c r="AW26" i="33"/>
  <c r="AW30" i="33" s="1"/>
  <c r="AW29" i="33" s="1"/>
  <c r="AU26" i="33"/>
  <c r="AU30" i="33" s="1"/>
  <c r="AU29" i="33" s="1"/>
  <c r="AX25" i="33"/>
  <c r="AV25" i="33"/>
  <c r="AT25" i="33"/>
  <c r="AX19" i="33"/>
  <c r="AV19" i="33"/>
  <c r="AT19" i="33"/>
  <c r="AY15" i="33"/>
  <c r="AY19" i="33" s="1"/>
  <c r="AW15" i="33"/>
  <c r="AW19" i="33" s="1"/>
  <c r="AU15" i="33"/>
  <c r="AU19" i="33" s="1"/>
  <c r="AX9" i="33"/>
  <c r="AV9" i="33"/>
  <c r="AT9" i="33"/>
  <c r="AX2" i="33"/>
  <c r="AX10" i="33" s="1"/>
  <c r="AV2" i="33"/>
  <c r="AV10" i="33" s="1"/>
  <c r="AT2" i="33"/>
  <c r="AT10" i="33" s="1"/>
  <c r="AT16" i="33" s="1"/>
  <c r="AT20" i="33" s="1"/>
  <c r="AT24" i="33" s="1"/>
  <c r="AT23" i="33" s="1"/>
  <c r="BA63" i="34"/>
  <c r="AU79" i="34"/>
  <c r="AW79" i="34"/>
  <c r="AW123" i="34" s="1"/>
  <c r="AQ79" i="34"/>
  <c r="AO79" i="34"/>
  <c r="AM79" i="34"/>
  <c r="AY79" i="34"/>
  <c r="AY123" i="34" s="1"/>
  <c r="BA79" i="34"/>
  <c r="BA123" i="34" s="1"/>
  <c r="AY74" i="34"/>
  <c r="AY80" i="34" s="1"/>
  <c r="AY83" i="34" s="1"/>
  <c r="BC71" i="34"/>
  <c r="BA137" i="34"/>
  <c r="BA135" i="34"/>
  <c r="BA141" i="34" s="1"/>
  <c r="BA131" i="34"/>
  <c r="BA122" i="34"/>
  <c r="BA121" i="34"/>
  <c r="BA120" i="34"/>
  <c r="BA119" i="34"/>
  <c r="BA106" i="34"/>
  <c r="BA104" i="34"/>
  <c r="BA105" i="34" s="1"/>
  <c r="BA65" i="34"/>
  <c r="BA52" i="34"/>
  <c r="BA32" i="34"/>
  <c r="BA42" i="34" s="1"/>
  <c r="AZ26" i="34"/>
  <c r="AZ25" i="34" s="1"/>
  <c r="AZ19" i="34"/>
  <c r="BA15" i="34"/>
  <c r="BA19" i="34" s="1"/>
  <c r="AZ9" i="34"/>
  <c r="AY137" i="34"/>
  <c r="AY135" i="34"/>
  <c r="AY141" i="34" s="1"/>
  <c r="AY131" i="34"/>
  <c r="AY122" i="34"/>
  <c r="AY121" i="34"/>
  <c r="AY120" i="34"/>
  <c r="AY119" i="34"/>
  <c r="AY106" i="34"/>
  <c r="AY104" i="34"/>
  <c r="AY105" i="34" s="1"/>
  <c r="AY65" i="34"/>
  <c r="AY60" i="34" s="1"/>
  <c r="AY63" i="34"/>
  <c r="AY52" i="34"/>
  <c r="AY32" i="34"/>
  <c r="AY42" i="34" s="1"/>
  <c r="AX26" i="34"/>
  <c r="AX25" i="34" s="1"/>
  <c r="AX19" i="34"/>
  <c r="AY15" i="34"/>
  <c r="AY19" i="34" s="1"/>
  <c r="AX9" i="34"/>
  <c r="AW137" i="34"/>
  <c r="AW135" i="34"/>
  <c r="AW141" i="34" s="1"/>
  <c r="AW131" i="34"/>
  <c r="AW122" i="34"/>
  <c r="AW121" i="34"/>
  <c r="AW120" i="34"/>
  <c r="AW119" i="34"/>
  <c r="AW106" i="34"/>
  <c r="AW104" i="34"/>
  <c r="AW105" i="34" s="1"/>
  <c r="AW80" i="34"/>
  <c r="AW83" i="34" s="1"/>
  <c r="AW86" i="34" s="1"/>
  <c r="AW71" i="34"/>
  <c r="AW65" i="34"/>
  <c r="AW60" i="34" s="1"/>
  <c r="AW56" i="34" s="1"/>
  <c r="AW63" i="34"/>
  <c r="AW52" i="34"/>
  <c r="AW32" i="34"/>
  <c r="AW42" i="34" s="1"/>
  <c r="AV26" i="34"/>
  <c r="AV25" i="34" s="1"/>
  <c r="AV19" i="34"/>
  <c r="AW15" i="34"/>
  <c r="AW19" i="34" s="1"/>
  <c r="AV9" i="34"/>
  <c r="AS79" i="34"/>
  <c r="AK79" i="34"/>
  <c r="BK78" i="15"/>
  <c r="BI71" i="15"/>
  <c r="BJ181" i="15"/>
  <c r="BK137" i="15"/>
  <c r="BK135" i="15"/>
  <c r="BK141" i="15" s="1"/>
  <c r="BK131" i="15"/>
  <c r="BK104" i="15"/>
  <c r="BJ72" i="15"/>
  <c r="BK80" i="15"/>
  <c r="BK57" i="15"/>
  <c r="BJ9" i="15" s="1"/>
  <c r="BK42" i="15"/>
  <c r="BJ32" i="15"/>
  <c r="BJ30" i="15" s="1"/>
  <c r="BJ29" i="15" s="1"/>
  <c r="BK31" i="15"/>
  <c r="BK26" i="15"/>
  <c r="BK30" i="15" s="1"/>
  <c r="BK29" i="15" s="1"/>
  <c r="BJ25" i="15"/>
  <c r="BJ19" i="15"/>
  <c r="BK15" i="15"/>
  <c r="BK19" i="15" s="1"/>
  <c r="BJ2" i="15"/>
  <c r="BJ10" i="15" s="1"/>
  <c r="BH181" i="15"/>
  <c r="BF181" i="15"/>
  <c r="BI137" i="15"/>
  <c r="BG137" i="15"/>
  <c r="BI135" i="15"/>
  <c r="BI141" i="15" s="1"/>
  <c r="BG135" i="15"/>
  <c r="BG141" i="15" s="1"/>
  <c r="BI131" i="15"/>
  <c r="BG131" i="15"/>
  <c r="BI104" i="15"/>
  <c r="BG104" i="15"/>
  <c r="BG71" i="15"/>
  <c r="BI67" i="15"/>
  <c r="BI80" i="15" s="1"/>
  <c r="BG67" i="15"/>
  <c r="BG80" i="15" s="1"/>
  <c r="BI57" i="15"/>
  <c r="BH9" i="15" s="1"/>
  <c r="BG57" i="15"/>
  <c r="BF9" i="15" s="1"/>
  <c r="BI42" i="15"/>
  <c r="BG42" i="15"/>
  <c r="BH32" i="15"/>
  <c r="BH42" i="15" s="1"/>
  <c r="BF32" i="15"/>
  <c r="BF30" i="15" s="1"/>
  <c r="BF29" i="15" s="1"/>
  <c r="BI31" i="15"/>
  <c r="BG31" i="15"/>
  <c r="BI26" i="15"/>
  <c r="BI25" i="15" s="1"/>
  <c r="BG26" i="15"/>
  <c r="BG25" i="15" s="1"/>
  <c r="BH25" i="15"/>
  <c r="BF25" i="15"/>
  <c r="BH19" i="15"/>
  <c r="BF19" i="15"/>
  <c r="BI15" i="15"/>
  <c r="BI19" i="15" s="1"/>
  <c r="BG15" i="15"/>
  <c r="BG19" i="15" s="1"/>
  <c r="BH2" i="15"/>
  <c r="BH10" i="15" s="1"/>
  <c r="BF2" i="15"/>
  <c r="BF10" i="15" s="1"/>
  <c r="BK67" i="14"/>
  <c r="BK78" i="14" s="1"/>
  <c r="BK67" i="13"/>
  <c r="BK123" i="14"/>
  <c r="BE79" i="14"/>
  <c r="BE123" i="14" s="1"/>
  <c r="BK71" i="14"/>
  <c r="BE137" i="14"/>
  <c r="BG137" i="14" s="1"/>
  <c r="BI137" i="14" s="1"/>
  <c r="BK137" i="14" s="1"/>
  <c r="BM137" i="14" s="1"/>
  <c r="BO137" i="14" s="1"/>
  <c r="BQ137" i="14" s="1"/>
  <c r="BS137" i="14" s="1"/>
  <c r="BK135" i="14"/>
  <c r="BK141" i="14" s="1"/>
  <c r="BI135" i="14"/>
  <c r="BI96" i="14" s="1"/>
  <c r="BG135" i="14"/>
  <c r="BG96" i="14" s="1"/>
  <c r="BE135" i="14"/>
  <c r="BE96" i="14" s="1"/>
  <c r="BK131" i="14"/>
  <c r="BI131" i="14"/>
  <c r="BG131" i="14"/>
  <c r="BE131" i="14"/>
  <c r="BE128" i="14"/>
  <c r="BG128" i="14" s="1"/>
  <c r="BE125" i="14"/>
  <c r="BG125" i="14" s="1"/>
  <c r="BK122" i="14"/>
  <c r="BI122" i="14"/>
  <c r="BG122" i="14"/>
  <c r="BE122" i="14"/>
  <c r="BK121" i="14"/>
  <c r="BI121" i="14"/>
  <c r="BG121" i="14"/>
  <c r="BE121" i="14"/>
  <c r="BK120" i="14"/>
  <c r="BI120" i="14"/>
  <c r="BG120" i="14"/>
  <c r="BE120" i="14"/>
  <c r="BK119" i="14"/>
  <c r="BI119" i="14"/>
  <c r="BG119" i="14"/>
  <c r="BE119" i="14"/>
  <c r="BK106" i="14"/>
  <c r="BI106" i="14"/>
  <c r="BG106" i="14"/>
  <c r="BE106" i="14"/>
  <c r="BK104" i="14"/>
  <c r="BK105" i="14" s="1"/>
  <c r="BI104" i="14"/>
  <c r="BI105" i="14" s="1"/>
  <c r="BG104" i="14"/>
  <c r="BG105" i="14" s="1"/>
  <c r="BE104" i="14"/>
  <c r="BE105" i="14" s="1"/>
  <c r="BI123" i="14"/>
  <c r="BG123" i="14"/>
  <c r="BI71" i="14"/>
  <c r="BG71" i="14"/>
  <c r="BE71" i="14"/>
  <c r="BI67" i="14"/>
  <c r="BI78" i="14" s="1"/>
  <c r="BG67" i="14"/>
  <c r="BG62" i="14" s="1"/>
  <c r="BE67" i="14"/>
  <c r="BE78" i="14" s="1"/>
  <c r="BK65" i="14"/>
  <c r="BI65" i="14"/>
  <c r="BG65" i="14"/>
  <c r="BE65" i="14"/>
  <c r="BK57" i="14"/>
  <c r="BJ9" i="14" s="1"/>
  <c r="BI57" i="14"/>
  <c r="BH9" i="14" s="1"/>
  <c r="BG57" i="14"/>
  <c r="BF9" i="14" s="1"/>
  <c r="BE57" i="14"/>
  <c r="BD9" i="14" s="1"/>
  <c r="BK52" i="14"/>
  <c r="BI52" i="14"/>
  <c r="BG52" i="14"/>
  <c r="BE52" i="14"/>
  <c r="BJ19" i="14"/>
  <c r="BH19" i="14"/>
  <c r="BF19" i="14"/>
  <c r="BD19" i="14"/>
  <c r="BK15" i="14"/>
  <c r="BK19" i="14" s="1"/>
  <c r="BI15" i="14"/>
  <c r="BI19" i="14" s="1"/>
  <c r="BG15" i="14"/>
  <c r="BG19" i="14" s="1"/>
  <c r="BE15" i="14"/>
  <c r="BE19" i="14" s="1"/>
  <c r="BJ2" i="14"/>
  <c r="BJ10" i="14" s="1"/>
  <c r="BH2" i="14"/>
  <c r="BH10" i="14" s="1"/>
  <c r="BF2" i="14"/>
  <c r="BF10" i="14" s="1"/>
  <c r="BF16" i="14" s="1"/>
  <c r="BF20" i="14" s="1"/>
  <c r="BD2" i="14"/>
  <c r="BD10" i="14" s="1"/>
  <c r="BD16" i="14" s="1"/>
  <c r="BD20" i="14" s="1"/>
  <c r="BK151" i="13"/>
  <c r="BK150" i="13"/>
  <c r="BK138" i="13"/>
  <c r="BK135" i="13"/>
  <c r="BK96" i="13" s="1"/>
  <c r="BK131" i="13"/>
  <c r="BK123" i="13"/>
  <c r="BK122" i="13"/>
  <c r="BK121" i="13"/>
  <c r="BK120" i="13"/>
  <c r="BK119" i="13"/>
  <c r="BK106" i="13"/>
  <c r="BK100" i="13"/>
  <c r="BK104" i="13" s="1"/>
  <c r="BK105" i="13" s="1"/>
  <c r="BK65" i="13"/>
  <c r="BK57" i="13"/>
  <c r="BJ9" i="13" s="1"/>
  <c r="BK52" i="13"/>
  <c r="BK42" i="13"/>
  <c r="BK39" i="13"/>
  <c r="BJ32" i="13"/>
  <c r="BJ31" i="13" s="1"/>
  <c r="BK31" i="13"/>
  <c r="BJ19" i="13"/>
  <c r="BK15" i="13"/>
  <c r="BK19" i="13" s="1"/>
  <c r="BJ2" i="13"/>
  <c r="BJ10" i="13" s="1"/>
  <c r="BI131" i="13"/>
  <c r="BG131" i="13"/>
  <c r="BE131" i="13"/>
  <c r="Y11" i="30"/>
  <c r="X11" i="30"/>
  <c r="W11" i="30"/>
  <c r="BG60" i="34" l="1"/>
  <c r="BC31" i="35"/>
  <c r="AW31" i="35"/>
  <c r="BC140" i="38"/>
  <c r="BO137" i="38"/>
  <c r="BO140" i="38" s="1"/>
  <c r="BO141" i="38" s="1"/>
  <c r="BB30" i="33"/>
  <c r="BB29" i="33" s="1"/>
  <c r="BM60" i="14"/>
  <c r="DC25" i="3"/>
  <c r="BE140" i="38"/>
  <c r="BW137" i="38"/>
  <c r="BW140" i="38" s="1"/>
  <c r="BW141" i="38" s="1"/>
  <c r="BC79" i="35"/>
  <c r="BE79" i="35"/>
  <c r="BE31" i="35"/>
  <c r="BE123" i="35"/>
  <c r="BA96" i="35"/>
  <c r="BC123" i="35"/>
  <c r="BC117" i="35" s="1"/>
  <c r="BC116" i="35" s="1"/>
  <c r="BC114" i="35" s="1"/>
  <c r="BC115" i="35" s="1"/>
  <c r="BC60" i="35"/>
  <c r="AU84" i="35"/>
  <c r="AU31" i="38"/>
  <c r="BC60" i="38"/>
  <c r="BC108" i="38" s="1"/>
  <c r="BC109" i="38" s="1"/>
  <c r="BA140" i="38"/>
  <c r="BM137" i="38"/>
  <c r="BM140" i="38" s="1"/>
  <c r="BM141" i="38" s="1"/>
  <c r="AS60" i="38"/>
  <c r="AS108" i="38" s="1"/>
  <c r="AS109" i="38" s="1"/>
  <c r="O96" i="38"/>
  <c r="AS96" i="38"/>
  <c r="BA52" i="33"/>
  <c r="AU25" i="33"/>
  <c r="BB42" i="33"/>
  <c r="AW25" i="33"/>
  <c r="AY25" i="33"/>
  <c r="BE59" i="34"/>
  <c r="K96" i="38"/>
  <c r="BC117" i="34"/>
  <c r="BC116" i="34" s="1"/>
  <c r="BC114" i="34" s="1"/>
  <c r="BC115" i="34" s="1"/>
  <c r="BQ117" i="13"/>
  <c r="BQ116" i="13" s="1"/>
  <c r="BQ114" i="13" s="1"/>
  <c r="BQ115" i="13" s="1"/>
  <c r="AW59" i="34"/>
  <c r="U60" i="38"/>
  <c r="U111" i="38" s="1"/>
  <c r="U112" i="38" s="1"/>
  <c r="Q96" i="38"/>
  <c r="BK117" i="36"/>
  <c r="BK116" i="36" s="1"/>
  <c r="BK114" i="36" s="1"/>
  <c r="BK115" i="36" s="1"/>
  <c r="BS60" i="14"/>
  <c r="BR62" i="14" s="1"/>
  <c r="BQ59" i="13"/>
  <c r="BO117" i="13"/>
  <c r="BO116" i="13" s="1"/>
  <c r="BO114" i="13" s="1"/>
  <c r="BO115" i="13" s="1"/>
  <c r="AH42" i="37"/>
  <c r="AH30" i="37"/>
  <c r="AH29" i="37" s="1"/>
  <c r="AH31" i="37"/>
  <c r="AH8" i="37"/>
  <c r="AI56" i="37"/>
  <c r="AI68" i="37" s="1"/>
  <c r="X30" i="37"/>
  <c r="X29" i="37" s="1"/>
  <c r="X31" i="37"/>
  <c r="AG59" i="37"/>
  <c r="Y83" i="37"/>
  <c r="AE96" i="37"/>
  <c r="AY53" i="37"/>
  <c r="AI59" i="37"/>
  <c r="AA83" i="37"/>
  <c r="AG96" i="37"/>
  <c r="BA60" i="35"/>
  <c r="BA108" i="35" s="1"/>
  <c r="BA109" i="35" s="1"/>
  <c r="AT25" i="39"/>
  <c r="BC66" i="33"/>
  <c r="BC119" i="33" s="1"/>
  <c r="AO30" i="37"/>
  <c r="AO29" i="37" s="1"/>
  <c r="T30" i="37"/>
  <c r="T29" i="37" s="1"/>
  <c r="G42" i="37"/>
  <c r="S53" i="37"/>
  <c r="W54" i="37"/>
  <c r="W86" i="37"/>
  <c r="AO96" i="37"/>
  <c r="BQ60" i="14"/>
  <c r="BQ56" i="14" s="1"/>
  <c r="AM96" i="37"/>
  <c r="AQ30" i="37"/>
  <c r="AQ29" i="37" s="1"/>
  <c r="U30" i="37"/>
  <c r="U29" i="37" s="1"/>
  <c r="AY59" i="37"/>
  <c r="AN32" i="38"/>
  <c r="AN31" i="38" s="1"/>
  <c r="BQ59" i="14"/>
  <c r="CO137" i="14"/>
  <c r="BU137" i="14"/>
  <c r="BW137" i="14" s="1"/>
  <c r="BY137" i="14" s="1"/>
  <c r="CA137" i="14" s="1"/>
  <c r="CC137" i="14" s="1"/>
  <c r="CE137" i="14" s="1"/>
  <c r="AM30" i="37"/>
  <c r="AM29" i="37" s="1"/>
  <c r="AS96" i="37"/>
  <c r="CD26" i="36"/>
  <c r="CD30" i="36" s="1"/>
  <c r="CD29" i="36" s="1"/>
  <c r="BL26" i="36"/>
  <c r="I30" i="37"/>
  <c r="I29" i="37" s="1"/>
  <c r="Y30" i="37"/>
  <c r="Y29" i="37" s="1"/>
  <c r="AM31" i="37"/>
  <c r="I82" i="37"/>
  <c r="AU96" i="37"/>
  <c r="BC25" i="33"/>
  <c r="AI96" i="37"/>
  <c r="AY140" i="38"/>
  <c r="BU137" i="38"/>
  <c r="BU140" i="38" s="1"/>
  <c r="BU141" i="38" s="1"/>
  <c r="AT30" i="33"/>
  <c r="AT29" i="33" s="1"/>
  <c r="AL8" i="37"/>
  <c r="AA30" i="37"/>
  <c r="AA29" i="37" s="1"/>
  <c r="AN31" i="37"/>
  <c r="U42" i="37"/>
  <c r="AM56" i="37"/>
  <c r="AM53" i="37" s="1"/>
  <c r="K60" i="37"/>
  <c r="K82" i="37"/>
  <c r="AW96" i="37"/>
  <c r="BA25" i="35"/>
  <c r="W25" i="37"/>
  <c r="W42" i="37"/>
  <c r="W41" i="37" s="1"/>
  <c r="G96" i="37"/>
  <c r="BS117" i="14"/>
  <c r="BS116" i="14" s="1"/>
  <c r="BS114" i="14" s="1"/>
  <c r="BS115" i="14" s="1"/>
  <c r="AV30" i="33"/>
  <c r="AV29" i="33" s="1"/>
  <c r="AY26" i="37"/>
  <c r="I96" i="37"/>
  <c r="AC83" i="37"/>
  <c r="AY59" i="35"/>
  <c r="Y60" i="37"/>
  <c r="U82" i="37"/>
  <c r="W108" i="37"/>
  <c r="W109" i="37" s="1"/>
  <c r="BC96" i="35"/>
  <c r="H30" i="37"/>
  <c r="H29" i="37" s="1"/>
  <c r="AK96" i="37"/>
  <c r="BA59" i="34"/>
  <c r="S30" i="37"/>
  <c r="S29" i="37" s="1"/>
  <c r="AP8" i="37"/>
  <c r="AX30" i="33"/>
  <c r="AX29" i="33" s="1"/>
  <c r="AY80" i="35"/>
  <c r="AY82" i="35" s="1"/>
  <c r="G31" i="37"/>
  <c r="AK42" i="37"/>
  <c r="AI53" i="37"/>
  <c r="W111" i="37"/>
  <c r="W112" i="37" s="1"/>
  <c r="BC30" i="35"/>
  <c r="BC29" i="35" s="1"/>
  <c r="AY30" i="35"/>
  <c r="AY29" i="35" s="1"/>
  <c r="AG82" i="37"/>
  <c r="O96" i="37"/>
  <c r="AM117" i="37"/>
  <c r="AM116" i="37" s="1"/>
  <c r="AM114" i="37" s="1"/>
  <c r="AM115" i="37" s="1"/>
  <c r="BC60" i="34"/>
  <c r="BC111" i="34" s="1"/>
  <c r="BC112" i="34" s="1"/>
  <c r="N32" i="38"/>
  <c r="N42" i="38" s="1"/>
  <c r="AV32" i="38"/>
  <c r="AV30" i="38" s="1"/>
  <c r="AV29" i="38" s="1"/>
  <c r="AC30" i="38"/>
  <c r="AC29" i="38" s="1"/>
  <c r="AG30" i="38"/>
  <c r="AG29" i="38" s="1"/>
  <c r="V32" i="38"/>
  <c r="V42" i="38" s="1"/>
  <c r="BE141" i="34"/>
  <c r="BE60" i="34"/>
  <c r="BC59" i="34"/>
  <c r="AW26" i="34"/>
  <c r="AW25" i="34" s="1"/>
  <c r="BG96" i="34"/>
  <c r="AY96" i="34"/>
  <c r="BI96" i="36"/>
  <c r="DF96" i="36"/>
  <c r="DG9" i="36"/>
  <c r="DG26" i="36"/>
  <c r="DG30" i="36" s="1"/>
  <c r="DG29" i="36" s="1"/>
  <c r="BS59" i="15"/>
  <c r="BS117" i="15"/>
  <c r="BS116" i="15" s="1"/>
  <c r="BS114" i="15" s="1"/>
  <c r="BS115" i="15" s="1"/>
  <c r="CY59" i="3"/>
  <c r="CT25" i="3"/>
  <c r="CV25" i="3"/>
  <c r="DR10" i="3"/>
  <c r="DQ16" i="3"/>
  <c r="DQ20" i="3" s="1"/>
  <c r="DQ24" i="3" s="1"/>
  <c r="DQ23" i="3" s="1"/>
  <c r="BS141" i="14"/>
  <c r="BE62" i="14"/>
  <c r="BE59" i="14" s="1"/>
  <c r="BR31" i="13"/>
  <c r="BM149" i="13"/>
  <c r="BM152" i="13" s="1"/>
  <c r="BO59" i="13"/>
  <c r="DH117" i="36"/>
  <c r="DH116" i="36" s="1"/>
  <c r="DH114" i="36" s="1"/>
  <c r="DH115" i="36" s="1"/>
  <c r="BK59" i="36"/>
  <c r="BK60" i="36"/>
  <c r="BJ8" i="36" s="1"/>
  <c r="DB60" i="36"/>
  <c r="DB56" i="36" s="1"/>
  <c r="DB53" i="36" s="1"/>
  <c r="DD59" i="36"/>
  <c r="DD60" i="36"/>
  <c r="DD56" i="36" s="1"/>
  <c r="BK63" i="36"/>
  <c r="DF59" i="36"/>
  <c r="DF60" i="36"/>
  <c r="DD117" i="36"/>
  <c r="DD116" i="36" s="1"/>
  <c r="DD114" i="36" s="1"/>
  <c r="DD115" i="36" s="1"/>
  <c r="DC9" i="36"/>
  <c r="BH9" i="36"/>
  <c r="BJ30" i="36"/>
  <c r="BJ29" i="36" s="1"/>
  <c r="DH59" i="36"/>
  <c r="DH60" i="36"/>
  <c r="DG8" i="36" s="1"/>
  <c r="BH31" i="36"/>
  <c r="DE9" i="36"/>
  <c r="BG59" i="36"/>
  <c r="BR31" i="15"/>
  <c r="BK60" i="14"/>
  <c r="BM56" i="14"/>
  <c r="BM50" i="14" s="1"/>
  <c r="BM54" i="14" s="1"/>
  <c r="BR72" i="14"/>
  <c r="BO60" i="14"/>
  <c r="BO56" i="14" s="1"/>
  <c r="BO50" i="14" s="1"/>
  <c r="BS96" i="13"/>
  <c r="BK123" i="39"/>
  <c r="BK117" i="39" s="1"/>
  <c r="BK116" i="39" s="1"/>
  <c r="BK114" i="39" s="1"/>
  <c r="BK115" i="39" s="1"/>
  <c r="BS117" i="13"/>
  <c r="BS116" i="13" s="1"/>
  <c r="BS114" i="13" s="1"/>
  <c r="BS115" i="13" s="1"/>
  <c r="BG123" i="34"/>
  <c r="BG117" i="34" s="1"/>
  <c r="BG116" i="34" s="1"/>
  <c r="BG114" i="34" s="1"/>
  <c r="BG115" i="34" s="1"/>
  <c r="BL31" i="13"/>
  <c r="BD42" i="34"/>
  <c r="BA105" i="33"/>
  <c r="BA106" i="33"/>
  <c r="BA120" i="33"/>
  <c r="DG31" i="36"/>
  <c r="DH96" i="36"/>
  <c r="BJ25" i="36"/>
  <c r="BK25" i="36"/>
  <c r="BJ42" i="36"/>
  <c r="BK96" i="36"/>
  <c r="BS56" i="15"/>
  <c r="BS50" i="15" s="1"/>
  <c r="BP31" i="15"/>
  <c r="DK60" i="3"/>
  <c r="DK108" i="3" s="1"/>
  <c r="DK109" i="3" s="1"/>
  <c r="BP31" i="13"/>
  <c r="BU42" i="39"/>
  <c r="BB32" i="39"/>
  <c r="BB31" i="39" s="1"/>
  <c r="BU119" i="39"/>
  <c r="BU120" i="39"/>
  <c r="BU121" i="39"/>
  <c r="BU122" i="39"/>
  <c r="BU123" i="39"/>
  <c r="BU52" i="39"/>
  <c r="BO60" i="39"/>
  <c r="BO108" i="39" s="1"/>
  <c r="BO109" i="39" s="1"/>
  <c r="AC60" i="39"/>
  <c r="AC111" i="39" s="1"/>
  <c r="AC112" i="39" s="1"/>
  <c r="BK60" i="39"/>
  <c r="BO117" i="39"/>
  <c r="BO116" i="39" s="1"/>
  <c r="BO114" i="39" s="1"/>
  <c r="BO115" i="39" s="1"/>
  <c r="BK96" i="39"/>
  <c r="BU65" i="39"/>
  <c r="V32" i="39"/>
  <c r="V42" i="39" s="1"/>
  <c r="BU82" i="39"/>
  <c r="BU96" i="39"/>
  <c r="BU105" i="39"/>
  <c r="BU30" i="39"/>
  <c r="BU29" i="39" s="1"/>
  <c r="BU31" i="39"/>
  <c r="BT30" i="39"/>
  <c r="BT29" i="39" s="1"/>
  <c r="BU89" i="39"/>
  <c r="BU87" i="39"/>
  <c r="BT42" i="39"/>
  <c r="BU84" i="39"/>
  <c r="BK30" i="39"/>
  <c r="BK29" i="39" s="1"/>
  <c r="BK25" i="39"/>
  <c r="BK111" i="39"/>
  <c r="BK112" i="39" s="1"/>
  <c r="BK56" i="39"/>
  <c r="BK68" i="39" s="1"/>
  <c r="BJ8" i="39"/>
  <c r="BS123" i="39"/>
  <c r="BJ25" i="39"/>
  <c r="AP8" i="39"/>
  <c r="AK60" i="39"/>
  <c r="AK56" i="39" s="1"/>
  <c r="AK68" i="39" s="1"/>
  <c r="M82" i="39"/>
  <c r="BJ30" i="39"/>
  <c r="BJ29" i="39" s="1"/>
  <c r="AO60" i="39"/>
  <c r="AN8" i="39" s="1"/>
  <c r="BO59" i="39"/>
  <c r="AG82" i="39"/>
  <c r="BR30" i="39"/>
  <c r="BR29" i="39" s="1"/>
  <c r="BW25" i="39"/>
  <c r="BR31" i="39"/>
  <c r="BK59" i="39"/>
  <c r="BK86" i="39"/>
  <c r="BK84" i="39"/>
  <c r="BJ42" i="39"/>
  <c r="BK42" i="39"/>
  <c r="BK108" i="39"/>
  <c r="BK109" i="39" s="1"/>
  <c r="BJ62" i="39"/>
  <c r="BK82" i="39"/>
  <c r="AY108" i="39"/>
  <c r="AY109" i="39" s="1"/>
  <c r="BV30" i="39"/>
  <c r="BV29" i="39" s="1"/>
  <c r="BS119" i="39"/>
  <c r="BC59" i="39"/>
  <c r="BS120" i="39"/>
  <c r="W60" i="39"/>
  <c r="W111" i="39" s="1"/>
  <c r="W112" i="39" s="1"/>
  <c r="BE60" i="39"/>
  <c r="BE56" i="39" s="1"/>
  <c r="BS121" i="39"/>
  <c r="J32" i="39"/>
  <c r="J30" i="39" s="1"/>
  <c r="J29" i="39" s="1"/>
  <c r="Y60" i="39"/>
  <c r="Y108" i="39" s="1"/>
  <c r="Y109" i="39" s="1"/>
  <c r="BS122" i="39"/>
  <c r="BV16" i="39"/>
  <c r="BV20" i="39" s="1"/>
  <c r="BV24" i="39" s="1"/>
  <c r="BV23" i="39" s="1"/>
  <c r="BW10" i="39"/>
  <c r="BS52" i="39"/>
  <c r="BN31" i="39"/>
  <c r="H32" i="39"/>
  <c r="H42" i="39" s="1"/>
  <c r="AN32" i="39"/>
  <c r="AN42" i="39" s="1"/>
  <c r="AW42" i="39"/>
  <c r="BN8" i="39"/>
  <c r="AE59" i="39"/>
  <c r="BA60" i="39"/>
  <c r="BA56" i="39" s="1"/>
  <c r="BA68" i="39" s="1"/>
  <c r="BO56" i="39"/>
  <c r="BN16" i="39"/>
  <c r="BN20" i="39" s="1"/>
  <c r="BN24" i="39" s="1"/>
  <c r="BN23" i="39" s="1"/>
  <c r="BO10" i="39"/>
  <c r="BO81" i="39" s="1"/>
  <c r="BO26" i="39"/>
  <c r="BO82" i="39"/>
  <c r="BN30" i="39"/>
  <c r="BN29" i="39" s="1"/>
  <c r="BO83" i="39"/>
  <c r="BO32" i="39"/>
  <c r="BE31" i="39"/>
  <c r="M84" i="39"/>
  <c r="AY42" i="39"/>
  <c r="AW84" i="39"/>
  <c r="BS65" i="39"/>
  <c r="W42" i="39"/>
  <c r="AA42" i="39"/>
  <c r="I86" i="39"/>
  <c r="I87" i="39" s="1"/>
  <c r="AP32" i="39"/>
  <c r="AP42" i="39" s="1"/>
  <c r="BS82" i="39"/>
  <c r="L32" i="39"/>
  <c r="L42" i="39" s="1"/>
  <c r="BS96" i="39"/>
  <c r="BS105" i="39"/>
  <c r="AA31" i="39"/>
  <c r="BS87" i="39"/>
  <c r="BS89" i="39"/>
  <c r="BR16" i="39"/>
  <c r="BR20" i="39" s="1"/>
  <c r="BR24" i="39" s="1"/>
  <c r="BR23" i="39" s="1"/>
  <c r="BS10" i="39"/>
  <c r="BS16" i="39" s="1"/>
  <c r="BS20" i="39" s="1"/>
  <c r="BS24" i="39" s="1"/>
  <c r="BS23" i="39" s="1"/>
  <c r="BS84" i="39"/>
  <c r="O86" i="39"/>
  <c r="O89" i="39" s="1"/>
  <c r="O84" i="39"/>
  <c r="Q86" i="39"/>
  <c r="Q87" i="39" s="1"/>
  <c r="Q84" i="39"/>
  <c r="BC26" i="39"/>
  <c r="BC25" i="39" s="1"/>
  <c r="BI111" i="39"/>
  <c r="BI112" i="39" s="1"/>
  <c r="K96" i="39"/>
  <c r="R32" i="39"/>
  <c r="AR32" i="39"/>
  <c r="AR30" i="39" s="1"/>
  <c r="AR29" i="39" s="1"/>
  <c r="AM60" i="39"/>
  <c r="AL8" i="39" s="1"/>
  <c r="K82" i="39"/>
  <c r="O96" i="39"/>
  <c r="BA30" i="39"/>
  <c r="BA29" i="39" s="1"/>
  <c r="AY96" i="39"/>
  <c r="BC96" i="39"/>
  <c r="M31" i="39"/>
  <c r="BE96" i="39"/>
  <c r="K59" i="39"/>
  <c r="AQ82" i="39"/>
  <c r="AM117" i="39"/>
  <c r="AM116" i="39" s="1"/>
  <c r="AM114" i="39" s="1"/>
  <c r="AM115" i="39" s="1"/>
  <c r="M59" i="39"/>
  <c r="AU82" i="39"/>
  <c r="M141" i="39"/>
  <c r="S31" i="39"/>
  <c r="AZ25" i="39"/>
  <c r="AW31" i="39"/>
  <c r="Q59" i="39"/>
  <c r="AW82" i="39"/>
  <c r="BE117" i="39"/>
  <c r="BE116" i="39" s="1"/>
  <c r="BE114" i="39" s="1"/>
  <c r="BE115" i="39" s="1"/>
  <c r="K31" i="39"/>
  <c r="O82" i="39"/>
  <c r="Q82" i="39"/>
  <c r="I59" i="39"/>
  <c r="BD31" i="39"/>
  <c r="AD32" i="39"/>
  <c r="AD31" i="39" s="1"/>
  <c r="G83" i="39"/>
  <c r="G84" i="39" s="1"/>
  <c r="BA141" i="39"/>
  <c r="G30" i="39"/>
  <c r="G29" i="39" s="1"/>
  <c r="AF32" i="39"/>
  <c r="AF42" i="39" s="1"/>
  <c r="AM84" i="39"/>
  <c r="AM86" i="39"/>
  <c r="AM89" i="39" s="1"/>
  <c r="Q108" i="39"/>
  <c r="Q109" i="39" s="1"/>
  <c r="Q56" i="39"/>
  <c r="Q50" i="39" s="1"/>
  <c r="AQ84" i="39"/>
  <c r="AQ86" i="39"/>
  <c r="AQ89" i="39" s="1"/>
  <c r="AU86" i="39"/>
  <c r="AU84" i="39"/>
  <c r="AW87" i="39"/>
  <c r="AW89" i="39"/>
  <c r="AW93" i="39" s="1"/>
  <c r="AX31" i="39"/>
  <c r="AX42" i="39"/>
  <c r="Z30" i="39"/>
  <c r="Z29" i="39" s="1"/>
  <c r="Z42" i="39"/>
  <c r="Z31" i="39"/>
  <c r="AV31" i="39"/>
  <c r="AV30" i="39"/>
  <c r="AV29" i="39" s="1"/>
  <c r="AV42" i="39"/>
  <c r="AY86" i="39"/>
  <c r="AY84" i="39"/>
  <c r="AC86" i="39"/>
  <c r="AC84" i="39"/>
  <c r="F16" i="39"/>
  <c r="F20" i="39" s="1"/>
  <c r="F24" i="39" s="1"/>
  <c r="F23" i="39" s="1"/>
  <c r="G10" i="39"/>
  <c r="G69" i="39" s="1"/>
  <c r="BE30" i="39"/>
  <c r="BE29" i="39" s="1"/>
  <c r="AC82" i="39"/>
  <c r="AQ111" i="39"/>
  <c r="AQ112" i="39" s="1"/>
  <c r="I42" i="39"/>
  <c r="AU60" i="39"/>
  <c r="AU56" i="39" s="1"/>
  <c r="AA96" i="39"/>
  <c r="AO30" i="39"/>
  <c r="AO29" i="39" s="1"/>
  <c r="BC60" i="39"/>
  <c r="BC56" i="39" s="1"/>
  <c r="Y83" i="39"/>
  <c r="Y84" i="39" s="1"/>
  <c r="AA108" i="39"/>
  <c r="AA109" i="39" s="1"/>
  <c r="AK96" i="39"/>
  <c r="AI141" i="39"/>
  <c r="J8" i="39"/>
  <c r="W30" i="39"/>
  <c r="W29" i="39" s="1"/>
  <c r="AO31" i="39"/>
  <c r="AG42" i="39"/>
  <c r="M56" i="39"/>
  <c r="M50" i="39" s="1"/>
  <c r="AY59" i="39"/>
  <c r="AO96" i="39"/>
  <c r="BC42" i="39"/>
  <c r="M108" i="39"/>
  <c r="M109" i="39" s="1"/>
  <c r="AS60" i="39"/>
  <c r="AR8" i="39" s="1"/>
  <c r="AG141" i="39"/>
  <c r="L8" i="39"/>
  <c r="K30" i="39"/>
  <c r="K29" i="39" s="1"/>
  <c r="AA30" i="39"/>
  <c r="AA29" i="39" s="1"/>
  <c r="AK42" i="39"/>
  <c r="BA59" i="39"/>
  <c r="AQ96" i="39"/>
  <c r="AI26" i="39"/>
  <c r="AI30" i="39" s="1"/>
  <c r="AI29" i="39" s="1"/>
  <c r="W96" i="39"/>
  <c r="AK30" i="39"/>
  <c r="AK29" i="39" s="1"/>
  <c r="Y96" i="39"/>
  <c r="M30" i="39"/>
  <c r="M29" i="39" s="1"/>
  <c r="AQ59" i="39"/>
  <c r="AE96" i="39"/>
  <c r="AI31" i="39"/>
  <c r="AE42" i="39"/>
  <c r="AX30" i="39"/>
  <c r="AX29" i="39" s="1"/>
  <c r="AS96" i="39"/>
  <c r="AO117" i="39"/>
  <c r="AO116" i="39" s="1"/>
  <c r="AO114" i="39" s="1"/>
  <c r="AO115" i="39" s="1"/>
  <c r="BB30" i="39"/>
  <c r="BB29" i="39" s="1"/>
  <c r="BH25" i="39"/>
  <c r="Z8" i="39"/>
  <c r="AQ30" i="39"/>
  <c r="AQ29" i="39" s="1"/>
  <c r="AA56" i="39"/>
  <c r="AA50" i="39" s="1"/>
  <c r="BI59" i="39"/>
  <c r="AY71" i="39"/>
  <c r="I82" i="39"/>
  <c r="AU96" i="39"/>
  <c r="AY31" i="39"/>
  <c r="O60" i="39"/>
  <c r="O56" i="39" s="1"/>
  <c r="AS83" i="39"/>
  <c r="BB42" i="39"/>
  <c r="AY111" i="39"/>
  <c r="AY112" i="39" s="1"/>
  <c r="AU30" i="39"/>
  <c r="AU29" i="39" s="1"/>
  <c r="AY56" i="39"/>
  <c r="AY50" i="39" s="1"/>
  <c r="AW59" i="39"/>
  <c r="S60" i="39"/>
  <c r="S56" i="39" s="1"/>
  <c r="AL32" i="39"/>
  <c r="AM42" i="39"/>
  <c r="BC83" i="39"/>
  <c r="BC82" i="39"/>
  <c r="AI84" i="39"/>
  <c r="AI86" i="39"/>
  <c r="N32" i="39"/>
  <c r="O31" i="39"/>
  <c r="O30" i="39"/>
  <c r="O29" i="39" s="1"/>
  <c r="AM31" i="39"/>
  <c r="AS19" i="39"/>
  <c r="AI60" i="39"/>
  <c r="AI59" i="39"/>
  <c r="AW68" i="39"/>
  <c r="AW50" i="39"/>
  <c r="AW54" i="39" s="1"/>
  <c r="AW53" i="39"/>
  <c r="AY123" i="39"/>
  <c r="AY117" i="39" s="1"/>
  <c r="AY116" i="39" s="1"/>
  <c r="AY114" i="39" s="1"/>
  <c r="AY115" i="39" s="1"/>
  <c r="AK82" i="39"/>
  <c r="BA123" i="39"/>
  <c r="BA117" i="39" s="1"/>
  <c r="BA116" i="39" s="1"/>
  <c r="BA114" i="39" s="1"/>
  <c r="BA115" i="39" s="1"/>
  <c r="AM82" i="39"/>
  <c r="S141" i="39"/>
  <c r="S96" i="39"/>
  <c r="BI96" i="39"/>
  <c r="BI141" i="39"/>
  <c r="AE30" i="39"/>
  <c r="AE29" i="39" s="1"/>
  <c r="AE25" i="39"/>
  <c r="I68" i="39"/>
  <c r="I50" i="39"/>
  <c r="I54" i="39" s="1"/>
  <c r="AK84" i="39"/>
  <c r="AK86" i="39"/>
  <c r="AG30" i="39"/>
  <c r="AG29" i="39" s="1"/>
  <c r="AG25" i="39"/>
  <c r="P32" i="39"/>
  <c r="Q42" i="39"/>
  <c r="Q31" i="39"/>
  <c r="K68" i="39"/>
  <c r="K50" i="39"/>
  <c r="AG59" i="39"/>
  <c r="AG60" i="39"/>
  <c r="G19" i="39"/>
  <c r="AU19" i="39"/>
  <c r="AE83" i="39"/>
  <c r="AE82" i="39"/>
  <c r="AQ19" i="39"/>
  <c r="O42" i="39"/>
  <c r="BC123" i="39"/>
  <c r="BC117" i="39" s="1"/>
  <c r="BC116" i="39" s="1"/>
  <c r="BC114" i="39" s="1"/>
  <c r="BC115" i="39" s="1"/>
  <c r="AO83" i="39"/>
  <c r="AO82" i="39"/>
  <c r="U141" i="39"/>
  <c r="U96" i="39"/>
  <c r="AW19" i="39"/>
  <c r="AQ117" i="39"/>
  <c r="AQ116" i="39" s="1"/>
  <c r="AQ114" i="39" s="1"/>
  <c r="AQ115" i="39" s="1"/>
  <c r="T32" i="39"/>
  <c r="AU31" i="39"/>
  <c r="AT32" i="39"/>
  <c r="AU117" i="39"/>
  <c r="AU116" i="39" s="1"/>
  <c r="AU114" i="39" s="1"/>
  <c r="AU115" i="39" s="1"/>
  <c r="X31" i="39"/>
  <c r="X42" i="39"/>
  <c r="Y31" i="39"/>
  <c r="Y42" i="39"/>
  <c r="Y30" i="39"/>
  <c r="Y29" i="39" s="1"/>
  <c r="G59" i="39"/>
  <c r="G60" i="39"/>
  <c r="I108" i="39"/>
  <c r="I109" i="39" s="1"/>
  <c r="H8" i="39"/>
  <c r="I111" i="39"/>
  <c r="I112" i="39" s="1"/>
  <c r="S82" i="39"/>
  <c r="S83" i="39"/>
  <c r="J4" i="39"/>
  <c r="AY26" i="39"/>
  <c r="X30" i="39"/>
  <c r="X29" i="39" s="1"/>
  <c r="AK123" i="39"/>
  <c r="AK117" i="39" s="1"/>
  <c r="AK116" i="39" s="1"/>
  <c r="AK114" i="39" s="1"/>
  <c r="AK115" i="39" s="1"/>
  <c r="W82" i="39"/>
  <c r="W83" i="39"/>
  <c r="K53" i="39"/>
  <c r="AC141" i="39"/>
  <c r="AK25" i="39"/>
  <c r="S30" i="39"/>
  <c r="S29" i="39" s="1"/>
  <c r="S25" i="39"/>
  <c r="U31" i="39"/>
  <c r="G31" i="39"/>
  <c r="G42" i="39"/>
  <c r="F32" i="39"/>
  <c r="BA53" i="39"/>
  <c r="G141" i="39"/>
  <c r="G96" i="39"/>
  <c r="U42" i="39"/>
  <c r="Q111" i="39"/>
  <c r="Q112" i="39" s="1"/>
  <c r="P8" i="39"/>
  <c r="AR25" i="39"/>
  <c r="AS26" i="39"/>
  <c r="U30" i="39"/>
  <c r="U29" i="39" s="1"/>
  <c r="AW108" i="39"/>
  <c r="AW109" i="39" s="1"/>
  <c r="AV8" i="39"/>
  <c r="AW111" i="39"/>
  <c r="AW112" i="39" s="1"/>
  <c r="BA31" i="39"/>
  <c r="BA42" i="39"/>
  <c r="AZ32" i="39"/>
  <c r="K108" i="39"/>
  <c r="K109" i="39" s="1"/>
  <c r="K111" i="39"/>
  <c r="K112" i="39" s="1"/>
  <c r="U83" i="39"/>
  <c r="AC31" i="39"/>
  <c r="AB32" i="39"/>
  <c r="AC30" i="39"/>
  <c r="AC29" i="39" s="1"/>
  <c r="AC42" i="39"/>
  <c r="Q25" i="39"/>
  <c r="Q30" i="39"/>
  <c r="Q29" i="39" s="1"/>
  <c r="H2" i="39"/>
  <c r="H10" i="39" s="1"/>
  <c r="BI31" i="39"/>
  <c r="BH32" i="39"/>
  <c r="BI42" i="39"/>
  <c r="AG86" i="39"/>
  <c r="AG84" i="39"/>
  <c r="I141" i="39"/>
  <c r="I96" i="39"/>
  <c r="AW141" i="39"/>
  <c r="AW96" i="39"/>
  <c r="AW26" i="39"/>
  <c r="AI82" i="39"/>
  <c r="AI19" i="39"/>
  <c r="BI30" i="39"/>
  <c r="BI29" i="39" s="1"/>
  <c r="BI25" i="39"/>
  <c r="AS42" i="39"/>
  <c r="U59" i="39"/>
  <c r="U60" i="39"/>
  <c r="K84" i="39"/>
  <c r="K86" i="39"/>
  <c r="BA80" i="39"/>
  <c r="Q96" i="39"/>
  <c r="Q141" i="39"/>
  <c r="I53" i="39"/>
  <c r="I30" i="39"/>
  <c r="I29" i="39" s="1"/>
  <c r="I25" i="39"/>
  <c r="BE82" i="39"/>
  <c r="BE83" i="39"/>
  <c r="AW117" i="39"/>
  <c r="AW116" i="39" s="1"/>
  <c r="AW114" i="39" s="1"/>
  <c r="AW115" i="39" s="1"/>
  <c r="AQ42" i="39"/>
  <c r="AA82" i="39"/>
  <c r="AA83" i="39"/>
  <c r="AC108" i="39"/>
  <c r="AC109" i="39" s="1"/>
  <c r="AC56" i="39"/>
  <c r="AC53" i="39" s="1"/>
  <c r="AY82" i="39"/>
  <c r="AB8" i="39"/>
  <c r="AE56" i="39"/>
  <c r="AE108" i="39"/>
  <c r="AE109" i="39" s="1"/>
  <c r="M87" i="39"/>
  <c r="M89" i="39"/>
  <c r="AM96" i="39"/>
  <c r="AM141" i="39"/>
  <c r="AD8" i="39"/>
  <c r="AQ56" i="39"/>
  <c r="BD30" i="39"/>
  <c r="BD29" i="39" s="1"/>
  <c r="BD25" i="39"/>
  <c r="AJ32" i="39"/>
  <c r="AM30" i="39"/>
  <c r="AM29" i="39" s="1"/>
  <c r="BI83" i="39"/>
  <c r="BI117" i="39"/>
  <c r="BI116" i="39" s="1"/>
  <c r="BI114" i="39" s="1"/>
  <c r="BI115" i="39" s="1"/>
  <c r="AS117" i="39"/>
  <c r="AS116" i="39" s="1"/>
  <c r="AS114" i="39" s="1"/>
  <c r="AS115" i="39" s="1"/>
  <c r="AH32" i="39"/>
  <c r="AH30" i="39" s="1"/>
  <c r="AH29" i="39" s="1"/>
  <c r="BE42" i="39"/>
  <c r="BE59" i="39"/>
  <c r="BS56" i="13"/>
  <c r="BR8" i="13"/>
  <c r="BR72" i="13"/>
  <c r="BR9" i="13"/>
  <c r="BS10" i="13"/>
  <c r="BS20" i="13"/>
  <c r="BS59" i="13"/>
  <c r="BJ42" i="13"/>
  <c r="BK60" i="13"/>
  <c r="BJ63" i="13" s="1"/>
  <c r="BM96" i="13"/>
  <c r="BR20" i="14"/>
  <c r="BS10" i="14"/>
  <c r="BM83" i="14"/>
  <c r="BM84" i="14" s="1"/>
  <c r="BM82" i="14"/>
  <c r="BM141" i="14"/>
  <c r="BG60" i="14"/>
  <c r="BG56" i="14" s="1"/>
  <c r="BO59" i="14"/>
  <c r="BM59" i="14"/>
  <c r="BM78" i="14"/>
  <c r="M60" i="38"/>
  <c r="M108" i="38" s="1"/>
  <c r="M109" i="38" s="1"/>
  <c r="Y30" i="38"/>
  <c r="Y29" i="38" s="1"/>
  <c r="BF24" i="38"/>
  <c r="BF23" i="38" s="1"/>
  <c r="AP8" i="38"/>
  <c r="Q31" i="38"/>
  <c r="U96" i="38"/>
  <c r="AA96" i="38"/>
  <c r="AU30" i="38"/>
  <c r="AU29" i="38" s="1"/>
  <c r="I30" i="38"/>
  <c r="I29" i="38" s="1"/>
  <c r="Y31" i="38"/>
  <c r="AW59" i="38"/>
  <c r="U82" i="38"/>
  <c r="BG60" i="38"/>
  <c r="AC96" i="38"/>
  <c r="BB30" i="38"/>
  <c r="BB29" i="38" s="1"/>
  <c r="BE42" i="38"/>
  <c r="AQ30" i="38"/>
  <c r="AQ29" i="38" s="1"/>
  <c r="AQ25" i="38"/>
  <c r="I59" i="38"/>
  <c r="O31" i="38"/>
  <c r="S59" i="38"/>
  <c r="AG31" i="38"/>
  <c r="G60" i="38"/>
  <c r="G108" i="38" s="1"/>
  <c r="G109" i="38" s="1"/>
  <c r="S83" i="38"/>
  <c r="S86" i="38" s="1"/>
  <c r="S89" i="38" s="1"/>
  <c r="BF42" i="38"/>
  <c r="W96" i="38"/>
  <c r="Y96" i="38"/>
  <c r="AM30" i="38"/>
  <c r="AM29" i="38" s="1"/>
  <c r="AO30" i="38"/>
  <c r="AO29" i="38" s="1"/>
  <c r="AE96" i="38"/>
  <c r="G31" i="38"/>
  <c r="M30" i="38"/>
  <c r="M29" i="38" s="1"/>
  <c r="AL8" i="38"/>
  <c r="AS31" i="38"/>
  <c r="K60" i="38"/>
  <c r="K111" i="38" s="1"/>
  <c r="K112" i="38" s="1"/>
  <c r="I96" i="38"/>
  <c r="DB117" i="3"/>
  <c r="DB116" i="3" s="1"/>
  <c r="DB114" i="3" s="1"/>
  <c r="DB115" i="3" s="1"/>
  <c r="DB71" i="3" s="1"/>
  <c r="DK59" i="3"/>
  <c r="CX30" i="3"/>
  <c r="CX29" i="3" s="1"/>
  <c r="CX31" i="3"/>
  <c r="DP117" i="3"/>
  <c r="DP116" i="3" s="1"/>
  <c r="DP114" i="3" s="1"/>
  <c r="DP115" i="3" s="1"/>
  <c r="DT59" i="3"/>
  <c r="DK117" i="3"/>
  <c r="DK116" i="3" s="1"/>
  <c r="DK114" i="3" s="1"/>
  <c r="DK115" i="3" s="1"/>
  <c r="DK71" i="3" s="1"/>
  <c r="DB10" i="3"/>
  <c r="DB77" i="3" s="1"/>
  <c r="DB76" i="3" s="1"/>
  <c r="DA16" i="3"/>
  <c r="DA20" i="3" s="1"/>
  <c r="DA24" i="3" s="1"/>
  <c r="DA23" i="3" s="1"/>
  <c r="DP10" i="3"/>
  <c r="DP74" i="3" s="1"/>
  <c r="DE16" i="3"/>
  <c r="DE20" i="3" s="1"/>
  <c r="DE24" i="3" s="1"/>
  <c r="DE23" i="3" s="1"/>
  <c r="DF10" i="3"/>
  <c r="DF16" i="3" s="1"/>
  <c r="DF20" i="3" s="1"/>
  <c r="DD81" i="3"/>
  <c r="DA42" i="3"/>
  <c r="DR140" i="3"/>
  <c r="DI117" i="3"/>
  <c r="DI116" i="3" s="1"/>
  <c r="DI114" i="3" s="1"/>
  <c r="DI115" i="3" s="1"/>
  <c r="DI71" i="3" s="1"/>
  <c r="DD60" i="3"/>
  <c r="DD68" i="3" s="1"/>
  <c r="DR60" i="3"/>
  <c r="CY117" i="3"/>
  <c r="CY116" i="3" s="1"/>
  <c r="CY114" i="3" s="1"/>
  <c r="CY115" i="3" s="1"/>
  <c r="CY72" i="3" s="1"/>
  <c r="CY71" i="3" s="1"/>
  <c r="DI60" i="3"/>
  <c r="DI108" i="3" s="1"/>
  <c r="DI109" i="3" s="1"/>
  <c r="DH16" i="3"/>
  <c r="DH20" i="3" s="1"/>
  <c r="DH24" i="3" s="1"/>
  <c r="DH23" i="3" s="1"/>
  <c r="DM60" i="3"/>
  <c r="DM111" i="3" s="1"/>
  <c r="DM112" i="3" s="1"/>
  <c r="CW60" i="3"/>
  <c r="CV62" i="3" s="1"/>
  <c r="DK69" i="3"/>
  <c r="CU26" i="3"/>
  <c r="DM69" i="3"/>
  <c r="DB60" i="3"/>
  <c r="DB108" i="3" s="1"/>
  <c r="DB109" i="3" s="1"/>
  <c r="DP60" i="3"/>
  <c r="DP56" i="3" s="1"/>
  <c r="DF60" i="3"/>
  <c r="DE8" i="3" s="1"/>
  <c r="DT60" i="3"/>
  <c r="DT56" i="3" s="1"/>
  <c r="CW117" i="3"/>
  <c r="CW116" i="3" s="1"/>
  <c r="CW114" i="3" s="1"/>
  <c r="CW115" i="3" s="1"/>
  <c r="CW71" i="3" s="1"/>
  <c r="CV42" i="3"/>
  <c r="DD69" i="3"/>
  <c r="DD26" i="3"/>
  <c r="DF19" i="3"/>
  <c r="BS10" i="15"/>
  <c r="BS20" i="15"/>
  <c r="BS24" i="15" s="1"/>
  <c r="BS23" i="15" s="1"/>
  <c r="BR42" i="15"/>
  <c r="BR63" i="15"/>
  <c r="BS96" i="15"/>
  <c r="BM83" i="15"/>
  <c r="BM86" i="15" s="1"/>
  <c r="DH10" i="36"/>
  <c r="DG16" i="36"/>
  <c r="DH25" i="36"/>
  <c r="BJ24" i="36"/>
  <c r="BJ23" i="36" s="1"/>
  <c r="BK10" i="36"/>
  <c r="BG117" i="36"/>
  <c r="BG116" i="36" s="1"/>
  <c r="BG114" i="36" s="1"/>
  <c r="BG115" i="36" s="1"/>
  <c r="DD96" i="36"/>
  <c r="DE42" i="36"/>
  <c r="BG60" i="36"/>
  <c r="BG56" i="36" s="1"/>
  <c r="DC42" i="36"/>
  <c r="BF31" i="36"/>
  <c r="DF56" i="36"/>
  <c r="DF50" i="36" s="1"/>
  <c r="BB16" i="33"/>
  <c r="BB20" i="33" s="1"/>
  <c r="BB24" i="33" s="1"/>
  <c r="BB23" i="33" s="1"/>
  <c r="BC10" i="33"/>
  <c r="BC74" i="33" s="1"/>
  <c r="DF117" i="36"/>
  <c r="DF116" i="36" s="1"/>
  <c r="DF114" i="36" s="1"/>
  <c r="DF115" i="36" s="1"/>
  <c r="CU117" i="3"/>
  <c r="CU116" i="3" s="1"/>
  <c r="CU114" i="3" s="1"/>
  <c r="CU115" i="3" s="1"/>
  <c r="CU71" i="3" s="1"/>
  <c r="CS117" i="3"/>
  <c r="CS116" i="3" s="1"/>
  <c r="CS114" i="3" s="1"/>
  <c r="CS115" i="3" s="1"/>
  <c r="CS71" i="3" s="1"/>
  <c r="DF117" i="3"/>
  <c r="DF116" i="3" s="1"/>
  <c r="DF114" i="3" s="1"/>
  <c r="DF115" i="3" s="1"/>
  <c r="DF71" i="3" s="1"/>
  <c r="DD117" i="3"/>
  <c r="DD116" i="3" s="1"/>
  <c r="DD114" i="3" s="1"/>
  <c r="DD115" i="3" s="1"/>
  <c r="DM117" i="3"/>
  <c r="DM116" i="3" s="1"/>
  <c r="DM114" i="3" s="1"/>
  <c r="DM115" i="3" s="1"/>
  <c r="DM71" i="3" s="1"/>
  <c r="DT117" i="3"/>
  <c r="DT116" i="3" s="1"/>
  <c r="DT114" i="3" s="1"/>
  <c r="DT115" i="3" s="1"/>
  <c r="DR117" i="3"/>
  <c r="DR116" i="3" s="1"/>
  <c r="DR114" i="3" s="1"/>
  <c r="DR115" i="3" s="1"/>
  <c r="BE117" i="38"/>
  <c r="BE116" i="38" s="1"/>
  <c r="BE114" i="38" s="1"/>
  <c r="BE115" i="38" s="1"/>
  <c r="BG117" i="38"/>
  <c r="BG116" i="38" s="1"/>
  <c r="BG114" i="38" s="1"/>
  <c r="BG115" i="38" s="1"/>
  <c r="BQ117" i="14"/>
  <c r="BQ116" i="14" s="1"/>
  <c r="BQ114" i="14" s="1"/>
  <c r="BQ115" i="14" s="1"/>
  <c r="BE117" i="35"/>
  <c r="BE116" i="35" s="1"/>
  <c r="BE114" i="35" s="1"/>
  <c r="BE115" i="35" s="1"/>
  <c r="BA79" i="35"/>
  <c r="BA123" i="35" s="1"/>
  <c r="BA117" i="35" s="1"/>
  <c r="BA116" i="35" s="1"/>
  <c r="BA114" i="35" s="1"/>
  <c r="BA115" i="35" s="1"/>
  <c r="BM117" i="13"/>
  <c r="BM116" i="13" s="1"/>
  <c r="BM114" i="13" s="1"/>
  <c r="BM115" i="13" s="1"/>
  <c r="AY71" i="33"/>
  <c r="CU96" i="3"/>
  <c r="DF136" i="3"/>
  <c r="DD140" i="3"/>
  <c r="CW136" i="3"/>
  <c r="DR96" i="3"/>
  <c r="CS137" i="3"/>
  <c r="CU137" i="3" s="1"/>
  <c r="CW137" i="3" s="1"/>
  <c r="BD62" i="35"/>
  <c r="BE56" i="35"/>
  <c r="BD8" i="35"/>
  <c r="BD16" i="35"/>
  <c r="BD20" i="35" s="1"/>
  <c r="BD24" i="35" s="1"/>
  <c r="BD23" i="35" s="1"/>
  <c r="BE10" i="35"/>
  <c r="BE76" i="35" s="1"/>
  <c r="BE30" i="35"/>
  <c r="BE29" i="35" s="1"/>
  <c r="BE59" i="35"/>
  <c r="BE96" i="35"/>
  <c r="BF8" i="34"/>
  <c r="BF62" i="34"/>
  <c r="BG56" i="34"/>
  <c r="BF42" i="34"/>
  <c r="BF30" i="34"/>
  <c r="BF29" i="34" s="1"/>
  <c r="BF31" i="34"/>
  <c r="BG30" i="34"/>
  <c r="BG29" i="34" s="1"/>
  <c r="BG31" i="34"/>
  <c r="BG59" i="34"/>
  <c r="DE16" i="36"/>
  <c r="DF10" i="36"/>
  <c r="BQ10" i="15"/>
  <c r="BP20" i="15"/>
  <c r="BP24" i="15" s="1"/>
  <c r="BP23" i="15" s="1"/>
  <c r="BP42" i="15"/>
  <c r="BQ25" i="15"/>
  <c r="BN30" i="15"/>
  <c r="BN29" i="15" s="1"/>
  <c r="BL30" i="15"/>
  <c r="BL29" i="15" s="1"/>
  <c r="BN42" i="15"/>
  <c r="BL42" i="15"/>
  <c r="BH30" i="15"/>
  <c r="BH29" i="15" s="1"/>
  <c r="DT10" i="3"/>
  <c r="DT16" i="3" s="1"/>
  <c r="DT20" i="3" s="1"/>
  <c r="DT24" i="3" s="1"/>
  <c r="DT23" i="3" s="1"/>
  <c r="DT96" i="3"/>
  <c r="DT140" i="3"/>
  <c r="DR76" i="3"/>
  <c r="DR129" i="3"/>
  <c r="DR130" i="3" s="1"/>
  <c r="DR69" i="3"/>
  <c r="DR132" i="3"/>
  <c r="DR133" i="3" s="1"/>
  <c r="DP59" i="3"/>
  <c r="DR59" i="3"/>
  <c r="BG42" i="38"/>
  <c r="BF30" i="38"/>
  <c r="BF29" i="38" s="1"/>
  <c r="BG10" i="38"/>
  <c r="BG59" i="38"/>
  <c r="U84" i="38"/>
  <c r="U86" i="38"/>
  <c r="U89" i="38" s="1"/>
  <c r="U93" i="38" s="1"/>
  <c r="AT31" i="38"/>
  <c r="AT42" i="38"/>
  <c r="BE10" i="38"/>
  <c r="BD16" i="38"/>
  <c r="BD20" i="38" s="1"/>
  <c r="BD24" i="38" s="1"/>
  <c r="BD23" i="38" s="1"/>
  <c r="BA60" i="38"/>
  <c r="BA108" i="38" s="1"/>
  <c r="BA109" i="38" s="1"/>
  <c r="O60" i="38"/>
  <c r="O108" i="38" s="1"/>
  <c r="O109" i="38" s="1"/>
  <c r="BC117" i="38"/>
  <c r="BC116" i="38" s="1"/>
  <c r="BC114" i="38" s="1"/>
  <c r="BC115" i="38" s="1"/>
  <c r="BC71" i="38" s="1"/>
  <c r="M42" i="38"/>
  <c r="AA83" i="38"/>
  <c r="AA84" i="38" s="1"/>
  <c r="AI31" i="38"/>
  <c r="Q42" i="38"/>
  <c r="AQ83" i="38"/>
  <c r="AQ86" i="38" s="1"/>
  <c r="AQ89" i="38" s="1"/>
  <c r="AM31" i="38"/>
  <c r="U42" i="38"/>
  <c r="BE60" i="38"/>
  <c r="Y42" i="38"/>
  <c r="AF32" i="38"/>
  <c r="AF31" i="38" s="1"/>
  <c r="AU42" i="38"/>
  <c r="AH32" i="38"/>
  <c r="AH42" i="38" s="1"/>
  <c r="S96" i="38"/>
  <c r="L32" i="38"/>
  <c r="L31" i="38" s="1"/>
  <c r="AZ25" i="38"/>
  <c r="AK96" i="38"/>
  <c r="AM96" i="38"/>
  <c r="T32" i="38"/>
  <c r="T42" i="38" s="1"/>
  <c r="BP20" i="14"/>
  <c r="BQ10" i="14"/>
  <c r="BQ96" i="14"/>
  <c r="BB62" i="35"/>
  <c r="BC56" i="35"/>
  <c r="BB8" i="35"/>
  <c r="BB16" i="35"/>
  <c r="BB20" i="35" s="1"/>
  <c r="BB24" i="35" s="1"/>
  <c r="BB23" i="35" s="1"/>
  <c r="BC10" i="35"/>
  <c r="BC76" i="35" s="1"/>
  <c r="BC59" i="35"/>
  <c r="BA111" i="35"/>
  <c r="BA112" i="35" s="1"/>
  <c r="AZ62" i="35"/>
  <c r="BA56" i="35"/>
  <c r="AZ8" i="35"/>
  <c r="BA83" i="35"/>
  <c r="BA82" i="35"/>
  <c r="AZ16" i="35"/>
  <c r="AZ20" i="35" s="1"/>
  <c r="AZ24" i="35" s="1"/>
  <c r="AZ23" i="35" s="1"/>
  <c r="BA10" i="35"/>
  <c r="BA16" i="35" s="1"/>
  <c r="BA20" i="35" s="1"/>
  <c r="BA24" i="35" s="1"/>
  <c r="BA23" i="35" s="1"/>
  <c r="BA59" i="35"/>
  <c r="BE25" i="34"/>
  <c r="BE30" i="34"/>
  <c r="BE29" i="34" s="1"/>
  <c r="BD30" i="34"/>
  <c r="BD29" i="34" s="1"/>
  <c r="BE123" i="34"/>
  <c r="BE117" i="34" s="1"/>
  <c r="BE116" i="34" s="1"/>
  <c r="BE114" i="34" s="1"/>
  <c r="BE115" i="34" s="1"/>
  <c r="BD25" i="34"/>
  <c r="AY31" i="34"/>
  <c r="BO10" i="15"/>
  <c r="BN20" i="15"/>
  <c r="BN24" i="15" s="1"/>
  <c r="BN23" i="15" s="1"/>
  <c r="BO25" i="15"/>
  <c r="DK76" i="3"/>
  <c r="DK129" i="3"/>
  <c r="DK130" i="3" s="1"/>
  <c r="DK75" i="3"/>
  <c r="DK132" i="3"/>
  <c r="DK133" i="3" s="1"/>
  <c r="DM129" i="3"/>
  <c r="DM130" i="3" s="1"/>
  <c r="DM75" i="3"/>
  <c r="DM76" i="3"/>
  <c r="DM132" i="3"/>
  <c r="DM133" i="3" s="1"/>
  <c r="DM16" i="3"/>
  <c r="DM20" i="3" s="1"/>
  <c r="DI68" i="3"/>
  <c r="DI76" i="3"/>
  <c r="DI129" i="3"/>
  <c r="DI130" i="3" s="1"/>
  <c r="DI75" i="3"/>
  <c r="DI132" i="3"/>
  <c r="DI133" i="3" s="1"/>
  <c r="DI141" i="3" s="1"/>
  <c r="DI69" i="3"/>
  <c r="DI25" i="3"/>
  <c r="DH25" i="3" s="1"/>
  <c r="DI16" i="3"/>
  <c r="DI20" i="3" s="1"/>
  <c r="DI24" i="3" s="1"/>
  <c r="DI23" i="3" s="1"/>
  <c r="DI80" i="3"/>
  <c r="DJ16" i="3"/>
  <c r="DI59" i="3"/>
  <c r="DK80" i="3"/>
  <c r="DK16" i="3"/>
  <c r="DM80" i="3"/>
  <c r="DL16" i="3"/>
  <c r="DM59" i="3"/>
  <c r="DM136" i="3"/>
  <c r="DK140" i="3"/>
  <c r="BD30" i="38"/>
  <c r="BD29" i="38" s="1"/>
  <c r="BE59" i="38"/>
  <c r="BO123" i="14"/>
  <c r="BO117" i="14" s="1"/>
  <c r="BO116" i="14" s="1"/>
  <c r="BO114" i="14" s="1"/>
  <c r="BO115" i="14" s="1"/>
  <c r="BO96" i="14"/>
  <c r="BO10" i="14"/>
  <c r="BA82" i="33"/>
  <c r="DD82" i="3"/>
  <c r="BL62" i="14"/>
  <c r="BM42" i="14"/>
  <c r="BM123" i="14"/>
  <c r="BM117" i="14" s="1"/>
  <c r="BM116" i="14" s="1"/>
  <c r="BM114" i="14" s="1"/>
  <c r="BM115" i="14" s="1"/>
  <c r="BL8" i="14"/>
  <c r="BM108" i="14"/>
  <c r="BM109" i="14" s="1"/>
  <c r="BM111" i="14"/>
  <c r="BM112" i="14" s="1"/>
  <c r="BM10" i="14"/>
  <c r="BM20" i="14" s="1"/>
  <c r="BG80" i="14"/>
  <c r="BG83" i="14" s="1"/>
  <c r="BG86" i="14" s="1"/>
  <c r="BB16" i="38"/>
  <c r="BB20" i="38" s="1"/>
  <c r="BB24" i="38" s="1"/>
  <c r="BB23" i="38" s="1"/>
  <c r="BC10" i="38"/>
  <c r="BC80" i="38"/>
  <c r="BC42" i="38"/>
  <c r="BC68" i="38"/>
  <c r="AL42" i="38"/>
  <c r="AL31" i="38"/>
  <c r="AL30" i="38"/>
  <c r="AL29" i="38" s="1"/>
  <c r="I111" i="38"/>
  <c r="I112" i="38" s="1"/>
  <c r="I56" i="38"/>
  <c r="I50" i="38" s="1"/>
  <c r="Q108" i="38"/>
  <c r="Q109" i="38" s="1"/>
  <c r="Q56" i="38"/>
  <c r="Q50" i="38" s="1"/>
  <c r="Q111" i="38"/>
  <c r="Q112" i="38" s="1"/>
  <c r="BA30" i="38"/>
  <c r="BA29" i="38" s="1"/>
  <c r="BA25" i="38"/>
  <c r="AW56" i="38"/>
  <c r="AW50" i="38" s="1"/>
  <c r="AW54" i="38" s="1"/>
  <c r="AW41" i="38" s="1"/>
  <c r="AW108" i="38"/>
  <c r="AW109" i="38" s="1"/>
  <c r="R42" i="38"/>
  <c r="R31" i="38"/>
  <c r="R30" i="38"/>
  <c r="R29" i="38" s="1"/>
  <c r="X31" i="38"/>
  <c r="X30" i="38"/>
  <c r="X29" i="38" s="1"/>
  <c r="X42" i="38"/>
  <c r="AP32" i="38"/>
  <c r="AU60" i="38"/>
  <c r="AU108" i="38" s="1"/>
  <c r="AU109" i="38" s="1"/>
  <c r="W82" i="38"/>
  <c r="AU117" i="38"/>
  <c r="AU116" i="38" s="1"/>
  <c r="AU114" i="38" s="1"/>
  <c r="AU115" i="38" s="1"/>
  <c r="AA42" i="38"/>
  <c r="P30" i="38"/>
  <c r="P29" i="38" s="1"/>
  <c r="AR32" i="38"/>
  <c r="AR30" i="38" s="1"/>
  <c r="AR29" i="38" s="1"/>
  <c r="AC82" i="38"/>
  <c r="AY60" i="38"/>
  <c r="AY56" i="38" s="1"/>
  <c r="P31" i="38"/>
  <c r="S30" i="38"/>
  <c r="S29" i="38" s="1"/>
  <c r="O83" i="38"/>
  <c r="O84" i="38" s="1"/>
  <c r="AY82" i="38"/>
  <c r="H2" i="38"/>
  <c r="H10" i="38" s="1"/>
  <c r="H16" i="38" s="1"/>
  <c r="H20" i="38" s="1"/>
  <c r="H24" i="38" s="1"/>
  <c r="H23" i="38" s="1"/>
  <c r="F32" i="38"/>
  <c r="Z32" i="38"/>
  <c r="AO42" i="38"/>
  <c r="Q59" i="38"/>
  <c r="Q83" i="38"/>
  <c r="U30" i="38"/>
  <c r="U29" i="38" s="1"/>
  <c r="S31" i="38"/>
  <c r="AQ42" i="38"/>
  <c r="W30" i="38"/>
  <c r="W29" i="38" s="1"/>
  <c r="Y59" i="38"/>
  <c r="AY117" i="38"/>
  <c r="AY116" i="38" s="1"/>
  <c r="AY114" i="38" s="1"/>
  <c r="AY115" i="38" s="1"/>
  <c r="AI96" i="38"/>
  <c r="AW141" i="38"/>
  <c r="AM117" i="38"/>
  <c r="AM116" i="38" s="1"/>
  <c r="AM114" i="38" s="1"/>
  <c r="AM115" i="38" s="1"/>
  <c r="AM111" i="38"/>
  <c r="AM112" i="38" s="1"/>
  <c r="K30" i="38"/>
  <c r="K29" i="38" s="1"/>
  <c r="AW117" i="38"/>
  <c r="AW116" i="38" s="1"/>
  <c r="AW114" i="38" s="1"/>
  <c r="AW115" i="38" s="1"/>
  <c r="BA117" i="38"/>
  <c r="BA116" i="38" s="1"/>
  <c r="BA114" i="38" s="1"/>
  <c r="BA115" i="38" s="1"/>
  <c r="BA71" i="38" s="1"/>
  <c r="AK31" i="38"/>
  <c r="W42" i="38"/>
  <c r="DD83" i="3"/>
  <c r="DD84" i="3" s="1"/>
  <c r="DD71" i="3"/>
  <c r="DB25" i="3"/>
  <c r="DB42" i="3"/>
  <c r="DD77" i="3"/>
  <c r="DD76" i="3" s="1"/>
  <c r="DD129" i="3"/>
  <c r="DD130" i="3" s="1"/>
  <c r="DD75" i="3"/>
  <c r="DD132" i="3"/>
  <c r="DD133" i="3" s="1"/>
  <c r="DC8" i="3"/>
  <c r="DD111" i="3"/>
  <c r="DD112" i="3" s="1"/>
  <c r="DF26" i="3"/>
  <c r="DB80" i="3"/>
  <c r="DC16" i="3"/>
  <c r="DC20" i="3" s="1"/>
  <c r="DC24" i="3" s="1"/>
  <c r="DC23" i="3" s="1"/>
  <c r="DB59" i="3"/>
  <c r="DD16" i="3"/>
  <c r="DD20" i="3" s="1"/>
  <c r="DD59" i="3"/>
  <c r="DF80" i="3"/>
  <c r="DF59" i="3"/>
  <c r="DA25" i="3"/>
  <c r="DE42" i="3"/>
  <c r="BM10" i="15"/>
  <c r="BM81" i="15" s="1"/>
  <c r="BL24" i="15"/>
  <c r="BL23" i="15" s="1"/>
  <c r="BM24" i="15"/>
  <c r="BM23" i="15" s="1"/>
  <c r="BM82" i="15"/>
  <c r="BI63" i="15"/>
  <c r="BG30" i="15"/>
  <c r="BG29" i="15" s="1"/>
  <c r="BI30" i="15"/>
  <c r="BI29" i="15" s="1"/>
  <c r="BH31" i="15"/>
  <c r="BF31" i="15"/>
  <c r="BG63" i="15"/>
  <c r="BF72" i="15"/>
  <c r="BJ31" i="15"/>
  <c r="BG63" i="36"/>
  <c r="BI117" i="36"/>
  <c r="BI116" i="36" s="1"/>
  <c r="BI114" i="36" s="1"/>
  <c r="BI115" i="36" s="1"/>
  <c r="BI56" i="36"/>
  <c r="BI53" i="36" s="1"/>
  <c r="BH8" i="36"/>
  <c r="BI10" i="36"/>
  <c r="BI132" i="36" s="1"/>
  <c r="BI133" i="36" s="1"/>
  <c r="BI142" i="36" s="1"/>
  <c r="BI59" i="36"/>
  <c r="BA111" i="33"/>
  <c r="BA112" i="33" s="1"/>
  <c r="BA108" i="33"/>
  <c r="BA109" i="33" s="1"/>
  <c r="BA56" i="33"/>
  <c r="AZ8" i="33"/>
  <c r="BA86" i="33"/>
  <c r="BA84" i="33"/>
  <c r="AZ16" i="33"/>
  <c r="AZ20" i="33" s="1"/>
  <c r="AZ24" i="33" s="1"/>
  <c r="AZ23" i="33" s="1"/>
  <c r="BA10" i="33"/>
  <c r="BA16" i="33" s="1"/>
  <c r="BA20" i="33" s="1"/>
  <c r="BA24" i="33" s="1"/>
  <c r="BA23" i="33" s="1"/>
  <c r="AZ30" i="33"/>
  <c r="AZ29" i="33" s="1"/>
  <c r="BA30" i="33"/>
  <c r="BA29" i="33" s="1"/>
  <c r="AZ31" i="33"/>
  <c r="BA119" i="33"/>
  <c r="BA59" i="33"/>
  <c r="BA121" i="33"/>
  <c r="BA123" i="33"/>
  <c r="BA96" i="33"/>
  <c r="BC86" i="34"/>
  <c r="BC84" i="34"/>
  <c r="BC25" i="34"/>
  <c r="BC30" i="34"/>
  <c r="BC29" i="34" s="1"/>
  <c r="BC82" i="34"/>
  <c r="BB32" i="34"/>
  <c r="BC96" i="34"/>
  <c r="AW53" i="34"/>
  <c r="AY117" i="34"/>
  <c r="AY116" i="34" s="1"/>
  <c r="AY114" i="34" s="1"/>
  <c r="AY115" i="34" s="1"/>
  <c r="AW79" i="35"/>
  <c r="AW123" i="35" s="1"/>
  <c r="AW117" i="35" s="1"/>
  <c r="AW116" i="35" s="1"/>
  <c r="AW114" i="35" s="1"/>
  <c r="AW115" i="35" s="1"/>
  <c r="AZ32" i="34"/>
  <c r="AZ42" i="34" s="1"/>
  <c r="AW117" i="34"/>
  <c r="AW116" i="34" s="1"/>
  <c r="AW114" i="34" s="1"/>
  <c r="AW115" i="34" s="1"/>
  <c r="AW82" i="34"/>
  <c r="BA60" i="34"/>
  <c r="AZ62" i="34" s="1"/>
  <c r="DD83" i="36"/>
  <c r="DD82" i="36"/>
  <c r="DC16" i="36"/>
  <c r="DD10" i="36"/>
  <c r="DD16" i="36" s="1"/>
  <c r="DD78" i="36"/>
  <c r="DD149" i="36" s="1"/>
  <c r="DD152" i="36" s="1"/>
  <c r="BF16" i="36"/>
  <c r="BF20" i="36" s="1"/>
  <c r="BG10" i="36"/>
  <c r="BG69" i="36" s="1"/>
  <c r="BG96" i="36"/>
  <c r="DB63" i="36"/>
  <c r="DB96" i="36"/>
  <c r="DB117" i="36"/>
  <c r="DB116" i="36" s="1"/>
  <c r="DB114" i="36" s="1"/>
  <c r="DB115" i="36" s="1"/>
  <c r="AZ16" i="38"/>
  <c r="AZ20" i="38" s="1"/>
  <c r="AZ24" i="38" s="1"/>
  <c r="AZ23" i="38" s="1"/>
  <c r="BA10" i="38"/>
  <c r="BA80" i="38"/>
  <c r="AZ30" i="38"/>
  <c r="AZ29" i="38" s="1"/>
  <c r="AZ31" i="38"/>
  <c r="BA31" i="38"/>
  <c r="AZ42" i="38"/>
  <c r="BA42" i="38"/>
  <c r="AY86" i="38"/>
  <c r="AY84" i="38"/>
  <c r="AY71" i="38"/>
  <c r="AX16" i="38"/>
  <c r="AX20" i="38" s="1"/>
  <c r="AX24" i="38" s="1"/>
  <c r="AX23" i="38" s="1"/>
  <c r="AY10" i="38"/>
  <c r="AY16" i="38" s="1"/>
  <c r="AY20" i="38" s="1"/>
  <c r="AY24" i="38" s="1"/>
  <c r="AY23" i="38" s="1"/>
  <c r="AW87" i="38"/>
  <c r="AW89" i="38"/>
  <c r="G86" i="38"/>
  <c r="G84" i="38"/>
  <c r="AU86" i="38"/>
  <c r="AU84" i="38"/>
  <c r="M96" i="38"/>
  <c r="M141" i="38"/>
  <c r="AJ42" i="38"/>
  <c r="AJ31" i="38"/>
  <c r="AJ30" i="38"/>
  <c r="AJ29" i="38" s="1"/>
  <c r="W59" i="38"/>
  <c r="W60" i="38"/>
  <c r="Y111" i="38"/>
  <c r="Y112" i="38" s="1"/>
  <c r="Y56" i="38"/>
  <c r="Y53" i="38" s="1"/>
  <c r="X8" i="38"/>
  <c r="Y108" i="38"/>
  <c r="Y109" i="38" s="1"/>
  <c r="AA111" i="38"/>
  <c r="AA112" i="38" s="1"/>
  <c r="AA56" i="38"/>
  <c r="Z8" i="38"/>
  <c r="AA108" i="38"/>
  <c r="AA109" i="38" s="1"/>
  <c r="G10" i="38"/>
  <c r="G81" i="38" s="1"/>
  <c r="F16" i="38"/>
  <c r="F20" i="38" s="1"/>
  <c r="F24" i="38" s="1"/>
  <c r="F23" i="38" s="1"/>
  <c r="AS26" i="38"/>
  <c r="AR25" i="38"/>
  <c r="H31" i="38"/>
  <c r="H30" i="38"/>
  <c r="H29" i="38" s="1"/>
  <c r="H42" i="38"/>
  <c r="AB31" i="38"/>
  <c r="AB30" i="38"/>
  <c r="AB29" i="38" s="1"/>
  <c r="AB42" i="38"/>
  <c r="AC111" i="38"/>
  <c r="AC112" i="38" s="1"/>
  <c r="AC56" i="38"/>
  <c r="AC53" i="38" s="1"/>
  <c r="AC108" i="38"/>
  <c r="AC109" i="38" s="1"/>
  <c r="Y83" i="38"/>
  <c r="Y82" i="38"/>
  <c r="G25" i="38"/>
  <c r="G30" i="38"/>
  <c r="G29" i="38" s="1"/>
  <c r="AE111" i="38"/>
  <c r="AE112" i="38" s="1"/>
  <c r="AE56" i="38"/>
  <c r="AE53" i="38" s="1"/>
  <c r="AD8" i="38"/>
  <c r="AE108" i="38"/>
  <c r="AE109" i="38" s="1"/>
  <c r="AW30" i="38"/>
  <c r="AW29" i="38" s="1"/>
  <c r="AW25" i="38"/>
  <c r="AG111" i="38"/>
  <c r="AG112" i="38" s="1"/>
  <c r="AF8" i="38"/>
  <c r="AG108" i="38"/>
  <c r="AG109" i="38" s="1"/>
  <c r="AG56" i="38"/>
  <c r="AG53" i="38" s="1"/>
  <c r="AI108" i="38"/>
  <c r="AI109" i="38" s="1"/>
  <c r="AI111" i="38"/>
  <c r="AI112" i="38" s="1"/>
  <c r="AH8" i="38"/>
  <c r="AI56" i="38"/>
  <c r="AI53" i="38" s="1"/>
  <c r="AE87" i="38"/>
  <c r="AE89" i="38"/>
  <c r="AK111" i="38"/>
  <c r="AK112" i="38" s="1"/>
  <c r="AJ8" i="38"/>
  <c r="AK108" i="38"/>
  <c r="AK109" i="38" s="1"/>
  <c r="AK56" i="38"/>
  <c r="AG84" i="38"/>
  <c r="AG86" i="38"/>
  <c r="O25" i="38"/>
  <c r="O30" i="38"/>
  <c r="O29" i="38" s="1"/>
  <c r="AK117" i="38"/>
  <c r="AK116" i="38" s="1"/>
  <c r="AK114" i="38" s="1"/>
  <c r="AK115" i="38" s="1"/>
  <c r="AO108" i="38"/>
  <c r="AO109" i="38" s="1"/>
  <c r="AO56" i="38"/>
  <c r="AO111" i="38"/>
  <c r="AO112" i="38" s="1"/>
  <c r="AN8" i="38"/>
  <c r="AK84" i="38"/>
  <c r="AK86" i="38"/>
  <c r="AC87" i="38"/>
  <c r="AC89" i="38"/>
  <c r="AO117" i="38"/>
  <c r="AO116" i="38" s="1"/>
  <c r="AO114" i="38" s="1"/>
  <c r="AO115" i="38" s="1"/>
  <c r="AM82" i="38"/>
  <c r="AM83" i="38"/>
  <c r="AI86" i="38"/>
  <c r="J4" i="38"/>
  <c r="AA30" i="38"/>
  <c r="AA29" i="38" s="1"/>
  <c r="AC42" i="38"/>
  <c r="AA59" i="38"/>
  <c r="AT25" i="38"/>
  <c r="AE30" i="38"/>
  <c r="AE29" i="38" s="1"/>
  <c r="AD42" i="38"/>
  <c r="AC59" i="38"/>
  <c r="AU82" i="38"/>
  <c r="AS83" i="38"/>
  <c r="AQ111" i="38"/>
  <c r="AQ112" i="38" s="1"/>
  <c r="AM19" i="38"/>
  <c r="Y25" i="38"/>
  <c r="AU25" i="38"/>
  <c r="AD30" i="38"/>
  <c r="AD29" i="38" s="1"/>
  <c r="AW31" i="38"/>
  <c r="I42" i="38"/>
  <c r="AE42" i="38"/>
  <c r="AM56" i="38"/>
  <c r="AM53" i="38" s="1"/>
  <c r="AE59" i="38"/>
  <c r="AW82" i="38"/>
  <c r="AO96" i="38"/>
  <c r="I108" i="38"/>
  <c r="I109" i="38" s="1"/>
  <c r="H8" i="38"/>
  <c r="AV8" i="38"/>
  <c r="AV25" i="38"/>
  <c r="J42" i="38"/>
  <c r="AG59" i="38"/>
  <c r="AQ123" i="38"/>
  <c r="AQ117" i="38" s="1"/>
  <c r="AQ116" i="38" s="1"/>
  <c r="AQ114" i="38" s="1"/>
  <c r="AQ115" i="38" s="1"/>
  <c r="AO19" i="38"/>
  <c r="AI26" i="38"/>
  <c r="J30" i="38"/>
  <c r="J29" i="38" s="1"/>
  <c r="AC31" i="38"/>
  <c r="K42" i="38"/>
  <c r="AQ56" i="38"/>
  <c r="AI59" i="38"/>
  <c r="G82" i="38"/>
  <c r="AW84" i="38"/>
  <c r="AW111" i="38"/>
  <c r="AW112" i="38" s="1"/>
  <c r="AS123" i="38"/>
  <c r="AS117" i="38" s="1"/>
  <c r="AS116" i="38" s="1"/>
  <c r="AS114" i="38" s="1"/>
  <c r="AS115" i="38" s="1"/>
  <c r="AG141" i="38"/>
  <c r="W86" i="38"/>
  <c r="W84" i="38"/>
  <c r="U19" i="38"/>
  <c r="AD31" i="38"/>
  <c r="AK59" i="38"/>
  <c r="AC25" i="38"/>
  <c r="I31" i="38"/>
  <c r="AE31" i="38"/>
  <c r="AM59" i="38"/>
  <c r="M82" i="38"/>
  <c r="I83" i="38"/>
  <c r="G141" i="38"/>
  <c r="G96" i="38"/>
  <c r="AU141" i="38"/>
  <c r="AU96" i="38"/>
  <c r="P8" i="38"/>
  <c r="AK42" i="38"/>
  <c r="AO59" i="38"/>
  <c r="K83" i="38"/>
  <c r="AE25" i="38"/>
  <c r="AK30" i="38"/>
  <c r="AK29" i="38" s="1"/>
  <c r="K31" i="38"/>
  <c r="AM42" i="38"/>
  <c r="AQ59" i="38"/>
  <c r="M83" i="38"/>
  <c r="K25" i="38"/>
  <c r="Q30" i="38"/>
  <c r="Q29" i="38" s="1"/>
  <c r="S42" i="38"/>
  <c r="AE82" i="38"/>
  <c r="AC84" i="38"/>
  <c r="AG82" i="38"/>
  <c r="AE84" i="38"/>
  <c r="AT30" i="38"/>
  <c r="AT29" i="38" s="1"/>
  <c r="AO83" i="38"/>
  <c r="AO82" i="38"/>
  <c r="AI82" i="38"/>
  <c r="S111" i="38"/>
  <c r="S112" i="38" s="1"/>
  <c r="S56" i="38"/>
  <c r="AK82" i="38"/>
  <c r="S108" i="38"/>
  <c r="S109" i="38" s="1"/>
  <c r="AQ96" i="38"/>
  <c r="BM80" i="13"/>
  <c r="BM83" i="13" s="1"/>
  <c r="BM84" i="13" s="1"/>
  <c r="DA16" i="36"/>
  <c r="DA20" i="36" s="1"/>
  <c r="DB10" i="36"/>
  <c r="DB132" i="36" s="1"/>
  <c r="DB133" i="36" s="1"/>
  <c r="DB142" i="36" s="1"/>
  <c r="DA31" i="36"/>
  <c r="DB59" i="36"/>
  <c r="BO56" i="13"/>
  <c r="BO68" i="13" s="1"/>
  <c r="BQ96" i="13"/>
  <c r="BQ19" i="13"/>
  <c r="BP9" i="13"/>
  <c r="BQ10" i="13"/>
  <c r="BQ56" i="13"/>
  <c r="BQ53" i="13" s="1"/>
  <c r="BO10" i="13"/>
  <c r="BO96" i="13"/>
  <c r="BN31" i="13"/>
  <c r="BN42" i="13"/>
  <c r="BM56" i="13"/>
  <c r="BM111" i="13"/>
  <c r="BM112" i="13" s="1"/>
  <c r="BM108" i="13"/>
  <c r="BM109" i="13" s="1"/>
  <c r="BL8" i="13"/>
  <c r="BM10" i="13"/>
  <c r="BM20" i="13"/>
  <c r="BM59" i="13"/>
  <c r="BK59" i="13"/>
  <c r="AQ117" i="37"/>
  <c r="AQ116" i="37" s="1"/>
  <c r="AQ114" i="37" s="1"/>
  <c r="AQ115" i="37" s="1"/>
  <c r="AS117" i="37"/>
  <c r="AS116" i="37" s="1"/>
  <c r="AS114" i="37" s="1"/>
  <c r="AS115" i="37" s="1"/>
  <c r="AU117" i="37"/>
  <c r="AU116" i="37" s="1"/>
  <c r="AU114" i="37" s="1"/>
  <c r="AU115" i="37" s="1"/>
  <c r="AO117" i="37"/>
  <c r="AO116" i="37" s="1"/>
  <c r="AO114" i="37" s="1"/>
  <c r="AO115" i="37" s="1"/>
  <c r="AY117" i="37"/>
  <c r="AY116" i="37" s="1"/>
  <c r="AY114" i="37" s="1"/>
  <c r="AY115" i="37" s="1"/>
  <c r="AU79" i="35"/>
  <c r="AU123" i="35" s="1"/>
  <c r="AU117" i="35" s="1"/>
  <c r="AU116" i="35" s="1"/>
  <c r="AU114" i="35" s="1"/>
  <c r="AU115" i="35" s="1"/>
  <c r="AY79" i="35"/>
  <c r="AY123" i="35" s="1"/>
  <c r="AY117" i="35" s="1"/>
  <c r="AY116" i="35" s="1"/>
  <c r="AY114" i="35" s="1"/>
  <c r="AY115" i="35" s="1"/>
  <c r="CY60" i="3"/>
  <c r="CX62" i="3" s="1"/>
  <c r="CY80" i="3"/>
  <c r="CY83" i="3" s="1"/>
  <c r="CY84" i="3" s="1"/>
  <c r="CW83" i="3"/>
  <c r="CW84" i="3" s="1"/>
  <c r="CU81" i="3"/>
  <c r="CU83" i="3"/>
  <c r="CU86" i="3" s="1"/>
  <c r="CU87" i="3" s="1"/>
  <c r="CU82" i="3"/>
  <c r="CU59" i="3"/>
  <c r="CW59" i="3"/>
  <c r="CU60" i="3"/>
  <c r="CU108" i="3" s="1"/>
  <c r="CU109" i="3" s="1"/>
  <c r="CS60" i="3"/>
  <c r="CS10" i="3"/>
  <c r="CS81" i="3" s="1"/>
  <c r="CR16" i="3"/>
  <c r="CR20" i="3" s="1"/>
  <c r="CR24" i="3" s="1"/>
  <c r="CR23" i="3" s="1"/>
  <c r="CS83" i="3"/>
  <c r="CS82" i="3"/>
  <c r="CW10" i="3"/>
  <c r="CW81" i="3" s="1"/>
  <c r="CV16" i="3"/>
  <c r="CV20" i="3" s="1"/>
  <c r="CV24" i="3" s="1"/>
  <c r="CV23" i="3" s="1"/>
  <c r="CY10" i="3"/>
  <c r="CX16" i="3"/>
  <c r="CX20" i="3" s="1"/>
  <c r="CX24" i="3" s="1"/>
  <c r="CX23" i="3" s="1"/>
  <c r="CU129" i="3"/>
  <c r="CU130" i="3" s="1"/>
  <c r="CU69" i="3"/>
  <c r="CU77" i="3"/>
  <c r="CU76" i="3" s="1"/>
  <c r="CU75" i="3"/>
  <c r="CU132" i="3"/>
  <c r="CU133" i="3" s="1"/>
  <c r="CU141" i="3" s="1"/>
  <c r="CW42" i="3"/>
  <c r="CW25" i="3"/>
  <c r="CY31" i="3"/>
  <c r="CY42" i="3"/>
  <c r="CX25" i="3"/>
  <c r="CX42" i="3"/>
  <c r="CS59" i="3"/>
  <c r="CS26" i="3"/>
  <c r="CT16" i="3"/>
  <c r="CT20" i="3" s="1"/>
  <c r="CT24" i="3" s="1"/>
  <c r="CT23" i="3" s="1"/>
  <c r="CU16" i="3"/>
  <c r="CU20" i="3" s="1"/>
  <c r="CY26" i="3"/>
  <c r="CR42" i="3"/>
  <c r="AV42" i="37"/>
  <c r="AV31" i="37"/>
  <c r="AR42" i="37"/>
  <c r="AR31" i="37"/>
  <c r="F16" i="37"/>
  <c r="F20" i="37" s="1"/>
  <c r="F24" i="37" s="1"/>
  <c r="F23" i="37" s="1"/>
  <c r="G10" i="37"/>
  <c r="G81" i="37" s="1"/>
  <c r="AB42" i="37"/>
  <c r="AB31" i="37"/>
  <c r="AB30" i="37"/>
  <c r="AB29" i="37" s="1"/>
  <c r="R42" i="37"/>
  <c r="R41" i="37" s="1"/>
  <c r="R31" i="37"/>
  <c r="R30" i="37"/>
  <c r="R29" i="37" s="1"/>
  <c r="I10" i="37"/>
  <c r="H16" i="37"/>
  <c r="H20" i="37" s="1"/>
  <c r="H24" i="37" s="1"/>
  <c r="H23" i="37" s="1"/>
  <c r="AE111" i="37"/>
  <c r="AE112" i="37" s="1"/>
  <c r="AE108" i="37"/>
  <c r="AE109" i="37" s="1"/>
  <c r="AE56" i="37"/>
  <c r="AD8" i="37"/>
  <c r="AS25" i="37"/>
  <c r="AS30" i="37"/>
  <c r="AS29" i="37" s="1"/>
  <c r="AU25" i="37"/>
  <c r="AU30" i="37"/>
  <c r="AU29" i="37" s="1"/>
  <c r="AH41" i="37"/>
  <c r="I50" i="37"/>
  <c r="I68" i="37"/>
  <c r="I53" i="37"/>
  <c r="L30" i="37"/>
  <c r="L29" i="37" s="1"/>
  <c r="AR30" i="37"/>
  <c r="AR29" i="37" s="1"/>
  <c r="L31" i="37"/>
  <c r="AI54" i="37"/>
  <c r="M111" i="37"/>
  <c r="M112" i="37" s="1"/>
  <c r="M108" i="37"/>
  <c r="M109" i="37" s="1"/>
  <c r="M56" i="37"/>
  <c r="K87" i="37"/>
  <c r="Y111" i="37"/>
  <c r="Y112" i="37" s="1"/>
  <c r="AY42" i="37"/>
  <c r="AO111" i="37"/>
  <c r="AO112" i="37" s="1"/>
  <c r="AO108" i="37"/>
  <c r="AO109" i="37" s="1"/>
  <c r="AO25" i="37"/>
  <c r="K30" i="37"/>
  <c r="K29" i="37" s="1"/>
  <c r="AO56" i="37"/>
  <c r="AQ19" i="37"/>
  <c r="AQ25" i="37"/>
  <c r="M30" i="37"/>
  <c r="M29" i="37" s="1"/>
  <c r="AC30" i="37"/>
  <c r="AC29" i="37" s="1"/>
  <c r="AC31" i="37"/>
  <c r="AS31" i="37"/>
  <c r="P32" i="37"/>
  <c r="AI42" i="37"/>
  <c r="AI41" i="37" s="1"/>
  <c r="AZ42" i="37"/>
  <c r="AI50" i="37"/>
  <c r="AU111" i="37"/>
  <c r="AU112" i="37" s="1"/>
  <c r="AU108" i="37"/>
  <c r="AU109" i="37" s="1"/>
  <c r="AU56" i="37"/>
  <c r="AU53" i="37" s="1"/>
  <c r="I84" i="37"/>
  <c r="I86" i="37"/>
  <c r="AO84" i="37"/>
  <c r="AO86" i="37"/>
  <c r="AK111" i="37"/>
  <c r="AK112" i="37" s="1"/>
  <c r="AK108" i="37"/>
  <c r="AK109" i="37" s="1"/>
  <c r="F42" i="37"/>
  <c r="BA42" i="37"/>
  <c r="Q111" i="37"/>
  <c r="Q112" i="37" s="1"/>
  <c r="Q108" i="37"/>
  <c r="Q109" i="37" s="1"/>
  <c r="Q56" i="37"/>
  <c r="AW111" i="37"/>
  <c r="AW112" i="37" s="1"/>
  <c r="AW108" i="37"/>
  <c r="AW109" i="37" s="1"/>
  <c r="AW56" i="37"/>
  <c r="AW53" i="37" s="1"/>
  <c r="K93" i="37"/>
  <c r="K90" i="37"/>
  <c r="AQ93" i="37"/>
  <c r="AQ90" i="37"/>
  <c r="AQ87" i="37"/>
  <c r="O30" i="37"/>
  <c r="O29" i="37" s="1"/>
  <c r="AE30" i="37"/>
  <c r="AE29" i="37" s="1"/>
  <c r="AL32" i="37"/>
  <c r="AF42" i="37"/>
  <c r="AG53" i="37"/>
  <c r="I59" i="37"/>
  <c r="S111" i="37"/>
  <c r="S112" i="37" s="1"/>
  <c r="S108" i="37"/>
  <c r="S109" i="37" s="1"/>
  <c r="AY111" i="37"/>
  <c r="AY112" i="37" s="1"/>
  <c r="AY108" i="37"/>
  <c r="AY109" i="37" s="1"/>
  <c r="M89" i="37"/>
  <c r="M87" i="37"/>
  <c r="AS89" i="37"/>
  <c r="AS87" i="37"/>
  <c r="S89" i="37"/>
  <c r="S87" i="37"/>
  <c r="I131" i="37"/>
  <c r="AJ8" i="37"/>
  <c r="AF30" i="37"/>
  <c r="AF29" i="37" s="1"/>
  <c r="AV30" i="37"/>
  <c r="AV29" i="37" s="1"/>
  <c r="AF31" i="37"/>
  <c r="S42" i="37"/>
  <c r="S41" i="37" s="1"/>
  <c r="AG42" i="37"/>
  <c r="U111" i="37"/>
  <c r="U112" i="37" s="1"/>
  <c r="U108" i="37"/>
  <c r="U109" i="37" s="1"/>
  <c r="U56" i="37"/>
  <c r="BA111" i="37"/>
  <c r="BA112" i="37" s="1"/>
  <c r="BA108" i="37"/>
  <c r="BA109" i="37" s="1"/>
  <c r="BA56" i="37"/>
  <c r="O83" i="37"/>
  <c r="AU83" i="37"/>
  <c r="J4" i="37"/>
  <c r="AO59" i="37"/>
  <c r="AU19" i="37"/>
  <c r="AW26" i="37"/>
  <c r="AG30" i="37"/>
  <c r="AG29" i="37" s="1"/>
  <c r="Q31" i="37"/>
  <c r="AW31" i="37"/>
  <c r="AN42" i="37"/>
  <c r="AY50" i="37"/>
  <c r="AY83" i="37"/>
  <c r="AY82" i="37"/>
  <c r="Q83" i="37"/>
  <c r="Q82" i="37"/>
  <c r="AW83" i="37"/>
  <c r="AW82" i="37"/>
  <c r="H8" i="37"/>
  <c r="AN8" i="37"/>
  <c r="V32" i="37"/>
  <c r="AJ42" i="37"/>
  <c r="G54" i="37"/>
  <c r="G41" i="37" s="1"/>
  <c r="G68" i="37"/>
  <c r="W141" i="37"/>
  <c r="M42" i="37"/>
  <c r="AY31" i="37"/>
  <c r="AP32" i="37"/>
  <c r="O111" i="37"/>
  <c r="O112" i="37" s="1"/>
  <c r="O108" i="37"/>
  <c r="O109" i="37" s="1"/>
  <c r="O56" i="37"/>
  <c r="U86" i="37"/>
  <c r="U84" i="37"/>
  <c r="AC84" i="37"/>
  <c r="AC86" i="37"/>
  <c r="Y141" i="37"/>
  <c r="AJ30" i="37"/>
  <c r="AJ29" i="37" s="1"/>
  <c r="AZ30" i="37"/>
  <c r="AZ29" i="37" s="1"/>
  <c r="BA31" i="37"/>
  <c r="X42" i="37"/>
  <c r="AQ53" i="37"/>
  <c r="AC60" i="37"/>
  <c r="AC59" i="37"/>
  <c r="K84" i="37"/>
  <c r="AK30" i="37"/>
  <c r="AK29" i="37" s="1"/>
  <c r="BA30" i="37"/>
  <c r="BA29" i="37" s="1"/>
  <c r="AS42" i="37"/>
  <c r="AW117" i="37"/>
  <c r="AW116" i="37" s="1"/>
  <c r="AW114" i="37" s="1"/>
  <c r="AW115" i="37" s="1"/>
  <c r="F30" i="37"/>
  <c r="F29" i="37" s="1"/>
  <c r="Z32" i="37"/>
  <c r="AA60" i="37"/>
  <c r="W68" i="37"/>
  <c r="AQ84" i="37"/>
  <c r="Y108" i="37"/>
  <c r="Y109" i="37" s="1"/>
  <c r="I111" i="37"/>
  <c r="I112" i="37" s="1"/>
  <c r="I108" i="37"/>
  <c r="I109" i="37" s="1"/>
  <c r="BA19" i="37"/>
  <c r="G30" i="37"/>
  <c r="G29" i="37" s="1"/>
  <c r="H42" i="37"/>
  <c r="AQ42" i="37"/>
  <c r="W49" i="37"/>
  <c r="AE59" i="37"/>
  <c r="BA117" i="37"/>
  <c r="BA116" i="37" s="1"/>
  <c r="BA114" i="37" s="1"/>
  <c r="BA115" i="37" s="1"/>
  <c r="AC42" i="37"/>
  <c r="AG56" i="37"/>
  <c r="AG111" i="37"/>
  <c r="AG112" i="37" s="1"/>
  <c r="AG108" i="37"/>
  <c r="AG109" i="37" s="1"/>
  <c r="J32" i="37"/>
  <c r="AX32" i="37"/>
  <c r="S49" i="37"/>
  <c r="U53" i="37"/>
  <c r="BA53" i="37"/>
  <c r="AK56" i="37"/>
  <c r="AI111" i="37"/>
  <c r="AI112" i="37" s="1"/>
  <c r="AI108" i="37"/>
  <c r="AI109" i="37" s="1"/>
  <c r="AG84" i="37"/>
  <c r="AG86" i="37"/>
  <c r="K56" i="37"/>
  <c r="K53" i="37" s="1"/>
  <c r="AQ56" i="37"/>
  <c r="AE83" i="37"/>
  <c r="I42" i="37"/>
  <c r="Y42" i="37"/>
  <c r="AO42" i="37"/>
  <c r="BA80" i="37"/>
  <c r="AY71" i="37"/>
  <c r="AI83" i="37"/>
  <c r="S84" i="37"/>
  <c r="AS60" i="37"/>
  <c r="W82" i="37"/>
  <c r="AK83" i="37"/>
  <c r="G83" i="37"/>
  <c r="AM83" i="37"/>
  <c r="N32" i="37"/>
  <c r="AD32" i="37"/>
  <c r="AT32" i="37"/>
  <c r="G108" i="37"/>
  <c r="G109" i="37" s="1"/>
  <c r="AM108" i="37"/>
  <c r="AM109" i="37" s="1"/>
  <c r="K108" i="37"/>
  <c r="K109" i="37" s="1"/>
  <c r="AQ108" i="37"/>
  <c r="AQ109" i="37" s="1"/>
  <c r="AY108" i="35"/>
  <c r="AY109" i="35" s="1"/>
  <c r="AX8" i="35"/>
  <c r="AY111" i="35"/>
  <c r="AY112" i="35" s="1"/>
  <c r="AY56" i="35"/>
  <c r="AY68" i="35" s="1"/>
  <c r="AY53" i="35"/>
  <c r="AV16" i="35"/>
  <c r="AV20" i="35" s="1"/>
  <c r="AV24" i="35" s="1"/>
  <c r="AV23" i="35" s="1"/>
  <c r="AW10" i="35"/>
  <c r="AW86" i="35"/>
  <c r="AW84" i="35"/>
  <c r="AU89" i="35"/>
  <c r="AU87" i="35"/>
  <c r="AX16" i="35"/>
  <c r="AX20" i="35" s="1"/>
  <c r="AX24" i="35" s="1"/>
  <c r="AX23" i="35" s="1"/>
  <c r="AY10" i="35"/>
  <c r="AU111" i="35"/>
  <c r="AU112" i="35" s="1"/>
  <c r="AU56" i="35"/>
  <c r="AU53" i="35" s="1"/>
  <c r="AT8" i="35"/>
  <c r="AU108" i="35"/>
  <c r="AU109" i="35" s="1"/>
  <c r="AW111" i="35"/>
  <c r="AW112" i="35" s="1"/>
  <c r="AW56" i="35"/>
  <c r="AV8" i="35"/>
  <c r="AW108" i="35"/>
  <c r="AW109" i="35" s="1"/>
  <c r="AW59" i="35"/>
  <c r="AU10" i="35"/>
  <c r="AU16" i="35" s="1"/>
  <c r="AU20" i="35" s="1"/>
  <c r="AU24" i="35" s="1"/>
  <c r="AU23" i="35" s="1"/>
  <c r="AY31" i="35"/>
  <c r="AW19" i="35"/>
  <c r="AU96" i="35"/>
  <c r="AY96" i="35"/>
  <c r="AU30" i="35"/>
  <c r="AU29" i="35" s="1"/>
  <c r="AW30" i="35"/>
  <c r="AW29" i="35" s="1"/>
  <c r="AW82" i="35"/>
  <c r="AY82" i="33"/>
  <c r="AW84" i="33"/>
  <c r="AW86" i="33"/>
  <c r="AW82" i="33"/>
  <c r="AU84" i="33"/>
  <c r="AU86" i="33"/>
  <c r="AU89" i="33" s="1"/>
  <c r="AU90" i="33" s="1"/>
  <c r="AU82" i="33"/>
  <c r="AY10" i="33"/>
  <c r="AX16" i="33"/>
  <c r="AX20" i="33" s="1"/>
  <c r="AX24" i="33" s="1"/>
  <c r="AX23" i="33" s="1"/>
  <c r="AY86" i="33"/>
  <c r="AY84" i="33"/>
  <c r="AW10" i="33"/>
  <c r="AW77" i="33" s="1"/>
  <c r="AW76" i="33" s="1"/>
  <c r="AV16" i="33"/>
  <c r="AV20" i="33" s="1"/>
  <c r="AV24" i="33" s="1"/>
  <c r="AV23" i="33" s="1"/>
  <c r="AT31" i="33"/>
  <c r="AV42" i="33"/>
  <c r="AU10" i="33"/>
  <c r="AU81" i="33" s="1"/>
  <c r="BA80" i="34"/>
  <c r="BA83" i="34" s="1"/>
  <c r="BA117" i="34"/>
  <c r="BA116" i="34" s="1"/>
  <c r="BA114" i="34" s="1"/>
  <c r="BA115" i="34" s="1"/>
  <c r="BA71" i="34"/>
  <c r="AY71" i="34"/>
  <c r="BA26" i="34"/>
  <c r="BA96" i="34"/>
  <c r="BA31" i="34"/>
  <c r="AY86" i="34"/>
  <c r="AY84" i="34"/>
  <c r="AY56" i="34"/>
  <c r="AY53" i="34" s="1"/>
  <c r="AY111" i="34"/>
  <c r="AY112" i="34" s="1"/>
  <c r="AX8" i="34"/>
  <c r="AY108" i="34"/>
  <c r="AY109" i="34" s="1"/>
  <c r="AY26" i="34"/>
  <c r="AX32" i="34"/>
  <c r="AX30" i="34" s="1"/>
  <c r="AX29" i="34" s="1"/>
  <c r="AY82" i="34"/>
  <c r="AY59" i="34"/>
  <c r="AW50" i="34"/>
  <c r="AW68" i="34"/>
  <c r="AW87" i="34"/>
  <c r="AW89" i="34"/>
  <c r="AW96" i="34"/>
  <c r="AV8" i="34"/>
  <c r="AW31" i="34"/>
  <c r="AV32" i="34"/>
  <c r="AW84" i="34"/>
  <c r="AW108" i="34"/>
  <c r="AW109" i="34" s="1"/>
  <c r="AW111" i="34"/>
  <c r="AW112" i="34" s="1"/>
  <c r="BK71" i="15"/>
  <c r="BJ16" i="15"/>
  <c r="BJ20" i="15" s="1"/>
  <c r="BJ24" i="15" s="1"/>
  <c r="BJ23" i="15" s="1"/>
  <c r="BK10" i="15"/>
  <c r="BK132" i="15" s="1"/>
  <c r="BK82" i="15"/>
  <c r="BK83" i="15"/>
  <c r="BJ42" i="15"/>
  <c r="BK25" i="15"/>
  <c r="BH72" i="15"/>
  <c r="BI10" i="15"/>
  <c r="BI81" i="15" s="1"/>
  <c r="BH16" i="15"/>
  <c r="BH20" i="15" s="1"/>
  <c r="BH24" i="15" s="1"/>
  <c r="BH23" i="15" s="1"/>
  <c r="BF16" i="15"/>
  <c r="BF20" i="15" s="1"/>
  <c r="BF24" i="15" s="1"/>
  <c r="BF23" i="15" s="1"/>
  <c r="BG10" i="15"/>
  <c r="BG81" i="15" s="1"/>
  <c r="BG83" i="15"/>
  <c r="BG82" i="15"/>
  <c r="BI82" i="15"/>
  <c r="BI83" i="15"/>
  <c r="BG78" i="15"/>
  <c r="BI78" i="15"/>
  <c r="BF42" i="15"/>
  <c r="BK78" i="13"/>
  <c r="BK149" i="13" s="1"/>
  <c r="BK152" i="13" s="1"/>
  <c r="BE117" i="14"/>
  <c r="BE116" i="14" s="1"/>
  <c r="BE114" i="14" s="1"/>
  <c r="BE115" i="14" s="1"/>
  <c r="BI117" i="14"/>
  <c r="BI116" i="14" s="1"/>
  <c r="BI114" i="14" s="1"/>
  <c r="BI115" i="14" s="1"/>
  <c r="BI10" i="14"/>
  <c r="BI132" i="14" s="1"/>
  <c r="BI133" i="14" s="1"/>
  <c r="BH16" i="14"/>
  <c r="BH20" i="14" s="1"/>
  <c r="BK10" i="14"/>
  <c r="BK75" i="14" s="1"/>
  <c r="BJ16" i="14"/>
  <c r="BJ20" i="14" s="1"/>
  <c r="BK59" i="14"/>
  <c r="BG117" i="14"/>
  <c r="BG116" i="14" s="1"/>
  <c r="BG114" i="14" s="1"/>
  <c r="BG115" i="14" s="1"/>
  <c r="BE80" i="14"/>
  <c r="BE83" i="14" s="1"/>
  <c r="BE84" i="14" s="1"/>
  <c r="BK117" i="14"/>
  <c r="BK116" i="14" s="1"/>
  <c r="BK114" i="14" s="1"/>
  <c r="BK115" i="14" s="1"/>
  <c r="BI60" i="14"/>
  <c r="BI111" i="14" s="1"/>
  <c r="BI112" i="14" s="1"/>
  <c r="BK80" i="14"/>
  <c r="BI80" i="14"/>
  <c r="BI83" i="14" s="1"/>
  <c r="BI84" i="14" s="1"/>
  <c r="BI62" i="14"/>
  <c r="BI59" i="14" s="1"/>
  <c r="BG59" i="14"/>
  <c r="BK96" i="14"/>
  <c r="BI125" i="14"/>
  <c r="BE10" i="14"/>
  <c r="BE132" i="14" s="1"/>
  <c r="BE133" i="14" s="1"/>
  <c r="BE60" i="14"/>
  <c r="BD72" i="14"/>
  <c r="BE141" i="14"/>
  <c r="BG10" i="14"/>
  <c r="BG129" i="14" s="1"/>
  <c r="BG130" i="14" s="1"/>
  <c r="BF72" i="14"/>
  <c r="BG78" i="14"/>
  <c r="BG141" i="14"/>
  <c r="BH72" i="14"/>
  <c r="BI128" i="14"/>
  <c r="BI141" i="14"/>
  <c r="BJ72" i="14"/>
  <c r="BK80" i="13"/>
  <c r="BK82" i="13" s="1"/>
  <c r="BK117" i="13"/>
  <c r="BK116" i="13" s="1"/>
  <c r="BK114" i="13" s="1"/>
  <c r="BK115" i="13" s="1"/>
  <c r="BJ16" i="13"/>
  <c r="BJ20" i="13" s="1"/>
  <c r="BK10" i="13"/>
  <c r="BK141" i="13"/>
  <c r="BC16" i="35" l="1"/>
  <c r="BC20" i="35" s="1"/>
  <c r="BC24" i="35" s="1"/>
  <c r="BC23" i="35" s="1"/>
  <c r="AR8" i="38"/>
  <c r="AS111" i="38"/>
  <c r="AS112" i="38" s="1"/>
  <c r="AS56" i="38"/>
  <c r="AS53" i="38" s="1"/>
  <c r="BS132" i="13"/>
  <c r="BS133" i="13" s="1"/>
  <c r="BS142" i="13" s="1"/>
  <c r="BS74" i="13"/>
  <c r="BO20" i="13"/>
  <c r="BO74" i="13"/>
  <c r="BQ69" i="13"/>
  <c r="BQ74" i="13"/>
  <c r="CM137" i="14"/>
  <c r="CG137" i="14"/>
  <c r="DB111" i="3"/>
  <c r="DB112" i="3" s="1"/>
  <c r="DP69" i="3"/>
  <c r="DA8" i="3"/>
  <c r="DB56" i="3"/>
  <c r="DR16" i="3"/>
  <c r="DR20" i="3" s="1"/>
  <c r="DR24" i="3" s="1"/>
  <c r="DR23" i="3" s="1"/>
  <c r="DR74" i="3"/>
  <c r="DF68" i="3"/>
  <c r="BO132" i="15"/>
  <c r="BO74" i="15"/>
  <c r="BQ74" i="15"/>
  <c r="BS132" i="15"/>
  <c r="BS133" i="15" s="1"/>
  <c r="BS142" i="15" s="1"/>
  <c r="BS74" i="15"/>
  <c r="BS75" i="15" s="1"/>
  <c r="DH132" i="36"/>
  <c r="DH133" i="36" s="1"/>
  <c r="DH142" i="36" s="1"/>
  <c r="DH74" i="36"/>
  <c r="DF16" i="36"/>
  <c r="DF74" i="36"/>
  <c r="BK24" i="36"/>
  <c r="BK23" i="36" s="1"/>
  <c r="BK74" i="36"/>
  <c r="BB62" i="38"/>
  <c r="BC56" i="38"/>
  <c r="BB8" i="38"/>
  <c r="BC111" i="38"/>
  <c r="BC112" i="38" s="1"/>
  <c r="L8" i="38"/>
  <c r="BC74" i="35"/>
  <c r="BC75" i="35" s="1"/>
  <c r="BE74" i="35"/>
  <c r="BE75" i="35" s="1"/>
  <c r="U108" i="38"/>
  <c r="U109" i="38" s="1"/>
  <c r="BE132" i="38"/>
  <c r="BE133" i="38" s="1"/>
  <c r="BE141" i="38" s="1"/>
  <c r="BE74" i="38"/>
  <c r="BE80" i="38" s="1"/>
  <c r="BG16" i="38"/>
  <c r="BG20" i="38" s="1"/>
  <c r="BG24" i="38" s="1"/>
  <c r="BG23" i="38" s="1"/>
  <c r="BG74" i="38"/>
  <c r="BG80" i="38" s="1"/>
  <c r="U56" i="38"/>
  <c r="U68" i="38" s="1"/>
  <c r="T8" i="38"/>
  <c r="BC96" i="33"/>
  <c r="BC80" i="33"/>
  <c r="BC71" i="33"/>
  <c r="BQ20" i="14"/>
  <c r="BQ74" i="14"/>
  <c r="BQ111" i="14" s="1"/>
  <c r="BQ112" i="14" s="1"/>
  <c r="BS132" i="14"/>
  <c r="BS133" i="14" s="1"/>
  <c r="BS142" i="14" s="1"/>
  <c r="BS74" i="14"/>
  <c r="BS108" i="14" s="1"/>
  <c r="BS109" i="14" s="1"/>
  <c r="BM68" i="14"/>
  <c r="BM63" i="14" s="1"/>
  <c r="BO76" i="14"/>
  <c r="BO74" i="14"/>
  <c r="BO111" i="14" s="1"/>
  <c r="BO112" i="14" s="1"/>
  <c r="AA86" i="38"/>
  <c r="T30" i="38"/>
  <c r="T29" i="38" s="1"/>
  <c r="BB62" i="34"/>
  <c r="DA8" i="36"/>
  <c r="BO68" i="14"/>
  <c r="BO63" i="14" s="1"/>
  <c r="BN62" i="14"/>
  <c r="N31" i="38"/>
  <c r="V30" i="38"/>
  <c r="V29" i="38" s="1"/>
  <c r="AV31" i="38"/>
  <c r="N30" i="38"/>
  <c r="N29" i="38" s="1"/>
  <c r="AN30" i="38"/>
  <c r="AN29" i="38" s="1"/>
  <c r="AN42" i="38"/>
  <c r="DC8" i="36"/>
  <c r="DD111" i="36"/>
  <c r="DD112" i="36" s="1"/>
  <c r="BK56" i="36"/>
  <c r="BK53" i="36" s="1"/>
  <c r="DD108" i="36"/>
  <c r="DD109" i="36" s="1"/>
  <c r="DG25" i="36"/>
  <c r="DG24" i="36"/>
  <c r="DG23" i="36" s="1"/>
  <c r="BR8" i="14"/>
  <c r="BP8" i="14"/>
  <c r="BP62" i="14"/>
  <c r="BO53" i="14"/>
  <c r="BS56" i="14"/>
  <c r="BO108" i="14"/>
  <c r="BO109" i="14" s="1"/>
  <c r="BN8" i="14"/>
  <c r="BC56" i="34"/>
  <c r="BC53" i="34" s="1"/>
  <c r="BB8" i="34"/>
  <c r="BC108" i="34"/>
  <c r="BC109" i="34" s="1"/>
  <c r="BG108" i="14"/>
  <c r="BG109" i="14" s="1"/>
  <c r="BF8" i="14"/>
  <c r="BN26" i="36"/>
  <c r="BP26" i="36" s="1"/>
  <c r="DI26" i="36"/>
  <c r="BG111" i="14"/>
  <c r="BG112" i="14" s="1"/>
  <c r="BM86" i="14"/>
  <c r="BM89" i="14" s="1"/>
  <c r="AY81" i="35"/>
  <c r="BI75" i="14"/>
  <c r="DB68" i="3"/>
  <c r="DR75" i="3"/>
  <c r="K111" i="37"/>
  <c r="K112" i="37" s="1"/>
  <c r="J8" i="37"/>
  <c r="BL30" i="36"/>
  <c r="BL29" i="36" s="1"/>
  <c r="BL24" i="36"/>
  <c r="BL23" i="36" s="1"/>
  <c r="BL25" i="36"/>
  <c r="BI69" i="14"/>
  <c r="BA111" i="34"/>
  <c r="BA112" i="34" s="1"/>
  <c r="S87" i="38"/>
  <c r="AV42" i="38"/>
  <c r="AV41" i="38" s="1"/>
  <c r="BD62" i="34"/>
  <c r="M111" i="38"/>
  <c r="M112" i="38" s="1"/>
  <c r="BF8" i="36"/>
  <c r="BE56" i="34"/>
  <c r="BE50" i="34" s="1"/>
  <c r="DP132" i="3"/>
  <c r="DP133" i="3" s="1"/>
  <c r="DP141" i="3" s="1"/>
  <c r="Y84" i="37"/>
  <c r="Y86" i="37"/>
  <c r="BC106" i="33"/>
  <c r="BE66" i="33"/>
  <c r="BG66" i="33" s="1"/>
  <c r="BC65" i="33"/>
  <c r="AA84" i="37"/>
  <c r="AA86" i="37"/>
  <c r="AW30" i="34"/>
  <c r="AW29" i="34" s="1"/>
  <c r="DB129" i="3"/>
  <c r="DB130" i="3" s="1"/>
  <c r="BC123" i="33"/>
  <c r="S84" i="38"/>
  <c r="T31" i="38"/>
  <c r="G111" i="38"/>
  <c r="G112" i="38" s="1"/>
  <c r="M56" i="38"/>
  <c r="M68" i="38" s="1"/>
  <c r="DP129" i="3"/>
  <c r="DP130" i="3" s="1"/>
  <c r="BC122" i="33"/>
  <c r="CD25" i="36"/>
  <c r="Y56" i="37"/>
  <c r="X8" i="37"/>
  <c r="BC105" i="33"/>
  <c r="BA108" i="34"/>
  <c r="BA109" i="34" s="1"/>
  <c r="F8" i="38"/>
  <c r="CD24" i="36"/>
  <c r="CD23" i="36" s="1"/>
  <c r="AY83" i="35"/>
  <c r="AY86" i="35" s="1"/>
  <c r="AY87" i="35" s="1"/>
  <c r="CW68" i="3"/>
  <c r="BC121" i="33"/>
  <c r="DO26" i="36"/>
  <c r="AP30" i="39"/>
  <c r="AP29" i="39" s="1"/>
  <c r="AQ84" i="38"/>
  <c r="DD86" i="3"/>
  <c r="BC120" i="33"/>
  <c r="AM54" i="37"/>
  <c r="AM41" i="37" s="1"/>
  <c r="BE16" i="35"/>
  <c r="BE20" i="35" s="1"/>
  <c r="BE24" i="35" s="1"/>
  <c r="BE23" i="35" s="1"/>
  <c r="AY30" i="37"/>
  <c r="AY29" i="37" s="1"/>
  <c r="AY25" i="37"/>
  <c r="W87" i="37"/>
  <c r="W89" i="37"/>
  <c r="AM68" i="37"/>
  <c r="DH56" i="36"/>
  <c r="DH53" i="36" s="1"/>
  <c r="AM50" i="37"/>
  <c r="BC52" i="33"/>
  <c r="J8" i="38"/>
  <c r="V31" i="38"/>
  <c r="AZ31" i="34"/>
  <c r="AZ30" i="34"/>
  <c r="AZ29" i="34" s="1"/>
  <c r="BD8" i="34"/>
  <c r="DO25" i="36"/>
  <c r="DO24" i="36"/>
  <c r="DO23" i="36" s="1"/>
  <c r="DH16" i="36"/>
  <c r="DH24" i="36" s="1"/>
  <c r="DH23" i="36" s="1"/>
  <c r="BS54" i="15"/>
  <c r="BS41" i="15" s="1"/>
  <c r="BM132" i="15"/>
  <c r="BS68" i="15"/>
  <c r="CS16" i="3"/>
  <c r="CS20" i="3" s="1"/>
  <c r="CS24" i="3" s="1"/>
  <c r="CS23" i="3" s="1"/>
  <c r="DJ62" i="3"/>
  <c r="DJ8" i="3"/>
  <c r="CY82" i="3"/>
  <c r="DP16" i="3"/>
  <c r="DP20" i="3" s="1"/>
  <c r="DP24" i="3" s="1"/>
  <c r="DP23" i="3" s="1"/>
  <c r="DK111" i="3"/>
  <c r="DK112" i="3" s="1"/>
  <c r="DK56" i="3"/>
  <c r="DK53" i="3" s="1"/>
  <c r="DK68" i="3"/>
  <c r="DD68" i="36"/>
  <c r="DD50" i="36"/>
  <c r="DD54" i="36" s="1"/>
  <c r="DD53" i="36"/>
  <c r="DH108" i="36"/>
  <c r="DH109" i="36" s="1"/>
  <c r="BK111" i="36"/>
  <c r="BK112" i="36" s="1"/>
  <c r="DH111" i="36"/>
  <c r="DH112" i="36" s="1"/>
  <c r="BK108" i="36"/>
  <c r="BK109" i="36" s="1"/>
  <c r="BM53" i="14"/>
  <c r="BS69" i="14"/>
  <c r="BK111" i="13"/>
  <c r="BK112" i="13" s="1"/>
  <c r="BK108" i="13"/>
  <c r="BK109" i="13" s="1"/>
  <c r="AX62" i="38"/>
  <c r="AY68" i="38"/>
  <c r="AY108" i="38"/>
  <c r="AY109" i="38" s="1"/>
  <c r="DF53" i="36"/>
  <c r="BM84" i="15"/>
  <c r="BS53" i="15"/>
  <c r="DS62" i="3"/>
  <c r="DR68" i="3"/>
  <c r="DQ62" i="3"/>
  <c r="DL20" i="3"/>
  <c r="DL24" i="3" s="1"/>
  <c r="DL23" i="3" s="1"/>
  <c r="DK20" i="3"/>
  <c r="DK24" i="3" s="1"/>
  <c r="DK23" i="3" s="1"/>
  <c r="DJ20" i="3"/>
  <c r="DJ24" i="3" s="1"/>
  <c r="DJ23" i="3" s="1"/>
  <c r="BO50" i="39"/>
  <c r="BO54" i="39" s="1"/>
  <c r="BO49" i="39" s="1"/>
  <c r="BN45" i="39" s="1"/>
  <c r="BO68" i="39"/>
  <c r="AZ8" i="39"/>
  <c r="AK108" i="39"/>
  <c r="AK109" i="39" s="1"/>
  <c r="BI108" i="39"/>
  <c r="BI109" i="39" s="1"/>
  <c r="V30" i="39"/>
  <c r="V29" i="39" s="1"/>
  <c r="V31" i="39"/>
  <c r="BN62" i="39"/>
  <c r="BE111" i="39"/>
  <c r="BE112" i="39" s="1"/>
  <c r="BD8" i="39"/>
  <c r="BU117" i="39"/>
  <c r="BU116" i="39" s="1"/>
  <c r="BU114" i="39" s="1"/>
  <c r="BU115" i="39" s="1"/>
  <c r="BO111" i="39"/>
  <c r="BO112" i="39" s="1"/>
  <c r="BO45" i="39"/>
  <c r="AO56" i="39"/>
  <c r="W56" i="39"/>
  <c r="W53" i="39" s="1"/>
  <c r="AO108" i="39"/>
  <c r="AO109" i="39" s="1"/>
  <c r="BD62" i="39"/>
  <c r="BE108" i="39"/>
  <c r="BE109" i="39" s="1"/>
  <c r="AO111" i="39"/>
  <c r="AO112" i="39" s="1"/>
  <c r="BU60" i="39"/>
  <c r="BU59" i="39"/>
  <c r="AJ8" i="39"/>
  <c r="Y111" i="39"/>
  <c r="Y112" i="39" s="1"/>
  <c r="BK53" i="39"/>
  <c r="BU90" i="39"/>
  <c r="BU93" i="39"/>
  <c r="O87" i="39"/>
  <c r="AK111" i="39"/>
  <c r="AK112" i="39" s="1"/>
  <c r="BK50" i="39"/>
  <c r="BK54" i="39" s="1"/>
  <c r="BK49" i="39" s="1"/>
  <c r="BK45" i="39" s="1"/>
  <c r="AK53" i="39"/>
  <c r="BC30" i="39"/>
  <c r="BC29" i="39" s="1"/>
  <c r="AK50" i="39"/>
  <c r="AK54" i="39" s="1"/>
  <c r="AK41" i="39" s="1"/>
  <c r="BH62" i="39"/>
  <c r="V8" i="39"/>
  <c r="Y56" i="39"/>
  <c r="Y68" i="39" s="1"/>
  <c r="W108" i="39"/>
  <c r="W109" i="39" s="1"/>
  <c r="BK89" i="39"/>
  <c r="BK87" i="39"/>
  <c r="AA53" i="39"/>
  <c r="AA68" i="39"/>
  <c r="AI25" i="39"/>
  <c r="AF31" i="39"/>
  <c r="H31" i="39"/>
  <c r="BH8" i="39"/>
  <c r="AN30" i="39"/>
  <c r="AN29" i="39" s="1"/>
  <c r="H30" i="39"/>
  <c r="H29" i="39" s="1"/>
  <c r="AN31" i="39"/>
  <c r="AF30" i="39"/>
  <c r="AF29" i="39" s="1"/>
  <c r="J31" i="39"/>
  <c r="X8" i="39"/>
  <c r="BS117" i="39"/>
  <c r="BS116" i="39" s="1"/>
  <c r="BS114" i="39" s="1"/>
  <c r="BS115" i="39" s="1"/>
  <c r="J42" i="39"/>
  <c r="BW16" i="39"/>
  <c r="BW20" i="39" s="1"/>
  <c r="BW24" i="39" s="1"/>
  <c r="BW23" i="39" s="1"/>
  <c r="AY53" i="39"/>
  <c r="Q68" i="39"/>
  <c r="BO53" i="39"/>
  <c r="L31" i="39"/>
  <c r="BA50" i="39"/>
  <c r="BA54" i="39" s="1"/>
  <c r="BA49" i="39" s="1"/>
  <c r="Q53" i="39"/>
  <c r="AZ62" i="39"/>
  <c r="BA108" i="39"/>
  <c r="BA109" i="39" s="1"/>
  <c r="BA111" i="39"/>
  <c r="BA112" i="39" s="1"/>
  <c r="L30" i="39"/>
  <c r="L29" i="39" s="1"/>
  <c r="M53" i="39"/>
  <c r="BO42" i="39"/>
  <c r="BO41" i="39" s="1"/>
  <c r="BO31" i="39"/>
  <c r="BO16" i="39"/>
  <c r="BO20" i="39" s="1"/>
  <c r="BO24" i="39" s="1"/>
  <c r="BO23" i="39" s="1"/>
  <c r="BO84" i="39"/>
  <c r="BO86" i="39"/>
  <c r="BO30" i="39"/>
  <c r="BO29" i="39" s="1"/>
  <c r="BO25" i="39"/>
  <c r="BO75" i="39"/>
  <c r="BO77" i="39" s="1"/>
  <c r="BO76" i="39" s="1"/>
  <c r="BO132" i="39"/>
  <c r="BO133" i="39" s="1"/>
  <c r="BO141" i="39" s="1"/>
  <c r="BO129" i="39"/>
  <c r="BO130" i="39" s="1"/>
  <c r="BO69" i="39"/>
  <c r="AM87" i="39"/>
  <c r="I89" i="39"/>
  <c r="I90" i="39" s="1"/>
  <c r="AS108" i="39"/>
  <c r="AS109" i="39" s="1"/>
  <c r="AR42" i="39"/>
  <c r="M54" i="39"/>
  <c r="L41" i="39" s="1"/>
  <c r="BS59" i="39"/>
  <c r="BS60" i="39"/>
  <c r="AR31" i="39"/>
  <c r="AQ87" i="39"/>
  <c r="AP31" i="39"/>
  <c r="Q89" i="39"/>
  <c r="Q90" i="39" s="1"/>
  <c r="BI56" i="39"/>
  <c r="BI68" i="39" s="1"/>
  <c r="BS75" i="39"/>
  <c r="BS69" i="39"/>
  <c r="BS129" i="39"/>
  <c r="BS130" i="39" s="1"/>
  <c r="BS77" i="39"/>
  <c r="BS76" i="39" s="1"/>
  <c r="BS126" i="39"/>
  <c r="BS127" i="39" s="1"/>
  <c r="BS81" i="39"/>
  <c r="BS132" i="39"/>
  <c r="BS133" i="39" s="1"/>
  <c r="BS142" i="39" s="1"/>
  <c r="BS90" i="39"/>
  <c r="BS93" i="39"/>
  <c r="G86" i="39"/>
  <c r="G87" i="39" s="1"/>
  <c r="AD42" i="39"/>
  <c r="AW90" i="39"/>
  <c r="AM111" i="39"/>
  <c r="AM112" i="39" s="1"/>
  <c r="Y86" i="39"/>
  <c r="Y87" i="39" s="1"/>
  <c r="AD30" i="39"/>
  <c r="AD29" i="39" s="1"/>
  <c r="AM56" i="39"/>
  <c r="AM53" i="39" s="1"/>
  <c r="AY68" i="39"/>
  <c r="R30" i="39"/>
  <c r="R29" i="39" s="1"/>
  <c r="R42" i="39"/>
  <c r="R31" i="39"/>
  <c r="O108" i="39"/>
  <c r="O109" i="39" s="1"/>
  <c r="G81" i="39"/>
  <c r="AM108" i="39"/>
  <c r="AM109" i="39" s="1"/>
  <c r="G132" i="39"/>
  <c r="G133" i="39" s="1"/>
  <c r="S108" i="39"/>
  <c r="S109" i="39" s="1"/>
  <c r="BB8" i="39"/>
  <c r="BC111" i="39"/>
  <c r="BC112" i="39" s="1"/>
  <c r="BC108" i="39"/>
  <c r="BC109" i="39" s="1"/>
  <c r="BB62" i="39"/>
  <c r="AU108" i="39"/>
  <c r="AU109" i="39" s="1"/>
  <c r="AU111" i="39"/>
  <c r="AU112" i="39" s="1"/>
  <c r="R8" i="39"/>
  <c r="AT8" i="39"/>
  <c r="S111" i="39"/>
  <c r="S112" i="39" s="1"/>
  <c r="N8" i="39"/>
  <c r="O111" i="39"/>
  <c r="O112" i="39" s="1"/>
  <c r="G16" i="39"/>
  <c r="G20" i="39" s="1"/>
  <c r="G24" i="39" s="1"/>
  <c r="G23" i="39" s="1"/>
  <c r="AC89" i="39"/>
  <c r="AC87" i="39"/>
  <c r="M68" i="39"/>
  <c r="AS111" i="39"/>
  <c r="AS112" i="39" s="1"/>
  <c r="G75" i="39"/>
  <c r="I41" i="39"/>
  <c r="AY87" i="39"/>
  <c r="AY89" i="39"/>
  <c r="AS86" i="39"/>
  <c r="AS84" i="39"/>
  <c r="AU87" i="39"/>
  <c r="AU89" i="39"/>
  <c r="AS56" i="39"/>
  <c r="AS50" i="39" s="1"/>
  <c r="AS54" i="39" s="1"/>
  <c r="G129" i="39"/>
  <c r="G130" i="39" s="1"/>
  <c r="G142" i="39" s="1"/>
  <c r="AW41" i="39"/>
  <c r="AV41" i="39"/>
  <c r="M90" i="39"/>
  <c r="M93" i="39"/>
  <c r="AK89" i="39"/>
  <c r="AK87" i="39"/>
  <c r="AU50" i="39"/>
  <c r="AU54" i="39" s="1"/>
  <c r="AU41" i="39" s="1"/>
  <c r="AU53" i="39"/>
  <c r="AU68" i="39"/>
  <c r="N42" i="39"/>
  <c r="N31" i="39"/>
  <c r="N30" i="39"/>
  <c r="N29" i="39" s="1"/>
  <c r="I10" i="39"/>
  <c r="H16" i="39"/>
  <c r="H20" i="39" s="1"/>
  <c r="H24" i="39" s="1"/>
  <c r="H23" i="39" s="1"/>
  <c r="BE86" i="39"/>
  <c r="BE84" i="39"/>
  <c r="S68" i="39"/>
  <c r="S50" i="39"/>
  <c r="S54" i="39" s="1"/>
  <c r="S53" i="39"/>
  <c r="BE53" i="39"/>
  <c r="BE50" i="39"/>
  <c r="BE68" i="39"/>
  <c r="AW94" i="39"/>
  <c r="AW98" i="39"/>
  <c r="AI87" i="39"/>
  <c r="AI89" i="39"/>
  <c r="AG87" i="39"/>
  <c r="AG89" i="39"/>
  <c r="AZ42" i="39"/>
  <c r="AZ31" i="39"/>
  <c r="AZ30" i="39"/>
  <c r="AZ29" i="39" s="1"/>
  <c r="Q54" i="39"/>
  <c r="Q41" i="39" s="1"/>
  <c r="AE50" i="39"/>
  <c r="AE54" i="39"/>
  <c r="AE41" i="39" s="1"/>
  <c r="AE68" i="39"/>
  <c r="AO84" i="39"/>
  <c r="AO86" i="39"/>
  <c r="AG111" i="39"/>
  <c r="AG112" i="39" s="1"/>
  <c r="AG56" i="39"/>
  <c r="AF8" i="39"/>
  <c r="AG108" i="39"/>
  <c r="AG109" i="39" s="1"/>
  <c r="AT31" i="39"/>
  <c r="AT42" i="39"/>
  <c r="AT30" i="39"/>
  <c r="AT29" i="39" s="1"/>
  <c r="I49" i="39"/>
  <c r="AY54" i="39"/>
  <c r="AE86" i="39"/>
  <c r="AE84" i="39"/>
  <c r="AJ30" i="39"/>
  <c r="AJ29" i="39" s="1"/>
  <c r="AJ31" i="39"/>
  <c r="AJ42" i="39"/>
  <c r="AJ41" i="39" s="1"/>
  <c r="BA83" i="39"/>
  <c r="BA82" i="39"/>
  <c r="AO68" i="39"/>
  <c r="AO50" i="39"/>
  <c r="AO54" i="39" s="1"/>
  <c r="AO53" i="39"/>
  <c r="BC86" i="39"/>
  <c r="BC84" i="39"/>
  <c r="BC50" i="39"/>
  <c r="BC54" i="39" s="1"/>
  <c r="BC68" i="39"/>
  <c r="K87" i="39"/>
  <c r="K89" i="39"/>
  <c r="BC53" i="39"/>
  <c r="G108" i="39"/>
  <c r="G109" i="39" s="1"/>
  <c r="G111" i="39"/>
  <c r="G112" i="39" s="1"/>
  <c r="G56" i="39"/>
  <c r="F8" i="39"/>
  <c r="T30" i="39"/>
  <c r="T29" i="39" s="1"/>
  <c r="T31" i="39"/>
  <c r="T42" i="39"/>
  <c r="BI86" i="39"/>
  <c r="BI84" i="39"/>
  <c r="S86" i="39"/>
  <c r="S84" i="39"/>
  <c r="W84" i="39"/>
  <c r="W86" i="39"/>
  <c r="AW49" i="39"/>
  <c r="AC50" i="39"/>
  <c r="AC68" i="39"/>
  <c r="BH31" i="39"/>
  <c r="BH42" i="39"/>
  <c r="BH30" i="39"/>
  <c r="BH29" i="39" s="1"/>
  <c r="AH42" i="39"/>
  <c r="AH31" i="39"/>
  <c r="O90" i="39"/>
  <c r="O93" i="39"/>
  <c r="AE53" i="39"/>
  <c r="AS25" i="39"/>
  <c r="AS30" i="39"/>
  <c r="AS29" i="39" s="1"/>
  <c r="AY30" i="39"/>
  <c r="AY29" i="39" s="1"/>
  <c r="AY25" i="39"/>
  <c r="AM93" i="39"/>
  <c r="AM90" i="39"/>
  <c r="AK49" i="39"/>
  <c r="U86" i="39"/>
  <c r="U84" i="39"/>
  <c r="AA54" i="39"/>
  <c r="AA49" i="39" s="1"/>
  <c r="K54" i="39"/>
  <c r="K41" i="39" s="1"/>
  <c r="AL31" i="39"/>
  <c r="AL42" i="39"/>
  <c r="AL30" i="39"/>
  <c r="AL29" i="39" s="1"/>
  <c r="U111" i="39"/>
  <c r="U112" i="39" s="1"/>
  <c r="T8" i="39"/>
  <c r="U56" i="39"/>
  <c r="U108" i="39"/>
  <c r="U109" i="39" s="1"/>
  <c r="AQ90" i="39"/>
  <c r="AQ93" i="39"/>
  <c r="AQ50" i="39"/>
  <c r="AQ54" i="39" s="1"/>
  <c r="AP41" i="39" s="1"/>
  <c r="AQ68" i="39"/>
  <c r="AB42" i="39"/>
  <c r="AB30" i="39"/>
  <c r="AB29" i="39" s="1"/>
  <c r="AB31" i="39"/>
  <c r="F31" i="39"/>
  <c r="F42" i="39"/>
  <c r="F30" i="39"/>
  <c r="F29" i="39" s="1"/>
  <c r="AA86" i="39"/>
  <c r="AA84" i="39"/>
  <c r="AW30" i="39"/>
  <c r="AW29" i="39" s="1"/>
  <c r="AW25" i="39"/>
  <c r="O50" i="39"/>
  <c r="O54" i="39" s="1"/>
  <c r="O41" i="39" s="1"/>
  <c r="O68" i="39"/>
  <c r="O53" i="39"/>
  <c r="AI56" i="39"/>
  <c r="AI108" i="39"/>
  <c r="AI109" i="39" s="1"/>
  <c r="AH8" i="39"/>
  <c r="AI111" i="39"/>
  <c r="AI112" i="39" s="1"/>
  <c r="AQ53" i="39"/>
  <c r="H41" i="39"/>
  <c r="K131" i="39"/>
  <c r="L4" i="39"/>
  <c r="J2" i="39"/>
  <c r="J10" i="39" s="1"/>
  <c r="P42" i="39"/>
  <c r="P30" i="39"/>
  <c r="P29" i="39" s="1"/>
  <c r="P31" i="39"/>
  <c r="BS69" i="13"/>
  <c r="BS50" i="13"/>
  <c r="BS68" i="13"/>
  <c r="BS75" i="13"/>
  <c r="BS129" i="13"/>
  <c r="BS130" i="13" s="1"/>
  <c r="BS126" i="13"/>
  <c r="BS127" i="13" s="1"/>
  <c r="BS53" i="13"/>
  <c r="BQ20" i="13"/>
  <c r="BK56" i="13"/>
  <c r="BK68" i="13" s="1"/>
  <c r="BJ8" i="13"/>
  <c r="BS76" i="14"/>
  <c r="BS20" i="14"/>
  <c r="BI16" i="14"/>
  <c r="BI20" i="14" s="1"/>
  <c r="BI56" i="14"/>
  <c r="BI53" i="14" s="1"/>
  <c r="BG82" i="14"/>
  <c r="BO32" i="14"/>
  <c r="BM31" i="14"/>
  <c r="BQ68" i="14"/>
  <c r="BQ63" i="14" s="1"/>
  <c r="BQ50" i="14"/>
  <c r="BQ54" i="14" s="1"/>
  <c r="BK81" i="14"/>
  <c r="BQ53" i="14"/>
  <c r="BK132" i="14"/>
  <c r="BK133" i="14" s="1"/>
  <c r="BK142" i="14" s="1"/>
  <c r="AF42" i="38"/>
  <c r="AW53" i="38"/>
  <c r="K108" i="38"/>
  <c r="K109" i="38" s="1"/>
  <c r="AF30" i="38"/>
  <c r="AF29" i="38" s="1"/>
  <c r="AW68" i="38"/>
  <c r="AQ87" i="38"/>
  <c r="AY111" i="38"/>
  <c r="AY112" i="38" s="1"/>
  <c r="U50" i="38"/>
  <c r="U54" i="38" s="1"/>
  <c r="AX8" i="38"/>
  <c r="G56" i="38"/>
  <c r="G68" i="38" s="1"/>
  <c r="K56" i="38"/>
  <c r="K53" i="38" s="1"/>
  <c r="AH30" i="38"/>
  <c r="AH29" i="38" s="1"/>
  <c r="U87" i="38"/>
  <c r="BE75" i="38"/>
  <c r="BE76" i="38" s="1"/>
  <c r="BA111" i="38"/>
  <c r="BA112" i="38" s="1"/>
  <c r="BE56" i="38"/>
  <c r="BE50" i="38" s="1"/>
  <c r="BF62" i="38"/>
  <c r="BD8" i="38"/>
  <c r="BG56" i="38"/>
  <c r="BG50" i="38" s="1"/>
  <c r="BG54" i="38" s="1"/>
  <c r="BF41" i="38" s="1"/>
  <c r="O86" i="38"/>
  <c r="O87" i="38" s="1"/>
  <c r="O56" i="38"/>
  <c r="BD62" i="38"/>
  <c r="BG68" i="38"/>
  <c r="BE69" i="38"/>
  <c r="BE129" i="38"/>
  <c r="BE130" i="38" s="1"/>
  <c r="BG111" i="38"/>
  <c r="BG112" i="38" s="1"/>
  <c r="BF8" i="38"/>
  <c r="U90" i="38"/>
  <c r="BE68" i="38"/>
  <c r="DR141" i="3"/>
  <c r="DF111" i="3"/>
  <c r="DF112" i="3" s="1"/>
  <c r="CU24" i="3"/>
  <c r="CU23" i="3" s="1"/>
  <c r="DB132" i="3"/>
  <c r="DB133" i="3" s="1"/>
  <c r="DB141" i="3" s="1"/>
  <c r="DI111" i="3"/>
  <c r="DI112" i="3" s="1"/>
  <c r="DB75" i="3"/>
  <c r="DH8" i="3"/>
  <c r="DR108" i="3"/>
  <c r="DR109" i="3" s="1"/>
  <c r="DR56" i="3"/>
  <c r="DR53" i="3" s="1"/>
  <c r="DD56" i="3"/>
  <c r="DD50" i="3" s="1"/>
  <c r="DQ8" i="3"/>
  <c r="DC62" i="3"/>
  <c r="DD108" i="3"/>
  <c r="DD109" i="3" s="1"/>
  <c r="CU56" i="3"/>
  <c r="CU53" i="3" s="1"/>
  <c r="DF56" i="3"/>
  <c r="DF53" i="3" s="1"/>
  <c r="DF69" i="3"/>
  <c r="DH62" i="3"/>
  <c r="CW16" i="3"/>
  <c r="CW20" i="3" s="1"/>
  <c r="CW24" i="3" s="1"/>
  <c r="CW23" i="3" s="1"/>
  <c r="DD24" i="3"/>
  <c r="DD23" i="3" s="1"/>
  <c r="DF132" i="3"/>
  <c r="DF133" i="3" s="1"/>
  <c r="DI56" i="3"/>
  <c r="DI53" i="3" s="1"/>
  <c r="DP68" i="3"/>
  <c r="DA62" i="3"/>
  <c r="DM24" i="3"/>
  <c r="DM23" i="3" s="1"/>
  <c r="DO8" i="3"/>
  <c r="CY68" i="3"/>
  <c r="DO62" i="3"/>
  <c r="DD25" i="3"/>
  <c r="DD42" i="3"/>
  <c r="DF24" i="3"/>
  <c r="DF23" i="3" s="1"/>
  <c r="DB16" i="3"/>
  <c r="DB20" i="3" s="1"/>
  <c r="DB24" i="3" s="1"/>
  <c r="DB23" i="3" s="1"/>
  <c r="DM56" i="3"/>
  <c r="DM50" i="3" s="1"/>
  <c r="DB69" i="3"/>
  <c r="DE62" i="3"/>
  <c r="CW108" i="3"/>
  <c r="CW109" i="3" s="1"/>
  <c r="DF108" i="3"/>
  <c r="DF109" i="3" s="1"/>
  <c r="CW56" i="3"/>
  <c r="CW53" i="3" s="1"/>
  <c r="DL8" i="3"/>
  <c r="DF129" i="3"/>
  <c r="DF130" i="3" s="1"/>
  <c r="DF77" i="3"/>
  <c r="DF76" i="3" s="1"/>
  <c r="DL62" i="3"/>
  <c r="CY86" i="3"/>
  <c r="CY87" i="3" s="1"/>
  <c r="DM108" i="3"/>
  <c r="DM109" i="3" s="1"/>
  <c r="DS8" i="3"/>
  <c r="CV8" i="3"/>
  <c r="CU42" i="3"/>
  <c r="CU25" i="3"/>
  <c r="DM68" i="3"/>
  <c r="DT68" i="3"/>
  <c r="CW111" i="3"/>
  <c r="CW112" i="3" s="1"/>
  <c r="DF75" i="3"/>
  <c r="BS76" i="15"/>
  <c r="BS129" i="15"/>
  <c r="BS130" i="15" s="1"/>
  <c r="BS69" i="15"/>
  <c r="BS126" i="15"/>
  <c r="BS127" i="15" s="1"/>
  <c r="DH75" i="36"/>
  <c r="DH76" i="36" s="1"/>
  <c r="DH129" i="36"/>
  <c r="DH130" i="36" s="1"/>
  <c r="DH126" i="36"/>
  <c r="DH127" i="36" s="1"/>
  <c r="DH69" i="36"/>
  <c r="BK69" i="36"/>
  <c r="BK75" i="36"/>
  <c r="BK76" i="36" s="1"/>
  <c r="BK129" i="36"/>
  <c r="BK130" i="36" s="1"/>
  <c r="BK126" i="36"/>
  <c r="BK127" i="36" s="1"/>
  <c r="BK132" i="36"/>
  <c r="BK133" i="36" s="1"/>
  <c r="BK142" i="36" s="1"/>
  <c r="DE8" i="36"/>
  <c r="DF111" i="36"/>
  <c r="DF112" i="36" s="1"/>
  <c r="DF108" i="36"/>
  <c r="DF109" i="36" s="1"/>
  <c r="DF68" i="36"/>
  <c r="BC76" i="33"/>
  <c r="BC75" i="33"/>
  <c r="BC69" i="33"/>
  <c r="BC132" i="33"/>
  <c r="BC133" i="33" s="1"/>
  <c r="BC142" i="33" s="1"/>
  <c r="BC129" i="33"/>
  <c r="BC130" i="33" s="1"/>
  <c r="BC16" i="33"/>
  <c r="BC20" i="33" s="1"/>
  <c r="BC24" i="33" s="1"/>
  <c r="BC23" i="33" s="1"/>
  <c r="BC126" i="33"/>
  <c r="BC127" i="33" s="1"/>
  <c r="BC81" i="33"/>
  <c r="BL72" i="14"/>
  <c r="BM71" i="14"/>
  <c r="DD141" i="3"/>
  <c r="DK141" i="3"/>
  <c r="CW140" i="3"/>
  <c r="CW96" i="3"/>
  <c r="DF96" i="3"/>
  <c r="DF140" i="3"/>
  <c r="BE132" i="35"/>
  <c r="BE133" i="35" s="1"/>
  <c r="BE142" i="35" s="1"/>
  <c r="BE69" i="35"/>
  <c r="BE129" i="35"/>
  <c r="BE130" i="35" s="1"/>
  <c r="BE126" i="35"/>
  <c r="BE127" i="35" s="1"/>
  <c r="BE68" i="35"/>
  <c r="BE53" i="35"/>
  <c r="BE50" i="35"/>
  <c r="BE54" i="35" s="1"/>
  <c r="BG68" i="34"/>
  <c r="BG50" i="34"/>
  <c r="BG54" i="34" s="1"/>
  <c r="BG41" i="34" s="1"/>
  <c r="BG53" i="34"/>
  <c r="DF69" i="36"/>
  <c r="DF54" i="36"/>
  <c r="DF132" i="36"/>
  <c r="DF133" i="36" s="1"/>
  <c r="DF142" i="36" s="1"/>
  <c r="DF75" i="36"/>
  <c r="DF76" i="36" s="1"/>
  <c r="DF129" i="36"/>
  <c r="DF130" i="36" s="1"/>
  <c r="DF126" i="36"/>
  <c r="DF127" i="36" s="1"/>
  <c r="BQ75" i="15"/>
  <c r="BQ129" i="15"/>
  <c r="BQ69" i="15"/>
  <c r="BQ126" i="15"/>
  <c r="BQ20" i="15"/>
  <c r="BQ24" i="15" s="1"/>
  <c r="BQ23" i="15" s="1"/>
  <c r="BQ132" i="15"/>
  <c r="BQ76" i="15"/>
  <c r="BO20" i="15"/>
  <c r="BO24" i="15" s="1"/>
  <c r="BO23" i="15" s="1"/>
  <c r="DT50" i="3"/>
  <c r="DT54" i="3" s="1"/>
  <c r="DT129" i="3"/>
  <c r="DT130" i="3" s="1"/>
  <c r="DT69" i="3"/>
  <c r="DT132" i="3"/>
  <c r="DT133" i="3" s="1"/>
  <c r="DT141" i="3" s="1"/>
  <c r="DT53" i="3"/>
  <c r="DP53" i="3"/>
  <c r="DP50" i="3"/>
  <c r="DP54" i="3" s="1"/>
  <c r="BG132" i="38"/>
  <c r="BG133" i="38" s="1"/>
  <c r="BG141" i="38" s="1"/>
  <c r="BG129" i="38"/>
  <c r="BG130" i="38" s="1"/>
  <c r="BG75" i="38"/>
  <c r="BG76" i="38" s="1"/>
  <c r="BG83" i="38"/>
  <c r="BG82" i="38"/>
  <c r="BG81" i="38"/>
  <c r="BG30" i="38"/>
  <c r="BG29" i="38" s="1"/>
  <c r="BG69" i="38"/>
  <c r="BG53" i="38"/>
  <c r="BA68" i="38"/>
  <c r="AH31" i="38"/>
  <c r="AZ62" i="38"/>
  <c r="BC30" i="38"/>
  <c r="BC29" i="38" s="1"/>
  <c r="N8" i="38"/>
  <c r="BA56" i="38"/>
  <c r="BA53" i="38" s="1"/>
  <c r="O111" i="38"/>
  <c r="O112" i="38" s="1"/>
  <c r="L42" i="38"/>
  <c r="G16" i="38"/>
  <c r="G20" i="38" s="1"/>
  <c r="G24" i="38" s="1"/>
  <c r="G23" i="38" s="1"/>
  <c r="AZ8" i="38"/>
  <c r="L30" i="38"/>
  <c r="L29" i="38" s="1"/>
  <c r="BE16" i="38"/>
  <c r="BE20" i="38" s="1"/>
  <c r="BE24" i="38" s="1"/>
  <c r="BE23" i="38" s="1"/>
  <c r="I54" i="38"/>
  <c r="H41" i="38" s="1"/>
  <c r="BQ69" i="14"/>
  <c r="BQ132" i="14"/>
  <c r="BQ133" i="14" s="1"/>
  <c r="BQ142" i="14" s="1"/>
  <c r="BQ76" i="14"/>
  <c r="BC132" i="35"/>
  <c r="BC133" i="35" s="1"/>
  <c r="BC142" i="35" s="1"/>
  <c r="BC69" i="35"/>
  <c r="BC129" i="35"/>
  <c r="BC130" i="35" s="1"/>
  <c r="BC126" i="35"/>
  <c r="BC127" i="35" s="1"/>
  <c r="BC68" i="35"/>
  <c r="BC50" i="35"/>
  <c r="BC54" i="35" s="1"/>
  <c r="BC53" i="35"/>
  <c r="BA69" i="35"/>
  <c r="BA77" i="35"/>
  <c r="BA76" i="35" s="1"/>
  <c r="BA75" i="35"/>
  <c r="BA132" i="35"/>
  <c r="BA133" i="35" s="1"/>
  <c r="BA142" i="35" s="1"/>
  <c r="BA129" i="35"/>
  <c r="BA130" i="35" s="1"/>
  <c r="BA126" i="35"/>
  <c r="BA127" i="35" s="1"/>
  <c r="BA86" i="35"/>
  <c r="BA84" i="35"/>
  <c r="BA81" i="35"/>
  <c r="BA50" i="35"/>
  <c r="BA54" i="35" s="1"/>
  <c r="BA68" i="35"/>
  <c r="BA53" i="35"/>
  <c r="BO75" i="15"/>
  <c r="BO129" i="15"/>
  <c r="BO69" i="15"/>
  <c r="BO126" i="15"/>
  <c r="BO76" i="15"/>
  <c r="DI83" i="3"/>
  <c r="DI82" i="3"/>
  <c r="DI81" i="3"/>
  <c r="DM96" i="3"/>
  <c r="DM140" i="3"/>
  <c r="DM141" i="3" s="1"/>
  <c r="DM83" i="3"/>
  <c r="DM82" i="3"/>
  <c r="DM81" i="3"/>
  <c r="DK83" i="3"/>
  <c r="DK82" i="3"/>
  <c r="DK81" i="3"/>
  <c r="BE83" i="38"/>
  <c r="BE82" i="38"/>
  <c r="BE81" i="38"/>
  <c r="BE30" i="38"/>
  <c r="BE29" i="38" s="1"/>
  <c r="BO69" i="14"/>
  <c r="BO20" i="14"/>
  <c r="BO132" i="14"/>
  <c r="BO133" i="14" s="1"/>
  <c r="BO142" i="14" s="1"/>
  <c r="BO75" i="14"/>
  <c r="BO54" i="14"/>
  <c r="BM41" i="14"/>
  <c r="BM49" i="14"/>
  <c r="BM81" i="14"/>
  <c r="BM132" i="14"/>
  <c r="BM133" i="14" s="1"/>
  <c r="BM142" i="14" s="1"/>
  <c r="BM75" i="14"/>
  <c r="BM69" i="14"/>
  <c r="BM77" i="14"/>
  <c r="BM76" i="14" s="1"/>
  <c r="BC50" i="38"/>
  <c r="BC54" i="38" s="1"/>
  <c r="BB41" i="38" s="1"/>
  <c r="BC83" i="38"/>
  <c r="BC82" i="38"/>
  <c r="BC81" i="38"/>
  <c r="BC132" i="38"/>
  <c r="BC133" i="38" s="1"/>
  <c r="BC141" i="38" s="1"/>
  <c r="BC129" i="38"/>
  <c r="BC130" i="38" s="1"/>
  <c r="BC16" i="38"/>
  <c r="BC20" i="38" s="1"/>
  <c r="BC24" i="38" s="1"/>
  <c r="BC23" i="38" s="1"/>
  <c r="BC75" i="38"/>
  <c r="BC77" i="38" s="1"/>
  <c r="BC76" i="38" s="1"/>
  <c r="BC69" i="38"/>
  <c r="BC53" i="38"/>
  <c r="AP30" i="38"/>
  <c r="AP29" i="38" s="1"/>
  <c r="AP42" i="38"/>
  <c r="AP31" i="38"/>
  <c r="I53" i="38"/>
  <c r="I68" i="38"/>
  <c r="F31" i="38"/>
  <c r="F42" i="38"/>
  <c r="F30" i="38"/>
  <c r="F29" i="38" s="1"/>
  <c r="AU111" i="38"/>
  <c r="AU112" i="38" s="1"/>
  <c r="AR42" i="38"/>
  <c r="AR31" i="38"/>
  <c r="AT8" i="38"/>
  <c r="Q53" i="38"/>
  <c r="Q68" i="38"/>
  <c r="Q86" i="38"/>
  <c r="Q84" i="38"/>
  <c r="AU56" i="38"/>
  <c r="AU68" i="38" s="1"/>
  <c r="I10" i="38"/>
  <c r="Z31" i="38"/>
  <c r="Z30" i="38"/>
  <c r="Z29" i="38" s="1"/>
  <c r="Z42" i="38"/>
  <c r="DB53" i="3"/>
  <c r="DB50" i="3"/>
  <c r="DF25" i="3"/>
  <c r="DF42" i="3"/>
  <c r="DF83" i="3"/>
  <c r="DF82" i="3"/>
  <c r="DF81" i="3"/>
  <c r="DB83" i="3"/>
  <c r="DB82" i="3"/>
  <c r="DB81" i="3"/>
  <c r="DD87" i="3"/>
  <c r="DD89" i="3"/>
  <c r="BM77" i="15"/>
  <c r="BM76" i="15" s="1"/>
  <c r="BM75" i="15"/>
  <c r="BM129" i="15"/>
  <c r="BM69" i="15"/>
  <c r="BM126" i="15"/>
  <c r="BM89" i="15"/>
  <c r="BM87" i="15"/>
  <c r="BK81" i="15"/>
  <c r="BG132" i="36"/>
  <c r="BG133" i="36" s="1"/>
  <c r="BG142" i="36" s="1"/>
  <c r="BI129" i="36"/>
  <c r="BI130" i="36" s="1"/>
  <c r="BI69" i="36"/>
  <c r="BI126" i="36"/>
  <c r="BI127" i="36" s="1"/>
  <c r="BI50" i="36"/>
  <c r="BI68" i="36"/>
  <c r="BA117" i="33"/>
  <c r="BA116" i="33" s="1"/>
  <c r="BA114" i="33" s="1"/>
  <c r="BA115" i="33" s="1"/>
  <c r="BA75" i="33"/>
  <c r="BA132" i="33"/>
  <c r="BA133" i="33" s="1"/>
  <c r="BA142" i="33" s="1"/>
  <c r="BA69" i="33"/>
  <c r="BA129" i="33"/>
  <c r="BA130" i="33" s="1"/>
  <c r="BA126" i="33"/>
  <c r="BA127" i="33" s="1"/>
  <c r="BA81" i="33"/>
  <c r="BA89" i="33"/>
  <c r="BA87" i="33"/>
  <c r="BA77" i="33"/>
  <c r="BA76" i="33" s="1"/>
  <c r="BA68" i="33"/>
  <c r="BA50" i="33"/>
  <c r="BA53" i="33"/>
  <c r="BB42" i="34"/>
  <c r="BB31" i="34"/>
  <c r="BB30" i="34"/>
  <c r="BB29" i="34" s="1"/>
  <c r="BC89" i="34"/>
  <c r="BC87" i="34"/>
  <c r="BA56" i="34"/>
  <c r="BA50" i="34" s="1"/>
  <c r="BA54" i="34" s="1"/>
  <c r="AZ8" i="34"/>
  <c r="AY89" i="35"/>
  <c r="AY90" i="35" s="1"/>
  <c r="DD69" i="36"/>
  <c r="DD132" i="36"/>
  <c r="DD133" i="36" s="1"/>
  <c r="DD142" i="36" s="1"/>
  <c r="DD75" i="36"/>
  <c r="DD77" i="36" s="1"/>
  <c r="DD76" i="36" s="1"/>
  <c r="DD129" i="36"/>
  <c r="DD130" i="36" s="1"/>
  <c r="DD126" i="36"/>
  <c r="DD127" i="36" s="1"/>
  <c r="DD81" i="36"/>
  <c r="DD86" i="36"/>
  <c r="DD84" i="36"/>
  <c r="BG16" i="36"/>
  <c r="BG20" i="36" s="1"/>
  <c r="BG76" i="36"/>
  <c r="BG74" i="36" s="1"/>
  <c r="BG129" i="36"/>
  <c r="BG130" i="36" s="1"/>
  <c r="BG126" i="36"/>
  <c r="BG127" i="36" s="1"/>
  <c r="BG53" i="36"/>
  <c r="BG50" i="36"/>
  <c r="BG68" i="36"/>
  <c r="DB16" i="36"/>
  <c r="DB20" i="36" s="1"/>
  <c r="BA83" i="38"/>
  <c r="BA82" i="38"/>
  <c r="BA81" i="38"/>
  <c r="BA132" i="38"/>
  <c r="BA133" i="38" s="1"/>
  <c r="BA141" i="38" s="1"/>
  <c r="BA129" i="38"/>
  <c r="BA130" i="38" s="1"/>
  <c r="BA16" i="38"/>
  <c r="BA20" i="38" s="1"/>
  <c r="BA24" i="38" s="1"/>
  <c r="BA23" i="38" s="1"/>
  <c r="BA75" i="38"/>
  <c r="BA77" i="38" s="1"/>
  <c r="BA76" i="38" s="1"/>
  <c r="BA69" i="38"/>
  <c r="AY69" i="38"/>
  <c r="AY132" i="38"/>
  <c r="AY133" i="38" s="1"/>
  <c r="AY141" i="38" s="1"/>
  <c r="AY129" i="38"/>
  <c r="AY130" i="38" s="1"/>
  <c r="AY81" i="38"/>
  <c r="AY75" i="38"/>
  <c r="AY77" i="38" s="1"/>
  <c r="AY76" i="38" s="1"/>
  <c r="AY42" i="38"/>
  <c r="AY89" i="38"/>
  <c r="AY87" i="38"/>
  <c r="AY53" i="38"/>
  <c r="AY50" i="38"/>
  <c r="AY54" i="38" s="1"/>
  <c r="AX41" i="38" s="1"/>
  <c r="S93" i="38"/>
  <c r="S90" i="38"/>
  <c r="AE93" i="38"/>
  <c r="AE90" i="38"/>
  <c r="AO86" i="38"/>
  <c r="AO84" i="38"/>
  <c r="AQ50" i="38"/>
  <c r="AQ54" i="38" s="1"/>
  <c r="AQ68" i="38"/>
  <c r="AQ53" i="38"/>
  <c r="AI68" i="38"/>
  <c r="AI50" i="38"/>
  <c r="AS50" i="38"/>
  <c r="AS54" i="38" s="1"/>
  <c r="AS68" i="38"/>
  <c r="U94" i="38"/>
  <c r="U98" i="38"/>
  <c r="AU89" i="38"/>
  <c r="AU87" i="38"/>
  <c r="AS30" i="38"/>
  <c r="AS29" i="38" s="1"/>
  <c r="AS25" i="38"/>
  <c r="Y86" i="38"/>
  <c r="Y84" i="38"/>
  <c r="AC93" i="38"/>
  <c r="AC90" i="38"/>
  <c r="I84" i="38"/>
  <c r="I86" i="38"/>
  <c r="AI25" i="38"/>
  <c r="AI30" i="38"/>
  <c r="AI29" i="38" s="1"/>
  <c r="AC68" i="38"/>
  <c r="AC50" i="38"/>
  <c r="AC54" i="38" s="1"/>
  <c r="AC41" i="38" s="1"/>
  <c r="G132" i="38"/>
  <c r="G133" i="38" s="1"/>
  <c r="G75" i="38"/>
  <c r="G129" i="38"/>
  <c r="G130" i="38" s="1"/>
  <c r="G142" i="38" s="1"/>
  <c r="G69" i="38"/>
  <c r="W111" i="38"/>
  <c r="W112" i="38" s="1"/>
  <c r="W56" i="38"/>
  <c r="V8" i="38"/>
  <c r="W108" i="38"/>
  <c r="W109" i="38" s="1"/>
  <c r="G89" i="38"/>
  <c r="G87" i="38"/>
  <c r="AG89" i="38"/>
  <c r="AG87" i="38"/>
  <c r="AK50" i="38"/>
  <c r="AK68" i="38"/>
  <c r="AK89" i="38"/>
  <c r="AK87" i="38"/>
  <c r="W89" i="38"/>
  <c r="W87" i="38"/>
  <c r="AS86" i="38"/>
  <c r="AS84" i="38"/>
  <c r="AA68" i="38"/>
  <c r="AA53" i="38"/>
  <c r="AA50" i="38"/>
  <c r="AA54" i="38" s="1"/>
  <c r="AA89" i="38"/>
  <c r="AA87" i="38"/>
  <c r="AW49" i="38"/>
  <c r="AE68" i="38"/>
  <c r="AE50" i="38"/>
  <c r="K86" i="38"/>
  <c r="K84" i="38"/>
  <c r="AW93" i="38"/>
  <c r="AW90" i="38"/>
  <c r="J2" i="38"/>
  <c r="J10" i="38" s="1"/>
  <c r="K131" i="38"/>
  <c r="L4" i="38"/>
  <c r="AO50" i="38"/>
  <c r="AO54" i="38" s="1"/>
  <c r="AO68" i="38"/>
  <c r="AO53" i="38"/>
  <c r="AG68" i="38"/>
  <c r="AG50" i="38"/>
  <c r="AK53" i="38"/>
  <c r="S68" i="38"/>
  <c r="S53" i="38"/>
  <c r="S50" i="38"/>
  <c r="S54" i="38" s="1"/>
  <c r="R41" i="38" s="1"/>
  <c r="AQ93" i="38"/>
  <c r="AQ90" i="38"/>
  <c r="AM50" i="38"/>
  <c r="AM54" i="38" s="1"/>
  <c r="AL41" i="38" s="1"/>
  <c r="AM68" i="38"/>
  <c r="AI89" i="38"/>
  <c r="AI87" i="38"/>
  <c r="M86" i="38"/>
  <c r="M84" i="38"/>
  <c r="AM86" i="38"/>
  <c r="AM84" i="38"/>
  <c r="Y50" i="38"/>
  <c r="Y68" i="38"/>
  <c r="Q54" i="38"/>
  <c r="Q49" i="38" s="1"/>
  <c r="BM82" i="13"/>
  <c r="BM81" i="13"/>
  <c r="BO80" i="13"/>
  <c r="BO81" i="13" s="1"/>
  <c r="BO78" i="13"/>
  <c r="BO149" i="13" s="1"/>
  <c r="BO152" i="13" s="1"/>
  <c r="DB129" i="36"/>
  <c r="DB130" i="36" s="1"/>
  <c r="DB69" i="36"/>
  <c r="DB126" i="36"/>
  <c r="DB127" i="36" s="1"/>
  <c r="DB50" i="36"/>
  <c r="DB54" i="36" s="1"/>
  <c r="DB68" i="36"/>
  <c r="BO53" i="13"/>
  <c r="BO50" i="13"/>
  <c r="BO54" i="13" s="1"/>
  <c r="BQ50" i="13"/>
  <c r="BQ54" i="13" s="1"/>
  <c r="BQ68" i="13"/>
  <c r="BQ129" i="13"/>
  <c r="BQ130" i="13" s="1"/>
  <c r="BQ126" i="13"/>
  <c r="BQ127" i="13" s="1"/>
  <c r="BQ132" i="13"/>
  <c r="BQ133" i="13" s="1"/>
  <c r="BQ142" i="13" s="1"/>
  <c r="BO69" i="13"/>
  <c r="BO75" i="13"/>
  <c r="BO132" i="13"/>
  <c r="BO133" i="13" s="1"/>
  <c r="BO142" i="13" s="1"/>
  <c r="BO129" i="13"/>
  <c r="BO130" i="13" s="1"/>
  <c r="BO126" i="13"/>
  <c r="BO127" i="13" s="1"/>
  <c r="BM77" i="13"/>
  <c r="BM132" i="13"/>
  <c r="BM133" i="13" s="1"/>
  <c r="BM142" i="13" s="1"/>
  <c r="BM69" i="13"/>
  <c r="BM129" i="13"/>
  <c r="BM130" i="13" s="1"/>
  <c r="BM126" i="13"/>
  <c r="BM127" i="13" s="1"/>
  <c r="BM75" i="13"/>
  <c r="BM53" i="13"/>
  <c r="BM50" i="13"/>
  <c r="BM54" i="13" s="1"/>
  <c r="BM68" i="13"/>
  <c r="CY56" i="3"/>
  <c r="CY50" i="3" s="1"/>
  <c r="CY54" i="3" s="1"/>
  <c r="CY111" i="3"/>
  <c r="CY112" i="3" s="1"/>
  <c r="CX8" i="3"/>
  <c r="CY108" i="3"/>
  <c r="CY109" i="3" s="1"/>
  <c r="CW86" i="3"/>
  <c r="CW87" i="3" s="1"/>
  <c r="CU84" i="3"/>
  <c r="CU89" i="3"/>
  <c r="CU90" i="3" s="1"/>
  <c r="CT8" i="3"/>
  <c r="CT62" i="3"/>
  <c r="CR8" i="3"/>
  <c r="CR62" i="3"/>
  <c r="CS108" i="3"/>
  <c r="CS109" i="3" s="1"/>
  <c r="CS56" i="3"/>
  <c r="CS50" i="3" s="1"/>
  <c r="CS54" i="3" s="1"/>
  <c r="CR41" i="3" s="1"/>
  <c r="CS111" i="3"/>
  <c r="CS112" i="3" s="1"/>
  <c r="CS68" i="3"/>
  <c r="CU111" i="3"/>
  <c r="CU112" i="3" s="1"/>
  <c r="CU68" i="3"/>
  <c r="CS129" i="3"/>
  <c r="CS130" i="3" s="1"/>
  <c r="CS69" i="3"/>
  <c r="CS75" i="3"/>
  <c r="CS132" i="3"/>
  <c r="CS133" i="3" s="1"/>
  <c r="CS141" i="3" s="1"/>
  <c r="CS77" i="3"/>
  <c r="CS76" i="3" s="1"/>
  <c r="CS86" i="3"/>
  <c r="CS84" i="3"/>
  <c r="CS42" i="3"/>
  <c r="CS25" i="3"/>
  <c r="CY76" i="3"/>
  <c r="CY69" i="3"/>
  <c r="CY75" i="3"/>
  <c r="CY16" i="3"/>
  <c r="CY20" i="3" s="1"/>
  <c r="CY24" i="3" s="1"/>
  <c r="CY23" i="3" s="1"/>
  <c r="CY81" i="3"/>
  <c r="CY132" i="3"/>
  <c r="CY133" i="3" s="1"/>
  <c r="CY141" i="3" s="1"/>
  <c r="CY129" i="3"/>
  <c r="CY130" i="3" s="1"/>
  <c r="CW69" i="3"/>
  <c r="CW75" i="3"/>
  <c r="CW132" i="3"/>
  <c r="CW133" i="3" s="1"/>
  <c r="CW77" i="3"/>
  <c r="CW76" i="3" s="1"/>
  <c r="CW129" i="3"/>
  <c r="CW130" i="3" s="1"/>
  <c r="CY30" i="3"/>
  <c r="CY29" i="3" s="1"/>
  <c r="CY25" i="3"/>
  <c r="AX31" i="37"/>
  <c r="AX42" i="37"/>
  <c r="M50" i="37"/>
  <c r="M54" i="37" s="1"/>
  <c r="M68" i="37"/>
  <c r="J30" i="37"/>
  <c r="J29" i="37" s="1"/>
  <c r="J42" i="37"/>
  <c r="J31" i="37"/>
  <c r="AA111" i="37"/>
  <c r="AA112" i="37" s="1"/>
  <c r="AA108" i="37"/>
  <c r="AA109" i="37" s="1"/>
  <c r="AA56" i="37"/>
  <c r="Z8" i="37"/>
  <c r="U89" i="37"/>
  <c r="U87" i="37"/>
  <c r="AO89" i="37"/>
  <c r="AO87" i="37"/>
  <c r="I75" i="37"/>
  <c r="I69" i="37"/>
  <c r="I81" i="37"/>
  <c r="I129" i="37"/>
  <c r="I130" i="37" s="1"/>
  <c r="I142" i="37" s="1"/>
  <c r="V49" i="37"/>
  <c r="W45" i="37"/>
  <c r="W44" i="37" s="1"/>
  <c r="W43" i="37" s="1"/>
  <c r="V45" i="37"/>
  <c r="O50" i="37"/>
  <c r="O68" i="37"/>
  <c r="K98" i="37"/>
  <c r="K94" i="37"/>
  <c r="AQ50" i="37"/>
  <c r="AQ54" i="37" s="1"/>
  <c r="AQ41" i="37" s="1"/>
  <c r="AQ68" i="37"/>
  <c r="O53" i="37"/>
  <c r="AC111" i="37"/>
  <c r="AC112" i="37" s="1"/>
  <c r="AC108" i="37"/>
  <c r="AC109" i="37" s="1"/>
  <c r="AC56" i="37"/>
  <c r="AB8" i="37"/>
  <c r="V42" i="37"/>
  <c r="V41" i="37" s="1"/>
  <c r="V31" i="37"/>
  <c r="V30" i="37"/>
  <c r="V29" i="37" s="1"/>
  <c r="AW50" i="37"/>
  <c r="AW54" i="37" s="1"/>
  <c r="AW68" i="37"/>
  <c r="I89" i="37"/>
  <c r="I87" i="37"/>
  <c r="G129" i="37"/>
  <c r="G130" i="37" s="1"/>
  <c r="G142" i="37" s="1"/>
  <c r="G75" i="37"/>
  <c r="G69" i="37"/>
  <c r="G16" i="37"/>
  <c r="G20" i="37" s="1"/>
  <c r="G24" i="37" s="1"/>
  <c r="G23" i="37" s="1"/>
  <c r="AK68" i="37"/>
  <c r="AK53" i="37"/>
  <c r="AK50" i="37"/>
  <c r="AS93" i="37"/>
  <c r="AS90" i="37"/>
  <c r="AW86" i="37"/>
  <c r="AW84" i="37"/>
  <c r="S45" i="37"/>
  <c r="S44" i="37" s="1"/>
  <c r="S43" i="37" s="1"/>
  <c r="R49" i="37"/>
  <c r="R45" i="37"/>
  <c r="R44" i="37" s="1"/>
  <c r="R43" i="37" s="1"/>
  <c r="AC87" i="37"/>
  <c r="AC89" i="37"/>
  <c r="AS111" i="37"/>
  <c r="AS112" i="37" s="1"/>
  <c r="AS108" i="37"/>
  <c r="AS109" i="37" s="1"/>
  <c r="AS56" i="37"/>
  <c r="AR8" i="37"/>
  <c r="AY86" i="37"/>
  <c r="AY84" i="37"/>
  <c r="AU86" i="37"/>
  <c r="AU84" i="37"/>
  <c r="AP31" i="37"/>
  <c r="AP30" i="37"/>
  <c r="AP29" i="37" s="1"/>
  <c r="AP42" i="37"/>
  <c r="Q53" i="37"/>
  <c r="Q50" i="37"/>
  <c r="Q68" i="37"/>
  <c r="AI84" i="37"/>
  <c r="AI86" i="37"/>
  <c r="AG87" i="37"/>
  <c r="AG89" i="37"/>
  <c r="AG50" i="37"/>
  <c r="AG54" i="37" s="1"/>
  <c r="AG68" i="37"/>
  <c r="Z31" i="37"/>
  <c r="Z30" i="37"/>
  <c r="Z29" i="37" s="1"/>
  <c r="Z42" i="37"/>
  <c r="AY54" i="37"/>
  <c r="AY41" i="37" s="1"/>
  <c r="O86" i="37"/>
  <c r="O84" i="37"/>
  <c r="BA83" i="37"/>
  <c r="BA82" i="37"/>
  <c r="N42" i="37"/>
  <c r="N31" i="37"/>
  <c r="N30" i="37"/>
  <c r="N29" i="37" s="1"/>
  <c r="G132" i="37"/>
  <c r="G133" i="37" s="1"/>
  <c r="I132" i="37"/>
  <c r="I133" i="37" s="1"/>
  <c r="AI49" i="37"/>
  <c r="U50" i="37"/>
  <c r="U54" i="37" s="1"/>
  <c r="U68" i="37"/>
  <c r="G84" i="37"/>
  <c r="G86" i="37"/>
  <c r="AX30" i="37"/>
  <c r="AX29" i="37" s="1"/>
  <c r="AO53" i="37"/>
  <c r="AO50" i="37"/>
  <c r="AO68" i="37"/>
  <c r="AU50" i="37"/>
  <c r="AU68" i="37"/>
  <c r="AU54" i="37"/>
  <c r="AU41" i="37" s="1"/>
  <c r="M53" i="37"/>
  <c r="AT42" i="37"/>
  <c r="AT31" i="37"/>
  <c r="AE68" i="37"/>
  <c r="AE53" i="37"/>
  <c r="AE50" i="37"/>
  <c r="AE54" i="37" s="1"/>
  <c r="AE41" i="37" s="1"/>
  <c r="AM84" i="37"/>
  <c r="AM86" i="37"/>
  <c r="M93" i="37"/>
  <c r="M90" i="37"/>
  <c r="I54" i="37"/>
  <c r="I49" i="37" s="1"/>
  <c r="K50" i="37"/>
  <c r="K54" i="37"/>
  <c r="K41" i="37" s="1"/>
  <c r="K68" i="37"/>
  <c r="AL31" i="37"/>
  <c r="AL30" i="37"/>
  <c r="AL29" i="37" s="1"/>
  <c r="AL42" i="37"/>
  <c r="G49" i="37"/>
  <c r="BA50" i="37"/>
  <c r="BA68" i="37"/>
  <c r="BA54" i="37"/>
  <c r="BA41" i="37" s="1"/>
  <c r="S93" i="37"/>
  <c r="S90" i="37"/>
  <c r="F41" i="37"/>
  <c r="I16" i="37"/>
  <c r="I20" i="37" s="1"/>
  <c r="I24" i="37" s="1"/>
  <c r="I23" i="37" s="1"/>
  <c r="AT30" i="37"/>
  <c r="AT29" i="37" s="1"/>
  <c r="AD42" i="37"/>
  <c r="AD31" i="37"/>
  <c r="AD30" i="37"/>
  <c r="AD29" i="37" s="1"/>
  <c r="AW25" i="37"/>
  <c r="AW30" i="37"/>
  <c r="AW29" i="37" s="1"/>
  <c r="P42" i="37"/>
  <c r="P31" i="37"/>
  <c r="P30" i="37"/>
  <c r="P29" i="37" s="1"/>
  <c r="I41" i="37"/>
  <c r="AE84" i="37"/>
  <c r="AE86" i="37"/>
  <c r="AK84" i="37"/>
  <c r="AK86" i="37"/>
  <c r="Q86" i="37"/>
  <c r="Q84" i="37"/>
  <c r="K131" i="37"/>
  <c r="J2" i="37"/>
  <c r="J10" i="37" s="1"/>
  <c r="L4" i="37"/>
  <c r="AQ98" i="37"/>
  <c r="AQ94" i="37"/>
  <c r="BK83" i="13"/>
  <c r="BK84" i="13" s="1"/>
  <c r="BA82" i="34"/>
  <c r="AY84" i="35"/>
  <c r="AY50" i="35"/>
  <c r="AY54" i="35" s="1"/>
  <c r="AX41" i="35" s="1"/>
  <c r="AW68" i="35"/>
  <c r="AW53" i="35"/>
  <c r="AW50" i="35"/>
  <c r="AW54" i="35" s="1"/>
  <c r="AY132" i="35"/>
  <c r="AY133" i="35" s="1"/>
  <c r="AY142" i="35" s="1"/>
  <c r="AY77" i="35"/>
  <c r="AY76" i="35" s="1"/>
  <c r="AY75" i="35"/>
  <c r="AY129" i="35"/>
  <c r="AY130" i="35" s="1"/>
  <c r="AY69" i="35"/>
  <c r="AY126" i="35"/>
  <c r="AY127" i="35" s="1"/>
  <c r="AY16" i="35"/>
  <c r="AY20" i="35" s="1"/>
  <c r="AY24" i="35" s="1"/>
  <c r="AY23" i="35" s="1"/>
  <c r="AW126" i="35"/>
  <c r="AW127" i="35" s="1"/>
  <c r="AW132" i="35"/>
  <c r="AW133" i="35" s="1"/>
  <c r="AW142" i="35" s="1"/>
  <c r="AW77" i="35"/>
  <c r="AW76" i="35" s="1"/>
  <c r="AW75" i="35"/>
  <c r="AW81" i="35"/>
  <c r="AW129" i="35"/>
  <c r="AW130" i="35" s="1"/>
  <c r="AW69" i="35"/>
  <c r="AW89" i="35"/>
  <c r="AW87" i="35"/>
  <c r="AW16" i="35"/>
  <c r="AW20" i="35" s="1"/>
  <c r="AW24" i="35" s="1"/>
  <c r="AW23" i="35" s="1"/>
  <c r="AU81" i="35"/>
  <c r="AU68" i="35"/>
  <c r="AU50" i="35"/>
  <c r="AU54" i="35" s="1"/>
  <c r="AU90" i="35"/>
  <c r="AU93" i="35"/>
  <c r="AU126" i="35"/>
  <c r="AU127" i="35" s="1"/>
  <c r="AU132" i="35"/>
  <c r="AU133" i="35" s="1"/>
  <c r="AU142" i="35" s="1"/>
  <c r="AU75" i="35"/>
  <c r="AU129" i="35"/>
  <c r="AU130" i="35" s="1"/>
  <c r="AU69" i="35"/>
  <c r="AU77" i="35"/>
  <c r="AU76" i="35" s="1"/>
  <c r="AW87" i="33"/>
  <c r="AW89" i="33"/>
  <c r="AU93" i="33"/>
  <c r="AU87" i="33"/>
  <c r="AW132" i="33"/>
  <c r="AW75" i="33"/>
  <c r="AW81" i="33"/>
  <c r="AW129" i="33"/>
  <c r="AW69" i="33"/>
  <c r="AW126" i="33"/>
  <c r="AY132" i="33"/>
  <c r="AY133" i="33" s="1"/>
  <c r="AY142" i="33" s="1"/>
  <c r="AY75" i="33"/>
  <c r="AY81" i="33"/>
  <c r="AY129" i="33"/>
  <c r="AY69" i="33"/>
  <c r="AY126" i="33"/>
  <c r="AU132" i="33"/>
  <c r="AU75" i="33"/>
  <c r="AU129" i="33"/>
  <c r="AU69" i="33"/>
  <c r="AU77" i="33"/>
  <c r="AU76" i="33" s="1"/>
  <c r="AU16" i="33"/>
  <c r="AU20" i="33" s="1"/>
  <c r="AU24" i="33" s="1"/>
  <c r="AU23" i="33" s="1"/>
  <c r="AU126" i="33"/>
  <c r="AW16" i="33"/>
  <c r="AW20" i="33" s="1"/>
  <c r="AW24" i="33" s="1"/>
  <c r="AW23" i="33" s="1"/>
  <c r="AY89" i="33"/>
  <c r="AY87" i="33"/>
  <c r="AY77" i="33"/>
  <c r="AY76" i="33" s="1"/>
  <c r="AY16" i="33"/>
  <c r="AY20" i="33" s="1"/>
  <c r="AY24" i="33" s="1"/>
  <c r="AY23" i="33" s="1"/>
  <c r="BA86" i="34"/>
  <c r="BA89" i="34" s="1"/>
  <c r="BA90" i="34" s="1"/>
  <c r="BA84" i="34"/>
  <c r="BA30" i="34"/>
  <c r="BA29" i="34" s="1"/>
  <c r="BA25" i="34"/>
  <c r="AY25" i="34"/>
  <c r="AY30" i="34"/>
  <c r="AY29" i="34" s="1"/>
  <c r="AY89" i="34"/>
  <c r="AY87" i="34"/>
  <c r="AX42" i="34"/>
  <c r="AX31" i="34"/>
  <c r="AY50" i="34"/>
  <c r="AY54" i="34" s="1"/>
  <c r="AY41" i="34" s="1"/>
  <c r="AY68" i="34"/>
  <c r="AW54" i="34"/>
  <c r="AW41" i="34" s="1"/>
  <c r="AV42" i="34"/>
  <c r="AV31" i="34"/>
  <c r="AV30" i="34"/>
  <c r="AV29" i="34" s="1"/>
  <c r="AW90" i="34"/>
  <c r="AW93" i="34"/>
  <c r="BK86" i="15"/>
  <c r="BK84" i="15"/>
  <c r="BK69" i="15"/>
  <c r="BK16" i="15"/>
  <c r="BK20" i="15" s="1"/>
  <c r="BK24" i="15" s="1"/>
  <c r="BK23" i="15" s="1"/>
  <c r="BK77" i="15"/>
  <c r="BK76" i="15" s="1"/>
  <c r="BK129" i="15"/>
  <c r="BK126" i="15"/>
  <c r="BK75" i="15"/>
  <c r="BG77" i="15"/>
  <c r="BG76" i="15" s="1"/>
  <c r="BI132" i="15"/>
  <c r="BG69" i="15"/>
  <c r="BI86" i="15"/>
  <c r="BI84" i="15"/>
  <c r="BG86" i="15"/>
  <c r="BG84" i="15"/>
  <c r="BG16" i="15"/>
  <c r="BG20" i="15" s="1"/>
  <c r="BG24" i="15" s="1"/>
  <c r="BG23" i="15" s="1"/>
  <c r="BG129" i="15"/>
  <c r="BG126" i="15"/>
  <c r="BG75" i="15"/>
  <c r="BI16" i="15"/>
  <c r="BI20" i="15" s="1"/>
  <c r="BI24" i="15" s="1"/>
  <c r="BI23" i="15" s="1"/>
  <c r="BI129" i="15"/>
  <c r="BI126" i="15"/>
  <c r="BI77" i="15"/>
  <c r="BI76" i="15" s="1"/>
  <c r="BI75" i="15"/>
  <c r="BG132" i="15"/>
  <c r="BI69" i="15"/>
  <c r="BJ8" i="14"/>
  <c r="BJ62" i="14"/>
  <c r="BK111" i="14"/>
  <c r="BK112" i="14" s="1"/>
  <c r="BK108" i="14"/>
  <c r="BK109" i="14" s="1"/>
  <c r="BK56" i="14"/>
  <c r="BK53" i="14" s="1"/>
  <c r="BI81" i="14"/>
  <c r="BI82" i="14"/>
  <c r="BE86" i="14"/>
  <c r="BE89" i="14" s="1"/>
  <c r="BE82" i="14"/>
  <c r="BE81" i="14"/>
  <c r="BI86" i="14"/>
  <c r="BI89" i="14" s="1"/>
  <c r="BI108" i="14"/>
  <c r="BI109" i="14" s="1"/>
  <c r="BH8" i="14"/>
  <c r="BG84" i="14"/>
  <c r="BI77" i="14"/>
  <c r="BI76" i="14" s="1"/>
  <c r="BK16" i="14"/>
  <c r="BK20" i="14" s="1"/>
  <c r="BI142" i="14"/>
  <c r="BK77" i="14"/>
  <c r="BK76" i="14" s="1"/>
  <c r="BK69" i="14"/>
  <c r="BK82" i="14"/>
  <c r="BK83" i="14"/>
  <c r="BG89" i="14"/>
  <c r="BG87" i="14"/>
  <c r="BG68" i="14"/>
  <c r="BG63" i="14" s="1"/>
  <c r="BG50" i="14"/>
  <c r="BG54" i="14" s="1"/>
  <c r="BE111" i="14"/>
  <c r="BE112" i="14" s="1"/>
  <c r="BE56" i="14"/>
  <c r="BE108" i="14"/>
  <c r="BE109" i="14" s="1"/>
  <c r="BD8" i="14"/>
  <c r="BI126" i="14"/>
  <c r="BI127" i="14" s="1"/>
  <c r="BK125" i="14"/>
  <c r="BE16" i="14"/>
  <c r="BE20" i="14" s="1"/>
  <c r="BE129" i="14"/>
  <c r="BE130" i="14" s="1"/>
  <c r="BE75" i="14"/>
  <c r="BE77" i="14"/>
  <c r="BE76" i="14" s="1"/>
  <c r="BE69" i="14"/>
  <c r="BE126" i="14"/>
  <c r="BE127" i="14" s="1"/>
  <c r="BG53" i="14"/>
  <c r="BG16" i="14"/>
  <c r="BG20" i="14" s="1"/>
  <c r="BG75" i="14"/>
  <c r="BG77" i="14"/>
  <c r="BG76" i="14" s="1"/>
  <c r="BG69" i="14"/>
  <c r="BE142" i="14"/>
  <c r="BG126" i="14"/>
  <c r="BG127" i="14" s="1"/>
  <c r="BG81" i="14"/>
  <c r="BI129" i="14"/>
  <c r="BI130" i="14" s="1"/>
  <c r="BK128" i="14"/>
  <c r="BG132" i="14"/>
  <c r="BG133" i="14" s="1"/>
  <c r="BG142" i="14" s="1"/>
  <c r="BK126" i="13"/>
  <c r="BK127" i="13" s="1"/>
  <c r="BK77" i="13"/>
  <c r="BK129" i="13"/>
  <c r="BK130" i="13" s="1"/>
  <c r="BK69" i="13"/>
  <c r="BK81" i="13"/>
  <c r="BK75" i="13"/>
  <c r="BK16" i="13"/>
  <c r="BK20" i="13" s="1"/>
  <c r="BK132" i="13"/>
  <c r="BK133" i="13" s="1"/>
  <c r="BK142" i="13" s="1"/>
  <c r="BE71" i="35" l="1"/>
  <c r="BC71" i="35"/>
  <c r="BE108" i="38"/>
  <c r="BE109" i="38" s="1"/>
  <c r="BE111" i="38"/>
  <c r="BE112" i="38" s="1"/>
  <c r="BC117" i="33"/>
  <c r="BC116" i="33" s="1"/>
  <c r="BC114" i="33" s="1"/>
  <c r="BC115" i="33" s="1"/>
  <c r="BO108" i="13"/>
  <c r="BO109" i="13" s="1"/>
  <c r="BO111" i="13"/>
  <c r="BO112" i="13" s="1"/>
  <c r="BS71" i="13"/>
  <c r="BS108" i="13"/>
  <c r="BS109" i="13" s="1"/>
  <c r="BS111" i="13"/>
  <c r="BS112" i="13" s="1"/>
  <c r="BS78" i="13"/>
  <c r="BS149" i="13" s="1"/>
  <c r="BS152" i="13" s="1"/>
  <c r="BS80" i="13"/>
  <c r="BQ75" i="14"/>
  <c r="BS75" i="14"/>
  <c r="BS111" i="14"/>
  <c r="BS112" i="14" s="1"/>
  <c r="DD53" i="3"/>
  <c r="DR80" i="3"/>
  <c r="DR111" i="3"/>
  <c r="DR112" i="3" s="1"/>
  <c r="DR71" i="3"/>
  <c r="BS80" i="15"/>
  <c r="BS78" i="15"/>
  <c r="BS71" i="15"/>
  <c r="BS108" i="15"/>
  <c r="BS109" i="15" s="1"/>
  <c r="BS111" i="15"/>
  <c r="BS112" i="15" s="1"/>
  <c r="BQ80" i="15"/>
  <c r="BQ78" i="15"/>
  <c r="BQ71" i="15"/>
  <c r="BO80" i="15"/>
  <c r="BO78" i="15"/>
  <c r="BO71" i="15"/>
  <c r="DO30" i="36"/>
  <c r="DO29" i="36" s="1"/>
  <c r="DR26" i="36"/>
  <c r="BK80" i="36"/>
  <c r="BK71" i="36"/>
  <c r="BK78" i="36"/>
  <c r="BK149" i="36" s="1"/>
  <c r="BK152" i="36" s="1"/>
  <c r="DF80" i="36"/>
  <c r="DF78" i="36"/>
  <c r="DF149" i="36" s="1"/>
  <c r="DF152" i="36" s="1"/>
  <c r="DH80" i="36"/>
  <c r="DH78" i="36"/>
  <c r="DH149" i="36" s="1"/>
  <c r="DH152" i="36" s="1"/>
  <c r="BE71" i="38"/>
  <c r="BE108" i="35"/>
  <c r="BE109" i="35" s="1"/>
  <c r="BE80" i="35"/>
  <c r="BE111" i="35"/>
  <c r="BE112" i="35" s="1"/>
  <c r="BC111" i="35"/>
  <c r="BC112" i="35" s="1"/>
  <c r="BC108" i="35"/>
  <c r="BC109" i="35" s="1"/>
  <c r="BC80" i="35"/>
  <c r="M50" i="38"/>
  <c r="M54" i="38" s="1"/>
  <c r="M41" i="38" s="1"/>
  <c r="I41" i="38"/>
  <c r="BG108" i="38"/>
  <c r="BG109" i="38" s="1"/>
  <c r="U53" i="38"/>
  <c r="BG71" i="38"/>
  <c r="BG106" i="33"/>
  <c r="BI66" i="33"/>
  <c r="BG122" i="33"/>
  <c r="BG52" i="33"/>
  <c r="BG123" i="33"/>
  <c r="BG119" i="33"/>
  <c r="BG65" i="33"/>
  <c r="BG105" i="33"/>
  <c r="BG121" i="33"/>
  <c r="BG120" i="33"/>
  <c r="BG96" i="33"/>
  <c r="BG98" i="33" s="1"/>
  <c r="BG127" i="33"/>
  <c r="BG130" i="33"/>
  <c r="BG133" i="33"/>
  <c r="BG142" i="33" s="1"/>
  <c r="BC82" i="33"/>
  <c r="BC83" i="33"/>
  <c r="BO80" i="14"/>
  <c r="BO78" i="14"/>
  <c r="BS71" i="14"/>
  <c r="BS80" i="14"/>
  <c r="BS78" i="14"/>
  <c r="BQ78" i="14"/>
  <c r="BQ80" i="14"/>
  <c r="BQ108" i="14"/>
  <c r="BQ109" i="14" s="1"/>
  <c r="BC50" i="34"/>
  <c r="BC54" i="34" s="1"/>
  <c r="BC41" i="34" s="1"/>
  <c r="BC68" i="34"/>
  <c r="BK68" i="36"/>
  <c r="BK50" i="36"/>
  <c r="BK54" i="36" s="1"/>
  <c r="BJ41" i="36" s="1"/>
  <c r="BI68" i="14"/>
  <c r="BI63" i="14" s="1"/>
  <c r="K50" i="38"/>
  <c r="K54" i="38" s="1"/>
  <c r="J41" i="38" s="1"/>
  <c r="K68" i="38"/>
  <c r="DM26" i="36"/>
  <c r="DM30" i="36" s="1"/>
  <c r="DM29" i="36" s="1"/>
  <c r="BR26" i="36"/>
  <c r="BT26" i="36" s="1"/>
  <c r="DM24" i="36"/>
  <c r="DM23" i="36" s="1"/>
  <c r="DH68" i="36"/>
  <c r="BP30" i="36"/>
  <c r="BP29" i="36" s="1"/>
  <c r="BP25" i="36"/>
  <c r="BP24" i="36"/>
  <c r="BP23" i="36" s="1"/>
  <c r="DH50" i="36"/>
  <c r="DH54" i="36" s="1"/>
  <c r="DG41" i="36" s="1"/>
  <c r="BS53" i="14"/>
  <c r="BS68" i="14"/>
  <c r="BS63" i="14" s="1"/>
  <c r="BS50" i="14"/>
  <c r="BM87" i="14"/>
  <c r="BN30" i="36"/>
  <c r="BN29" i="36" s="1"/>
  <c r="DK26" i="36"/>
  <c r="BN24" i="36"/>
  <c r="BN23" i="36" s="1"/>
  <c r="BN25" i="36"/>
  <c r="DI30" i="36"/>
  <c r="DI29" i="36" s="1"/>
  <c r="DI25" i="36"/>
  <c r="DI24" i="36"/>
  <c r="DI23" i="36" s="1"/>
  <c r="BR41" i="15"/>
  <c r="BS49" i="15"/>
  <c r="BS48" i="15" s="1"/>
  <c r="AW41" i="37"/>
  <c r="AV41" i="37"/>
  <c r="AF41" i="37"/>
  <c r="AG41" i="37"/>
  <c r="BE68" i="34"/>
  <c r="M41" i="39"/>
  <c r="Y53" i="37"/>
  <c r="Y50" i="37"/>
  <c r="Y68" i="37"/>
  <c r="G50" i="38"/>
  <c r="G54" i="38" s="1"/>
  <c r="G49" i="38" s="1"/>
  <c r="G53" i="38"/>
  <c r="Y54" i="37"/>
  <c r="BN49" i="39"/>
  <c r="BN48" i="39" s="1"/>
  <c r="AA89" i="37"/>
  <c r="AA87" i="37"/>
  <c r="BE53" i="34"/>
  <c r="AP41" i="37"/>
  <c r="M53" i="38"/>
  <c r="AM49" i="37"/>
  <c r="AD41" i="37"/>
  <c r="DK50" i="3"/>
  <c r="DK54" i="3" s="1"/>
  <c r="DJ41" i="3" s="1"/>
  <c r="BN41" i="39"/>
  <c r="BN44" i="39" s="1"/>
  <c r="BN43" i="39" s="1"/>
  <c r="BO48" i="39"/>
  <c r="BC59" i="33"/>
  <c r="BC60" i="33"/>
  <c r="CR77" i="13"/>
  <c r="BT77" i="13"/>
  <c r="W90" i="37"/>
  <c r="W93" i="37"/>
  <c r="BE106" i="33"/>
  <c r="BE96" i="33"/>
  <c r="BE98" i="33" s="1"/>
  <c r="BE65" i="33"/>
  <c r="BE105" i="33"/>
  <c r="BE119" i="33"/>
  <c r="BE120" i="33"/>
  <c r="BE121" i="33"/>
  <c r="BE52" i="33"/>
  <c r="BE122" i="33"/>
  <c r="BE123" i="33"/>
  <c r="BE127" i="33"/>
  <c r="BE130" i="33"/>
  <c r="BE133" i="33"/>
  <c r="BE142" i="33" s="1"/>
  <c r="AL41" i="37"/>
  <c r="AZ41" i="37"/>
  <c r="V44" i="37"/>
  <c r="V43" i="37" s="1"/>
  <c r="AX41" i="37"/>
  <c r="Y87" i="37"/>
  <c r="Y89" i="37"/>
  <c r="I49" i="38"/>
  <c r="H45" i="38" s="1"/>
  <c r="H44" i="38" s="1"/>
  <c r="H43" i="38" s="1"/>
  <c r="BK50" i="13"/>
  <c r="BK54" i="13" s="1"/>
  <c r="BK49" i="13" s="1"/>
  <c r="BK45" i="13" s="1"/>
  <c r="BK53" i="13"/>
  <c r="DS41" i="3"/>
  <c r="DT41" i="3"/>
  <c r="DO41" i="3"/>
  <c r="DP41" i="3"/>
  <c r="Y50" i="39"/>
  <c r="Y53" i="39"/>
  <c r="I93" i="39"/>
  <c r="I98" i="39" s="1"/>
  <c r="BO44" i="39"/>
  <c r="BO43" i="39" s="1"/>
  <c r="W68" i="39"/>
  <c r="W50" i="39"/>
  <c r="W54" i="39" s="1"/>
  <c r="W49" i="39" s="1"/>
  <c r="W45" i="39" s="1"/>
  <c r="BU111" i="39"/>
  <c r="BU112" i="39" s="1"/>
  <c r="BT8" i="39"/>
  <c r="BU56" i="39"/>
  <c r="BU108" i="39"/>
  <c r="BU109" i="39" s="1"/>
  <c r="Y89" i="39"/>
  <c r="Y93" i="39" s="1"/>
  <c r="BJ45" i="39"/>
  <c r="BJ41" i="39"/>
  <c r="BU98" i="39"/>
  <c r="BU94" i="39"/>
  <c r="BJ49" i="39"/>
  <c r="BK41" i="39"/>
  <c r="BK44" i="39" s="1"/>
  <c r="BK93" i="39"/>
  <c r="BK90" i="39"/>
  <c r="BI50" i="39"/>
  <c r="BI54" i="39" s="1"/>
  <c r="BI41" i="39" s="1"/>
  <c r="BI53" i="39"/>
  <c r="M49" i="39"/>
  <c r="L45" i="39" s="1"/>
  <c r="L44" i="39" s="1"/>
  <c r="L43" i="39" s="1"/>
  <c r="AD41" i="39"/>
  <c r="Q93" i="39"/>
  <c r="Q98" i="39" s="1"/>
  <c r="Q99" i="39" s="1"/>
  <c r="BO89" i="39"/>
  <c r="BO87" i="39"/>
  <c r="G89" i="39"/>
  <c r="G93" i="39" s="1"/>
  <c r="BS111" i="39"/>
  <c r="BS112" i="39" s="1"/>
  <c r="BR8" i="39"/>
  <c r="BS56" i="39"/>
  <c r="BS108" i="39"/>
  <c r="BS109" i="39" s="1"/>
  <c r="BS98" i="39"/>
  <c r="BS94" i="39"/>
  <c r="AM68" i="39"/>
  <c r="AM50" i="39"/>
  <c r="AM54" i="39" s="1"/>
  <c r="AM41" i="39" s="1"/>
  <c r="BA41" i="39"/>
  <c r="J41" i="39"/>
  <c r="AO41" i="39"/>
  <c r="AN41" i="39"/>
  <c r="AC90" i="39"/>
  <c r="AC93" i="39"/>
  <c r="AU93" i="39"/>
  <c r="AU90" i="39"/>
  <c r="AS68" i="39"/>
  <c r="AT41" i="39"/>
  <c r="AS53" i="39"/>
  <c r="AS87" i="39"/>
  <c r="AS89" i="39"/>
  <c r="Q49" i="39"/>
  <c r="P45" i="39" s="1"/>
  <c r="AY90" i="39"/>
  <c r="AY93" i="39"/>
  <c r="AS41" i="39"/>
  <c r="AR41" i="39"/>
  <c r="S41" i="39"/>
  <c r="R41" i="39"/>
  <c r="AW99" i="39"/>
  <c r="M131" i="39"/>
  <c r="N4" i="39"/>
  <c r="L2" i="39"/>
  <c r="L10" i="39" s="1"/>
  <c r="BC49" i="39"/>
  <c r="AE87" i="39"/>
  <c r="AE89" i="39"/>
  <c r="N41" i="39"/>
  <c r="U68" i="39"/>
  <c r="U50" i="39"/>
  <c r="U54" i="39" s="1"/>
  <c r="U41" i="39" s="1"/>
  <c r="U53" i="39"/>
  <c r="AM98" i="39"/>
  <c r="AM94" i="39"/>
  <c r="AZ49" i="39"/>
  <c r="AZ45" i="39"/>
  <c r="BA45" i="39"/>
  <c r="V41" i="39"/>
  <c r="W41" i="39"/>
  <c r="AX41" i="39"/>
  <c r="AY41" i="39"/>
  <c r="BE54" i="39"/>
  <c r="BE49" i="39" s="1"/>
  <c r="BC89" i="39"/>
  <c r="BC87" i="39"/>
  <c r="H49" i="39"/>
  <c r="H48" i="39" s="1"/>
  <c r="I48" i="39"/>
  <c r="I45" i="39"/>
  <c r="I44" i="39" s="1"/>
  <c r="I43" i="39" s="1"/>
  <c r="H45" i="39"/>
  <c r="H44" i="39" s="1"/>
  <c r="H43" i="39" s="1"/>
  <c r="AE49" i="39"/>
  <c r="BI87" i="39"/>
  <c r="BI89" i="39"/>
  <c r="K49" i="39"/>
  <c r="AY49" i="39"/>
  <c r="AU49" i="39"/>
  <c r="AI68" i="39"/>
  <c r="AI50" i="39"/>
  <c r="AI54" i="39" s="1"/>
  <c r="AI41" i="39" s="1"/>
  <c r="AI53" i="39"/>
  <c r="U89" i="39"/>
  <c r="U87" i="39"/>
  <c r="K93" i="39"/>
  <c r="K90" i="39"/>
  <c r="AQ94" i="39"/>
  <c r="AQ98" i="39"/>
  <c r="I75" i="39"/>
  <c r="I129" i="39"/>
  <c r="I130" i="39" s="1"/>
  <c r="I142" i="39" s="1"/>
  <c r="I69" i="39"/>
  <c r="I81" i="39"/>
  <c r="I132" i="39"/>
  <c r="I133" i="39" s="1"/>
  <c r="I16" i="39"/>
  <c r="I20" i="39" s="1"/>
  <c r="I24" i="39" s="1"/>
  <c r="I23" i="39" s="1"/>
  <c r="AK45" i="39"/>
  <c r="AK44" i="39" s="1"/>
  <c r="AK43" i="39" s="1"/>
  <c r="AJ45" i="39"/>
  <c r="AJ44" i="39" s="1"/>
  <c r="AJ43" i="39" s="1"/>
  <c r="AJ49" i="39"/>
  <c r="S89" i="39"/>
  <c r="S87" i="39"/>
  <c r="BC41" i="39"/>
  <c r="BB41" i="39"/>
  <c r="AO49" i="39"/>
  <c r="AA45" i="39"/>
  <c r="Z49" i="39"/>
  <c r="Z45" i="39"/>
  <c r="AZ41" i="39"/>
  <c r="AG90" i="39"/>
  <c r="AG93" i="39"/>
  <c r="AA41" i="39"/>
  <c r="Z41" i="39"/>
  <c r="G50" i="39"/>
  <c r="G54" i="39" s="1"/>
  <c r="G41" i="39" s="1"/>
  <c r="G68" i="39"/>
  <c r="G53" i="39"/>
  <c r="Y54" i="39"/>
  <c r="Y49" i="39" s="1"/>
  <c r="BA86" i="39"/>
  <c r="BA84" i="39"/>
  <c r="BE87" i="39"/>
  <c r="BE89" i="39"/>
  <c r="AW45" i="39"/>
  <c r="AW44" i="39" s="1"/>
  <c r="AW43" i="39" s="1"/>
  <c r="AV49" i="39"/>
  <c r="AV45" i="39"/>
  <c r="AV44" i="39" s="1"/>
  <c r="AV43" i="39" s="1"/>
  <c r="AG50" i="39"/>
  <c r="AG54" i="39" s="1"/>
  <c r="AG68" i="39"/>
  <c r="AG53" i="39"/>
  <c r="J16" i="39"/>
  <c r="J20" i="39" s="1"/>
  <c r="J24" i="39" s="1"/>
  <c r="J23" i="39" s="1"/>
  <c r="K10" i="39"/>
  <c r="K132" i="39" s="1"/>
  <c r="K133" i="39" s="1"/>
  <c r="I94" i="39"/>
  <c r="O49" i="39"/>
  <c r="AQ41" i="39"/>
  <c r="AA87" i="39"/>
  <c r="AA89" i="39"/>
  <c r="S49" i="39"/>
  <c r="AK93" i="39"/>
  <c r="AK90" i="39"/>
  <c r="M98" i="39"/>
  <c r="M94" i="39"/>
  <c r="O98" i="39"/>
  <c r="O94" i="39"/>
  <c r="AC54" i="39"/>
  <c r="AC41" i="39" s="1"/>
  <c r="W89" i="39"/>
  <c r="W87" i="39"/>
  <c r="AI93" i="39"/>
  <c r="AI90" i="39"/>
  <c r="AS49" i="39"/>
  <c r="P41" i="39"/>
  <c r="AQ49" i="39"/>
  <c r="AO87" i="39"/>
  <c r="AO89" i="39"/>
  <c r="BR77" i="13"/>
  <c r="BS76" i="13"/>
  <c r="BS54" i="13"/>
  <c r="BQ49" i="14"/>
  <c r="BP49" i="14" s="1"/>
  <c r="BP48" i="14" s="1"/>
  <c r="BL31" i="14"/>
  <c r="BN32" i="14"/>
  <c r="BL42" i="14"/>
  <c r="BL41" i="14" s="1"/>
  <c r="BO26" i="14"/>
  <c r="BM25" i="14"/>
  <c r="BM30" i="14"/>
  <c r="BM29" i="14" s="1"/>
  <c r="BI50" i="14"/>
  <c r="BI54" i="14" s="1"/>
  <c r="BO31" i="14"/>
  <c r="BQ32" i="14"/>
  <c r="BS32" i="14" s="1"/>
  <c r="BU32" i="14" s="1"/>
  <c r="BW32" i="14" s="1"/>
  <c r="BY32" i="14" s="1"/>
  <c r="CA32" i="14" s="1"/>
  <c r="CC32" i="14" s="1"/>
  <c r="CE32" i="14" s="1"/>
  <c r="CG32" i="14" s="1"/>
  <c r="BO42" i="14"/>
  <c r="BO41" i="14" s="1"/>
  <c r="BK68" i="14"/>
  <c r="BK63" i="14" s="1"/>
  <c r="BM24" i="14"/>
  <c r="BM23" i="14" s="1"/>
  <c r="BL25" i="14"/>
  <c r="BN26" i="14"/>
  <c r="BL24" i="14"/>
  <c r="BL23" i="14" s="1"/>
  <c r="BL30" i="14"/>
  <c r="BL29" i="14" s="1"/>
  <c r="BE53" i="38"/>
  <c r="O50" i="38"/>
  <c r="O54" i="38" s="1"/>
  <c r="O53" i="38"/>
  <c r="O68" i="38"/>
  <c r="O89" i="38"/>
  <c r="O93" i="38" s="1"/>
  <c r="DK49" i="3"/>
  <c r="DJ49" i="3" s="1"/>
  <c r="DJ48" i="3" s="1"/>
  <c r="CY53" i="3"/>
  <c r="DR50" i="3"/>
  <c r="DR54" i="3" s="1"/>
  <c r="CW50" i="3"/>
  <c r="CW54" i="3" s="1"/>
  <c r="CV41" i="3" s="1"/>
  <c r="CU50" i="3"/>
  <c r="CU54" i="3" s="1"/>
  <c r="CT41" i="3" s="1"/>
  <c r="DF50" i="3"/>
  <c r="DF54" i="3" s="1"/>
  <c r="DE41" i="3" s="1"/>
  <c r="DF141" i="3"/>
  <c r="CY89" i="3"/>
  <c r="CY90" i="3" s="1"/>
  <c r="DM53" i="3"/>
  <c r="DI50" i="3"/>
  <c r="DI54" i="3" s="1"/>
  <c r="CW141" i="3"/>
  <c r="BN72" i="14"/>
  <c r="BO71" i="14"/>
  <c r="BK129" i="14"/>
  <c r="BK130" i="14" s="1"/>
  <c r="BM128" i="14"/>
  <c r="BK126" i="14"/>
  <c r="BK127" i="14" s="1"/>
  <c r="BM125" i="14"/>
  <c r="BE49" i="35"/>
  <c r="BD41" i="35"/>
  <c r="BE41" i="35"/>
  <c r="BG49" i="34"/>
  <c r="BF41" i="34"/>
  <c r="DE41" i="36"/>
  <c r="DF41" i="36"/>
  <c r="DF49" i="36"/>
  <c r="DT49" i="3"/>
  <c r="DP49" i="3"/>
  <c r="BG41" i="38"/>
  <c r="BG49" i="38"/>
  <c r="BG86" i="38"/>
  <c r="BG84" i="38"/>
  <c r="BA50" i="38"/>
  <c r="BA54" i="38" s="1"/>
  <c r="BB41" i="35"/>
  <c r="BC41" i="35"/>
  <c r="BC49" i="35"/>
  <c r="AZ41" i="35"/>
  <c r="BA41" i="35"/>
  <c r="BA49" i="35"/>
  <c r="BA89" i="35"/>
  <c r="BA87" i="35"/>
  <c r="BE54" i="34"/>
  <c r="BE49" i="34" s="1"/>
  <c r="BA53" i="34"/>
  <c r="BA68" i="34"/>
  <c r="DM86" i="3"/>
  <c r="DM84" i="3"/>
  <c r="DK86" i="3"/>
  <c r="DK84" i="3"/>
  <c r="DM54" i="3"/>
  <c r="DI86" i="3"/>
  <c r="DI84" i="3"/>
  <c r="BE54" i="38"/>
  <c r="BE49" i="38" s="1"/>
  <c r="BE86" i="38"/>
  <c r="BE84" i="38"/>
  <c r="BO49" i="14"/>
  <c r="AY93" i="35"/>
  <c r="AY98" i="35" s="1"/>
  <c r="BM93" i="14"/>
  <c r="BM90" i="14"/>
  <c r="BL49" i="14"/>
  <c r="BL48" i="14" s="1"/>
  <c r="BM48" i="14"/>
  <c r="BM45" i="14"/>
  <c r="BM44" i="14" s="1"/>
  <c r="BM43" i="14" s="1"/>
  <c r="BL45" i="14"/>
  <c r="BC86" i="38"/>
  <c r="BC84" i="38"/>
  <c r="BC49" i="38"/>
  <c r="BC41" i="38"/>
  <c r="I16" i="38"/>
  <c r="I20" i="38" s="1"/>
  <c r="I24" i="38" s="1"/>
  <c r="I23" i="38" s="1"/>
  <c r="I81" i="38"/>
  <c r="I132" i="38"/>
  <c r="I133" i="38" s="1"/>
  <c r="Q89" i="38"/>
  <c r="Q87" i="38"/>
  <c r="I129" i="38"/>
  <c r="I130" i="38" s="1"/>
  <c r="I142" i="38" s="1"/>
  <c r="I75" i="38"/>
  <c r="I69" i="38"/>
  <c r="AU53" i="38"/>
  <c r="AU50" i="38"/>
  <c r="AU54" i="38" s="1"/>
  <c r="AU41" i="38" s="1"/>
  <c r="DB86" i="3"/>
  <c r="DB84" i="3"/>
  <c r="DD54" i="3"/>
  <c r="DD49" i="3" s="1"/>
  <c r="DF86" i="3"/>
  <c r="DF84" i="3"/>
  <c r="DF49" i="3"/>
  <c r="DD93" i="3"/>
  <c r="DD90" i="3"/>
  <c r="DB54" i="3"/>
  <c r="DB49" i="3" s="1"/>
  <c r="BM93" i="15"/>
  <c r="BM90" i="15"/>
  <c r="BI54" i="36"/>
  <c r="BA54" i="33"/>
  <c r="BA93" i="33"/>
  <c r="BA90" i="33"/>
  <c r="BC93" i="34"/>
  <c r="BC90" i="34"/>
  <c r="DD89" i="36"/>
  <c r="DD87" i="36"/>
  <c r="DC41" i="36"/>
  <c r="DD41" i="36"/>
  <c r="DD49" i="36"/>
  <c r="BG80" i="36"/>
  <c r="BG78" i="36"/>
  <c r="BG149" i="36" s="1"/>
  <c r="BG152" i="36" s="1"/>
  <c r="BG75" i="36"/>
  <c r="BG71" i="36"/>
  <c r="BG111" i="36"/>
  <c r="BG112" i="36" s="1"/>
  <c r="BG108" i="36"/>
  <c r="BG109" i="36" s="1"/>
  <c r="BG54" i="36"/>
  <c r="CU93" i="3"/>
  <c r="CU94" i="3" s="1"/>
  <c r="BA86" i="38"/>
  <c r="BA84" i="38"/>
  <c r="AY49" i="38"/>
  <c r="AY93" i="38"/>
  <c r="AY90" i="38"/>
  <c r="AY41" i="38"/>
  <c r="AP41" i="38"/>
  <c r="AQ41" i="38"/>
  <c r="K41" i="38"/>
  <c r="L2" i="38"/>
  <c r="L10" i="38" s="1"/>
  <c r="M131" i="38"/>
  <c r="N4" i="38"/>
  <c r="Q41" i="38"/>
  <c r="P41" i="38"/>
  <c r="AQ94" i="38"/>
  <c r="AQ98" i="38"/>
  <c r="Y89" i="38"/>
  <c r="Y87" i="38"/>
  <c r="K10" i="38"/>
  <c r="J16" i="38"/>
  <c r="J20" i="38" s="1"/>
  <c r="J24" i="38" s="1"/>
  <c r="J23" i="38" s="1"/>
  <c r="Y54" i="38"/>
  <c r="M49" i="38"/>
  <c r="AQ49" i="38"/>
  <c r="S49" i="38"/>
  <c r="AM89" i="38"/>
  <c r="AM87" i="38"/>
  <c r="AW94" i="38"/>
  <c r="AW98" i="38"/>
  <c r="W68" i="38"/>
  <c r="W53" i="38"/>
  <c r="W50" i="38"/>
  <c r="AA90" i="38"/>
  <c r="AA93" i="38"/>
  <c r="AB41" i="38"/>
  <c r="AA49" i="38"/>
  <c r="P49" i="38"/>
  <c r="Q45" i="38"/>
  <c r="P45" i="38"/>
  <c r="AC49" i="38"/>
  <c r="AU93" i="38"/>
  <c r="AU90" i="38"/>
  <c r="U99" i="38"/>
  <c r="AO89" i="38"/>
  <c r="AO87" i="38"/>
  <c r="M89" i="38"/>
  <c r="M87" i="38"/>
  <c r="AA41" i="38"/>
  <c r="Z41" i="38"/>
  <c r="AS41" i="38"/>
  <c r="AR41" i="38"/>
  <c r="AE98" i="38"/>
  <c r="AE94" i="38"/>
  <c r="K89" i="38"/>
  <c r="K87" i="38"/>
  <c r="AG93" i="38"/>
  <c r="AG90" i="38"/>
  <c r="T41" i="38"/>
  <c r="U41" i="38"/>
  <c r="AI93" i="38"/>
  <c r="AI90" i="38"/>
  <c r="AG54" i="38"/>
  <c r="AG49" i="38" s="1"/>
  <c r="S41" i="38"/>
  <c r="AS89" i="38"/>
  <c r="AS87" i="38"/>
  <c r="AM41" i="38"/>
  <c r="I87" i="38"/>
  <c r="I89" i="38"/>
  <c r="AS49" i="38"/>
  <c r="U49" i="38"/>
  <c r="W93" i="38"/>
  <c r="W90" i="38"/>
  <c r="G93" i="38"/>
  <c r="G90" i="38"/>
  <c r="AI54" i="38"/>
  <c r="AI49" i="38" s="1"/>
  <c r="S94" i="38"/>
  <c r="S98" i="38"/>
  <c r="AO41" i="38"/>
  <c r="AN41" i="38"/>
  <c r="AE54" i="38"/>
  <c r="AE49" i="38" s="1"/>
  <c r="AM49" i="38"/>
  <c r="AV49" i="38"/>
  <c r="AW45" i="38"/>
  <c r="AW44" i="38" s="1"/>
  <c r="AW43" i="38" s="1"/>
  <c r="AV45" i="38"/>
  <c r="AV44" i="38" s="1"/>
  <c r="AV43" i="38" s="1"/>
  <c r="AK90" i="38"/>
  <c r="AK93" i="38"/>
  <c r="AC98" i="38"/>
  <c r="AC94" i="38"/>
  <c r="AO49" i="38"/>
  <c r="AK54" i="38"/>
  <c r="BQ80" i="13"/>
  <c r="BQ78" i="13"/>
  <c r="BQ149" i="13" s="1"/>
  <c r="BQ152" i="13" s="1"/>
  <c r="BQ75" i="13"/>
  <c r="BQ108" i="13"/>
  <c r="BQ109" i="13" s="1"/>
  <c r="BQ111" i="13"/>
  <c r="BQ112" i="13" s="1"/>
  <c r="BO83" i="13"/>
  <c r="BO82" i="13"/>
  <c r="DB49" i="36"/>
  <c r="DB41" i="36"/>
  <c r="DA41" i="36"/>
  <c r="BO41" i="13"/>
  <c r="BN41" i="13"/>
  <c r="BO49" i="13"/>
  <c r="BP77" i="13"/>
  <c r="BQ76" i="13"/>
  <c r="BQ49" i="13"/>
  <c r="BQ41" i="13"/>
  <c r="BP41" i="13"/>
  <c r="BN77" i="13"/>
  <c r="BO76" i="13"/>
  <c r="BL41" i="13"/>
  <c r="BM41" i="13"/>
  <c r="BM49" i="13"/>
  <c r="BL77" i="13"/>
  <c r="BM76" i="13"/>
  <c r="CW89" i="3"/>
  <c r="CW93" i="3" s="1"/>
  <c r="CS53" i="3"/>
  <c r="CX41" i="3"/>
  <c r="CY41" i="3"/>
  <c r="CS41" i="3"/>
  <c r="CS89" i="3"/>
  <c r="CS87" i="3"/>
  <c r="CY49" i="3"/>
  <c r="CS49" i="3"/>
  <c r="I48" i="37"/>
  <c r="I45" i="37"/>
  <c r="I44" i="37" s="1"/>
  <c r="I43" i="37" s="1"/>
  <c r="H49" i="37"/>
  <c r="H48" i="37" s="1"/>
  <c r="H45" i="37"/>
  <c r="H44" i="37" s="1"/>
  <c r="H43" i="37" s="1"/>
  <c r="L41" i="37"/>
  <c r="M41" i="37"/>
  <c r="U41" i="37"/>
  <c r="T41" i="37"/>
  <c r="U93" i="37"/>
  <c r="U90" i="37"/>
  <c r="AY49" i="37"/>
  <c r="K49" i="37"/>
  <c r="G45" i="37"/>
  <c r="G44" i="37" s="1"/>
  <c r="G43" i="37" s="1"/>
  <c r="F45" i="37"/>
  <c r="F44" i="37" s="1"/>
  <c r="F43" i="37" s="1"/>
  <c r="G48" i="37"/>
  <c r="F49" i="37"/>
  <c r="F48" i="37" s="1"/>
  <c r="AM87" i="37"/>
  <c r="AM89" i="37"/>
  <c r="AO54" i="37"/>
  <c r="AO49" i="37" s="1"/>
  <c r="H41" i="37"/>
  <c r="J41" i="37"/>
  <c r="Q54" i="37"/>
  <c r="Q41" i="37" s="1"/>
  <c r="AQ99" i="37"/>
  <c r="AU89" i="37"/>
  <c r="AU87" i="37"/>
  <c r="I93" i="37"/>
  <c r="I90" i="37"/>
  <c r="AE87" i="37"/>
  <c r="AE89" i="37"/>
  <c r="O89" i="37"/>
  <c r="O87" i="37"/>
  <c r="AA68" i="37"/>
  <c r="AA54" i="37"/>
  <c r="AA41" i="37" s="1"/>
  <c r="AA53" i="37"/>
  <c r="AA50" i="37"/>
  <c r="S98" i="37"/>
  <c r="S94" i="37"/>
  <c r="AC68" i="37"/>
  <c r="AC50" i="37"/>
  <c r="AC53" i="37"/>
  <c r="M98" i="37"/>
  <c r="M94" i="37"/>
  <c r="AE49" i="37"/>
  <c r="G87" i="37"/>
  <c r="G89" i="37"/>
  <c r="AW89" i="37"/>
  <c r="AW87" i="37"/>
  <c r="AC90" i="37"/>
  <c r="AC93" i="37"/>
  <c r="M131" i="37"/>
  <c r="L2" i="37"/>
  <c r="L10" i="37" s="1"/>
  <c r="N4" i="37"/>
  <c r="AG49" i="37"/>
  <c r="AY89" i="37"/>
  <c r="AY87" i="37"/>
  <c r="AW49" i="37"/>
  <c r="AQ49" i="37"/>
  <c r="O49" i="37"/>
  <c r="AU49" i="37"/>
  <c r="BA49" i="37"/>
  <c r="K10" i="37"/>
  <c r="K132" i="37" s="1"/>
  <c r="K133" i="37" s="1"/>
  <c r="J16" i="37"/>
  <c r="J20" i="37" s="1"/>
  <c r="J24" i="37" s="1"/>
  <c r="J23" i="37" s="1"/>
  <c r="AG90" i="37"/>
  <c r="AG93" i="37"/>
  <c r="AS98" i="37"/>
  <c r="AS94" i="37"/>
  <c r="M49" i="37"/>
  <c r="K99" i="37"/>
  <c r="Q89" i="37"/>
  <c r="Q87" i="37"/>
  <c r="AT41" i="37"/>
  <c r="AS50" i="37"/>
  <c r="AS54" i="37" s="1"/>
  <c r="AS68" i="37"/>
  <c r="AS53" i="37"/>
  <c r="O54" i="37"/>
  <c r="O41" i="37" s="1"/>
  <c r="U49" i="37"/>
  <c r="AI87" i="37"/>
  <c r="AI89" i="37"/>
  <c r="AO93" i="37"/>
  <c r="AO90" i="37"/>
  <c r="AK87" i="37"/>
  <c r="AK89" i="37"/>
  <c r="AL45" i="37"/>
  <c r="AL44" i="37" s="1"/>
  <c r="AL43" i="37" s="1"/>
  <c r="AL49" i="37"/>
  <c r="AM45" i="37"/>
  <c r="AM44" i="37" s="1"/>
  <c r="AM43" i="37" s="1"/>
  <c r="AI45" i="37"/>
  <c r="AI44" i="37" s="1"/>
  <c r="AI43" i="37" s="1"/>
  <c r="AH45" i="37"/>
  <c r="AH44" i="37" s="1"/>
  <c r="AH43" i="37" s="1"/>
  <c r="AH49" i="37"/>
  <c r="BA86" i="37"/>
  <c r="BA84" i="37"/>
  <c r="AK54" i="37"/>
  <c r="AK49" i="37" s="1"/>
  <c r="AY49" i="35"/>
  <c r="AY48" i="35" s="1"/>
  <c r="AY41" i="35"/>
  <c r="AU49" i="35"/>
  <c r="AW41" i="35"/>
  <c r="AV41" i="35"/>
  <c r="AU98" i="35"/>
  <c r="AU94" i="35"/>
  <c r="AU41" i="35"/>
  <c r="AT41" i="35"/>
  <c r="AW90" i="35"/>
  <c r="AW93" i="35"/>
  <c r="AW49" i="35"/>
  <c r="AW93" i="33"/>
  <c r="AW94" i="33" s="1"/>
  <c r="AW90" i="33"/>
  <c r="AU94" i="33"/>
  <c r="AY127" i="33"/>
  <c r="AY130" i="33"/>
  <c r="AY93" i="33"/>
  <c r="AY90" i="33"/>
  <c r="AY65" i="33"/>
  <c r="AY122" i="33"/>
  <c r="AY121" i="33"/>
  <c r="AY106" i="33"/>
  <c r="AY52" i="33"/>
  <c r="AY120" i="33"/>
  <c r="AY105" i="33"/>
  <c r="AY119" i="33"/>
  <c r="AY96" i="33"/>
  <c r="AY123" i="33"/>
  <c r="BA93" i="34"/>
  <c r="BA98" i="34" s="1"/>
  <c r="BA87" i="34"/>
  <c r="BA49" i="34"/>
  <c r="AZ41" i="34"/>
  <c r="BA41" i="34"/>
  <c r="AY49" i="34"/>
  <c r="AX41" i="34"/>
  <c r="AY90" i="34"/>
  <c r="AY93" i="34"/>
  <c r="AW98" i="34"/>
  <c r="AW94" i="34"/>
  <c r="AW49" i="34"/>
  <c r="AV41" i="34"/>
  <c r="BK89" i="15"/>
  <c r="BK87" i="15"/>
  <c r="BG89" i="15"/>
  <c r="BG87" i="15"/>
  <c r="BI89" i="15"/>
  <c r="BI87" i="15"/>
  <c r="BK50" i="14"/>
  <c r="BK54" i="14" s="1"/>
  <c r="BI87" i="14"/>
  <c r="BE87" i="14"/>
  <c r="BK84" i="14"/>
  <c r="BK86" i="14"/>
  <c r="BG49" i="14"/>
  <c r="BE90" i="14"/>
  <c r="BE93" i="14"/>
  <c r="BI93" i="14"/>
  <c r="BI90" i="14"/>
  <c r="BE68" i="14"/>
  <c r="BE63" i="14" s="1"/>
  <c r="BE50" i="14"/>
  <c r="BE54" i="14" s="1"/>
  <c r="BE53" i="14"/>
  <c r="BG90" i="14"/>
  <c r="BG93" i="14"/>
  <c r="BK76" i="13"/>
  <c r="BK49" i="36" l="1"/>
  <c r="BK41" i="36"/>
  <c r="DK41" i="3"/>
  <c r="CG31" i="14"/>
  <c r="CG42" i="14"/>
  <c r="CG41" i="14" s="1"/>
  <c r="CG44" i="14"/>
  <c r="CG43" i="14" s="1"/>
  <c r="BS83" i="13"/>
  <c r="BS82" i="13"/>
  <c r="BS81" i="13"/>
  <c r="CW49" i="3"/>
  <c r="CY93" i="3"/>
  <c r="CU41" i="3"/>
  <c r="CU49" i="3"/>
  <c r="CU45" i="3" s="1"/>
  <c r="CU44" i="3" s="1"/>
  <c r="CW41" i="3"/>
  <c r="DR81" i="3"/>
  <c r="DR83" i="3"/>
  <c r="DR82" i="3"/>
  <c r="BO82" i="15"/>
  <c r="BO83" i="15"/>
  <c r="BO81" i="15"/>
  <c r="BQ82" i="15"/>
  <c r="BQ83" i="15"/>
  <c r="BQ81" i="15"/>
  <c r="BS82" i="15"/>
  <c r="BS83" i="15"/>
  <c r="BS81" i="15"/>
  <c r="DM25" i="36"/>
  <c r="DH82" i="36"/>
  <c r="DH83" i="36"/>
  <c r="DH81" i="36"/>
  <c r="DF83" i="36"/>
  <c r="DF82" i="36"/>
  <c r="DF81" i="36"/>
  <c r="BK83" i="36"/>
  <c r="BK82" i="36"/>
  <c r="BK81" i="36"/>
  <c r="DR30" i="36"/>
  <c r="DR29" i="36" s="1"/>
  <c r="DR25" i="36"/>
  <c r="DT26" i="36"/>
  <c r="DR24" i="36"/>
  <c r="DR23" i="36" s="1"/>
  <c r="L41" i="38"/>
  <c r="BC82" i="35"/>
  <c r="BC83" i="35"/>
  <c r="BC81" i="35"/>
  <c r="BE81" i="35"/>
  <c r="BE83" i="35"/>
  <c r="BE82" i="35"/>
  <c r="K49" i="38"/>
  <c r="J45" i="38" s="1"/>
  <c r="J44" i="38" s="1"/>
  <c r="J43" i="38" s="1"/>
  <c r="BC86" i="33"/>
  <c r="BC84" i="33"/>
  <c r="BG144" i="33"/>
  <c r="BG99" i="33"/>
  <c r="BG60" i="33"/>
  <c r="BG59" i="33"/>
  <c r="BG117" i="33"/>
  <c r="BG116" i="33" s="1"/>
  <c r="BG114" i="33" s="1"/>
  <c r="BG115" i="33" s="1"/>
  <c r="BI106" i="33"/>
  <c r="BK66" i="33"/>
  <c r="BI119" i="33"/>
  <c r="BI121" i="33"/>
  <c r="BI120" i="33"/>
  <c r="BI52" i="33"/>
  <c r="BI122" i="33"/>
  <c r="BI65" i="33"/>
  <c r="BI123" i="33"/>
  <c r="BI96" i="33"/>
  <c r="BI98" i="33" s="1"/>
  <c r="BI105" i="33"/>
  <c r="BI130" i="33"/>
  <c r="BI127" i="33"/>
  <c r="BI133" i="33"/>
  <c r="BI142" i="33" s="1"/>
  <c r="CM32" i="14"/>
  <c r="CE31" i="14"/>
  <c r="CE42" i="14"/>
  <c r="CE41" i="14" s="1"/>
  <c r="CE44" i="14" s="1"/>
  <c r="CE43" i="14" s="1"/>
  <c r="BQ83" i="14"/>
  <c r="BQ84" i="14" s="1"/>
  <c r="BQ81" i="14"/>
  <c r="BQ82" i="14"/>
  <c r="BS82" i="14"/>
  <c r="BS83" i="14"/>
  <c r="BS81" i="14"/>
  <c r="BO82" i="14"/>
  <c r="BO83" i="14"/>
  <c r="BO81" i="14"/>
  <c r="BV26" i="36"/>
  <c r="BX26" i="36" s="1"/>
  <c r="BZ26" i="36" s="1"/>
  <c r="BT30" i="36"/>
  <c r="BT29" i="36" s="1"/>
  <c r="BT25" i="36"/>
  <c r="BT24" i="36"/>
  <c r="BT23" i="36" s="1"/>
  <c r="CC31" i="14"/>
  <c r="CC42" i="14"/>
  <c r="CC41" i="14" s="1"/>
  <c r="CC44" i="14"/>
  <c r="CC43" i="14" s="1"/>
  <c r="CA31" i="14"/>
  <c r="CA42" i="14"/>
  <c r="CA41" i="14" s="1"/>
  <c r="CA44" i="14" s="1"/>
  <c r="CA43" i="14" s="1"/>
  <c r="O90" i="38"/>
  <c r="P44" i="38"/>
  <c r="P43" i="38" s="1"/>
  <c r="DH41" i="36"/>
  <c r="BR30" i="36"/>
  <c r="BR29" i="36" s="1"/>
  <c r="BR25" i="36"/>
  <c r="BR24" i="36"/>
  <c r="BR23" i="36" s="1"/>
  <c r="DH49" i="36"/>
  <c r="DG49" i="36" s="1"/>
  <c r="DG48" i="36" s="1"/>
  <c r="BY42" i="14"/>
  <c r="BY41" i="14" s="1"/>
  <c r="BY31" i="14"/>
  <c r="BY44" i="14"/>
  <c r="BY43" i="14" s="1"/>
  <c r="BS54" i="14"/>
  <c r="BS49" i="14" s="1"/>
  <c r="DK30" i="36"/>
  <c r="DK29" i="36" s="1"/>
  <c r="DK25" i="36"/>
  <c r="DK24" i="36"/>
  <c r="DK23" i="36" s="1"/>
  <c r="BR49" i="15"/>
  <c r="BR48" i="15" s="1"/>
  <c r="BR45" i="15"/>
  <c r="BR44" i="15" s="1"/>
  <c r="BR43" i="15" s="1"/>
  <c r="BS45" i="15"/>
  <c r="BS44" i="15" s="1"/>
  <c r="BS43" i="15" s="1"/>
  <c r="BW31" i="14"/>
  <c r="BW42" i="14"/>
  <c r="BW41" i="14" s="1"/>
  <c r="BW44" i="14" s="1"/>
  <c r="BW43" i="14" s="1"/>
  <c r="AA90" i="37"/>
  <c r="AA93" i="37"/>
  <c r="I45" i="38"/>
  <c r="I44" i="38" s="1"/>
  <c r="I43" i="38" s="1"/>
  <c r="I48" i="38"/>
  <c r="H49" i="38"/>
  <c r="H48" i="38" s="1"/>
  <c r="Y90" i="39"/>
  <c r="BC111" i="33"/>
  <c r="BC112" i="33" s="1"/>
  <c r="BB8" i="33"/>
  <c r="BC56" i="33"/>
  <c r="BC108" i="33"/>
  <c r="BC109" i="33" s="1"/>
  <c r="Y49" i="37"/>
  <c r="W98" i="37"/>
  <c r="W99" i="37" s="1"/>
  <c r="W94" i="37"/>
  <c r="BJ41" i="13"/>
  <c r="BK41" i="13"/>
  <c r="BK44" i="13" s="1"/>
  <c r="BK43" i="13" s="1"/>
  <c r="BJ45" i="13"/>
  <c r="AY117" i="33"/>
  <c r="AY116" i="33" s="1"/>
  <c r="AY114" i="33" s="1"/>
  <c r="AY115" i="33" s="1"/>
  <c r="BU42" i="14"/>
  <c r="BU41" i="14" s="1"/>
  <c r="BU44" i="14" s="1"/>
  <c r="BU43" i="14" s="1"/>
  <c r="BU31" i="14"/>
  <c r="BE60" i="33"/>
  <c r="BE59" i="33"/>
  <c r="BE99" i="33"/>
  <c r="BE144" i="33"/>
  <c r="V49" i="39"/>
  <c r="Y93" i="37"/>
  <c r="Y90" i="37"/>
  <c r="P41" i="37"/>
  <c r="DK48" i="3"/>
  <c r="Y41" i="37"/>
  <c r="X41" i="37"/>
  <c r="BK48" i="13"/>
  <c r="BJ49" i="13"/>
  <c r="BJ48" i="13" s="1"/>
  <c r="BE117" i="33"/>
  <c r="BE116" i="33" s="1"/>
  <c r="BE114" i="33" s="1"/>
  <c r="BE115" i="33" s="1"/>
  <c r="DM41" i="3"/>
  <c r="DL41" i="3"/>
  <c r="DI41" i="3"/>
  <c r="DH41" i="3"/>
  <c r="DI49" i="3"/>
  <c r="DJ45" i="3"/>
  <c r="DK45" i="3"/>
  <c r="DK44" i="3"/>
  <c r="DK43" i="3" s="1"/>
  <c r="DJ44" i="3"/>
  <c r="DJ43" i="3" s="1"/>
  <c r="BP45" i="14"/>
  <c r="BQ45" i="14"/>
  <c r="BQ48" i="14"/>
  <c r="DP45" i="3"/>
  <c r="DP44" i="3" s="1"/>
  <c r="DP43" i="3" s="1"/>
  <c r="DO45" i="3"/>
  <c r="DO44" i="3" s="1"/>
  <c r="DO43" i="3" s="1"/>
  <c r="DT45" i="3"/>
  <c r="DS45" i="3"/>
  <c r="DQ41" i="3"/>
  <c r="DR41" i="3"/>
  <c r="DT44" i="3"/>
  <c r="DT43" i="3" s="1"/>
  <c r="DS44" i="3"/>
  <c r="DS43" i="3" s="1"/>
  <c r="BS31" i="14"/>
  <c r="BS42" i="14"/>
  <c r="V45" i="39"/>
  <c r="L49" i="39"/>
  <c r="M45" i="39"/>
  <c r="M44" i="39" s="1"/>
  <c r="M43" i="39" s="1"/>
  <c r="BK43" i="39"/>
  <c r="BJ2" i="39"/>
  <c r="Q94" i="39"/>
  <c r="BU68" i="39"/>
  <c r="BU50" i="39"/>
  <c r="BU53" i="39"/>
  <c r="BJ44" i="39"/>
  <c r="BJ43" i="39" s="1"/>
  <c r="BU99" i="39"/>
  <c r="BK98" i="39"/>
  <c r="BK94" i="39"/>
  <c r="G90" i="39"/>
  <c r="BO93" i="39"/>
  <c r="BO90" i="39"/>
  <c r="P44" i="39"/>
  <c r="P43" i="39" s="1"/>
  <c r="AB41" i="39"/>
  <c r="AL41" i="39"/>
  <c r="BS68" i="39"/>
  <c r="BS50" i="39"/>
  <c r="BS53" i="39"/>
  <c r="BS144" i="39"/>
  <c r="BS99" i="39"/>
  <c r="BA44" i="39"/>
  <c r="BA43" i="39" s="1"/>
  <c r="AZ44" i="39"/>
  <c r="AZ43" i="39" s="1"/>
  <c r="AM49" i="39"/>
  <c r="AM45" i="39" s="1"/>
  <c r="AM44" i="39" s="1"/>
  <c r="AM43" i="39" s="1"/>
  <c r="T41" i="39"/>
  <c r="V44" i="39"/>
  <c r="V43" i="39" s="1"/>
  <c r="AY98" i="39"/>
  <c r="AY99" i="39" s="1"/>
  <c r="AY94" i="39"/>
  <c r="P49" i="39"/>
  <c r="AS93" i="39"/>
  <c r="AS90" i="39"/>
  <c r="Q45" i="39"/>
  <c r="Q44" i="39" s="1"/>
  <c r="Q43" i="39" s="1"/>
  <c r="AH41" i="39"/>
  <c r="W44" i="39"/>
  <c r="W43" i="39" s="1"/>
  <c r="AU94" i="39"/>
  <c r="AU98" i="39"/>
  <c r="AU99" i="39" s="1"/>
  <c r="AC94" i="39"/>
  <c r="AC98" i="39"/>
  <c r="AC99" i="39" s="1"/>
  <c r="AC49" i="39"/>
  <c r="AB45" i="39" s="1"/>
  <c r="Y45" i="39"/>
  <c r="X49" i="39"/>
  <c r="X45" i="39"/>
  <c r="AG41" i="39"/>
  <c r="AF41" i="39"/>
  <c r="G49" i="39"/>
  <c r="S93" i="39"/>
  <c r="S90" i="39"/>
  <c r="AE90" i="39"/>
  <c r="AE93" i="39"/>
  <c r="BC45" i="39"/>
  <c r="BC44" i="39" s="1"/>
  <c r="BC43" i="39" s="1"/>
  <c r="BB49" i="39"/>
  <c r="BB45" i="39"/>
  <c r="BB44" i="39" s="1"/>
  <c r="BB43" i="39" s="1"/>
  <c r="AK98" i="39"/>
  <c r="AK94" i="39"/>
  <c r="AG98" i="39"/>
  <c r="AG94" i="39"/>
  <c r="BD41" i="39"/>
  <c r="BE41" i="39"/>
  <c r="BE93" i="39"/>
  <c r="BE90" i="39"/>
  <c r="R49" i="39"/>
  <c r="S45" i="39"/>
  <c r="S44" i="39" s="1"/>
  <c r="S43" i="39" s="1"/>
  <c r="R45" i="39"/>
  <c r="R44" i="39" s="1"/>
  <c r="R43" i="39" s="1"/>
  <c r="AI49" i="39"/>
  <c r="AO93" i="39"/>
  <c r="AO90" i="39"/>
  <c r="AA90" i="39"/>
  <c r="AA93" i="39"/>
  <c r="BA89" i="39"/>
  <c r="BA87" i="39"/>
  <c r="AT49" i="39"/>
  <c r="AU45" i="39"/>
  <c r="AU44" i="39" s="1"/>
  <c r="AU43" i="39" s="1"/>
  <c r="AT45" i="39"/>
  <c r="AT44" i="39" s="1"/>
  <c r="AT43" i="39" s="1"/>
  <c r="AQ45" i="39"/>
  <c r="AQ44" i="39" s="1"/>
  <c r="AQ43" i="39" s="1"/>
  <c r="AP45" i="39"/>
  <c r="AP44" i="39" s="1"/>
  <c r="AP43" i="39" s="1"/>
  <c r="AP49" i="39"/>
  <c r="BI49" i="39"/>
  <c r="Z44" i="39"/>
  <c r="Z43" i="39" s="1"/>
  <c r="L16" i="39"/>
  <c r="L20" i="39" s="1"/>
  <c r="L24" i="39" s="1"/>
  <c r="L23" i="39" s="1"/>
  <c r="M10" i="39"/>
  <c r="O99" i="39"/>
  <c r="BD49" i="39"/>
  <c r="BE45" i="39"/>
  <c r="BD45" i="39"/>
  <c r="M99" i="39"/>
  <c r="U93" i="39"/>
  <c r="U90" i="39"/>
  <c r="N49" i="39"/>
  <c r="O45" i="39"/>
  <c r="O44" i="39" s="1"/>
  <c r="O43" i="39" s="1"/>
  <c r="N45" i="39"/>
  <c r="N44" i="39" s="1"/>
  <c r="N43" i="39" s="1"/>
  <c r="AN45" i="39"/>
  <c r="AN44" i="39" s="1"/>
  <c r="AN43" i="39" s="1"/>
  <c r="AO45" i="39"/>
  <c r="AO44" i="39" s="1"/>
  <c r="AO43" i="39" s="1"/>
  <c r="AN49" i="39"/>
  <c r="K69" i="39"/>
  <c r="K75" i="39"/>
  <c r="K81" i="39"/>
  <c r="K129" i="39"/>
  <c r="K130" i="39" s="1"/>
  <c r="K142" i="39" s="1"/>
  <c r="K16" i="39"/>
  <c r="K20" i="39" s="1"/>
  <c r="K24" i="39" s="1"/>
  <c r="K23" i="39" s="1"/>
  <c r="G94" i="39"/>
  <c r="G98" i="39"/>
  <c r="W93" i="39"/>
  <c r="W90" i="39"/>
  <c r="Y98" i="39"/>
  <c r="Y94" i="39"/>
  <c r="L48" i="39"/>
  <c r="K94" i="39"/>
  <c r="K98" i="39"/>
  <c r="BC90" i="39"/>
  <c r="BC93" i="39"/>
  <c r="BH41" i="39"/>
  <c r="P4" i="39"/>
  <c r="N2" i="39"/>
  <c r="N10" i="39" s="1"/>
  <c r="O131" i="39"/>
  <c r="AR45" i="39"/>
  <c r="AR44" i="39" s="1"/>
  <c r="AR43" i="39" s="1"/>
  <c r="AS45" i="39"/>
  <c r="AS44" i="39" s="1"/>
  <c r="AS43" i="39" s="1"/>
  <c r="AR49" i="39"/>
  <c r="I144" i="39"/>
  <c r="I99" i="39"/>
  <c r="X41" i="39"/>
  <c r="Y41" i="39"/>
  <c r="AA44" i="39"/>
  <c r="AA43" i="39" s="1"/>
  <c r="AX45" i="39"/>
  <c r="AX44" i="39" s="1"/>
  <c r="AX43" i="39" s="1"/>
  <c r="AX49" i="39"/>
  <c r="AY45" i="39"/>
  <c r="AY44" i="39" s="1"/>
  <c r="AY43" i="39" s="1"/>
  <c r="K45" i="39"/>
  <c r="K44" i="39" s="1"/>
  <c r="K43" i="39" s="1"/>
  <c r="J45" i="39"/>
  <c r="J44" i="39" s="1"/>
  <c r="J43" i="39" s="1"/>
  <c r="J49" i="39"/>
  <c r="J48" i="39" s="1"/>
  <c r="K48" i="39"/>
  <c r="AQ99" i="39"/>
  <c r="BI93" i="39"/>
  <c r="BI90" i="39"/>
  <c r="AI98" i="39"/>
  <c r="AI94" i="39"/>
  <c r="AM99" i="39"/>
  <c r="AG49" i="39"/>
  <c r="F41" i="39"/>
  <c r="AD49" i="39"/>
  <c r="AE45" i="39"/>
  <c r="AE44" i="39" s="1"/>
  <c r="AE43" i="39" s="1"/>
  <c r="AD45" i="39"/>
  <c r="AD44" i="39" s="1"/>
  <c r="AD43" i="39" s="1"/>
  <c r="U49" i="39"/>
  <c r="BS41" i="13"/>
  <c r="BR41" i="13"/>
  <c r="BS49" i="13"/>
  <c r="BQ31" i="14"/>
  <c r="BQ42" i="14"/>
  <c r="BQ41" i="14" s="1"/>
  <c r="BO25" i="14"/>
  <c r="BO30" i="14"/>
  <c r="BO29" i="14" s="1"/>
  <c r="BQ26" i="14"/>
  <c r="BS26" i="14" s="1"/>
  <c r="BN42" i="14"/>
  <c r="BN41" i="14" s="1"/>
  <c r="BP32" i="14"/>
  <c r="BR32" i="14" s="1"/>
  <c r="BT32" i="14" s="1"/>
  <c r="BV32" i="14" s="1"/>
  <c r="BX32" i="14" s="1"/>
  <c r="BZ32" i="14" s="1"/>
  <c r="CB32" i="14" s="1"/>
  <c r="CD32" i="14" s="1"/>
  <c r="CF32" i="14" s="1"/>
  <c r="BN31" i="14"/>
  <c r="BL44" i="14"/>
  <c r="BL43" i="14" s="1"/>
  <c r="BO24" i="14"/>
  <c r="BO23" i="14" s="1"/>
  <c r="BN30" i="14"/>
  <c r="BN29" i="14" s="1"/>
  <c r="BP26" i="14"/>
  <c r="BR26" i="14" s="1"/>
  <c r="BN24" i="14"/>
  <c r="BN23" i="14" s="1"/>
  <c r="BN25" i="14"/>
  <c r="BI49" i="14"/>
  <c r="BH45" i="14" s="1"/>
  <c r="Q44" i="38"/>
  <c r="Q43" i="38" s="1"/>
  <c r="O41" i="38"/>
  <c r="N41" i="38"/>
  <c r="AT41" i="38"/>
  <c r="AU49" i="38"/>
  <c r="AU45" i="38" s="1"/>
  <c r="AU44" i="38" s="1"/>
  <c r="AU43" i="38" s="1"/>
  <c r="O49" i="38"/>
  <c r="DF41" i="3"/>
  <c r="CU98" i="3"/>
  <c r="CU143" i="3" s="1"/>
  <c r="BJ49" i="36"/>
  <c r="BJ48" i="36" s="1"/>
  <c r="BK48" i="36"/>
  <c r="BK45" i="36"/>
  <c r="BK44" i="36" s="1"/>
  <c r="BJ45" i="36"/>
  <c r="BJ44" i="36" s="1"/>
  <c r="BJ43" i="36" s="1"/>
  <c r="AY94" i="35"/>
  <c r="BP72" i="14"/>
  <c r="BQ86" i="14"/>
  <c r="BQ71" i="14"/>
  <c r="BO125" i="14"/>
  <c r="BM126" i="14"/>
  <c r="BM127" i="14" s="1"/>
  <c r="BO128" i="14"/>
  <c r="BM129" i="14"/>
  <c r="BM130" i="14" s="1"/>
  <c r="BD49" i="35"/>
  <c r="BD48" i="35" s="1"/>
  <c r="BE48" i="35"/>
  <c r="BE45" i="35"/>
  <c r="BE44" i="35" s="1"/>
  <c r="BE43" i="35" s="1"/>
  <c r="BD45" i="35"/>
  <c r="BD44" i="35" s="1"/>
  <c r="BD43" i="35" s="1"/>
  <c r="BF49" i="34"/>
  <c r="BG45" i="34"/>
  <c r="BG44" i="34" s="1"/>
  <c r="BG43" i="34" s="1"/>
  <c r="BF45" i="34"/>
  <c r="BF44" i="34" s="1"/>
  <c r="BF43" i="34" s="1"/>
  <c r="DE49" i="36"/>
  <c r="DE48" i="36" s="1"/>
  <c r="DF48" i="36"/>
  <c r="DF45" i="36"/>
  <c r="DF44" i="36" s="1"/>
  <c r="DE45" i="36"/>
  <c r="DE44" i="36" s="1"/>
  <c r="DE43" i="36" s="1"/>
  <c r="DP48" i="3"/>
  <c r="DO49" i="3"/>
  <c r="DO48" i="3" s="1"/>
  <c r="DT48" i="3"/>
  <c r="DS49" i="3"/>
  <c r="DS48" i="3" s="1"/>
  <c r="DR49" i="3"/>
  <c r="BG89" i="38"/>
  <c r="BG87" i="38"/>
  <c r="BF45" i="38"/>
  <c r="BF44" i="38" s="1"/>
  <c r="BF43" i="38" s="1"/>
  <c r="BF49" i="38"/>
  <c r="BF48" i="38" s="1"/>
  <c r="BG48" i="38"/>
  <c r="BG45" i="38"/>
  <c r="BG44" i="38" s="1"/>
  <c r="BG43" i="38" s="1"/>
  <c r="BB49" i="35"/>
  <c r="BB48" i="35" s="1"/>
  <c r="BC48" i="35"/>
  <c r="BC45" i="35"/>
  <c r="BC44" i="35" s="1"/>
  <c r="BC43" i="35" s="1"/>
  <c r="BB45" i="35"/>
  <c r="BB44" i="35" s="1"/>
  <c r="BB43" i="35" s="1"/>
  <c r="BA93" i="35"/>
  <c r="BA90" i="35"/>
  <c r="AZ49" i="35"/>
  <c r="AZ48" i="35" s="1"/>
  <c r="BA48" i="35"/>
  <c r="BA45" i="35"/>
  <c r="BA44" i="35" s="1"/>
  <c r="BA43" i="35" s="1"/>
  <c r="AZ45" i="35"/>
  <c r="AZ44" i="35" s="1"/>
  <c r="AZ43" i="35" s="1"/>
  <c r="BE41" i="34"/>
  <c r="BD41" i="34"/>
  <c r="BD49" i="34"/>
  <c r="BE45" i="34"/>
  <c r="BD45" i="34"/>
  <c r="BC49" i="34"/>
  <c r="BB49" i="34" s="1"/>
  <c r="DI87" i="3"/>
  <c r="DI89" i="3"/>
  <c r="DM49" i="3"/>
  <c r="DK89" i="3"/>
  <c r="DK87" i="3"/>
  <c r="DK47" i="3"/>
  <c r="DI48" i="3"/>
  <c r="DI45" i="3"/>
  <c r="DH45" i="3"/>
  <c r="DH49" i="3"/>
  <c r="DH48" i="3" s="1"/>
  <c r="DM89" i="3"/>
  <c r="DM87" i="3"/>
  <c r="BE89" i="38"/>
  <c r="BE87" i="38"/>
  <c r="BD41" i="38"/>
  <c r="BE41" i="38"/>
  <c r="BD45" i="38"/>
  <c r="BE45" i="38"/>
  <c r="BD49" i="38"/>
  <c r="BD48" i="38" s="1"/>
  <c r="BE48" i="38"/>
  <c r="BN49" i="14"/>
  <c r="BN48" i="14" s="1"/>
  <c r="BO48" i="14"/>
  <c r="BO45" i="14"/>
  <c r="BO44" i="14" s="1"/>
  <c r="BO43" i="14" s="1"/>
  <c r="BN45" i="14"/>
  <c r="BM98" i="14"/>
  <c r="BM94" i="14"/>
  <c r="BK49" i="14"/>
  <c r="BK48" i="14" s="1"/>
  <c r="BB45" i="38"/>
  <c r="BB44" i="38" s="1"/>
  <c r="BB43" i="38" s="1"/>
  <c r="BC45" i="38"/>
  <c r="BC44" i="38" s="1"/>
  <c r="BC43" i="38" s="1"/>
  <c r="BB49" i="38"/>
  <c r="BB48" i="38" s="1"/>
  <c r="BC48" i="38"/>
  <c r="BC89" i="38"/>
  <c r="BC87" i="38"/>
  <c r="Q90" i="38"/>
  <c r="Q93" i="38"/>
  <c r="DA41" i="3"/>
  <c r="DB41" i="3"/>
  <c r="DD98" i="3"/>
  <c r="DD94" i="3"/>
  <c r="DB48" i="3"/>
  <c r="DB45" i="3"/>
  <c r="DA45" i="3"/>
  <c r="DA49" i="3"/>
  <c r="DA48" i="3" s="1"/>
  <c r="DF45" i="3"/>
  <c r="DE45" i="3"/>
  <c r="DE44" i="3" s="1"/>
  <c r="DE43" i="3" s="1"/>
  <c r="DE49" i="3"/>
  <c r="DE48" i="3" s="1"/>
  <c r="DF48" i="3"/>
  <c r="DF89" i="3"/>
  <c r="DF87" i="3"/>
  <c r="DC41" i="3"/>
  <c r="DD41" i="3"/>
  <c r="DD48" i="3"/>
  <c r="DC45" i="3"/>
  <c r="DD45" i="3"/>
  <c r="DC49" i="3"/>
  <c r="DC48" i="3" s="1"/>
  <c r="DB87" i="3"/>
  <c r="DB89" i="3"/>
  <c r="BM94" i="15"/>
  <c r="BH41" i="36"/>
  <c r="BI41" i="36"/>
  <c r="BI49" i="36"/>
  <c r="BA98" i="33"/>
  <c r="BA94" i="33"/>
  <c r="BA41" i="33"/>
  <c r="AZ41" i="33"/>
  <c r="BA49" i="33"/>
  <c r="BB41" i="34"/>
  <c r="BC98" i="34"/>
  <c r="BC94" i="34"/>
  <c r="DC49" i="36"/>
  <c r="DC48" i="36" s="1"/>
  <c r="DD48" i="36"/>
  <c r="DD45" i="36"/>
  <c r="DD44" i="36" s="1"/>
  <c r="DC45" i="36"/>
  <c r="DC44" i="36" s="1"/>
  <c r="DC43" i="36" s="1"/>
  <c r="DD93" i="36"/>
  <c r="DD90" i="36"/>
  <c r="BG83" i="36"/>
  <c r="BG82" i="36"/>
  <c r="BG81" i="36"/>
  <c r="BG41" i="36"/>
  <c r="BF41" i="36"/>
  <c r="BG49" i="36"/>
  <c r="BA89" i="38"/>
  <c r="BA87" i="38"/>
  <c r="BA41" i="38"/>
  <c r="AZ41" i="38"/>
  <c r="BA49" i="38"/>
  <c r="AY98" i="38"/>
  <c r="AY94" i="38"/>
  <c r="AX45" i="38"/>
  <c r="AX44" i="38" s="1"/>
  <c r="AX43" i="38" s="1"/>
  <c r="AX49" i="38"/>
  <c r="AX48" i="38" s="1"/>
  <c r="AY48" i="38"/>
  <c r="AY45" i="38"/>
  <c r="AY44" i="38" s="1"/>
  <c r="AY43" i="38" s="1"/>
  <c r="AF45" i="38"/>
  <c r="AG45" i="38"/>
  <c r="AF49" i="38"/>
  <c r="AD49" i="38"/>
  <c r="AE45" i="38"/>
  <c r="AD45" i="38"/>
  <c r="AH45" i="38"/>
  <c r="AI45" i="38"/>
  <c r="AH49" i="38"/>
  <c r="K48" i="38"/>
  <c r="K45" i="38"/>
  <c r="K44" i="38" s="1"/>
  <c r="K43" i="38" s="1"/>
  <c r="J49" i="38"/>
  <c r="J48" i="38" s="1"/>
  <c r="AK41" i="38"/>
  <c r="AJ41" i="38"/>
  <c r="K93" i="38"/>
  <c r="K90" i="38"/>
  <c r="K129" i="38"/>
  <c r="K130" i="38" s="1"/>
  <c r="K142" i="38" s="1"/>
  <c r="K75" i="38"/>
  <c r="K69" i="38"/>
  <c r="K81" i="38"/>
  <c r="K16" i="38"/>
  <c r="K20" i="38" s="1"/>
  <c r="K24" i="38" s="1"/>
  <c r="K23" i="38" s="1"/>
  <c r="AG98" i="38"/>
  <c r="AG94" i="38"/>
  <c r="AW99" i="38"/>
  <c r="AM90" i="38"/>
  <c r="AM93" i="38"/>
  <c r="Y90" i="38"/>
  <c r="Y93" i="38"/>
  <c r="AC99" i="38"/>
  <c r="AE99" i="38"/>
  <c r="AK49" i="38"/>
  <c r="G98" i="38"/>
  <c r="G94" i="38"/>
  <c r="AB49" i="38"/>
  <c r="AC45" i="38"/>
  <c r="AC44" i="38" s="1"/>
  <c r="AC43" i="38" s="1"/>
  <c r="AB45" i="38"/>
  <c r="AB44" i="38" s="1"/>
  <c r="AB43" i="38" s="1"/>
  <c r="AN49" i="38"/>
  <c r="AO45" i="38"/>
  <c r="AO44" i="38" s="1"/>
  <c r="AO43" i="38" s="1"/>
  <c r="AN45" i="38"/>
  <c r="AN44" i="38" s="1"/>
  <c r="AN43" i="38" s="1"/>
  <c r="AK98" i="38"/>
  <c r="AK94" i="38"/>
  <c r="T49" i="38"/>
  <c r="U45" i="38"/>
  <c r="U44" i="38" s="1"/>
  <c r="U43" i="38" s="1"/>
  <c r="T45" i="38"/>
  <c r="T44" i="38" s="1"/>
  <c r="T43" i="38" s="1"/>
  <c r="K132" i="38"/>
  <c r="K133" i="38" s="1"/>
  <c r="AS45" i="38"/>
  <c r="AS44" i="38" s="1"/>
  <c r="AS43" i="38" s="1"/>
  <c r="AR45" i="38"/>
  <c r="AR44" i="38" s="1"/>
  <c r="AR43" i="38" s="1"/>
  <c r="AR49" i="38"/>
  <c r="AQ99" i="38"/>
  <c r="AU98" i="38"/>
  <c r="AU94" i="38"/>
  <c r="W94" i="38"/>
  <c r="W98" i="38"/>
  <c r="I93" i="38"/>
  <c r="I90" i="38"/>
  <c r="R49" i="38"/>
  <c r="S45" i="38"/>
  <c r="S44" i="38" s="1"/>
  <c r="S43" i="38" s="1"/>
  <c r="R45" i="38"/>
  <c r="R44" i="38" s="1"/>
  <c r="R43" i="38" s="1"/>
  <c r="G41" i="38"/>
  <c r="F41" i="38"/>
  <c r="M93" i="38"/>
  <c r="M90" i="38"/>
  <c r="AA45" i="38"/>
  <c r="AA44" i="38" s="1"/>
  <c r="AA43" i="38" s="1"/>
  <c r="Z45" i="38"/>
  <c r="Z44" i="38" s="1"/>
  <c r="Z43" i="38" s="1"/>
  <c r="Z49" i="38"/>
  <c r="O131" i="38"/>
  <c r="P4" i="38"/>
  <c r="N2" i="38"/>
  <c r="N10" i="38" s="1"/>
  <c r="AL49" i="38"/>
  <c r="AM45" i="38"/>
  <c r="AM44" i="38" s="1"/>
  <c r="AM43" i="38" s="1"/>
  <c r="AL45" i="38"/>
  <c r="AL44" i="38" s="1"/>
  <c r="AL43" i="38" s="1"/>
  <c r="AS93" i="38"/>
  <c r="AS90" i="38"/>
  <c r="F49" i="38"/>
  <c r="F48" i="38" s="1"/>
  <c r="G48" i="38"/>
  <c r="G45" i="38"/>
  <c r="F45" i="38"/>
  <c r="AO93" i="38"/>
  <c r="AO90" i="38"/>
  <c r="AA98" i="38"/>
  <c r="AA94" i="38"/>
  <c r="AP49" i="38"/>
  <c r="AQ45" i="38"/>
  <c r="AQ44" i="38" s="1"/>
  <c r="AQ43" i="38" s="1"/>
  <c r="AP45" i="38"/>
  <c r="AP44" i="38" s="1"/>
  <c r="AP43" i="38" s="1"/>
  <c r="M10" i="38"/>
  <c r="L16" i="38"/>
  <c r="L20" i="38" s="1"/>
  <c r="L24" i="38" s="1"/>
  <c r="L23" i="38" s="1"/>
  <c r="AE41" i="38"/>
  <c r="AD41" i="38"/>
  <c r="AG41" i="38"/>
  <c r="AF41" i="38"/>
  <c r="AI98" i="38"/>
  <c r="AI94" i="38"/>
  <c r="S99" i="38"/>
  <c r="O94" i="38"/>
  <c r="O98" i="38"/>
  <c r="W54" i="38"/>
  <c r="W49" i="38" s="1"/>
  <c r="Y41" i="38"/>
  <c r="X41" i="38"/>
  <c r="L45" i="38"/>
  <c r="L44" i="38" s="1"/>
  <c r="L43" i="38" s="1"/>
  <c r="M45" i="38"/>
  <c r="M44" i="38" s="1"/>
  <c r="M43" i="38" s="1"/>
  <c r="L49" i="38"/>
  <c r="L48" i="38" s="1"/>
  <c r="AI41" i="38"/>
  <c r="AH41" i="38"/>
  <c r="Y49" i="38"/>
  <c r="BO84" i="13"/>
  <c r="BQ83" i="13"/>
  <c r="BQ82" i="13"/>
  <c r="BQ81" i="13"/>
  <c r="DA49" i="36"/>
  <c r="DA48" i="36" s="1"/>
  <c r="DB48" i="36"/>
  <c r="DB45" i="36"/>
  <c r="DB44" i="36" s="1"/>
  <c r="DA45" i="36"/>
  <c r="DA44" i="36" s="1"/>
  <c r="DA43" i="36" s="1"/>
  <c r="BO45" i="13"/>
  <c r="BO44" i="13" s="1"/>
  <c r="BN45" i="13"/>
  <c r="BN44" i="13" s="1"/>
  <c r="BN43" i="13" s="1"/>
  <c r="BN49" i="13"/>
  <c r="BN48" i="13" s="1"/>
  <c r="BO48" i="13"/>
  <c r="BQ48" i="13"/>
  <c r="BP49" i="13"/>
  <c r="BP48" i="13" s="1"/>
  <c r="BQ45" i="13"/>
  <c r="BQ44" i="13" s="1"/>
  <c r="BP45" i="13"/>
  <c r="BP44" i="13" s="1"/>
  <c r="BP43" i="13" s="1"/>
  <c r="BL49" i="13"/>
  <c r="BL48" i="13" s="1"/>
  <c r="BM48" i="13"/>
  <c r="BL45" i="13"/>
  <c r="BL44" i="13" s="1"/>
  <c r="BL43" i="13" s="1"/>
  <c r="BM45" i="13"/>
  <c r="BM44" i="13" s="1"/>
  <c r="CW90" i="3"/>
  <c r="CT49" i="3"/>
  <c r="CT48" i="3" s="1"/>
  <c r="CS93" i="3"/>
  <c r="CS90" i="3"/>
  <c r="CY94" i="3"/>
  <c r="CY98" i="3"/>
  <c r="CW94" i="3"/>
  <c r="CW98" i="3"/>
  <c r="CX49" i="3"/>
  <c r="CX48" i="3" s="1"/>
  <c r="CY45" i="3"/>
  <c r="CY44" i="3" s="1"/>
  <c r="CY43" i="3" s="1"/>
  <c r="CX45" i="3"/>
  <c r="CX44" i="3" s="1"/>
  <c r="CX43" i="3" s="1"/>
  <c r="CY48" i="3"/>
  <c r="CV49" i="3"/>
  <c r="CV48" i="3" s="1"/>
  <c r="CW45" i="3"/>
  <c r="CW44" i="3" s="1"/>
  <c r="CV45" i="3"/>
  <c r="CV44" i="3" s="1"/>
  <c r="CV43" i="3" s="1"/>
  <c r="CW48" i="3"/>
  <c r="CR49" i="3"/>
  <c r="CR48" i="3" s="1"/>
  <c r="CS45" i="3"/>
  <c r="CS44" i="3" s="1"/>
  <c r="CR45" i="3"/>
  <c r="CR44" i="3" s="1"/>
  <c r="CR43" i="3" s="1"/>
  <c r="CS48" i="3"/>
  <c r="AO45" i="37"/>
  <c r="AN49" i="37"/>
  <c r="AN45" i="37"/>
  <c r="AK90" i="37"/>
  <c r="AK93" i="37"/>
  <c r="T49" i="37"/>
  <c r="U45" i="37"/>
  <c r="U44" i="37" s="1"/>
  <c r="U43" i="37" s="1"/>
  <c r="T45" i="37"/>
  <c r="T44" i="37" s="1"/>
  <c r="T43" i="37" s="1"/>
  <c r="BA89" i="37"/>
  <c r="BA87" i="37"/>
  <c r="AG45" i="37"/>
  <c r="AG44" i="37" s="1"/>
  <c r="AG43" i="37" s="1"/>
  <c r="AF45" i="37"/>
  <c r="AF44" i="37" s="1"/>
  <c r="AF43" i="37" s="1"/>
  <c r="AF49" i="37"/>
  <c r="M45" i="37"/>
  <c r="M44" i="37" s="1"/>
  <c r="M43" i="37" s="1"/>
  <c r="L49" i="37"/>
  <c r="L48" i="37" s="1"/>
  <c r="L45" i="37"/>
  <c r="L44" i="37" s="1"/>
  <c r="L43" i="37" s="1"/>
  <c r="K48" i="37"/>
  <c r="K45" i="37"/>
  <c r="K44" i="37" s="1"/>
  <c r="K43" i="37" s="1"/>
  <c r="J45" i="37"/>
  <c r="J44" i="37" s="1"/>
  <c r="J43" i="37" s="1"/>
  <c r="J49" i="37"/>
  <c r="J48" i="37" s="1"/>
  <c r="M10" i="37"/>
  <c r="L16" i="37"/>
  <c r="L20" i="37" s="1"/>
  <c r="L24" i="37" s="1"/>
  <c r="L23" i="37" s="1"/>
  <c r="AC49" i="37"/>
  <c r="AU93" i="37"/>
  <c r="AU90" i="37"/>
  <c r="AK45" i="37"/>
  <c r="AJ45" i="37"/>
  <c r="AJ49" i="37"/>
  <c r="AY93" i="37"/>
  <c r="AY90" i="37"/>
  <c r="AS99" i="37"/>
  <c r="AC54" i="37"/>
  <c r="AY45" i="37"/>
  <c r="AY44" i="37" s="1"/>
  <c r="AY43" i="37" s="1"/>
  <c r="AX49" i="37"/>
  <c r="AX45" i="37"/>
  <c r="AX44" i="37" s="1"/>
  <c r="AX43" i="37" s="1"/>
  <c r="AR41" i="37"/>
  <c r="AS41" i="37"/>
  <c r="AM93" i="37"/>
  <c r="AM90" i="37"/>
  <c r="M99" i="37"/>
  <c r="I94" i="37"/>
  <c r="I98" i="37"/>
  <c r="O131" i="37"/>
  <c r="N2" i="37"/>
  <c r="N10" i="37" s="1"/>
  <c r="P4" i="37"/>
  <c r="AG98" i="37"/>
  <c r="AG94" i="37"/>
  <c r="Q49" i="37"/>
  <c r="K75" i="37"/>
  <c r="K69" i="37"/>
  <c r="K129" i="37"/>
  <c r="K81" i="37"/>
  <c r="K16" i="37"/>
  <c r="K20" i="37" s="1"/>
  <c r="K24" i="37" s="1"/>
  <c r="K23" i="37" s="1"/>
  <c r="AN41" i="37"/>
  <c r="AO41" i="37"/>
  <c r="Z41" i="37"/>
  <c r="N41" i="37"/>
  <c r="AC98" i="37"/>
  <c r="AC94" i="37"/>
  <c r="S99" i="37"/>
  <c r="U98" i="37"/>
  <c r="U94" i="37"/>
  <c r="AA49" i="37"/>
  <c r="AZ49" i="37"/>
  <c r="BA45" i="37"/>
  <c r="BA44" i="37" s="1"/>
  <c r="BA43" i="37" s="1"/>
  <c r="AZ45" i="37"/>
  <c r="AZ44" i="37" s="1"/>
  <c r="AZ43" i="37" s="1"/>
  <c r="AS49" i="37"/>
  <c r="AW93" i="37"/>
  <c r="AW90" i="37"/>
  <c r="AU45" i="37"/>
  <c r="AU44" i="37" s="1"/>
  <c r="AU43" i="37" s="1"/>
  <c r="AT49" i="37"/>
  <c r="AT45" i="37"/>
  <c r="AT44" i="37" s="1"/>
  <c r="AT43" i="37" s="1"/>
  <c r="G93" i="37"/>
  <c r="G90" i="37"/>
  <c r="AO98" i="37"/>
  <c r="AO94" i="37"/>
  <c r="O45" i="37"/>
  <c r="O44" i="37" s="1"/>
  <c r="O43" i="37" s="1"/>
  <c r="N49" i="37"/>
  <c r="N45" i="37"/>
  <c r="AI90" i="37"/>
  <c r="AI93" i="37"/>
  <c r="Q93" i="37"/>
  <c r="Q90" i="37"/>
  <c r="AQ45" i="37"/>
  <c r="AQ44" i="37" s="1"/>
  <c r="AQ43" i="37" s="1"/>
  <c r="AP49" i="37"/>
  <c r="AP45" i="37"/>
  <c r="AP44" i="37" s="1"/>
  <c r="AP43" i="37" s="1"/>
  <c r="AE45" i="37"/>
  <c r="AE44" i="37" s="1"/>
  <c r="AE43" i="37" s="1"/>
  <c r="AD49" i="37"/>
  <c r="AD45" i="37"/>
  <c r="AD44" i="37" s="1"/>
  <c r="AD43" i="37" s="1"/>
  <c r="O93" i="37"/>
  <c r="O90" i="37"/>
  <c r="AK41" i="37"/>
  <c r="AJ41" i="37"/>
  <c r="AV49" i="37"/>
  <c r="AW45" i="37"/>
  <c r="AW44" i="37" s="1"/>
  <c r="AW43" i="37" s="1"/>
  <c r="AV45" i="37"/>
  <c r="AV44" i="37" s="1"/>
  <c r="AV43" i="37" s="1"/>
  <c r="AE90" i="37"/>
  <c r="AE93" i="37"/>
  <c r="BA94" i="34"/>
  <c r="AX49" i="35"/>
  <c r="AX48" i="35" s="1"/>
  <c r="AX45" i="35"/>
  <c r="AX44" i="35" s="1"/>
  <c r="AX43" i="35" s="1"/>
  <c r="AY45" i="35"/>
  <c r="AY44" i="35" s="1"/>
  <c r="AY43" i="35" s="1"/>
  <c r="AV49" i="35"/>
  <c r="AV48" i="35" s="1"/>
  <c r="AW48" i="35"/>
  <c r="AW45" i="35"/>
  <c r="AW44" i="35" s="1"/>
  <c r="AW43" i="35" s="1"/>
  <c r="AV45" i="35"/>
  <c r="AV44" i="35" s="1"/>
  <c r="AV43" i="35" s="1"/>
  <c r="AW98" i="35"/>
  <c r="AW94" i="35"/>
  <c r="AT45" i="35"/>
  <c r="AT44" i="35" s="1"/>
  <c r="AT43" i="35" s="1"/>
  <c r="AT49" i="35"/>
  <c r="AT48" i="35" s="1"/>
  <c r="AU48" i="35"/>
  <c r="AU45" i="35"/>
  <c r="AU44" i="35" s="1"/>
  <c r="AU43" i="35" s="1"/>
  <c r="AY144" i="35"/>
  <c r="AY99" i="35"/>
  <c r="AU144" i="35"/>
  <c r="AU99" i="35"/>
  <c r="AY60" i="33"/>
  <c r="AY59" i="33"/>
  <c r="AY98" i="33"/>
  <c r="AY94" i="33"/>
  <c r="AZ49" i="34"/>
  <c r="BA45" i="34"/>
  <c r="BA44" i="34" s="1"/>
  <c r="BA43" i="34" s="1"/>
  <c r="AZ45" i="34"/>
  <c r="AZ44" i="34" s="1"/>
  <c r="AZ43" i="34" s="1"/>
  <c r="BA99" i="34"/>
  <c r="AX49" i="34"/>
  <c r="AY45" i="34"/>
  <c r="AY44" i="34" s="1"/>
  <c r="AY43" i="34" s="1"/>
  <c r="AX45" i="34"/>
  <c r="AX44" i="34" s="1"/>
  <c r="AX43" i="34" s="1"/>
  <c r="AY98" i="34"/>
  <c r="AY94" i="34"/>
  <c r="AW99" i="34"/>
  <c r="AV49" i="34"/>
  <c r="AW45" i="34"/>
  <c r="AW44" i="34" s="1"/>
  <c r="AW43" i="34" s="1"/>
  <c r="AV45" i="34"/>
  <c r="AV44" i="34" s="1"/>
  <c r="AV43" i="34" s="1"/>
  <c r="BK93" i="15"/>
  <c r="BK90" i="15"/>
  <c r="BI90" i="15"/>
  <c r="BI93" i="15"/>
  <c r="BG93" i="15"/>
  <c r="BG90" i="15"/>
  <c r="BK87" i="14"/>
  <c r="BK89" i="14"/>
  <c r="BE49" i="14"/>
  <c r="BI98" i="14"/>
  <c r="BI94" i="14"/>
  <c r="BE98" i="14"/>
  <c r="BE94" i="14"/>
  <c r="BG94" i="14"/>
  <c r="BG98" i="14"/>
  <c r="BF45" i="14"/>
  <c r="BG48" i="14"/>
  <c r="BG45" i="14"/>
  <c r="BF49" i="14"/>
  <c r="BF48" i="14" s="1"/>
  <c r="BZ30" i="36" l="1"/>
  <c r="BZ29" i="36" s="1"/>
  <c r="CB26" i="36"/>
  <c r="BZ24" i="36"/>
  <c r="BZ23" i="36" s="1"/>
  <c r="BZ25" i="36"/>
  <c r="BE44" i="34"/>
  <c r="BE43" i="34" s="1"/>
  <c r="BX30" i="36"/>
  <c r="BX29" i="36" s="1"/>
  <c r="BX24" i="36"/>
  <c r="BX23" i="36" s="1"/>
  <c r="BX25" i="36"/>
  <c r="CU48" i="3"/>
  <c r="CT45" i="3"/>
  <c r="CT44" i="3" s="1"/>
  <c r="CT43" i="3" s="1"/>
  <c r="CF31" i="14"/>
  <c r="CF42" i="14"/>
  <c r="CF41" i="14" s="1"/>
  <c r="CF44" i="14"/>
  <c r="CF43" i="14" s="1"/>
  <c r="BS84" i="13"/>
  <c r="BS86" i="13"/>
  <c r="DR86" i="3"/>
  <c r="DR84" i="3"/>
  <c r="BS86" i="15"/>
  <c r="BS84" i="15"/>
  <c r="BQ84" i="15"/>
  <c r="BQ86" i="15"/>
  <c r="BO84" i="15"/>
  <c r="BO86" i="15"/>
  <c r="BK86" i="36"/>
  <c r="BK84" i="36"/>
  <c r="DF84" i="36"/>
  <c r="DF86" i="36"/>
  <c r="DT30" i="36"/>
  <c r="DT29" i="36" s="1"/>
  <c r="DT25" i="36"/>
  <c r="DT24" i="36"/>
  <c r="DT23" i="36" s="1"/>
  <c r="DH84" i="36"/>
  <c r="DH86" i="36"/>
  <c r="BE84" i="35"/>
  <c r="BE86" i="35"/>
  <c r="BC86" i="35"/>
  <c r="BC84" i="35"/>
  <c r="BI60" i="33"/>
  <c r="BI59" i="33"/>
  <c r="BI117" i="33"/>
  <c r="BI116" i="33" s="1"/>
  <c r="BI114" i="33" s="1"/>
  <c r="BI115" i="33" s="1"/>
  <c r="BK106" i="33"/>
  <c r="BO66" i="33"/>
  <c r="BK65" i="33"/>
  <c r="BK122" i="33"/>
  <c r="BK52" i="33"/>
  <c r="BK121" i="33"/>
  <c r="BK120" i="33"/>
  <c r="BK119" i="33"/>
  <c r="BK96" i="33"/>
  <c r="BK98" i="33" s="1"/>
  <c r="BK105" i="33"/>
  <c r="BK123" i="33"/>
  <c r="BK133" i="33"/>
  <c r="BK142" i="33" s="1"/>
  <c r="BK130" i="33"/>
  <c r="BK127" i="33"/>
  <c r="BI144" i="33"/>
  <c r="BI99" i="33"/>
  <c r="BG108" i="33"/>
  <c r="BG109" i="33" s="1"/>
  <c r="BG56" i="33"/>
  <c r="BG111" i="33"/>
  <c r="BG112" i="33" s="1"/>
  <c r="BF8" i="33"/>
  <c r="BC87" i="33"/>
  <c r="BC89" i="33"/>
  <c r="CD42" i="14"/>
  <c r="CD41" i="14" s="1"/>
  <c r="CD44" i="14" s="1"/>
  <c r="CD43" i="14" s="1"/>
  <c r="CL32" i="14"/>
  <c r="CD31" i="14"/>
  <c r="BO84" i="14"/>
  <c r="BO86" i="14"/>
  <c r="BS84" i="14"/>
  <c r="BS86" i="14"/>
  <c r="CM31" i="14"/>
  <c r="CM42" i="14"/>
  <c r="CM41" i="14" s="1"/>
  <c r="CM44" i="14" s="1"/>
  <c r="CM43" i="14" s="1"/>
  <c r="AT49" i="38"/>
  <c r="DG45" i="36"/>
  <c r="DG44" i="36" s="1"/>
  <c r="DG43" i="36" s="1"/>
  <c r="DH45" i="36"/>
  <c r="DH44" i="36" s="1"/>
  <c r="DH47" i="36" s="1"/>
  <c r="DH48" i="36"/>
  <c r="BV30" i="36"/>
  <c r="BV29" i="36" s="1"/>
  <c r="BV25" i="36"/>
  <c r="BV24" i="36"/>
  <c r="BV23" i="36" s="1"/>
  <c r="CB31" i="14"/>
  <c r="CB42" i="14"/>
  <c r="CB41" i="14" s="1"/>
  <c r="CB44" i="14" s="1"/>
  <c r="CB43" i="14" s="1"/>
  <c r="BS41" i="14"/>
  <c r="BZ42" i="14"/>
  <c r="BZ41" i="14" s="1"/>
  <c r="BZ44" i="14" s="1"/>
  <c r="BZ43" i="14" s="1"/>
  <c r="BZ31" i="14"/>
  <c r="BQ44" i="14"/>
  <c r="BQ43" i="14" s="1"/>
  <c r="BD44" i="34"/>
  <c r="BD43" i="34" s="1"/>
  <c r="AT45" i="38"/>
  <c r="AT44" i="38" s="1"/>
  <c r="AT43" i="38" s="1"/>
  <c r="BR49" i="14"/>
  <c r="BR48" i="14" s="1"/>
  <c r="BS48" i="14"/>
  <c r="BS45" i="14"/>
  <c r="BR45" i="14"/>
  <c r="BX31" i="14"/>
  <c r="BX42" i="14"/>
  <c r="BX41" i="14" s="1"/>
  <c r="BX44" i="14" s="1"/>
  <c r="BX43" i="14" s="1"/>
  <c r="BJ44" i="13"/>
  <c r="BJ43" i="13" s="1"/>
  <c r="BJ49" i="14"/>
  <c r="BJ48" i="14" s="1"/>
  <c r="BK45" i="14"/>
  <c r="BV31" i="14"/>
  <c r="BV42" i="14"/>
  <c r="BV41" i="14" s="1"/>
  <c r="BV44" i="14" s="1"/>
  <c r="BV43" i="14" s="1"/>
  <c r="CO26" i="14"/>
  <c r="CO30" i="14" s="1"/>
  <c r="CO29" i="14" s="1"/>
  <c r="BU26" i="14"/>
  <c r="BW26" i="14" s="1"/>
  <c r="BY26" i="14" s="1"/>
  <c r="CA26" i="14" s="1"/>
  <c r="CC26" i="14" s="1"/>
  <c r="CE26" i="14" s="1"/>
  <c r="CG26" i="14" s="1"/>
  <c r="X45" i="37"/>
  <c r="X44" i="37" s="1"/>
  <c r="X43" i="37" s="1"/>
  <c r="X49" i="37"/>
  <c r="Y45" i="37"/>
  <c r="Y44" i="37" s="1"/>
  <c r="Y43" i="37" s="1"/>
  <c r="Y98" i="37"/>
  <c r="Y99" i="37" s="1"/>
  <c r="Y94" i="37"/>
  <c r="BC68" i="33"/>
  <c r="BC50" i="33"/>
  <c r="BC54" i="33" s="1"/>
  <c r="BC53" i="33"/>
  <c r="AO44" i="37"/>
  <c r="AO43" i="37" s="1"/>
  <c r="BT42" i="14"/>
  <c r="BT41" i="14" s="1"/>
  <c r="BT44" i="14" s="1"/>
  <c r="BT43" i="14" s="1"/>
  <c r="BT31" i="14"/>
  <c r="BE56" i="33"/>
  <c r="BD8" i="33"/>
  <c r="BE108" i="33"/>
  <c r="BE109" i="33" s="1"/>
  <c r="BE111" i="33"/>
  <c r="BE112" i="33" s="1"/>
  <c r="CN26" i="14"/>
  <c r="CN24" i="14" s="1"/>
  <c r="CN23" i="14" s="1"/>
  <c r="BT26" i="14"/>
  <c r="BV26" i="14" s="1"/>
  <c r="BX26" i="14" s="1"/>
  <c r="BZ26" i="14" s="1"/>
  <c r="CB26" i="14" s="1"/>
  <c r="CD26" i="14" s="1"/>
  <c r="CF26" i="14" s="1"/>
  <c r="AA94" i="37"/>
  <c r="AA98" i="37"/>
  <c r="AA99" i="37" s="1"/>
  <c r="DB44" i="3"/>
  <c r="DB47" i="3" s="1"/>
  <c r="F44" i="38"/>
  <c r="F43" i="38" s="1"/>
  <c r="DC44" i="3"/>
  <c r="DC43" i="3" s="1"/>
  <c r="DM45" i="3"/>
  <c r="DL45" i="3"/>
  <c r="DA44" i="3"/>
  <c r="DA43" i="3" s="1"/>
  <c r="DH44" i="3"/>
  <c r="DH43" i="3" s="1"/>
  <c r="DI44" i="3"/>
  <c r="DI43" i="3" s="1"/>
  <c r="DL44" i="3"/>
  <c r="DL43" i="3" s="1"/>
  <c r="DM44" i="3"/>
  <c r="DM43" i="3" s="1"/>
  <c r="CN31" i="14"/>
  <c r="CN42" i="14"/>
  <c r="CN41" i="14" s="1"/>
  <c r="CN44" i="14" s="1"/>
  <c r="CN43" i="14" s="1"/>
  <c r="BH49" i="14"/>
  <c r="BH48" i="14" s="1"/>
  <c r="BI45" i="14"/>
  <c r="BI48" i="14"/>
  <c r="BC45" i="34"/>
  <c r="BC44" i="34" s="1"/>
  <c r="BC43" i="34" s="1"/>
  <c r="DR45" i="3"/>
  <c r="DR44" i="3" s="1"/>
  <c r="DR43" i="3" s="1"/>
  <c r="DQ45" i="3"/>
  <c r="DQ44" i="3" s="1"/>
  <c r="DQ43" i="3" s="1"/>
  <c r="BR42" i="14"/>
  <c r="BR41" i="14" s="1"/>
  <c r="BR31" i="14"/>
  <c r="BN44" i="14"/>
  <c r="BN43" i="14" s="1"/>
  <c r="BS30" i="14"/>
  <c r="BS29" i="14" s="1"/>
  <c r="BS25" i="14"/>
  <c r="BS24" i="14"/>
  <c r="BS23" i="14" s="1"/>
  <c r="BQ30" i="14"/>
  <c r="BQ29" i="14" s="1"/>
  <c r="BR30" i="14"/>
  <c r="BR29" i="14" s="1"/>
  <c r="BR25" i="14"/>
  <c r="BR24" i="14"/>
  <c r="BR23" i="14" s="1"/>
  <c r="BU54" i="39"/>
  <c r="BU49" i="39" s="1"/>
  <c r="BT16" i="39"/>
  <c r="BT20" i="39" s="1"/>
  <c r="BT24" i="39" s="1"/>
  <c r="BT23" i="39" s="1"/>
  <c r="BU10" i="39"/>
  <c r="BK99" i="39"/>
  <c r="AL45" i="39"/>
  <c r="AL44" i="39" s="1"/>
  <c r="AL43" i="39" s="1"/>
  <c r="AL49" i="39"/>
  <c r="BO98" i="39"/>
  <c r="BO94" i="39"/>
  <c r="AB44" i="39"/>
  <c r="AB43" i="39" s="1"/>
  <c r="BS54" i="39"/>
  <c r="BS49" i="39" s="1"/>
  <c r="BE44" i="39"/>
  <c r="BE43" i="39" s="1"/>
  <c r="AB49" i="39"/>
  <c r="AC45" i="39"/>
  <c r="AC44" i="39" s="1"/>
  <c r="AC43" i="39" s="1"/>
  <c r="AS98" i="39"/>
  <c r="AS99" i="39" s="1"/>
  <c r="AS94" i="39"/>
  <c r="BD44" i="39"/>
  <c r="BD43" i="39" s="1"/>
  <c r="Q131" i="39"/>
  <c r="R4" i="39"/>
  <c r="P2" i="39"/>
  <c r="P10" i="39" s="1"/>
  <c r="BC98" i="39"/>
  <c r="BC94" i="39"/>
  <c r="AK99" i="39"/>
  <c r="AI45" i="39"/>
  <c r="AI44" i="39" s="1"/>
  <c r="AI43" i="39" s="1"/>
  <c r="AH49" i="39"/>
  <c r="AH45" i="39"/>
  <c r="AH44" i="39" s="1"/>
  <c r="AH43" i="39" s="1"/>
  <c r="Y99" i="39"/>
  <c r="BH45" i="39"/>
  <c r="BH44" i="39" s="1"/>
  <c r="BH43" i="39" s="1"/>
  <c r="BH49" i="39"/>
  <c r="BI45" i="39"/>
  <c r="BI44" i="39" s="1"/>
  <c r="F45" i="39"/>
  <c r="F44" i="39" s="1"/>
  <c r="F43" i="39" s="1"/>
  <c r="G45" i="39"/>
  <c r="G44" i="39" s="1"/>
  <c r="G43" i="39" s="1"/>
  <c r="G48" i="39"/>
  <c r="F49" i="39"/>
  <c r="F48" i="39" s="1"/>
  <c r="AI99" i="39"/>
  <c r="N48" i="39"/>
  <c r="BE94" i="39"/>
  <c r="BE98" i="39"/>
  <c r="BA90" i="39"/>
  <c r="BA93" i="39"/>
  <c r="AA94" i="39"/>
  <c r="AA98" i="39"/>
  <c r="K99" i="39"/>
  <c r="K144" i="39"/>
  <c r="T45" i="39"/>
  <c r="T44" i="39" s="1"/>
  <c r="T43" i="39" s="1"/>
  <c r="T49" i="39"/>
  <c r="U45" i="39"/>
  <c r="U44" i="39" s="1"/>
  <c r="U43" i="39" s="1"/>
  <c r="M69" i="39"/>
  <c r="M16" i="39"/>
  <c r="M20" i="39" s="1"/>
  <c r="M24" i="39" s="1"/>
  <c r="M23" i="39" s="1"/>
  <c r="M129" i="39"/>
  <c r="M75" i="39"/>
  <c r="M81" i="39"/>
  <c r="M48" i="39"/>
  <c r="AE98" i="39"/>
  <c r="AE94" i="39"/>
  <c r="W98" i="39"/>
  <c r="W94" i="39"/>
  <c r="G99" i="39"/>
  <c r="G144" i="39"/>
  <c r="X44" i="39"/>
  <c r="X43" i="39" s="1"/>
  <c r="BI98" i="39"/>
  <c r="BI94" i="39"/>
  <c r="Y44" i="39"/>
  <c r="Y43" i="39" s="1"/>
  <c r="AG99" i="39"/>
  <c r="AO94" i="39"/>
  <c r="AO98" i="39"/>
  <c r="AF49" i="39"/>
  <c r="AG45" i="39"/>
  <c r="AG44" i="39" s="1"/>
  <c r="AG43" i="39" s="1"/>
  <c r="AF45" i="39"/>
  <c r="AF44" i="39" s="1"/>
  <c r="AF43" i="39" s="1"/>
  <c r="M132" i="39"/>
  <c r="M133" i="39" s="1"/>
  <c r="S98" i="39"/>
  <c r="S94" i="39"/>
  <c r="N16" i="39"/>
  <c r="N20" i="39" s="1"/>
  <c r="N24" i="39" s="1"/>
  <c r="N23" i="39" s="1"/>
  <c r="O10" i="39"/>
  <c r="U98" i="39"/>
  <c r="U94" i="39"/>
  <c r="BR49" i="13"/>
  <c r="BR48" i="13" s="1"/>
  <c r="BS48" i="13"/>
  <c r="BS45" i="13"/>
  <c r="BS44" i="13" s="1"/>
  <c r="BR45" i="13"/>
  <c r="BR44" i="13" s="1"/>
  <c r="BR43" i="13" s="1"/>
  <c r="BP25" i="14"/>
  <c r="BP24" i="14"/>
  <c r="BP23" i="14" s="1"/>
  <c r="BJ45" i="14"/>
  <c r="BQ25" i="14"/>
  <c r="BQ24" i="14"/>
  <c r="BQ23" i="14" s="1"/>
  <c r="BP30" i="14"/>
  <c r="BP29" i="14" s="1"/>
  <c r="BP31" i="14"/>
  <c r="BP42" i="14"/>
  <c r="BP41" i="14" s="1"/>
  <c r="BP44" i="14" s="1"/>
  <c r="BP43" i="14" s="1"/>
  <c r="N45" i="38"/>
  <c r="N44" i="38" s="1"/>
  <c r="N43" i="38" s="1"/>
  <c r="O45" i="38"/>
  <c r="O44" i="38" s="1"/>
  <c r="O43" i="38" s="1"/>
  <c r="N49" i="38"/>
  <c r="N48" i="38" s="1"/>
  <c r="DF44" i="3"/>
  <c r="DD44" i="3"/>
  <c r="DD43" i="3" s="1"/>
  <c r="CU99" i="3"/>
  <c r="BK43" i="36"/>
  <c r="BK47" i="36"/>
  <c r="BQ89" i="14"/>
  <c r="BQ87" i="14"/>
  <c r="BQ128" i="14"/>
  <c r="BO129" i="14"/>
  <c r="BO130" i="14" s="1"/>
  <c r="BQ125" i="14"/>
  <c r="BO126" i="14"/>
  <c r="BO127" i="14" s="1"/>
  <c r="DF47" i="36"/>
  <c r="DF43" i="36"/>
  <c r="DR48" i="3"/>
  <c r="DQ49" i="3"/>
  <c r="DQ48" i="3" s="1"/>
  <c r="DT47" i="3"/>
  <c r="DP47" i="3"/>
  <c r="BG93" i="38"/>
  <c r="BG90" i="38"/>
  <c r="AD44" i="38"/>
  <c r="AD43" i="38" s="1"/>
  <c r="AG44" i="38"/>
  <c r="AG43" i="38" s="1"/>
  <c r="G44" i="38"/>
  <c r="G43" i="38" s="1"/>
  <c r="BE44" i="38"/>
  <c r="BE43" i="38" s="1"/>
  <c r="BD44" i="38"/>
  <c r="BD43" i="38" s="1"/>
  <c r="BA98" i="35"/>
  <c r="BA94" i="35"/>
  <c r="BB45" i="34"/>
  <c r="BB44" i="34" s="1"/>
  <c r="BB43" i="34" s="1"/>
  <c r="DM93" i="3"/>
  <c r="DM90" i="3"/>
  <c r="DI93" i="3"/>
  <c r="DI90" i="3"/>
  <c r="DK93" i="3"/>
  <c r="DK90" i="3"/>
  <c r="DM48" i="3"/>
  <c r="DL49" i="3"/>
  <c r="DL48" i="3" s="1"/>
  <c r="BE93" i="38"/>
  <c r="BE90" i="38"/>
  <c r="BM144" i="14"/>
  <c r="BM99" i="14"/>
  <c r="BM124" i="14" s="1"/>
  <c r="BC93" i="38"/>
  <c r="BC90" i="38"/>
  <c r="AI44" i="38"/>
  <c r="AI43" i="38" s="1"/>
  <c r="AH44" i="38"/>
  <c r="AH43" i="38" s="1"/>
  <c r="AE44" i="38"/>
  <c r="AE43" i="38" s="1"/>
  <c r="Q98" i="38"/>
  <c r="Q99" i="38" s="1"/>
  <c r="Q94" i="38"/>
  <c r="AF44" i="38"/>
  <c r="AF43" i="38" s="1"/>
  <c r="DF93" i="3"/>
  <c r="DF90" i="3"/>
  <c r="DF43" i="3"/>
  <c r="DF47" i="3"/>
  <c r="DB43" i="3"/>
  <c r="DD143" i="3"/>
  <c r="DD99" i="3"/>
  <c r="DB93" i="3"/>
  <c r="DB90" i="3"/>
  <c r="BH49" i="36"/>
  <c r="BH48" i="36" s="1"/>
  <c r="BI48" i="36"/>
  <c r="BI45" i="36"/>
  <c r="BI44" i="36" s="1"/>
  <c r="BH45" i="36"/>
  <c r="BH44" i="36" s="1"/>
  <c r="BH43" i="36" s="1"/>
  <c r="AZ49" i="33"/>
  <c r="AZ48" i="33" s="1"/>
  <c r="BA48" i="33"/>
  <c r="BA45" i="33"/>
  <c r="BA44" i="33" s="1"/>
  <c r="BA43" i="33" s="1"/>
  <c r="AZ45" i="33"/>
  <c r="AZ44" i="33" s="1"/>
  <c r="AZ43" i="33" s="1"/>
  <c r="BA144" i="33"/>
  <c r="BA99" i="33"/>
  <c r="BC99" i="34"/>
  <c r="DD94" i="36"/>
  <c r="DD98" i="36"/>
  <c r="DD47" i="36"/>
  <c r="DD43" i="36"/>
  <c r="BF49" i="36"/>
  <c r="BF48" i="36" s="1"/>
  <c r="BG48" i="36"/>
  <c r="BG45" i="36"/>
  <c r="BG44" i="36" s="1"/>
  <c r="BF45" i="36"/>
  <c r="BF44" i="36" s="1"/>
  <c r="BF43" i="36" s="1"/>
  <c r="BG86" i="36"/>
  <c r="BG84" i="36"/>
  <c r="AZ45" i="38"/>
  <c r="AZ44" i="38" s="1"/>
  <c r="AZ43" i="38" s="1"/>
  <c r="BA45" i="38"/>
  <c r="BA44" i="38" s="1"/>
  <c r="BA43" i="38" s="1"/>
  <c r="AZ49" i="38"/>
  <c r="AZ48" i="38" s="1"/>
  <c r="BA48" i="38"/>
  <c r="BA93" i="38"/>
  <c r="BA90" i="38"/>
  <c r="AY143" i="38"/>
  <c r="AY99" i="38"/>
  <c r="W45" i="38"/>
  <c r="V45" i="38"/>
  <c r="V49" i="38"/>
  <c r="AG99" i="38"/>
  <c r="AI99" i="38"/>
  <c r="G144" i="38"/>
  <c r="G99" i="38"/>
  <c r="AJ49" i="38"/>
  <c r="AK45" i="38"/>
  <c r="AK44" i="38" s="1"/>
  <c r="AK43" i="38" s="1"/>
  <c r="AJ45" i="38"/>
  <c r="AJ44" i="38" s="1"/>
  <c r="AJ43" i="38" s="1"/>
  <c r="K94" i="38"/>
  <c r="K98" i="38"/>
  <c r="M75" i="38"/>
  <c r="M69" i="38"/>
  <c r="M16" i="38"/>
  <c r="M20" i="38" s="1"/>
  <c r="M24" i="38" s="1"/>
  <c r="M23" i="38" s="1"/>
  <c r="M129" i="38"/>
  <c r="M130" i="38" s="1"/>
  <c r="M142" i="38" s="1"/>
  <c r="M81" i="38"/>
  <c r="AU99" i="38"/>
  <c r="X49" i="38"/>
  <c r="Y45" i="38"/>
  <c r="Y44" i="38" s="1"/>
  <c r="Y43" i="38" s="1"/>
  <c r="X45" i="38"/>
  <c r="X44" i="38" s="1"/>
  <c r="X43" i="38" s="1"/>
  <c r="M132" i="38"/>
  <c r="M133" i="38" s="1"/>
  <c r="AS98" i="38"/>
  <c r="AS94" i="38"/>
  <c r="AA99" i="38"/>
  <c r="M48" i="38"/>
  <c r="Y94" i="38"/>
  <c r="Y98" i="38"/>
  <c r="I98" i="38"/>
  <c r="I94" i="38"/>
  <c r="AM98" i="38"/>
  <c r="AM94" i="38"/>
  <c r="W99" i="38"/>
  <c r="N16" i="38"/>
  <c r="N20" i="38" s="1"/>
  <c r="N24" i="38" s="1"/>
  <c r="N23" i="38" s="1"/>
  <c r="O10" i="38"/>
  <c r="O132" i="38" s="1"/>
  <c r="O133" i="38" s="1"/>
  <c r="AK99" i="38"/>
  <c r="R4" i="38"/>
  <c r="P2" i="38"/>
  <c r="P10" i="38" s="1"/>
  <c r="Q131" i="38"/>
  <c r="W41" i="38"/>
  <c r="V41" i="38"/>
  <c r="O99" i="38"/>
  <c r="AO94" i="38"/>
  <c r="AO98" i="38"/>
  <c r="M94" i="38"/>
  <c r="M98" i="38"/>
  <c r="BQ84" i="13"/>
  <c r="DB47" i="36"/>
  <c r="DB43" i="36"/>
  <c r="BO47" i="13"/>
  <c r="BO43" i="13"/>
  <c r="BQ47" i="13"/>
  <c r="BQ43" i="13"/>
  <c r="BM43" i="13"/>
  <c r="BM47" i="13"/>
  <c r="CS94" i="3"/>
  <c r="CS98" i="3"/>
  <c r="CW47" i="3"/>
  <c r="CW43" i="3"/>
  <c r="CS47" i="3"/>
  <c r="CS43" i="3"/>
  <c r="CY143" i="3"/>
  <c r="CY99" i="3"/>
  <c r="CW143" i="3"/>
  <c r="CW99" i="3"/>
  <c r="CU47" i="3"/>
  <c r="CU43" i="3"/>
  <c r="M75" i="37"/>
  <c r="M69" i="37"/>
  <c r="M129" i="37"/>
  <c r="M16" i="37"/>
  <c r="M20" i="37" s="1"/>
  <c r="M24" i="37" s="1"/>
  <c r="M23" i="37" s="1"/>
  <c r="M81" i="37"/>
  <c r="AO99" i="37"/>
  <c r="G94" i="37"/>
  <c r="G98" i="37"/>
  <c r="AG99" i="37"/>
  <c r="AB41" i="37"/>
  <c r="AC41" i="37"/>
  <c r="P49" i="37"/>
  <c r="P45" i="37"/>
  <c r="P44" i="37" s="1"/>
  <c r="P43" i="37" s="1"/>
  <c r="Q45" i="37"/>
  <c r="Q44" i="37" s="1"/>
  <c r="Q43" i="37" s="1"/>
  <c r="Q131" i="37"/>
  <c r="P2" i="37"/>
  <c r="P10" i="37" s="1"/>
  <c r="R4" i="37"/>
  <c r="Q98" i="37"/>
  <c r="Q94" i="37"/>
  <c r="AW98" i="37"/>
  <c r="AW94" i="37"/>
  <c r="AY98" i="37"/>
  <c r="AY94" i="37"/>
  <c r="BA93" i="37"/>
  <c r="BA90" i="37"/>
  <c r="AE98" i="37"/>
  <c r="AE94" i="37"/>
  <c r="I144" i="37"/>
  <c r="I99" i="37"/>
  <c r="AI98" i="37"/>
  <c r="AI94" i="37"/>
  <c r="AS45" i="37"/>
  <c r="AS44" i="37" s="1"/>
  <c r="AS43" i="37" s="1"/>
  <c r="AR49" i="37"/>
  <c r="AR45" i="37"/>
  <c r="AR44" i="37" s="1"/>
  <c r="AR43" i="37" s="1"/>
  <c r="AK98" i="37"/>
  <c r="AK94" i="37"/>
  <c r="AC45" i="37"/>
  <c r="AC44" i="37" s="1"/>
  <c r="AC43" i="37" s="1"/>
  <c r="AB49" i="37"/>
  <c r="AB45" i="37"/>
  <c r="M48" i="37"/>
  <c r="O98" i="37"/>
  <c r="O94" i="37"/>
  <c r="U99" i="37"/>
  <c r="M132" i="37"/>
  <c r="M133" i="37" s="1"/>
  <c r="AC99" i="37"/>
  <c r="AM94" i="37"/>
  <c r="AM98" i="37"/>
  <c r="AN44" i="37"/>
  <c r="AN43" i="37" s="1"/>
  <c r="AA45" i="37"/>
  <c r="AA44" i="37" s="1"/>
  <c r="AA43" i="37" s="1"/>
  <c r="Z49" i="37"/>
  <c r="Z45" i="37"/>
  <c r="Z44" i="37" s="1"/>
  <c r="Z43" i="37" s="1"/>
  <c r="AU98" i="37"/>
  <c r="AU94" i="37"/>
  <c r="O10" i="37"/>
  <c r="O132" i="37" s="1"/>
  <c r="O133" i="37" s="1"/>
  <c r="N16" i="37"/>
  <c r="N20" i="37" s="1"/>
  <c r="N24" i="37" s="1"/>
  <c r="N23" i="37" s="1"/>
  <c r="N44" i="37"/>
  <c r="N43" i="37" s="1"/>
  <c r="AJ44" i="37"/>
  <c r="AJ43" i="37" s="1"/>
  <c r="N48" i="37"/>
  <c r="K130" i="37"/>
  <c r="K142" i="37" s="1"/>
  <c r="K144" i="37"/>
  <c r="AK44" i="37"/>
  <c r="AK43" i="37" s="1"/>
  <c r="AW144" i="35"/>
  <c r="AW99" i="35"/>
  <c r="AY144" i="33"/>
  <c r="AY99" i="33"/>
  <c r="AY108" i="33"/>
  <c r="AY109" i="33" s="1"/>
  <c r="AY111" i="33"/>
  <c r="AY112" i="33" s="1"/>
  <c r="AY56" i="33"/>
  <c r="AX8" i="33"/>
  <c r="AY99" i="34"/>
  <c r="BK94" i="15"/>
  <c r="BI94" i="15"/>
  <c r="BG94" i="15"/>
  <c r="BK47" i="13"/>
  <c r="BK90" i="14"/>
  <c r="BK93" i="14"/>
  <c r="BD45" i="14"/>
  <c r="BE48" i="14"/>
  <c r="BE45" i="14"/>
  <c r="BD49" i="14"/>
  <c r="BD48" i="14" s="1"/>
  <c r="BE99" i="14"/>
  <c r="BE124" i="14" s="1"/>
  <c r="BE144" i="14"/>
  <c r="BI144" i="14"/>
  <c r="BI99" i="14"/>
  <c r="BI124" i="14" s="1"/>
  <c r="BG99" i="14"/>
  <c r="BG124" i="14" s="1"/>
  <c r="BG144" i="14"/>
  <c r="CB25" i="36" l="1"/>
  <c r="CB30" i="36"/>
  <c r="CB29" i="36" s="1"/>
  <c r="CB24" i="36"/>
  <c r="CB23" i="36" s="1"/>
  <c r="BK117" i="33"/>
  <c r="BK116" i="33" s="1"/>
  <c r="BK114" i="33" s="1"/>
  <c r="BK115" i="33" s="1"/>
  <c r="CG25" i="14"/>
  <c r="CG30" i="14"/>
  <c r="CG29" i="14" s="1"/>
  <c r="CG24" i="14"/>
  <c r="CG23" i="14" s="1"/>
  <c r="CF30" i="14"/>
  <c r="CF29" i="14" s="1"/>
  <c r="CF25" i="14"/>
  <c r="CF24" i="14"/>
  <c r="CF23" i="14" s="1"/>
  <c r="BS89" i="13"/>
  <c r="BS87" i="13"/>
  <c r="DR87" i="3"/>
  <c r="DR89" i="3"/>
  <c r="BO87" i="15"/>
  <c r="BO89" i="15"/>
  <c r="BQ87" i="15"/>
  <c r="BQ89" i="15"/>
  <c r="BS89" i="15"/>
  <c r="BS87" i="15"/>
  <c r="DH89" i="36"/>
  <c r="DH87" i="36"/>
  <c r="DH43" i="36"/>
  <c r="DF89" i="36"/>
  <c r="DF87" i="36"/>
  <c r="BK89" i="36"/>
  <c r="BK87" i="36"/>
  <c r="BC89" i="35"/>
  <c r="BC87" i="35"/>
  <c r="BE89" i="35"/>
  <c r="BE87" i="35"/>
  <c r="BC93" i="33"/>
  <c r="BC90" i="33"/>
  <c r="BK60" i="33"/>
  <c r="BK59" i="33"/>
  <c r="BK99" i="33"/>
  <c r="BK144" i="33"/>
  <c r="BO65" i="33"/>
  <c r="BO123" i="33"/>
  <c r="BO122" i="33"/>
  <c r="BO121" i="33"/>
  <c r="BO120" i="33"/>
  <c r="BO119" i="33"/>
  <c r="BO106" i="33"/>
  <c r="BO52" i="33"/>
  <c r="BO105" i="33"/>
  <c r="BO96" i="33"/>
  <c r="BO98" i="33" s="1"/>
  <c r="BO127" i="33"/>
  <c r="BO133" i="33"/>
  <c r="BO142" i="33" s="1"/>
  <c r="BO130" i="33"/>
  <c r="BG68" i="33"/>
  <c r="BG50" i="33"/>
  <c r="BG54" i="33"/>
  <c r="BG53" i="33"/>
  <c r="BI111" i="33"/>
  <c r="BI112" i="33" s="1"/>
  <c r="BI56" i="33"/>
  <c r="BH8" i="33"/>
  <c r="BI108" i="33"/>
  <c r="BI109" i="33" s="1"/>
  <c r="BS44" i="14"/>
  <c r="BS43" i="14" s="1"/>
  <c r="BS87" i="14"/>
  <c r="BS89" i="14"/>
  <c r="BO89" i="14"/>
  <c r="BO87" i="14"/>
  <c r="CD30" i="14"/>
  <c r="CD29" i="14" s="1"/>
  <c r="CL26" i="14"/>
  <c r="CD25" i="14"/>
  <c r="CD24" i="14"/>
  <c r="CD23" i="14" s="1"/>
  <c r="CL31" i="14"/>
  <c r="CL42" i="14"/>
  <c r="CL41" i="14" s="1"/>
  <c r="CL44" i="14" s="1"/>
  <c r="CL43" i="14" s="1"/>
  <c r="CM26" i="14"/>
  <c r="CE30" i="14"/>
  <c r="CE29" i="14" s="1"/>
  <c r="CE25" i="14"/>
  <c r="CE24" i="14"/>
  <c r="CE23" i="14" s="1"/>
  <c r="CC30" i="14"/>
  <c r="CC29" i="14" s="1"/>
  <c r="CC25" i="14"/>
  <c r="CC24" i="14"/>
  <c r="CC23" i="14" s="1"/>
  <c r="CB30" i="14"/>
  <c r="CB29" i="14" s="1"/>
  <c r="CB25" i="14"/>
  <c r="CB24" i="14"/>
  <c r="CB23" i="14" s="1"/>
  <c r="BZ30" i="14"/>
  <c r="BZ29" i="14" s="1"/>
  <c r="BZ25" i="14"/>
  <c r="BZ24" i="14"/>
  <c r="BZ23" i="14" s="1"/>
  <c r="BR44" i="14"/>
  <c r="BR43" i="14" s="1"/>
  <c r="CA30" i="14"/>
  <c r="CA29" i="14" s="1"/>
  <c r="CA25" i="14"/>
  <c r="CA24" i="14"/>
  <c r="CA23" i="14" s="1"/>
  <c r="BY25" i="14"/>
  <c r="BY30" i="14"/>
  <c r="BY29" i="14" s="1"/>
  <c r="BY24" i="14"/>
  <c r="BY23" i="14" s="1"/>
  <c r="BX30" i="14"/>
  <c r="BX29" i="14" s="1"/>
  <c r="BX25" i="14"/>
  <c r="BX24" i="14"/>
  <c r="BX23" i="14" s="1"/>
  <c r="CO25" i="14"/>
  <c r="BW25" i="14"/>
  <c r="BW30" i="14"/>
  <c r="BW29" i="14" s="1"/>
  <c r="BW24" i="14"/>
  <c r="BW23" i="14" s="1"/>
  <c r="BV30" i="14"/>
  <c r="BV29" i="14" s="1"/>
  <c r="BV25" i="14"/>
  <c r="BV24" i="14"/>
  <c r="BV23" i="14" s="1"/>
  <c r="CO24" i="14"/>
  <c r="CO23" i="14" s="1"/>
  <c r="CN25" i="14"/>
  <c r="CN30" i="14"/>
  <c r="CN29" i="14" s="1"/>
  <c r="BC41" i="33"/>
  <c r="BB41" i="33"/>
  <c r="DI47" i="3"/>
  <c r="DD47" i="3"/>
  <c r="BC49" i="33"/>
  <c r="BE68" i="33"/>
  <c r="BE50" i="33"/>
  <c r="BE54" i="33"/>
  <c r="BE53" i="33"/>
  <c r="BU25" i="14"/>
  <c r="BU30" i="14"/>
  <c r="BU29" i="14" s="1"/>
  <c r="BU24" i="14"/>
  <c r="BU23" i="14" s="1"/>
  <c r="P48" i="37"/>
  <c r="BT30" i="14"/>
  <c r="BT29" i="14" s="1"/>
  <c r="BT25" i="14"/>
  <c r="BT24" i="14"/>
  <c r="BT23" i="14" s="1"/>
  <c r="BQ126" i="14"/>
  <c r="BQ127" i="14" s="1"/>
  <c r="BS125" i="14"/>
  <c r="BU125" i="14" s="1"/>
  <c r="BQ129" i="14"/>
  <c r="BQ130" i="14" s="1"/>
  <c r="BS128" i="14"/>
  <c r="BU128" i="14" s="1"/>
  <c r="BI43" i="39"/>
  <c r="BH2" i="39"/>
  <c r="BT49" i="39"/>
  <c r="BT48" i="39" s="1"/>
  <c r="BT45" i="39"/>
  <c r="BU45" i="39"/>
  <c r="BU41" i="39"/>
  <c r="BT41" i="39"/>
  <c r="BU16" i="39"/>
  <c r="BU20" i="39" s="1"/>
  <c r="BU24" i="39" s="1"/>
  <c r="BU23" i="39" s="1"/>
  <c r="BU77" i="39"/>
  <c r="BU76" i="39" s="1"/>
  <c r="BU129" i="39"/>
  <c r="BU130" i="39" s="1"/>
  <c r="BU126" i="39"/>
  <c r="BU127" i="39" s="1"/>
  <c r="BU132" i="39"/>
  <c r="BU75" i="39"/>
  <c r="BU69" i="39"/>
  <c r="BU81" i="39"/>
  <c r="BU48" i="39"/>
  <c r="BO143" i="39"/>
  <c r="BO99" i="39"/>
  <c r="BR49" i="39"/>
  <c r="BR48" i="39" s="1"/>
  <c r="BS48" i="39"/>
  <c r="BR45" i="39"/>
  <c r="BS45" i="39"/>
  <c r="BR41" i="39"/>
  <c r="BS41" i="39"/>
  <c r="O81" i="39"/>
  <c r="O129" i="39"/>
  <c r="O16" i="39"/>
  <c r="O20" i="39" s="1"/>
  <c r="O24" i="39" s="1"/>
  <c r="O23" i="39" s="1"/>
  <c r="O69" i="39"/>
  <c r="O75" i="39"/>
  <c r="O48" i="39"/>
  <c r="AA99" i="39"/>
  <c r="BA98" i="39"/>
  <c r="BA94" i="39"/>
  <c r="AO99" i="39"/>
  <c r="M130" i="39"/>
  <c r="M142" i="39" s="1"/>
  <c r="M144" i="39"/>
  <c r="BC99" i="39"/>
  <c r="S99" i="39"/>
  <c r="W99" i="39"/>
  <c r="AE99" i="39"/>
  <c r="BE99" i="39"/>
  <c r="P16" i="39"/>
  <c r="P20" i="39" s="1"/>
  <c r="P24" i="39" s="1"/>
  <c r="P23" i="39" s="1"/>
  <c r="Q10" i="39"/>
  <c r="Q132" i="39" s="1"/>
  <c r="Q133" i="39" s="1"/>
  <c r="P48" i="39"/>
  <c r="U99" i="39"/>
  <c r="O132" i="39"/>
  <c r="O133" i="39" s="1"/>
  <c r="BI99" i="39"/>
  <c r="S131" i="39"/>
  <c r="T4" i="39"/>
  <c r="R2" i="39"/>
  <c r="R10" i="39" s="1"/>
  <c r="BS47" i="13"/>
  <c r="BS43" i="13"/>
  <c r="BQ93" i="14"/>
  <c r="BQ90" i="14"/>
  <c r="DR47" i="3"/>
  <c r="BG98" i="38"/>
  <c r="BG94" i="38"/>
  <c r="BA144" i="35"/>
  <c r="BA99" i="35"/>
  <c r="DM47" i="3"/>
  <c r="DK98" i="3"/>
  <c r="DK94" i="3"/>
  <c r="DI98" i="3"/>
  <c r="DI94" i="3"/>
  <c r="DM98" i="3"/>
  <c r="DM94" i="3"/>
  <c r="BE98" i="38"/>
  <c r="BE94" i="38"/>
  <c r="BC98" i="38"/>
  <c r="BC94" i="38"/>
  <c r="DB98" i="3"/>
  <c r="DB94" i="3"/>
  <c r="DF98" i="3"/>
  <c r="DF94" i="3"/>
  <c r="BI47" i="36"/>
  <c r="BI43" i="36"/>
  <c r="DD144" i="36"/>
  <c r="DD99" i="36"/>
  <c r="DD124" i="36" s="1"/>
  <c r="BG89" i="36"/>
  <c r="BG87" i="36"/>
  <c r="BG47" i="36"/>
  <c r="BG43" i="36"/>
  <c r="BA98" i="38"/>
  <c r="BA94" i="38"/>
  <c r="AM99" i="38"/>
  <c r="P16" i="38"/>
  <c r="P20" i="38" s="1"/>
  <c r="P24" i="38" s="1"/>
  <c r="P23" i="38" s="1"/>
  <c r="Q10" i="38"/>
  <c r="Q132" i="38" s="1"/>
  <c r="Q133" i="38" s="1"/>
  <c r="P48" i="38"/>
  <c r="T4" i="38"/>
  <c r="R2" i="38"/>
  <c r="R10" i="38" s="1"/>
  <c r="S131" i="38"/>
  <c r="AS99" i="38"/>
  <c r="O129" i="38"/>
  <c r="O75" i="38"/>
  <c r="O16" i="38"/>
  <c r="O20" i="38" s="1"/>
  <c r="O24" i="38" s="1"/>
  <c r="O23" i="38" s="1"/>
  <c r="O69" i="38"/>
  <c r="O81" i="38"/>
  <c r="O48" i="38"/>
  <c r="K144" i="38"/>
  <c r="K99" i="38"/>
  <c r="M144" i="38"/>
  <c r="M99" i="38"/>
  <c r="AO99" i="38"/>
  <c r="V44" i="38"/>
  <c r="V43" i="38" s="1"/>
  <c r="W44" i="38"/>
  <c r="W43" i="38" s="1"/>
  <c r="I144" i="38"/>
  <c r="I99" i="38"/>
  <c r="Y99" i="38"/>
  <c r="CS143" i="3"/>
  <c r="CS99" i="3"/>
  <c r="AY99" i="37"/>
  <c r="AE99" i="37"/>
  <c r="AM99" i="37"/>
  <c r="G144" i="37"/>
  <c r="G99" i="37"/>
  <c r="BA98" i="37"/>
  <c r="BA94" i="37"/>
  <c r="AK99" i="37"/>
  <c r="AW99" i="37"/>
  <c r="Q99" i="37"/>
  <c r="O129" i="37"/>
  <c r="O130" i="37" s="1"/>
  <c r="O142" i="37" s="1"/>
  <c r="O75" i="37"/>
  <c r="O69" i="37"/>
  <c r="O81" i="37"/>
  <c r="O16" i="37"/>
  <c r="O20" i="37" s="1"/>
  <c r="O24" i="37" s="1"/>
  <c r="O23" i="37" s="1"/>
  <c r="O48" i="37"/>
  <c r="AI99" i="37"/>
  <c r="S131" i="37"/>
  <c r="R2" i="37"/>
  <c r="R10" i="37" s="1"/>
  <c r="T4" i="37"/>
  <c r="O144" i="37"/>
  <c r="O99" i="37"/>
  <c r="P16" i="37"/>
  <c r="P20" i="37" s="1"/>
  <c r="P24" i="37" s="1"/>
  <c r="P23" i="37" s="1"/>
  <c r="Q10" i="37"/>
  <c r="Q132" i="37" s="1"/>
  <c r="Q133" i="37" s="1"/>
  <c r="AU99" i="37"/>
  <c r="AB44" i="37"/>
  <c r="AB43" i="37" s="1"/>
  <c r="M130" i="37"/>
  <c r="M142" i="37" s="1"/>
  <c r="M144" i="37"/>
  <c r="AY50" i="33"/>
  <c r="AY54" i="33" s="1"/>
  <c r="AY68" i="33"/>
  <c r="AY53" i="33"/>
  <c r="BK94" i="14"/>
  <c r="BK98" i="14"/>
  <c r="BS93" i="13" l="1"/>
  <c r="BS90" i="13"/>
  <c r="DR90" i="3"/>
  <c r="DR93" i="3"/>
  <c r="BS93" i="15"/>
  <c r="BS90" i="15"/>
  <c r="BQ93" i="15"/>
  <c r="BQ94" i="15" s="1"/>
  <c r="BQ90" i="15"/>
  <c r="BO93" i="15"/>
  <c r="BO94" i="15" s="1"/>
  <c r="BO90" i="15"/>
  <c r="BK93" i="36"/>
  <c r="BK90" i="36"/>
  <c r="DF93" i="36"/>
  <c r="DF90" i="36"/>
  <c r="DH90" i="36"/>
  <c r="DH93" i="36"/>
  <c r="BE93" i="35"/>
  <c r="BE90" i="35"/>
  <c r="BC93" i="35"/>
  <c r="BC90" i="35"/>
  <c r="BO117" i="33"/>
  <c r="BO116" i="33" s="1"/>
  <c r="BO114" i="33" s="1"/>
  <c r="BO115" i="33" s="1"/>
  <c r="BO60" i="33"/>
  <c r="BO59" i="33"/>
  <c r="BI68" i="33"/>
  <c r="BI50" i="33"/>
  <c r="BI53" i="33"/>
  <c r="BJ8" i="33"/>
  <c r="BK108" i="33"/>
  <c r="BK109" i="33" s="1"/>
  <c r="BK111" i="33"/>
  <c r="BK112" i="33" s="1"/>
  <c r="BK56" i="33"/>
  <c r="BG41" i="33"/>
  <c r="BF41" i="33"/>
  <c r="BG49" i="33"/>
  <c r="BC94" i="33"/>
  <c r="BC98" i="33"/>
  <c r="BO144" i="33"/>
  <c r="BO99" i="33"/>
  <c r="CM30" i="14"/>
  <c r="CM29" i="14" s="1"/>
  <c r="CM25" i="14"/>
  <c r="CM24" i="14"/>
  <c r="CM23" i="14" s="1"/>
  <c r="CL30" i="14"/>
  <c r="CL29" i="14" s="1"/>
  <c r="CL25" i="14"/>
  <c r="CL24" i="14"/>
  <c r="CL23" i="14" s="1"/>
  <c r="BO93" i="14"/>
  <c r="BO90" i="14"/>
  <c r="BS93" i="14"/>
  <c r="BS90" i="14"/>
  <c r="BU129" i="14"/>
  <c r="BU130" i="14" s="1"/>
  <c r="BW128" i="14"/>
  <c r="BU126" i="14"/>
  <c r="BU127" i="14" s="1"/>
  <c r="BW125" i="14"/>
  <c r="BE41" i="33"/>
  <c r="BD41" i="33"/>
  <c r="BE49" i="33"/>
  <c r="BC45" i="33"/>
  <c r="BC44" i="33" s="1"/>
  <c r="BC43" i="33" s="1"/>
  <c r="BB45" i="33"/>
  <c r="BB44" i="33" s="1"/>
  <c r="BB43" i="33" s="1"/>
  <c r="BB49" i="33"/>
  <c r="BB48" i="33" s="1"/>
  <c r="BC48" i="33"/>
  <c r="BS129" i="14"/>
  <c r="BS130" i="14" s="1"/>
  <c r="CO128" i="14"/>
  <c r="CO129" i="14" s="1"/>
  <c r="CO130" i="14" s="1"/>
  <c r="BS126" i="14"/>
  <c r="BS127" i="14" s="1"/>
  <c r="CO125" i="14"/>
  <c r="CO126" i="14" s="1"/>
  <c r="CO127" i="14" s="1"/>
  <c r="BT44" i="39"/>
  <c r="BT43" i="39" s="1"/>
  <c r="BU44" i="39"/>
  <c r="BU133" i="39"/>
  <c r="BU142" i="39" s="1"/>
  <c r="BU144" i="39"/>
  <c r="BR44" i="39"/>
  <c r="BR43" i="39" s="1"/>
  <c r="BS44" i="39"/>
  <c r="O130" i="39"/>
  <c r="O142" i="39" s="1"/>
  <c r="O144" i="39"/>
  <c r="Q129" i="39"/>
  <c r="Q69" i="39"/>
  <c r="Q81" i="39"/>
  <c r="Q75" i="39"/>
  <c r="Q16" i="39"/>
  <c r="Q20" i="39" s="1"/>
  <c r="Q24" i="39" s="1"/>
  <c r="Q23" i="39" s="1"/>
  <c r="Q48" i="39"/>
  <c r="R16" i="39"/>
  <c r="R20" i="39" s="1"/>
  <c r="R24" i="39" s="1"/>
  <c r="R23" i="39" s="1"/>
  <c r="S10" i="39"/>
  <c r="R48" i="39"/>
  <c r="U131" i="39"/>
  <c r="V4" i="39"/>
  <c r="T2" i="39"/>
  <c r="T10" i="39" s="1"/>
  <c r="BA99" i="39"/>
  <c r="BQ98" i="14"/>
  <c r="BQ94" i="14"/>
  <c r="BG143" i="38"/>
  <c r="BG99" i="38"/>
  <c r="DM143" i="3"/>
  <c r="DM99" i="3"/>
  <c r="DK143" i="3"/>
  <c r="DK99" i="3"/>
  <c r="DI143" i="3"/>
  <c r="DI99" i="3"/>
  <c r="BE143" i="38"/>
  <c r="BE99" i="38"/>
  <c r="BC143" i="38"/>
  <c r="BC99" i="38"/>
  <c r="DF143" i="3"/>
  <c r="DF99" i="3"/>
  <c r="DB143" i="3"/>
  <c r="DB99" i="3"/>
  <c r="BG93" i="36"/>
  <c r="BG90" i="36"/>
  <c r="BA143" i="38"/>
  <c r="BA99" i="38"/>
  <c r="O130" i="38"/>
  <c r="O142" i="38" s="1"/>
  <c r="O144" i="38"/>
  <c r="R16" i="38"/>
  <c r="R20" i="38" s="1"/>
  <c r="R24" i="38" s="1"/>
  <c r="R23" i="38" s="1"/>
  <c r="S10" i="38"/>
  <c r="S132" i="38" s="1"/>
  <c r="S133" i="38" s="1"/>
  <c r="R48" i="38"/>
  <c r="V4" i="38"/>
  <c r="T2" i="38"/>
  <c r="T10" i="38" s="1"/>
  <c r="U131" i="38"/>
  <c r="Q129" i="38"/>
  <c r="Q75" i="38"/>
  <c r="Q69" i="38"/>
  <c r="Q16" i="38"/>
  <c r="Q20" i="38" s="1"/>
  <c r="Q24" i="38" s="1"/>
  <c r="Q23" i="38" s="1"/>
  <c r="Q81" i="38"/>
  <c r="Q48" i="38"/>
  <c r="R16" i="37"/>
  <c r="R20" i="37" s="1"/>
  <c r="R24" i="37" s="1"/>
  <c r="R23" i="37" s="1"/>
  <c r="S10" i="37"/>
  <c r="S132" i="37" s="1"/>
  <c r="S133" i="37" s="1"/>
  <c r="R48" i="37"/>
  <c r="U131" i="37"/>
  <c r="T2" i="37"/>
  <c r="T10" i="37" s="1"/>
  <c r="V4" i="37"/>
  <c r="BA99" i="37"/>
  <c r="Q129" i="37"/>
  <c r="Q75" i="37"/>
  <c r="Q16" i="37"/>
  <c r="Q20" i="37" s="1"/>
  <c r="Q24" i="37" s="1"/>
  <c r="Q23" i="37" s="1"/>
  <c r="Q69" i="37"/>
  <c r="Q81" i="37"/>
  <c r="Q48" i="37"/>
  <c r="AX41" i="33"/>
  <c r="AY41" i="33"/>
  <c r="AY49" i="33"/>
  <c r="BK144" i="14"/>
  <c r="BK99" i="14"/>
  <c r="BK124" i="14" s="1"/>
  <c r="BS98" i="13" l="1"/>
  <c r="BS94" i="13"/>
  <c r="DR98" i="3"/>
  <c r="DR94" i="3"/>
  <c r="BS98" i="15"/>
  <c r="BS94" i="15"/>
  <c r="DH94" i="36"/>
  <c r="DH98" i="36"/>
  <c r="DF94" i="36"/>
  <c r="DF98" i="36"/>
  <c r="BK98" i="36"/>
  <c r="BK94" i="36"/>
  <c r="BC98" i="35"/>
  <c r="BC94" i="35"/>
  <c r="BE94" i="35"/>
  <c r="BE98" i="35"/>
  <c r="BI54" i="33"/>
  <c r="BI49" i="33" s="1"/>
  <c r="BK68" i="33"/>
  <c r="BK50" i="33"/>
  <c r="BK53" i="33"/>
  <c r="BF49" i="33"/>
  <c r="BF48" i="33" s="1"/>
  <c r="BG45" i="33"/>
  <c r="BG44" i="33" s="1"/>
  <c r="BG43" i="33" s="1"/>
  <c r="BG48" i="33"/>
  <c r="BF45" i="33"/>
  <c r="BF44" i="33" s="1"/>
  <c r="BF43" i="33" s="1"/>
  <c r="BO56" i="33"/>
  <c r="BN8" i="33"/>
  <c r="BO108" i="33"/>
  <c r="BO109" i="33" s="1"/>
  <c r="BO111" i="33"/>
  <c r="BO112" i="33" s="1"/>
  <c r="BC144" i="33"/>
  <c r="BC99" i="33"/>
  <c r="BO94" i="14"/>
  <c r="BO98" i="14"/>
  <c r="BS94" i="14"/>
  <c r="BS98" i="14"/>
  <c r="BW126" i="14"/>
  <c r="BW127" i="14" s="1"/>
  <c r="BY125" i="14"/>
  <c r="BW129" i="14"/>
  <c r="BW130" i="14" s="1"/>
  <c r="BY128" i="14"/>
  <c r="BE48" i="33"/>
  <c r="BD45" i="33"/>
  <c r="BD44" i="33" s="1"/>
  <c r="BD43" i="33" s="1"/>
  <c r="BE45" i="33"/>
  <c r="BE44" i="33" s="1"/>
  <c r="BE43" i="33" s="1"/>
  <c r="BD49" i="33"/>
  <c r="BD48" i="33" s="1"/>
  <c r="BS43" i="39"/>
  <c r="BR2" i="39"/>
  <c r="BT2" i="39"/>
  <c r="BU43" i="39"/>
  <c r="Q130" i="39"/>
  <c r="Q142" i="39" s="1"/>
  <c r="Q144" i="39"/>
  <c r="U10" i="39"/>
  <c r="T16" i="39"/>
  <c r="T20" i="39" s="1"/>
  <c r="T24" i="39" s="1"/>
  <c r="T23" i="39" s="1"/>
  <c r="T48" i="39"/>
  <c r="S75" i="39"/>
  <c r="S129" i="39"/>
  <c r="S69" i="39"/>
  <c r="S16" i="39"/>
  <c r="S20" i="39" s="1"/>
  <c r="S24" i="39" s="1"/>
  <c r="S23" i="39" s="1"/>
  <c r="S81" i="39"/>
  <c r="S48" i="39"/>
  <c r="S132" i="39"/>
  <c r="S133" i="39" s="1"/>
  <c r="W131" i="39"/>
  <c r="V2" i="39"/>
  <c r="V10" i="39" s="1"/>
  <c r="X4" i="39"/>
  <c r="BQ144" i="14"/>
  <c r="BQ99" i="14"/>
  <c r="BQ124" i="14" s="1"/>
  <c r="BG98" i="36"/>
  <c r="BG94" i="36"/>
  <c r="Q130" i="38"/>
  <c r="Q142" i="38" s="1"/>
  <c r="Q144" i="38"/>
  <c r="T16" i="38"/>
  <c r="T20" i="38" s="1"/>
  <c r="T24" i="38" s="1"/>
  <c r="T23" i="38" s="1"/>
  <c r="U10" i="38"/>
  <c r="T48" i="38"/>
  <c r="X4" i="38"/>
  <c r="V2" i="38"/>
  <c r="V10" i="38" s="1"/>
  <c r="W131" i="38"/>
  <c r="S81" i="38"/>
  <c r="S129" i="38"/>
  <c r="S16" i="38"/>
  <c r="S20" i="38" s="1"/>
  <c r="S24" i="38" s="1"/>
  <c r="S23" i="38" s="1"/>
  <c r="S69" i="38"/>
  <c r="S75" i="38"/>
  <c r="S48" i="38"/>
  <c r="Q130" i="37"/>
  <c r="Q142" i="37" s="1"/>
  <c r="Q144" i="37"/>
  <c r="W131" i="37"/>
  <c r="V2" i="37"/>
  <c r="V10" i="37" s="1"/>
  <c r="X4" i="37"/>
  <c r="T16" i="37"/>
  <c r="T20" i="37" s="1"/>
  <c r="T24" i="37" s="1"/>
  <c r="T23" i="37" s="1"/>
  <c r="U10" i="37"/>
  <c r="U132" i="37" s="1"/>
  <c r="U133" i="37" s="1"/>
  <c r="T48" i="37"/>
  <c r="S81" i="37"/>
  <c r="S129" i="37"/>
  <c r="S75" i="37"/>
  <c r="S69" i="37"/>
  <c r="S16" i="37"/>
  <c r="S20" i="37" s="1"/>
  <c r="S24" i="37" s="1"/>
  <c r="S23" i="37" s="1"/>
  <c r="S48" i="37"/>
  <c r="AY48" i="33"/>
  <c r="AY45" i="33"/>
  <c r="AY44" i="33" s="1"/>
  <c r="AY43" i="33" s="1"/>
  <c r="AX45" i="33"/>
  <c r="AX44" i="33" s="1"/>
  <c r="AX43" i="33" s="1"/>
  <c r="AX49" i="33"/>
  <c r="AX48" i="33" s="1"/>
  <c r="BS144" i="13" l="1"/>
  <c r="BS99" i="13"/>
  <c r="BS124" i="13" s="1"/>
  <c r="DR143" i="3"/>
  <c r="DR99" i="3"/>
  <c r="BS144" i="15"/>
  <c r="BS99" i="15"/>
  <c r="BS124" i="15" s="1"/>
  <c r="BK99" i="36"/>
  <c r="BK124" i="36" s="1"/>
  <c r="BK144" i="36"/>
  <c r="DF144" i="36"/>
  <c r="DF99" i="36"/>
  <c r="DF124" i="36" s="1"/>
  <c r="DH144" i="36"/>
  <c r="DH99" i="36"/>
  <c r="DH124" i="36" s="1"/>
  <c r="BE99" i="35"/>
  <c r="BE144" i="35"/>
  <c r="BC99" i="35"/>
  <c r="BC144" i="35"/>
  <c r="BK54" i="33"/>
  <c r="BO50" i="33"/>
  <c r="BO68" i="33"/>
  <c r="BO54" i="33"/>
  <c r="BO53" i="33"/>
  <c r="BI48" i="33"/>
  <c r="BH45" i="33"/>
  <c r="BI45" i="33"/>
  <c r="BH49" i="33"/>
  <c r="BH48" i="33" s="1"/>
  <c r="BI41" i="33"/>
  <c r="BH41" i="33"/>
  <c r="BS144" i="14"/>
  <c r="BS99" i="14"/>
  <c r="BS124" i="14" s="1"/>
  <c r="BO144" i="14"/>
  <c r="BO99" i="14"/>
  <c r="BO124" i="14" s="1"/>
  <c r="BY126" i="14"/>
  <c r="BY127" i="14" s="1"/>
  <c r="CA125" i="14"/>
  <c r="BY129" i="14"/>
  <c r="BY130" i="14" s="1"/>
  <c r="CA128" i="14"/>
  <c r="W10" i="39"/>
  <c r="V16" i="39"/>
  <c r="V20" i="39" s="1"/>
  <c r="V24" i="39" s="1"/>
  <c r="V23" i="39" s="1"/>
  <c r="V48" i="39"/>
  <c r="X2" i="39"/>
  <c r="X10" i="39" s="1"/>
  <c r="Y131" i="39"/>
  <c r="Z4" i="39"/>
  <c r="S130" i="39"/>
  <c r="S142" i="39" s="1"/>
  <c r="S144" i="39"/>
  <c r="U75" i="39"/>
  <c r="U129" i="39"/>
  <c r="U69" i="39"/>
  <c r="U16" i="39"/>
  <c r="U20" i="39" s="1"/>
  <c r="U24" i="39" s="1"/>
  <c r="U23" i="39" s="1"/>
  <c r="U81" i="39"/>
  <c r="U48" i="39"/>
  <c r="U132" i="39"/>
  <c r="U133" i="39" s="1"/>
  <c r="BG144" i="36"/>
  <c r="BG99" i="36"/>
  <c r="BG124" i="36" s="1"/>
  <c r="V16" i="38"/>
  <c r="V20" i="38" s="1"/>
  <c r="V24" i="38" s="1"/>
  <c r="V23" i="38" s="1"/>
  <c r="W10" i="38"/>
  <c r="V48" i="38"/>
  <c r="Z4" i="38"/>
  <c r="X2" i="38"/>
  <c r="X10" i="38" s="1"/>
  <c r="Y131" i="38"/>
  <c r="U129" i="38"/>
  <c r="U69" i="38"/>
  <c r="U75" i="38"/>
  <c r="U81" i="38"/>
  <c r="U16" i="38"/>
  <c r="U20" i="38" s="1"/>
  <c r="U24" i="38" s="1"/>
  <c r="U23" i="38" s="1"/>
  <c r="U48" i="38"/>
  <c r="U132" i="38"/>
  <c r="U133" i="38" s="1"/>
  <c r="S130" i="38"/>
  <c r="S142" i="38" s="1"/>
  <c r="S144" i="38"/>
  <c r="S130" i="37"/>
  <c r="S142" i="37" s="1"/>
  <c r="S144" i="37"/>
  <c r="U69" i="37"/>
  <c r="U81" i="37"/>
  <c r="U129" i="37"/>
  <c r="U75" i="37"/>
  <c r="U16" i="37"/>
  <c r="U20" i="37" s="1"/>
  <c r="U24" i="37" s="1"/>
  <c r="U23" i="37" s="1"/>
  <c r="U48" i="37"/>
  <c r="Y131" i="37"/>
  <c r="Z4" i="37"/>
  <c r="X2" i="37"/>
  <c r="X10" i="37" s="1"/>
  <c r="V16" i="37"/>
  <c r="V20" i="37" s="1"/>
  <c r="V24" i="37" s="1"/>
  <c r="V23" i="37" s="1"/>
  <c r="W10" i="37"/>
  <c r="W132" i="37" s="1"/>
  <c r="W133" i="37" s="1"/>
  <c r="V48" i="37"/>
  <c r="BO49" i="33" l="1"/>
  <c r="BI44" i="33"/>
  <c r="BI43" i="33" s="1"/>
  <c r="BO41" i="33"/>
  <c r="BN41" i="33"/>
  <c r="BK41" i="33"/>
  <c r="BJ41" i="33"/>
  <c r="BH44" i="33"/>
  <c r="BH43" i="33" s="1"/>
  <c r="BK49" i="33"/>
  <c r="CA129" i="14"/>
  <c r="CA130" i="14" s="1"/>
  <c r="CC128" i="14"/>
  <c r="CA126" i="14"/>
  <c r="CA127" i="14" s="1"/>
  <c r="CC125" i="14"/>
  <c r="W129" i="39"/>
  <c r="W69" i="39"/>
  <c r="W75" i="39"/>
  <c r="W81" i="39"/>
  <c r="W16" i="39"/>
  <c r="W20" i="39" s="1"/>
  <c r="W24" i="39" s="1"/>
  <c r="W23" i="39" s="1"/>
  <c r="W48" i="39"/>
  <c r="W132" i="39"/>
  <c r="W133" i="39" s="1"/>
  <c r="U130" i="39"/>
  <c r="U142" i="39" s="1"/>
  <c r="U144" i="39"/>
  <c r="AA131" i="39"/>
  <c r="AB4" i="39"/>
  <c r="Z2" i="39"/>
  <c r="Z10" i="39" s="1"/>
  <c r="X16" i="39"/>
  <c r="X20" i="39" s="1"/>
  <c r="X24" i="39" s="1"/>
  <c r="X23" i="39" s="1"/>
  <c r="Y10" i="39"/>
  <c r="X48" i="39"/>
  <c r="X16" i="38"/>
  <c r="X20" i="38" s="1"/>
  <c r="X24" i="38" s="1"/>
  <c r="X23" i="38" s="1"/>
  <c r="Y10" i="38"/>
  <c r="X48" i="38"/>
  <c r="AA131" i="38"/>
  <c r="Z2" i="38"/>
  <c r="Z10" i="38" s="1"/>
  <c r="AB4" i="38"/>
  <c r="W129" i="38"/>
  <c r="W75" i="38"/>
  <c r="W81" i="38"/>
  <c r="W69" i="38"/>
  <c r="W16" i="38"/>
  <c r="W20" i="38" s="1"/>
  <c r="W24" i="38" s="1"/>
  <c r="W23" i="38" s="1"/>
  <c r="W48" i="38"/>
  <c r="U130" i="38"/>
  <c r="U142" i="38" s="1"/>
  <c r="U144" i="38"/>
  <c r="W132" i="38"/>
  <c r="W133" i="38" s="1"/>
  <c r="U130" i="37"/>
  <c r="U142" i="37" s="1"/>
  <c r="U144" i="37"/>
  <c r="X16" i="37"/>
  <c r="X20" i="37" s="1"/>
  <c r="X24" i="37" s="1"/>
  <c r="X23" i="37" s="1"/>
  <c r="Y10" i="37"/>
  <c r="X48" i="37"/>
  <c r="W129" i="37"/>
  <c r="W75" i="37"/>
  <c r="W69" i="37"/>
  <c r="W16" i="37"/>
  <c r="W20" i="37" s="1"/>
  <c r="W24" i="37" s="1"/>
  <c r="W23" i="37" s="1"/>
  <c r="W81" i="37"/>
  <c r="W48" i="37"/>
  <c r="AA131" i="37"/>
  <c r="AB4" i="37"/>
  <c r="Z2" i="37"/>
  <c r="Z10" i="37" s="1"/>
  <c r="BK45" i="33" l="1"/>
  <c r="BK44" i="33" s="1"/>
  <c r="BK43" i="33" s="1"/>
  <c r="BJ45" i="33"/>
  <c r="BJ44" i="33" s="1"/>
  <c r="BJ43" i="33" s="1"/>
  <c r="BK48" i="33"/>
  <c r="BJ49" i="33"/>
  <c r="BJ48" i="33" s="1"/>
  <c r="BO45" i="33"/>
  <c r="BO44" i="33" s="1"/>
  <c r="BO43" i="33" s="1"/>
  <c r="BN45" i="33"/>
  <c r="BN44" i="33" s="1"/>
  <c r="BN43" i="33" s="1"/>
  <c r="BN49" i="33"/>
  <c r="BN48" i="33" s="1"/>
  <c r="BO48" i="33"/>
  <c r="CC126" i="14"/>
  <c r="CC127" i="14" s="1"/>
  <c r="CE125" i="14"/>
  <c r="CG125" i="14" s="1"/>
  <c r="CG126" i="14" s="1"/>
  <c r="CG127" i="14" s="1"/>
  <c r="CC129" i="14"/>
  <c r="CC130" i="14" s="1"/>
  <c r="CE128" i="14"/>
  <c r="CG128" i="14" s="1"/>
  <c r="CG129" i="14" s="1"/>
  <c r="CG130" i="14" s="1"/>
  <c r="W130" i="39"/>
  <c r="W142" i="39" s="1"/>
  <c r="W144" i="39"/>
  <c r="AA10" i="39"/>
  <c r="AA132" i="39" s="1"/>
  <c r="AA133" i="39" s="1"/>
  <c r="Z16" i="39"/>
  <c r="Z20" i="39" s="1"/>
  <c r="Z24" i="39" s="1"/>
  <c r="Z23" i="39" s="1"/>
  <c r="Z48" i="39"/>
  <c r="Y129" i="39"/>
  <c r="Y69" i="39"/>
  <c r="Y75" i="39"/>
  <c r="Y81" i="39"/>
  <c r="Y16" i="39"/>
  <c r="Y20" i="39" s="1"/>
  <c r="Y24" i="39" s="1"/>
  <c r="Y23" i="39" s="1"/>
  <c r="Y48" i="39"/>
  <c r="AC131" i="39"/>
  <c r="AD4" i="39"/>
  <c r="AB2" i="39"/>
  <c r="AB10" i="39" s="1"/>
  <c r="Y132" i="39"/>
  <c r="Y133" i="39" s="1"/>
  <c r="W130" i="38"/>
  <c r="W142" i="38" s="1"/>
  <c r="W144" i="38"/>
  <c r="Y69" i="38"/>
  <c r="Y129" i="38"/>
  <c r="Y75" i="38"/>
  <c r="Y16" i="38"/>
  <c r="Y20" i="38" s="1"/>
  <c r="Y24" i="38" s="1"/>
  <c r="Y23" i="38" s="1"/>
  <c r="Y81" i="38"/>
  <c r="Y48" i="38"/>
  <c r="AC131" i="38"/>
  <c r="AD4" i="38"/>
  <c r="AB2" i="38"/>
  <c r="AB10" i="38" s="1"/>
  <c r="AA10" i="38"/>
  <c r="Z16" i="38"/>
  <c r="Z20" i="38" s="1"/>
  <c r="Z24" i="38" s="1"/>
  <c r="Z23" i="38" s="1"/>
  <c r="Z48" i="38"/>
  <c r="Y132" i="38"/>
  <c r="Y133" i="38" s="1"/>
  <c r="W130" i="37"/>
  <c r="W142" i="37" s="1"/>
  <c r="W144" i="37"/>
  <c r="AA10" i="37"/>
  <c r="AA132" i="37" s="1"/>
  <c r="AA133" i="37" s="1"/>
  <c r="Z16" i="37"/>
  <c r="Z20" i="37" s="1"/>
  <c r="Z24" i="37" s="1"/>
  <c r="Z23" i="37" s="1"/>
  <c r="Z48" i="37"/>
  <c r="AC131" i="37"/>
  <c r="AD4" i="37"/>
  <c r="AB2" i="37"/>
  <c r="AB10" i="37" s="1"/>
  <c r="Y81" i="37"/>
  <c r="Y129" i="37"/>
  <c r="Y75" i="37"/>
  <c r="Y69" i="37"/>
  <c r="Y16" i="37"/>
  <c r="Y20" i="37" s="1"/>
  <c r="Y24" i="37" s="1"/>
  <c r="Y23" i="37" s="1"/>
  <c r="Y48" i="37"/>
  <c r="Y132" i="37"/>
  <c r="Y133" i="37" s="1"/>
  <c r="CM128" i="14" l="1"/>
  <c r="CM129" i="14" s="1"/>
  <c r="CM130" i="14" s="1"/>
  <c r="CE129" i="14"/>
  <c r="CE130" i="14" s="1"/>
  <c r="CM125" i="14"/>
  <c r="CM126" i="14" s="1"/>
  <c r="CM127" i="14" s="1"/>
  <c r="CE126" i="14"/>
  <c r="CE127" i="14" s="1"/>
  <c r="AC10" i="39"/>
  <c r="AB16" i="39"/>
  <c r="AB20" i="39" s="1"/>
  <c r="AB24" i="39" s="1"/>
  <c r="AB23" i="39" s="1"/>
  <c r="AB48" i="39"/>
  <c r="AF4" i="39"/>
  <c r="AD2" i="39"/>
  <c r="AD10" i="39" s="1"/>
  <c r="Y130" i="39"/>
  <c r="Y142" i="39" s="1"/>
  <c r="Y144" i="39"/>
  <c r="AA129" i="39"/>
  <c r="AA69" i="39"/>
  <c r="AA75" i="39"/>
  <c r="AA81" i="39"/>
  <c r="AA16" i="39"/>
  <c r="AA20" i="39" s="1"/>
  <c r="AA24" i="39" s="1"/>
  <c r="AA23" i="39" s="1"/>
  <c r="AA48" i="39"/>
  <c r="AB16" i="38"/>
  <c r="AB20" i="38" s="1"/>
  <c r="AB24" i="38" s="1"/>
  <c r="AB23" i="38" s="1"/>
  <c r="AC10" i="38"/>
  <c r="AC132" i="38" s="1"/>
  <c r="AC133" i="38" s="1"/>
  <c r="AB48" i="38"/>
  <c r="AA69" i="38"/>
  <c r="AA81" i="38"/>
  <c r="AA129" i="38"/>
  <c r="AA16" i="38"/>
  <c r="AA20" i="38" s="1"/>
  <c r="AA24" i="38" s="1"/>
  <c r="AA23" i="38" s="1"/>
  <c r="AA75" i="38"/>
  <c r="AA48" i="38"/>
  <c r="Y130" i="38"/>
  <c r="Y142" i="38" s="1"/>
  <c r="Y144" i="38"/>
  <c r="AF4" i="38"/>
  <c r="AD2" i="38"/>
  <c r="AD10" i="38" s="1"/>
  <c r="AA132" i="38"/>
  <c r="AA133" i="38" s="1"/>
  <c r="AC132" i="37"/>
  <c r="AC133" i="37" s="1"/>
  <c r="AF4" i="37"/>
  <c r="AD2" i="37"/>
  <c r="AD10" i="37" s="1"/>
  <c r="AC10" i="37"/>
  <c r="AB16" i="37"/>
  <c r="AB20" i="37" s="1"/>
  <c r="AB24" i="37" s="1"/>
  <c r="AB23" i="37" s="1"/>
  <c r="AB48" i="37"/>
  <c r="AA81" i="37"/>
  <c r="AA129" i="37"/>
  <c r="AA75" i="37"/>
  <c r="AA69" i="37"/>
  <c r="AA16" i="37"/>
  <c r="AA20" i="37" s="1"/>
  <c r="AA24" i="37" s="1"/>
  <c r="AA23" i="37" s="1"/>
  <c r="AA48" i="37"/>
  <c r="Y130" i="37"/>
  <c r="Y142" i="37" s="1"/>
  <c r="Y144" i="37"/>
  <c r="AC69" i="39" l="1"/>
  <c r="AC16" i="39"/>
  <c r="AC20" i="39" s="1"/>
  <c r="AC24" i="39" s="1"/>
  <c r="AC23" i="39" s="1"/>
  <c r="AC81" i="39"/>
  <c r="AC129" i="39"/>
  <c r="AC75" i="39"/>
  <c r="AC48" i="39"/>
  <c r="AA130" i="39"/>
  <c r="AA142" i="39" s="1"/>
  <c r="AA144" i="39"/>
  <c r="AC132" i="39"/>
  <c r="AC133" i="39" s="1"/>
  <c r="AH4" i="39"/>
  <c r="AF2" i="39"/>
  <c r="AF10" i="39" s="1"/>
  <c r="AD16" i="39"/>
  <c r="AD20" i="39" s="1"/>
  <c r="AD24" i="39" s="1"/>
  <c r="AD23" i="39" s="1"/>
  <c r="AE10" i="39"/>
  <c r="AD48" i="39"/>
  <c r="AH4" i="38"/>
  <c r="AF2" i="38"/>
  <c r="AF10" i="38" s="1"/>
  <c r="AA130" i="38"/>
  <c r="AA142" i="38" s="1"/>
  <c r="AA144" i="38"/>
  <c r="AC69" i="38"/>
  <c r="AC129" i="38"/>
  <c r="AC75" i="38"/>
  <c r="AC81" i="38"/>
  <c r="AC16" i="38"/>
  <c r="AC20" i="38" s="1"/>
  <c r="AC24" i="38" s="1"/>
  <c r="AC23" i="38" s="1"/>
  <c r="AC48" i="38"/>
  <c r="AE10" i="38"/>
  <c r="AD16" i="38"/>
  <c r="AD20" i="38" s="1"/>
  <c r="AD24" i="38" s="1"/>
  <c r="AD23" i="38" s="1"/>
  <c r="AD48" i="38"/>
  <c r="AA130" i="37"/>
  <c r="AA142" i="37" s="1"/>
  <c r="AA144" i="37"/>
  <c r="AC129" i="37"/>
  <c r="AC75" i="37"/>
  <c r="AC69" i="37"/>
  <c r="AC81" i="37"/>
  <c r="AC16" i="37"/>
  <c r="AC20" i="37" s="1"/>
  <c r="AC24" i="37" s="1"/>
  <c r="AC23" i="37" s="1"/>
  <c r="AC48" i="37"/>
  <c r="AD16" i="37"/>
  <c r="AD20" i="37" s="1"/>
  <c r="AD24" i="37" s="1"/>
  <c r="AD23" i="37" s="1"/>
  <c r="AE10" i="37"/>
  <c r="AD48" i="37"/>
  <c r="AH4" i="37"/>
  <c r="AF2" i="37"/>
  <c r="AF10" i="37" s="1"/>
  <c r="AF16" i="39" l="1"/>
  <c r="AF20" i="39" s="1"/>
  <c r="AF24" i="39" s="1"/>
  <c r="AF23" i="39" s="1"/>
  <c r="AG10" i="39"/>
  <c r="AF48" i="39"/>
  <c r="AE69" i="39"/>
  <c r="AE129" i="39"/>
  <c r="AE130" i="39" s="1"/>
  <c r="AE142" i="39" s="1"/>
  <c r="AE75" i="39"/>
  <c r="AE16" i="39"/>
  <c r="AE20" i="39" s="1"/>
  <c r="AE24" i="39" s="1"/>
  <c r="AE23" i="39" s="1"/>
  <c r="AE81" i="39"/>
  <c r="AE132" i="39"/>
  <c r="AE48" i="39"/>
  <c r="AH2" i="39"/>
  <c r="AH10" i="39" s="1"/>
  <c r="AJ4" i="39"/>
  <c r="AC130" i="39"/>
  <c r="AC142" i="39" s="1"/>
  <c r="AC144" i="39"/>
  <c r="AE69" i="38"/>
  <c r="AE81" i="38"/>
  <c r="AE75" i="38"/>
  <c r="AE129" i="38"/>
  <c r="AE130" i="38" s="1"/>
  <c r="AE142" i="38" s="1"/>
  <c r="AE132" i="38"/>
  <c r="AE16" i="38"/>
  <c r="AE20" i="38" s="1"/>
  <c r="AE24" i="38" s="1"/>
  <c r="AE23" i="38" s="1"/>
  <c r="AE48" i="38"/>
  <c r="AC130" i="38"/>
  <c r="AC142" i="38" s="1"/>
  <c r="AC144" i="38"/>
  <c r="AG10" i="38"/>
  <c r="AF16" i="38"/>
  <c r="AF20" i="38" s="1"/>
  <c r="AF24" i="38" s="1"/>
  <c r="AF23" i="38" s="1"/>
  <c r="AF48" i="38"/>
  <c r="AJ4" i="38"/>
  <c r="AH2" i="38"/>
  <c r="AH10" i="38" s="1"/>
  <c r="AJ4" i="37"/>
  <c r="AH2" i="37"/>
  <c r="AH10" i="37" s="1"/>
  <c r="AE129" i="37"/>
  <c r="AE130" i="37" s="1"/>
  <c r="AE142" i="37" s="1"/>
  <c r="AE75" i="37"/>
  <c r="AE69" i="37"/>
  <c r="AE81" i="37"/>
  <c r="AE16" i="37"/>
  <c r="AE20" i="37" s="1"/>
  <c r="AE24" i="37" s="1"/>
  <c r="AE23" i="37" s="1"/>
  <c r="AE132" i="37"/>
  <c r="AE48" i="37"/>
  <c r="AF16" i="37"/>
  <c r="AF20" i="37" s="1"/>
  <c r="AF24" i="37" s="1"/>
  <c r="AF23" i="37" s="1"/>
  <c r="AG10" i="37"/>
  <c r="AF48" i="37"/>
  <c r="AC130" i="37"/>
  <c r="AC142" i="37" s="1"/>
  <c r="AC144" i="37"/>
  <c r="AL4" i="39" l="1"/>
  <c r="AJ2" i="39"/>
  <c r="AJ10" i="39" s="1"/>
  <c r="AE133" i="39"/>
  <c r="AE144" i="39"/>
  <c r="AH16" i="39"/>
  <c r="AH20" i="39" s="1"/>
  <c r="AH24" i="39" s="1"/>
  <c r="AH23" i="39" s="1"/>
  <c r="AI10" i="39"/>
  <c r="AH48" i="39"/>
  <c r="AG75" i="39"/>
  <c r="AG69" i="39"/>
  <c r="AG129" i="39"/>
  <c r="AG130" i="39" s="1"/>
  <c r="AG142" i="39" s="1"/>
  <c r="AG16" i="39"/>
  <c r="AG20" i="39" s="1"/>
  <c r="AG24" i="39" s="1"/>
  <c r="AG23" i="39" s="1"/>
  <c r="AG81" i="39"/>
  <c r="AG132" i="39"/>
  <c r="AG48" i="39"/>
  <c r="AH16" i="38"/>
  <c r="AH20" i="38" s="1"/>
  <c r="AH24" i="38" s="1"/>
  <c r="AH23" i="38" s="1"/>
  <c r="AI10" i="38"/>
  <c r="AH48" i="38"/>
  <c r="AG69" i="38"/>
  <c r="AG129" i="38"/>
  <c r="AG130" i="38" s="1"/>
  <c r="AG142" i="38" s="1"/>
  <c r="AG75" i="38"/>
  <c r="AG16" i="38"/>
  <c r="AG20" i="38" s="1"/>
  <c r="AG24" i="38" s="1"/>
  <c r="AG23" i="38" s="1"/>
  <c r="AG132" i="38"/>
  <c r="AG81" i="38"/>
  <c r="AG48" i="38"/>
  <c r="AL4" i="38"/>
  <c r="AJ2" i="38"/>
  <c r="AJ10" i="38" s="1"/>
  <c r="AE133" i="38"/>
  <c r="AE144" i="38"/>
  <c r="AH16" i="37"/>
  <c r="AH20" i="37" s="1"/>
  <c r="AH24" i="37" s="1"/>
  <c r="AH23" i="37" s="1"/>
  <c r="AI10" i="37"/>
  <c r="AH48" i="37"/>
  <c r="AG129" i="37"/>
  <c r="AG130" i="37" s="1"/>
  <c r="AG142" i="37" s="1"/>
  <c r="AG75" i="37"/>
  <c r="AG69" i="37"/>
  <c r="AG81" i="37"/>
  <c r="AG132" i="37"/>
  <c r="AG16" i="37"/>
  <c r="AG20" i="37" s="1"/>
  <c r="AG24" i="37" s="1"/>
  <c r="AG23" i="37" s="1"/>
  <c r="AG48" i="37"/>
  <c r="AL4" i="37"/>
  <c r="AJ2" i="37"/>
  <c r="AJ10" i="37" s="1"/>
  <c r="AE133" i="37"/>
  <c r="AE144" i="37"/>
  <c r="AJ16" i="39" l="1"/>
  <c r="AJ20" i="39" s="1"/>
  <c r="AJ24" i="39" s="1"/>
  <c r="AJ23" i="39" s="1"/>
  <c r="AK10" i="39"/>
  <c r="AJ48" i="39"/>
  <c r="AG133" i="39"/>
  <c r="AG144" i="39"/>
  <c r="AI75" i="39"/>
  <c r="AI69" i="39"/>
  <c r="AI129" i="39"/>
  <c r="AI130" i="39" s="1"/>
  <c r="AI142" i="39" s="1"/>
  <c r="AI132" i="39"/>
  <c r="AI16" i="39"/>
  <c r="AI20" i="39" s="1"/>
  <c r="AI24" i="39" s="1"/>
  <c r="AI23" i="39" s="1"/>
  <c r="AI81" i="39"/>
  <c r="AI48" i="39"/>
  <c r="AN4" i="39"/>
  <c r="AL2" i="39"/>
  <c r="AL10" i="39" s="1"/>
  <c r="AN4" i="38"/>
  <c r="AL2" i="38"/>
  <c r="AL10" i="38" s="1"/>
  <c r="AI132" i="38"/>
  <c r="AI129" i="38"/>
  <c r="AI130" i="38" s="1"/>
  <c r="AI142" i="38" s="1"/>
  <c r="AI16" i="38"/>
  <c r="AI20" i="38" s="1"/>
  <c r="AI24" i="38" s="1"/>
  <c r="AI23" i="38" s="1"/>
  <c r="AI75" i="38"/>
  <c r="AI69" i="38"/>
  <c r="AI81" i="38"/>
  <c r="AI48" i="38"/>
  <c r="AJ16" i="38"/>
  <c r="AJ20" i="38" s="1"/>
  <c r="AJ24" i="38" s="1"/>
  <c r="AJ23" i="38" s="1"/>
  <c r="AK10" i="38"/>
  <c r="AJ48" i="38"/>
  <c r="AG133" i="38"/>
  <c r="AG144" i="38"/>
  <c r="AJ16" i="37"/>
  <c r="AJ20" i="37" s="1"/>
  <c r="AJ24" i="37" s="1"/>
  <c r="AJ23" i="37" s="1"/>
  <c r="AK10" i="37"/>
  <c r="AJ48" i="37"/>
  <c r="AL2" i="37"/>
  <c r="AL10" i="37" s="1"/>
  <c r="AN4" i="37"/>
  <c r="AG133" i="37"/>
  <c r="AG144" i="37"/>
  <c r="AI129" i="37"/>
  <c r="AI130" i="37" s="1"/>
  <c r="AI142" i="37" s="1"/>
  <c r="AI75" i="37"/>
  <c r="AI69" i="37"/>
  <c r="AI132" i="37"/>
  <c r="AI81" i="37"/>
  <c r="AI16" i="37"/>
  <c r="AI20" i="37" s="1"/>
  <c r="AI24" i="37" s="1"/>
  <c r="AI23" i="37" s="1"/>
  <c r="AI48" i="37"/>
  <c r="AL16" i="39" l="1"/>
  <c r="AL20" i="39" s="1"/>
  <c r="AL24" i="39" s="1"/>
  <c r="AL23" i="39" s="1"/>
  <c r="AM10" i="39"/>
  <c r="AL48" i="39"/>
  <c r="AP4" i="39"/>
  <c r="AN2" i="39"/>
  <c r="AN10" i="39" s="1"/>
  <c r="AR4" i="39"/>
  <c r="AI133" i="39"/>
  <c r="AI144" i="39"/>
  <c r="AK75" i="39"/>
  <c r="AK69" i="39"/>
  <c r="AK129" i="39"/>
  <c r="AK130" i="39" s="1"/>
  <c r="AK142" i="39" s="1"/>
  <c r="AK16" i="39"/>
  <c r="AK20" i="39" s="1"/>
  <c r="AK24" i="39" s="1"/>
  <c r="AK23" i="39" s="1"/>
  <c r="AK81" i="39"/>
  <c r="AK132" i="39"/>
  <c r="AK77" i="39"/>
  <c r="AK76" i="39" s="1"/>
  <c r="AK48" i="39"/>
  <c r="AK129" i="38"/>
  <c r="AK130" i="38" s="1"/>
  <c r="AK142" i="38" s="1"/>
  <c r="AK75" i="38"/>
  <c r="AK69" i="38"/>
  <c r="AK16" i="38"/>
  <c r="AK20" i="38" s="1"/>
  <c r="AK24" i="38" s="1"/>
  <c r="AK23" i="38" s="1"/>
  <c r="AK77" i="38"/>
  <c r="AK76" i="38" s="1"/>
  <c r="AK132" i="38"/>
  <c r="AK81" i="38"/>
  <c r="AK48" i="38"/>
  <c r="AI133" i="38"/>
  <c r="AI144" i="38"/>
  <c r="AL16" i="38"/>
  <c r="AL20" i="38" s="1"/>
  <c r="AL24" i="38" s="1"/>
  <c r="AL23" i="38" s="1"/>
  <c r="AM10" i="38"/>
  <c r="AL48" i="38"/>
  <c r="AR4" i="38"/>
  <c r="AP4" i="38"/>
  <c r="AN2" i="38"/>
  <c r="AN10" i="38" s="1"/>
  <c r="AP4" i="37"/>
  <c r="AN2" i="37"/>
  <c r="AN10" i="37" s="1"/>
  <c r="AR4" i="37"/>
  <c r="AI133" i="37"/>
  <c r="AI144" i="37"/>
  <c r="AL16" i="37"/>
  <c r="AL20" i="37" s="1"/>
  <c r="AL24" i="37" s="1"/>
  <c r="AL23" i="37" s="1"/>
  <c r="AM10" i="37"/>
  <c r="AL48" i="37"/>
  <c r="AK129" i="37"/>
  <c r="AK130" i="37" s="1"/>
  <c r="AK142" i="37" s="1"/>
  <c r="AK77" i="37"/>
  <c r="AK76" i="37" s="1"/>
  <c r="AK75" i="37"/>
  <c r="AK69" i="37"/>
  <c r="AK16" i="37"/>
  <c r="AK20" i="37" s="1"/>
  <c r="AK24" i="37" s="1"/>
  <c r="AK23" i="37" s="1"/>
  <c r="AK132" i="37"/>
  <c r="AK81" i="37"/>
  <c r="AK48" i="37"/>
  <c r="AK133" i="39" l="1"/>
  <c r="AK144" i="39"/>
  <c r="AO10" i="39"/>
  <c r="AN16" i="39"/>
  <c r="AN20" i="39" s="1"/>
  <c r="AN24" i="39" s="1"/>
  <c r="AN23" i="39" s="1"/>
  <c r="AN48" i="39"/>
  <c r="AR2" i="39"/>
  <c r="AR10" i="39" s="1"/>
  <c r="AV4" i="39"/>
  <c r="AM75" i="39"/>
  <c r="AM16" i="39"/>
  <c r="AM20" i="39" s="1"/>
  <c r="AM24" i="39" s="1"/>
  <c r="AM23" i="39" s="1"/>
  <c r="AM69" i="39"/>
  <c r="AM129" i="39"/>
  <c r="AM130" i="39" s="1"/>
  <c r="AM142" i="39" s="1"/>
  <c r="AM132" i="39"/>
  <c r="AM81" i="39"/>
  <c r="AM77" i="39"/>
  <c r="AM76" i="39" s="1"/>
  <c r="AM48" i="39"/>
  <c r="AP2" i="39"/>
  <c r="AP10" i="39" s="1"/>
  <c r="AT4" i="39"/>
  <c r="AR2" i="38"/>
  <c r="AR10" i="38" s="1"/>
  <c r="AV4" i="38"/>
  <c r="AT4" i="38"/>
  <c r="AP2" i="38"/>
  <c r="AP10" i="38" s="1"/>
  <c r="AN16" i="38"/>
  <c r="AN20" i="38" s="1"/>
  <c r="AN24" i="38" s="1"/>
  <c r="AN23" i="38" s="1"/>
  <c r="AO10" i="38"/>
  <c r="AN48" i="38"/>
  <c r="AM69" i="38"/>
  <c r="AM129" i="38"/>
  <c r="AM130" i="38" s="1"/>
  <c r="AM142" i="38" s="1"/>
  <c r="AM75" i="38"/>
  <c r="AM77" i="38"/>
  <c r="AM76" i="38" s="1"/>
  <c r="AM16" i="38"/>
  <c r="AM20" i="38" s="1"/>
  <c r="AM24" i="38" s="1"/>
  <c r="AM23" i="38" s="1"/>
  <c r="AM81" i="38"/>
  <c r="AM132" i="38"/>
  <c r="AM48" i="38"/>
  <c r="AK133" i="38"/>
  <c r="AK144" i="38"/>
  <c r="AK133" i="37"/>
  <c r="AK144" i="37"/>
  <c r="AP2" i="37"/>
  <c r="AP10" i="37" s="1"/>
  <c r="AT4" i="37"/>
  <c r="AR2" i="37"/>
  <c r="AR10" i="37" s="1"/>
  <c r="AV4" i="37"/>
  <c r="AM77" i="37"/>
  <c r="AM76" i="37" s="1"/>
  <c r="AM75" i="37"/>
  <c r="AM69" i="37"/>
  <c r="AM16" i="37"/>
  <c r="AM20" i="37" s="1"/>
  <c r="AM24" i="37" s="1"/>
  <c r="AM23" i="37" s="1"/>
  <c r="AM129" i="37"/>
  <c r="AM130" i="37" s="1"/>
  <c r="AM142" i="37" s="1"/>
  <c r="AM81" i="37"/>
  <c r="AM132" i="37"/>
  <c r="AM48" i="37"/>
  <c r="AN16" i="37"/>
  <c r="AN20" i="37" s="1"/>
  <c r="AN24" i="37" s="1"/>
  <c r="AN23" i="37" s="1"/>
  <c r="AO10" i="37"/>
  <c r="AN48" i="37"/>
  <c r="AT2" i="39" l="1"/>
  <c r="AT10" i="39" s="1"/>
  <c r="AX4" i="39"/>
  <c r="AM133" i="39"/>
  <c r="AM144" i="39"/>
  <c r="AS10" i="39"/>
  <c r="AR16" i="39"/>
  <c r="AR20" i="39" s="1"/>
  <c r="AR24" i="39" s="1"/>
  <c r="AR23" i="39" s="1"/>
  <c r="AR48" i="39"/>
  <c r="AO69" i="39"/>
  <c r="AO75" i="39"/>
  <c r="AO77" i="39"/>
  <c r="AO76" i="39" s="1"/>
  <c r="AO16" i="39"/>
  <c r="AO20" i="39" s="1"/>
  <c r="AO24" i="39" s="1"/>
  <c r="AO23" i="39" s="1"/>
  <c r="AO129" i="39"/>
  <c r="AO130" i="39" s="1"/>
  <c r="AO142" i="39" s="1"/>
  <c r="AO132" i="39"/>
  <c r="AO81" i="39"/>
  <c r="AO48" i="39"/>
  <c r="AQ10" i="39"/>
  <c r="AP16" i="39"/>
  <c r="AP20" i="39" s="1"/>
  <c r="AP24" i="39" s="1"/>
  <c r="AP23" i="39" s="1"/>
  <c r="AP48" i="39"/>
  <c r="AV2" i="39"/>
  <c r="AV10" i="39" s="1"/>
  <c r="AZ4" i="39"/>
  <c r="BF4" i="39" s="1"/>
  <c r="AO129" i="38"/>
  <c r="AO130" i="38" s="1"/>
  <c r="AO142" i="38" s="1"/>
  <c r="AO132" i="38"/>
  <c r="AO69" i="38"/>
  <c r="AO81" i="38"/>
  <c r="AO75" i="38"/>
  <c r="AO16" i="38"/>
  <c r="AO20" i="38" s="1"/>
  <c r="AO24" i="38" s="1"/>
  <c r="AO23" i="38" s="1"/>
  <c r="AO77" i="38"/>
  <c r="AO76" i="38" s="1"/>
  <c r="AO48" i="38"/>
  <c r="AP16" i="38"/>
  <c r="AP20" i="38" s="1"/>
  <c r="AP24" i="38" s="1"/>
  <c r="AP23" i="38" s="1"/>
  <c r="AQ10" i="38"/>
  <c r="AP48" i="38"/>
  <c r="AM133" i="38"/>
  <c r="AM144" i="38"/>
  <c r="AT2" i="38"/>
  <c r="AT10" i="38" s="1"/>
  <c r="AV2" i="38"/>
  <c r="AV10" i="38" s="1"/>
  <c r="AR16" i="38"/>
  <c r="AR20" i="38" s="1"/>
  <c r="AR24" i="38" s="1"/>
  <c r="AR23" i="38" s="1"/>
  <c r="AS10" i="38"/>
  <c r="AR48" i="38"/>
  <c r="AM133" i="37"/>
  <c r="AM144" i="37"/>
  <c r="AV2" i="37"/>
  <c r="AV10" i="37" s="1"/>
  <c r="AZ2" i="37"/>
  <c r="AZ10" i="37" s="1"/>
  <c r="AO77" i="37"/>
  <c r="AO76" i="37" s="1"/>
  <c r="AO75" i="37"/>
  <c r="AO69" i="37"/>
  <c r="AO81" i="37"/>
  <c r="AO129" i="37"/>
  <c r="AO130" i="37" s="1"/>
  <c r="AO142" i="37" s="1"/>
  <c r="AO132" i="37"/>
  <c r="AO16" i="37"/>
  <c r="AO20" i="37" s="1"/>
  <c r="AO24" i="37" s="1"/>
  <c r="AO23" i="37" s="1"/>
  <c r="AO48" i="37"/>
  <c r="AS10" i="37"/>
  <c r="AR16" i="37"/>
  <c r="AR20" i="37" s="1"/>
  <c r="AR24" i="37" s="1"/>
  <c r="AR23" i="37" s="1"/>
  <c r="AR48" i="37"/>
  <c r="AT2" i="37"/>
  <c r="AT10" i="37" s="1"/>
  <c r="AX4" i="37"/>
  <c r="AX2" i="37" s="1"/>
  <c r="AX10" i="37" s="1"/>
  <c r="AQ10" i="37"/>
  <c r="AP16" i="37"/>
  <c r="AP20" i="37" s="1"/>
  <c r="AP24" i="37" s="1"/>
  <c r="AP23" i="37" s="1"/>
  <c r="AP48" i="37"/>
  <c r="AV16" i="39" l="1"/>
  <c r="AV20" i="39" s="1"/>
  <c r="AV24" i="39" s="1"/>
  <c r="AV23" i="39" s="1"/>
  <c r="AW10" i="39"/>
  <c r="AV48" i="39"/>
  <c r="AQ129" i="39"/>
  <c r="AQ130" i="39" s="1"/>
  <c r="AQ142" i="39" s="1"/>
  <c r="AQ69" i="39"/>
  <c r="AQ132" i="39"/>
  <c r="AQ75" i="39"/>
  <c r="AQ77" i="39"/>
  <c r="AQ76" i="39" s="1"/>
  <c r="AQ16" i="39"/>
  <c r="AQ20" i="39" s="1"/>
  <c r="AQ24" i="39" s="1"/>
  <c r="AQ23" i="39" s="1"/>
  <c r="AQ81" i="39"/>
  <c r="AQ48" i="39"/>
  <c r="AX2" i="39"/>
  <c r="AX10" i="39" s="1"/>
  <c r="BB4" i="39"/>
  <c r="AZ2" i="39"/>
  <c r="AZ10" i="39" s="1"/>
  <c r="BD4" i="39"/>
  <c r="AO133" i="39"/>
  <c r="AO144" i="39"/>
  <c r="AS129" i="39"/>
  <c r="AS130" i="39" s="1"/>
  <c r="AS142" i="39" s="1"/>
  <c r="AS75" i="39"/>
  <c r="AS81" i="39"/>
  <c r="AS69" i="39"/>
  <c r="AS132" i="39"/>
  <c r="AS16" i="39"/>
  <c r="AS20" i="39" s="1"/>
  <c r="AS24" i="39" s="1"/>
  <c r="AS23" i="39" s="1"/>
  <c r="AS77" i="39"/>
  <c r="AS76" i="39" s="1"/>
  <c r="AS48" i="39"/>
  <c r="AT16" i="39"/>
  <c r="AT20" i="39" s="1"/>
  <c r="AT24" i="39" s="1"/>
  <c r="AT23" i="39" s="1"/>
  <c r="AU10" i="39"/>
  <c r="AT48" i="39"/>
  <c r="AS129" i="38"/>
  <c r="AS130" i="38" s="1"/>
  <c r="AS142" i="38" s="1"/>
  <c r="AS75" i="38"/>
  <c r="AS132" i="38"/>
  <c r="AS69" i="38"/>
  <c r="AS81" i="38"/>
  <c r="AS77" i="38"/>
  <c r="AS76" i="38" s="1"/>
  <c r="AS16" i="38"/>
  <c r="AS20" i="38" s="1"/>
  <c r="AS24" i="38" s="1"/>
  <c r="AS23" i="38" s="1"/>
  <c r="AS48" i="38"/>
  <c r="AU10" i="38"/>
  <c r="AT16" i="38"/>
  <c r="AT20" i="38" s="1"/>
  <c r="AT24" i="38" s="1"/>
  <c r="AT23" i="38" s="1"/>
  <c r="AT48" i="38"/>
  <c r="AV16" i="38"/>
  <c r="AV20" i="38" s="1"/>
  <c r="AV24" i="38" s="1"/>
  <c r="AV23" i="38" s="1"/>
  <c r="AW10" i="38"/>
  <c r="AV48" i="38"/>
  <c r="AQ129" i="38"/>
  <c r="AQ130" i="38" s="1"/>
  <c r="AQ142" i="38" s="1"/>
  <c r="AQ69" i="38"/>
  <c r="AQ75" i="38"/>
  <c r="AQ132" i="38"/>
  <c r="AQ81" i="38"/>
  <c r="AQ16" i="38"/>
  <c r="AQ20" i="38" s="1"/>
  <c r="AQ24" i="38" s="1"/>
  <c r="AQ23" i="38" s="1"/>
  <c r="AQ77" i="38"/>
  <c r="AQ76" i="38" s="1"/>
  <c r="AQ48" i="38"/>
  <c r="AO133" i="38"/>
  <c r="AO144" i="38"/>
  <c r="AS77" i="37"/>
  <c r="AS76" i="37" s="1"/>
  <c r="AS75" i="37"/>
  <c r="AS132" i="37"/>
  <c r="AS69" i="37"/>
  <c r="AS129" i="37"/>
  <c r="AS130" i="37" s="1"/>
  <c r="AS142" i="37" s="1"/>
  <c r="AS16" i="37"/>
  <c r="AS20" i="37" s="1"/>
  <c r="AS24" i="37" s="1"/>
  <c r="AS23" i="37" s="1"/>
  <c r="AS81" i="37"/>
  <c r="AS48" i="37"/>
  <c r="AU10" i="37"/>
  <c r="AT16" i="37"/>
  <c r="AT20" i="37" s="1"/>
  <c r="AT24" i="37" s="1"/>
  <c r="AT23" i="37" s="1"/>
  <c r="AT48" i="37"/>
  <c r="AO133" i="37"/>
  <c r="AO144" i="37"/>
  <c r="AV16" i="37"/>
  <c r="AV20" i="37" s="1"/>
  <c r="AV24" i="37" s="1"/>
  <c r="AV23" i="37" s="1"/>
  <c r="AW10" i="37"/>
  <c r="AV48" i="37"/>
  <c r="AQ77" i="37"/>
  <c r="AQ76" i="37" s="1"/>
  <c r="AQ75" i="37"/>
  <c r="AQ132" i="37"/>
  <c r="AQ69" i="37"/>
  <c r="AQ129" i="37"/>
  <c r="AQ130" i="37" s="1"/>
  <c r="AQ142" i="37" s="1"/>
  <c r="AQ81" i="37"/>
  <c r="AQ16" i="37"/>
  <c r="AQ20" i="37" s="1"/>
  <c r="AQ24" i="37" s="1"/>
  <c r="AQ23" i="37" s="1"/>
  <c r="AQ48" i="37"/>
  <c r="AZ16" i="37"/>
  <c r="AZ20" i="37" s="1"/>
  <c r="AZ24" i="37" s="1"/>
  <c r="AZ23" i="37" s="1"/>
  <c r="BA10" i="37"/>
  <c r="AZ48" i="37"/>
  <c r="AX16" i="37"/>
  <c r="AX20" i="37" s="1"/>
  <c r="AX24" i="37" s="1"/>
  <c r="AX23" i="37" s="1"/>
  <c r="AY10" i="37"/>
  <c r="AX48" i="37"/>
  <c r="BD2" i="39" l="1"/>
  <c r="BD10" i="39" s="1"/>
  <c r="BE10" i="39" s="1"/>
  <c r="BJ4" i="39"/>
  <c r="BB2" i="39"/>
  <c r="BB10" i="39" s="1"/>
  <c r="BH4" i="39"/>
  <c r="AU129" i="39"/>
  <c r="AU130" i="39" s="1"/>
  <c r="AU142" i="39" s="1"/>
  <c r="AU75" i="39"/>
  <c r="AU81" i="39"/>
  <c r="AU69" i="39"/>
  <c r="AU77" i="39"/>
  <c r="AU76" i="39" s="1"/>
  <c r="AU132" i="39"/>
  <c r="AU16" i="39"/>
  <c r="AU20" i="39" s="1"/>
  <c r="AU24" i="39" s="1"/>
  <c r="AU23" i="39" s="1"/>
  <c r="AU48" i="39"/>
  <c r="AZ16" i="39"/>
  <c r="AZ20" i="39" s="1"/>
  <c r="AZ24" i="39" s="1"/>
  <c r="AZ23" i="39" s="1"/>
  <c r="BA10" i="39"/>
  <c r="AZ48" i="39"/>
  <c r="AS133" i="39"/>
  <c r="AS144" i="39"/>
  <c r="AW81" i="39"/>
  <c r="AW129" i="39"/>
  <c r="AW130" i="39" s="1"/>
  <c r="AW142" i="39" s="1"/>
  <c r="AW75" i="39"/>
  <c r="AW77" i="39"/>
  <c r="AW76" i="39" s="1"/>
  <c r="AW69" i="39"/>
  <c r="AW132" i="39"/>
  <c r="AW16" i="39"/>
  <c r="AW20" i="39" s="1"/>
  <c r="AW24" i="39" s="1"/>
  <c r="AW23" i="39" s="1"/>
  <c r="AW48" i="39"/>
  <c r="AY10" i="39"/>
  <c r="AX16" i="39"/>
  <c r="AX20" i="39" s="1"/>
  <c r="AX24" i="39" s="1"/>
  <c r="AX23" i="39" s="1"/>
  <c r="AX48" i="39"/>
  <c r="AQ133" i="39"/>
  <c r="AQ144" i="39"/>
  <c r="AW69" i="38"/>
  <c r="AW77" i="38"/>
  <c r="AW76" i="38" s="1"/>
  <c r="AW75" i="38"/>
  <c r="AW129" i="38"/>
  <c r="AW130" i="38" s="1"/>
  <c r="AW142" i="38" s="1"/>
  <c r="AW132" i="38"/>
  <c r="AW81" i="38"/>
  <c r="AW16" i="38"/>
  <c r="AW20" i="38" s="1"/>
  <c r="AW24" i="38" s="1"/>
  <c r="AW23" i="38" s="1"/>
  <c r="AW48" i="38"/>
  <c r="AQ133" i="38"/>
  <c r="AQ144" i="38"/>
  <c r="AS133" i="38"/>
  <c r="AS144" i="38"/>
  <c r="AU75" i="38"/>
  <c r="AU132" i="38"/>
  <c r="AU69" i="38"/>
  <c r="AU129" i="38"/>
  <c r="AU130" i="38" s="1"/>
  <c r="AU142" i="38" s="1"/>
  <c r="AU77" i="38"/>
  <c r="AU76" i="38" s="1"/>
  <c r="AU81" i="38"/>
  <c r="AU16" i="38"/>
  <c r="AU20" i="38" s="1"/>
  <c r="AU24" i="38" s="1"/>
  <c r="AU23" i="38" s="1"/>
  <c r="AU48" i="38"/>
  <c r="AS133" i="37"/>
  <c r="AS144" i="37"/>
  <c r="AQ133" i="37"/>
  <c r="AQ144" i="37"/>
  <c r="AU132" i="37"/>
  <c r="AU129" i="37"/>
  <c r="AU130" i="37" s="1"/>
  <c r="AU142" i="37" s="1"/>
  <c r="AU75" i="37"/>
  <c r="AU69" i="37"/>
  <c r="AU77" i="37"/>
  <c r="AU76" i="37" s="1"/>
  <c r="AU81" i="37"/>
  <c r="AU16" i="37"/>
  <c r="AU20" i="37" s="1"/>
  <c r="AU24" i="37" s="1"/>
  <c r="AU23" i="37" s="1"/>
  <c r="AU48" i="37"/>
  <c r="AW132" i="37"/>
  <c r="AW129" i="37"/>
  <c r="AW130" i="37" s="1"/>
  <c r="AW142" i="37" s="1"/>
  <c r="AW75" i="37"/>
  <c r="AW69" i="37"/>
  <c r="AW16" i="37"/>
  <c r="AW20" i="37" s="1"/>
  <c r="AW24" i="37" s="1"/>
  <c r="AW23" i="37" s="1"/>
  <c r="AW77" i="37"/>
  <c r="AW76" i="37" s="1"/>
  <c r="AW81" i="37"/>
  <c r="AW48" i="37"/>
  <c r="AY129" i="37"/>
  <c r="AY130" i="37" s="1"/>
  <c r="AY142" i="37" s="1"/>
  <c r="AY75" i="37"/>
  <c r="AY69" i="37"/>
  <c r="AY77" i="37"/>
  <c r="AY76" i="37" s="1"/>
  <c r="AY16" i="37"/>
  <c r="AY20" i="37" s="1"/>
  <c r="AY24" i="37" s="1"/>
  <c r="AY23" i="37" s="1"/>
  <c r="AY132" i="37"/>
  <c r="AY81" i="37"/>
  <c r="AY48" i="37"/>
  <c r="BA132" i="37"/>
  <c r="BA129" i="37"/>
  <c r="BA130" i="37" s="1"/>
  <c r="BA142" i="37" s="1"/>
  <c r="BA75" i="37"/>
  <c r="BA69" i="37"/>
  <c r="BA16" i="37"/>
  <c r="BA20" i="37" s="1"/>
  <c r="BA24" i="37" s="1"/>
  <c r="BA23" i="37" s="1"/>
  <c r="BA77" i="37"/>
  <c r="BA76" i="37" s="1"/>
  <c r="BA81" i="37"/>
  <c r="BA48" i="37"/>
  <c r="BD48" i="39" l="1"/>
  <c r="BD16" i="39"/>
  <c r="BD20" i="39" s="1"/>
  <c r="BD24" i="39" s="1"/>
  <c r="BD23" i="39" s="1"/>
  <c r="BJ16" i="39"/>
  <c r="BJ20" i="39" s="1"/>
  <c r="BJ24" i="39" s="1"/>
  <c r="BJ23" i="39" s="1"/>
  <c r="BK10" i="39"/>
  <c r="BK77" i="39" s="1"/>
  <c r="BJ48" i="39"/>
  <c r="BA129" i="39"/>
  <c r="BA130" i="39" s="1"/>
  <c r="BA142" i="39" s="1"/>
  <c r="BA132" i="39"/>
  <c r="BA75" i="39"/>
  <c r="BA77" i="39"/>
  <c r="BA76" i="39" s="1"/>
  <c r="BA69" i="39"/>
  <c r="BA16" i="39"/>
  <c r="BA20" i="39" s="1"/>
  <c r="BA24" i="39" s="1"/>
  <c r="BA23" i="39" s="1"/>
  <c r="BA81" i="39"/>
  <c r="BA48" i="39"/>
  <c r="BE75" i="39"/>
  <c r="BE129" i="39"/>
  <c r="BE130" i="39" s="1"/>
  <c r="BE142" i="39" s="1"/>
  <c r="BE132" i="39"/>
  <c r="BE77" i="39"/>
  <c r="BE76" i="39" s="1"/>
  <c r="BE69" i="39"/>
  <c r="BE16" i="39"/>
  <c r="BE20" i="39" s="1"/>
  <c r="BE24" i="39" s="1"/>
  <c r="BE23" i="39" s="1"/>
  <c r="BE81" i="39"/>
  <c r="BE48" i="39"/>
  <c r="AU133" i="39"/>
  <c r="AU144" i="39"/>
  <c r="BH16" i="39"/>
  <c r="BH20" i="39" s="1"/>
  <c r="BH24" i="39" s="1"/>
  <c r="BH23" i="39" s="1"/>
  <c r="BI10" i="39"/>
  <c r="BH48" i="39"/>
  <c r="AY69" i="39"/>
  <c r="AY16" i="39"/>
  <c r="AY20" i="39" s="1"/>
  <c r="AY24" i="39" s="1"/>
  <c r="AY23" i="39" s="1"/>
  <c r="AY129" i="39"/>
  <c r="AY130" i="39" s="1"/>
  <c r="AY142" i="39" s="1"/>
  <c r="AY75" i="39"/>
  <c r="AY132" i="39"/>
  <c r="AY77" i="39"/>
  <c r="AY76" i="39" s="1"/>
  <c r="AY81" i="39"/>
  <c r="AY48" i="39"/>
  <c r="AW133" i="39"/>
  <c r="AW144" i="39"/>
  <c r="BB16" i="39"/>
  <c r="BB20" i="39" s="1"/>
  <c r="BB24" i="39" s="1"/>
  <c r="BB23" i="39" s="1"/>
  <c r="BC10" i="39"/>
  <c r="BB48" i="39"/>
  <c r="AU133" i="38"/>
  <c r="AU144" i="38"/>
  <c r="AW133" i="38"/>
  <c r="AW144" i="38"/>
  <c r="AY133" i="37"/>
  <c r="AY144" i="37"/>
  <c r="AU133" i="37"/>
  <c r="AU144" i="37"/>
  <c r="BA133" i="37"/>
  <c r="BA144" i="37"/>
  <c r="AW133" i="37"/>
  <c r="AW144" i="37"/>
  <c r="BK81" i="39" l="1"/>
  <c r="BK16" i="39"/>
  <c r="BK20" i="39" s="1"/>
  <c r="BK24" i="39" s="1"/>
  <c r="BK23" i="39" s="1"/>
  <c r="BK76" i="39"/>
  <c r="BK69" i="39"/>
  <c r="BK132" i="39"/>
  <c r="BK129" i="39"/>
  <c r="BK130" i="39" s="1"/>
  <c r="BK142" i="39" s="1"/>
  <c r="BK48" i="39"/>
  <c r="BK75" i="39"/>
  <c r="BI129" i="39"/>
  <c r="BI130" i="39" s="1"/>
  <c r="BI142" i="39" s="1"/>
  <c r="BI69" i="39"/>
  <c r="BI132" i="39"/>
  <c r="BI77" i="39"/>
  <c r="BI76" i="39" s="1"/>
  <c r="BI16" i="39"/>
  <c r="BI20" i="39" s="1"/>
  <c r="BI24" i="39" s="1"/>
  <c r="BI23" i="39" s="1"/>
  <c r="BI75" i="39"/>
  <c r="BI81" i="39"/>
  <c r="BI48" i="39"/>
  <c r="BC69" i="39"/>
  <c r="BC129" i="39"/>
  <c r="BC130" i="39" s="1"/>
  <c r="BC142" i="39" s="1"/>
  <c r="BC132" i="39"/>
  <c r="BC16" i="39"/>
  <c r="BC20" i="39" s="1"/>
  <c r="BC24" i="39" s="1"/>
  <c r="BC23" i="39" s="1"/>
  <c r="BC75" i="39"/>
  <c r="BC77" i="39"/>
  <c r="BC76" i="39" s="1"/>
  <c r="BC81" i="39"/>
  <c r="BC48" i="39"/>
  <c r="BE133" i="39"/>
  <c r="BE144" i="39"/>
  <c r="BA133" i="39"/>
  <c r="BA144" i="39"/>
  <c r="AY133" i="39"/>
  <c r="AY144" i="39"/>
  <c r="BI151" i="13"/>
  <c r="BG151" i="13"/>
  <c r="BI150" i="13"/>
  <c r="BG150" i="13"/>
  <c r="BI138" i="13"/>
  <c r="BG138" i="13"/>
  <c r="BI135" i="13"/>
  <c r="BI141" i="13" s="1"/>
  <c r="BG135" i="13"/>
  <c r="BG141" i="13" s="1"/>
  <c r="BI123" i="13"/>
  <c r="BG123" i="13"/>
  <c r="BI122" i="13"/>
  <c r="BG122" i="13"/>
  <c r="BI121" i="13"/>
  <c r="BG121" i="13"/>
  <c r="BI120" i="13"/>
  <c r="BG120" i="13"/>
  <c r="BI119" i="13"/>
  <c r="BG119" i="13"/>
  <c r="BI106" i="13"/>
  <c r="BG106" i="13"/>
  <c r="BI100" i="13"/>
  <c r="BI104" i="13" s="1"/>
  <c r="BI105" i="13" s="1"/>
  <c r="BG100" i="13"/>
  <c r="BG104" i="13" s="1"/>
  <c r="BG105" i="13" s="1"/>
  <c r="BI71" i="13"/>
  <c r="BG71" i="13"/>
  <c r="BI67" i="13"/>
  <c r="BI80" i="13" s="1"/>
  <c r="BG67" i="13"/>
  <c r="BG78" i="13" s="1"/>
  <c r="BG149" i="13" s="1"/>
  <c r="BI65" i="13"/>
  <c r="BG65" i="13"/>
  <c r="BI57" i="13"/>
  <c r="BI63" i="13" s="1"/>
  <c r="BG57" i="13"/>
  <c r="BF9" i="13" s="1"/>
  <c r="BI52" i="13"/>
  <c r="BG52" i="13"/>
  <c r="BI42" i="13"/>
  <c r="BG42" i="13"/>
  <c r="BI39" i="13"/>
  <c r="BG39" i="13"/>
  <c r="BH32" i="13"/>
  <c r="BF32" i="13"/>
  <c r="BF31" i="13" s="1"/>
  <c r="BI31" i="13"/>
  <c r="BG31" i="13"/>
  <c r="BH19" i="13"/>
  <c r="BF19" i="13"/>
  <c r="BI15" i="13"/>
  <c r="BI19" i="13" s="1"/>
  <c r="BG15" i="13"/>
  <c r="BG19" i="13" s="1"/>
  <c r="BH2" i="13"/>
  <c r="BH10" i="13" s="1"/>
  <c r="BI10" i="13" s="1"/>
  <c r="BI132" i="13" s="1"/>
  <c r="BI133" i="13" s="1"/>
  <c r="BF2" i="13"/>
  <c r="BF10" i="13" s="1"/>
  <c r="BF16" i="13" s="1"/>
  <c r="BF20" i="13" s="1"/>
  <c r="BI59" i="13" l="1"/>
  <c r="BK133" i="39"/>
  <c r="BK144" i="39"/>
  <c r="BI133" i="39"/>
  <c r="BI144" i="39"/>
  <c r="BC133" i="39"/>
  <c r="BC144" i="39"/>
  <c r="BL72" i="13"/>
  <c r="BM71" i="13"/>
  <c r="BM86" i="13"/>
  <c r="BG60" i="13"/>
  <c r="BG111" i="13" s="1"/>
  <c r="BG112" i="13" s="1"/>
  <c r="BF72" i="13"/>
  <c r="BH72" i="13"/>
  <c r="BK71" i="13"/>
  <c r="BJ72" i="13"/>
  <c r="BK86" i="13"/>
  <c r="BH9" i="13"/>
  <c r="BI60" i="13"/>
  <c r="BH8" i="13" s="1"/>
  <c r="BI96" i="13"/>
  <c r="BG63" i="13"/>
  <c r="BG117" i="13"/>
  <c r="BG116" i="13" s="1"/>
  <c r="BG114" i="13" s="1"/>
  <c r="BG115" i="13" s="1"/>
  <c r="BI117" i="13"/>
  <c r="BI116" i="13" s="1"/>
  <c r="BI114" i="13" s="1"/>
  <c r="BI115" i="13" s="1"/>
  <c r="BG59" i="13"/>
  <c r="BG96" i="13"/>
  <c r="BG152" i="13"/>
  <c r="BI75" i="13"/>
  <c r="BI129" i="13"/>
  <c r="BI130" i="13" s="1"/>
  <c r="BI126" i="13"/>
  <c r="BI127" i="13" s="1"/>
  <c r="BI77" i="13"/>
  <c r="BJ77" i="13" s="1"/>
  <c r="BI142" i="13"/>
  <c r="BI81" i="13"/>
  <c r="BI83" i="13"/>
  <c r="BI82" i="13"/>
  <c r="BF42" i="13"/>
  <c r="BH16" i="13"/>
  <c r="BH20" i="13" s="1"/>
  <c r="BI78" i="13"/>
  <c r="BI149" i="13" s="1"/>
  <c r="BI152" i="13" s="1"/>
  <c r="BG80" i="13"/>
  <c r="BI69" i="13"/>
  <c r="BG108" i="13"/>
  <c r="BG109" i="13" s="1"/>
  <c r="BI108" i="13"/>
  <c r="BI109" i="13" s="1"/>
  <c r="BG10" i="13"/>
  <c r="BH42" i="13"/>
  <c r="BI16" i="13"/>
  <c r="BI20" i="13" s="1"/>
  <c r="BH31" i="13"/>
  <c r="BE151" i="36"/>
  <c r="BC151" i="36"/>
  <c r="BA151" i="36"/>
  <c r="AY151" i="36"/>
  <c r="AW151" i="36"/>
  <c r="AS151" i="36"/>
  <c r="BE150" i="36"/>
  <c r="BC150" i="36"/>
  <c r="BA150" i="36"/>
  <c r="AY150" i="36"/>
  <c r="AW150" i="36"/>
  <c r="AS150" i="36"/>
  <c r="S141" i="36"/>
  <c r="Q141" i="36"/>
  <c r="CY138" i="36"/>
  <c r="CW138" i="36"/>
  <c r="CU138" i="36"/>
  <c r="CQ138" i="36"/>
  <c r="BE138" i="36"/>
  <c r="BC138" i="36"/>
  <c r="BA138" i="36"/>
  <c r="AY138" i="36"/>
  <c r="AW138" i="36"/>
  <c r="AU138" i="36"/>
  <c r="AS138" i="36"/>
  <c r="AQ138" i="36"/>
  <c r="AO138" i="36"/>
  <c r="AM138" i="36"/>
  <c r="AK138" i="36"/>
  <c r="AI138" i="36"/>
  <c r="AG138" i="36"/>
  <c r="AE138" i="36"/>
  <c r="AC138" i="36"/>
  <c r="AA138" i="36"/>
  <c r="Y138" i="36"/>
  <c r="W138" i="36"/>
  <c r="U138" i="36"/>
  <c r="S138" i="36"/>
  <c r="Q138" i="36"/>
  <c r="O138" i="36"/>
  <c r="I138" i="36"/>
  <c r="I137" i="36"/>
  <c r="K137" i="36" s="1"/>
  <c r="M137" i="36" s="1"/>
  <c r="CY135" i="36"/>
  <c r="CY141" i="36" s="1"/>
  <c r="CW135" i="36"/>
  <c r="CW141" i="36" s="1"/>
  <c r="CU135" i="36"/>
  <c r="CU141" i="36" s="1"/>
  <c r="CQ135" i="36"/>
  <c r="CQ141" i="36" s="1"/>
  <c r="BE135" i="36"/>
  <c r="BE141" i="36" s="1"/>
  <c r="BC135" i="36"/>
  <c r="BC141" i="36" s="1"/>
  <c r="BA135" i="36"/>
  <c r="BA141" i="36" s="1"/>
  <c r="AY135" i="36"/>
  <c r="AY141" i="36" s="1"/>
  <c r="AW135" i="36"/>
  <c r="AW141" i="36" s="1"/>
  <c r="AU135" i="36"/>
  <c r="AU141" i="36" s="1"/>
  <c r="AS135" i="36"/>
  <c r="AS141" i="36" s="1"/>
  <c r="AQ135" i="36"/>
  <c r="AQ141" i="36" s="1"/>
  <c r="AO135" i="36"/>
  <c r="AO141" i="36" s="1"/>
  <c r="AM135" i="36"/>
  <c r="AM141" i="36" s="1"/>
  <c r="AK135" i="36"/>
  <c r="AK141" i="36" s="1"/>
  <c r="AI135" i="36"/>
  <c r="AI141" i="36" s="1"/>
  <c r="AG135" i="36"/>
  <c r="AG96" i="36" s="1"/>
  <c r="AE135" i="36"/>
  <c r="AE141" i="36" s="1"/>
  <c r="AC135" i="36"/>
  <c r="AC141" i="36" s="1"/>
  <c r="AA135" i="36"/>
  <c r="AA96" i="36" s="1"/>
  <c r="Y135" i="36"/>
  <c r="Y141" i="36" s="1"/>
  <c r="W135" i="36"/>
  <c r="W141" i="36" s="1"/>
  <c r="U135" i="36"/>
  <c r="U141" i="36" s="1"/>
  <c r="O135" i="36"/>
  <c r="O141" i="36" s="1"/>
  <c r="M135" i="36"/>
  <c r="K135" i="36"/>
  <c r="I135" i="36"/>
  <c r="G135" i="36"/>
  <c r="G96" i="36" s="1"/>
  <c r="BE131" i="36"/>
  <c r="BC131" i="36"/>
  <c r="BA131" i="36"/>
  <c r="AY131" i="36"/>
  <c r="AW131" i="36"/>
  <c r="AU131" i="36"/>
  <c r="AS131" i="36"/>
  <c r="AQ131" i="36"/>
  <c r="AO131" i="36"/>
  <c r="AM131" i="36"/>
  <c r="AK131" i="36"/>
  <c r="AI131" i="36"/>
  <c r="AG131" i="36"/>
  <c r="AE131" i="36"/>
  <c r="AC131" i="36"/>
  <c r="AA131" i="36"/>
  <c r="Y131" i="36"/>
  <c r="W131" i="36"/>
  <c r="U131" i="36"/>
  <c r="O131" i="36"/>
  <c r="Q128" i="36"/>
  <c r="S128" i="36" s="1"/>
  <c r="I128" i="36"/>
  <c r="CY123" i="36"/>
  <c r="CW123" i="36"/>
  <c r="CU123" i="36"/>
  <c r="CQ123" i="36"/>
  <c r="BE123" i="36"/>
  <c r="BC123" i="36"/>
  <c r="BA123" i="36"/>
  <c r="AY123" i="36"/>
  <c r="AW123" i="36"/>
  <c r="AU123" i="36"/>
  <c r="AS123" i="36"/>
  <c r="AQ123" i="36"/>
  <c r="AO123" i="36"/>
  <c r="AM123" i="36"/>
  <c r="AK123" i="36"/>
  <c r="AI123" i="36"/>
  <c r="AG123" i="36"/>
  <c r="AE123" i="36"/>
  <c r="AC123" i="36"/>
  <c r="AA123" i="36"/>
  <c r="Y123" i="36"/>
  <c r="W123" i="36"/>
  <c r="U123" i="36"/>
  <c r="S123" i="36"/>
  <c r="Q123" i="36"/>
  <c r="O123" i="36"/>
  <c r="M123" i="36"/>
  <c r="K123" i="36"/>
  <c r="I123" i="36"/>
  <c r="G123" i="36"/>
  <c r="CY122" i="36"/>
  <c r="CW122" i="36"/>
  <c r="CU122" i="36"/>
  <c r="CS122" i="36"/>
  <c r="CQ122" i="36"/>
  <c r="CO122" i="36"/>
  <c r="CM122" i="36"/>
  <c r="CK122" i="36"/>
  <c r="BE122" i="36"/>
  <c r="BC122" i="36"/>
  <c r="BA122" i="36"/>
  <c r="AY122" i="36"/>
  <c r="AW122" i="36"/>
  <c r="AU122" i="36"/>
  <c r="AS122" i="36"/>
  <c r="AQ122" i="36"/>
  <c r="AO122" i="36"/>
  <c r="AM122" i="36"/>
  <c r="AK122" i="36"/>
  <c r="AI122" i="36"/>
  <c r="AG122" i="36"/>
  <c r="AE122" i="36"/>
  <c r="AC122" i="36"/>
  <c r="AA122" i="36"/>
  <c r="Y122" i="36"/>
  <c r="W122" i="36"/>
  <c r="U122" i="36"/>
  <c r="S122" i="36"/>
  <c r="Q122" i="36"/>
  <c r="O122" i="36"/>
  <c r="M122" i="36"/>
  <c r="K122" i="36"/>
  <c r="I122" i="36"/>
  <c r="G122" i="36"/>
  <c r="CY121" i="36"/>
  <c r="CW121" i="36"/>
  <c r="CU121" i="36"/>
  <c r="CS121" i="36"/>
  <c r="CQ121" i="36"/>
  <c r="CO121" i="36"/>
  <c r="CM121" i="36"/>
  <c r="CK121" i="36"/>
  <c r="BE121" i="36"/>
  <c r="BC121" i="36"/>
  <c r="BA121" i="36"/>
  <c r="AY121" i="36"/>
  <c r="AW121" i="36"/>
  <c r="AU121" i="36"/>
  <c r="AS121" i="36"/>
  <c r="AQ121" i="36"/>
  <c r="AO121" i="36"/>
  <c r="AM121" i="36"/>
  <c r="AK121" i="36"/>
  <c r="AI121" i="36"/>
  <c r="AG121" i="36"/>
  <c r="AE121" i="36"/>
  <c r="AC121" i="36"/>
  <c r="AA121" i="36"/>
  <c r="Y121" i="36"/>
  <c r="W121" i="36"/>
  <c r="U121" i="36"/>
  <c r="S121" i="36"/>
  <c r="Q121" i="36"/>
  <c r="O121" i="36"/>
  <c r="M121" i="36"/>
  <c r="K121" i="36"/>
  <c r="I121" i="36"/>
  <c r="G121" i="36"/>
  <c r="CY120" i="36"/>
  <c r="CW120" i="36"/>
  <c r="CU120" i="36"/>
  <c r="CS120" i="36"/>
  <c r="CQ120" i="36"/>
  <c r="CO120" i="36"/>
  <c r="CM120" i="36"/>
  <c r="CK120" i="36"/>
  <c r="BE120" i="36"/>
  <c r="BC120" i="36"/>
  <c r="BA120" i="36"/>
  <c r="AY120" i="36"/>
  <c r="AW120" i="36"/>
  <c r="AU120" i="36"/>
  <c r="AS120" i="36"/>
  <c r="AQ120" i="36"/>
  <c r="AO120" i="36"/>
  <c r="AM120" i="36"/>
  <c r="AK120" i="36"/>
  <c r="AI120" i="36"/>
  <c r="AG120" i="36"/>
  <c r="AE120" i="36"/>
  <c r="AC120" i="36"/>
  <c r="AA120" i="36"/>
  <c r="Y120" i="36"/>
  <c r="W120" i="36"/>
  <c r="U120" i="36"/>
  <c r="S120" i="36"/>
  <c r="Q120" i="36"/>
  <c r="O120" i="36"/>
  <c r="M120" i="36"/>
  <c r="K120" i="36"/>
  <c r="I120" i="36"/>
  <c r="G120" i="36"/>
  <c r="CY119" i="36"/>
  <c r="CW119" i="36"/>
  <c r="CU119" i="36"/>
  <c r="CS119" i="36"/>
  <c r="CQ119" i="36"/>
  <c r="CO119" i="36"/>
  <c r="CM119" i="36"/>
  <c r="CK119" i="36"/>
  <c r="BE119" i="36"/>
  <c r="BC119" i="36"/>
  <c r="BA119" i="36"/>
  <c r="AY119" i="36"/>
  <c r="AW119" i="36"/>
  <c r="AU119" i="36"/>
  <c r="AS119" i="36"/>
  <c r="AQ119" i="36"/>
  <c r="AO119" i="36"/>
  <c r="AM119" i="36"/>
  <c r="AK119" i="36"/>
  <c r="AI119" i="36"/>
  <c r="AG119" i="36"/>
  <c r="AE119" i="36"/>
  <c r="AC119" i="36"/>
  <c r="AA119" i="36"/>
  <c r="Y119" i="36"/>
  <c r="W119" i="36"/>
  <c r="U119" i="36"/>
  <c r="S119" i="36"/>
  <c r="Q119" i="36"/>
  <c r="O119" i="36"/>
  <c r="M119" i="36"/>
  <c r="K119" i="36"/>
  <c r="I119" i="36"/>
  <c r="G119" i="36"/>
  <c r="M111" i="36"/>
  <c r="K111" i="36"/>
  <c r="I111" i="36"/>
  <c r="G111" i="36"/>
  <c r="M108" i="36"/>
  <c r="K108" i="36"/>
  <c r="I108" i="36"/>
  <c r="G108" i="36"/>
  <c r="CY106" i="36"/>
  <c r="CW106" i="36"/>
  <c r="CU106" i="36"/>
  <c r="CS106" i="36"/>
  <c r="CQ106" i="36"/>
  <c r="CO106" i="36"/>
  <c r="CM106" i="36"/>
  <c r="CK106" i="36"/>
  <c r="BE106" i="36"/>
  <c r="BC106" i="36"/>
  <c r="BA106" i="36"/>
  <c r="AY106" i="36"/>
  <c r="AW106" i="36"/>
  <c r="AU106" i="36"/>
  <c r="AS106" i="36"/>
  <c r="AQ106" i="36"/>
  <c r="AO106" i="36"/>
  <c r="AM106" i="36"/>
  <c r="AK106" i="36"/>
  <c r="AI106" i="36"/>
  <c r="AG106" i="36"/>
  <c r="AE106" i="36"/>
  <c r="AC106" i="36"/>
  <c r="AA106" i="36"/>
  <c r="Y106" i="36"/>
  <c r="W106" i="36"/>
  <c r="U106" i="36"/>
  <c r="S106" i="36"/>
  <c r="Q106" i="36"/>
  <c r="O106" i="36"/>
  <c r="M106" i="36"/>
  <c r="K106" i="36"/>
  <c r="I106" i="36"/>
  <c r="G106" i="36"/>
  <c r="CY100" i="36"/>
  <c r="CY104" i="36" s="1"/>
  <c r="CY105" i="36" s="1"/>
  <c r="CW100" i="36"/>
  <c r="CW104" i="36" s="1"/>
  <c r="CW105" i="36" s="1"/>
  <c r="CU100" i="36"/>
  <c r="CU104" i="36" s="1"/>
  <c r="CU105" i="36" s="1"/>
  <c r="CQ100" i="36"/>
  <c r="CQ104" i="36" s="1"/>
  <c r="CQ105" i="36" s="1"/>
  <c r="BE100" i="36"/>
  <c r="BE104" i="36" s="1"/>
  <c r="BE105" i="36" s="1"/>
  <c r="BC100" i="36"/>
  <c r="BC104" i="36" s="1"/>
  <c r="BC105" i="36" s="1"/>
  <c r="BA100" i="36"/>
  <c r="BA104" i="36" s="1"/>
  <c r="BA105" i="36" s="1"/>
  <c r="AY100" i="36"/>
  <c r="AY104" i="36" s="1"/>
  <c r="AY105" i="36" s="1"/>
  <c r="AW100" i="36"/>
  <c r="AW104" i="36" s="1"/>
  <c r="AW105" i="36" s="1"/>
  <c r="AU100" i="36"/>
  <c r="AU104" i="36" s="1"/>
  <c r="AU105" i="36" s="1"/>
  <c r="AS100" i="36"/>
  <c r="AS104" i="36" s="1"/>
  <c r="AS105" i="36" s="1"/>
  <c r="AQ100" i="36"/>
  <c r="AQ104" i="36" s="1"/>
  <c r="AQ105" i="36" s="1"/>
  <c r="AO100" i="36"/>
  <c r="AO104" i="36" s="1"/>
  <c r="AO105" i="36" s="1"/>
  <c r="AM100" i="36"/>
  <c r="AM104" i="36" s="1"/>
  <c r="AM105" i="36" s="1"/>
  <c r="AK100" i="36"/>
  <c r="AK104" i="36" s="1"/>
  <c r="AK105" i="36" s="1"/>
  <c r="AI100" i="36"/>
  <c r="AI104" i="36" s="1"/>
  <c r="AI105" i="36" s="1"/>
  <c r="AG100" i="36"/>
  <c r="AG104" i="36" s="1"/>
  <c r="AG105" i="36" s="1"/>
  <c r="AE100" i="36"/>
  <c r="AE104" i="36" s="1"/>
  <c r="AE105" i="36" s="1"/>
  <c r="AC100" i="36"/>
  <c r="AC104" i="36" s="1"/>
  <c r="AC105" i="36" s="1"/>
  <c r="AA100" i="36"/>
  <c r="AA104" i="36" s="1"/>
  <c r="AA105" i="36" s="1"/>
  <c r="Y100" i="36"/>
  <c r="Y104" i="36" s="1"/>
  <c r="Y105" i="36" s="1"/>
  <c r="W100" i="36"/>
  <c r="W104" i="36" s="1"/>
  <c r="W105" i="36" s="1"/>
  <c r="U100" i="36"/>
  <c r="U104" i="36" s="1"/>
  <c r="U105" i="36" s="1"/>
  <c r="S100" i="36"/>
  <c r="S104" i="36" s="1"/>
  <c r="S105" i="36" s="1"/>
  <c r="Q100" i="36"/>
  <c r="Q104" i="36" s="1"/>
  <c r="Q105" i="36" s="1"/>
  <c r="O100" i="36"/>
  <c r="O104" i="36" s="1"/>
  <c r="O105" i="36" s="1"/>
  <c r="M100" i="36"/>
  <c r="M104" i="36" s="1"/>
  <c r="M105" i="36" s="1"/>
  <c r="K100" i="36"/>
  <c r="K104" i="36" s="1"/>
  <c r="K105" i="36" s="1"/>
  <c r="I100" i="36"/>
  <c r="I104" i="36" s="1"/>
  <c r="I105" i="36" s="1"/>
  <c r="G100" i="36"/>
  <c r="G104" i="36" s="1"/>
  <c r="G105" i="36" s="1"/>
  <c r="CW96" i="36"/>
  <c r="AI96" i="36"/>
  <c r="AC96" i="36"/>
  <c r="Y96" i="36"/>
  <c r="S96" i="36"/>
  <c r="Q96" i="36"/>
  <c r="O80" i="36"/>
  <c r="O148" i="36" s="1"/>
  <c r="M76" i="36"/>
  <c r="K76" i="36"/>
  <c r="I76" i="36"/>
  <c r="G76" i="36"/>
  <c r="E75" i="36"/>
  <c r="E81" i="36" s="1"/>
  <c r="E74" i="36"/>
  <c r="E80" i="36" s="1"/>
  <c r="E83" i="36" s="1"/>
  <c r="E86" i="36" s="1"/>
  <c r="E89" i="36" s="1"/>
  <c r="N72" i="36"/>
  <c r="BC71" i="36"/>
  <c r="BA71" i="36"/>
  <c r="AY71" i="36"/>
  <c r="AW71" i="36"/>
  <c r="AU71" i="36"/>
  <c r="AS71" i="36"/>
  <c r="AQ71" i="36"/>
  <c r="AO71" i="36"/>
  <c r="AM71" i="36"/>
  <c r="AK71" i="36"/>
  <c r="AI71" i="36"/>
  <c r="AG71" i="36"/>
  <c r="AE71" i="36"/>
  <c r="AC71" i="36"/>
  <c r="AA71" i="36"/>
  <c r="Y71" i="36"/>
  <c r="W71" i="36"/>
  <c r="U71" i="36"/>
  <c r="O71" i="36"/>
  <c r="CW67" i="36"/>
  <c r="BE67" i="36"/>
  <c r="BC67" i="36"/>
  <c r="BC78" i="36" s="1"/>
  <c r="BA67" i="36"/>
  <c r="AY67" i="36"/>
  <c r="AW67" i="36"/>
  <c r="AU67" i="36"/>
  <c r="AT72" i="36" s="1"/>
  <c r="AS67" i="36"/>
  <c r="AQ67" i="36"/>
  <c r="AQ80" i="36" s="1"/>
  <c r="AO67" i="36"/>
  <c r="AO80" i="36" s="1"/>
  <c r="AM67" i="36"/>
  <c r="AM78" i="36" s="1"/>
  <c r="AK67" i="36"/>
  <c r="AI67" i="36"/>
  <c r="AH72" i="36" s="1"/>
  <c r="AG67" i="36"/>
  <c r="AG80" i="36" s="1"/>
  <c r="AG82" i="36" s="1"/>
  <c r="AE67" i="36"/>
  <c r="AD72" i="36" s="1"/>
  <c r="AC67" i="36"/>
  <c r="AB72" i="36" s="1"/>
  <c r="AA67" i="36"/>
  <c r="Y67" i="36"/>
  <c r="W67" i="36"/>
  <c r="V72" i="36" s="1"/>
  <c r="U67" i="36"/>
  <c r="S67" i="36"/>
  <c r="Q67" i="36"/>
  <c r="CY65" i="36"/>
  <c r="CY59" i="36" s="1"/>
  <c r="CW65" i="36"/>
  <c r="CU65" i="36"/>
  <c r="CQ65" i="36"/>
  <c r="BE65" i="36"/>
  <c r="BC65" i="36"/>
  <c r="BA65" i="36"/>
  <c r="AY65" i="36"/>
  <c r="AW65" i="36"/>
  <c r="AU65" i="36"/>
  <c r="AS65" i="36"/>
  <c r="AQ65" i="36"/>
  <c r="AO65" i="36"/>
  <c r="AM65" i="36"/>
  <c r="AK65" i="36"/>
  <c r="AI65" i="36"/>
  <c r="AG65" i="36"/>
  <c r="AE65" i="36"/>
  <c r="AC65" i="36"/>
  <c r="AA65" i="36"/>
  <c r="Y65" i="36"/>
  <c r="W65" i="36"/>
  <c r="U65" i="36"/>
  <c r="S65" i="36"/>
  <c r="Q65" i="36"/>
  <c r="O65" i="36"/>
  <c r="O59" i="36" s="1"/>
  <c r="M65" i="36"/>
  <c r="M67" i="36" s="1"/>
  <c r="L61" i="36" s="1"/>
  <c r="K65" i="36"/>
  <c r="K67" i="36" s="1"/>
  <c r="I65" i="36"/>
  <c r="I67" i="36" s="1"/>
  <c r="I62" i="36" s="1"/>
  <c r="I59" i="36" s="1"/>
  <c r="G65" i="36"/>
  <c r="G67" i="36" s="1"/>
  <c r="E65" i="36"/>
  <c r="C65" i="36"/>
  <c r="CY63" i="36"/>
  <c r="CU63" i="36"/>
  <c r="CQ63" i="36"/>
  <c r="O63" i="36"/>
  <c r="CX61" i="36"/>
  <c r="N61" i="36"/>
  <c r="CW57" i="36"/>
  <c r="CV61" i="36" s="1"/>
  <c r="BE57" i="36"/>
  <c r="BD9" i="36" s="1"/>
  <c r="BC57" i="36"/>
  <c r="BC63" i="36" s="1"/>
  <c r="BA57" i="36"/>
  <c r="BA63" i="36" s="1"/>
  <c r="AY57" i="36"/>
  <c r="AX9" i="36" s="1"/>
  <c r="AW57" i="36"/>
  <c r="AW63" i="36" s="1"/>
  <c r="AU57" i="36"/>
  <c r="AT9" i="36" s="1"/>
  <c r="AS57" i="36"/>
  <c r="AR9" i="36" s="1"/>
  <c r="AQ57" i="36"/>
  <c r="AQ63" i="36" s="1"/>
  <c r="AO57" i="36"/>
  <c r="AO63" i="36" s="1"/>
  <c r="AM57" i="36"/>
  <c r="AM63" i="36" s="1"/>
  <c r="AK57" i="36"/>
  <c r="AK63" i="36" s="1"/>
  <c r="AI57" i="36"/>
  <c r="AG57" i="36"/>
  <c r="AG63" i="36" s="1"/>
  <c r="AE57" i="36"/>
  <c r="AE63" i="36" s="1"/>
  <c r="AC57" i="36"/>
  <c r="AA57" i="36"/>
  <c r="Z9" i="36" s="1"/>
  <c r="Y57" i="36"/>
  <c r="Y63" i="36" s="1"/>
  <c r="W57" i="36"/>
  <c r="W63" i="36" s="1"/>
  <c r="U57" i="36"/>
  <c r="T9" i="36" s="1"/>
  <c r="S57" i="36"/>
  <c r="S63" i="36" s="1"/>
  <c r="Q57" i="36"/>
  <c r="Q63" i="36" s="1"/>
  <c r="E57" i="36"/>
  <c r="E58" i="36" s="1"/>
  <c r="M56" i="36"/>
  <c r="K56" i="36"/>
  <c r="I56" i="36"/>
  <c r="G56" i="36"/>
  <c r="G50" i="36" s="1"/>
  <c r="G54" i="36" s="1"/>
  <c r="CY52" i="36"/>
  <c r="CW52" i="36"/>
  <c r="CU52" i="36"/>
  <c r="CS52" i="36"/>
  <c r="CQ52" i="36"/>
  <c r="CO52" i="36"/>
  <c r="CM52" i="36"/>
  <c r="CK52" i="36"/>
  <c r="BE52" i="36"/>
  <c r="BC52" i="36"/>
  <c r="BA52" i="36"/>
  <c r="AY52" i="36"/>
  <c r="AW52" i="36"/>
  <c r="AU52" i="36"/>
  <c r="AS52" i="36"/>
  <c r="AQ52" i="36"/>
  <c r="AO52" i="36"/>
  <c r="AM52" i="36"/>
  <c r="AK52" i="36"/>
  <c r="AI52" i="36"/>
  <c r="AG52" i="36"/>
  <c r="AE52" i="36"/>
  <c r="AC52" i="36"/>
  <c r="AA52" i="36"/>
  <c r="Y52" i="36"/>
  <c r="W52" i="36"/>
  <c r="U52" i="36"/>
  <c r="S52" i="36"/>
  <c r="Q52" i="36"/>
  <c r="O52" i="36"/>
  <c r="M52" i="36"/>
  <c r="K52" i="36"/>
  <c r="I52" i="36"/>
  <c r="G52" i="36"/>
  <c r="CU42" i="36"/>
  <c r="CS42" i="36"/>
  <c r="CQ42" i="36"/>
  <c r="CO42" i="36"/>
  <c r="CM42" i="36"/>
  <c r="CK42" i="36"/>
  <c r="BE42" i="36"/>
  <c r="BC42" i="36"/>
  <c r="BA42" i="36"/>
  <c r="AY42" i="36"/>
  <c r="AW42" i="36"/>
  <c r="AU42" i="36"/>
  <c r="AS42" i="36"/>
  <c r="AQ42" i="36"/>
  <c r="AO42" i="36"/>
  <c r="AM42" i="36"/>
  <c r="AK42" i="36"/>
  <c r="AI42" i="36"/>
  <c r="AG42" i="36"/>
  <c r="AE42" i="36"/>
  <c r="AC42" i="36"/>
  <c r="AA42" i="36"/>
  <c r="Y42" i="36"/>
  <c r="W42" i="36"/>
  <c r="U42" i="36"/>
  <c r="S42" i="36"/>
  <c r="Q42" i="36"/>
  <c r="O42" i="36"/>
  <c r="M42" i="36"/>
  <c r="K42" i="36"/>
  <c r="I42" i="36"/>
  <c r="CY39" i="36"/>
  <c r="CW39" i="36"/>
  <c r="CU39" i="36"/>
  <c r="CS39" i="36"/>
  <c r="CQ39" i="36"/>
  <c r="CO39" i="36"/>
  <c r="CM39" i="36"/>
  <c r="CK39" i="36"/>
  <c r="BC39" i="36"/>
  <c r="BA39" i="36"/>
  <c r="AY39" i="36"/>
  <c r="AW39" i="36"/>
  <c r="AU39" i="36"/>
  <c r="AS39" i="36"/>
  <c r="AQ39" i="36"/>
  <c r="AO39" i="36"/>
  <c r="AM39" i="36"/>
  <c r="AK39" i="36"/>
  <c r="AI39" i="36"/>
  <c r="AG39" i="36"/>
  <c r="AE39" i="36"/>
  <c r="AC39" i="36"/>
  <c r="AA39" i="36"/>
  <c r="Y39" i="36"/>
  <c r="W39" i="36"/>
  <c r="U39" i="36"/>
  <c r="O39" i="36"/>
  <c r="R38" i="36"/>
  <c r="R42" i="36" s="1"/>
  <c r="L38" i="36"/>
  <c r="L42" i="36" s="1"/>
  <c r="S37" i="36"/>
  <c r="M37" i="36"/>
  <c r="CY32" i="36"/>
  <c r="CY42" i="36" s="1"/>
  <c r="CW32" i="36"/>
  <c r="CW31" i="36" s="1"/>
  <c r="CT32" i="36"/>
  <c r="CT42" i="36" s="1"/>
  <c r="CR32" i="36"/>
  <c r="CR42" i="36" s="1"/>
  <c r="CP32" i="36"/>
  <c r="CP31" i="36" s="1"/>
  <c r="CN32" i="36"/>
  <c r="CL32" i="36"/>
  <c r="CL42" i="36" s="1"/>
  <c r="CJ32" i="36"/>
  <c r="CJ31" i="36" s="1"/>
  <c r="BD32" i="36"/>
  <c r="BD31" i="36" s="1"/>
  <c r="BB32" i="36"/>
  <c r="BB42" i="36" s="1"/>
  <c r="AZ32" i="36"/>
  <c r="AZ31" i="36" s="1"/>
  <c r="AX32" i="36"/>
  <c r="AX42" i="36" s="1"/>
  <c r="AV32" i="36"/>
  <c r="AV42" i="36" s="1"/>
  <c r="AT32" i="36"/>
  <c r="AR32" i="36"/>
  <c r="AR42" i="36" s="1"/>
  <c r="AP32" i="36"/>
  <c r="AP31" i="36" s="1"/>
  <c r="AN32" i="36"/>
  <c r="AN31" i="36" s="1"/>
  <c r="AL32" i="36"/>
  <c r="AL42" i="36" s="1"/>
  <c r="AJ32" i="36"/>
  <c r="AJ31" i="36" s="1"/>
  <c r="AH32" i="36"/>
  <c r="AH42" i="36" s="1"/>
  <c r="AF32" i="36"/>
  <c r="AF42" i="36" s="1"/>
  <c r="AD32" i="36"/>
  <c r="AB32" i="36"/>
  <c r="AB42" i="36" s="1"/>
  <c r="Z32" i="36"/>
  <c r="Z31" i="36" s="1"/>
  <c r="X32" i="36"/>
  <c r="X31" i="36" s="1"/>
  <c r="V32" i="36"/>
  <c r="V42" i="36" s="1"/>
  <c r="T32" i="36"/>
  <c r="T42" i="36" s="1"/>
  <c r="S32" i="36"/>
  <c r="S36" i="36" s="1"/>
  <c r="S35" i="36" s="1"/>
  <c r="P32" i="36"/>
  <c r="P42" i="36" s="1"/>
  <c r="N32" i="36"/>
  <c r="L32" i="36"/>
  <c r="L30" i="36" s="1"/>
  <c r="L29" i="36" s="1"/>
  <c r="J32" i="36"/>
  <c r="H32" i="36"/>
  <c r="H31" i="36" s="1"/>
  <c r="F32" i="36"/>
  <c r="CU31" i="36"/>
  <c r="CS31" i="36"/>
  <c r="CQ31" i="36"/>
  <c r="CO31" i="36"/>
  <c r="CM31" i="36"/>
  <c r="CK31" i="36"/>
  <c r="BE31" i="36"/>
  <c r="BC31" i="36"/>
  <c r="BA31" i="36"/>
  <c r="AY31" i="36"/>
  <c r="AW31" i="36"/>
  <c r="AU31" i="36"/>
  <c r="AS31" i="36"/>
  <c r="AQ31" i="36"/>
  <c r="AO31" i="36"/>
  <c r="AM31" i="36"/>
  <c r="AK31" i="36"/>
  <c r="AI31" i="36"/>
  <c r="AG31" i="36"/>
  <c r="AE31" i="36"/>
  <c r="AC31" i="36"/>
  <c r="AA31" i="36"/>
  <c r="Y31" i="36"/>
  <c r="W31" i="36"/>
  <c r="U31" i="36"/>
  <c r="Q31" i="36"/>
  <c r="O31" i="36"/>
  <c r="K31" i="36"/>
  <c r="I31" i="36"/>
  <c r="CU30" i="36"/>
  <c r="CU29" i="36" s="1"/>
  <c r="CY26" i="36"/>
  <c r="CX26" i="36" s="1"/>
  <c r="CX25" i="36" s="1"/>
  <c r="CW26" i="36"/>
  <c r="CT26" i="36"/>
  <c r="CT25" i="36" s="1"/>
  <c r="S26" i="36"/>
  <c r="P26" i="36"/>
  <c r="Q26" i="36" s="1"/>
  <c r="M26" i="36"/>
  <c r="M25" i="36" s="1"/>
  <c r="J26" i="36"/>
  <c r="K26" i="36" s="1"/>
  <c r="F26" i="36"/>
  <c r="G26" i="36" s="1"/>
  <c r="G25" i="36" s="1"/>
  <c r="CU25" i="36"/>
  <c r="R25" i="36"/>
  <c r="L25" i="36"/>
  <c r="CX19" i="36"/>
  <c r="CV19" i="36"/>
  <c r="CT19" i="36"/>
  <c r="CR19" i="36"/>
  <c r="CP19" i="36"/>
  <c r="CN19" i="36"/>
  <c r="CL19" i="36"/>
  <c r="CJ19" i="36"/>
  <c r="BD19" i="36"/>
  <c r="BB19" i="36"/>
  <c r="AZ19" i="36"/>
  <c r="AX19" i="36"/>
  <c r="AV19" i="36"/>
  <c r="AT19" i="36"/>
  <c r="AR19" i="36"/>
  <c r="AP19" i="36"/>
  <c r="AN19" i="36"/>
  <c r="AL19" i="36"/>
  <c r="AJ19" i="36"/>
  <c r="AH19" i="36"/>
  <c r="AF19" i="36"/>
  <c r="AD19" i="36"/>
  <c r="AB19" i="36"/>
  <c r="Z19" i="36"/>
  <c r="X19" i="36"/>
  <c r="V19" i="36"/>
  <c r="T19" i="36"/>
  <c r="R19" i="36"/>
  <c r="P19" i="36"/>
  <c r="N19" i="36"/>
  <c r="L19" i="36"/>
  <c r="J19" i="36"/>
  <c r="H19" i="36"/>
  <c r="F19" i="36"/>
  <c r="CY15" i="36"/>
  <c r="CY19" i="36" s="1"/>
  <c r="CW15" i="36"/>
  <c r="CW19" i="36" s="1"/>
  <c r="CU15" i="36"/>
  <c r="CU19" i="36" s="1"/>
  <c r="CS15" i="36"/>
  <c r="CS19" i="36" s="1"/>
  <c r="CQ15" i="36"/>
  <c r="CQ19" i="36" s="1"/>
  <c r="CO15" i="36"/>
  <c r="CO19" i="36" s="1"/>
  <c r="CM15" i="36"/>
  <c r="CM19" i="36" s="1"/>
  <c r="CK15" i="36"/>
  <c r="CK19" i="36" s="1"/>
  <c r="BE15" i="36"/>
  <c r="BC15" i="36"/>
  <c r="BA15" i="36"/>
  <c r="BA19" i="36" s="1"/>
  <c r="AY15" i="36"/>
  <c r="AY19" i="36" s="1"/>
  <c r="AW15" i="36"/>
  <c r="AW19" i="36" s="1"/>
  <c r="AU15" i="36"/>
  <c r="AU19" i="36" s="1"/>
  <c r="AS15" i="36"/>
  <c r="AS19" i="36" s="1"/>
  <c r="AQ15" i="36"/>
  <c r="AQ19" i="36" s="1"/>
  <c r="AO15" i="36"/>
  <c r="AO19" i="36" s="1"/>
  <c r="AM15" i="36"/>
  <c r="AM19" i="36" s="1"/>
  <c r="AK15" i="36"/>
  <c r="AK19" i="36" s="1"/>
  <c r="AI15" i="36"/>
  <c r="AI19" i="36" s="1"/>
  <c r="AG15" i="36"/>
  <c r="AG19" i="36" s="1"/>
  <c r="AE15" i="36"/>
  <c r="AE19" i="36" s="1"/>
  <c r="AC15" i="36"/>
  <c r="AC19" i="36" s="1"/>
  <c r="AA15" i="36"/>
  <c r="AA19" i="36" s="1"/>
  <c r="Y15" i="36"/>
  <c r="W15" i="36"/>
  <c r="U15" i="36"/>
  <c r="U19" i="36" s="1"/>
  <c r="S15" i="36"/>
  <c r="S19" i="36" s="1"/>
  <c r="Q15" i="36"/>
  <c r="Q19" i="36" s="1"/>
  <c r="O15" i="36"/>
  <c r="O19" i="36" s="1"/>
  <c r="M15" i="36"/>
  <c r="M19" i="36" s="1"/>
  <c r="K15" i="36"/>
  <c r="K19" i="36" s="1"/>
  <c r="I15" i="36"/>
  <c r="I19" i="36" s="1"/>
  <c r="G15" i="36"/>
  <c r="G19" i="36" s="1"/>
  <c r="CX9" i="36"/>
  <c r="CT9" i="36"/>
  <c r="CP9" i="36"/>
  <c r="AB9" i="36"/>
  <c r="X9" i="36"/>
  <c r="N9" i="36"/>
  <c r="L9" i="36"/>
  <c r="J9" i="36"/>
  <c r="H9" i="36"/>
  <c r="F9" i="36"/>
  <c r="L8" i="36"/>
  <c r="J8" i="36"/>
  <c r="H8" i="36"/>
  <c r="F8" i="36"/>
  <c r="CX2" i="36"/>
  <c r="CX10" i="36" s="1"/>
  <c r="CV2" i="36"/>
  <c r="CV10" i="36" s="1"/>
  <c r="CT2" i="36"/>
  <c r="CT10" i="36" s="1"/>
  <c r="CR2" i="36"/>
  <c r="CR10" i="36" s="1"/>
  <c r="CR16" i="36" s="1"/>
  <c r="CR20" i="36" s="1"/>
  <c r="CP2" i="36"/>
  <c r="CP10" i="36" s="1"/>
  <c r="CN2" i="36"/>
  <c r="CN10" i="36" s="1"/>
  <c r="CL2" i="36"/>
  <c r="CL10" i="36" s="1"/>
  <c r="CJ2" i="36"/>
  <c r="CJ10" i="36" s="1"/>
  <c r="BD2" i="36"/>
  <c r="BD10" i="36" s="1"/>
  <c r="BB2" i="36"/>
  <c r="BB10" i="36" s="1"/>
  <c r="AZ2" i="36"/>
  <c r="AZ10" i="36" s="1"/>
  <c r="AX2" i="36"/>
  <c r="AX10" i="36" s="1"/>
  <c r="AX16" i="36" s="1"/>
  <c r="AX20" i="36" s="1"/>
  <c r="AV2" i="36"/>
  <c r="AV10" i="36" s="1"/>
  <c r="AT2" i="36"/>
  <c r="AT10" i="36" s="1"/>
  <c r="AR2" i="36"/>
  <c r="AR10" i="36" s="1"/>
  <c r="AP2" i="36"/>
  <c r="AP10" i="36" s="1"/>
  <c r="AN2" i="36"/>
  <c r="AN10" i="36" s="1"/>
  <c r="AL2" i="36"/>
  <c r="AL10" i="36" s="1"/>
  <c r="AJ2" i="36"/>
  <c r="AJ10" i="36" s="1"/>
  <c r="AH2" i="36"/>
  <c r="AH10" i="36" s="1"/>
  <c r="AI10" i="36" s="1"/>
  <c r="AF2" i="36"/>
  <c r="AF10" i="36" s="1"/>
  <c r="AD2" i="36"/>
  <c r="AD10" i="36" s="1"/>
  <c r="AB2" i="36"/>
  <c r="AB10" i="36" s="1"/>
  <c r="Z2" i="36"/>
  <c r="Z10" i="36" s="1"/>
  <c r="X2" i="36"/>
  <c r="X10" i="36" s="1"/>
  <c r="V2" i="36"/>
  <c r="V10" i="36" s="1"/>
  <c r="T2" i="36"/>
  <c r="T10" i="36" s="1"/>
  <c r="R2" i="36"/>
  <c r="R10" i="36" s="1"/>
  <c r="R16" i="36" s="1"/>
  <c r="R20" i="36" s="1"/>
  <c r="R24" i="36" s="1"/>
  <c r="R23" i="36" s="1"/>
  <c r="P2" i="36"/>
  <c r="P10" i="36" s="1"/>
  <c r="N2" i="36"/>
  <c r="N10" i="36" s="1"/>
  <c r="L2" i="36"/>
  <c r="L10" i="36" s="1"/>
  <c r="J2" i="36"/>
  <c r="J10" i="36" s="1"/>
  <c r="H2" i="36"/>
  <c r="H10" i="36" s="1"/>
  <c r="F2" i="36"/>
  <c r="F10" i="36" s="1"/>
  <c r="AU32" i="34"/>
  <c r="AS137" i="34"/>
  <c r="AS135" i="34"/>
  <c r="AS141" i="34" s="1"/>
  <c r="AS131" i="34"/>
  <c r="AS123" i="34"/>
  <c r="AS122" i="34"/>
  <c r="AS121" i="34"/>
  <c r="AS120" i="34"/>
  <c r="AS119" i="34"/>
  <c r="AS106" i="34"/>
  <c r="AS104" i="34"/>
  <c r="AS105" i="34" s="1"/>
  <c r="AS80" i="34"/>
  <c r="AS83" i="34" s="1"/>
  <c r="AS71" i="34"/>
  <c r="AS65" i="34"/>
  <c r="AS60" i="34" s="1"/>
  <c r="AS63" i="34"/>
  <c r="AS52" i="34"/>
  <c r="AS32" i="34"/>
  <c r="AR32" i="34" s="1"/>
  <c r="AR26" i="34"/>
  <c r="AR25" i="34" s="1"/>
  <c r="AR19" i="34"/>
  <c r="AS15" i="34"/>
  <c r="AS19" i="34" s="1"/>
  <c r="AR9" i="34"/>
  <c r="AS135" i="35"/>
  <c r="AS96" i="35" s="1"/>
  <c r="AS122" i="35"/>
  <c r="AS121" i="35"/>
  <c r="AS120" i="35"/>
  <c r="AS119" i="35"/>
  <c r="AS106" i="35"/>
  <c r="AS104" i="35"/>
  <c r="AS105" i="35" s="1"/>
  <c r="AS80" i="35"/>
  <c r="AS83" i="35" s="1"/>
  <c r="AS79" i="35"/>
  <c r="AS123" i="35" s="1"/>
  <c r="AS71" i="35"/>
  <c r="AS65" i="35"/>
  <c r="AS60" i="35" s="1"/>
  <c r="AS63" i="35"/>
  <c r="AS62" i="35"/>
  <c r="AS59" i="35" s="1"/>
  <c r="AS52" i="35"/>
  <c r="AR42" i="35"/>
  <c r="AS32" i="35"/>
  <c r="AR31" i="35"/>
  <c r="AR30" i="35"/>
  <c r="AR29" i="35" s="1"/>
  <c r="AS26" i="35"/>
  <c r="AS25" i="35" s="1"/>
  <c r="AR25" i="35"/>
  <c r="AR19" i="35"/>
  <c r="AS15" i="35"/>
  <c r="AS19" i="35" s="1"/>
  <c r="AR9" i="35"/>
  <c r="AR2" i="35"/>
  <c r="AR10" i="35" s="1"/>
  <c r="AR16" i="35" s="1"/>
  <c r="AR20" i="35" s="1"/>
  <c r="AR24" i="35" s="1"/>
  <c r="AR23" i="35" s="1"/>
  <c r="AQ135" i="35"/>
  <c r="AQ141" i="35" s="1"/>
  <c r="AQ122" i="35"/>
  <c r="AQ121" i="35"/>
  <c r="AQ120" i="35"/>
  <c r="AQ119" i="35"/>
  <c r="AQ106" i="35"/>
  <c r="AQ104" i="35"/>
  <c r="AQ105" i="35" s="1"/>
  <c r="AQ96" i="35"/>
  <c r="AQ80" i="35"/>
  <c r="AQ83" i="35" s="1"/>
  <c r="AQ86" i="35" s="1"/>
  <c r="AQ79" i="35"/>
  <c r="AQ123" i="35" s="1"/>
  <c r="AQ71" i="35"/>
  <c r="AQ65" i="35"/>
  <c r="AQ60" i="35" s="1"/>
  <c r="AQ63" i="35"/>
  <c r="AQ62" i="35"/>
  <c r="AQ59" i="35" s="1"/>
  <c r="AQ52" i="35"/>
  <c r="AP42" i="35"/>
  <c r="AQ32" i="35"/>
  <c r="AQ31" i="35" s="1"/>
  <c r="AP31" i="35"/>
  <c r="AP30" i="35"/>
  <c r="AP29" i="35" s="1"/>
  <c r="AQ26" i="35"/>
  <c r="AQ25" i="35" s="1"/>
  <c r="AP25" i="35"/>
  <c r="AP19" i="35"/>
  <c r="AQ15" i="35"/>
  <c r="AQ19" i="35" s="1"/>
  <c r="AP9" i="35"/>
  <c r="AP2" i="35"/>
  <c r="AP10" i="35" s="1"/>
  <c r="AO135" i="35"/>
  <c r="AO141" i="35" s="1"/>
  <c r="AO122" i="35"/>
  <c r="AO121" i="35"/>
  <c r="AO120" i="35"/>
  <c r="AO119" i="35"/>
  <c r="AO106" i="35"/>
  <c r="AO104" i="35"/>
  <c r="AO105" i="35" s="1"/>
  <c r="AO80" i="35"/>
  <c r="AO83" i="35" s="1"/>
  <c r="AO79" i="35"/>
  <c r="AO123" i="35" s="1"/>
  <c r="AO71" i="35"/>
  <c r="AO65" i="35"/>
  <c r="AO60" i="35" s="1"/>
  <c r="AO63" i="35"/>
  <c r="AO62" i="35"/>
  <c r="AO59" i="35" s="1"/>
  <c r="AO52" i="35"/>
  <c r="AN42" i="35"/>
  <c r="AO32" i="35"/>
  <c r="AO31" i="35" s="1"/>
  <c r="AN31" i="35"/>
  <c r="AN30" i="35"/>
  <c r="AN29" i="35" s="1"/>
  <c r="AO26" i="35"/>
  <c r="AO25" i="35" s="1"/>
  <c r="AN25" i="35"/>
  <c r="AN19" i="35"/>
  <c r="AO15" i="35"/>
  <c r="AN9" i="35"/>
  <c r="AN2" i="35"/>
  <c r="AN10" i="35" s="1"/>
  <c r="AN16" i="35" s="1"/>
  <c r="AN20" i="35" s="1"/>
  <c r="AN24" i="35" s="1"/>
  <c r="AN23" i="35" s="1"/>
  <c r="AM135" i="35"/>
  <c r="AM141" i="35" s="1"/>
  <c r="AM122" i="35"/>
  <c r="AM121" i="35"/>
  <c r="AM120" i="35"/>
  <c r="AM119" i="35"/>
  <c r="AM106" i="35"/>
  <c r="AM104" i="35"/>
  <c r="AM105" i="35" s="1"/>
  <c r="AM80" i="35"/>
  <c r="AM82" i="35" s="1"/>
  <c r="AM79" i="35"/>
  <c r="AM123" i="35" s="1"/>
  <c r="AM71" i="35"/>
  <c r="AM65" i="35"/>
  <c r="AM60" i="35" s="1"/>
  <c r="AM63" i="35"/>
  <c r="AM62" i="35"/>
  <c r="AM52" i="35"/>
  <c r="AL42" i="35"/>
  <c r="AM32" i="35"/>
  <c r="AM31" i="35" s="1"/>
  <c r="AL31" i="35"/>
  <c r="AL30" i="35"/>
  <c r="AL29" i="35"/>
  <c r="AM26" i="35"/>
  <c r="AM25" i="35" s="1"/>
  <c r="AL25" i="35"/>
  <c r="AL19" i="35"/>
  <c r="AM15" i="35"/>
  <c r="AM19" i="35" s="1"/>
  <c r="AL9" i="35"/>
  <c r="AL2" i="35"/>
  <c r="AL10" i="35" s="1"/>
  <c r="AL16" i="35" s="1"/>
  <c r="AL20" i="35" s="1"/>
  <c r="AL24" i="35" s="1"/>
  <c r="AL23" i="35" s="1"/>
  <c r="AK135" i="35"/>
  <c r="AK141" i="35" s="1"/>
  <c r="AK122" i="35"/>
  <c r="AK121" i="35"/>
  <c r="AK120" i="35"/>
  <c r="AK119" i="35"/>
  <c r="AK106" i="35"/>
  <c r="AK104" i="35"/>
  <c r="AK105" i="35" s="1"/>
  <c r="AK80" i="35"/>
  <c r="AK79" i="35"/>
  <c r="AK123" i="35" s="1"/>
  <c r="AK71" i="35"/>
  <c r="AK65" i="35"/>
  <c r="AK60" i="35" s="1"/>
  <c r="AK63" i="35"/>
  <c r="AK62" i="35"/>
  <c r="AK52" i="35"/>
  <c r="AJ42" i="35"/>
  <c r="AK32" i="35"/>
  <c r="AK31" i="35" s="1"/>
  <c r="AJ31" i="35"/>
  <c r="AJ30" i="35"/>
  <c r="AJ29" i="35" s="1"/>
  <c r="AK26" i="35"/>
  <c r="AK25" i="35" s="1"/>
  <c r="AJ25" i="35"/>
  <c r="AJ19" i="35"/>
  <c r="AK15" i="35"/>
  <c r="AJ9" i="35"/>
  <c r="AJ2" i="35"/>
  <c r="AJ10" i="35" s="1"/>
  <c r="AJ16" i="35" s="1"/>
  <c r="AJ20" i="35" s="1"/>
  <c r="AJ24" i="35" s="1"/>
  <c r="AJ23" i="35" s="1"/>
  <c r="AK59" i="35" l="1"/>
  <c r="AW96" i="36"/>
  <c r="AH61" i="36"/>
  <c r="AY96" i="36"/>
  <c r="BA96" i="36"/>
  <c r="AM59" i="35"/>
  <c r="AO96" i="35"/>
  <c r="S30" i="36"/>
  <c r="S29" i="36" s="1"/>
  <c r="AH9" i="36"/>
  <c r="R32" i="36"/>
  <c r="R30" i="36" s="1"/>
  <c r="R29" i="36" s="1"/>
  <c r="BC149" i="36"/>
  <c r="BC152" i="36" s="1"/>
  <c r="V9" i="36"/>
  <c r="AN9" i="36"/>
  <c r="W96" i="36"/>
  <c r="BI56" i="13"/>
  <c r="BI53" i="13" s="1"/>
  <c r="BF8" i="13"/>
  <c r="BG56" i="13"/>
  <c r="BG53" i="13" s="1"/>
  <c r="BC96" i="36"/>
  <c r="AD9" i="36"/>
  <c r="BE96" i="36"/>
  <c r="AF9" i="36"/>
  <c r="AH31" i="36"/>
  <c r="CU96" i="36"/>
  <c r="AS59" i="36"/>
  <c r="O96" i="36"/>
  <c r="AV31" i="36"/>
  <c r="L31" i="36"/>
  <c r="AY59" i="36"/>
  <c r="U96" i="36"/>
  <c r="BM89" i="13"/>
  <c r="BM87" i="13"/>
  <c r="BN72" i="13"/>
  <c r="BO71" i="13"/>
  <c r="BO86" i="13"/>
  <c r="T61" i="36"/>
  <c r="AY60" i="36"/>
  <c r="AY56" i="36" s="1"/>
  <c r="AY50" i="36" s="1"/>
  <c r="AY54" i="36" s="1"/>
  <c r="CW30" i="36"/>
  <c r="CW29" i="36" s="1"/>
  <c r="BB9" i="36"/>
  <c r="M32" i="36"/>
  <c r="M30" i="36" s="1"/>
  <c r="M29" i="36" s="1"/>
  <c r="BA59" i="36"/>
  <c r="L37" i="36"/>
  <c r="AJ9" i="36"/>
  <c r="AO96" i="36"/>
  <c r="AM96" i="36"/>
  <c r="P31" i="36"/>
  <c r="AN42" i="36"/>
  <c r="K53" i="36"/>
  <c r="AZ61" i="36"/>
  <c r="AZ9" i="36"/>
  <c r="H42" i="36"/>
  <c r="AG59" i="36"/>
  <c r="BB31" i="36"/>
  <c r="CV9" i="36"/>
  <c r="CV32" i="36"/>
  <c r="CV31" i="36" s="1"/>
  <c r="R9" i="36"/>
  <c r="AO83" i="36"/>
  <c r="AO86" i="36" s="1"/>
  <c r="U63" i="36"/>
  <c r="CP42" i="36"/>
  <c r="AF72" i="36"/>
  <c r="BE63" i="36"/>
  <c r="AN72" i="36"/>
  <c r="AI59" i="36"/>
  <c r="X61" i="36"/>
  <c r="CW42" i="36"/>
  <c r="CW63" i="36"/>
  <c r="CW60" i="36" s="1"/>
  <c r="CV8" i="36" s="1"/>
  <c r="CY25" i="36"/>
  <c r="G49" i="36"/>
  <c r="F45" i="36" s="1"/>
  <c r="CY60" i="36"/>
  <c r="CY56" i="36" s="1"/>
  <c r="CY68" i="36" s="1"/>
  <c r="AQ60" i="36"/>
  <c r="AP8" i="36" s="1"/>
  <c r="AJ61" i="36"/>
  <c r="AO78" i="36"/>
  <c r="AO149" i="36" s="1"/>
  <c r="CV26" i="36"/>
  <c r="V61" i="36"/>
  <c r="BC60" i="36"/>
  <c r="BB8" i="36" s="1"/>
  <c r="AF61" i="36"/>
  <c r="BB61" i="36"/>
  <c r="CR31" i="36"/>
  <c r="S31" i="36"/>
  <c r="G53" i="36"/>
  <c r="AL9" i="36"/>
  <c r="J25" i="36"/>
  <c r="V31" i="36"/>
  <c r="Q59" i="36"/>
  <c r="F30" i="36"/>
  <c r="F29" i="36" s="1"/>
  <c r="AZ42" i="36"/>
  <c r="S59" i="36"/>
  <c r="T31" i="36"/>
  <c r="CT31" i="36"/>
  <c r="AP9" i="36"/>
  <c r="J30" i="36"/>
  <c r="J29" i="36" s="1"/>
  <c r="AX31" i="36"/>
  <c r="X42" i="36"/>
  <c r="O60" i="36"/>
  <c r="N8" i="36" s="1"/>
  <c r="AG60" i="36"/>
  <c r="W60" i="36"/>
  <c r="V8" i="36" s="1"/>
  <c r="CW59" i="36"/>
  <c r="S25" i="36"/>
  <c r="P30" i="36"/>
  <c r="P29" i="36" s="1"/>
  <c r="AI60" i="36"/>
  <c r="AI111" i="36" s="1"/>
  <c r="AI112" i="36" s="1"/>
  <c r="AB31" i="36"/>
  <c r="BD42" i="36"/>
  <c r="AA59" i="36"/>
  <c r="AV9" i="36"/>
  <c r="AD61" i="36"/>
  <c r="AS60" i="36"/>
  <c r="AR8" i="36" s="1"/>
  <c r="AC60" i="36"/>
  <c r="AB8" i="36" s="1"/>
  <c r="CW25" i="36"/>
  <c r="AE60" i="36"/>
  <c r="AE108" i="36" s="1"/>
  <c r="AE109" i="36" s="1"/>
  <c r="AF31" i="36"/>
  <c r="P9" i="36"/>
  <c r="AJ42" i="36"/>
  <c r="AQ117" i="36"/>
  <c r="AQ116" i="36" s="1"/>
  <c r="AQ114" i="36" s="1"/>
  <c r="AQ115" i="36" s="1"/>
  <c r="AK59" i="36"/>
  <c r="CL31" i="36"/>
  <c r="AM59" i="36"/>
  <c r="AE96" i="36"/>
  <c r="K117" i="36"/>
  <c r="K116" i="36" s="1"/>
  <c r="K114" i="36" s="1"/>
  <c r="K115" i="36" s="1"/>
  <c r="K72" i="36" s="1"/>
  <c r="K71" i="36" s="1"/>
  <c r="AK96" i="36"/>
  <c r="BK87" i="13"/>
  <c r="BK89" i="13"/>
  <c r="BI111" i="13"/>
  <c r="BI112" i="13" s="1"/>
  <c r="AP8" i="35"/>
  <c r="AQ56" i="35"/>
  <c r="AQ82" i="35"/>
  <c r="AM96" i="35"/>
  <c r="AK96" i="35"/>
  <c r="AQ53" i="35"/>
  <c r="AS82" i="35"/>
  <c r="AO108" i="35"/>
  <c r="AO109" i="35" s="1"/>
  <c r="AO111" i="35"/>
  <c r="AO112" i="35" s="1"/>
  <c r="AN8" i="35"/>
  <c r="AO56" i="35"/>
  <c r="AO53" i="35" s="1"/>
  <c r="AQ111" i="35"/>
  <c r="AQ112" i="35" s="1"/>
  <c r="AS141" i="35"/>
  <c r="AS42" i="34"/>
  <c r="AM117" i="35"/>
  <c r="AM116" i="35" s="1"/>
  <c r="AM114" i="35" s="1"/>
  <c r="AM115" i="35" s="1"/>
  <c r="AS117" i="34"/>
  <c r="AS116" i="34" s="1"/>
  <c r="AS114" i="34" s="1"/>
  <c r="AS115" i="34" s="1"/>
  <c r="AS31" i="34"/>
  <c r="AS96" i="34"/>
  <c r="AK117" i="35"/>
  <c r="AK116" i="35" s="1"/>
  <c r="AK114" i="35" s="1"/>
  <c r="AK115" i="35" s="1"/>
  <c r="BG16" i="13"/>
  <c r="BG20" i="13" s="1"/>
  <c r="BG132" i="13"/>
  <c r="BG133" i="13" s="1"/>
  <c r="BG142" i="13" s="1"/>
  <c r="BG69" i="13"/>
  <c r="CK72" i="36"/>
  <c r="CS72" i="36"/>
  <c r="CS92" i="36"/>
  <c r="CM64" i="36"/>
  <c r="CM135" i="36" s="1"/>
  <c r="CO136" i="36"/>
  <c r="CK64" i="36"/>
  <c r="CK100" i="36" s="1"/>
  <c r="CK104" i="36" s="1"/>
  <c r="CK105" i="36" s="1"/>
  <c r="CK67" i="36"/>
  <c r="CK57" i="36"/>
  <c r="CJ9" i="36" s="1"/>
  <c r="CK79" i="36"/>
  <c r="CK123" i="36" s="1"/>
  <c r="CK117" i="36" s="1"/>
  <c r="CK116" i="36" s="1"/>
  <c r="CK114" i="36" s="1"/>
  <c r="CK115" i="36" s="1"/>
  <c r="CS64" i="36"/>
  <c r="CS65" i="36" s="1"/>
  <c r="CS79" i="36"/>
  <c r="CS123" i="36" s="1"/>
  <c r="CS117" i="36" s="1"/>
  <c r="CS116" i="36" s="1"/>
  <c r="CS114" i="36" s="1"/>
  <c r="CS115" i="36" s="1"/>
  <c r="CM131" i="36"/>
  <c r="CO92" i="36"/>
  <c r="CO131" i="36"/>
  <c r="CO72" i="36"/>
  <c r="CQ72" i="36"/>
  <c r="AM149" i="36"/>
  <c r="CO64" i="36"/>
  <c r="CO100" i="36" s="1"/>
  <c r="CO104" i="36" s="1"/>
  <c r="CO105" i="36" s="1"/>
  <c r="CO79" i="36"/>
  <c r="CO123" i="36" s="1"/>
  <c r="CO117" i="36" s="1"/>
  <c r="CO116" i="36" s="1"/>
  <c r="CO114" i="36" s="1"/>
  <c r="CO115" i="36" s="1"/>
  <c r="BI86" i="13"/>
  <c r="BI84" i="13"/>
  <c r="BI76" i="13"/>
  <c r="BG81" i="13"/>
  <c r="BG83" i="13"/>
  <c r="BG82" i="13"/>
  <c r="BG77" i="13"/>
  <c r="BG75" i="13"/>
  <c r="BG129" i="13"/>
  <c r="BG130" i="13" s="1"/>
  <c r="BG126" i="13"/>
  <c r="BG127" i="13" s="1"/>
  <c r="I96" i="36"/>
  <c r="W117" i="36"/>
  <c r="W116" i="36" s="1"/>
  <c r="W114" i="36" s="1"/>
  <c r="W115" i="36" s="1"/>
  <c r="BC117" i="36"/>
  <c r="BC116" i="36" s="1"/>
  <c r="BC114" i="36" s="1"/>
  <c r="BC115" i="36" s="1"/>
  <c r="CU117" i="36"/>
  <c r="CU116" i="36" s="1"/>
  <c r="CU114" i="36" s="1"/>
  <c r="CU115" i="36" s="1"/>
  <c r="O117" i="36"/>
  <c r="O116" i="36" s="1"/>
  <c r="O114" i="36" s="1"/>
  <c r="O115" i="36" s="1"/>
  <c r="AU117" i="36"/>
  <c r="AU116" i="36" s="1"/>
  <c r="AU114" i="36" s="1"/>
  <c r="AU115" i="36" s="1"/>
  <c r="AI117" i="36"/>
  <c r="AI116" i="36" s="1"/>
  <c r="AI114" i="36" s="1"/>
  <c r="AI115" i="36" s="1"/>
  <c r="G141" i="36"/>
  <c r="O83" i="36"/>
  <c r="O84" i="36" s="1"/>
  <c r="S117" i="36"/>
  <c r="S116" i="36" s="1"/>
  <c r="S114" i="36" s="1"/>
  <c r="S115" i="36" s="1"/>
  <c r="S72" i="36" s="1"/>
  <c r="AY117" i="36"/>
  <c r="AY116" i="36" s="1"/>
  <c r="AY114" i="36" s="1"/>
  <c r="AY115" i="36" s="1"/>
  <c r="AQ96" i="36"/>
  <c r="U117" i="36"/>
  <c r="U116" i="36" s="1"/>
  <c r="U114" i="36" s="1"/>
  <c r="U115" i="36" s="1"/>
  <c r="AS96" i="36"/>
  <c r="AU96" i="36"/>
  <c r="I141" i="36"/>
  <c r="I68" i="36"/>
  <c r="I63" i="36" s="1"/>
  <c r="Q117" i="36"/>
  <c r="Q116" i="36" s="1"/>
  <c r="Q114" i="36" s="1"/>
  <c r="Q115" i="36" s="1"/>
  <c r="Q72" i="36" s="1"/>
  <c r="AW117" i="36"/>
  <c r="AW116" i="36" s="1"/>
  <c r="AW114" i="36" s="1"/>
  <c r="AW115" i="36" s="1"/>
  <c r="AW59" i="36"/>
  <c r="AA141" i="36"/>
  <c r="AE59" i="36"/>
  <c r="AG141" i="36"/>
  <c r="BA117" i="36"/>
  <c r="BA116" i="36" s="1"/>
  <c r="BA114" i="36" s="1"/>
  <c r="BA115" i="36" s="1"/>
  <c r="CQ96" i="36"/>
  <c r="G117" i="36"/>
  <c r="G116" i="36" s="1"/>
  <c r="G114" i="36" s="1"/>
  <c r="G115" i="36" s="1"/>
  <c r="G72" i="36" s="1"/>
  <c r="G71" i="36" s="1"/>
  <c r="AM117" i="36"/>
  <c r="AM116" i="36" s="1"/>
  <c r="AM114" i="36" s="1"/>
  <c r="AM115" i="36" s="1"/>
  <c r="CW117" i="36"/>
  <c r="CW116" i="36" s="1"/>
  <c r="CW114" i="36" s="1"/>
  <c r="CW115" i="36" s="1"/>
  <c r="O82" i="36"/>
  <c r="CY96" i="36"/>
  <c r="M117" i="36"/>
  <c r="M116" i="36" s="1"/>
  <c r="M114" i="36" s="1"/>
  <c r="M115" i="36" s="1"/>
  <c r="M72" i="36" s="1"/>
  <c r="M71" i="36" s="1"/>
  <c r="AS117" i="36"/>
  <c r="AS116" i="36" s="1"/>
  <c r="AS114" i="36" s="1"/>
  <c r="AS115" i="36" s="1"/>
  <c r="I117" i="36"/>
  <c r="I116" i="36" s="1"/>
  <c r="I114" i="36" s="1"/>
  <c r="I115" i="36" s="1"/>
  <c r="I72" i="36" s="1"/>
  <c r="I71" i="36" s="1"/>
  <c r="AO117" i="36"/>
  <c r="AO116" i="36" s="1"/>
  <c r="AO114" i="36" s="1"/>
  <c r="AO115" i="36" s="1"/>
  <c r="CY117" i="36"/>
  <c r="CY116" i="36" s="1"/>
  <c r="CY114" i="36" s="1"/>
  <c r="CY115" i="36" s="1"/>
  <c r="AG117" i="36"/>
  <c r="AG116" i="36" s="1"/>
  <c r="AG114" i="36" s="1"/>
  <c r="AG115" i="36" s="1"/>
  <c r="K138" i="36"/>
  <c r="M138" i="36" s="1"/>
  <c r="O10" i="36"/>
  <c r="O16" i="36" s="1"/>
  <c r="O20" i="36" s="1"/>
  <c r="N16" i="36"/>
  <c r="N20" i="36" s="1"/>
  <c r="AV16" i="36"/>
  <c r="AV20" i="36" s="1"/>
  <c r="AW10" i="36"/>
  <c r="AW69" i="36" s="1"/>
  <c r="T16" i="36"/>
  <c r="T20" i="36" s="1"/>
  <c r="U10" i="36"/>
  <c r="U69" i="36" s="1"/>
  <c r="AZ16" i="36"/>
  <c r="AZ20" i="36" s="1"/>
  <c r="BA10" i="36"/>
  <c r="BB16" i="36"/>
  <c r="BB20" i="36" s="1"/>
  <c r="BC10" i="36"/>
  <c r="BC69" i="36" s="1"/>
  <c r="V16" i="36"/>
  <c r="V20" i="36" s="1"/>
  <c r="W10" i="36"/>
  <c r="W16" i="36" s="1"/>
  <c r="W20" i="36" s="1"/>
  <c r="Z16" i="36"/>
  <c r="Z20" i="36" s="1"/>
  <c r="AA10" i="36"/>
  <c r="AA16" i="36" s="1"/>
  <c r="AA20" i="36" s="1"/>
  <c r="CJ16" i="36"/>
  <c r="CJ20" i="36" s="1"/>
  <c r="CK10" i="36"/>
  <c r="CK16" i="36" s="1"/>
  <c r="CK20" i="36" s="1"/>
  <c r="CL16" i="36"/>
  <c r="CL20" i="36" s="1"/>
  <c r="CM10" i="36"/>
  <c r="AU10" i="36"/>
  <c r="AU16" i="36" s="1"/>
  <c r="AU20" i="36" s="1"/>
  <c r="AT16" i="36"/>
  <c r="AT20" i="36" s="1"/>
  <c r="BD16" i="36"/>
  <c r="BD20" i="36" s="1"/>
  <c r="BE10" i="36"/>
  <c r="BE69" i="36" s="1"/>
  <c r="X16" i="36"/>
  <c r="X20" i="36" s="1"/>
  <c r="Y10" i="36"/>
  <c r="Y16" i="36" s="1"/>
  <c r="Y20" i="36" s="1"/>
  <c r="AC10" i="36"/>
  <c r="AC132" i="36" s="1"/>
  <c r="AC133" i="36" s="1"/>
  <c r="AC142" i="36" s="1"/>
  <c r="AB16" i="36"/>
  <c r="AB20" i="36" s="1"/>
  <c r="AE10" i="36"/>
  <c r="AE132" i="36" s="1"/>
  <c r="AE133" i="36" s="1"/>
  <c r="AE142" i="36" s="1"/>
  <c r="AD16" i="36"/>
  <c r="AD20" i="36" s="1"/>
  <c r="CO10" i="36"/>
  <c r="CN16" i="36"/>
  <c r="CN20" i="36" s="1"/>
  <c r="AF16" i="36"/>
  <c r="AF20" i="36" s="1"/>
  <c r="AG10" i="36"/>
  <c r="AG16" i="36" s="1"/>
  <c r="AG20" i="36" s="1"/>
  <c r="CP16" i="36"/>
  <c r="CP20" i="36" s="1"/>
  <c r="CQ10" i="36"/>
  <c r="CQ16" i="36" s="1"/>
  <c r="CQ20" i="36" s="1"/>
  <c r="AJ16" i="36"/>
  <c r="AJ20" i="36" s="1"/>
  <c r="AK10" i="36"/>
  <c r="AK132" i="36" s="1"/>
  <c r="AK133" i="36" s="1"/>
  <c r="AK142" i="36" s="1"/>
  <c r="CT16" i="36"/>
  <c r="CT20" i="36" s="1"/>
  <c r="CT24" i="36" s="1"/>
  <c r="CT23" i="36" s="1"/>
  <c r="CU10" i="36"/>
  <c r="K25" i="36"/>
  <c r="K30" i="36"/>
  <c r="K29" i="36" s="1"/>
  <c r="AL16" i="36"/>
  <c r="AL20" i="36" s="1"/>
  <c r="AM10" i="36"/>
  <c r="AM16" i="36" s="1"/>
  <c r="AM20" i="36" s="1"/>
  <c r="AI129" i="36"/>
  <c r="AI130" i="36" s="1"/>
  <c r="AI126" i="36"/>
  <c r="AI127" i="36" s="1"/>
  <c r="AI77" i="36"/>
  <c r="AI75" i="36"/>
  <c r="AN16" i="36"/>
  <c r="AN20" i="36" s="1"/>
  <c r="AO10" i="36"/>
  <c r="AO81" i="36" s="1"/>
  <c r="CX16" i="36"/>
  <c r="CX20" i="36" s="1"/>
  <c r="CX24" i="36" s="1"/>
  <c r="CX23" i="36" s="1"/>
  <c r="CY10" i="36"/>
  <c r="AP16" i="36"/>
  <c r="AP20" i="36" s="1"/>
  <c r="AQ10" i="36"/>
  <c r="AQ69" i="36" s="1"/>
  <c r="P16" i="36"/>
  <c r="P20" i="36" s="1"/>
  <c r="P24" i="36" s="1"/>
  <c r="P23" i="36" s="1"/>
  <c r="Q10" i="36"/>
  <c r="Q16" i="36" s="1"/>
  <c r="Q20" i="36" s="1"/>
  <c r="Q24" i="36" s="1"/>
  <c r="Q23" i="36" s="1"/>
  <c r="F16" i="36"/>
  <c r="F20" i="36" s="1"/>
  <c r="F24" i="36" s="1"/>
  <c r="F23" i="36" s="1"/>
  <c r="G10" i="36"/>
  <c r="CV16" i="36"/>
  <c r="CV20" i="36" s="1"/>
  <c r="CW10" i="36"/>
  <c r="CW16" i="36" s="1"/>
  <c r="CW20" i="36" s="1"/>
  <c r="CW24" i="36" s="1"/>
  <c r="CW23" i="36" s="1"/>
  <c r="H16" i="36"/>
  <c r="H20" i="36" s="1"/>
  <c r="I10" i="36"/>
  <c r="I69" i="36" s="1"/>
  <c r="Q25" i="36"/>
  <c r="Q30" i="36"/>
  <c r="Q29" i="36" s="1"/>
  <c r="J16" i="36"/>
  <c r="J20" i="36" s="1"/>
  <c r="J24" i="36" s="1"/>
  <c r="J23" i="36" s="1"/>
  <c r="K10" i="36"/>
  <c r="M10" i="36"/>
  <c r="M77" i="36" s="1"/>
  <c r="L16" i="36"/>
  <c r="L20" i="36" s="1"/>
  <c r="L24" i="36" s="1"/>
  <c r="L23" i="36" s="1"/>
  <c r="AR16" i="36"/>
  <c r="AR20" i="36" s="1"/>
  <c r="AS10" i="36"/>
  <c r="AS69" i="36" s="1"/>
  <c r="W19" i="36"/>
  <c r="BC19" i="36"/>
  <c r="W59" i="36"/>
  <c r="AA60" i="36"/>
  <c r="AA80" i="36"/>
  <c r="Z72" i="36"/>
  <c r="BE19" i="36"/>
  <c r="BA60" i="36"/>
  <c r="AY10" i="36"/>
  <c r="AY69" i="36" s="1"/>
  <c r="AD31" i="36"/>
  <c r="AD42" i="36"/>
  <c r="CN31" i="36"/>
  <c r="CN42" i="36"/>
  <c r="AS63" i="36"/>
  <c r="AR61" i="36"/>
  <c r="S10" i="36"/>
  <c r="S69" i="36" s="1"/>
  <c r="H26" i="36"/>
  <c r="CY31" i="36"/>
  <c r="AU63" i="36"/>
  <c r="AT61" i="36"/>
  <c r="BC59" i="36"/>
  <c r="K109" i="36"/>
  <c r="AQ83" i="36"/>
  <c r="AQ82" i="36"/>
  <c r="CY30" i="36"/>
  <c r="CY29" i="36" s="1"/>
  <c r="G32" i="36"/>
  <c r="F31" i="36"/>
  <c r="CS10" i="36"/>
  <c r="AH16" i="36"/>
  <c r="AH20" i="36" s="1"/>
  <c r="P25" i="36"/>
  <c r="AY63" i="36"/>
  <c r="AX61" i="36"/>
  <c r="U59" i="36"/>
  <c r="U60" i="36"/>
  <c r="AI16" i="36"/>
  <c r="AI20" i="36" s="1"/>
  <c r="J42" i="36"/>
  <c r="AL31" i="36"/>
  <c r="CS57" i="36"/>
  <c r="AQ78" i="36"/>
  <c r="AQ149" i="36" s="1"/>
  <c r="AP72" i="36"/>
  <c r="AQ59" i="36"/>
  <c r="Y19" i="36"/>
  <c r="CT30" i="36"/>
  <c r="CT29" i="36" s="1"/>
  <c r="L36" i="36"/>
  <c r="L35" i="36" s="1"/>
  <c r="I80" i="36"/>
  <c r="AS78" i="36"/>
  <c r="AS149" i="36" s="1"/>
  <c r="AS152" i="36" s="1"/>
  <c r="AS80" i="36"/>
  <c r="AR72" i="36"/>
  <c r="N26" i="36"/>
  <c r="AP42" i="36"/>
  <c r="CX32" i="36"/>
  <c r="K68" i="36"/>
  <c r="K63" i="36" s="1"/>
  <c r="K50" i="36"/>
  <c r="K54" i="36" s="1"/>
  <c r="K41" i="36" s="1"/>
  <c r="K80" i="36"/>
  <c r="K62" i="36"/>
  <c r="K59" i="36" s="1"/>
  <c r="N31" i="36"/>
  <c r="N42" i="36"/>
  <c r="M50" i="36"/>
  <c r="M68" i="36"/>
  <c r="M63" i="36" s="1"/>
  <c r="M53" i="36"/>
  <c r="AA63" i="36"/>
  <c r="Z61" i="36"/>
  <c r="G62" i="36"/>
  <c r="G59" i="36" s="1"/>
  <c r="G80" i="36"/>
  <c r="G109" i="36"/>
  <c r="AT31" i="36"/>
  <c r="AT42" i="36"/>
  <c r="F42" i="36"/>
  <c r="F41" i="36" s="1"/>
  <c r="AC63" i="36"/>
  <c r="AB61" i="36"/>
  <c r="CM57" i="36"/>
  <c r="AO60" i="36"/>
  <c r="AO59" i="36"/>
  <c r="AY80" i="36"/>
  <c r="AY78" i="36"/>
  <c r="AY149" i="36" s="1"/>
  <c r="AY152" i="36" s="1"/>
  <c r="AX72" i="36"/>
  <c r="AR31" i="36"/>
  <c r="M80" i="36"/>
  <c r="M62" i="36"/>
  <c r="M59" i="36" s="1"/>
  <c r="M109" i="36"/>
  <c r="F25" i="36"/>
  <c r="J31" i="36"/>
  <c r="AM60" i="36"/>
  <c r="AU60" i="36"/>
  <c r="AU59" i="36"/>
  <c r="Y80" i="36"/>
  <c r="X72" i="36"/>
  <c r="AW60" i="36"/>
  <c r="W80" i="36"/>
  <c r="BB72" i="36"/>
  <c r="CO57" i="36"/>
  <c r="Q60" i="36"/>
  <c r="AL61" i="36"/>
  <c r="AI63" i="36"/>
  <c r="Y59" i="36"/>
  <c r="Y60" i="36"/>
  <c r="BE59" i="36"/>
  <c r="BE60" i="36"/>
  <c r="CO67" i="36"/>
  <c r="Z42" i="36"/>
  <c r="CJ42" i="36"/>
  <c r="S60" i="36"/>
  <c r="AN61" i="36"/>
  <c r="CS67" i="36"/>
  <c r="AL72" i="36"/>
  <c r="I109" i="36"/>
  <c r="I50" i="36"/>
  <c r="I54" i="36" s="1"/>
  <c r="CU67" i="36"/>
  <c r="CU60" i="36" s="1"/>
  <c r="I53" i="36"/>
  <c r="AI69" i="36"/>
  <c r="AI80" i="36"/>
  <c r="CQ67" i="36"/>
  <c r="CQ59" i="36" s="1"/>
  <c r="AV61" i="36"/>
  <c r="AK80" i="36"/>
  <c r="AK78" i="36"/>
  <c r="AK149" i="36" s="1"/>
  <c r="AJ72" i="36"/>
  <c r="AE80" i="36"/>
  <c r="R36" i="36"/>
  <c r="R35" i="36" s="1"/>
  <c r="AG83" i="36"/>
  <c r="CQ117" i="36"/>
  <c r="CQ116" i="36" s="1"/>
  <c r="CQ114" i="36" s="1"/>
  <c r="CQ115" i="36" s="1"/>
  <c r="AP61" i="36"/>
  <c r="AK60" i="36"/>
  <c r="AM80" i="36"/>
  <c r="AO82" i="36"/>
  <c r="G112" i="36"/>
  <c r="AK117" i="36"/>
  <c r="AK116" i="36" s="1"/>
  <c r="AK114" i="36" s="1"/>
  <c r="AK115" i="36" s="1"/>
  <c r="R37" i="36"/>
  <c r="AU78" i="36"/>
  <c r="AU149" i="36" s="1"/>
  <c r="AU80" i="36"/>
  <c r="BC80" i="36"/>
  <c r="AW78" i="36"/>
  <c r="AW149" i="36" s="1"/>
  <c r="AW152" i="36" s="1"/>
  <c r="AW80" i="36"/>
  <c r="AV72" i="36"/>
  <c r="G68" i="36"/>
  <c r="G63" i="36" s="1"/>
  <c r="AC59" i="36"/>
  <c r="T72" i="36"/>
  <c r="U80" i="36"/>
  <c r="AZ72" i="36"/>
  <c r="BA78" i="36"/>
  <c r="BA149" i="36" s="1"/>
  <c r="BA152" i="36" s="1"/>
  <c r="BA80" i="36"/>
  <c r="CM136" i="36"/>
  <c r="I112" i="36"/>
  <c r="K112" i="36"/>
  <c r="M112" i="36"/>
  <c r="AC117" i="36"/>
  <c r="AC116" i="36" s="1"/>
  <c r="AC114" i="36" s="1"/>
  <c r="AC115" i="36" s="1"/>
  <c r="Y117" i="36"/>
  <c r="Y116" i="36" s="1"/>
  <c r="Y114" i="36" s="1"/>
  <c r="Y115" i="36" s="1"/>
  <c r="BE117" i="36"/>
  <c r="BE116" i="36" s="1"/>
  <c r="BE114" i="36" s="1"/>
  <c r="BE115" i="36" s="1"/>
  <c r="CM67" i="36"/>
  <c r="AE117" i="36"/>
  <c r="AE116" i="36" s="1"/>
  <c r="AE114" i="36" s="1"/>
  <c r="AE115" i="36" s="1"/>
  <c r="AA117" i="36"/>
  <c r="AA116" i="36" s="1"/>
  <c r="AA114" i="36" s="1"/>
  <c r="AA115" i="36" s="1"/>
  <c r="AC80" i="36"/>
  <c r="CM92" i="36"/>
  <c r="K128" i="36"/>
  <c r="CM72" i="36"/>
  <c r="CM79" i="36"/>
  <c r="CM123" i="36" s="1"/>
  <c r="CM117" i="36" s="1"/>
  <c r="CM116" i="36" s="1"/>
  <c r="CM114" i="36" s="1"/>
  <c r="CM115" i="36" s="1"/>
  <c r="CW72" i="36"/>
  <c r="CK92" i="36"/>
  <c r="CS135" i="36"/>
  <c r="AI132" i="36"/>
  <c r="AI133" i="36" s="1"/>
  <c r="AI142" i="36" s="1"/>
  <c r="CK131" i="36"/>
  <c r="CK136" i="36"/>
  <c r="CS131" i="36"/>
  <c r="CS136" i="36"/>
  <c r="AS56" i="34"/>
  <c r="AS111" i="34"/>
  <c r="AS112" i="34" s="1"/>
  <c r="AS108" i="34"/>
  <c r="AS109" i="34" s="1"/>
  <c r="AR8" i="34"/>
  <c r="AS86" i="34"/>
  <c r="AS84" i="34"/>
  <c r="AR42" i="34"/>
  <c r="AR30" i="34"/>
  <c r="AR29" i="34" s="1"/>
  <c r="AR31" i="34"/>
  <c r="AS26" i="34"/>
  <c r="AS82" i="34"/>
  <c r="AS59" i="34"/>
  <c r="AS117" i="35"/>
  <c r="AS116" i="35" s="1"/>
  <c r="AS114" i="35" s="1"/>
  <c r="AS115" i="35" s="1"/>
  <c r="AO117" i="35"/>
  <c r="AO116" i="35" s="1"/>
  <c r="AO114" i="35" s="1"/>
  <c r="AO115" i="35" s="1"/>
  <c r="AR8" i="35"/>
  <c r="AS111" i="35"/>
  <c r="AS112" i="35" s="1"/>
  <c r="AS56" i="35"/>
  <c r="AS53" i="35" s="1"/>
  <c r="AS108" i="35"/>
  <c r="AS109" i="35" s="1"/>
  <c r="AS86" i="35"/>
  <c r="AS84" i="35"/>
  <c r="AS10" i="35"/>
  <c r="AS16" i="35" s="1"/>
  <c r="AS20" i="35" s="1"/>
  <c r="AS24" i="35" s="1"/>
  <c r="AS23" i="35" s="1"/>
  <c r="AS30" i="35"/>
  <c r="AS29" i="35" s="1"/>
  <c r="AS31" i="35"/>
  <c r="AS42" i="35"/>
  <c r="AQ89" i="35"/>
  <c r="AQ87" i="35"/>
  <c r="AQ117" i="35"/>
  <c r="AQ116" i="35" s="1"/>
  <c r="AQ114" i="35" s="1"/>
  <c r="AQ115" i="35" s="1"/>
  <c r="AP16" i="35"/>
  <c r="AP20" i="35" s="1"/>
  <c r="AP24" i="35" s="1"/>
  <c r="AP23" i="35" s="1"/>
  <c r="AQ10" i="35"/>
  <c r="AQ30" i="35"/>
  <c r="AQ29" i="35" s="1"/>
  <c r="AQ108" i="35"/>
  <c r="AQ109" i="35" s="1"/>
  <c r="AQ42" i="35"/>
  <c r="AQ84" i="35"/>
  <c r="AO86" i="35"/>
  <c r="AO84" i="35"/>
  <c r="AO19" i="35"/>
  <c r="AO82" i="35"/>
  <c r="AO30" i="35"/>
  <c r="AO29" i="35" s="1"/>
  <c r="AO42" i="35"/>
  <c r="AO10" i="35"/>
  <c r="AL8" i="35"/>
  <c r="AM108" i="35"/>
  <c r="AM109" i="35" s="1"/>
  <c r="AM111" i="35"/>
  <c r="AM112" i="35" s="1"/>
  <c r="AM56" i="35"/>
  <c r="AM53" i="35" s="1"/>
  <c r="AM10" i="35"/>
  <c r="AM30" i="35"/>
  <c r="AM29" i="35" s="1"/>
  <c r="AM83" i="35"/>
  <c r="AM42" i="35"/>
  <c r="AJ8" i="35"/>
  <c r="AK111" i="35"/>
  <c r="AK112" i="35" s="1"/>
  <c r="AK56" i="35"/>
  <c r="AK53" i="35" s="1"/>
  <c r="AK108" i="35"/>
  <c r="AK109" i="35" s="1"/>
  <c r="AK10" i="35"/>
  <c r="AK19" i="35"/>
  <c r="AK82" i="35"/>
  <c r="AK83" i="35"/>
  <c r="AK42" i="35"/>
  <c r="AK30" i="35"/>
  <c r="AK29" i="35" s="1"/>
  <c r="AS81" i="35" l="1"/>
  <c r="O108" i="36"/>
  <c r="O109" i="36" s="1"/>
  <c r="O111" i="36"/>
  <c r="O112" i="36" s="1"/>
  <c r="AY68" i="36"/>
  <c r="AO84" i="36"/>
  <c r="BG50" i="13"/>
  <c r="BG54" i="13" s="1"/>
  <c r="R31" i="36"/>
  <c r="M69" i="36"/>
  <c r="BI68" i="13"/>
  <c r="BI50" i="13"/>
  <c r="BI54" i="13" s="1"/>
  <c r="BI41" i="13" s="1"/>
  <c r="AC108" i="36"/>
  <c r="AC109" i="36" s="1"/>
  <c r="O86" i="36"/>
  <c r="O89" i="36" s="1"/>
  <c r="BG68" i="13"/>
  <c r="CK63" i="36"/>
  <c r="CV30" i="36"/>
  <c r="CV29" i="36" s="1"/>
  <c r="AS56" i="36"/>
  <c r="AS53" i="36" s="1"/>
  <c r="AS108" i="36"/>
  <c r="AS109" i="36" s="1"/>
  <c r="AW16" i="36"/>
  <c r="AW20" i="36" s="1"/>
  <c r="AS111" i="36"/>
  <c r="AS112" i="36" s="1"/>
  <c r="AX8" i="36"/>
  <c r="AC56" i="36"/>
  <c r="AC53" i="36" s="1"/>
  <c r="W111" i="36"/>
  <c r="W112" i="36" s="1"/>
  <c r="W108" i="36"/>
  <c r="W109" i="36" s="1"/>
  <c r="CV42" i="36"/>
  <c r="AY108" i="36"/>
  <c r="AY109" i="36" s="1"/>
  <c r="BC111" i="36"/>
  <c r="BC112" i="36" s="1"/>
  <c r="BC108" i="36"/>
  <c r="BC109" i="36" s="1"/>
  <c r="AC111" i="36"/>
  <c r="AC112" i="36" s="1"/>
  <c r="CW56" i="36"/>
  <c r="CW53" i="36" s="1"/>
  <c r="AY111" i="36"/>
  <c r="AY112" i="36" s="1"/>
  <c r="W56" i="36"/>
  <c r="W68" i="36" s="1"/>
  <c r="Y132" i="36"/>
  <c r="Y133" i="36" s="1"/>
  <c r="Y142" i="36" s="1"/>
  <c r="AY53" i="36"/>
  <c r="CK65" i="36"/>
  <c r="CK59" i="36" s="1"/>
  <c r="CV24" i="36"/>
  <c r="CV23" i="36" s="1"/>
  <c r="BO89" i="13"/>
  <c r="BO87" i="13"/>
  <c r="BP72" i="13"/>
  <c r="BQ71" i="13"/>
  <c r="BQ86" i="13"/>
  <c r="BM90" i="13"/>
  <c r="BM93" i="13"/>
  <c r="G45" i="36"/>
  <c r="F49" i="36"/>
  <c r="F48" i="36" s="1"/>
  <c r="CX62" i="36"/>
  <c r="AE56" i="36"/>
  <c r="AE68" i="36" s="1"/>
  <c r="AQ111" i="36"/>
  <c r="AQ112" i="36" s="1"/>
  <c r="CY53" i="36"/>
  <c r="AE111" i="36"/>
  <c r="AE112" i="36" s="1"/>
  <c r="AQ108" i="36"/>
  <c r="AQ109" i="36" s="1"/>
  <c r="G48" i="36"/>
  <c r="CY50" i="36"/>
  <c r="CY54" i="36" s="1"/>
  <c r="CY41" i="36" s="1"/>
  <c r="O132" i="36"/>
  <c r="O133" i="36" s="1"/>
  <c r="O142" i="36" s="1"/>
  <c r="AM69" i="36"/>
  <c r="I129" i="36"/>
  <c r="I130" i="36" s="1"/>
  <c r="I142" i="36" s="1"/>
  <c r="M36" i="36"/>
  <c r="M35" i="36" s="1"/>
  <c r="M31" i="36"/>
  <c r="AM132" i="36"/>
  <c r="AM133" i="36" s="1"/>
  <c r="AM142" i="36" s="1"/>
  <c r="AQ56" i="36"/>
  <c r="AQ68" i="36" s="1"/>
  <c r="I77" i="36"/>
  <c r="AG132" i="36"/>
  <c r="AG133" i="36" s="1"/>
  <c r="AG142" i="36" s="1"/>
  <c r="W132" i="36"/>
  <c r="W133" i="36" s="1"/>
  <c r="W142" i="36" s="1"/>
  <c r="AI108" i="36"/>
  <c r="AI109" i="36" s="1"/>
  <c r="CV62" i="36"/>
  <c r="AS132" i="36"/>
  <c r="AS133" i="36" s="1"/>
  <c r="AS142" i="36" s="1"/>
  <c r="W69" i="36"/>
  <c r="AD8" i="36"/>
  <c r="G69" i="36"/>
  <c r="CV25" i="36"/>
  <c r="G16" i="36"/>
  <c r="G20" i="36" s="1"/>
  <c r="G24" i="36" s="1"/>
  <c r="G23" i="36" s="1"/>
  <c r="BC56" i="36"/>
  <c r="CX8" i="36"/>
  <c r="F44" i="36"/>
  <c r="F43" i="36" s="1"/>
  <c r="CO132" i="36"/>
  <c r="CO133" i="36" s="1"/>
  <c r="AF8" i="36"/>
  <c r="AG56" i="36"/>
  <c r="CM132" i="36"/>
  <c r="CM133" i="36" s="1"/>
  <c r="Q69" i="36"/>
  <c r="H24" i="36"/>
  <c r="H23" i="36" s="1"/>
  <c r="AI56" i="36"/>
  <c r="AH8" i="36"/>
  <c r="CK132" i="36"/>
  <c r="CK133" i="36" s="1"/>
  <c r="AG108" i="36"/>
  <c r="AG109" i="36" s="1"/>
  <c r="AG111" i="36"/>
  <c r="AG112" i="36" s="1"/>
  <c r="CJ72" i="36"/>
  <c r="O56" i="36"/>
  <c r="O53" i="36" s="1"/>
  <c r="BK90" i="13"/>
  <c r="BK93" i="13"/>
  <c r="AQ68" i="35"/>
  <c r="AQ50" i="35"/>
  <c r="AQ54" i="35" s="1"/>
  <c r="AO50" i="35"/>
  <c r="AO54" i="35" s="1"/>
  <c r="AO68" i="35"/>
  <c r="CK135" i="36"/>
  <c r="CK141" i="36" s="1"/>
  <c r="CK138" i="36"/>
  <c r="CM100" i="36"/>
  <c r="CM104" i="36" s="1"/>
  <c r="CM105" i="36" s="1"/>
  <c r="CM65" i="36"/>
  <c r="CM60" i="36" s="1"/>
  <c r="CM138" i="36"/>
  <c r="CS138" i="36"/>
  <c r="CJ61" i="36"/>
  <c r="CS100" i="36"/>
  <c r="CS104" i="36" s="1"/>
  <c r="CS105" i="36" s="1"/>
  <c r="CO138" i="36"/>
  <c r="CO65" i="36"/>
  <c r="CO60" i="36" s="1"/>
  <c r="CO135" i="36"/>
  <c r="CO96" i="36" s="1"/>
  <c r="BG76" i="13"/>
  <c r="BG86" i="13"/>
  <c r="BG84" i="13"/>
  <c r="BH77" i="13"/>
  <c r="BI89" i="13"/>
  <c r="BI87" i="13"/>
  <c r="K141" i="36"/>
  <c r="K96" i="36"/>
  <c r="BE16" i="36"/>
  <c r="BE20" i="36" s="1"/>
  <c r="BE132" i="36"/>
  <c r="BE133" i="36" s="1"/>
  <c r="BE142" i="36" s="1"/>
  <c r="AY41" i="36"/>
  <c r="AX41" i="36"/>
  <c r="I41" i="36"/>
  <c r="H41" i="36"/>
  <c r="BC81" i="36"/>
  <c r="BC82" i="36"/>
  <c r="BC83" i="36"/>
  <c r="CM69" i="36"/>
  <c r="AU81" i="36"/>
  <c r="AU82" i="36"/>
  <c r="AU83" i="36"/>
  <c r="AI83" i="36"/>
  <c r="AI82" i="36"/>
  <c r="AI81" i="36"/>
  <c r="CS69" i="36"/>
  <c r="CR72" i="36"/>
  <c r="Y108" i="36"/>
  <c r="Y109" i="36" s="1"/>
  <c r="Y111" i="36"/>
  <c r="Y112" i="36" s="1"/>
  <c r="Y56" i="36"/>
  <c r="X8" i="36"/>
  <c r="CX31" i="36"/>
  <c r="CX42" i="36"/>
  <c r="CX30" i="36"/>
  <c r="CX29" i="36" s="1"/>
  <c r="BA108" i="36"/>
  <c r="BA109" i="36" s="1"/>
  <c r="BA56" i="36"/>
  <c r="BA111" i="36"/>
  <c r="BA112" i="36" s="1"/>
  <c r="AZ8" i="36"/>
  <c r="CW132" i="36"/>
  <c r="CW133" i="36" s="1"/>
  <c r="CW142" i="36" s="1"/>
  <c r="CW76" i="36"/>
  <c r="CW74" i="36" s="1"/>
  <c r="CW129" i="36"/>
  <c r="CW130" i="36" s="1"/>
  <c r="CW126" i="36"/>
  <c r="CW127" i="36" s="1"/>
  <c r="CW69" i="36"/>
  <c r="AI76" i="36"/>
  <c r="BE126" i="36"/>
  <c r="BE127" i="36" s="1"/>
  <c r="BE129" i="36"/>
  <c r="BE130" i="36" s="1"/>
  <c r="AG129" i="36"/>
  <c r="AG130" i="36" s="1"/>
  <c r="AG126" i="36"/>
  <c r="AG127" i="36" s="1"/>
  <c r="AG75" i="36"/>
  <c r="AG69" i="36"/>
  <c r="AG77" i="36"/>
  <c r="AH77" i="36" s="1"/>
  <c r="BA81" i="36"/>
  <c r="BA82" i="36"/>
  <c r="BA83" i="36"/>
  <c r="CS129" i="36"/>
  <c r="CS130" i="36" s="1"/>
  <c r="CS126" i="36"/>
  <c r="CS127" i="36" s="1"/>
  <c r="AQ84" i="36"/>
  <c r="AQ86" i="36"/>
  <c r="G129" i="36"/>
  <c r="G130" i="36" s="1"/>
  <c r="G142" i="36" s="1"/>
  <c r="G77" i="36"/>
  <c r="G75" i="36"/>
  <c r="BC126" i="36"/>
  <c r="BC127" i="36" s="1"/>
  <c r="BC132" i="36"/>
  <c r="BC133" i="36" s="1"/>
  <c r="BC142" i="36" s="1"/>
  <c r="BC129" i="36"/>
  <c r="BC130" i="36" s="1"/>
  <c r="BC75" i="36"/>
  <c r="BC77" i="36"/>
  <c r="K129" i="36"/>
  <c r="K130" i="36" s="1"/>
  <c r="M128" i="36"/>
  <c r="M129" i="36" s="1"/>
  <c r="M130" i="36" s="1"/>
  <c r="AG81" i="36"/>
  <c r="M81" i="36"/>
  <c r="M82" i="36"/>
  <c r="M83" i="36"/>
  <c r="AY82" i="36"/>
  <c r="AY81" i="36"/>
  <c r="AY83" i="36"/>
  <c r="O26" i="36"/>
  <c r="O24" i="36" s="1"/>
  <c r="O23" i="36" s="1"/>
  <c r="T26" i="36"/>
  <c r="T24" i="36" s="1"/>
  <c r="T23" i="36" s="1"/>
  <c r="N30" i="36"/>
  <c r="N29" i="36" s="1"/>
  <c r="N25" i="36"/>
  <c r="J41" i="36"/>
  <c r="AQ81" i="36"/>
  <c r="AM129" i="36"/>
  <c r="AM130" i="36" s="1"/>
  <c r="AM126" i="36"/>
  <c r="AM127" i="36" s="1"/>
  <c r="AM75" i="36"/>
  <c r="AM77" i="36"/>
  <c r="CQ132" i="36"/>
  <c r="CQ133" i="36" s="1"/>
  <c r="CQ142" i="36" s="1"/>
  <c r="CQ76" i="36"/>
  <c r="CQ74" i="36" s="1"/>
  <c r="CQ80" i="36" s="1"/>
  <c r="CQ126" i="36"/>
  <c r="CQ127" i="36" s="1"/>
  <c r="CQ129" i="36"/>
  <c r="CQ130" i="36" s="1"/>
  <c r="CY72" i="36"/>
  <c r="CX72" i="36" s="1"/>
  <c r="CV72" i="36"/>
  <c r="AG86" i="36"/>
  <c r="AG84" i="36"/>
  <c r="Q56" i="36"/>
  <c r="P8" i="36"/>
  <c r="Y82" i="36"/>
  <c r="Y83" i="36"/>
  <c r="Y81" i="36"/>
  <c r="G82" i="36"/>
  <c r="G81" i="36"/>
  <c r="G83" i="36"/>
  <c r="AO89" i="36"/>
  <c r="AO87" i="36"/>
  <c r="S126" i="36"/>
  <c r="S127" i="36" s="1"/>
  <c r="S132" i="36"/>
  <c r="S133" i="36" s="1"/>
  <c r="S142" i="36" s="1"/>
  <c r="S76" i="36"/>
  <c r="S74" i="36" s="1"/>
  <c r="S108" i="36" s="1"/>
  <c r="S109" i="36" s="1"/>
  <c r="S129" i="36"/>
  <c r="S130" i="36" s="1"/>
  <c r="S16" i="36"/>
  <c r="S20" i="36" s="1"/>
  <c r="S24" i="36" s="1"/>
  <c r="S23" i="36" s="1"/>
  <c r="AS129" i="36"/>
  <c r="AS130" i="36" s="1"/>
  <c r="AS126" i="36"/>
  <c r="AS127" i="36" s="1"/>
  <c r="AS75" i="36"/>
  <c r="AS77" i="36"/>
  <c r="AS16" i="36"/>
  <c r="AS20" i="36" s="1"/>
  <c r="Q126" i="36"/>
  <c r="Q127" i="36" s="1"/>
  <c r="Q132" i="36"/>
  <c r="Q133" i="36" s="1"/>
  <c r="Q142" i="36" s="1"/>
  <c r="Q129" i="36"/>
  <c r="Q130" i="36" s="1"/>
  <c r="Q76" i="36"/>
  <c r="Q74" i="36" s="1"/>
  <c r="Q111" i="36" s="1"/>
  <c r="Q112" i="36" s="1"/>
  <c r="AU132" i="36"/>
  <c r="AU133" i="36" s="1"/>
  <c r="AU142" i="36" s="1"/>
  <c r="AU129" i="36"/>
  <c r="AU130" i="36" s="1"/>
  <c r="AU126" i="36"/>
  <c r="AU127" i="36" s="1"/>
  <c r="AU75" i="36"/>
  <c r="AU77" i="36"/>
  <c r="AU69" i="36"/>
  <c r="CP72" i="36"/>
  <c r="CQ69" i="36"/>
  <c r="CQ60" i="36"/>
  <c r="CP61" i="36"/>
  <c r="CT61" i="36"/>
  <c r="CU69" i="36"/>
  <c r="S56" i="36"/>
  <c r="R8" i="36"/>
  <c r="CN61" i="36"/>
  <c r="CN9" i="36"/>
  <c r="CO63" i="36"/>
  <c r="CS16" i="36"/>
  <c r="CS20" i="36" s="1"/>
  <c r="BA126" i="36"/>
  <c r="BA127" i="36" s="1"/>
  <c r="BA129" i="36"/>
  <c r="BA130" i="36" s="1"/>
  <c r="BA75" i="36"/>
  <c r="BA69" i="36"/>
  <c r="BA77" i="36"/>
  <c r="BA16" i="36"/>
  <c r="BA20" i="36" s="1"/>
  <c r="AE83" i="36"/>
  <c r="AE81" i="36"/>
  <c r="AE82" i="36"/>
  <c r="AU111" i="36"/>
  <c r="AU112" i="36" s="1"/>
  <c r="AU108" i="36"/>
  <c r="AU109" i="36" s="1"/>
  <c r="AU56" i="36"/>
  <c r="AT8" i="36"/>
  <c r="AY126" i="36"/>
  <c r="AY127" i="36" s="1"/>
  <c r="AY132" i="36"/>
  <c r="AY133" i="36" s="1"/>
  <c r="AY142" i="36" s="1"/>
  <c r="AY129" i="36"/>
  <c r="AY130" i="36" s="1"/>
  <c r="AY77" i="36"/>
  <c r="AY75" i="36"/>
  <c r="AY16" i="36"/>
  <c r="AY20" i="36" s="1"/>
  <c r="CO126" i="36"/>
  <c r="CO127" i="36" s="1"/>
  <c r="CO129" i="36"/>
  <c r="CO130" i="36" s="1"/>
  <c r="CO16" i="36"/>
  <c r="CO20" i="36" s="1"/>
  <c r="CM126" i="36"/>
  <c r="CM127" i="36" s="1"/>
  <c r="CM129" i="36"/>
  <c r="CM130" i="36" s="1"/>
  <c r="CM16" i="36"/>
  <c r="CM20" i="36" s="1"/>
  <c r="BE56" i="36"/>
  <c r="BD8" i="36"/>
  <c r="AY49" i="36"/>
  <c r="M141" i="36"/>
  <c r="M96" i="36"/>
  <c r="AC83" i="36"/>
  <c r="AC81" i="36"/>
  <c r="AC82" i="36"/>
  <c r="U83" i="36"/>
  <c r="U81" i="36"/>
  <c r="U82" i="36"/>
  <c r="CU59" i="36"/>
  <c r="AM56" i="36"/>
  <c r="AM108" i="36"/>
  <c r="AM109" i="36" s="1"/>
  <c r="AM111" i="36"/>
  <c r="AM112" i="36" s="1"/>
  <c r="AL8" i="36"/>
  <c r="AO108" i="36"/>
  <c r="AO109" i="36" s="1"/>
  <c r="AO111" i="36"/>
  <c r="AO112" i="36" s="1"/>
  <c r="AN8" i="36"/>
  <c r="AO56" i="36"/>
  <c r="AS81" i="36"/>
  <c r="AS83" i="36"/>
  <c r="AS82" i="36"/>
  <c r="U108" i="36"/>
  <c r="U109" i="36" s="1"/>
  <c r="U56" i="36"/>
  <c r="U111" i="36"/>
  <c r="U112" i="36" s="1"/>
  <c r="T8" i="36"/>
  <c r="M75" i="36"/>
  <c r="M16" i="36"/>
  <c r="M20" i="36" s="1"/>
  <c r="M24" i="36" s="1"/>
  <c r="M23" i="36" s="1"/>
  <c r="U126" i="36"/>
  <c r="U127" i="36" s="1"/>
  <c r="U75" i="36"/>
  <c r="U129" i="36"/>
  <c r="U130" i="36" s="1"/>
  <c r="U77" i="36"/>
  <c r="U16" i="36"/>
  <c r="U20" i="36" s="1"/>
  <c r="CL72" i="36"/>
  <c r="CU72" i="36"/>
  <c r="CT72" i="36" s="1"/>
  <c r="CM63" i="36"/>
  <c r="CL61" i="36"/>
  <c r="CL9" i="36"/>
  <c r="K75" i="36"/>
  <c r="K77" i="36"/>
  <c r="AQ132" i="36"/>
  <c r="AQ133" i="36" s="1"/>
  <c r="AQ142" i="36" s="1"/>
  <c r="AQ75" i="36"/>
  <c r="AQ129" i="36"/>
  <c r="AQ130" i="36" s="1"/>
  <c r="AQ77" i="36"/>
  <c r="AQ126" i="36"/>
  <c r="AQ127" i="36" s="1"/>
  <c r="AE77" i="36"/>
  <c r="AE129" i="36"/>
  <c r="AE130" i="36" s="1"/>
  <c r="AE126" i="36"/>
  <c r="AE127" i="36" s="1"/>
  <c r="AE75" i="36"/>
  <c r="AE16" i="36"/>
  <c r="AE20" i="36" s="1"/>
  <c r="CK126" i="36"/>
  <c r="CK127" i="36" s="1"/>
  <c r="CK129" i="36"/>
  <c r="CK130" i="36" s="1"/>
  <c r="AK82" i="36"/>
  <c r="AK83" i="36"/>
  <c r="AK81" i="36"/>
  <c r="K69" i="36"/>
  <c r="CR61" i="36"/>
  <c r="CS63" i="36"/>
  <c r="CR9" i="36"/>
  <c r="CK69" i="36"/>
  <c r="AQ16" i="36"/>
  <c r="AQ20" i="36" s="1"/>
  <c r="CU132" i="36"/>
  <c r="CU133" i="36" s="1"/>
  <c r="CU142" i="36" s="1"/>
  <c r="CU76" i="36"/>
  <c r="CU74" i="36" s="1"/>
  <c r="CU129" i="36"/>
  <c r="CU130" i="36" s="1"/>
  <c r="CU126" i="36"/>
  <c r="CU127" i="36" s="1"/>
  <c r="CU16" i="36"/>
  <c r="CU20" i="36" s="1"/>
  <c r="CU24" i="36" s="1"/>
  <c r="CU23" i="36" s="1"/>
  <c r="BC16" i="36"/>
  <c r="BC20" i="36" s="1"/>
  <c r="CS141" i="36"/>
  <c r="CS96" i="36"/>
  <c r="AW81" i="36"/>
  <c r="AW82" i="36"/>
  <c r="AW83" i="36"/>
  <c r="CS60" i="36"/>
  <c r="CS59" i="36"/>
  <c r="BA132" i="36"/>
  <c r="BA133" i="36" s="1"/>
  <c r="BA142" i="36" s="1"/>
  <c r="K49" i="36"/>
  <c r="H25" i="36"/>
  <c r="H30" i="36"/>
  <c r="H29" i="36" s="1"/>
  <c r="I26" i="36"/>
  <c r="AA108" i="36"/>
  <c r="AA109" i="36" s="1"/>
  <c r="AA111" i="36"/>
  <c r="AA112" i="36" s="1"/>
  <c r="AA56" i="36"/>
  <c r="Z8" i="36"/>
  <c r="AO75" i="36"/>
  <c r="AO129" i="36"/>
  <c r="AO130" i="36" s="1"/>
  <c r="AO77" i="36"/>
  <c r="AO126" i="36"/>
  <c r="AO127" i="36" s="1"/>
  <c r="AO132" i="36"/>
  <c r="AO133" i="36" s="1"/>
  <c r="AO142" i="36" s="1"/>
  <c r="AO69" i="36"/>
  <c r="AO16" i="36"/>
  <c r="AO20" i="36" s="1"/>
  <c r="Y77" i="36"/>
  <c r="Y126" i="36"/>
  <c r="Y127" i="36" s="1"/>
  <c r="Y129" i="36"/>
  <c r="Y130" i="36" s="1"/>
  <c r="Y75" i="36"/>
  <c r="Y69" i="36"/>
  <c r="N24" i="36"/>
  <c r="N23" i="36" s="1"/>
  <c r="CM141" i="36"/>
  <c r="CM96" i="36"/>
  <c r="AM82" i="36"/>
  <c r="AM81" i="36"/>
  <c r="AM83" i="36"/>
  <c r="CU56" i="36"/>
  <c r="CT8" i="36"/>
  <c r="K81" i="36"/>
  <c r="K82" i="36"/>
  <c r="K83" i="36"/>
  <c r="I82" i="36"/>
  <c r="I81" i="36"/>
  <c r="I83" i="36"/>
  <c r="CY129" i="36"/>
  <c r="CY130" i="36" s="1"/>
  <c r="CY150" i="36"/>
  <c r="CY132" i="36"/>
  <c r="CY126" i="36"/>
  <c r="CY127" i="36" s="1"/>
  <c r="CY69" i="36"/>
  <c r="CY76" i="36"/>
  <c r="CY74" i="36" s="1"/>
  <c r="CY16" i="36"/>
  <c r="CY20" i="36" s="1"/>
  <c r="CY24" i="36" s="1"/>
  <c r="CY23" i="36" s="1"/>
  <c r="AA77" i="36"/>
  <c r="AA75" i="36"/>
  <c r="AA129" i="36"/>
  <c r="AA130" i="36" s="1"/>
  <c r="AA126" i="36"/>
  <c r="AA127" i="36" s="1"/>
  <c r="AW126" i="36"/>
  <c r="AW127" i="36" s="1"/>
  <c r="AW132" i="36"/>
  <c r="AW133" i="36" s="1"/>
  <c r="AW142" i="36" s="1"/>
  <c r="AW129" i="36"/>
  <c r="AW130" i="36" s="1"/>
  <c r="AW77" i="36"/>
  <c r="AW75" i="36"/>
  <c r="AA132" i="36"/>
  <c r="AA133" i="36" s="1"/>
  <c r="AA142" i="36" s="1"/>
  <c r="AK108" i="36"/>
  <c r="AK109" i="36" s="1"/>
  <c r="AK56" i="36"/>
  <c r="AK111" i="36"/>
  <c r="AK112" i="36" s="1"/>
  <c r="AJ8" i="36"/>
  <c r="I49" i="36"/>
  <c r="W83" i="36"/>
  <c r="W81" i="36"/>
  <c r="W82" i="36"/>
  <c r="AA82" i="36"/>
  <c r="AA81" i="36"/>
  <c r="AA83" i="36"/>
  <c r="K16" i="36"/>
  <c r="K20" i="36" s="1"/>
  <c r="K24" i="36" s="1"/>
  <c r="K23" i="36" s="1"/>
  <c r="AK75" i="36"/>
  <c r="AK77" i="36"/>
  <c r="AK129" i="36"/>
  <c r="AK130" i="36" s="1"/>
  <c r="AK126" i="36"/>
  <c r="AK127" i="36" s="1"/>
  <c r="AK69" i="36"/>
  <c r="AK16" i="36"/>
  <c r="AK20" i="36" s="1"/>
  <c r="AC75" i="36"/>
  <c r="AC129" i="36"/>
  <c r="AC130" i="36" s="1"/>
  <c r="AC126" i="36"/>
  <c r="AC127" i="36" s="1"/>
  <c r="AC16" i="36"/>
  <c r="AC20" i="36" s="1"/>
  <c r="AC69" i="36"/>
  <c r="AC77" i="36"/>
  <c r="CS132" i="36"/>
  <c r="CS133" i="36" s="1"/>
  <c r="U132" i="36"/>
  <c r="U133" i="36" s="1"/>
  <c r="U142" i="36" s="1"/>
  <c r="CO69" i="36"/>
  <c r="CN72" i="36"/>
  <c r="AW111" i="36"/>
  <c r="AW112" i="36" s="1"/>
  <c r="AW56" i="36"/>
  <c r="AW108" i="36"/>
  <c r="AW109" i="36" s="1"/>
  <c r="AV8" i="36"/>
  <c r="M54" i="36"/>
  <c r="M49" i="36" s="1"/>
  <c r="G31" i="36"/>
  <c r="G42" i="36"/>
  <c r="G41" i="36" s="1"/>
  <c r="G30" i="36"/>
  <c r="G29" i="36" s="1"/>
  <c r="AE69" i="36"/>
  <c r="AA69" i="36"/>
  <c r="I75" i="36"/>
  <c r="I16" i="36"/>
  <c r="I20" i="36" s="1"/>
  <c r="W126" i="36"/>
  <c r="W127" i="36" s="1"/>
  <c r="W129" i="36"/>
  <c r="W130" i="36" s="1"/>
  <c r="W75" i="36"/>
  <c r="W77" i="36"/>
  <c r="O129" i="36"/>
  <c r="O130" i="36" s="1"/>
  <c r="O81" i="36"/>
  <c r="O126" i="36"/>
  <c r="O127" i="36" s="1"/>
  <c r="O75" i="36"/>
  <c r="O77" i="36"/>
  <c r="O69" i="36"/>
  <c r="AS89" i="34"/>
  <c r="AS87" i="34"/>
  <c r="AS50" i="34"/>
  <c r="AS68" i="34"/>
  <c r="AS30" i="34"/>
  <c r="AS29" i="34" s="1"/>
  <c r="AS25" i="34"/>
  <c r="AS53" i="34"/>
  <c r="AS132" i="35"/>
  <c r="AS133" i="35" s="1"/>
  <c r="AS142" i="35" s="1"/>
  <c r="AS129" i="35"/>
  <c r="AS130" i="35" s="1"/>
  <c r="AS126" i="35"/>
  <c r="AS127" i="35" s="1"/>
  <c r="AS77" i="35"/>
  <c r="AS76" i="35" s="1"/>
  <c r="AS69" i="35"/>
  <c r="AS75" i="35"/>
  <c r="AS50" i="35"/>
  <c r="AS54" i="35" s="1"/>
  <c r="AS68" i="35"/>
  <c r="AS89" i="35"/>
  <c r="AS87" i="35"/>
  <c r="AQ77" i="35"/>
  <c r="AQ76" i="35" s="1"/>
  <c r="AQ132" i="35"/>
  <c r="AQ133" i="35" s="1"/>
  <c r="AQ142" i="35" s="1"/>
  <c r="AQ126" i="35"/>
  <c r="AQ127" i="35" s="1"/>
  <c r="AQ129" i="35"/>
  <c r="AQ130" i="35" s="1"/>
  <c r="AQ16" i="35"/>
  <c r="AQ20" i="35" s="1"/>
  <c r="AQ24" i="35" s="1"/>
  <c r="AQ23" i="35" s="1"/>
  <c r="AQ75" i="35"/>
  <c r="AQ69" i="35"/>
  <c r="AQ81" i="35"/>
  <c r="AQ90" i="35"/>
  <c r="AQ93" i="35"/>
  <c r="AO75" i="35"/>
  <c r="AO69" i="35"/>
  <c r="AO126" i="35"/>
  <c r="AO127" i="35" s="1"/>
  <c r="AO132" i="35"/>
  <c r="AO133" i="35" s="1"/>
  <c r="AO142" i="35" s="1"/>
  <c r="AO129" i="35"/>
  <c r="AO130" i="35" s="1"/>
  <c r="AO81" i="35"/>
  <c r="AO16" i="35"/>
  <c r="AO20" i="35" s="1"/>
  <c r="AO24" i="35" s="1"/>
  <c r="AO23" i="35" s="1"/>
  <c r="AO89" i="35"/>
  <c r="AO87" i="35"/>
  <c r="AO77" i="35"/>
  <c r="AO76" i="35" s="1"/>
  <c r="AM132" i="35"/>
  <c r="AM133" i="35" s="1"/>
  <c r="AM142" i="35" s="1"/>
  <c r="AM129" i="35"/>
  <c r="AM130" i="35" s="1"/>
  <c r="AM126" i="35"/>
  <c r="AM127" i="35" s="1"/>
  <c r="AM75" i="35"/>
  <c r="AM69" i="35"/>
  <c r="AM16" i="35"/>
  <c r="AM20" i="35" s="1"/>
  <c r="AM24" i="35" s="1"/>
  <c r="AM23" i="35" s="1"/>
  <c r="AM77" i="35"/>
  <c r="AM76" i="35" s="1"/>
  <c r="AM86" i="35"/>
  <c r="AM84" i="35"/>
  <c r="AM81" i="35"/>
  <c r="AM50" i="35"/>
  <c r="AM68" i="35"/>
  <c r="AK86" i="35"/>
  <c r="AK84" i="35"/>
  <c r="AK77" i="35"/>
  <c r="AK76" i="35" s="1"/>
  <c r="AK129" i="35"/>
  <c r="AK130" i="35" s="1"/>
  <c r="AK126" i="35"/>
  <c r="AK127" i="35" s="1"/>
  <c r="AK69" i="35"/>
  <c r="AK132" i="35"/>
  <c r="AK133" i="35" s="1"/>
  <c r="AK142" i="35" s="1"/>
  <c r="AK75" i="35"/>
  <c r="AK16" i="35"/>
  <c r="AK20" i="35" s="1"/>
  <c r="AK24" i="35" s="1"/>
  <c r="AK23" i="35" s="1"/>
  <c r="AK50" i="35"/>
  <c r="AK68" i="35"/>
  <c r="AK81" i="35"/>
  <c r="O87" i="36" l="1"/>
  <c r="BI49" i="13"/>
  <c r="BH41" i="13"/>
  <c r="AS68" i="36"/>
  <c r="AS50" i="36"/>
  <c r="AS54" i="36" s="1"/>
  <c r="AS49" i="36" s="1"/>
  <c r="BG41" i="13"/>
  <c r="BG49" i="13"/>
  <c r="BF41" i="13"/>
  <c r="CK60" i="36"/>
  <c r="CK56" i="36" s="1"/>
  <c r="G44" i="36"/>
  <c r="G43" i="36" s="1"/>
  <c r="AE53" i="36"/>
  <c r="AE50" i="36"/>
  <c r="AE54" i="36" s="1"/>
  <c r="AE41" i="36" s="1"/>
  <c r="W50" i="36"/>
  <c r="W54" i="36" s="1"/>
  <c r="W49" i="36" s="1"/>
  <c r="W53" i="36"/>
  <c r="CW50" i="36"/>
  <c r="AC50" i="36"/>
  <c r="AC54" i="36" s="1"/>
  <c r="AB41" i="36" s="1"/>
  <c r="CW68" i="36"/>
  <c r="CX41" i="36"/>
  <c r="CW54" i="36"/>
  <c r="CW41" i="36" s="1"/>
  <c r="AQ50" i="36"/>
  <c r="AC68" i="36"/>
  <c r="CY49" i="36"/>
  <c r="CY45" i="36" s="1"/>
  <c r="CY44" i="36" s="1"/>
  <c r="CY43" i="36" s="1"/>
  <c r="CK142" i="36"/>
  <c r="CO141" i="36"/>
  <c r="CO142" i="36" s="1"/>
  <c r="BM98" i="13"/>
  <c r="BM94" i="13"/>
  <c r="BQ87" i="13"/>
  <c r="BQ89" i="13"/>
  <c r="BO93" i="13"/>
  <c r="BO90" i="13"/>
  <c r="CM142" i="36"/>
  <c r="AQ53" i="36"/>
  <c r="CK96" i="36"/>
  <c r="O68" i="36"/>
  <c r="O50" i="36"/>
  <c r="O54" i="36" s="1"/>
  <c r="CM59" i="36"/>
  <c r="BC68" i="36"/>
  <c r="BC50" i="36"/>
  <c r="BC53" i="36"/>
  <c r="AI50" i="36"/>
  <c r="AI54" i="36" s="1"/>
  <c r="AI53" i="36"/>
  <c r="AI68" i="36"/>
  <c r="AG68" i="36"/>
  <c r="AG50" i="36"/>
  <c r="AG54" i="36" s="1"/>
  <c r="AG53" i="36"/>
  <c r="BK98" i="13"/>
  <c r="BK94" i="13"/>
  <c r="AQ49" i="35"/>
  <c r="AP41" i="35"/>
  <c r="AQ41" i="35"/>
  <c r="AO49" i="35"/>
  <c r="AN41" i="35"/>
  <c r="AO41" i="35"/>
  <c r="CO59" i="36"/>
  <c r="BF49" i="13"/>
  <c r="BF48" i="13" s="1"/>
  <c r="BG48" i="13"/>
  <c r="BG45" i="13"/>
  <c r="BG44" i="13" s="1"/>
  <c r="BF45" i="13"/>
  <c r="BF44" i="13" s="1"/>
  <c r="BF43" i="13" s="1"/>
  <c r="BI93" i="13"/>
  <c r="BI90" i="13"/>
  <c r="BG89" i="13"/>
  <c r="BG87" i="13"/>
  <c r="BH49" i="13"/>
  <c r="BH48" i="13" s="1"/>
  <c r="BH45" i="13"/>
  <c r="BI48" i="13"/>
  <c r="BI45" i="13"/>
  <c r="BI44" i="13" s="1"/>
  <c r="CO77" i="36"/>
  <c r="CN77" i="36" s="1"/>
  <c r="K142" i="36"/>
  <c r="Q108" i="36"/>
  <c r="Q109" i="36" s="1"/>
  <c r="M142" i="36"/>
  <c r="AS41" i="36"/>
  <c r="M45" i="36"/>
  <c r="M48" i="36"/>
  <c r="L45" i="36"/>
  <c r="L49" i="36"/>
  <c r="L48" i="36" s="1"/>
  <c r="BE68" i="36"/>
  <c r="BE50" i="36"/>
  <c r="BE53" i="36"/>
  <c r="AK76" i="36"/>
  <c r="AJ77" i="36"/>
  <c r="AO76" i="36"/>
  <c r="AN77" i="36"/>
  <c r="AT77" i="36"/>
  <c r="AU76" i="36"/>
  <c r="Q50" i="36"/>
  <c r="Q53" i="36"/>
  <c r="Q68" i="36"/>
  <c r="AM76" i="36"/>
  <c r="AL77" i="36"/>
  <c r="BC86" i="36"/>
  <c r="BC84" i="36"/>
  <c r="AW68" i="36"/>
  <c r="AW50" i="36"/>
  <c r="AW54" i="36" s="1"/>
  <c r="AW53" i="36"/>
  <c r="Y68" i="36"/>
  <c r="Y50" i="36"/>
  <c r="Y53" i="36"/>
  <c r="AM84" i="36"/>
  <c r="AM86" i="36"/>
  <c r="AY45" i="36"/>
  <c r="AY44" i="36" s="1"/>
  <c r="AX45" i="36"/>
  <c r="AX44" i="36" s="1"/>
  <c r="AX43" i="36" s="1"/>
  <c r="AX49" i="36"/>
  <c r="AX48" i="36" s="1"/>
  <c r="AY48" i="36"/>
  <c r="J49" i="36"/>
  <c r="J48" i="36" s="1"/>
  <c r="K48" i="36"/>
  <c r="J45" i="36"/>
  <c r="J44" i="36" s="1"/>
  <c r="J43" i="36" s="1"/>
  <c r="K45" i="36"/>
  <c r="K44" i="36" s="1"/>
  <c r="AA84" i="36"/>
  <c r="AA86" i="36"/>
  <c r="AW84" i="36"/>
  <c r="AW86" i="36"/>
  <c r="AG87" i="36"/>
  <c r="AG89" i="36"/>
  <c r="CW71" i="36"/>
  <c r="CW75" i="36"/>
  <c r="CW111" i="36"/>
  <c r="CW112" i="36" s="1"/>
  <c r="CW80" i="36"/>
  <c r="CW108" i="36"/>
  <c r="CW109" i="36" s="1"/>
  <c r="I24" i="36"/>
  <c r="I23" i="36" s="1"/>
  <c r="AQ89" i="36"/>
  <c r="AQ87" i="36"/>
  <c r="CS56" i="36"/>
  <c r="CR8" i="36"/>
  <c r="AD77" i="36"/>
  <c r="AE76" i="36"/>
  <c r="U68" i="36"/>
  <c r="U50" i="36"/>
  <c r="U53" i="36"/>
  <c r="AU68" i="36"/>
  <c r="AU50" i="36"/>
  <c r="AU54" i="36" s="1"/>
  <c r="AU53" i="36"/>
  <c r="CU75" i="36"/>
  <c r="CU71" i="36"/>
  <c r="CQ83" i="36"/>
  <c r="CQ82" i="36"/>
  <c r="CQ81" i="36"/>
  <c r="I84" i="36"/>
  <c r="I86" i="36"/>
  <c r="S71" i="36"/>
  <c r="S75" i="36"/>
  <c r="S80" i="36"/>
  <c r="S68" i="36"/>
  <c r="S50" i="36"/>
  <c r="S53" i="36"/>
  <c r="K86" i="36"/>
  <c r="K84" i="36"/>
  <c r="U86" i="36"/>
  <c r="U84" i="36"/>
  <c r="AB77" i="36"/>
  <c r="CM77" i="36"/>
  <c r="AC76" i="36"/>
  <c r="S111" i="36"/>
  <c r="S112" i="36" s="1"/>
  <c r="AO90" i="36"/>
  <c r="AO93" i="36"/>
  <c r="O90" i="36"/>
  <c r="O93" i="36"/>
  <c r="CY148" i="36"/>
  <c r="CY133" i="36"/>
  <c r="CY142" i="36" s="1"/>
  <c r="AA68" i="36"/>
  <c r="AA50" i="36"/>
  <c r="AA53" i="36"/>
  <c r="AC84" i="36"/>
  <c r="AC86" i="36"/>
  <c r="AZ77" i="36"/>
  <c r="BA76" i="36"/>
  <c r="G86" i="36"/>
  <c r="G84" i="36"/>
  <c r="BB77" i="36"/>
  <c r="BC76" i="36"/>
  <c r="BA86" i="36"/>
  <c r="BA84" i="36"/>
  <c r="AV77" i="36"/>
  <c r="AW76" i="36"/>
  <c r="AM68" i="36"/>
  <c r="AM50" i="36"/>
  <c r="AM54" i="36" s="1"/>
  <c r="AM53" i="36"/>
  <c r="CK77" i="36"/>
  <c r="N77" i="36"/>
  <c r="O76" i="36"/>
  <c r="CS77" i="36"/>
  <c r="AP77" i="36"/>
  <c r="AQ76" i="36"/>
  <c r="Q75" i="36"/>
  <c r="Q71" i="36"/>
  <c r="Q80" i="36"/>
  <c r="CO56" i="36"/>
  <c r="CN8" i="36"/>
  <c r="BA50" i="36"/>
  <c r="BA53" i="36"/>
  <c r="BA68" i="36"/>
  <c r="W86" i="36"/>
  <c r="W84" i="36"/>
  <c r="Z77" i="36"/>
  <c r="AA76" i="36"/>
  <c r="CS142" i="36"/>
  <c r="AS84" i="36"/>
  <c r="AS86" i="36"/>
  <c r="CM56" i="36"/>
  <c r="CL8" i="36"/>
  <c r="CU80" i="36"/>
  <c r="V26" i="36"/>
  <c r="T25" i="36"/>
  <c r="T30" i="36"/>
  <c r="T29" i="36" s="1"/>
  <c r="AI86" i="36"/>
  <c r="AI84" i="36"/>
  <c r="I45" i="36"/>
  <c r="I44" i="36" s="1"/>
  <c r="H49" i="36"/>
  <c r="H48" i="36" s="1"/>
  <c r="I48" i="36"/>
  <c r="H45" i="36"/>
  <c r="H44" i="36" s="1"/>
  <c r="H43" i="36" s="1"/>
  <c r="X77" i="36"/>
  <c r="Y76" i="36"/>
  <c r="O30" i="36"/>
  <c r="O29" i="36" s="1"/>
  <c r="U26" i="36"/>
  <c r="U24" i="36" s="1"/>
  <c r="U23" i="36" s="1"/>
  <c r="O25" i="36"/>
  <c r="AK68" i="36"/>
  <c r="AK50" i="36"/>
  <c r="AK53" i="36"/>
  <c r="CU111" i="36"/>
  <c r="CU112" i="36" s="1"/>
  <c r="I30" i="36"/>
  <c r="I29" i="36" s="1"/>
  <c r="I25" i="36"/>
  <c r="M86" i="36"/>
  <c r="M84" i="36"/>
  <c r="M41" i="36"/>
  <c r="L41" i="36"/>
  <c r="AO68" i="36"/>
  <c r="AO53" i="36"/>
  <c r="AO50" i="36"/>
  <c r="AO54" i="36" s="1"/>
  <c r="CQ75" i="36"/>
  <c r="CQ71" i="36"/>
  <c r="AU86" i="36"/>
  <c r="AU84" i="36"/>
  <c r="CY75" i="36"/>
  <c r="CY71" i="36"/>
  <c r="CY80" i="36"/>
  <c r="CY111" i="36"/>
  <c r="CY112" i="36" s="1"/>
  <c r="CY108" i="36"/>
  <c r="CY109" i="36" s="1"/>
  <c r="CU50" i="36"/>
  <c r="CU54" i="36" s="1"/>
  <c r="CU68" i="36"/>
  <c r="CU53" i="36"/>
  <c r="U76" i="36"/>
  <c r="T77" i="36"/>
  <c r="AX77" i="36"/>
  <c r="AY76" i="36"/>
  <c r="CQ108" i="36"/>
  <c r="CQ109" i="36" s="1"/>
  <c r="CQ56" i="36"/>
  <c r="CQ111" i="36"/>
  <c r="CQ112" i="36" s="1"/>
  <c r="CP8" i="36"/>
  <c r="AY86" i="36"/>
  <c r="AY84" i="36"/>
  <c r="AG76" i="36"/>
  <c r="AF77" i="36"/>
  <c r="BE76" i="36"/>
  <c r="BE74" i="36" s="1"/>
  <c r="W76" i="36"/>
  <c r="V77" i="36"/>
  <c r="CU108" i="36"/>
  <c r="CU109" i="36" s="1"/>
  <c r="AK84" i="36"/>
  <c r="AK86" i="36"/>
  <c r="AE84" i="36"/>
  <c r="AE86" i="36"/>
  <c r="AR77" i="36"/>
  <c r="AS76" i="36"/>
  <c r="Y86" i="36"/>
  <c r="Y84" i="36"/>
  <c r="AS54" i="34"/>
  <c r="AS93" i="34"/>
  <c r="AS90" i="34"/>
  <c r="AR41" i="35"/>
  <c r="AS41" i="35"/>
  <c r="AS90" i="35"/>
  <c r="AS93" i="35"/>
  <c r="AS49" i="35"/>
  <c r="AQ98" i="35"/>
  <c r="AQ94" i="35"/>
  <c r="AO90" i="35"/>
  <c r="AO93" i="35"/>
  <c r="AM54" i="35"/>
  <c r="AM89" i="35"/>
  <c r="AM87" i="35"/>
  <c r="AK54" i="35"/>
  <c r="AK49" i="35" s="1"/>
  <c r="AK87" i="35"/>
  <c r="AK89" i="35"/>
  <c r="BH44" i="13" l="1"/>
  <c r="BH43" i="13" s="1"/>
  <c r="CJ8" i="36"/>
  <c r="AR41" i="36"/>
  <c r="AD41" i="36"/>
  <c r="AE49" i="36"/>
  <c r="AE45" i="36" s="1"/>
  <c r="AE44" i="36" s="1"/>
  <c r="AC49" i="36"/>
  <c r="AB49" i="36" s="1"/>
  <c r="AB48" i="36" s="1"/>
  <c r="AC41" i="36"/>
  <c r="CW49" i="36"/>
  <c r="CV49" i="36" s="1"/>
  <c r="CV48" i="36" s="1"/>
  <c r="CY48" i="36"/>
  <c r="G47" i="36"/>
  <c r="AQ54" i="36"/>
  <c r="AQ41" i="36" s="1"/>
  <c r="CV41" i="36"/>
  <c r="CX45" i="36"/>
  <c r="CX44" i="36" s="1"/>
  <c r="CX43" i="36" s="1"/>
  <c r="CX49" i="36"/>
  <c r="CX48" i="36" s="1"/>
  <c r="BO94" i="13"/>
  <c r="BO98" i="13"/>
  <c r="BQ93" i="13"/>
  <c r="BQ90" i="13"/>
  <c r="BM144" i="13"/>
  <c r="BM99" i="13"/>
  <c r="BM124" i="13" s="1"/>
  <c r="CY47" i="36"/>
  <c r="BC54" i="36"/>
  <c r="BC49" i="36" s="1"/>
  <c r="AG49" i="36"/>
  <c r="AG41" i="36"/>
  <c r="AF41" i="36"/>
  <c r="BE71" i="36"/>
  <c r="BE78" i="36"/>
  <c r="BE149" i="36" s="1"/>
  <c r="BE152" i="36" s="1"/>
  <c r="BE80" i="36"/>
  <c r="BE108" i="36"/>
  <c r="BE109" i="36" s="1"/>
  <c r="BE111" i="36"/>
  <c r="BE112" i="36" s="1"/>
  <c r="BE75" i="36"/>
  <c r="AI49" i="36"/>
  <c r="AH41" i="36"/>
  <c r="AI41" i="36"/>
  <c r="BK144" i="13"/>
  <c r="BK99" i="13"/>
  <c r="BK124" i="13" s="1"/>
  <c r="AP49" i="35"/>
  <c r="AP48" i="35" s="1"/>
  <c r="AQ45" i="35"/>
  <c r="AQ44" i="35" s="1"/>
  <c r="AQ43" i="35" s="1"/>
  <c r="AP45" i="35"/>
  <c r="AP44" i="35" s="1"/>
  <c r="AP43" i="35" s="1"/>
  <c r="AQ48" i="35"/>
  <c r="AN45" i="35"/>
  <c r="AN44" i="35" s="1"/>
  <c r="AN43" i="35" s="1"/>
  <c r="AN49" i="35"/>
  <c r="AN48" i="35" s="1"/>
  <c r="AO45" i="35"/>
  <c r="AO44" i="35" s="1"/>
  <c r="AO43" i="35" s="1"/>
  <c r="AO48" i="35"/>
  <c r="CX77" i="36"/>
  <c r="CT77" i="36"/>
  <c r="CO76" i="36"/>
  <c r="CO74" i="36" s="1"/>
  <c r="CO111" i="36" s="1"/>
  <c r="CO112" i="36" s="1"/>
  <c r="BI98" i="13"/>
  <c r="BI94" i="13"/>
  <c r="BI43" i="13"/>
  <c r="BI47" i="13"/>
  <c r="BG93" i="13"/>
  <c r="BG90" i="13"/>
  <c r="BG47" i="13"/>
  <c r="BG43" i="13"/>
  <c r="V45" i="36"/>
  <c r="W48" i="36"/>
  <c r="V49" i="36"/>
  <c r="V48" i="36" s="1"/>
  <c r="W45" i="36"/>
  <c r="S82" i="36"/>
  <c r="S83" i="36"/>
  <c r="S81" i="36"/>
  <c r="CS76" i="36"/>
  <c r="CS74" i="36" s="1"/>
  <c r="CR77" i="36"/>
  <c r="AC89" i="36"/>
  <c r="AC87" i="36"/>
  <c r="O41" i="36"/>
  <c r="N41" i="36"/>
  <c r="AY47" i="36"/>
  <c r="AY43" i="36"/>
  <c r="G87" i="36"/>
  <c r="G89" i="36"/>
  <c r="AM87" i="36"/>
  <c r="AM89" i="36"/>
  <c r="I89" i="36"/>
  <c r="I87" i="36"/>
  <c r="AU41" i="36"/>
  <c r="AT41" i="36"/>
  <c r="W89" i="36"/>
  <c r="W87" i="36"/>
  <c r="X26" i="36"/>
  <c r="V25" i="36"/>
  <c r="V30" i="36"/>
  <c r="V29" i="36" s="1"/>
  <c r="V24" i="36"/>
  <c r="V23" i="36" s="1"/>
  <c r="AU49" i="36"/>
  <c r="AQ90" i="36"/>
  <c r="AQ93" i="36"/>
  <c r="AW87" i="36"/>
  <c r="AW89" i="36"/>
  <c r="Q54" i="36"/>
  <c r="BE54" i="36"/>
  <c r="AE48" i="36"/>
  <c r="AD45" i="36"/>
  <c r="AD44" i="36" s="1"/>
  <c r="AD43" i="36" s="1"/>
  <c r="AD49" i="36"/>
  <c r="AD48" i="36" s="1"/>
  <c r="AI87" i="36"/>
  <c r="AI89" i="36"/>
  <c r="AN41" i="36"/>
  <c r="AO41" i="36"/>
  <c r="CJ77" i="36"/>
  <c r="CK76" i="36"/>
  <c r="CK74" i="36" s="1"/>
  <c r="CP77" i="36"/>
  <c r="CU82" i="36"/>
  <c r="CU83" i="36"/>
  <c r="CU81" i="36"/>
  <c r="CO68" i="36"/>
  <c r="CO50" i="36"/>
  <c r="CO53" i="36"/>
  <c r="U87" i="36"/>
  <c r="U89" i="36"/>
  <c r="AA87" i="36"/>
  <c r="AA89" i="36"/>
  <c r="L44" i="36"/>
  <c r="L43" i="36" s="1"/>
  <c r="AO94" i="36"/>
  <c r="AO98" i="36"/>
  <c r="CS68" i="36"/>
  <c r="CS50" i="36"/>
  <c r="CS54" i="36" s="1"/>
  <c r="CS53" i="36"/>
  <c r="CM68" i="36"/>
  <c r="CM50" i="36"/>
  <c r="CM54" i="36" s="1"/>
  <c r="CM53" i="36"/>
  <c r="AA54" i="36"/>
  <c r="CQ84" i="36"/>
  <c r="CQ86" i="36"/>
  <c r="Y54" i="36"/>
  <c r="Y49" i="36" s="1"/>
  <c r="BC87" i="36"/>
  <c r="BC89" i="36"/>
  <c r="AO49" i="36"/>
  <c r="W41" i="36"/>
  <c r="V41" i="36"/>
  <c r="BA54" i="36"/>
  <c r="BA49" i="36" s="1"/>
  <c r="CU49" i="36"/>
  <c r="AM49" i="36"/>
  <c r="CW82" i="36"/>
  <c r="CW81" i="36"/>
  <c r="CW83" i="36"/>
  <c r="O49" i="36"/>
  <c r="M44" i="36"/>
  <c r="CU41" i="36"/>
  <c r="CT41" i="36"/>
  <c r="AS89" i="36"/>
  <c r="AS87" i="36"/>
  <c r="Q83" i="36"/>
  <c r="Q82" i="36"/>
  <c r="Q81" i="36"/>
  <c r="K89" i="36"/>
  <c r="K87" i="36"/>
  <c r="U54" i="36"/>
  <c r="U49" i="36" s="1"/>
  <c r="AW41" i="36"/>
  <c r="AV41" i="36"/>
  <c r="M89" i="36"/>
  <c r="M87" i="36"/>
  <c r="K43" i="36"/>
  <c r="K47" i="36"/>
  <c r="AW49" i="36"/>
  <c r="AK54" i="36"/>
  <c r="AL41" i="36"/>
  <c r="AM41" i="36"/>
  <c r="CY82" i="36"/>
  <c r="CY81" i="36"/>
  <c r="CY83" i="36"/>
  <c r="AK89" i="36"/>
  <c r="AK87" i="36"/>
  <c r="O98" i="36"/>
  <c r="O94" i="36"/>
  <c r="AG93" i="36"/>
  <c r="AG90" i="36"/>
  <c r="CK68" i="36"/>
  <c r="CK50" i="36"/>
  <c r="CK54" i="36" s="1"/>
  <c r="CK53" i="36"/>
  <c r="CL77" i="36"/>
  <c r="CM76" i="36"/>
  <c r="CM74" i="36" s="1"/>
  <c r="CV77" i="36"/>
  <c r="U25" i="36"/>
  <c r="U30" i="36"/>
  <c r="U29" i="36" s="1"/>
  <c r="W26" i="36"/>
  <c r="Y89" i="36"/>
  <c r="Y87" i="36"/>
  <c r="AE87" i="36"/>
  <c r="AE89" i="36"/>
  <c r="AY87" i="36"/>
  <c r="AY89" i="36"/>
  <c r="BA87" i="36"/>
  <c r="BA89" i="36"/>
  <c r="CQ53" i="36"/>
  <c r="CQ50" i="36"/>
  <c r="CQ68" i="36"/>
  <c r="AU89" i="36"/>
  <c r="AU87" i="36"/>
  <c r="I43" i="36"/>
  <c r="I47" i="36"/>
  <c r="S54" i="36"/>
  <c r="S49" i="36" s="1"/>
  <c r="AS48" i="36"/>
  <c r="AR49" i="36"/>
  <c r="AR48" i="36" s="1"/>
  <c r="AS45" i="36"/>
  <c r="AS44" i="36" s="1"/>
  <c r="AR45" i="36"/>
  <c r="AR44" i="36" s="1"/>
  <c r="AR43" i="36" s="1"/>
  <c r="AS98" i="34"/>
  <c r="AS94" i="34"/>
  <c r="AS41" i="34"/>
  <c r="AR41" i="34"/>
  <c r="AS49" i="34"/>
  <c r="AS45" i="35"/>
  <c r="AS44" i="35" s="1"/>
  <c r="AS43" i="35" s="1"/>
  <c r="AS48" i="35"/>
  <c r="AR49" i="35"/>
  <c r="AR48" i="35" s="1"/>
  <c r="AR45" i="35"/>
  <c r="AR44" i="35" s="1"/>
  <c r="AR43" i="35" s="1"/>
  <c r="AS94" i="35"/>
  <c r="AS98" i="35"/>
  <c r="AQ144" i="35"/>
  <c r="AQ99" i="35"/>
  <c r="AO98" i="35"/>
  <c r="AO94" i="35"/>
  <c r="AL41" i="35"/>
  <c r="AM41" i="35"/>
  <c r="AM90" i="35"/>
  <c r="AM93" i="35"/>
  <c r="AM49" i="35"/>
  <c r="AK90" i="35"/>
  <c r="AK93" i="35"/>
  <c r="AJ41" i="35"/>
  <c r="AK41" i="35"/>
  <c r="AK48" i="35"/>
  <c r="AJ49" i="35"/>
  <c r="AJ48" i="35" s="1"/>
  <c r="AK45" i="35"/>
  <c r="AJ45" i="35"/>
  <c r="AC48" i="36" l="1"/>
  <c r="AB45" i="36"/>
  <c r="AB44" i="36" s="1"/>
  <c r="AB43" i="36" s="1"/>
  <c r="AP41" i="36"/>
  <c r="AC45" i="36"/>
  <c r="AC44" i="36" s="1"/>
  <c r="CV45" i="36"/>
  <c r="CV44" i="36" s="1"/>
  <c r="CV43" i="36" s="1"/>
  <c r="AQ49" i="36"/>
  <c r="AP49" i="36" s="1"/>
  <c r="AP48" i="36" s="1"/>
  <c r="AP45" i="36"/>
  <c r="AP44" i="36" s="1"/>
  <c r="AP43" i="36" s="1"/>
  <c r="CW45" i="36"/>
  <c r="CW44" i="36" s="1"/>
  <c r="CW43" i="36" s="1"/>
  <c r="CW48" i="36"/>
  <c r="BQ94" i="13"/>
  <c r="BQ98" i="13"/>
  <c r="BO144" i="13"/>
  <c r="BO99" i="13"/>
  <c r="BO124" i="13" s="1"/>
  <c r="CO80" i="36"/>
  <c r="CO83" i="36" s="1"/>
  <c r="CO71" i="36"/>
  <c r="CO75" i="36"/>
  <c r="CO108" i="36"/>
  <c r="CO109" i="36" s="1"/>
  <c r="BB45" i="36"/>
  <c r="BC45" i="36"/>
  <c r="BB49" i="36"/>
  <c r="BB48" i="36" s="1"/>
  <c r="BC48" i="36"/>
  <c r="BC41" i="36"/>
  <c r="BB41" i="36"/>
  <c r="AH49" i="36"/>
  <c r="AH48" i="36" s="1"/>
  <c r="AI48" i="36"/>
  <c r="AI45" i="36"/>
  <c r="AI44" i="36" s="1"/>
  <c r="AH45" i="36"/>
  <c r="AH44" i="36" s="1"/>
  <c r="AH43" i="36" s="1"/>
  <c r="BE82" i="36"/>
  <c r="BE81" i="36"/>
  <c r="BE83" i="36"/>
  <c r="AG48" i="36"/>
  <c r="AF49" i="36"/>
  <c r="AF48" i="36" s="1"/>
  <c r="AG45" i="36"/>
  <c r="AG44" i="36" s="1"/>
  <c r="AF45" i="36"/>
  <c r="AF44" i="36" s="1"/>
  <c r="AF43" i="36" s="1"/>
  <c r="AJ44" i="35"/>
  <c r="AJ43" i="35" s="1"/>
  <c r="AK44" i="35"/>
  <c r="AK43" i="35" s="1"/>
  <c r="BI99" i="13"/>
  <c r="BI124" i="13" s="1"/>
  <c r="BI144" i="13"/>
  <c r="BG98" i="13"/>
  <c r="BG94" i="13"/>
  <c r="CM41" i="36"/>
  <c r="CL41" i="36"/>
  <c r="Y45" i="36"/>
  <c r="Y48" i="36"/>
  <c r="X49" i="36"/>
  <c r="X48" i="36" s="1"/>
  <c r="X45" i="36"/>
  <c r="CQ54" i="36"/>
  <c r="CQ49" i="36" s="1"/>
  <c r="Q84" i="36"/>
  <c r="Q86" i="36"/>
  <c r="AK41" i="36"/>
  <c r="AJ41" i="36"/>
  <c r="Q41" i="36"/>
  <c r="P41" i="36"/>
  <c r="BC90" i="36"/>
  <c r="BC93" i="36"/>
  <c r="AW48" i="36"/>
  <c r="AW45" i="36"/>
  <c r="AW44" i="36" s="1"/>
  <c r="AV45" i="36"/>
  <c r="AV44" i="36" s="1"/>
  <c r="AV43" i="36" s="1"/>
  <c r="AV49" i="36"/>
  <c r="AV48" i="36" s="1"/>
  <c r="CK49" i="36"/>
  <c r="AE43" i="36"/>
  <c r="AE47" i="36"/>
  <c r="AS90" i="36"/>
  <c r="AS93" i="36"/>
  <c r="CS75" i="36"/>
  <c r="CS71" i="36"/>
  <c r="CS80" i="36"/>
  <c r="CS111" i="36"/>
  <c r="CS112" i="36" s="1"/>
  <c r="CS108" i="36"/>
  <c r="CS109" i="36" s="1"/>
  <c r="CM71" i="36"/>
  <c r="CM75" i="36"/>
  <c r="CM80" i="36"/>
  <c r="CM111" i="36"/>
  <c r="CM112" i="36" s="1"/>
  <c r="CM108" i="36"/>
  <c r="CM109" i="36" s="1"/>
  <c r="CK41" i="36"/>
  <c r="CJ41" i="36"/>
  <c r="AS47" i="36"/>
  <c r="AS43" i="36"/>
  <c r="M47" i="36"/>
  <c r="M43" i="36"/>
  <c r="CK75" i="36"/>
  <c r="CK71" i="36"/>
  <c r="CK80" i="36"/>
  <c r="CK111" i="36"/>
  <c r="CK112" i="36" s="1"/>
  <c r="CK108" i="36"/>
  <c r="CK109" i="36" s="1"/>
  <c r="O48" i="36"/>
  <c r="O45" i="36"/>
  <c r="O44" i="36" s="1"/>
  <c r="N45" i="36"/>
  <c r="N44" i="36" s="1"/>
  <c r="N43" i="36" s="1"/>
  <c r="N49" i="36"/>
  <c r="N48" i="36" s="1"/>
  <c r="CW86" i="36"/>
  <c r="CW84" i="36"/>
  <c r="S86" i="36"/>
  <c r="S84" i="36"/>
  <c r="BD41" i="36"/>
  <c r="BE41" i="36"/>
  <c r="CR41" i="36"/>
  <c r="CS41" i="36"/>
  <c r="CS49" i="36"/>
  <c r="R49" i="36"/>
  <c r="R48" i="36" s="1"/>
  <c r="S45" i="36"/>
  <c r="R45" i="36"/>
  <c r="S48" i="36"/>
  <c r="BE49" i="36"/>
  <c r="AM90" i="36"/>
  <c r="AM93" i="36"/>
  <c r="G90" i="36"/>
  <c r="G93" i="36"/>
  <c r="AO45" i="36"/>
  <c r="AO44" i="36" s="1"/>
  <c r="AO48" i="36"/>
  <c r="AN49" i="36"/>
  <c r="AN48" i="36" s="1"/>
  <c r="AN45" i="36"/>
  <c r="AN44" i="36" s="1"/>
  <c r="AN43" i="36" s="1"/>
  <c r="AW93" i="36"/>
  <c r="AW90" i="36"/>
  <c r="AQ98" i="36"/>
  <c r="AQ94" i="36"/>
  <c r="AG98" i="36"/>
  <c r="AG94" i="36"/>
  <c r="AO144" i="36"/>
  <c r="AO99" i="36"/>
  <c r="AO124" i="36" s="1"/>
  <c r="AE93" i="36"/>
  <c r="AE90" i="36"/>
  <c r="AT49" i="36"/>
  <c r="AT48" i="36" s="1"/>
  <c r="AU45" i="36"/>
  <c r="AU44" i="36" s="1"/>
  <c r="AT45" i="36"/>
  <c r="AT44" i="36" s="1"/>
  <c r="AT43" i="36" s="1"/>
  <c r="AU48" i="36"/>
  <c r="AA93" i="36"/>
  <c r="AA90" i="36"/>
  <c r="AK90" i="36"/>
  <c r="AK93" i="36"/>
  <c r="AL45" i="36"/>
  <c r="AL44" i="36" s="1"/>
  <c r="AL43" i="36" s="1"/>
  <c r="AM48" i="36"/>
  <c r="AM45" i="36"/>
  <c r="AM44" i="36" s="1"/>
  <c r="AL49" i="36"/>
  <c r="AL48" i="36" s="1"/>
  <c r="AC47" i="36"/>
  <c r="AC43" i="36"/>
  <c r="U90" i="36"/>
  <c r="U93" i="36"/>
  <c r="AI90" i="36"/>
  <c r="AI93" i="36"/>
  <c r="X25" i="36"/>
  <c r="X30" i="36"/>
  <c r="X29" i="36" s="1"/>
  <c r="Z26" i="36"/>
  <c r="X24" i="36"/>
  <c r="X23" i="36" s="1"/>
  <c r="W44" i="36"/>
  <c r="AC93" i="36"/>
  <c r="AC90" i="36"/>
  <c r="CU86" i="36"/>
  <c r="CU84" i="36"/>
  <c r="X41" i="36"/>
  <c r="Y41" i="36"/>
  <c r="O144" i="36"/>
  <c r="O99" i="36"/>
  <c r="O124" i="36" s="1"/>
  <c r="S41" i="36"/>
  <c r="R41" i="36"/>
  <c r="CU48" i="36"/>
  <c r="CT45" i="36"/>
  <c r="CT44" i="36" s="1"/>
  <c r="CT43" i="36" s="1"/>
  <c r="CT49" i="36"/>
  <c r="CT48" i="36" s="1"/>
  <c r="CU45" i="36"/>
  <c r="CU44" i="36" s="1"/>
  <c r="CM49" i="36"/>
  <c r="BA90" i="36"/>
  <c r="BA93" i="36"/>
  <c r="AZ49" i="36"/>
  <c r="AZ48" i="36" s="1"/>
  <c r="BA48" i="36"/>
  <c r="BA45" i="36"/>
  <c r="AZ45" i="36"/>
  <c r="AY90" i="36"/>
  <c r="AY93" i="36"/>
  <c r="U45" i="36"/>
  <c r="T49" i="36"/>
  <c r="T48" i="36" s="1"/>
  <c r="T45" i="36"/>
  <c r="U48" i="36"/>
  <c r="M90" i="36"/>
  <c r="M93" i="36"/>
  <c r="Y26" i="36"/>
  <c r="W25" i="36"/>
  <c r="W30" i="36"/>
  <c r="W29" i="36" s="1"/>
  <c r="W24" i="36"/>
  <c r="W23" i="36" s="1"/>
  <c r="K90" i="36"/>
  <c r="K93" i="36"/>
  <c r="BA41" i="36"/>
  <c r="AZ41" i="36"/>
  <c r="AA41" i="36"/>
  <c r="Z41" i="36"/>
  <c r="AA49" i="36"/>
  <c r="W90" i="36"/>
  <c r="W93" i="36"/>
  <c r="I90" i="36"/>
  <c r="I93" i="36"/>
  <c r="AK49" i="36"/>
  <c r="CQ89" i="36"/>
  <c r="CQ87" i="36"/>
  <c r="Y93" i="36"/>
  <c r="Y90" i="36"/>
  <c r="U41" i="36"/>
  <c r="T41" i="36"/>
  <c r="CY86" i="36"/>
  <c r="CY84" i="36"/>
  <c r="AU93" i="36"/>
  <c r="AU90" i="36"/>
  <c r="CO54" i="36"/>
  <c r="Q49" i="36"/>
  <c r="V44" i="36"/>
  <c r="V43" i="36" s="1"/>
  <c r="AR49" i="34"/>
  <c r="AS45" i="34"/>
  <c r="AS44" i="34" s="1"/>
  <c r="AS43" i="34" s="1"/>
  <c r="AR45" i="34"/>
  <c r="AR44" i="34" s="1"/>
  <c r="AR43" i="34" s="1"/>
  <c r="AS99" i="34"/>
  <c r="AS144" i="35"/>
  <c r="AS99" i="35"/>
  <c r="AO144" i="35"/>
  <c r="AO99" i="35"/>
  <c r="AL49" i="35"/>
  <c r="AL48" i="35" s="1"/>
  <c r="AL45" i="35"/>
  <c r="AL44" i="35" s="1"/>
  <c r="AL43" i="35" s="1"/>
  <c r="AM48" i="35"/>
  <c r="AM45" i="35"/>
  <c r="AM44" i="35" s="1"/>
  <c r="AM43" i="35" s="1"/>
  <c r="AM94" i="35"/>
  <c r="AM98" i="35"/>
  <c r="AK98" i="35"/>
  <c r="AK94" i="35"/>
  <c r="AQ45" i="36" l="1"/>
  <c r="AQ44" i="36" s="1"/>
  <c r="AQ48" i="36"/>
  <c r="CW47" i="36"/>
  <c r="CO82" i="36"/>
  <c r="CO81" i="36"/>
  <c r="AQ43" i="36"/>
  <c r="AQ47" i="36"/>
  <c r="BQ99" i="13"/>
  <c r="BQ124" i="13" s="1"/>
  <c r="BQ144" i="13"/>
  <c r="U44" i="36"/>
  <c r="U47" i="36" s="1"/>
  <c r="BC44" i="36"/>
  <c r="T44" i="36"/>
  <c r="T43" i="36" s="1"/>
  <c r="BB44" i="36"/>
  <c r="BB43" i="36" s="1"/>
  <c r="AG43" i="36"/>
  <c r="AG47" i="36"/>
  <c r="BE84" i="36"/>
  <c r="BE86" i="36"/>
  <c r="R44" i="36"/>
  <c r="R43" i="36" s="1"/>
  <c r="AI43" i="36"/>
  <c r="AI47" i="36"/>
  <c r="S44" i="36"/>
  <c r="S47" i="36" s="1"/>
  <c r="BG144" i="13"/>
  <c r="BG99" i="13"/>
  <c r="BG124" i="13" s="1"/>
  <c r="Y44" i="36"/>
  <c r="Y43" i="36" s="1"/>
  <c r="CQ48" i="36"/>
  <c r="CQ45" i="36"/>
  <c r="CP45" i="36"/>
  <c r="CP49" i="36"/>
  <c r="CP48" i="36" s="1"/>
  <c r="BA94" i="36"/>
  <c r="BA98" i="36"/>
  <c r="AM43" i="36"/>
  <c r="AM47" i="36"/>
  <c r="CU43" i="36"/>
  <c r="CU47" i="36"/>
  <c r="CK82" i="36"/>
  <c r="CK81" i="36"/>
  <c r="CK83" i="36"/>
  <c r="AG144" i="36"/>
  <c r="AG99" i="36"/>
  <c r="AG124" i="36" s="1"/>
  <c r="CU87" i="36"/>
  <c r="CU89" i="36"/>
  <c r="CR49" i="36"/>
  <c r="CR48" i="36" s="1"/>
  <c r="CS45" i="36"/>
  <c r="CS44" i="36" s="1"/>
  <c r="CR45" i="36"/>
  <c r="CR44" i="36" s="1"/>
  <c r="CR43" i="36" s="1"/>
  <c r="CS48" i="36"/>
  <c r="AJ49" i="36"/>
  <c r="AJ48" i="36" s="1"/>
  <c r="AK48" i="36"/>
  <c r="AK45" i="36"/>
  <c r="AK44" i="36" s="1"/>
  <c r="AJ45" i="36"/>
  <c r="AJ44" i="36" s="1"/>
  <c r="AJ43" i="36" s="1"/>
  <c r="AW98" i="36"/>
  <c r="AW94" i="36"/>
  <c r="Q87" i="36"/>
  <c r="Q89" i="36"/>
  <c r="AA94" i="36"/>
  <c r="AA98" i="36"/>
  <c r="CS83" i="36"/>
  <c r="CS82" i="36"/>
  <c r="CS81" i="36"/>
  <c r="W47" i="36"/>
  <c r="W43" i="36"/>
  <c r="CO41" i="36"/>
  <c r="CN41" i="36"/>
  <c r="CQ41" i="36"/>
  <c r="CP41" i="36"/>
  <c r="X44" i="36"/>
  <c r="X43" i="36" s="1"/>
  <c r="AK98" i="36"/>
  <c r="AK94" i="36"/>
  <c r="M98" i="36"/>
  <c r="M94" i="36"/>
  <c r="CO49" i="36"/>
  <c r="AU98" i="36"/>
  <c r="AU94" i="36"/>
  <c r="AI98" i="36"/>
  <c r="AI94" i="36"/>
  <c r="CW87" i="36"/>
  <c r="CW89" i="36"/>
  <c r="CK48" i="36"/>
  <c r="CJ49" i="36"/>
  <c r="CJ48" i="36" s="1"/>
  <c r="CJ45" i="36"/>
  <c r="CJ44" i="36" s="1"/>
  <c r="CJ43" i="36" s="1"/>
  <c r="CK45" i="36"/>
  <c r="CK44" i="36" s="1"/>
  <c r="BC94" i="36"/>
  <c r="BC98" i="36"/>
  <c r="CM48" i="36"/>
  <c r="CL49" i="36"/>
  <c r="CL48" i="36" s="1"/>
  <c r="CM45" i="36"/>
  <c r="CM44" i="36" s="1"/>
  <c r="CL45" i="36"/>
  <c r="CL44" i="36" s="1"/>
  <c r="CL43" i="36" s="1"/>
  <c r="Z25" i="36"/>
  <c r="Z30" i="36"/>
  <c r="Z29" i="36" s="1"/>
  <c r="AB26" i="36"/>
  <c r="Z24" i="36"/>
  <c r="Z23" i="36" s="1"/>
  <c r="AO43" i="36"/>
  <c r="AO47" i="36"/>
  <c r="G94" i="36"/>
  <c r="G98" i="36"/>
  <c r="AC94" i="36"/>
  <c r="AC98" i="36"/>
  <c r="Q45" i="36"/>
  <c r="Q44" i="36" s="1"/>
  <c r="P45" i="36"/>
  <c r="P44" i="36" s="1"/>
  <c r="P43" i="36" s="1"/>
  <c r="P49" i="36"/>
  <c r="P48" i="36" s="1"/>
  <c r="Q48" i="36"/>
  <c r="AS98" i="36"/>
  <c r="AS94" i="36"/>
  <c r="W94" i="36"/>
  <c r="W98" i="36"/>
  <c r="S87" i="36"/>
  <c r="S89" i="36"/>
  <c r="AE94" i="36"/>
  <c r="AE98" i="36"/>
  <c r="CM83" i="36"/>
  <c r="CM81" i="36"/>
  <c r="CM82" i="36"/>
  <c r="I94" i="36"/>
  <c r="I98" i="36"/>
  <c r="AU47" i="36"/>
  <c r="AU43" i="36"/>
  <c r="U94" i="36"/>
  <c r="U98" i="36"/>
  <c r="AM94" i="36"/>
  <c r="AM98" i="36"/>
  <c r="CO84" i="36"/>
  <c r="CO86" i="36"/>
  <c r="BE45" i="36"/>
  <c r="BE44" i="36" s="1"/>
  <c r="BE48" i="36"/>
  <c r="BD49" i="36"/>
  <c r="BD48" i="36" s="1"/>
  <c r="BD45" i="36"/>
  <c r="BD44" i="36" s="1"/>
  <c r="BD43" i="36" s="1"/>
  <c r="O47" i="36"/>
  <c r="O43" i="36"/>
  <c r="AW43" i="36"/>
  <c r="AW47" i="36"/>
  <c r="CQ90" i="36"/>
  <c r="CQ93" i="36"/>
  <c r="AQ144" i="36"/>
  <c r="AQ99" i="36"/>
  <c r="AQ124" i="36" s="1"/>
  <c r="Y30" i="36"/>
  <c r="Y29" i="36" s="1"/>
  <c r="Y25" i="36"/>
  <c r="AA26" i="36"/>
  <c r="Y24" i="36"/>
  <c r="Y23" i="36" s="1"/>
  <c r="AA48" i="36"/>
  <c r="Z49" i="36"/>
  <c r="Z48" i="36" s="1"/>
  <c r="Z45" i="36"/>
  <c r="Z44" i="36" s="1"/>
  <c r="Z43" i="36" s="1"/>
  <c r="AA45" i="36"/>
  <c r="AA44" i="36" s="1"/>
  <c r="CY89" i="36"/>
  <c r="CY87" i="36"/>
  <c r="AY98" i="36"/>
  <c r="AY94" i="36"/>
  <c r="AZ44" i="36"/>
  <c r="AZ43" i="36" s="1"/>
  <c r="BA44" i="36"/>
  <c r="Y94" i="36"/>
  <c r="Y98" i="36"/>
  <c r="K94" i="36"/>
  <c r="K98" i="36"/>
  <c r="AM144" i="35"/>
  <c r="AM99" i="35"/>
  <c r="AK144" i="35"/>
  <c r="AK99" i="35"/>
  <c r="U43" i="36" l="1"/>
  <c r="S43" i="36"/>
  <c r="BC47" i="36"/>
  <c r="BC43" i="36"/>
  <c r="BE89" i="36"/>
  <c r="BE87" i="36"/>
  <c r="Y47" i="36"/>
  <c r="AY144" i="36"/>
  <c r="AY99" i="36"/>
  <c r="AY124" i="36" s="1"/>
  <c r="Q43" i="36"/>
  <c r="Q47" i="36"/>
  <c r="Q46" i="36"/>
  <c r="AU144" i="36"/>
  <c r="AU99" i="36"/>
  <c r="AU124" i="36" s="1"/>
  <c r="CY90" i="36"/>
  <c r="CY93" i="36"/>
  <c r="M144" i="36"/>
  <c r="M99" i="36"/>
  <c r="AA144" i="36"/>
  <c r="AA99" i="36"/>
  <c r="AA124" i="36" s="1"/>
  <c r="CN49" i="36"/>
  <c r="CN48" i="36" s="1"/>
  <c r="CO45" i="36"/>
  <c r="CO44" i="36" s="1"/>
  <c r="CN45" i="36"/>
  <c r="CN44" i="36" s="1"/>
  <c r="CN43" i="36" s="1"/>
  <c r="CO48" i="36"/>
  <c r="CM47" i="36"/>
  <c r="CM43" i="36"/>
  <c r="BC144" i="36"/>
  <c r="BC99" i="36"/>
  <c r="BC124" i="36" s="1"/>
  <c r="CK43" i="36"/>
  <c r="CK47" i="36"/>
  <c r="BA144" i="36"/>
  <c r="BA99" i="36"/>
  <c r="BA124" i="36" s="1"/>
  <c r="AK144" i="36"/>
  <c r="AK99" i="36"/>
  <c r="AK124" i="36" s="1"/>
  <c r="K144" i="36"/>
  <c r="K99" i="36"/>
  <c r="Q90" i="36"/>
  <c r="Q93" i="36"/>
  <c r="BE43" i="36"/>
  <c r="BE47" i="36"/>
  <c r="CO89" i="36"/>
  <c r="CO87" i="36"/>
  <c r="AK43" i="36"/>
  <c r="AK47" i="36"/>
  <c r="U144" i="36"/>
  <c r="U99" i="36"/>
  <c r="U124" i="36" s="1"/>
  <c r="CW90" i="36"/>
  <c r="CW93" i="36"/>
  <c r="CS86" i="36"/>
  <c r="CS84" i="36"/>
  <c r="AA43" i="36"/>
  <c r="AA47" i="36"/>
  <c r="AA25" i="36"/>
  <c r="AA30" i="36"/>
  <c r="AA29" i="36" s="1"/>
  <c r="AC26" i="36"/>
  <c r="AA24" i="36"/>
  <c r="AA23" i="36" s="1"/>
  <c r="AM144" i="36"/>
  <c r="AM99" i="36"/>
  <c r="AM124" i="36" s="1"/>
  <c r="CS47" i="36"/>
  <c r="CS43" i="36"/>
  <c r="CP44" i="36"/>
  <c r="CP43" i="36" s="1"/>
  <c r="CM84" i="36"/>
  <c r="CM86" i="36"/>
  <c r="AW144" i="36"/>
  <c r="AW99" i="36"/>
  <c r="AW124" i="36" s="1"/>
  <c r="G144" i="36"/>
  <c r="G99" i="36"/>
  <c r="Y144" i="36"/>
  <c r="Y99" i="36"/>
  <c r="Y124" i="36" s="1"/>
  <c r="W144" i="36"/>
  <c r="W99" i="36"/>
  <c r="W124" i="36" s="1"/>
  <c r="BA47" i="36"/>
  <c r="BA43" i="36"/>
  <c r="CQ44" i="36"/>
  <c r="CK84" i="36"/>
  <c r="CK86" i="36"/>
  <c r="AC144" i="36"/>
  <c r="AC99" i="36"/>
  <c r="AC124" i="36" s="1"/>
  <c r="AE144" i="36"/>
  <c r="AE99" i="36"/>
  <c r="AE124" i="36" s="1"/>
  <c r="S93" i="36"/>
  <c r="S90" i="36"/>
  <c r="CQ98" i="36"/>
  <c r="CQ94" i="36"/>
  <c r="I144" i="36"/>
  <c r="I99" i="36"/>
  <c r="AS144" i="36"/>
  <c r="AS99" i="36"/>
  <c r="AS124" i="36" s="1"/>
  <c r="AB30" i="36"/>
  <c r="AB29" i="36" s="1"/>
  <c r="AD26" i="36"/>
  <c r="AB25" i="36"/>
  <c r="AB24" i="36"/>
  <c r="AB23" i="36" s="1"/>
  <c r="AI144" i="36"/>
  <c r="AI99" i="36"/>
  <c r="AI124" i="36" s="1"/>
  <c r="CU90" i="36"/>
  <c r="CU93" i="36"/>
  <c r="AS135" i="33"/>
  <c r="AS141" i="33" s="1"/>
  <c r="AQ135" i="33"/>
  <c r="AQ141" i="33" s="1"/>
  <c r="AO135" i="33"/>
  <c r="AS104" i="33"/>
  <c r="AQ104" i="33"/>
  <c r="AO104" i="33"/>
  <c r="AS80" i="33"/>
  <c r="AS82" i="33" s="1"/>
  <c r="AQ80" i="33"/>
  <c r="AQ82" i="33" s="1"/>
  <c r="AO80" i="33"/>
  <c r="AO83" i="33" s="1"/>
  <c r="AO79" i="33"/>
  <c r="AS71" i="33"/>
  <c r="AQ71" i="33"/>
  <c r="AO71" i="33"/>
  <c r="AS63" i="33"/>
  <c r="AQ63" i="33"/>
  <c r="AO63" i="33"/>
  <c r="AS42" i="33"/>
  <c r="AQ42" i="33"/>
  <c r="AO42" i="33"/>
  <c r="AR32" i="33"/>
  <c r="AR31" i="33" s="1"/>
  <c r="AP32" i="33"/>
  <c r="AP30" i="33" s="1"/>
  <c r="AP29" i="33" s="1"/>
  <c r="AN32" i="33"/>
  <c r="AN30" i="33" s="1"/>
  <c r="AN29" i="33" s="1"/>
  <c r="AS31" i="33"/>
  <c r="AQ31" i="33"/>
  <c r="AO31" i="33"/>
  <c r="AS26" i="33"/>
  <c r="AS30" i="33" s="1"/>
  <c r="AS29" i="33" s="1"/>
  <c r="AQ26" i="33"/>
  <c r="AQ30" i="33" s="1"/>
  <c r="AQ29" i="33" s="1"/>
  <c r="AO26" i="33"/>
  <c r="AO30" i="33" s="1"/>
  <c r="AO29" i="33" s="1"/>
  <c r="AR25" i="33"/>
  <c r="AP25" i="33"/>
  <c r="AN25" i="33"/>
  <c r="AR19" i="33"/>
  <c r="AP19" i="33"/>
  <c r="AN19" i="33"/>
  <c r="AS15" i="33"/>
  <c r="AS19" i="33" s="1"/>
  <c r="AQ15" i="33"/>
  <c r="AQ19" i="33" s="1"/>
  <c r="AO15" i="33"/>
  <c r="AO19" i="33" s="1"/>
  <c r="AR9" i="33"/>
  <c r="AP9" i="33"/>
  <c r="AN9" i="33"/>
  <c r="AR2" i="33"/>
  <c r="AR10" i="33" s="1"/>
  <c r="AP2" i="33"/>
  <c r="AP10" i="33" s="1"/>
  <c r="AN2" i="33"/>
  <c r="AN10" i="33" s="1"/>
  <c r="AO10" i="33" s="1"/>
  <c r="AM135" i="33"/>
  <c r="AM141" i="33" s="1"/>
  <c r="AK135" i="33"/>
  <c r="AK141" i="33" s="1"/>
  <c r="AM104" i="33"/>
  <c r="AK104" i="33"/>
  <c r="AM80" i="33"/>
  <c r="AM82" i="33" s="1"/>
  <c r="AK80" i="33"/>
  <c r="AK83" i="33" s="1"/>
  <c r="AM79" i="33"/>
  <c r="AK79" i="33"/>
  <c r="AM71" i="33"/>
  <c r="AK71" i="33"/>
  <c r="AM63" i="33"/>
  <c r="AK63" i="33"/>
  <c r="AM42" i="33"/>
  <c r="AK42" i="33"/>
  <c r="AL32" i="33"/>
  <c r="AL30" i="33" s="1"/>
  <c r="AL29" i="33" s="1"/>
  <c r="AJ32" i="33"/>
  <c r="AJ31" i="33" s="1"/>
  <c r="AM31" i="33"/>
  <c r="AK31" i="33"/>
  <c r="AM26" i="33"/>
  <c r="AM25" i="33" s="1"/>
  <c r="AK26" i="33"/>
  <c r="AK30" i="33" s="1"/>
  <c r="AK29" i="33" s="1"/>
  <c r="AL25" i="33"/>
  <c r="AJ25" i="33"/>
  <c r="AL19" i="33"/>
  <c r="AJ19" i="33"/>
  <c r="AM15" i="33"/>
  <c r="AM19" i="33" s="1"/>
  <c r="AK15" i="33"/>
  <c r="AK19" i="33" s="1"/>
  <c r="AL9" i="33"/>
  <c r="AJ9" i="33"/>
  <c r="AL2" i="33"/>
  <c r="AL10" i="33" s="1"/>
  <c r="AJ2" i="33"/>
  <c r="AJ10" i="33" s="1"/>
  <c r="AR30" i="33" l="1"/>
  <c r="AR29" i="33" s="1"/>
  <c r="BE90" i="36"/>
  <c r="BE93" i="36"/>
  <c r="AM30" i="33"/>
  <c r="AM29" i="33" s="1"/>
  <c r="AL31" i="33"/>
  <c r="AR42" i="33"/>
  <c r="AO25" i="33"/>
  <c r="CO47" i="36"/>
  <c r="CO43" i="36"/>
  <c r="S98" i="36"/>
  <c r="S94" i="36"/>
  <c r="CU94" i="36"/>
  <c r="CU98" i="36"/>
  <c r="CS87" i="36"/>
  <c r="CS89" i="36"/>
  <c r="AF26" i="36"/>
  <c r="AD30" i="36"/>
  <c r="AD29" i="36" s="1"/>
  <c r="CJ26" i="36"/>
  <c r="AD25" i="36"/>
  <c r="AD24" i="36"/>
  <c r="AD23" i="36" s="1"/>
  <c r="Q98" i="36"/>
  <c r="Q94" i="36"/>
  <c r="CY94" i="36"/>
  <c r="CY98" i="36"/>
  <c r="CM87" i="36"/>
  <c r="CM89" i="36"/>
  <c r="CK87" i="36"/>
  <c r="CK89" i="36"/>
  <c r="CW94" i="36"/>
  <c r="CW98" i="36"/>
  <c r="AC30" i="36"/>
  <c r="AC29" i="36" s="1"/>
  <c r="AC25" i="36"/>
  <c r="AE26" i="36"/>
  <c r="AC24" i="36"/>
  <c r="AC23" i="36" s="1"/>
  <c r="CO93" i="36"/>
  <c r="CO90" i="36"/>
  <c r="CQ144" i="36"/>
  <c r="CQ99" i="36"/>
  <c r="CQ124" i="36" s="1"/>
  <c r="CQ43" i="36"/>
  <c r="CQ47" i="36"/>
  <c r="AM83" i="33"/>
  <c r="AM84" i="33" s="1"/>
  <c r="AQ83" i="33"/>
  <c r="AQ84" i="33" s="1"/>
  <c r="AQ25" i="33"/>
  <c r="AP42" i="33"/>
  <c r="AS25" i="33"/>
  <c r="AS83" i="33"/>
  <c r="AS84" i="33" s="1"/>
  <c r="AN16" i="33"/>
  <c r="AN20" i="33" s="1"/>
  <c r="AN24" i="33" s="1"/>
  <c r="AN23" i="33" s="1"/>
  <c r="AK25" i="33"/>
  <c r="AO84" i="33"/>
  <c r="AO86" i="33"/>
  <c r="AR16" i="33"/>
  <c r="AR20" i="33" s="1"/>
  <c r="AR24" i="33" s="1"/>
  <c r="AR23" i="33" s="1"/>
  <c r="AS10" i="33"/>
  <c r="AS16" i="33" s="1"/>
  <c r="AS20" i="33" s="1"/>
  <c r="AS24" i="33" s="1"/>
  <c r="AS23" i="33" s="1"/>
  <c r="AO129" i="33"/>
  <c r="AO75" i="33"/>
  <c r="AO132" i="33"/>
  <c r="AO69" i="33"/>
  <c r="AO126" i="33"/>
  <c r="AO77" i="33"/>
  <c r="AO76" i="33" s="1"/>
  <c r="AO16" i="33"/>
  <c r="AO20" i="33" s="1"/>
  <c r="AO24" i="33" s="1"/>
  <c r="AO23" i="33" s="1"/>
  <c r="AQ10" i="33"/>
  <c r="AQ77" i="33" s="1"/>
  <c r="AQ76" i="33" s="1"/>
  <c r="AP16" i="33"/>
  <c r="AP20" i="33" s="1"/>
  <c r="AP24" i="33" s="1"/>
  <c r="AP23" i="33" s="1"/>
  <c r="AO141" i="33"/>
  <c r="AO81" i="33"/>
  <c r="AQ86" i="33"/>
  <c r="AO82" i="33"/>
  <c r="AP31" i="33"/>
  <c r="AN31" i="33"/>
  <c r="AN42" i="33"/>
  <c r="AJ16" i="33"/>
  <c r="AJ20" i="33" s="1"/>
  <c r="AJ24" i="33" s="1"/>
  <c r="AJ23" i="33" s="1"/>
  <c r="AK10" i="33"/>
  <c r="AK86" i="33"/>
  <c r="AK84" i="33"/>
  <c r="AL16" i="33"/>
  <c r="AL20" i="33" s="1"/>
  <c r="AL24" i="33" s="1"/>
  <c r="AL23" i="33" s="1"/>
  <c r="AM10" i="33"/>
  <c r="AK82" i="33"/>
  <c r="AJ42" i="33"/>
  <c r="AJ30" i="33"/>
  <c r="AJ29" i="33" s="1"/>
  <c r="AL42" i="33"/>
  <c r="AQ81" i="33" l="1"/>
  <c r="BE98" i="36"/>
  <c r="BE94" i="36"/>
  <c r="AQ16" i="33"/>
  <c r="AQ20" i="33" s="1"/>
  <c r="AQ24" i="33" s="1"/>
  <c r="AQ23" i="33" s="1"/>
  <c r="AE30" i="36"/>
  <c r="AE29" i="36" s="1"/>
  <c r="CK26" i="36"/>
  <c r="AG26" i="36"/>
  <c r="AE25" i="36"/>
  <c r="AE24" i="36"/>
  <c r="AE23" i="36" s="1"/>
  <c r="CP26" i="36"/>
  <c r="CJ30" i="36"/>
  <c r="CJ29" i="36" s="1"/>
  <c r="CJ25" i="36"/>
  <c r="CJ24" i="36"/>
  <c r="CJ23" i="36" s="1"/>
  <c r="AF30" i="36"/>
  <c r="AF29" i="36" s="1"/>
  <c r="CL26" i="36"/>
  <c r="AH26" i="36"/>
  <c r="AF25" i="36"/>
  <c r="AF24" i="36"/>
  <c r="AF23" i="36" s="1"/>
  <c r="CW144" i="36"/>
  <c r="CW99" i="36"/>
  <c r="CW124" i="36" s="1"/>
  <c r="Q144" i="36"/>
  <c r="Q99" i="36"/>
  <c r="CO98" i="36"/>
  <c r="CO94" i="36"/>
  <c r="CS93" i="36"/>
  <c r="CS90" i="36"/>
  <c r="CU144" i="36"/>
  <c r="CU99" i="36"/>
  <c r="CU124" i="36" s="1"/>
  <c r="CK93" i="36"/>
  <c r="CK90" i="36"/>
  <c r="CM93" i="36"/>
  <c r="CM90" i="36"/>
  <c r="S144" i="36"/>
  <c r="S99" i="36"/>
  <c r="CY144" i="36"/>
  <c r="CY99" i="36"/>
  <c r="CY124" i="36" s="1"/>
  <c r="AM86" i="33"/>
  <c r="AM89" i="33" s="1"/>
  <c r="AS86" i="33"/>
  <c r="AS87" i="33" s="1"/>
  <c r="AM87" i="33"/>
  <c r="AS81" i="33"/>
  <c r="AS129" i="33"/>
  <c r="AS75" i="33"/>
  <c r="AS132" i="33"/>
  <c r="AS126" i="33"/>
  <c r="AS69" i="33"/>
  <c r="AQ129" i="33"/>
  <c r="AQ75" i="33"/>
  <c r="AQ132" i="33"/>
  <c r="AQ126" i="33"/>
  <c r="AQ69" i="33"/>
  <c r="AQ89" i="33"/>
  <c r="AQ87" i="33"/>
  <c r="AO89" i="33"/>
  <c r="AO87" i="33"/>
  <c r="AS77" i="33"/>
  <c r="AS76" i="33" s="1"/>
  <c r="AK129" i="33"/>
  <c r="AK126" i="33"/>
  <c r="AK16" i="33"/>
  <c r="AK20" i="33" s="1"/>
  <c r="AK24" i="33" s="1"/>
  <c r="AK23" i="33" s="1"/>
  <c r="AK75" i="33"/>
  <c r="AK132" i="33"/>
  <c r="AK69" i="33"/>
  <c r="AM129" i="33"/>
  <c r="AM126" i="33"/>
  <c r="AM16" i="33"/>
  <c r="AM20" i="33" s="1"/>
  <c r="AM24" i="33" s="1"/>
  <c r="AM23" i="33" s="1"/>
  <c r="AM75" i="33"/>
  <c r="AM81" i="33"/>
  <c r="AM77" i="33"/>
  <c r="AM76" i="33" s="1"/>
  <c r="AM132" i="33"/>
  <c r="AM69" i="33"/>
  <c r="AK87" i="33"/>
  <c r="AK89" i="33"/>
  <c r="AK77" i="33"/>
  <c r="AK76" i="33" s="1"/>
  <c r="AK81" i="33"/>
  <c r="BE144" i="36" l="1"/>
  <c r="BE99" i="36"/>
  <c r="BE124" i="36" s="1"/>
  <c r="AS89" i="33"/>
  <c r="AH30" i="36"/>
  <c r="AH29" i="36" s="1"/>
  <c r="AH25" i="36"/>
  <c r="CN26" i="36"/>
  <c r="AJ26" i="36"/>
  <c r="CR26" i="36"/>
  <c r="AH24" i="36"/>
  <c r="AH23" i="36" s="1"/>
  <c r="CS94" i="36"/>
  <c r="CS98" i="36"/>
  <c r="CM94" i="36"/>
  <c r="CM98" i="36"/>
  <c r="CK94" i="36"/>
  <c r="CK98" i="36"/>
  <c r="CO144" i="36"/>
  <c r="CO99" i="36"/>
  <c r="CO124" i="36" s="1"/>
  <c r="AI26" i="36"/>
  <c r="AG30" i="36"/>
  <c r="AG29" i="36" s="1"/>
  <c r="CM26" i="36"/>
  <c r="AG25" i="36"/>
  <c r="AG24" i="36"/>
  <c r="AG23" i="36" s="1"/>
  <c r="CL30" i="36"/>
  <c r="CL29" i="36" s="1"/>
  <c r="CL25" i="36"/>
  <c r="CL24" i="36"/>
  <c r="CL23" i="36" s="1"/>
  <c r="CP25" i="36"/>
  <c r="CP30" i="36"/>
  <c r="CP29" i="36" s="1"/>
  <c r="CP24" i="36"/>
  <c r="CP23" i="36" s="1"/>
  <c r="CK25" i="36"/>
  <c r="CK30" i="36"/>
  <c r="CK29" i="36" s="1"/>
  <c r="CQ26" i="36"/>
  <c r="CK24" i="36"/>
  <c r="CK23" i="36" s="1"/>
  <c r="AM90" i="33"/>
  <c r="AM93" i="33"/>
  <c r="AO90" i="33"/>
  <c r="AO93" i="33"/>
  <c r="AQ90" i="33"/>
  <c r="AQ93" i="33"/>
  <c r="AS90" i="33"/>
  <c r="AS93" i="33"/>
  <c r="AK90" i="33"/>
  <c r="AK93" i="33"/>
  <c r="CK144" i="36" l="1"/>
  <c r="CK99" i="36"/>
  <c r="CK124" i="36" s="1"/>
  <c r="CS26" i="36"/>
  <c r="CO26" i="36"/>
  <c r="AK26" i="36"/>
  <c r="AI25" i="36"/>
  <c r="AI30" i="36"/>
  <c r="AI29" i="36" s="1"/>
  <c r="AI24" i="36"/>
  <c r="AI23" i="36" s="1"/>
  <c r="CQ25" i="36"/>
  <c r="CQ30" i="36"/>
  <c r="CQ29" i="36" s="1"/>
  <c r="CQ24" i="36"/>
  <c r="CQ23" i="36" s="1"/>
  <c r="CM144" i="36"/>
  <c r="CM99" i="36"/>
  <c r="CM124" i="36" s="1"/>
  <c r="CS144" i="36"/>
  <c r="CS99" i="36"/>
  <c r="CS124" i="36" s="1"/>
  <c r="CR30" i="36"/>
  <c r="CR29" i="36" s="1"/>
  <c r="CR25" i="36"/>
  <c r="CR24" i="36"/>
  <c r="CR23" i="36" s="1"/>
  <c r="AL26" i="36"/>
  <c r="AJ25" i="36"/>
  <c r="AJ30" i="36"/>
  <c r="AJ29" i="36" s="1"/>
  <c r="AJ24" i="36"/>
  <c r="AJ23" i="36" s="1"/>
  <c r="CN25" i="36"/>
  <c r="CN30" i="36"/>
  <c r="CN29" i="36" s="1"/>
  <c r="CN24" i="36"/>
  <c r="CN23" i="36" s="1"/>
  <c r="CM25" i="36"/>
  <c r="CM30" i="36"/>
  <c r="CM29" i="36" s="1"/>
  <c r="CM24" i="36"/>
  <c r="CM23" i="36" s="1"/>
  <c r="AM94" i="33"/>
  <c r="AQ94" i="33"/>
  <c r="AO94" i="33"/>
  <c r="AS94" i="33"/>
  <c r="AK94" i="33"/>
  <c r="AK25" i="36" l="1"/>
  <c r="AK30" i="36"/>
  <c r="AK29" i="36" s="1"/>
  <c r="AM26" i="36"/>
  <c r="AK24" i="36"/>
  <c r="AK23" i="36" s="1"/>
  <c r="CO30" i="36"/>
  <c r="CO29" i="36" s="1"/>
  <c r="CO25" i="36"/>
  <c r="CO24" i="36"/>
  <c r="CO23" i="36" s="1"/>
  <c r="AN26" i="36"/>
  <c r="AL25" i="36"/>
  <c r="AL30" i="36"/>
  <c r="AL29" i="36" s="1"/>
  <c r="AL24" i="36"/>
  <c r="AL23" i="36" s="1"/>
  <c r="CS25" i="36"/>
  <c r="CS30" i="36"/>
  <c r="CS29" i="36" s="1"/>
  <c r="CS24" i="36"/>
  <c r="CS23" i="36" s="1"/>
  <c r="BD181" i="15"/>
  <c r="BE137" i="15"/>
  <c r="BE135" i="15"/>
  <c r="BE131" i="15"/>
  <c r="BE104" i="15"/>
  <c r="BE79" i="15"/>
  <c r="BE71" i="15"/>
  <c r="BE67" i="15"/>
  <c r="BE57" i="15"/>
  <c r="BE63" i="15" s="1"/>
  <c r="BE42" i="15"/>
  <c r="BD32" i="15"/>
  <c r="BD30" i="15" s="1"/>
  <c r="BD29" i="15" s="1"/>
  <c r="BE31" i="15"/>
  <c r="BE26" i="15"/>
  <c r="BE30" i="15" s="1"/>
  <c r="BE29" i="15" s="1"/>
  <c r="BD25" i="15"/>
  <c r="BD19" i="15"/>
  <c r="BE15" i="15"/>
  <c r="BE19" i="15" s="1"/>
  <c r="BD9" i="15"/>
  <c r="BD2" i="15"/>
  <c r="BD10" i="15" s="1"/>
  <c r="BE151" i="13"/>
  <c r="BE150" i="13"/>
  <c r="BE138" i="13"/>
  <c r="BE135" i="13"/>
  <c r="BE141" i="13" s="1"/>
  <c r="BE123" i="13"/>
  <c r="BE122" i="13"/>
  <c r="BE121" i="13"/>
  <c r="BE120" i="13"/>
  <c r="BE117" i="13" s="1"/>
  <c r="BE116" i="13" s="1"/>
  <c r="BE114" i="13" s="1"/>
  <c r="BE115" i="13" s="1"/>
  <c r="BE119" i="13"/>
  <c r="BE106" i="13"/>
  <c r="BE100" i="13"/>
  <c r="BE104" i="13" s="1"/>
  <c r="BE105" i="13" s="1"/>
  <c r="BE71" i="13"/>
  <c r="BE67" i="13"/>
  <c r="BE78" i="13" s="1"/>
  <c r="BE65" i="13"/>
  <c r="BE57" i="13"/>
  <c r="BE63" i="13" s="1"/>
  <c r="BE52" i="13"/>
  <c r="BE42" i="13"/>
  <c r="BE39" i="13"/>
  <c r="BD32" i="13"/>
  <c r="BD42" i="13" s="1"/>
  <c r="BE31" i="13"/>
  <c r="BD19" i="13"/>
  <c r="BE15" i="13"/>
  <c r="BE19" i="13" s="1"/>
  <c r="BD2" i="13"/>
  <c r="BD10" i="13" s="1"/>
  <c r="BD16" i="13" s="1"/>
  <c r="BD20" i="13" s="1"/>
  <c r="AT32" i="34"/>
  <c r="AT26" i="34"/>
  <c r="AU26" i="34" s="1"/>
  <c r="AU137" i="34"/>
  <c r="AU135" i="34"/>
  <c r="AU141" i="34" s="1"/>
  <c r="AU131" i="34"/>
  <c r="AU123" i="34"/>
  <c r="AU122" i="34"/>
  <c r="AU121" i="34"/>
  <c r="AU120" i="34"/>
  <c r="AU119" i="34"/>
  <c r="AU106" i="34"/>
  <c r="AU104" i="34"/>
  <c r="AU105" i="34" s="1"/>
  <c r="AU80" i="34"/>
  <c r="AU82" i="34" s="1"/>
  <c r="AU71" i="34"/>
  <c r="AU65" i="34"/>
  <c r="AU60" i="34" s="1"/>
  <c r="AU63" i="34"/>
  <c r="AU52" i="34"/>
  <c r="AT19" i="34"/>
  <c r="AU15" i="34"/>
  <c r="AU19" i="34" s="1"/>
  <c r="AT9" i="34"/>
  <c r="BE59" i="13" l="1"/>
  <c r="BE60" i="13"/>
  <c r="BD8" i="13" s="1"/>
  <c r="AU96" i="34"/>
  <c r="AU117" i="34"/>
  <c r="AU116" i="34" s="1"/>
  <c r="AU114" i="34" s="1"/>
  <c r="AU115" i="34" s="1"/>
  <c r="BE96" i="13"/>
  <c r="BE56" i="13"/>
  <c r="BE53" i="13" s="1"/>
  <c r="BE149" i="13"/>
  <c r="BE152" i="13" s="1"/>
  <c r="BE80" i="13"/>
  <c r="BE83" i="13" s="1"/>
  <c r="BE86" i="13" s="1"/>
  <c r="BE87" i="13" s="1"/>
  <c r="BE108" i="13"/>
  <c r="BE109" i="13" s="1"/>
  <c r="BD9" i="13"/>
  <c r="BD72" i="13"/>
  <c r="AN25" i="36"/>
  <c r="AP26" i="36"/>
  <c r="AN30" i="36"/>
  <c r="AN29" i="36" s="1"/>
  <c r="AN24" i="36"/>
  <c r="AN23" i="36" s="1"/>
  <c r="AO26" i="36"/>
  <c r="AM25" i="36"/>
  <c r="AM30" i="36"/>
  <c r="AM29" i="36" s="1"/>
  <c r="AM24" i="36"/>
  <c r="AM23" i="36" s="1"/>
  <c r="BD16" i="15"/>
  <c r="BD20" i="15" s="1"/>
  <c r="BD24" i="15" s="1"/>
  <c r="BD23" i="15" s="1"/>
  <c r="BE10" i="15"/>
  <c r="BE16" i="15" s="1"/>
  <c r="BE20" i="15" s="1"/>
  <c r="BE24" i="15" s="1"/>
  <c r="BE23" i="15" s="1"/>
  <c r="BE78" i="15"/>
  <c r="BE80" i="15"/>
  <c r="BD42" i="15"/>
  <c r="BE25" i="15"/>
  <c r="BD31" i="15"/>
  <c r="BD72" i="15"/>
  <c r="BE141" i="15"/>
  <c r="BE68" i="13"/>
  <c r="BE50" i="13"/>
  <c r="BE111" i="13"/>
  <c r="BE112" i="13" s="1"/>
  <c r="BE10" i="13"/>
  <c r="BE75" i="13" s="1"/>
  <c r="BD31" i="13"/>
  <c r="AT42" i="34"/>
  <c r="AT31" i="34"/>
  <c r="AU42" i="34"/>
  <c r="AU31" i="34"/>
  <c r="AU30" i="34"/>
  <c r="AU29" i="34" s="1"/>
  <c r="AU25" i="34"/>
  <c r="AT30" i="34"/>
  <c r="AT29" i="34" s="1"/>
  <c r="AT25" i="34"/>
  <c r="AU111" i="34"/>
  <c r="AU112" i="34" s="1"/>
  <c r="AT8" i="34"/>
  <c r="AU56" i="34"/>
  <c r="AU53" i="34" s="1"/>
  <c r="AU108" i="34"/>
  <c r="AU109" i="34" s="1"/>
  <c r="AU83" i="34"/>
  <c r="AU59" i="34"/>
  <c r="BE89" i="13" l="1"/>
  <c r="BE90" i="13" s="1"/>
  <c r="BE84" i="13"/>
  <c r="BE82" i="13"/>
  <c r="AO30" i="36"/>
  <c r="AO29" i="36" s="1"/>
  <c r="AQ26" i="36"/>
  <c r="AO25" i="36"/>
  <c r="AO24" i="36"/>
  <c r="AO23" i="36" s="1"/>
  <c r="AP25" i="36"/>
  <c r="AP30" i="36"/>
  <c r="AP29" i="36" s="1"/>
  <c r="AR26" i="36"/>
  <c r="AP24" i="36"/>
  <c r="AP23" i="36" s="1"/>
  <c r="BE69" i="15"/>
  <c r="BE75" i="15"/>
  <c r="BE126" i="15"/>
  <c r="BE129" i="15"/>
  <c r="BE83" i="15"/>
  <c r="BE82" i="15"/>
  <c r="BE81" i="15"/>
  <c r="BE77" i="15"/>
  <c r="BE76" i="15" s="1"/>
  <c r="BE132" i="15"/>
  <c r="BE126" i="13"/>
  <c r="BE127" i="13" s="1"/>
  <c r="BE77" i="13"/>
  <c r="BF77" i="13" s="1"/>
  <c r="BE69" i="13"/>
  <c r="BE16" i="13"/>
  <c r="BE20" i="13" s="1"/>
  <c r="BE129" i="13"/>
  <c r="BE130" i="13" s="1"/>
  <c r="BE81" i="13"/>
  <c r="BE132" i="13"/>
  <c r="BE133" i="13" s="1"/>
  <c r="BE142" i="13" s="1"/>
  <c r="BE54" i="13"/>
  <c r="AU84" i="34"/>
  <c r="AU86" i="34"/>
  <c r="AU68" i="34"/>
  <c r="AU50" i="34"/>
  <c r="BE93" i="13" l="1"/>
  <c r="AR30" i="36"/>
  <c r="AR29" i="36" s="1"/>
  <c r="AR25" i="36"/>
  <c r="AT26" i="36"/>
  <c r="AR24" i="36"/>
  <c r="AR23" i="36" s="1"/>
  <c r="AQ25" i="36"/>
  <c r="AQ30" i="36"/>
  <c r="AQ29" i="36" s="1"/>
  <c r="AS26" i="36"/>
  <c r="AQ24" i="36"/>
  <c r="AQ23" i="36" s="1"/>
  <c r="BE84" i="15"/>
  <c r="BE86" i="15"/>
  <c r="BE41" i="13"/>
  <c r="BD41" i="13"/>
  <c r="BE49" i="13"/>
  <c r="BE98" i="13"/>
  <c r="BE94" i="13"/>
  <c r="BE76" i="13"/>
  <c r="AU54" i="34"/>
  <c r="AU49" i="34" s="1"/>
  <c r="AU89" i="34"/>
  <c r="AU87" i="34"/>
  <c r="AV26" i="36" l="1"/>
  <c r="AT25" i="36"/>
  <c r="AT30" i="36"/>
  <c r="AT29" i="36" s="1"/>
  <c r="AT24" i="36"/>
  <c r="AT23" i="36" s="1"/>
  <c r="AS25" i="36"/>
  <c r="AS30" i="36"/>
  <c r="AS29" i="36" s="1"/>
  <c r="AU26" i="36"/>
  <c r="AS24" i="36"/>
  <c r="AS23" i="36" s="1"/>
  <c r="BE89" i="15"/>
  <c r="BE87" i="15"/>
  <c r="BE99" i="13"/>
  <c r="BE124" i="13" s="1"/>
  <c r="BE144" i="13"/>
  <c r="BD49" i="13"/>
  <c r="BD48" i="13" s="1"/>
  <c r="BE48" i="13"/>
  <c r="BE45" i="13"/>
  <c r="BE44" i="13" s="1"/>
  <c r="BD45" i="13"/>
  <c r="BD44" i="13" s="1"/>
  <c r="BD43" i="13" s="1"/>
  <c r="AT49" i="34"/>
  <c r="AU45" i="34"/>
  <c r="AT45" i="34"/>
  <c r="AU90" i="34"/>
  <c r="AU93" i="34"/>
  <c r="AU41" i="34"/>
  <c r="AT41" i="34"/>
  <c r="AV30" i="36" l="1"/>
  <c r="AV29" i="36" s="1"/>
  <c r="AX26" i="36"/>
  <c r="AV25" i="36"/>
  <c r="AV24" i="36"/>
  <c r="AV23" i="36" s="1"/>
  <c r="AU30" i="36"/>
  <c r="AU29" i="36" s="1"/>
  <c r="AU25" i="36"/>
  <c r="AW26" i="36"/>
  <c r="AU24" i="36"/>
  <c r="AU23" i="36" s="1"/>
  <c r="BE93" i="15"/>
  <c r="BE90" i="15"/>
  <c r="BE43" i="13"/>
  <c r="BE47" i="13"/>
  <c r="AU98" i="34"/>
  <c r="AU94" i="34"/>
  <c r="AT44" i="34"/>
  <c r="AT43" i="34" s="1"/>
  <c r="AU44" i="34"/>
  <c r="AU43" i="34" s="1"/>
  <c r="AY26" i="36" l="1"/>
  <c r="AW25" i="36"/>
  <c r="AW30" i="36"/>
  <c r="AW29" i="36" s="1"/>
  <c r="AW24" i="36"/>
  <c r="AW23" i="36" s="1"/>
  <c r="AX30" i="36"/>
  <c r="AX29" i="36" s="1"/>
  <c r="AX25" i="36"/>
  <c r="AZ26" i="36"/>
  <c r="AX24" i="36"/>
  <c r="AX23" i="36" s="1"/>
  <c r="BE94" i="15"/>
  <c r="AU99" i="34"/>
  <c r="AY30" i="36" l="1"/>
  <c r="AY29" i="36" s="1"/>
  <c r="BA26" i="36"/>
  <c r="AY25" i="36"/>
  <c r="AY24" i="36"/>
  <c r="AY23" i="36" s="1"/>
  <c r="BB26" i="36"/>
  <c r="AZ30" i="36"/>
  <c r="AZ29" i="36" s="1"/>
  <c r="AZ25" i="36"/>
  <c r="AZ24" i="36"/>
  <c r="AZ23" i="36" s="1"/>
  <c r="AP19" i="34"/>
  <c r="AN19" i="34"/>
  <c r="AL19" i="34"/>
  <c r="BB30" i="36" l="1"/>
  <c r="BB29" i="36" s="1"/>
  <c r="BD26" i="36"/>
  <c r="BB25" i="36"/>
  <c r="BB24" i="36"/>
  <c r="BB23" i="36" s="1"/>
  <c r="BA25" i="36"/>
  <c r="BA30" i="36"/>
  <c r="BA29" i="36" s="1"/>
  <c r="BC26" i="36"/>
  <c r="BA24" i="36"/>
  <c r="BA23" i="36" s="1"/>
  <c r="DA26" i="36" l="1"/>
  <c r="DA25" i="36" s="1"/>
  <c r="BF26" i="36"/>
  <c r="DA30" i="36"/>
  <c r="DA29" i="36" s="1"/>
  <c r="DA24" i="36"/>
  <c r="DA23" i="36" s="1"/>
  <c r="BE26" i="36"/>
  <c r="BC25" i="36"/>
  <c r="BC30" i="36"/>
  <c r="BC29" i="36" s="1"/>
  <c r="BC24" i="36"/>
  <c r="BC23" i="36" s="1"/>
  <c r="BD25" i="36"/>
  <c r="BD30" i="36"/>
  <c r="BD29" i="36" s="1"/>
  <c r="BD24" i="36"/>
  <c r="BD23" i="36" s="1"/>
  <c r="CO2" i="3"/>
  <c r="CP26" i="3"/>
  <c r="AQ35" i="34"/>
  <c r="AO32" i="34"/>
  <c r="AN32" i="34" s="1"/>
  <c r="CN123" i="3"/>
  <c r="CN122" i="3"/>
  <c r="CN121" i="3"/>
  <c r="CN120" i="3"/>
  <c r="CN119" i="3"/>
  <c r="CN106" i="3"/>
  <c r="CN100" i="3"/>
  <c r="CN104" i="3" s="1"/>
  <c r="CN105" i="3" s="1"/>
  <c r="CN80" i="3"/>
  <c r="CN82" i="3" s="1"/>
  <c r="CN65" i="3"/>
  <c r="CN63" i="3"/>
  <c r="CN52" i="3"/>
  <c r="CM26" i="3"/>
  <c r="CN26" i="3" s="1"/>
  <c r="CM19" i="3"/>
  <c r="CN15" i="3"/>
  <c r="CN19" i="3" s="1"/>
  <c r="CM9" i="3"/>
  <c r="CM2" i="3"/>
  <c r="CM10" i="3" s="1"/>
  <c r="CM16" i="3" s="1"/>
  <c r="CM20" i="3" s="1"/>
  <c r="AQ131" i="34"/>
  <c r="AO131" i="34"/>
  <c r="AM131" i="34"/>
  <c r="AK131" i="34"/>
  <c r="AI131" i="34"/>
  <c r="AG131" i="34"/>
  <c r="AE131" i="34"/>
  <c r="AQ137" i="34"/>
  <c r="AQ135" i="34"/>
  <c r="AQ96" i="34" s="1"/>
  <c r="AQ122" i="34"/>
  <c r="AQ121" i="34"/>
  <c r="AQ120" i="34"/>
  <c r="AQ119" i="34"/>
  <c r="AQ106" i="34"/>
  <c r="AQ104" i="34"/>
  <c r="AQ105" i="34" s="1"/>
  <c r="AQ80" i="34"/>
  <c r="AQ83" i="34" s="1"/>
  <c r="AQ71" i="34"/>
  <c r="AQ65" i="34"/>
  <c r="AQ59" i="34" s="1"/>
  <c r="AQ63" i="34"/>
  <c r="AQ52" i="34"/>
  <c r="AQ32" i="34"/>
  <c r="AP32" i="34" s="1"/>
  <c r="AP25" i="34"/>
  <c r="AQ15" i="34"/>
  <c r="AQ19" i="34" s="1"/>
  <c r="AP9" i="34"/>
  <c r="AO137" i="34"/>
  <c r="AM137" i="34"/>
  <c r="AK137" i="34"/>
  <c r="AO135" i="34"/>
  <c r="AO96" i="34" s="1"/>
  <c r="AM135" i="34"/>
  <c r="AM141" i="34" s="1"/>
  <c r="AK135" i="34"/>
  <c r="AK96" i="34" s="1"/>
  <c r="AO123" i="34"/>
  <c r="AK123" i="34"/>
  <c r="AO122" i="34"/>
  <c r="AM122" i="34"/>
  <c r="AK122" i="34"/>
  <c r="AO121" i="34"/>
  <c r="AM121" i="34"/>
  <c r="AK121" i="34"/>
  <c r="AO120" i="34"/>
  <c r="AM120" i="34"/>
  <c r="AK120" i="34"/>
  <c r="AO119" i="34"/>
  <c r="AM119" i="34"/>
  <c r="AK119" i="34"/>
  <c r="AO106" i="34"/>
  <c r="AM106" i="34"/>
  <c r="AK106" i="34"/>
  <c r="AO104" i="34"/>
  <c r="AO105" i="34" s="1"/>
  <c r="AM104" i="34"/>
  <c r="AM105" i="34" s="1"/>
  <c r="AK104" i="34"/>
  <c r="AK105" i="34" s="1"/>
  <c r="AO80" i="34"/>
  <c r="AO83" i="34" s="1"/>
  <c r="AM80" i="34"/>
  <c r="AM83" i="34" s="1"/>
  <c r="AK80" i="34"/>
  <c r="AK83" i="34" s="1"/>
  <c r="AK86" i="34" s="1"/>
  <c r="AO71" i="34"/>
  <c r="AM71" i="34"/>
  <c r="AK71" i="34"/>
  <c r="AO65" i="34"/>
  <c r="AO60" i="34" s="1"/>
  <c r="AM65" i="34"/>
  <c r="AM60" i="34" s="1"/>
  <c r="AK65" i="34"/>
  <c r="AK60" i="34" s="1"/>
  <c r="AK108" i="34" s="1"/>
  <c r="AK109" i="34" s="1"/>
  <c r="AO63" i="34"/>
  <c r="AM63" i="34"/>
  <c r="AK63" i="34"/>
  <c r="AO52" i="34"/>
  <c r="AM52" i="34"/>
  <c r="AK52" i="34"/>
  <c r="AM32" i="34"/>
  <c r="AM42" i="34" s="1"/>
  <c r="AK32" i="34"/>
  <c r="AJ32" i="34" s="1"/>
  <c r="AJ30" i="34" s="1"/>
  <c r="AJ29" i="34" s="1"/>
  <c r="AO26" i="34"/>
  <c r="AM26" i="34"/>
  <c r="AM25" i="34" s="1"/>
  <c r="AK26" i="34"/>
  <c r="AL25" i="34"/>
  <c r="AJ25" i="34"/>
  <c r="AJ19" i="34"/>
  <c r="AO15" i="34"/>
  <c r="AO19" i="34" s="1"/>
  <c r="AM15" i="34"/>
  <c r="AM19" i="34" s="1"/>
  <c r="AK15" i="34"/>
  <c r="AK19" i="34" s="1"/>
  <c r="AN9" i="34"/>
  <c r="AL9" i="34"/>
  <c r="AJ9" i="34"/>
  <c r="BC131" i="15"/>
  <c r="BA131" i="15"/>
  <c r="AY131" i="15"/>
  <c r="AW131" i="15"/>
  <c r="AU131" i="15"/>
  <c r="AS131" i="15"/>
  <c r="AQ131" i="15"/>
  <c r="BB181" i="15"/>
  <c r="BC137" i="15"/>
  <c r="BC135" i="15"/>
  <c r="BC141" i="15" s="1"/>
  <c r="BC104" i="15"/>
  <c r="BC79" i="15"/>
  <c r="BC71" i="15"/>
  <c r="BC67" i="15"/>
  <c r="BB72" i="15" s="1"/>
  <c r="BC57" i="15"/>
  <c r="BB9" i="15" s="1"/>
  <c r="BC42" i="15"/>
  <c r="BB32" i="15"/>
  <c r="BB31" i="15" s="1"/>
  <c r="BC31" i="15"/>
  <c r="BC26" i="15"/>
  <c r="BC30" i="15" s="1"/>
  <c r="BC29" i="15" s="1"/>
  <c r="BB25" i="15"/>
  <c r="BB19" i="15"/>
  <c r="BC15" i="15"/>
  <c r="BC19" i="15" s="1"/>
  <c r="BB2" i="15"/>
  <c r="BB10" i="15" s="1"/>
  <c r="AZ181" i="15"/>
  <c r="AX181" i="15"/>
  <c r="AV181" i="15"/>
  <c r="BA137" i="15"/>
  <c r="AY137" i="15"/>
  <c r="AW137" i="15"/>
  <c r="BA135" i="15"/>
  <c r="AY135" i="15"/>
  <c r="AY141" i="15" s="1"/>
  <c r="AW135" i="15"/>
  <c r="AW141" i="15" s="1"/>
  <c r="BA104" i="15"/>
  <c r="AY104" i="15"/>
  <c r="AW104" i="15"/>
  <c r="BA79" i="15"/>
  <c r="AY79" i="15"/>
  <c r="AW79" i="15"/>
  <c r="BA71" i="15"/>
  <c r="AY71" i="15"/>
  <c r="AW71" i="15"/>
  <c r="BA67" i="15"/>
  <c r="BA80" i="15" s="1"/>
  <c r="AY67" i="15"/>
  <c r="AX72" i="15" s="1"/>
  <c r="AW67" i="15"/>
  <c r="AW80" i="15" s="1"/>
  <c r="BA57" i="15"/>
  <c r="BA63" i="15" s="1"/>
  <c r="AY57" i="15"/>
  <c r="AX9" i="15" s="1"/>
  <c r="AW57" i="15"/>
  <c r="AW63" i="15" s="1"/>
  <c r="BA42" i="15"/>
  <c r="AY42" i="15"/>
  <c r="AW42" i="15"/>
  <c r="AZ32" i="15"/>
  <c r="AZ31" i="15" s="1"/>
  <c r="AX32" i="15"/>
  <c r="AX31" i="15" s="1"/>
  <c r="AV32" i="15"/>
  <c r="BA31" i="15"/>
  <c r="AY31" i="15"/>
  <c r="AW31" i="15"/>
  <c r="BA26" i="15"/>
  <c r="BA25" i="15" s="1"/>
  <c r="AY26" i="15"/>
  <c r="AY30" i="15" s="1"/>
  <c r="AY29" i="15" s="1"/>
  <c r="AW26" i="15"/>
  <c r="AW30" i="15" s="1"/>
  <c r="AW29" i="15" s="1"/>
  <c r="AZ25" i="15"/>
  <c r="AX25" i="15"/>
  <c r="AV25" i="15"/>
  <c r="AZ19" i="15"/>
  <c r="AX19" i="15"/>
  <c r="AV19" i="15"/>
  <c r="BA15" i="15"/>
  <c r="BA19" i="15" s="1"/>
  <c r="AY15" i="15"/>
  <c r="AY19" i="15" s="1"/>
  <c r="AW15" i="15"/>
  <c r="AW19" i="15" s="1"/>
  <c r="AZ2" i="15"/>
  <c r="AZ10" i="15" s="1"/>
  <c r="AZ16" i="15" s="1"/>
  <c r="AZ20" i="15" s="1"/>
  <c r="AZ24" i="15" s="1"/>
  <c r="AZ23" i="15" s="1"/>
  <c r="AX2" i="15"/>
  <c r="AX10" i="15" s="1"/>
  <c r="AY10" i="15" s="1"/>
  <c r="AV2" i="15"/>
  <c r="AV10" i="15" s="1"/>
  <c r="BC131" i="14"/>
  <c r="BA131" i="14"/>
  <c r="AY131" i="14"/>
  <c r="AW131" i="14"/>
  <c r="BC135" i="14"/>
  <c r="BC141" i="14" s="1"/>
  <c r="BC122" i="14"/>
  <c r="BC121" i="14"/>
  <c r="BC120" i="14"/>
  <c r="BC119" i="14"/>
  <c r="BC106" i="14"/>
  <c r="BC104" i="14"/>
  <c r="BC105" i="14" s="1"/>
  <c r="BC79" i="14"/>
  <c r="BC123" i="14" s="1"/>
  <c r="BC71" i="14"/>
  <c r="BC67" i="14"/>
  <c r="BB72" i="14" s="1"/>
  <c r="BC65" i="14"/>
  <c r="BC57" i="14"/>
  <c r="BB9" i="14" s="1"/>
  <c r="BC52" i="14"/>
  <c r="BB19" i="14"/>
  <c r="BC15" i="14"/>
  <c r="BC19" i="14" s="1"/>
  <c r="BB2" i="14"/>
  <c r="BB10" i="14" s="1"/>
  <c r="BA135" i="14"/>
  <c r="BA96" i="14" s="1"/>
  <c r="AY135" i="14"/>
  <c r="AY96" i="14" s="1"/>
  <c r="AW135" i="14"/>
  <c r="AW96" i="14" s="1"/>
  <c r="BA122" i="14"/>
  <c r="AY122" i="14"/>
  <c r="AW122" i="14"/>
  <c r="BA121" i="14"/>
  <c r="AY121" i="14"/>
  <c r="AW121" i="14"/>
  <c r="BA120" i="14"/>
  <c r="AY120" i="14"/>
  <c r="AW120" i="14"/>
  <c r="BA119" i="14"/>
  <c r="AY119" i="14"/>
  <c r="AW119" i="14"/>
  <c r="BA106" i="14"/>
  <c r="AY106" i="14"/>
  <c r="AW106" i="14"/>
  <c r="BA104" i="14"/>
  <c r="BA105" i="14" s="1"/>
  <c r="AY104" i="14"/>
  <c r="AY105" i="14" s="1"/>
  <c r="AW104" i="14"/>
  <c r="AW105" i="14" s="1"/>
  <c r="BA79" i="14"/>
  <c r="BA123" i="14" s="1"/>
  <c r="AY79" i="14"/>
  <c r="AY123" i="14" s="1"/>
  <c r="AW79" i="14"/>
  <c r="AW123" i="14" s="1"/>
  <c r="BA71" i="14"/>
  <c r="AY71" i="14"/>
  <c r="AW71" i="14"/>
  <c r="BA67" i="14"/>
  <c r="BA80" i="14" s="1"/>
  <c r="AY67" i="14"/>
  <c r="AY80" i="14" s="1"/>
  <c r="AW67" i="14"/>
  <c r="AW80" i="14" s="1"/>
  <c r="AW82" i="14" s="1"/>
  <c r="BA65" i="14"/>
  <c r="AY65" i="14"/>
  <c r="AW65" i="14"/>
  <c r="BA57" i="14"/>
  <c r="AZ9" i="14" s="1"/>
  <c r="AY57" i="14"/>
  <c r="AX9" i="14" s="1"/>
  <c r="AW57" i="14"/>
  <c r="AV9" i="14" s="1"/>
  <c r="BA52" i="14"/>
  <c r="AY52" i="14"/>
  <c r="AW52" i="14"/>
  <c r="AZ19" i="14"/>
  <c r="AX19" i="14"/>
  <c r="AV19" i="14"/>
  <c r="BA15" i="14"/>
  <c r="BA19" i="14" s="1"/>
  <c r="AY15" i="14"/>
  <c r="AY19" i="14" s="1"/>
  <c r="AW15" i="14"/>
  <c r="AW19" i="14" s="1"/>
  <c r="AZ2" i="14"/>
  <c r="AZ10" i="14" s="1"/>
  <c r="BA10" i="14" s="1"/>
  <c r="AX2" i="14"/>
  <c r="AX10" i="14" s="1"/>
  <c r="AV2" i="14"/>
  <c r="AV10" i="14" s="1"/>
  <c r="V11" i="30"/>
  <c r="U11" i="30"/>
  <c r="T11" i="30"/>
  <c r="S11" i="30"/>
  <c r="R11" i="30"/>
  <c r="Q11" i="30"/>
  <c r="P11" i="30"/>
  <c r="BC131" i="13"/>
  <c r="BA131" i="13"/>
  <c r="AY131" i="13"/>
  <c r="AW131" i="13"/>
  <c r="BC151" i="13"/>
  <c r="BC150" i="13"/>
  <c r="BC138" i="13"/>
  <c r="BC135" i="13"/>
  <c r="BC141" i="13" s="1"/>
  <c r="BC123" i="13"/>
  <c r="BC122" i="13"/>
  <c r="BC121" i="13"/>
  <c r="BC120" i="13"/>
  <c r="BC119" i="13"/>
  <c r="BC106" i="13"/>
  <c r="BC100" i="13"/>
  <c r="BC104" i="13" s="1"/>
  <c r="BC105" i="13" s="1"/>
  <c r="BC71" i="13"/>
  <c r="BC67" i="13"/>
  <c r="BC80" i="13" s="1"/>
  <c r="BC65" i="13"/>
  <c r="BC57" i="13"/>
  <c r="BC52" i="13"/>
  <c r="BC42" i="13"/>
  <c r="BC39" i="13"/>
  <c r="BB32" i="13"/>
  <c r="BB31" i="13" s="1"/>
  <c r="BC31" i="13"/>
  <c r="BB19" i="13"/>
  <c r="BC15" i="13"/>
  <c r="BC19" i="13" s="1"/>
  <c r="BB2" i="13"/>
  <c r="BB10" i="13" s="1"/>
  <c r="BC62" i="14" l="1"/>
  <c r="BC117" i="13"/>
  <c r="BC116" i="13" s="1"/>
  <c r="BC114" i="13" s="1"/>
  <c r="BC115" i="13" s="1"/>
  <c r="AY60" i="14"/>
  <c r="AX8" i="14" s="1"/>
  <c r="AY78" i="15"/>
  <c r="DB26" i="36"/>
  <c r="DB25" i="36" s="1"/>
  <c r="BG26" i="36"/>
  <c r="BF30" i="36"/>
  <c r="BF29" i="36" s="1"/>
  <c r="DE26" i="36"/>
  <c r="BF25" i="36"/>
  <c r="BF24" i="36"/>
  <c r="BF23" i="36" s="1"/>
  <c r="DB24" i="36"/>
  <c r="DB23" i="36" s="1"/>
  <c r="AY80" i="15"/>
  <c r="AY82" i="15" s="1"/>
  <c r="BC78" i="15"/>
  <c r="AV9" i="15"/>
  <c r="BC80" i="15"/>
  <c r="BC82" i="15" s="1"/>
  <c r="AW78" i="15"/>
  <c r="BA60" i="14"/>
  <c r="BA108" i="14" s="1"/>
  <c r="BA109" i="14" s="1"/>
  <c r="AY108" i="14"/>
  <c r="AY109" i="14" s="1"/>
  <c r="AV72" i="14"/>
  <c r="AY78" i="14"/>
  <c r="AW60" i="14"/>
  <c r="AW108" i="14" s="1"/>
  <c r="AW109" i="14" s="1"/>
  <c r="BA78" i="14"/>
  <c r="AW78" i="14"/>
  <c r="AW62" i="14"/>
  <c r="AW59" i="14" s="1"/>
  <c r="BA62" i="14"/>
  <c r="BA59" i="14" s="1"/>
  <c r="BC80" i="14"/>
  <c r="BC83" i="14" s="1"/>
  <c r="BC84" i="14" s="1"/>
  <c r="BA132" i="14"/>
  <c r="BA133" i="14" s="1"/>
  <c r="BC83" i="13"/>
  <c r="BC86" i="13" s="1"/>
  <c r="BE30" i="36"/>
  <c r="BE29" i="36" s="1"/>
  <c r="BE25" i="36"/>
  <c r="BE24" i="36"/>
  <c r="BE23" i="36" s="1"/>
  <c r="AW25" i="15"/>
  <c r="AY25" i="15"/>
  <c r="AZ9" i="15"/>
  <c r="BC25" i="15"/>
  <c r="AY63" i="15"/>
  <c r="BC63" i="15"/>
  <c r="BC96" i="14"/>
  <c r="BC60" i="14"/>
  <c r="BC111" i="14" s="1"/>
  <c r="BC112" i="14" s="1"/>
  <c r="AZ72" i="14"/>
  <c r="BC78" i="14"/>
  <c r="BC78" i="13"/>
  <c r="BC149" i="13" s="1"/>
  <c r="BC152" i="13" s="1"/>
  <c r="BB42" i="13"/>
  <c r="AY117" i="14"/>
  <c r="AY116" i="14" s="1"/>
  <c r="AY114" i="14" s="1"/>
  <c r="AY115" i="14" s="1"/>
  <c r="BC96" i="13"/>
  <c r="AK30" i="34"/>
  <c r="AK29" i="34" s="1"/>
  <c r="CN83" i="3"/>
  <c r="CN84" i="3" s="1"/>
  <c r="CM24" i="3"/>
  <c r="CM23" i="3" s="1"/>
  <c r="CN60" i="3"/>
  <c r="CN111" i="3" s="1"/>
  <c r="CN112" i="3" s="1"/>
  <c r="CN117" i="3"/>
  <c r="CN116" i="3" s="1"/>
  <c r="CN114" i="3" s="1"/>
  <c r="CN115" i="3" s="1"/>
  <c r="CN71" i="3" s="1"/>
  <c r="CN42" i="3"/>
  <c r="CN25" i="3"/>
  <c r="CM25" i="3"/>
  <c r="CN10" i="3"/>
  <c r="CN16" i="3" s="1"/>
  <c r="CN20" i="3" s="1"/>
  <c r="CN24" i="3" s="1"/>
  <c r="CN23" i="3" s="1"/>
  <c r="CM42" i="3"/>
  <c r="CN59" i="3"/>
  <c r="AL32" i="34"/>
  <c r="AL31" i="34" s="1"/>
  <c r="AP30" i="34"/>
  <c r="AP29" i="34" s="1"/>
  <c r="AK59" i="34"/>
  <c r="AQ60" i="34"/>
  <c r="AQ111" i="34" s="1"/>
  <c r="AQ112" i="34" s="1"/>
  <c r="AQ42" i="34"/>
  <c r="AK42" i="34"/>
  <c r="AO141" i="34"/>
  <c r="AK25" i="34"/>
  <c r="AM96" i="34"/>
  <c r="AQ141" i="34"/>
  <c r="AK31" i="34"/>
  <c r="AK111" i="34"/>
  <c r="AK112" i="34" s="1"/>
  <c r="AK117" i="34"/>
  <c r="AK116" i="34" s="1"/>
  <c r="AK114" i="34" s="1"/>
  <c r="AK115" i="34" s="1"/>
  <c r="AQ82" i="34"/>
  <c r="AM84" i="34"/>
  <c r="AM86" i="34"/>
  <c r="AM82" i="34"/>
  <c r="AK82" i="34"/>
  <c r="AO117" i="34"/>
  <c r="AO116" i="34" s="1"/>
  <c r="AO114" i="34" s="1"/>
  <c r="AO115" i="34" s="1"/>
  <c r="AQ84" i="34"/>
  <c r="AQ86" i="34"/>
  <c r="AP42" i="34"/>
  <c r="AP31" i="34"/>
  <c r="AQ26" i="34"/>
  <c r="AQ123" i="34"/>
  <c r="AQ117" i="34" s="1"/>
  <c r="AQ116" i="34" s="1"/>
  <c r="AQ114" i="34" s="1"/>
  <c r="AQ115" i="34" s="1"/>
  <c r="AQ31" i="34"/>
  <c r="AN31" i="34"/>
  <c r="AN42" i="34"/>
  <c r="AO56" i="34"/>
  <c r="AO53" i="34" s="1"/>
  <c r="AO111" i="34"/>
  <c r="AO112" i="34" s="1"/>
  <c r="AO108" i="34"/>
  <c r="AO109" i="34" s="1"/>
  <c r="AN8" i="34"/>
  <c r="AM108" i="34"/>
  <c r="AM109" i="34" s="1"/>
  <c r="AM56" i="34"/>
  <c r="AM111" i="34"/>
  <c r="AM112" i="34" s="1"/>
  <c r="AL8" i="34"/>
  <c r="AO25" i="34"/>
  <c r="AO30" i="34"/>
  <c r="AO29" i="34" s="1"/>
  <c r="AK87" i="34"/>
  <c r="AK89" i="34"/>
  <c r="AO86" i="34"/>
  <c r="AO84" i="34"/>
  <c r="AJ8" i="34"/>
  <c r="AM30" i="34"/>
  <c r="AM29" i="34" s="1"/>
  <c r="AN25" i="34"/>
  <c r="AN30" i="34"/>
  <c r="AN29" i="34" s="1"/>
  <c r="AO82" i="34"/>
  <c r="AM123" i="34"/>
  <c r="AM117" i="34" s="1"/>
  <c r="AM116" i="34" s="1"/>
  <c r="AM114" i="34" s="1"/>
  <c r="AM115" i="34" s="1"/>
  <c r="AJ31" i="34"/>
  <c r="AJ42" i="34"/>
  <c r="AK56" i="34"/>
  <c r="AK84" i="34"/>
  <c r="AK141" i="34"/>
  <c r="AM31" i="34"/>
  <c r="AO31" i="34"/>
  <c r="AM59" i="34"/>
  <c r="AO42" i="34"/>
  <c r="AO59" i="34"/>
  <c r="BB16" i="15"/>
  <c r="BB20" i="15" s="1"/>
  <c r="BB24" i="15" s="1"/>
  <c r="BB23" i="15" s="1"/>
  <c r="BC10" i="15"/>
  <c r="BC132" i="15" s="1"/>
  <c r="BB42" i="15"/>
  <c r="BB30" i="15"/>
  <c r="BB29" i="15" s="1"/>
  <c r="AY132" i="15"/>
  <c r="AW10" i="15"/>
  <c r="AW81" i="15" s="1"/>
  <c r="AV16" i="15"/>
  <c r="AV20" i="15" s="1"/>
  <c r="AV24" i="15" s="1"/>
  <c r="AV23" i="15" s="1"/>
  <c r="AW83" i="15"/>
  <c r="AW82" i="15"/>
  <c r="BA83" i="15"/>
  <c r="BA82" i="15"/>
  <c r="AY75" i="15"/>
  <c r="AY69" i="15"/>
  <c r="AY126" i="15"/>
  <c r="AY129" i="15"/>
  <c r="AY77" i="15"/>
  <c r="AY76" i="15" s="1"/>
  <c r="AY16" i="15"/>
  <c r="AY20" i="15" s="1"/>
  <c r="AY24" i="15" s="1"/>
  <c r="AY23" i="15" s="1"/>
  <c r="BA10" i="15"/>
  <c r="BA69" i="15" s="1"/>
  <c r="AV30" i="15"/>
  <c r="AV29" i="15" s="1"/>
  <c r="BA141" i="15"/>
  <c r="AX30" i="15"/>
  <c r="AX29" i="15" s="1"/>
  <c r="AZ30" i="15"/>
  <c r="AZ29" i="15" s="1"/>
  <c r="BA78" i="15"/>
  <c r="AX16" i="15"/>
  <c r="AX20" i="15" s="1"/>
  <c r="AX24" i="15" s="1"/>
  <c r="AX23" i="15" s="1"/>
  <c r="BA30" i="15"/>
  <c r="BA29" i="15" s="1"/>
  <c r="AV42" i="15"/>
  <c r="AV31" i="15"/>
  <c r="AV72" i="15"/>
  <c r="AX42" i="15"/>
  <c r="AZ72" i="15"/>
  <c r="AZ42" i="15"/>
  <c r="BA117" i="14"/>
  <c r="BA116" i="14" s="1"/>
  <c r="BA114" i="14" s="1"/>
  <c r="BA115" i="14" s="1"/>
  <c r="BC117" i="14"/>
  <c r="BC116" i="14" s="1"/>
  <c r="BC114" i="14" s="1"/>
  <c r="BC115" i="14" s="1"/>
  <c r="BA141" i="14"/>
  <c r="BC59" i="14"/>
  <c r="AW117" i="14"/>
  <c r="AW116" i="14" s="1"/>
  <c r="AW114" i="14" s="1"/>
  <c r="AW115" i="14" s="1"/>
  <c r="BB16" i="14"/>
  <c r="BB20" i="14" s="1"/>
  <c r="BC10" i="14"/>
  <c r="AY10" i="14"/>
  <c r="AY81" i="14" s="1"/>
  <c r="AX16" i="14"/>
  <c r="AX20" i="14" s="1"/>
  <c r="AY82" i="14"/>
  <c r="AY83" i="14"/>
  <c r="AV16" i="14"/>
  <c r="AV20" i="14" s="1"/>
  <c r="AW10" i="14"/>
  <c r="BA75" i="14"/>
  <c r="BA69" i="14"/>
  <c r="BA16" i="14"/>
  <c r="BA20" i="14" s="1"/>
  <c r="BA77" i="14"/>
  <c r="BA76" i="14" s="1"/>
  <c r="BA81" i="14"/>
  <c r="BA82" i="14"/>
  <c r="BA83" i="14"/>
  <c r="AZ16" i="14"/>
  <c r="AZ20" i="14" s="1"/>
  <c r="AW83" i="14"/>
  <c r="AY62" i="14"/>
  <c r="AY59" i="14" s="1"/>
  <c r="AW141" i="14"/>
  <c r="AX72" i="14"/>
  <c r="AY141" i="14"/>
  <c r="BB16" i="13"/>
  <c r="BB20" i="13" s="1"/>
  <c r="BC10" i="13"/>
  <c r="BC59" i="13"/>
  <c r="BC82" i="13"/>
  <c r="BC60" i="13"/>
  <c r="BB9" i="13"/>
  <c r="BC63" i="13"/>
  <c r="BB72" i="13"/>
  <c r="DB30" i="36" l="1"/>
  <c r="DB29" i="36" s="1"/>
  <c r="AY56" i="14"/>
  <c r="AY111" i="14"/>
  <c r="AY112" i="14" s="1"/>
  <c r="AV8" i="14"/>
  <c r="BA56" i="14"/>
  <c r="BA111" i="14"/>
  <c r="BA112" i="14" s="1"/>
  <c r="AY81" i="15"/>
  <c r="DE25" i="36"/>
  <c r="DE30" i="36"/>
  <c r="DE29" i="36" s="1"/>
  <c r="DE24" i="36"/>
  <c r="DE23" i="36" s="1"/>
  <c r="AZ8" i="14"/>
  <c r="BC83" i="15"/>
  <c r="BC86" i="15" s="1"/>
  <c r="BC89" i="15" s="1"/>
  <c r="BC93" i="15" s="1"/>
  <c r="AY83" i="15"/>
  <c r="AY86" i="15" s="1"/>
  <c r="AY87" i="15" s="1"/>
  <c r="DC30" i="36"/>
  <c r="DC29" i="36" s="1"/>
  <c r="DC25" i="36"/>
  <c r="DC24" i="36"/>
  <c r="DC23" i="36" s="1"/>
  <c r="BH30" i="36"/>
  <c r="BH29" i="36" s="1"/>
  <c r="BH25" i="36"/>
  <c r="BH24" i="36"/>
  <c r="BH23" i="36" s="1"/>
  <c r="BG30" i="36"/>
  <c r="BG29" i="36" s="1"/>
  <c r="DF26" i="36"/>
  <c r="BG25" i="36"/>
  <c r="BG24" i="36"/>
  <c r="BG23" i="36" s="1"/>
  <c r="BC84" i="13"/>
  <c r="BC16" i="15"/>
  <c r="BC20" i="15" s="1"/>
  <c r="BC24" i="15" s="1"/>
  <c r="BC23" i="15" s="1"/>
  <c r="BC86" i="14"/>
  <c r="BC87" i="14" s="1"/>
  <c r="AW111" i="14"/>
  <c r="AW112" i="14" s="1"/>
  <c r="AW56" i="14"/>
  <c r="AW50" i="14" s="1"/>
  <c r="BC56" i="14"/>
  <c r="BC50" i="14" s="1"/>
  <c r="BA142" i="14"/>
  <c r="BB8" i="14"/>
  <c r="BC108" i="14"/>
  <c r="BC109" i="14" s="1"/>
  <c r="BC82" i="14"/>
  <c r="BC81" i="13"/>
  <c r="BC75" i="13"/>
  <c r="AL42" i="34"/>
  <c r="BC84" i="15"/>
  <c r="BC87" i="15"/>
  <c r="BA132" i="15"/>
  <c r="AW132" i="15"/>
  <c r="AW16" i="15"/>
  <c r="AW20" i="15" s="1"/>
  <c r="AW24" i="15" s="1"/>
  <c r="AW23" i="15" s="1"/>
  <c r="BA81" i="15"/>
  <c r="AW69" i="15"/>
  <c r="AY69" i="14"/>
  <c r="AL30" i="34"/>
  <c r="AL29" i="34" s="1"/>
  <c r="CN86" i="3"/>
  <c r="CN108" i="3"/>
  <c r="CN109" i="3" s="1"/>
  <c r="CN56" i="3"/>
  <c r="CN53" i="3" s="1"/>
  <c r="CN68" i="3"/>
  <c r="CM62" i="3"/>
  <c r="CM8" i="3"/>
  <c r="CN77" i="3"/>
  <c r="CN76" i="3" s="1"/>
  <c r="CN132" i="3"/>
  <c r="CN133" i="3" s="1"/>
  <c r="CN81" i="3"/>
  <c r="CN129" i="3"/>
  <c r="CN130" i="3" s="1"/>
  <c r="CN75" i="3"/>
  <c r="CN69" i="3"/>
  <c r="AP8" i="34"/>
  <c r="AQ56" i="34"/>
  <c r="AQ108" i="34"/>
  <c r="AQ109" i="34" s="1"/>
  <c r="AM87" i="34"/>
  <c r="AM89" i="34"/>
  <c r="AQ25" i="34"/>
  <c r="AQ30" i="34"/>
  <c r="AQ29" i="34" s="1"/>
  <c r="AQ89" i="34"/>
  <c r="AQ87" i="34"/>
  <c r="AO87" i="34"/>
  <c r="AO89" i="34"/>
  <c r="AK50" i="34"/>
  <c r="AK54" i="34" s="1"/>
  <c r="AK41" i="34" s="1"/>
  <c r="AK68" i="34"/>
  <c r="AK53" i="34"/>
  <c r="AK93" i="34"/>
  <c r="AK90" i="34"/>
  <c r="AM50" i="34"/>
  <c r="AM54" i="34" s="1"/>
  <c r="AM68" i="34"/>
  <c r="AM53" i="34"/>
  <c r="AO50" i="34"/>
  <c r="AO54" i="34" s="1"/>
  <c r="AN41" i="34" s="1"/>
  <c r="AO68" i="34"/>
  <c r="AY84" i="15"/>
  <c r="AY89" i="15"/>
  <c r="AY90" i="15" s="1"/>
  <c r="BC77" i="15"/>
  <c r="BC76" i="15" s="1"/>
  <c r="BC129" i="15"/>
  <c r="BC81" i="15"/>
  <c r="BC126" i="15"/>
  <c r="BC75" i="15"/>
  <c r="BC69" i="15"/>
  <c r="BA86" i="15"/>
  <c r="BA84" i="15"/>
  <c r="AW86" i="15"/>
  <c r="AW84" i="15"/>
  <c r="AW129" i="15"/>
  <c r="AW75" i="15"/>
  <c r="AW126" i="15"/>
  <c r="AW77" i="15"/>
  <c r="AW76" i="15" s="1"/>
  <c r="BA75" i="15"/>
  <c r="BA77" i="15"/>
  <c r="BA76" i="15" s="1"/>
  <c r="BA126" i="15"/>
  <c r="BA129" i="15"/>
  <c r="BA16" i="15"/>
  <c r="BA20" i="15" s="1"/>
  <c r="BA24" i="15" s="1"/>
  <c r="BA23" i="15" s="1"/>
  <c r="BC89" i="14"/>
  <c r="BC81" i="14"/>
  <c r="BC132" i="14"/>
  <c r="BC133" i="14" s="1"/>
  <c r="BC142" i="14" s="1"/>
  <c r="BC75" i="14"/>
  <c r="BC77" i="14"/>
  <c r="BC76" i="14" s="1"/>
  <c r="BC69" i="14"/>
  <c r="BC16" i="14"/>
  <c r="BC20" i="14" s="1"/>
  <c r="BA86" i="14"/>
  <c r="BA84" i="14"/>
  <c r="AW75" i="14"/>
  <c r="AW77" i="14"/>
  <c r="AW76" i="14" s="1"/>
  <c r="AW69" i="14"/>
  <c r="AW16" i="14"/>
  <c r="AW20" i="14" s="1"/>
  <c r="BA50" i="14"/>
  <c r="BA54" i="14" s="1"/>
  <c r="BA68" i="14"/>
  <c r="BA63" i="14" s="1"/>
  <c r="BA53" i="14"/>
  <c r="AY68" i="14"/>
  <c r="AY63" i="14" s="1"/>
  <c r="AY50" i="14"/>
  <c r="AY54" i="14" s="1"/>
  <c r="AY53" i="14"/>
  <c r="AY132" i="14"/>
  <c r="AY133" i="14" s="1"/>
  <c r="AY142" i="14" s="1"/>
  <c r="AY75" i="14"/>
  <c r="AY16" i="14"/>
  <c r="AY20" i="14" s="1"/>
  <c r="AY77" i="14"/>
  <c r="AY76" i="14" s="1"/>
  <c r="AW86" i="14"/>
  <c r="AW84" i="14"/>
  <c r="AY86" i="14"/>
  <c r="AY84" i="14"/>
  <c r="AW81" i="14"/>
  <c r="AW132" i="14"/>
  <c r="AW133" i="14" s="1"/>
  <c r="AW142" i="14" s="1"/>
  <c r="BC89" i="13"/>
  <c r="BC87" i="13"/>
  <c r="BC111" i="13"/>
  <c r="BC112" i="13" s="1"/>
  <c r="BB8" i="13"/>
  <c r="BC56" i="13"/>
  <c r="BC108" i="13"/>
  <c r="BC109" i="13" s="1"/>
  <c r="BC126" i="13"/>
  <c r="BC127" i="13" s="1"/>
  <c r="BC77" i="13"/>
  <c r="BD77" i="13" s="1"/>
  <c r="BC16" i="13"/>
  <c r="BC20" i="13" s="1"/>
  <c r="BC132" i="13"/>
  <c r="BC133" i="13" s="1"/>
  <c r="BC142" i="13" s="1"/>
  <c r="BC129" i="13"/>
  <c r="BC130" i="13" s="1"/>
  <c r="BC69" i="13"/>
  <c r="BC90" i="15" l="1"/>
  <c r="DF25" i="36"/>
  <c r="DF30" i="36"/>
  <c r="DF29" i="36" s="1"/>
  <c r="DF24" i="36"/>
  <c r="DF23" i="36" s="1"/>
  <c r="BC54" i="14"/>
  <c r="BC49" i="14" s="1"/>
  <c r="BB45" i="14" s="1"/>
  <c r="BC53" i="14"/>
  <c r="BC68" i="14"/>
  <c r="BC63" i="14" s="1"/>
  <c r="AW54" i="14"/>
  <c r="AW49" i="14" s="1"/>
  <c r="AW53" i="14"/>
  <c r="AW68" i="14"/>
  <c r="AW63" i="14" s="1"/>
  <c r="BI30" i="36"/>
  <c r="BI29" i="36" s="1"/>
  <c r="BI25" i="36"/>
  <c r="BI24" i="36"/>
  <c r="BI23" i="36" s="1"/>
  <c r="DD30" i="36"/>
  <c r="DD29" i="36" s="1"/>
  <c r="DD24" i="36"/>
  <c r="DD23" i="36" s="1"/>
  <c r="CN50" i="3"/>
  <c r="CN54" i="3" s="1"/>
  <c r="CN41" i="3" s="1"/>
  <c r="AY93" i="15"/>
  <c r="AY94" i="15" s="1"/>
  <c r="BC48" i="14"/>
  <c r="BB49" i="14"/>
  <c r="BB48" i="14" s="1"/>
  <c r="CN89" i="3"/>
  <c r="CN87" i="3"/>
  <c r="AQ53" i="34"/>
  <c r="AQ68" i="34"/>
  <c r="AQ50" i="34"/>
  <c r="AM93" i="34"/>
  <c r="AM90" i="34"/>
  <c r="AQ90" i="34"/>
  <c r="AQ93" i="34"/>
  <c r="AQ98" i="34" s="1"/>
  <c r="AK98" i="34"/>
  <c r="AK94" i="34"/>
  <c r="AO41" i="34"/>
  <c r="AJ41" i="34"/>
  <c r="AM49" i="34"/>
  <c r="AO93" i="34"/>
  <c r="AO90" i="34"/>
  <c r="AM41" i="34"/>
  <c r="AL41" i="34"/>
  <c r="AK49" i="34"/>
  <c r="AO49" i="34"/>
  <c r="BC94" i="15"/>
  <c r="AW87" i="15"/>
  <c r="AW89" i="15"/>
  <c r="BA87" i="15"/>
  <c r="BA89" i="15"/>
  <c r="BC93" i="14"/>
  <c r="BC90" i="14"/>
  <c r="AW89" i="14"/>
  <c r="AW87" i="14"/>
  <c r="AY49" i="14"/>
  <c r="BA49" i="14"/>
  <c r="AY87" i="14"/>
  <c r="AY89" i="14"/>
  <c r="BA87" i="14"/>
  <c r="BA89" i="14"/>
  <c r="BC76" i="13"/>
  <c r="BC50" i="13"/>
  <c r="BC68" i="13"/>
  <c r="BC54" i="13"/>
  <c r="BC53" i="13"/>
  <c r="BC93" i="13"/>
  <c r="BC90" i="13"/>
  <c r="BC45" i="14" l="1"/>
  <c r="CN49" i="3"/>
  <c r="CM41" i="3"/>
  <c r="CN90" i="3"/>
  <c r="CN93" i="3"/>
  <c r="CN94" i="3" s="1"/>
  <c r="CM49" i="3"/>
  <c r="CM48" i="3" s="1"/>
  <c r="CN48" i="3"/>
  <c r="CN45" i="3"/>
  <c r="CN44" i="3" s="1"/>
  <c r="CM45" i="3"/>
  <c r="CM44" i="3" s="1"/>
  <c r="CM43" i="3" s="1"/>
  <c r="AQ54" i="34"/>
  <c r="AM94" i="34"/>
  <c r="AM98" i="34"/>
  <c r="AQ94" i="34"/>
  <c r="AK99" i="34"/>
  <c r="AO45" i="34"/>
  <c r="AO44" i="34" s="1"/>
  <c r="AO43" i="34" s="1"/>
  <c r="AN45" i="34"/>
  <c r="AN44" i="34" s="1"/>
  <c r="AN43" i="34" s="1"/>
  <c r="AN49" i="34"/>
  <c r="AJ45" i="34"/>
  <c r="AJ44" i="34" s="1"/>
  <c r="AJ43" i="34" s="1"/>
  <c r="AK45" i="34"/>
  <c r="AK44" i="34" s="1"/>
  <c r="AK43" i="34" s="1"/>
  <c r="AJ49" i="34"/>
  <c r="AO94" i="34"/>
  <c r="AO98" i="34"/>
  <c r="AM45" i="34"/>
  <c r="AM44" i="34" s="1"/>
  <c r="AM43" i="34" s="1"/>
  <c r="AL45" i="34"/>
  <c r="AL44" i="34" s="1"/>
  <c r="AL43" i="34" s="1"/>
  <c r="AL49" i="34"/>
  <c r="BA90" i="15"/>
  <c r="BA93" i="15"/>
  <c r="AW93" i="15"/>
  <c r="AW90" i="15"/>
  <c r="BC98" i="14"/>
  <c r="BC94" i="14"/>
  <c r="AW45" i="14"/>
  <c r="AV45" i="14"/>
  <c r="AV49" i="14"/>
  <c r="AV48" i="14" s="1"/>
  <c r="AW48" i="14"/>
  <c r="AW90" i="14"/>
  <c r="AW93" i="14"/>
  <c r="BA93" i="14"/>
  <c r="BA90" i="14"/>
  <c r="AY93" i="14"/>
  <c r="AY90" i="14"/>
  <c r="BA45" i="14"/>
  <c r="AZ45" i="14"/>
  <c r="AZ49" i="14"/>
  <c r="AZ48" i="14" s="1"/>
  <c r="BA48" i="14"/>
  <c r="AY48" i="14"/>
  <c r="AY45" i="14"/>
  <c r="AX45" i="14"/>
  <c r="AX49" i="14"/>
  <c r="AX48" i="14" s="1"/>
  <c r="BC94" i="13"/>
  <c r="BC98" i="13"/>
  <c r="BC41" i="13"/>
  <c r="BB41" i="13"/>
  <c r="BC49" i="13"/>
  <c r="CN43" i="3" l="1"/>
  <c r="CN47" i="3"/>
  <c r="AQ41" i="34"/>
  <c r="AP41" i="34"/>
  <c r="AQ49" i="34"/>
  <c r="AM99" i="34"/>
  <c r="AQ99" i="34"/>
  <c r="AO99" i="34"/>
  <c r="AW94" i="15"/>
  <c r="BA94" i="15"/>
  <c r="BC144" i="14"/>
  <c r="BC99" i="14"/>
  <c r="BC124" i="14" s="1"/>
  <c r="AY98" i="14"/>
  <c r="AY94" i="14"/>
  <c r="AW98" i="14"/>
  <c r="AW94" i="14"/>
  <c r="BA94" i="14"/>
  <c r="BA98" i="14"/>
  <c r="BB49" i="13"/>
  <c r="BB48" i="13" s="1"/>
  <c r="BC48" i="13"/>
  <c r="BC45" i="13"/>
  <c r="BC44" i="13" s="1"/>
  <c r="BB45" i="13"/>
  <c r="BB44" i="13" s="1"/>
  <c r="BB43" i="13" s="1"/>
  <c r="BC99" i="13"/>
  <c r="BC124" i="13" s="1"/>
  <c r="BC144" i="13"/>
  <c r="AQ45" i="34" l="1"/>
  <c r="AQ44" i="34" s="1"/>
  <c r="AQ43" i="34" s="1"/>
  <c r="AP49" i="34"/>
  <c r="AP45" i="34"/>
  <c r="AP44" i="34" s="1"/>
  <c r="AP43" i="34" s="1"/>
  <c r="AY144" i="14"/>
  <c r="AY99" i="14"/>
  <c r="AY124" i="14" s="1"/>
  <c r="BA144" i="14"/>
  <c r="BA99" i="14"/>
  <c r="BA124" i="14" s="1"/>
  <c r="AW144" i="14"/>
  <c r="AW99" i="14"/>
  <c r="AW124" i="14" s="1"/>
  <c r="BC47" i="13"/>
  <c r="BC43" i="13"/>
  <c r="BA151" i="13" l="1"/>
  <c r="AY151" i="13"/>
  <c r="AW151" i="13"/>
  <c r="BA150" i="13"/>
  <c r="AY150" i="13"/>
  <c r="AW150" i="13"/>
  <c r="BA138" i="13"/>
  <c r="AY138" i="13"/>
  <c r="AW138" i="13"/>
  <c r="BA135" i="13"/>
  <c r="BA141" i="13" s="1"/>
  <c r="AY135" i="13"/>
  <c r="AY141" i="13" s="1"/>
  <c r="AW135" i="13"/>
  <c r="AW96" i="13" s="1"/>
  <c r="BA123" i="13"/>
  <c r="AY123" i="13"/>
  <c r="AW123" i="13"/>
  <c r="BA122" i="13"/>
  <c r="AY122" i="13"/>
  <c r="AW122" i="13"/>
  <c r="BA121" i="13"/>
  <c r="AY121" i="13"/>
  <c r="AW121" i="13"/>
  <c r="BA120" i="13"/>
  <c r="AY120" i="13"/>
  <c r="AW120" i="13"/>
  <c r="BA119" i="13"/>
  <c r="AY119" i="13"/>
  <c r="AW119" i="13"/>
  <c r="BA106" i="13"/>
  <c r="AY106" i="13"/>
  <c r="AW106" i="13"/>
  <c r="BA100" i="13"/>
  <c r="BA104" i="13" s="1"/>
  <c r="BA105" i="13" s="1"/>
  <c r="AY100" i="13"/>
  <c r="AY104" i="13" s="1"/>
  <c r="AY105" i="13" s="1"/>
  <c r="AW100" i="13"/>
  <c r="AW104" i="13" s="1"/>
  <c r="AW105" i="13" s="1"/>
  <c r="BA71" i="13"/>
  <c r="AY71" i="13"/>
  <c r="AW71" i="13"/>
  <c r="BA67" i="13"/>
  <c r="BA80" i="13" s="1"/>
  <c r="BA82" i="13" s="1"/>
  <c r="AY67" i="13"/>
  <c r="AY80" i="13" s="1"/>
  <c r="AW67" i="13"/>
  <c r="AW78" i="13" s="1"/>
  <c r="AW149" i="13" s="1"/>
  <c r="BA65" i="13"/>
  <c r="AY65" i="13"/>
  <c r="AW65" i="13"/>
  <c r="BA57" i="13"/>
  <c r="AZ9" i="13" s="1"/>
  <c r="AY57" i="13"/>
  <c r="AX9" i="13" s="1"/>
  <c r="AW57" i="13"/>
  <c r="AV9" i="13" s="1"/>
  <c r="BA52" i="13"/>
  <c r="AY52" i="13"/>
  <c r="AW52" i="13"/>
  <c r="BA42" i="13"/>
  <c r="AY42" i="13"/>
  <c r="AW42" i="13"/>
  <c r="BA39" i="13"/>
  <c r="AY39" i="13"/>
  <c r="AW39" i="13"/>
  <c r="AZ32" i="13"/>
  <c r="AZ31" i="13" s="1"/>
  <c r="AX32" i="13"/>
  <c r="AX31" i="13" s="1"/>
  <c r="AV32" i="13"/>
  <c r="AV31" i="13" s="1"/>
  <c r="BA31" i="13"/>
  <c r="AY31" i="13"/>
  <c r="AW31" i="13"/>
  <c r="AZ19" i="13"/>
  <c r="AX19" i="13"/>
  <c r="AV19" i="13"/>
  <c r="BA15" i="13"/>
  <c r="BA19" i="13" s="1"/>
  <c r="AY15" i="13"/>
  <c r="AY19" i="13" s="1"/>
  <c r="AW15" i="13"/>
  <c r="AW19" i="13" s="1"/>
  <c r="AZ2" i="13"/>
  <c r="AZ10" i="13" s="1"/>
  <c r="AZ16" i="13" s="1"/>
  <c r="AZ20" i="13" s="1"/>
  <c r="AX2" i="13"/>
  <c r="AX10" i="13" s="1"/>
  <c r="AX16" i="13" s="1"/>
  <c r="AX20" i="13" s="1"/>
  <c r="AV2" i="13"/>
  <c r="AV10" i="13" s="1"/>
  <c r="AW10" i="13" s="1"/>
  <c r="AW59" i="13" l="1"/>
  <c r="AW132" i="13"/>
  <c r="AW133" i="13" s="1"/>
  <c r="AW75" i="13"/>
  <c r="AV72" i="13"/>
  <c r="AW80" i="13"/>
  <c r="AW82" i="13" s="1"/>
  <c r="AW60" i="13"/>
  <c r="AW108" i="13" s="1"/>
  <c r="AW109" i="13" s="1"/>
  <c r="AZ72" i="13"/>
  <c r="AX72" i="13"/>
  <c r="AY59" i="13"/>
  <c r="BA78" i="13"/>
  <c r="BA149" i="13" s="1"/>
  <c r="BA152" i="13" s="1"/>
  <c r="BA60" i="13"/>
  <c r="BA108" i="13" s="1"/>
  <c r="BA109" i="13" s="1"/>
  <c r="AW152" i="13"/>
  <c r="AY82" i="13"/>
  <c r="AY83" i="13"/>
  <c r="AY86" i="13" s="1"/>
  <c r="AY89" i="13" s="1"/>
  <c r="BA117" i="13"/>
  <c r="BA116" i="13" s="1"/>
  <c r="BA114" i="13" s="1"/>
  <c r="BA115" i="13" s="1"/>
  <c r="AY78" i="13"/>
  <c r="AY149" i="13" s="1"/>
  <c r="AY152" i="13" s="1"/>
  <c r="AW63" i="13"/>
  <c r="AW111" i="13"/>
  <c r="AW112" i="13" s="1"/>
  <c r="AV42" i="13"/>
  <c r="AX42" i="13"/>
  <c r="AY63" i="13"/>
  <c r="BA63" i="13"/>
  <c r="AZ42" i="13"/>
  <c r="AW141" i="13"/>
  <c r="AY96" i="13"/>
  <c r="BA59" i="13"/>
  <c r="BA96" i="13"/>
  <c r="BA83" i="13"/>
  <c r="BA86" i="13" s="1"/>
  <c r="BA89" i="13" s="1"/>
  <c r="AY60" i="13"/>
  <c r="AY108" i="13" s="1"/>
  <c r="AY109" i="13" s="1"/>
  <c r="AW117" i="13"/>
  <c r="AW116" i="13" s="1"/>
  <c r="AW114" i="13" s="1"/>
  <c r="AW115" i="13" s="1"/>
  <c r="AY117" i="13"/>
  <c r="AY116" i="13" s="1"/>
  <c r="AY114" i="13" s="1"/>
  <c r="AY115" i="13" s="1"/>
  <c r="AW69" i="13"/>
  <c r="AW77" i="13"/>
  <c r="AW126" i="13"/>
  <c r="AW127" i="13" s="1"/>
  <c r="AW129" i="13"/>
  <c r="AW130" i="13" s="1"/>
  <c r="AW16" i="13"/>
  <c r="AW20" i="13" s="1"/>
  <c r="BA132" i="13"/>
  <c r="BA133" i="13" s="1"/>
  <c r="BA142" i="13" s="1"/>
  <c r="BA111" i="13"/>
  <c r="BA112" i="13" s="1"/>
  <c r="AY10" i="13"/>
  <c r="AV16" i="13"/>
  <c r="AV20" i="13" s="1"/>
  <c r="BA10" i="13"/>
  <c r="AW83" i="13" l="1"/>
  <c r="AW84" i="13" s="1"/>
  <c r="AW81" i="13"/>
  <c r="AW142" i="13"/>
  <c r="AY132" i="13"/>
  <c r="AY133" i="13" s="1"/>
  <c r="AY142" i="13" s="1"/>
  <c r="AY75" i="13"/>
  <c r="BA81" i="13"/>
  <c r="BA75" i="13"/>
  <c r="AZ8" i="13"/>
  <c r="AV8" i="13"/>
  <c r="BA56" i="13"/>
  <c r="BA50" i="13" s="1"/>
  <c r="AW56" i="13"/>
  <c r="AW68" i="13" s="1"/>
  <c r="AY84" i="13"/>
  <c r="BA87" i="13"/>
  <c r="AY87" i="13"/>
  <c r="BA84" i="13"/>
  <c r="AY81" i="13"/>
  <c r="AW50" i="13"/>
  <c r="AW54" i="13" s="1"/>
  <c r="AW86" i="13"/>
  <c r="AW89" i="13" s="1"/>
  <c r="AY111" i="13"/>
  <c r="AY112" i="13" s="1"/>
  <c r="AX8" i="13"/>
  <c r="AY56" i="13"/>
  <c r="AY53" i="13" s="1"/>
  <c r="AY126" i="13"/>
  <c r="AY127" i="13" s="1"/>
  <c r="AY77" i="13"/>
  <c r="AY129" i="13"/>
  <c r="AY130" i="13" s="1"/>
  <c r="AY69" i="13"/>
  <c r="AW76" i="13"/>
  <c r="AY16" i="13"/>
  <c r="AY20" i="13" s="1"/>
  <c r="BA129" i="13"/>
  <c r="BA130" i="13" s="1"/>
  <c r="BA16" i="13"/>
  <c r="BA20" i="13" s="1"/>
  <c r="BA126" i="13"/>
  <c r="BA127" i="13" s="1"/>
  <c r="BA69" i="13"/>
  <c r="BA77" i="13"/>
  <c r="BB77" i="13" s="1"/>
  <c r="BA90" i="13"/>
  <c r="BA93" i="13"/>
  <c r="AY90" i="13"/>
  <c r="AY93" i="13"/>
  <c r="BA53" i="13" l="1"/>
  <c r="BA68" i="13"/>
  <c r="AW53" i="13"/>
  <c r="AY50" i="13"/>
  <c r="AY54" i="13" s="1"/>
  <c r="AX41" i="13" s="1"/>
  <c r="AY68" i="13"/>
  <c r="AW87" i="13"/>
  <c r="AY98" i="13"/>
  <c r="AY94" i="13"/>
  <c r="BA94" i="13"/>
  <c r="BA98" i="13"/>
  <c r="AW93" i="13"/>
  <c r="AW90" i="13"/>
  <c r="BA49" i="13"/>
  <c r="AW41" i="13"/>
  <c r="AV41" i="13"/>
  <c r="AY49" i="13"/>
  <c r="AX77" i="13"/>
  <c r="AY76" i="13"/>
  <c r="AZ77" i="13"/>
  <c r="BA76" i="13"/>
  <c r="AW49" i="13"/>
  <c r="BA54" i="13"/>
  <c r="AY41" i="13" l="1"/>
  <c r="AW48" i="13"/>
  <c r="AW45" i="13"/>
  <c r="AW44" i="13" s="1"/>
  <c r="AV45" i="13"/>
  <c r="AV44" i="13" s="1"/>
  <c r="AV43" i="13" s="1"/>
  <c r="AV49" i="13"/>
  <c r="AV48" i="13" s="1"/>
  <c r="AW98" i="13"/>
  <c r="AW94" i="13"/>
  <c r="AY48" i="13"/>
  <c r="AX45" i="13"/>
  <c r="AX44" i="13" s="1"/>
  <c r="AX43" i="13" s="1"/>
  <c r="AY45" i="13"/>
  <c r="AX49" i="13"/>
  <c r="AX48" i="13" s="1"/>
  <c r="AZ45" i="13"/>
  <c r="AZ49" i="13"/>
  <c r="AZ48" i="13" s="1"/>
  <c r="BA48" i="13"/>
  <c r="BA45" i="13"/>
  <c r="BA99" i="13"/>
  <c r="BA124" i="13" s="1"/>
  <c r="BA144" i="13"/>
  <c r="AZ41" i="13"/>
  <c r="BA41" i="13"/>
  <c r="AY99" i="13"/>
  <c r="AY124" i="13" s="1"/>
  <c r="AY144" i="13"/>
  <c r="AY44" i="13" l="1"/>
  <c r="AZ44" i="13"/>
  <c r="AZ43" i="13" s="1"/>
  <c r="BA44" i="13"/>
  <c r="BA43" i="13" s="1"/>
  <c r="AY47" i="13"/>
  <c r="AY43" i="13"/>
  <c r="AW144" i="13"/>
  <c r="AW99" i="13"/>
  <c r="AW124" i="13" s="1"/>
  <c r="AW47" i="13"/>
  <c r="AW43" i="13"/>
  <c r="BA47" i="13" l="1"/>
  <c r="AH26" i="34"/>
  <c r="AI26" i="34" s="1"/>
  <c r="AI135" i="35"/>
  <c r="AI96" i="35" s="1"/>
  <c r="AG135" i="35"/>
  <c r="AG141" i="35" s="1"/>
  <c r="AE135" i="35"/>
  <c r="AE141" i="35" s="1"/>
  <c r="AI122" i="35"/>
  <c r="AG122" i="35"/>
  <c r="AE122" i="35"/>
  <c r="AI121" i="35"/>
  <c r="AG121" i="35"/>
  <c r="AE121" i="35"/>
  <c r="AI120" i="35"/>
  <c r="AG120" i="35"/>
  <c r="AE120" i="35"/>
  <c r="AI119" i="35"/>
  <c r="AG119" i="35"/>
  <c r="AE119" i="35"/>
  <c r="AI106" i="35"/>
  <c r="AG106" i="35"/>
  <c r="AE106" i="35"/>
  <c r="AI104" i="35"/>
  <c r="AI105" i="35" s="1"/>
  <c r="AG104" i="35"/>
  <c r="AG105" i="35" s="1"/>
  <c r="AE104" i="35"/>
  <c r="AE105" i="35" s="1"/>
  <c r="AI80" i="35"/>
  <c r="AI83" i="35" s="1"/>
  <c r="AG80" i="35"/>
  <c r="AG83" i="35" s="1"/>
  <c r="AG84" i="35" s="1"/>
  <c r="AE80" i="35"/>
  <c r="AE83" i="35" s="1"/>
  <c r="AI71" i="35"/>
  <c r="AG71" i="35"/>
  <c r="AE71" i="35"/>
  <c r="AI65" i="35"/>
  <c r="AG65" i="35"/>
  <c r="AG60" i="35" s="1"/>
  <c r="AG111" i="35" s="1"/>
  <c r="AG112" i="35" s="1"/>
  <c r="AE65" i="35"/>
  <c r="AE60" i="35" s="1"/>
  <c r="AI63" i="35"/>
  <c r="AG63" i="35"/>
  <c r="AE63" i="35"/>
  <c r="AI62" i="35"/>
  <c r="AG62" i="35"/>
  <c r="AE62" i="35"/>
  <c r="AI52" i="35"/>
  <c r="AG52" i="35"/>
  <c r="AE52" i="35"/>
  <c r="AH42" i="35"/>
  <c r="AF42" i="35"/>
  <c r="AD42" i="35"/>
  <c r="AI32" i="35"/>
  <c r="AI42" i="35" s="1"/>
  <c r="AG32" i="35"/>
  <c r="AG42" i="35" s="1"/>
  <c r="AE32" i="35"/>
  <c r="AE31" i="35" s="1"/>
  <c r="AI31" i="35"/>
  <c r="AH31" i="35"/>
  <c r="AF31" i="35"/>
  <c r="AD31" i="35"/>
  <c r="AH30" i="35"/>
  <c r="AH29" i="35" s="1"/>
  <c r="AF30" i="35"/>
  <c r="AF29" i="35" s="1"/>
  <c r="AD30" i="35"/>
  <c r="AD29" i="35" s="1"/>
  <c r="AI26" i="35"/>
  <c r="AG26" i="35"/>
  <c r="AG25" i="35" s="1"/>
  <c r="AE26" i="35"/>
  <c r="AH25" i="35"/>
  <c r="AF25" i="35"/>
  <c r="AD25" i="35"/>
  <c r="AH19" i="35"/>
  <c r="AF19" i="35"/>
  <c r="AD19" i="35"/>
  <c r="AI15" i="35"/>
  <c r="AG15" i="35"/>
  <c r="AE15" i="35"/>
  <c r="AE19" i="35" s="1"/>
  <c r="AH9" i="35"/>
  <c r="AF9" i="35"/>
  <c r="AD9" i="35"/>
  <c r="AH2" i="35"/>
  <c r="AH10" i="35" s="1"/>
  <c r="AF2" i="35"/>
  <c r="AF10" i="35" s="1"/>
  <c r="AD2" i="35"/>
  <c r="AD10" i="35" s="1"/>
  <c r="AI137" i="34"/>
  <c r="AG137" i="34"/>
  <c r="AE137" i="34"/>
  <c r="AI135" i="34"/>
  <c r="AI141" i="34" s="1"/>
  <c r="AG135" i="34"/>
  <c r="AG141" i="34" s="1"/>
  <c r="AE135" i="34"/>
  <c r="AE96" i="34" s="1"/>
  <c r="AI122" i="34"/>
  <c r="AG122" i="34"/>
  <c r="AE122" i="34"/>
  <c r="AI121" i="34"/>
  <c r="AG121" i="34"/>
  <c r="AE121" i="34"/>
  <c r="AI120" i="34"/>
  <c r="AG120" i="34"/>
  <c r="AE120" i="34"/>
  <c r="AI119" i="34"/>
  <c r="AG119" i="34"/>
  <c r="AE119" i="34"/>
  <c r="AI106" i="34"/>
  <c r="AG106" i="34"/>
  <c r="AE106" i="34"/>
  <c r="AI104" i="34"/>
  <c r="AI105" i="34" s="1"/>
  <c r="AG104" i="34"/>
  <c r="AG105" i="34" s="1"/>
  <c r="AE104" i="34"/>
  <c r="AE105" i="34" s="1"/>
  <c r="AI80" i="34"/>
  <c r="AG80" i="34"/>
  <c r="AG83" i="34" s="1"/>
  <c r="AE80" i="34"/>
  <c r="AE83" i="34" s="1"/>
  <c r="AE86" i="34" s="1"/>
  <c r="AI71" i="34"/>
  <c r="AG71" i="34"/>
  <c r="AE71" i="34"/>
  <c r="AI65" i="34"/>
  <c r="AI60" i="34" s="1"/>
  <c r="AI108" i="34" s="1"/>
  <c r="AI109" i="34" s="1"/>
  <c r="AG65" i="34"/>
  <c r="AG59" i="34" s="1"/>
  <c r="AE65" i="34"/>
  <c r="AE59" i="34" s="1"/>
  <c r="AI63" i="34"/>
  <c r="AG63" i="34"/>
  <c r="AE63" i="34"/>
  <c r="AI52" i="34"/>
  <c r="AG52" i="34"/>
  <c r="AE52" i="34"/>
  <c r="AI32" i="34"/>
  <c r="AI42" i="34" s="1"/>
  <c r="AG32" i="34"/>
  <c r="AF32" i="34" s="1"/>
  <c r="AE32" i="34"/>
  <c r="AD32" i="34" s="1"/>
  <c r="AG26" i="34"/>
  <c r="AG25" i="34" s="1"/>
  <c r="AE26" i="34"/>
  <c r="AH25" i="34"/>
  <c r="AF25" i="34"/>
  <c r="AD25" i="34"/>
  <c r="AF19" i="34"/>
  <c r="AD19" i="34"/>
  <c r="AI15" i="34"/>
  <c r="AI19" i="34" s="1"/>
  <c r="AG15" i="34"/>
  <c r="AG19" i="34" s="1"/>
  <c r="AE15" i="34"/>
  <c r="AE19" i="34" s="1"/>
  <c r="AH9" i="34"/>
  <c r="AF9" i="34"/>
  <c r="AD9" i="34"/>
  <c r="AI30" i="35" l="1"/>
  <c r="AI29" i="35" s="1"/>
  <c r="AE30" i="34"/>
  <c r="AE29" i="34" s="1"/>
  <c r="AG82" i="35"/>
  <c r="AI59" i="35"/>
  <c r="AE10" i="35"/>
  <c r="AE132" i="35" s="1"/>
  <c r="AE133" i="35" s="1"/>
  <c r="AE142" i="35" s="1"/>
  <c r="AD16" i="35"/>
  <c r="AD20" i="35" s="1"/>
  <c r="AD24" i="35" s="1"/>
  <c r="AD23" i="35" s="1"/>
  <c r="AI25" i="35"/>
  <c r="AE30" i="35"/>
  <c r="AE29" i="35" s="1"/>
  <c r="AE59" i="35"/>
  <c r="AI82" i="35"/>
  <c r="AG59" i="35"/>
  <c r="AG96" i="35"/>
  <c r="AE96" i="35"/>
  <c r="AG31" i="35"/>
  <c r="AI31" i="34"/>
  <c r="AH32" i="34"/>
  <c r="AH42" i="34" s="1"/>
  <c r="AE25" i="34"/>
  <c r="AG30" i="34"/>
  <c r="AG29" i="34" s="1"/>
  <c r="AI30" i="34"/>
  <c r="AI29" i="34" s="1"/>
  <c r="AI25" i="34"/>
  <c r="AE82" i="34"/>
  <c r="AI59" i="34"/>
  <c r="AG82" i="34"/>
  <c r="AG60" i="34"/>
  <c r="AG108" i="34" s="1"/>
  <c r="AG109" i="34" s="1"/>
  <c r="AI96" i="34"/>
  <c r="AG96" i="34"/>
  <c r="AE141" i="34"/>
  <c r="AE60" i="34"/>
  <c r="AI86" i="35"/>
  <c r="AI89" i="35" s="1"/>
  <c r="AI93" i="35" s="1"/>
  <c r="AI84" i="35"/>
  <c r="AI141" i="35"/>
  <c r="AI60" i="35"/>
  <c r="AI111" i="35" s="1"/>
  <c r="AI112" i="35" s="1"/>
  <c r="AE82" i="35"/>
  <c r="AG86" i="35"/>
  <c r="AG87" i="35" s="1"/>
  <c r="AG10" i="35"/>
  <c r="AG16" i="35" s="1"/>
  <c r="AG20" i="35" s="1"/>
  <c r="AG24" i="35" s="1"/>
  <c r="AG23" i="35" s="1"/>
  <c r="AF16" i="35"/>
  <c r="AF20" i="35" s="1"/>
  <c r="AF24" i="35" s="1"/>
  <c r="AF23" i="35" s="1"/>
  <c r="AG132" i="35"/>
  <c r="AG133" i="35" s="1"/>
  <c r="AG142" i="35" s="1"/>
  <c r="AE129" i="35"/>
  <c r="AE130" i="35" s="1"/>
  <c r="AI10" i="35"/>
  <c r="AH16" i="35"/>
  <c r="AH20" i="35" s="1"/>
  <c r="AH24" i="35" s="1"/>
  <c r="AH23" i="35" s="1"/>
  <c r="AE86" i="35"/>
  <c r="AE84" i="35"/>
  <c r="AE111" i="35"/>
  <c r="AE112" i="35" s="1"/>
  <c r="AD8" i="35"/>
  <c r="AE108" i="35"/>
  <c r="AE109" i="35" s="1"/>
  <c r="AE56" i="35"/>
  <c r="AG19" i="35"/>
  <c r="AG30" i="35"/>
  <c r="AG29" i="35" s="1"/>
  <c r="AI19" i="35"/>
  <c r="AE42" i="35"/>
  <c r="AG56" i="35"/>
  <c r="AE25" i="35"/>
  <c r="AG108" i="35"/>
  <c r="AG109" i="35" s="1"/>
  <c r="AF8" i="35"/>
  <c r="AE84" i="34"/>
  <c r="AD30" i="34"/>
  <c r="AD29" i="34" s="1"/>
  <c r="AD42" i="34"/>
  <c r="AD31" i="34"/>
  <c r="AF30" i="34"/>
  <c r="AF29" i="34" s="1"/>
  <c r="AF31" i="34"/>
  <c r="AF42" i="34"/>
  <c r="AE89" i="34"/>
  <c r="AE87" i="34"/>
  <c r="AG86" i="34"/>
  <c r="AG84" i="34"/>
  <c r="AI82" i="34"/>
  <c r="AH8" i="34"/>
  <c r="AE31" i="34"/>
  <c r="AI83" i="34"/>
  <c r="AI111" i="34"/>
  <c r="AI112" i="34" s="1"/>
  <c r="AG31" i="34"/>
  <c r="AE42" i="34"/>
  <c r="AI56" i="34"/>
  <c r="AG42" i="34"/>
  <c r="AI135" i="33"/>
  <c r="AI141" i="33" s="1"/>
  <c r="AG135" i="33"/>
  <c r="AG141" i="33" s="1"/>
  <c r="AE135" i="33"/>
  <c r="AE141" i="33" s="1"/>
  <c r="AI104" i="33"/>
  <c r="AG104" i="33"/>
  <c r="AE104" i="33"/>
  <c r="AI80" i="33"/>
  <c r="AI83" i="33" s="1"/>
  <c r="AI86" i="33" s="1"/>
  <c r="AG80" i="33"/>
  <c r="AG83" i="33" s="1"/>
  <c r="AE80" i="33"/>
  <c r="AE82" i="33" s="1"/>
  <c r="AI79" i="33"/>
  <c r="AG79" i="33"/>
  <c r="AG79" i="39" s="1"/>
  <c r="AE79" i="33"/>
  <c r="AI71" i="33"/>
  <c r="AG71" i="33"/>
  <c r="AE71" i="33"/>
  <c r="AI63" i="33"/>
  <c r="AG63" i="33"/>
  <c r="AI42" i="33"/>
  <c r="AG42" i="33"/>
  <c r="AE42" i="33"/>
  <c r="AH32" i="33"/>
  <c r="AH42" i="33" s="1"/>
  <c r="AF32" i="33"/>
  <c r="AF42" i="33" s="1"/>
  <c r="AD32" i="33"/>
  <c r="AD31" i="33" s="1"/>
  <c r="AI31" i="33"/>
  <c r="AG31" i="33"/>
  <c r="AE31" i="33"/>
  <c r="AI26" i="33"/>
  <c r="AI25" i="33" s="1"/>
  <c r="AG26" i="33"/>
  <c r="AG25" i="33" s="1"/>
  <c r="AE26" i="33"/>
  <c r="AE25" i="33" s="1"/>
  <c r="AH25" i="33"/>
  <c r="AF25" i="33"/>
  <c r="AD25" i="33"/>
  <c r="AH19" i="33"/>
  <c r="AF19" i="33"/>
  <c r="AD19" i="33"/>
  <c r="AI15" i="33"/>
  <c r="AI19" i="33" s="1"/>
  <c r="AG15" i="33"/>
  <c r="AG19" i="33" s="1"/>
  <c r="AE15" i="33"/>
  <c r="AE19" i="33" s="1"/>
  <c r="AH9" i="33"/>
  <c r="AF9" i="33"/>
  <c r="AH2" i="33"/>
  <c r="AH10" i="33" s="1"/>
  <c r="AF2" i="33"/>
  <c r="AF10" i="33" s="1"/>
  <c r="AF16" i="33" s="1"/>
  <c r="AF20" i="33" s="1"/>
  <c r="AF24" i="33" s="1"/>
  <c r="AF23" i="33" s="1"/>
  <c r="AD2" i="33"/>
  <c r="AD10" i="33" s="1"/>
  <c r="AT181" i="15"/>
  <c r="AR181" i="15"/>
  <c r="AP181" i="15"/>
  <c r="AU137" i="15"/>
  <c r="AS137" i="15"/>
  <c r="AQ137" i="15"/>
  <c r="AU135" i="15"/>
  <c r="AS135" i="15"/>
  <c r="AS141" i="15" s="1"/>
  <c r="AQ135" i="15"/>
  <c r="AQ141" i="15" s="1"/>
  <c r="AU104" i="15"/>
  <c r="AS104" i="15"/>
  <c r="AQ104" i="15"/>
  <c r="AU79" i="15"/>
  <c r="AS79" i="15"/>
  <c r="AQ79" i="15"/>
  <c r="AU71" i="15"/>
  <c r="AS71" i="15"/>
  <c r="AQ71" i="15"/>
  <c r="AU67" i="15"/>
  <c r="AU80" i="15" s="1"/>
  <c r="AS67" i="15"/>
  <c r="AS80" i="15" s="1"/>
  <c r="AQ67" i="15"/>
  <c r="AQ80" i="15" s="1"/>
  <c r="AU57" i="15"/>
  <c r="AT9" i="15" s="1"/>
  <c r="AS57" i="15"/>
  <c r="AR9" i="15" s="1"/>
  <c r="AQ57" i="15"/>
  <c r="AP9" i="15" s="1"/>
  <c r="AU42" i="15"/>
  <c r="AS42" i="15"/>
  <c r="AQ42" i="15"/>
  <c r="AT32" i="15"/>
  <c r="AT42" i="15" s="1"/>
  <c r="AR32" i="15"/>
  <c r="AR42" i="15" s="1"/>
  <c r="AP32" i="15"/>
  <c r="AP31" i="15" s="1"/>
  <c r="AU31" i="15"/>
  <c r="AS31" i="15"/>
  <c r="AQ31" i="15"/>
  <c r="AU26" i="15"/>
  <c r="AU25" i="15" s="1"/>
  <c r="AS26" i="15"/>
  <c r="AS25" i="15" s="1"/>
  <c r="AQ26" i="15"/>
  <c r="AQ25" i="15" s="1"/>
  <c r="AT25" i="15"/>
  <c r="AR25" i="15"/>
  <c r="AP25" i="15"/>
  <c r="AT19" i="15"/>
  <c r="AR19" i="15"/>
  <c r="AP19" i="15"/>
  <c r="AU15" i="15"/>
  <c r="AS15" i="15"/>
  <c r="AS19" i="15" s="1"/>
  <c r="AQ15" i="15"/>
  <c r="AQ19" i="15" s="1"/>
  <c r="AT2" i="15"/>
  <c r="AT10" i="15" s="1"/>
  <c r="AR2" i="15"/>
  <c r="AR10" i="15" s="1"/>
  <c r="AR16" i="15" s="1"/>
  <c r="AR20" i="15" s="1"/>
  <c r="AR24" i="15" s="1"/>
  <c r="AR23" i="15" s="1"/>
  <c r="AP2" i="15"/>
  <c r="AP10" i="15" s="1"/>
  <c r="AU131" i="14"/>
  <c r="AS131" i="14"/>
  <c r="AQ131" i="14"/>
  <c r="AQ131" i="13"/>
  <c r="AU131" i="13"/>
  <c r="AS131" i="13"/>
  <c r="AU135" i="14"/>
  <c r="AU141" i="14" s="1"/>
  <c r="AU122" i="14"/>
  <c r="AU121" i="14"/>
  <c r="AU120" i="14"/>
  <c r="AU119" i="14"/>
  <c r="AU106" i="14"/>
  <c r="AU104" i="14"/>
  <c r="AU105" i="14" s="1"/>
  <c r="AU79" i="14"/>
  <c r="AU123" i="14" s="1"/>
  <c r="AU71" i="14"/>
  <c r="AU67" i="14"/>
  <c r="AU78" i="14" s="1"/>
  <c r="AU65" i="14"/>
  <c r="AU57" i="14"/>
  <c r="AT9" i="14" s="1"/>
  <c r="AU52" i="14"/>
  <c r="AT19" i="14"/>
  <c r="AU15" i="14"/>
  <c r="AU19" i="14" s="1"/>
  <c r="AT2" i="14"/>
  <c r="AT10" i="14" s="1"/>
  <c r="AS135" i="14"/>
  <c r="AS141" i="14" s="1"/>
  <c r="AS122" i="14"/>
  <c r="AS121" i="14"/>
  <c r="AS120" i="14"/>
  <c r="AS119" i="14"/>
  <c r="AS106" i="14"/>
  <c r="AS104" i="14"/>
  <c r="AS105" i="14" s="1"/>
  <c r="AS79" i="14"/>
  <c r="AS123" i="14" s="1"/>
  <c r="AS71" i="14"/>
  <c r="AS67" i="14"/>
  <c r="AS62" i="14" s="1"/>
  <c r="AS65" i="14"/>
  <c r="AS57" i="14"/>
  <c r="AR9" i="14" s="1"/>
  <c r="AS52" i="14"/>
  <c r="AR19" i="14"/>
  <c r="AS15" i="14"/>
  <c r="AS19" i="14" s="1"/>
  <c r="AR2" i="14"/>
  <c r="AR10" i="14" s="1"/>
  <c r="AQ135" i="14"/>
  <c r="AQ141" i="14" s="1"/>
  <c r="AQ122" i="14"/>
  <c r="AQ121" i="14"/>
  <c r="AQ120" i="14"/>
  <c r="AQ119" i="14"/>
  <c r="AQ106" i="14"/>
  <c r="AQ104" i="14"/>
  <c r="AQ105" i="14" s="1"/>
  <c r="AQ79" i="14"/>
  <c r="AQ123" i="14" s="1"/>
  <c r="AQ71" i="14"/>
  <c r="AQ67" i="14"/>
  <c r="AQ62" i="14" s="1"/>
  <c r="AQ65" i="14"/>
  <c r="AQ57" i="14"/>
  <c r="AP9" i="14" s="1"/>
  <c r="AQ52" i="14"/>
  <c r="AP19" i="14"/>
  <c r="AQ15" i="14"/>
  <c r="AQ19" i="14" s="1"/>
  <c r="AP2" i="14"/>
  <c r="AP10" i="14" s="1"/>
  <c r="AU138" i="13"/>
  <c r="AU135" i="13"/>
  <c r="AU141" i="13" s="1"/>
  <c r="AU123" i="13"/>
  <c r="AU122" i="13"/>
  <c r="AU121" i="13"/>
  <c r="AU120" i="13"/>
  <c r="AU119" i="13"/>
  <c r="AU106" i="13"/>
  <c r="AU100" i="13"/>
  <c r="AU104" i="13" s="1"/>
  <c r="AU105" i="13" s="1"/>
  <c r="AU71" i="13"/>
  <c r="AU67" i="13"/>
  <c r="AU80" i="13" s="1"/>
  <c r="AU65" i="13"/>
  <c r="AU57" i="13"/>
  <c r="AU63" i="13" s="1"/>
  <c r="AU52" i="13"/>
  <c r="AU42" i="13"/>
  <c r="AU39" i="13"/>
  <c r="AT32" i="13"/>
  <c r="AT42" i="13" s="1"/>
  <c r="AU31" i="13"/>
  <c r="AT19" i="13"/>
  <c r="AU15" i="13"/>
  <c r="AU19" i="13" s="1"/>
  <c r="AT2" i="13"/>
  <c r="AT10" i="13" s="1"/>
  <c r="AS151" i="13"/>
  <c r="AS150" i="13"/>
  <c r="AS138" i="13"/>
  <c r="AS135" i="13"/>
  <c r="AS96" i="13" s="1"/>
  <c r="AS123" i="13"/>
  <c r="AS122" i="13"/>
  <c r="AS121" i="13"/>
  <c r="AS120" i="13"/>
  <c r="AS119" i="13"/>
  <c r="AS106" i="13"/>
  <c r="AS100" i="13"/>
  <c r="AS104" i="13" s="1"/>
  <c r="AS105" i="13" s="1"/>
  <c r="AS71" i="13"/>
  <c r="AS67" i="13"/>
  <c r="AS78" i="13" s="1"/>
  <c r="AS65" i="13"/>
  <c r="AS57" i="13"/>
  <c r="AS63" i="13" s="1"/>
  <c r="AS52" i="13"/>
  <c r="AS42" i="13"/>
  <c r="AS39" i="13"/>
  <c r="AR32" i="13"/>
  <c r="AR42" i="13" s="1"/>
  <c r="AS31" i="13"/>
  <c r="AR19" i="13"/>
  <c r="AS15" i="13"/>
  <c r="AS19" i="13" s="1"/>
  <c r="AR2" i="13"/>
  <c r="AR10" i="13" s="1"/>
  <c r="AR16" i="13" s="1"/>
  <c r="AR20" i="13" s="1"/>
  <c r="AQ138" i="13"/>
  <c r="AQ135" i="13"/>
  <c r="AQ96" i="13" s="1"/>
  <c r="AQ123" i="13"/>
  <c r="AQ122" i="13"/>
  <c r="AQ121" i="13"/>
  <c r="AQ120" i="13"/>
  <c r="AQ119" i="13"/>
  <c r="AQ106" i="13"/>
  <c r="AQ100" i="13"/>
  <c r="AQ104" i="13" s="1"/>
  <c r="AQ105" i="13" s="1"/>
  <c r="AQ71" i="13"/>
  <c r="AQ67" i="13"/>
  <c r="AQ78" i="13" s="1"/>
  <c r="AQ65" i="13"/>
  <c r="AQ57" i="13"/>
  <c r="AQ52" i="13"/>
  <c r="AQ42" i="13"/>
  <c r="AQ39" i="13"/>
  <c r="AP32" i="13"/>
  <c r="AP42" i="13" s="1"/>
  <c r="AQ31" i="13"/>
  <c r="AP19" i="13"/>
  <c r="AQ15" i="13"/>
  <c r="AQ19" i="13" s="1"/>
  <c r="AP2" i="13"/>
  <c r="AP10" i="13" s="1"/>
  <c r="AS149" i="13" l="1"/>
  <c r="AQ60" i="14"/>
  <c r="AQ111" i="14" s="1"/>
  <c r="AQ112" i="14" s="1"/>
  <c r="AS60" i="14"/>
  <c r="AE79" i="38"/>
  <c r="AE123" i="38" s="1"/>
  <c r="AE117" i="38" s="1"/>
  <c r="AE116" i="38" s="1"/>
  <c r="AE114" i="38" s="1"/>
  <c r="AE115" i="38" s="1"/>
  <c r="AE79" i="39"/>
  <c r="AG123" i="39"/>
  <c r="AG117" i="39" s="1"/>
  <c r="AG116" i="39" s="1"/>
  <c r="AG114" i="39" s="1"/>
  <c r="AG115" i="39" s="1"/>
  <c r="AG77" i="39"/>
  <c r="AG76" i="39" s="1"/>
  <c r="AI79" i="38"/>
  <c r="AI123" i="38" s="1"/>
  <c r="AI117" i="38" s="1"/>
  <c r="AI116" i="38" s="1"/>
  <c r="AI114" i="38" s="1"/>
  <c r="AI115" i="38" s="1"/>
  <c r="AI79" i="39"/>
  <c r="AE77" i="38"/>
  <c r="AE76" i="38" s="1"/>
  <c r="AG79" i="37"/>
  <c r="AG123" i="37" s="1"/>
  <c r="AG117" i="37" s="1"/>
  <c r="AG116" i="37" s="1"/>
  <c r="AG114" i="37" s="1"/>
  <c r="AG115" i="37" s="1"/>
  <c r="AG79" i="38"/>
  <c r="AR30" i="15"/>
  <c r="AR29" i="15" s="1"/>
  <c r="AT30" i="15"/>
  <c r="AT29" i="15" s="1"/>
  <c r="AR31" i="15"/>
  <c r="AT31" i="15"/>
  <c r="AH31" i="34"/>
  <c r="AP31" i="13"/>
  <c r="AE79" i="34"/>
  <c r="AE123" i="34" s="1"/>
  <c r="AE117" i="34" s="1"/>
  <c r="AE116" i="34" s="1"/>
  <c r="AE114" i="34" s="1"/>
  <c r="AE115" i="34" s="1"/>
  <c r="AE79" i="37"/>
  <c r="AI79" i="34"/>
  <c r="AI123" i="34" s="1"/>
  <c r="AI117" i="34" s="1"/>
  <c r="AI116" i="34" s="1"/>
  <c r="AI114" i="34" s="1"/>
  <c r="AI115" i="34" s="1"/>
  <c r="AI79" i="37"/>
  <c r="AQ60" i="13"/>
  <c r="AQ111" i="13" s="1"/>
  <c r="AQ112" i="13" s="1"/>
  <c r="AH30" i="34"/>
  <c r="AH29" i="34" s="1"/>
  <c r="AS117" i="13"/>
  <c r="AS116" i="13" s="1"/>
  <c r="AS114" i="13" s="1"/>
  <c r="AS115" i="13" s="1"/>
  <c r="AE69" i="35"/>
  <c r="AE81" i="35"/>
  <c r="AE126" i="35"/>
  <c r="AE127" i="35" s="1"/>
  <c r="AE75" i="35"/>
  <c r="AE16" i="35"/>
  <c r="AE20" i="35" s="1"/>
  <c r="AE24" i="35" s="1"/>
  <c r="AE23" i="35" s="1"/>
  <c r="AI56" i="35"/>
  <c r="AI53" i="35" s="1"/>
  <c r="AD30" i="33"/>
  <c r="AD29" i="33" s="1"/>
  <c r="AF31" i="33"/>
  <c r="AH31" i="33"/>
  <c r="AE30" i="33"/>
  <c r="AE29" i="33" s="1"/>
  <c r="AG10" i="33"/>
  <c r="AG77" i="33" s="1"/>
  <c r="AG76" i="33" s="1"/>
  <c r="AQ30" i="15"/>
  <c r="AQ29" i="15" s="1"/>
  <c r="AS30" i="15"/>
  <c r="AS29" i="15" s="1"/>
  <c r="AU63" i="15"/>
  <c r="AS59" i="13"/>
  <c r="AP9" i="13"/>
  <c r="AQ63" i="15"/>
  <c r="AS63" i="15"/>
  <c r="AR72" i="15"/>
  <c r="AQ78" i="15"/>
  <c r="AS78" i="15"/>
  <c r="AQ96" i="14"/>
  <c r="AS96" i="14"/>
  <c r="AU96" i="14"/>
  <c r="AU60" i="14"/>
  <c r="AU108" i="14" s="1"/>
  <c r="AU109" i="14" s="1"/>
  <c r="AT72" i="14"/>
  <c r="AP72" i="14"/>
  <c r="AR72" i="14"/>
  <c r="AQ78" i="14"/>
  <c r="AS78" i="14"/>
  <c r="AS80" i="14"/>
  <c r="AS80" i="13"/>
  <c r="AS82" i="13" s="1"/>
  <c r="AR9" i="13"/>
  <c r="AQ63" i="13"/>
  <c r="AU60" i="13"/>
  <c r="AT8" i="13" s="1"/>
  <c r="AU78" i="13"/>
  <c r="AU149" i="13" s="1"/>
  <c r="AP72" i="13"/>
  <c r="AU59" i="13"/>
  <c r="AT16" i="13"/>
  <c r="AT20" i="13" s="1"/>
  <c r="AU10" i="13"/>
  <c r="AU16" i="13" s="1"/>
  <c r="AU20" i="13" s="1"/>
  <c r="AQ80" i="13"/>
  <c r="AQ83" i="13" s="1"/>
  <c r="AQ86" i="13" s="1"/>
  <c r="AQ87" i="13" s="1"/>
  <c r="AT9" i="13"/>
  <c r="AQ117" i="13"/>
  <c r="AQ116" i="13" s="1"/>
  <c r="AQ114" i="13" s="1"/>
  <c r="AQ115" i="13" s="1"/>
  <c r="AR31" i="13"/>
  <c r="AT72" i="13"/>
  <c r="AU117" i="13"/>
  <c r="AU116" i="13" s="1"/>
  <c r="AU114" i="13" s="1"/>
  <c r="AU115" i="13" s="1"/>
  <c r="AG56" i="34"/>
  <c r="AG53" i="34" s="1"/>
  <c r="AF8" i="34"/>
  <c r="AE83" i="33"/>
  <c r="AE84" i="33" s="1"/>
  <c r="AG111" i="34"/>
  <c r="AG112" i="34" s="1"/>
  <c r="AQ141" i="13"/>
  <c r="AS60" i="13"/>
  <c r="AS111" i="13" s="1"/>
  <c r="AS112" i="13" s="1"/>
  <c r="AU83" i="13"/>
  <c r="AU86" i="13" s="1"/>
  <c r="AU89" i="13" s="1"/>
  <c r="AU96" i="13"/>
  <c r="AG79" i="34"/>
  <c r="AP8" i="14"/>
  <c r="AS111" i="14"/>
  <c r="AS112" i="14" s="1"/>
  <c r="AR8" i="14"/>
  <c r="AQ117" i="14"/>
  <c r="AQ116" i="14" s="1"/>
  <c r="AQ114" i="14" s="1"/>
  <c r="AQ115" i="14" s="1"/>
  <c r="AS59" i="14"/>
  <c r="AS117" i="14"/>
  <c r="AS116" i="14" s="1"/>
  <c r="AS114" i="14" s="1"/>
  <c r="AS115" i="14" s="1"/>
  <c r="AQ59" i="14"/>
  <c r="AU117" i="14"/>
  <c r="AU116" i="14" s="1"/>
  <c r="AU114" i="14" s="1"/>
  <c r="AU115" i="14" s="1"/>
  <c r="AE108" i="34"/>
  <c r="AE109" i="34" s="1"/>
  <c r="AD8" i="34"/>
  <c r="AE56" i="34"/>
  <c r="AE111" i="34"/>
  <c r="AE112" i="34" s="1"/>
  <c r="AI90" i="35"/>
  <c r="AI108" i="35"/>
  <c r="AI109" i="35" s="1"/>
  <c r="AH8" i="35"/>
  <c r="AI87" i="35"/>
  <c r="AG89" i="35"/>
  <c r="AG90" i="35" s="1"/>
  <c r="AI126" i="35"/>
  <c r="AI127" i="35" s="1"/>
  <c r="AI81" i="35"/>
  <c r="AI69" i="35"/>
  <c r="AI75" i="35"/>
  <c r="AI129" i="35"/>
  <c r="AI130" i="35" s="1"/>
  <c r="AI132" i="35"/>
  <c r="AI133" i="35" s="1"/>
  <c r="AI142" i="35" s="1"/>
  <c r="AG53" i="35"/>
  <c r="AG68" i="35"/>
  <c r="AG50" i="35"/>
  <c r="AI94" i="35"/>
  <c r="AI98" i="35"/>
  <c r="AE50" i="35"/>
  <c r="AE68" i="35"/>
  <c r="AE53" i="35"/>
  <c r="AG75" i="35"/>
  <c r="AG126" i="35"/>
  <c r="AG127" i="35" s="1"/>
  <c r="AG81" i="35"/>
  <c r="AG69" i="35"/>
  <c r="AG129" i="35"/>
  <c r="AG130" i="35" s="1"/>
  <c r="AI16" i="35"/>
  <c r="AI20" i="35" s="1"/>
  <c r="AI24" i="35" s="1"/>
  <c r="AI23" i="35" s="1"/>
  <c r="AE87" i="35"/>
  <c r="AE89" i="35"/>
  <c r="AI50" i="34"/>
  <c r="AI54" i="34" s="1"/>
  <c r="AI68" i="34"/>
  <c r="AI53" i="34"/>
  <c r="AE93" i="34"/>
  <c r="AE90" i="34"/>
  <c r="AI86" i="34"/>
  <c r="AI84" i="34"/>
  <c r="AG87" i="34"/>
  <c r="AG89" i="34"/>
  <c r="AI82" i="33"/>
  <c r="AI84" i="33"/>
  <c r="AE10" i="33"/>
  <c r="AD16" i="33"/>
  <c r="AD20" i="33" s="1"/>
  <c r="AD24" i="33" s="1"/>
  <c r="AD23" i="33" s="1"/>
  <c r="AG84" i="33"/>
  <c r="AG86" i="33"/>
  <c r="AI10" i="33"/>
  <c r="AH16" i="33"/>
  <c r="AH20" i="33" s="1"/>
  <c r="AH24" i="33" s="1"/>
  <c r="AH23" i="33" s="1"/>
  <c r="AI89" i="33"/>
  <c r="AI87" i="33"/>
  <c r="AF30" i="33"/>
  <c r="AF29" i="33" s="1"/>
  <c r="AG30" i="33"/>
  <c r="AG29" i="33" s="1"/>
  <c r="AH30" i="33"/>
  <c r="AH29" i="33" s="1"/>
  <c r="AE63" i="33"/>
  <c r="AI30" i="33"/>
  <c r="AI29" i="33" s="1"/>
  <c r="AD42" i="33"/>
  <c r="AD9" i="33"/>
  <c r="AG82" i="33"/>
  <c r="AQ10" i="15"/>
  <c r="AQ16" i="15" s="1"/>
  <c r="AQ20" i="15" s="1"/>
  <c r="AQ24" i="15" s="1"/>
  <c r="AQ23" i="15" s="1"/>
  <c r="AP16" i="15"/>
  <c r="AP20" i="15" s="1"/>
  <c r="AP24" i="15" s="1"/>
  <c r="AP23" i="15" s="1"/>
  <c r="AT16" i="15"/>
  <c r="AT20" i="15" s="1"/>
  <c r="AT24" i="15" s="1"/>
  <c r="AT23" i="15" s="1"/>
  <c r="AU10" i="15"/>
  <c r="AU132" i="15" s="1"/>
  <c r="AQ83" i="15"/>
  <c r="AQ82" i="15"/>
  <c r="AS83" i="15"/>
  <c r="AS82" i="15"/>
  <c r="AU83" i="15"/>
  <c r="AU82" i="15"/>
  <c r="AS10" i="15"/>
  <c r="AS16" i="15" s="1"/>
  <c r="AS20" i="15" s="1"/>
  <c r="AS24" i="15" s="1"/>
  <c r="AS23" i="15" s="1"/>
  <c r="AU19" i="15"/>
  <c r="AP30" i="15"/>
  <c r="AP29" i="15" s="1"/>
  <c r="AU141" i="15"/>
  <c r="AU78" i="15"/>
  <c r="AU30" i="15"/>
  <c r="AU29" i="15" s="1"/>
  <c r="AP42" i="15"/>
  <c r="AP72" i="15"/>
  <c r="AT72" i="15"/>
  <c r="AT16" i="14"/>
  <c r="AT20" i="14" s="1"/>
  <c r="AU10" i="14"/>
  <c r="AU69" i="14" s="1"/>
  <c r="AU80" i="14"/>
  <c r="AU62" i="14"/>
  <c r="AU59" i="14" s="1"/>
  <c r="AR16" i="14"/>
  <c r="AR20" i="14" s="1"/>
  <c r="AS10" i="14"/>
  <c r="AS132" i="14" s="1"/>
  <c r="AS133" i="14" s="1"/>
  <c r="AS142" i="14" s="1"/>
  <c r="AS56" i="14"/>
  <c r="AS108" i="14"/>
  <c r="AS109" i="14" s="1"/>
  <c r="AP16" i="14"/>
  <c r="AP20" i="14" s="1"/>
  <c r="AQ10" i="14"/>
  <c r="AQ16" i="14" s="1"/>
  <c r="AQ20" i="14" s="1"/>
  <c r="AQ56" i="14"/>
  <c r="AQ80" i="14"/>
  <c r="AQ108" i="14"/>
  <c r="AQ109" i="14" s="1"/>
  <c r="AS152" i="13"/>
  <c r="AU82" i="13"/>
  <c r="AQ149" i="13"/>
  <c r="AT31" i="13"/>
  <c r="AS10" i="13"/>
  <c r="AS141" i="13"/>
  <c r="AR72" i="13"/>
  <c r="AQ10" i="13"/>
  <c r="AP16" i="13"/>
  <c r="AP20" i="13" s="1"/>
  <c r="AP8" i="13"/>
  <c r="AQ59" i="13"/>
  <c r="AQ82" i="13"/>
  <c r="AQ81" i="15" l="1"/>
  <c r="AI77" i="38"/>
  <c r="AI76" i="38" s="1"/>
  <c r="AG16" i="33"/>
  <c r="AG20" i="33" s="1"/>
  <c r="AG24" i="33" s="1"/>
  <c r="AG23" i="33" s="1"/>
  <c r="AG81" i="33"/>
  <c r="AT8" i="14"/>
  <c r="AG75" i="33"/>
  <c r="AG129" i="33"/>
  <c r="AI123" i="39"/>
  <c r="AI117" i="39" s="1"/>
  <c r="AI116" i="39" s="1"/>
  <c r="AI114" i="39" s="1"/>
  <c r="AI115" i="39" s="1"/>
  <c r="AI77" i="39"/>
  <c r="AI76" i="39" s="1"/>
  <c r="AQ84" i="13"/>
  <c r="AE79" i="35"/>
  <c r="AE77" i="35" s="1"/>
  <c r="AE76" i="35" s="1"/>
  <c r="AI79" i="35"/>
  <c r="AI123" i="35" s="1"/>
  <c r="AI117" i="35" s="1"/>
  <c r="AI116" i="35" s="1"/>
  <c r="AI114" i="35" s="1"/>
  <c r="AI115" i="35" s="1"/>
  <c r="AG77" i="37"/>
  <c r="AG76" i="37" s="1"/>
  <c r="AE123" i="39"/>
  <c r="AE117" i="39" s="1"/>
  <c r="AE116" i="39" s="1"/>
  <c r="AE114" i="39" s="1"/>
  <c r="AE115" i="39" s="1"/>
  <c r="AE77" i="39"/>
  <c r="AE76" i="39" s="1"/>
  <c r="AG123" i="38"/>
  <c r="AG117" i="38" s="1"/>
  <c r="AG116" i="38" s="1"/>
  <c r="AG114" i="38" s="1"/>
  <c r="AG115" i="38" s="1"/>
  <c r="AG77" i="38"/>
  <c r="AG76" i="38" s="1"/>
  <c r="AQ108" i="13"/>
  <c r="AQ109" i="13" s="1"/>
  <c r="AQ56" i="13"/>
  <c r="AU111" i="13"/>
  <c r="AU112" i="13" s="1"/>
  <c r="AS132" i="15"/>
  <c r="AI123" i="37"/>
  <c r="AI117" i="37" s="1"/>
  <c r="AI116" i="37" s="1"/>
  <c r="AI114" i="37" s="1"/>
  <c r="AI115" i="37" s="1"/>
  <c r="AI77" i="37"/>
  <c r="AI76" i="37" s="1"/>
  <c r="AE123" i="37"/>
  <c r="AE117" i="37" s="1"/>
  <c r="AE116" i="37" s="1"/>
  <c r="AE114" i="37" s="1"/>
  <c r="AE115" i="37" s="1"/>
  <c r="AE77" i="37"/>
  <c r="AE76" i="37" s="1"/>
  <c r="AQ89" i="13"/>
  <c r="AQ93" i="13" s="1"/>
  <c r="AS16" i="13"/>
  <c r="AS20" i="13" s="1"/>
  <c r="AS75" i="13"/>
  <c r="AS83" i="13"/>
  <c r="AU81" i="13"/>
  <c r="AU75" i="13"/>
  <c r="AQ16" i="13"/>
  <c r="AQ20" i="13" s="1"/>
  <c r="AQ75" i="13"/>
  <c r="AU69" i="13"/>
  <c r="AU77" i="13"/>
  <c r="AV77" i="13" s="1"/>
  <c r="AU56" i="13"/>
  <c r="AU53" i="13" s="1"/>
  <c r="AU132" i="13"/>
  <c r="AU133" i="13" s="1"/>
  <c r="AU142" i="13" s="1"/>
  <c r="AI50" i="35"/>
  <c r="AI54" i="35" s="1"/>
  <c r="AI41" i="35" s="1"/>
  <c r="AI68" i="35"/>
  <c r="AG93" i="35"/>
  <c r="AG98" i="35" s="1"/>
  <c r="AG126" i="33"/>
  <c r="AG132" i="33"/>
  <c r="AG69" i="33"/>
  <c r="AQ132" i="15"/>
  <c r="AQ77" i="15"/>
  <c r="AQ76" i="15" s="1"/>
  <c r="AU108" i="13"/>
  <c r="AU109" i="13" s="1"/>
  <c r="AS81" i="14"/>
  <c r="AU111" i="14"/>
  <c r="AU112" i="14" s="1"/>
  <c r="AS83" i="14"/>
  <c r="AS82" i="14"/>
  <c r="AU56" i="14"/>
  <c r="AU50" i="14" s="1"/>
  <c r="AU54" i="14" s="1"/>
  <c r="AS69" i="13"/>
  <c r="AU126" i="13"/>
  <c r="AU127" i="13" s="1"/>
  <c r="AU129" i="13"/>
  <c r="AU130" i="13" s="1"/>
  <c r="AG50" i="34"/>
  <c r="AG54" i="34" s="1"/>
  <c r="AF41" i="34" s="1"/>
  <c r="AG68" i="34"/>
  <c r="AE86" i="33"/>
  <c r="AE87" i="33" s="1"/>
  <c r="AU84" i="13"/>
  <c r="AU87" i="13"/>
  <c r="AG79" i="35"/>
  <c r="AG123" i="34"/>
  <c r="AG117" i="34" s="1"/>
  <c r="AG116" i="34" s="1"/>
  <c r="AG114" i="34" s="1"/>
  <c r="AG115" i="34" s="1"/>
  <c r="AS56" i="13"/>
  <c r="AR8" i="13"/>
  <c r="AS108" i="13"/>
  <c r="AS109" i="13" s="1"/>
  <c r="AE50" i="34"/>
  <c r="AE54" i="34" s="1"/>
  <c r="AE53" i="34"/>
  <c r="AE68" i="34"/>
  <c r="AI144" i="35"/>
  <c r="AI99" i="35"/>
  <c r="AE90" i="35"/>
  <c r="AE93" i="35"/>
  <c r="AG54" i="35"/>
  <c r="AE54" i="35"/>
  <c r="AH41" i="34"/>
  <c r="AI41" i="34"/>
  <c r="AG93" i="34"/>
  <c r="AG90" i="34"/>
  <c r="AI49" i="34"/>
  <c r="AI87" i="34"/>
  <c r="AI89" i="34"/>
  <c r="AE98" i="34"/>
  <c r="AE94" i="34"/>
  <c r="AI126" i="33"/>
  <c r="AI132" i="33"/>
  <c r="AI75" i="33"/>
  <c r="AI16" i="33"/>
  <c r="AI20" i="33" s="1"/>
  <c r="AI24" i="33" s="1"/>
  <c r="AI23" i="33" s="1"/>
  <c r="AI81" i="33"/>
  <c r="AI129" i="33"/>
  <c r="AI69" i="33"/>
  <c r="AG89" i="33"/>
  <c r="AG87" i="33"/>
  <c r="AE126" i="33"/>
  <c r="AE77" i="33"/>
  <c r="AE76" i="33" s="1"/>
  <c r="AE69" i="33"/>
  <c r="AE75" i="33"/>
  <c r="AE81" i="33"/>
  <c r="AE129" i="33"/>
  <c r="AE132" i="33"/>
  <c r="AI77" i="33"/>
  <c r="AI76" i="33" s="1"/>
  <c r="AE16" i="33"/>
  <c r="AE20" i="33" s="1"/>
  <c r="AE24" i="33" s="1"/>
  <c r="AE23" i="33" s="1"/>
  <c r="AI93" i="33"/>
  <c r="AI90" i="33"/>
  <c r="AS75" i="15"/>
  <c r="AS126" i="15"/>
  <c r="AS69" i="15"/>
  <c r="AS129" i="15"/>
  <c r="AS77" i="15"/>
  <c r="AS76" i="15" s="1"/>
  <c r="AQ129" i="15"/>
  <c r="AQ75" i="15"/>
  <c r="AQ126" i="15"/>
  <c r="AU16" i="15"/>
  <c r="AU20" i="15" s="1"/>
  <c r="AU24" i="15" s="1"/>
  <c r="AU23" i="15" s="1"/>
  <c r="AU81" i="15"/>
  <c r="AU86" i="15"/>
  <c r="AU84" i="15"/>
  <c r="AU69" i="15"/>
  <c r="AS86" i="15"/>
  <c r="AS84" i="15"/>
  <c r="AQ69" i="15"/>
  <c r="AS81" i="15"/>
  <c r="AQ86" i="15"/>
  <c r="AQ84" i="15"/>
  <c r="AU75" i="15"/>
  <c r="AU126" i="15"/>
  <c r="AU77" i="15"/>
  <c r="AU76" i="15" s="1"/>
  <c r="AU129" i="15"/>
  <c r="AU83" i="14"/>
  <c r="AU82" i="14"/>
  <c r="AU81" i="14"/>
  <c r="AU16" i="14"/>
  <c r="AU20" i="14" s="1"/>
  <c r="AU75" i="14"/>
  <c r="AU132" i="14"/>
  <c r="AU133" i="14" s="1"/>
  <c r="AU142" i="14" s="1"/>
  <c r="AU77" i="14"/>
  <c r="AU76" i="14" s="1"/>
  <c r="AS50" i="14"/>
  <c r="AS54" i="14" s="1"/>
  <c r="AS68" i="14"/>
  <c r="AS63" i="14" s="1"/>
  <c r="AS53" i="14"/>
  <c r="AS75" i="14"/>
  <c r="AS69" i="14"/>
  <c r="AS16" i="14"/>
  <c r="AS20" i="14" s="1"/>
  <c r="AS77" i="14"/>
  <c r="AS76" i="14" s="1"/>
  <c r="AQ83" i="14"/>
  <c r="AQ82" i="14"/>
  <c r="AQ81" i="14"/>
  <c r="AQ50" i="14"/>
  <c r="AQ54" i="14" s="1"/>
  <c r="AQ68" i="14"/>
  <c r="AQ63" i="14" s="1"/>
  <c r="AQ53" i="14"/>
  <c r="AQ75" i="14"/>
  <c r="AQ69" i="14"/>
  <c r="AQ77" i="14"/>
  <c r="AQ76" i="14" s="1"/>
  <c r="AQ132" i="14"/>
  <c r="AQ133" i="14" s="1"/>
  <c r="AQ142" i="14" s="1"/>
  <c r="AU93" i="13"/>
  <c r="AU90" i="13"/>
  <c r="AS126" i="13"/>
  <c r="AS127" i="13" s="1"/>
  <c r="AS77" i="13"/>
  <c r="AS129" i="13"/>
  <c r="AS130" i="13" s="1"/>
  <c r="AS81" i="13"/>
  <c r="AS132" i="13"/>
  <c r="AS133" i="13" s="1"/>
  <c r="AS142" i="13" s="1"/>
  <c r="AQ81" i="13"/>
  <c r="AQ126" i="13"/>
  <c r="AQ127" i="13" s="1"/>
  <c r="AQ77" i="13"/>
  <c r="AQ69" i="13"/>
  <c r="AQ132" i="13"/>
  <c r="AQ133" i="13" s="1"/>
  <c r="AQ142" i="13" s="1"/>
  <c r="AQ129" i="13"/>
  <c r="AQ130" i="13" s="1"/>
  <c r="AE89" i="33" l="1"/>
  <c r="AE123" i="35"/>
  <c r="AE117" i="35" s="1"/>
  <c r="AE116" i="35" s="1"/>
  <c r="AE114" i="35" s="1"/>
  <c r="AE115" i="35" s="1"/>
  <c r="AI77" i="35"/>
  <c r="AI76" i="35" s="1"/>
  <c r="AI49" i="35"/>
  <c r="AI48" i="35" s="1"/>
  <c r="AQ53" i="13"/>
  <c r="AQ50" i="13"/>
  <c r="AQ54" i="13" s="1"/>
  <c r="AQ68" i="13"/>
  <c r="AU68" i="13"/>
  <c r="AU50" i="13"/>
  <c r="AU54" i="13" s="1"/>
  <c r="AU49" i="13" s="1"/>
  <c r="AT49" i="13" s="1"/>
  <c r="AT48" i="13" s="1"/>
  <c r="AH41" i="35"/>
  <c r="AG94" i="35"/>
  <c r="AQ90" i="13"/>
  <c r="AT77" i="13"/>
  <c r="AU76" i="13"/>
  <c r="AS86" i="13"/>
  <c r="AS84" i="13"/>
  <c r="AU68" i="14"/>
  <c r="AU63" i="14" s="1"/>
  <c r="AU53" i="14"/>
  <c r="AS86" i="14"/>
  <c r="AS84" i="14"/>
  <c r="AG49" i="34"/>
  <c r="AG45" i="34" s="1"/>
  <c r="AG41" i="34"/>
  <c r="AG77" i="35"/>
  <c r="AG76" i="35" s="1"/>
  <c r="AG123" i="35"/>
  <c r="AG117" i="35" s="1"/>
  <c r="AG116" i="35" s="1"/>
  <c r="AG114" i="35" s="1"/>
  <c r="AG115" i="35" s="1"/>
  <c r="AS53" i="13"/>
  <c r="AS68" i="13"/>
  <c r="AS50" i="13"/>
  <c r="AS54" i="13" s="1"/>
  <c r="AS49" i="13" s="1"/>
  <c r="AE49" i="34"/>
  <c r="AD41" i="34"/>
  <c r="AE41" i="34"/>
  <c r="AF41" i="35"/>
  <c r="AG41" i="35"/>
  <c r="AG49" i="35"/>
  <c r="AG144" i="35"/>
  <c r="AG99" i="35"/>
  <c r="AE98" i="35"/>
  <c r="AE94" i="35"/>
  <c r="AD41" i="35"/>
  <c r="AE41" i="35"/>
  <c r="AH49" i="35"/>
  <c r="AH48" i="35" s="1"/>
  <c r="AI45" i="35"/>
  <c r="AI44" i="35" s="1"/>
  <c r="AI43" i="35" s="1"/>
  <c r="AH45" i="35"/>
  <c r="AE49" i="35"/>
  <c r="AE99" i="34"/>
  <c r="AI93" i="34"/>
  <c r="AI90" i="34"/>
  <c r="AG98" i="34"/>
  <c r="AG94" i="34"/>
  <c r="AI45" i="34"/>
  <c r="AI44" i="34" s="1"/>
  <c r="AI43" i="34" s="1"/>
  <c r="AH45" i="34"/>
  <c r="AH44" i="34" s="1"/>
  <c r="AH43" i="34" s="1"/>
  <c r="AH49" i="34"/>
  <c r="AG93" i="33"/>
  <c r="AG90" i="33"/>
  <c r="AE93" i="33"/>
  <c r="AE90" i="33"/>
  <c r="AI94" i="33"/>
  <c r="AU87" i="15"/>
  <c r="AU89" i="15"/>
  <c r="AQ87" i="15"/>
  <c r="AQ89" i="15"/>
  <c r="AS87" i="15"/>
  <c r="AS89" i="15"/>
  <c r="AU86" i="14"/>
  <c r="AU84" i="14"/>
  <c r="AU49" i="14"/>
  <c r="AS49" i="14"/>
  <c r="AQ49" i="14"/>
  <c r="AQ86" i="14"/>
  <c r="AQ84" i="14"/>
  <c r="AU98" i="13"/>
  <c r="AU94" i="13"/>
  <c r="AR77" i="13"/>
  <c r="AS76" i="13"/>
  <c r="AQ98" i="13"/>
  <c r="AQ94" i="13"/>
  <c r="AP41" i="13"/>
  <c r="AQ41" i="13"/>
  <c r="AQ49" i="13"/>
  <c r="AQ76" i="13"/>
  <c r="AH44" i="35" l="1"/>
  <c r="AH43" i="35" s="1"/>
  <c r="AT41" i="13"/>
  <c r="AU41" i="13"/>
  <c r="AU45" i="13"/>
  <c r="AU44" i="13" s="1"/>
  <c r="AT45" i="13"/>
  <c r="AU48" i="13"/>
  <c r="AS87" i="13"/>
  <c r="AS89" i="13"/>
  <c r="AG44" i="34"/>
  <c r="AG43" i="34" s="1"/>
  <c r="AS89" i="14"/>
  <c r="AS87" i="14"/>
  <c r="AS48" i="13"/>
  <c r="AR45" i="13"/>
  <c r="AS45" i="13"/>
  <c r="AF49" i="34"/>
  <c r="AF45" i="34"/>
  <c r="AF44" i="34" s="1"/>
  <c r="AF43" i="34" s="1"/>
  <c r="AR49" i="13"/>
  <c r="AR48" i="13" s="1"/>
  <c r="AS41" i="13"/>
  <c r="AS44" i="13" s="1"/>
  <c r="AS47" i="13" s="1"/>
  <c r="AR41" i="13"/>
  <c r="AR44" i="13" s="1"/>
  <c r="AR43" i="13" s="1"/>
  <c r="AE45" i="34"/>
  <c r="AE44" i="34" s="1"/>
  <c r="AE43" i="34" s="1"/>
  <c r="AD49" i="34"/>
  <c r="AD45" i="34"/>
  <c r="AD44" i="34" s="1"/>
  <c r="AD43" i="34" s="1"/>
  <c r="AE48" i="35"/>
  <c r="AD49" i="35"/>
  <c r="AD48" i="35" s="1"/>
  <c r="AE45" i="35"/>
  <c r="AE44" i="35" s="1"/>
  <c r="AE43" i="35" s="1"/>
  <c r="AD45" i="35"/>
  <c r="AD44" i="35" s="1"/>
  <c r="AD43" i="35" s="1"/>
  <c r="AE144" i="35"/>
  <c r="AE99" i="35"/>
  <c r="AF45" i="35"/>
  <c r="AF44" i="35" s="1"/>
  <c r="AF43" i="35" s="1"/>
  <c r="AG48" i="35"/>
  <c r="AG45" i="35"/>
  <c r="AG44" i="35" s="1"/>
  <c r="AG43" i="35" s="1"/>
  <c r="AF49" i="35"/>
  <c r="AF48" i="35" s="1"/>
  <c r="AI94" i="34"/>
  <c r="AI98" i="34"/>
  <c r="AG99" i="34"/>
  <c r="AE94" i="33"/>
  <c r="AG94" i="33"/>
  <c r="AQ93" i="15"/>
  <c r="AQ90" i="15"/>
  <c r="AS93" i="15"/>
  <c r="AS90" i="15"/>
  <c r="AU93" i="15"/>
  <c r="AU90" i="15"/>
  <c r="AU89" i="14"/>
  <c r="AU87" i="14"/>
  <c r="AT49" i="14"/>
  <c r="AT48" i="14" s="1"/>
  <c r="AU48" i="14"/>
  <c r="AU45" i="14"/>
  <c r="AT45" i="14"/>
  <c r="AR49" i="14"/>
  <c r="AR48" i="14" s="1"/>
  <c r="AS48" i="14"/>
  <c r="AS45" i="14"/>
  <c r="AR45" i="14"/>
  <c r="AQ89" i="14"/>
  <c r="AQ87" i="14"/>
  <c r="AP49" i="14"/>
  <c r="AP48" i="14" s="1"/>
  <c r="AQ48" i="14"/>
  <c r="AQ45" i="14"/>
  <c r="AP45" i="14"/>
  <c r="AU99" i="13"/>
  <c r="AU124" i="13" s="1"/>
  <c r="AU144" i="13"/>
  <c r="AQ99" i="13"/>
  <c r="AQ124" i="13" s="1"/>
  <c r="AQ144" i="13"/>
  <c r="AP45" i="13"/>
  <c r="AP44" i="13" s="1"/>
  <c r="AP43" i="13" s="1"/>
  <c r="AP49" i="13"/>
  <c r="AP48" i="13" s="1"/>
  <c r="AQ48" i="13"/>
  <c r="AQ45" i="13"/>
  <c r="AQ44" i="13" s="1"/>
  <c r="AT44" i="13" l="1"/>
  <c r="AT43" i="13" s="1"/>
  <c r="AS93" i="13"/>
  <c r="AS90" i="13"/>
  <c r="AS93" i="14"/>
  <c r="AS90" i="14"/>
  <c r="AS43" i="13"/>
  <c r="AI99" i="34"/>
  <c r="AQ94" i="15"/>
  <c r="AU94" i="15"/>
  <c r="AS94" i="15"/>
  <c r="AU93" i="14"/>
  <c r="AU90" i="14"/>
  <c r="AQ93" i="14"/>
  <c r="AQ90" i="14"/>
  <c r="AU43" i="13"/>
  <c r="AU47" i="13"/>
  <c r="AQ47" i="13"/>
  <c r="AQ43" i="13"/>
  <c r="AS98" i="13" l="1"/>
  <c r="AS94" i="13"/>
  <c r="AS94" i="14"/>
  <c r="AS98" i="14"/>
  <c r="AU98" i="14"/>
  <c r="AU94" i="14"/>
  <c r="AQ98" i="14"/>
  <c r="AQ94" i="14"/>
  <c r="AS99" i="13" l="1"/>
  <c r="AS124" i="13" s="1"/>
  <c r="AS144" i="13"/>
  <c r="AS144" i="14"/>
  <c r="AS99" i="14"/>
  <c r="AS124" i="14" s="1"/>
  <c r="AU144" i="14"/>
  <c r="AU99" i="14"/>
  <c r="AU124" i="14" s="1"/>
  <c r="AQ144" i="14"/>
  <c r="AQ99" i="14"/>
  <c r="AQ124" i="14" s="1"/>
  <c r="AC131" i="35" l="1"/>
  <c r="AA131" i="35"/>
  <c r="Y131" i="35"/>
  <c r="W131" i="35"/>
  <c r="U131" i="35"/>
  <c r="S131" i="35"/>
  <c r="Q131" i="35"/>
  <c r="O131" i="35"/>
  <c r="M131" i="35"/>
  <c r="K131" i="35"/>
  <c r="I131" i="35"/>
  <c r="G131" i="35"/>
  <c r="M136" i="35"/>
  <c r="I136" i="35"/>
  <c r="Y72" i="35"/>
  <c r="Q72" i="35"/>
  <c r="S72" i="35" s="1"/>
  <c r="M72" i="35"/>
  <c r="I72" i="35"/>
  <c r="Y74" i="35"/>
  <c r="Q74" i="35"/>
  <c r="S74" i="35" s="1"/>
  <c r="M74" i="35"/>
  <c r="I74" i="35"/>
  <c r="AC65" i="35"/>
  <c r="AC60" i="35" s="1"/>
  <c r="AC56" i="35" s="1"/>
  <c r="AC63" i="35"/>
  <c r="AC62" i="35"/>
  <c r="AC52" i="35"/>
  <c r="AB42" i="35"/>
  <c r="AC32" i="35"/>
  <c r="AC42" i="35" s="1"/>
  <c r="AB31" i="35"/>
  <c r="AB30" i="35"/>
  <c r="AB29" i="35" s="1"/>
  <c r="AC26" i="35"/>
  <c r="AC25" i="35" s="1"/>
  <c r="AB25" i="35"/>
  <c r="AB19" i="35"/>
  <c r="AC15" i="35"/>
  <c r="AC19" i="35" s="1"/>
  <c r="AA65" i="35"/>
  <c r="AA60" i="35" s="1"/>
  <c r="AA56" i="35" s="1"/>
  <c r="AA63" i="35"/>
  <c r="AA62" i="35"/>
  <c r="AA59" i="35" s="1"/>
  <c r="AA52" i="35"/>
  <c r="Z42" i="35"/>
  <c r="AA32" i="35"/>
  <c r="AA31" i="35" s="1"/>
  <c r="Z31" i="35"/>
  <c r="Z30" i="35"/>
  <c r="Z29" i="35" s="1"/>
  <c r="AA26" i="35"/>
  <c r="AA25" i="35" s="1"/>
  <c r="Z25" i="35"/>
  <c r="Z19" i="35"/>
  <c r="AA15" i="35"/>
  <c r="Y65" i="35"/>
  <c r="Y60" i="35" s="1"/>
  <c r="Y56" i="35" s="1"/>
  <c r="Y63" i="35"/>
  <c r="Y62" i="35"/>
  <c r="Y52" i="35"/>
  <c r="X42" i="35"/>
  <c r="Y32" i="35"/>
  <c r="Y31" i="35" s="1"/>
  <c r="X31" i="35"/>
  <c r="X30" i="35"/>
  <c r="X29" i="35" s="1"/>
  <c r="Y26" i="35"/>
  <c r="Y25" i="35" s="1"/>
  <c r="X25" i="35"/>
  <c r="X19" i="35"/>
  <c r="Y15" i="35"/>
  <c r="Y19" i="35" s="1"/>
  <c r="W65" i="35"/>
  <c r="W60" i="35" s="1"/>
  <c r="W56" i="35" s="1"/>
  <c r="W63" i="35"/>
  <c r="W62" i="35"/>
  <c r="W52" i="35"/>
  <c r="V42" i="35"/>
  <c r="W32" i="35"/>
  <c r="W31" i="35" s="1"/>
  <c r="V31" i="35"/>
  <c r="V30" i="35"/>
  <c r="V29" i="35" s="1"/>
  <c r="W26" i="35"/>
  <c r="W25" i="35" s="1"/>
  <c r="V25" i="35"/>
  <c r="V19" i="35"/>
  <c r="W15" i="35"/>
  <c r="W19" i="35" s="1"/>
  <c r="U65" i="35"/>
  <c r="U63" i="35"/>
  <c r="U62" i="35"/>
  <c r="U52" i="35"/>
  <c r="T42" i="35"/>
  <c r="U32" i="35"/>
  <c r="U42" i="35" s="1"/>
  <c r="T31" i="35"/>
  <c r="T30" i="35"/>
  <c r="T29" i="35" s="1"/>
  <c r="U26" i="35"/>
  <c r="T25" i="35"/>
  <c r="T19" i="35"/>
  <c r="U15" i="35"/>
  <c r="U19" i="35" s="1"/>
  <c r="S65" i="35"/>
  <c r="S60" i="35" s="1"/>
  <c r="S63" i="35"/>
  <c r="S62" i="35"/>
  <c r="S52" i="35"/>
  <c r="R42" i="35"/>
  <c r="S32" i="35"/>
  <c r="S42" i="35" s="1"/>
  <c r="R31" i="35"/>
  <c r="R30" i="35"/>
  <c r="R29" i="35" s="1"/>
  <c r="S26" i="35"/>
  <c r="S25" i="35" s="1"/>
  <c r="R25" i="35"/>
  <c r="R19" i="35"/>
  <c r="S15" i="35"/>
  <c r="S19" i="35" s="1"/>
  <c r="Q65" i="35"/>
  <c r="Q60" i="35" s="1"/>
  <c r="Q56" i="35" s="1"/>
  <c r="Q63" i="35"/>
  <c r="Q62" i="35"/>
  <c r="Q52" i="35"/>
  <c r="P42" i="35"/>
  <c r="Q32" i="35"/>
  <c r="Q42" i="35" s="1"/>
  <c r="P31" i="35"/>
  <c r="P30" i="35"/>
  <c r="P29" i="35" s="1"/>
  <c r="Q26" i="35"/>
  <c r="Q25" i="35" s="1"/>
  <c r="P25" i="35"/>
  <c r="P19" i="35"/>
  <c r="Q15" i="35"/>
  <c r="Q19" i="35" s="1"/>
  <c r="O65" i="35"/>
  <c r="O60" i="35" s="1"/>
  <c r="O56" i="35" s="1"/>
  <c r="O63" i="35"/>
  <c r="O62" i="35"/>
  <c r="O52" i="35"/>
  <c r="N42" i="35"/>
  <c r="O32" i="35"/>
  <c r="O42" i="35" s="1"/>
  <c r="N31" i="35"/>
  <c r="N30" i="35"/>
  <c r="N29" i="35" s="1"/>
  <c r="O26" i="35"/>
  <c r="O25" i="35" s="1"/>
  <c r="N25" i="35"/>
  <c r="N19" i="35"/>
  <c r="O15" i="35"/>
  <c r="O19" i="35" s="1"/>
  <c r="M65" i="35"/>
  <c r="M60" i="35" s="1"/>
  <c r="M63" i="35"/>
  <c r="M62" i="35"/>
  <c r="M52" i="35"/>
  <c r="L42" i="35"/>
  <c r="M32" i="35"/>
  <c r="M31" i="35" s="1"/>
  <c r="L31" i="35"/>
  <c r="L30" i="35"/>
  <c r="L29" i="35" s="1"/>
  <c r="M26" i="35"/>
  <c r="M25" i="35" s="1"/>
  <c r="L25" i="35"/>
  <c r="L19" i="35"/>
  <c r="M15" i="35"/>
  <c r="M19" i="35" s="1"/>
  <c r="K65" i="35"/>
  <c r="K60" i="35" s="1"/>
  <c r="K56" i="35" s="1"/>
  <c r="K63" i="35"/>
  <c r="K62" i="35"/>
  <c r="K52" i="35"/>
  <c r="J42" i="35"/>
  <c r="K32" i="35"/>
  <c r="K42" i="35" s="1"/>
  <c r="J31" i="35"/>
  <c r="J30" i="35"/>
  <c r="J29" i="35" s="1"/>
  <c r="K26" i="35"/>
  <c r="J25" i="35"/>
  <c r="J19" i="35"/>
  <c r="K15" i="35"/>
  <c r="K19" i="35" s="1"/>
  <c r="I65" i="35"/>
  <c r="I60" i="35" s="1"/>
  <c r="I56" i="35" s="1"/>
  <c r="I63" i="35"/>
  <c r="I62" i="35"/>
  <c r="I52" i="35"/>
  <c r="H42" i="35"/>
  <c r="I32" i="35"/>
  <c r="I42" i="35" s="1"/>
  <c r="H31" i="35"/>
  <c r="H30" i="35"/>
  <c r="H29" i="35" s="1"/>
  <c r="I26" i="35"/>
  <c r="I25" i="35" s="1"/>
  <c r="H25" i="35"/>
  <c r="H19" i="35"/>
  <c r="I15" i="35"/>
  <c r="I19" i="35" s="1"/>
  <c r="G65" i="35"/>
  <c r="G60" i="35" s="1"/>
  <c r="G56" i="35" s="1"/>
  <c r="G63" i="35"/>
  <c r="G62" i="35"/>
  <c r="G52" i="35"/>
  <c r="G32" i="35"/>
  <c r="G31" i="35" s="1"/>
  <c r="G26" i="35"/>
  <c r="G15" i="35"/>
  <c r="G19" i="35" s="1"/>
  <c r="H9" i="35"/>
  <c r="J9" i="35"/>
  <c r="L9" i="35"/>
  <c r="N9" i="35"/>
  <c r="P9" i="35"/>
  <c r="R9" i="35"/>
  <c r="T9" i="35"/>
  <c r="V9" i="35"/>
  <c r="X9" i="35"/>
  <c r="Z9" i="35"/>
  <c r="AB9" i="35"/>
  <c r="G135" i="35"/>
  <c r="G96" i="35" s="1"/>
  <c r="G122" i="35"/>
  <c r="G121" i="35"/>
  <c r="G120" i="35"/>
  <c r="G119" i="35"/>
  <c r="G106" i="35"/>
  <c r="G104" i="35"/>
  <c r="G105" i="35" s="1"/>
  <c r="F42" i="35"/>
  <c r="F31" i="35"/>
  <c r="F30" i="35"/>
  <c r="F29" i="35" s="1"/>
  <c r="F25" i="35"/>
  <c r="F19" i="35"/>
  <c r="F9" i="35"/>
  <c r="F2" i="35"/>
  <c r="F10" i="35" s="1"/>
  <c r="G10" i="35" s="1"/>
  <c r="AA30" i="35" l="1"/>
  <c r="AA29" i="35" s="1"/>
  <c r="K30" i="35"/>
  <c r="K29" i="35" s="1"/>
  <c r="K31" i="35"/>
  <c r="AC31" i="35"/>
  <c r="AA53" i="35"/>
  <c r="K25" i="35"/>
  <c r="G30" i="35"/>
  <c r="G29" i="35" s="1"/>
  <c r="G42" i="35"/>
  <c r="O30" i="35"/>
  <c r="O29" i="35" s="1"/>
  <c r="O31" i="35"/>
  <c r="Q59" i="35"/>
  <c r="U30" i="35"/>
  <c r="U29" i="35" s="1"/>
  <c r="S59" i="35"/>
  <c r="U25" i="35"/>
  <c r="AC59" i="35"/>
  <c r="S30" i="35"/>
  <c r="S29" i="35" s="1"/>
  <c r="W30" i="35"/>
  <c r="W29" i="35" s="1"/>
  <c r="Y59" i="35"/>
  <c r="W59" i="35"/>
  <c r="G16" i="35"/>
  <c r="G20" i="35" s="1"/>
  <c r="G24" i="35" s="1"/>
  <c r="G23" i="35" s="1"/>
  <c r="G69" i="35"/>
  <c r="S31" i="35"/>
  <c r="G25" i="35"/>
  <c r="I30" i="35"/>
  <c r="I29" i="35" s="1"/>
  <c r="I31" i="35"/>
  <c r="M59" i="35"/>
  <c r="AC30" i="35"/>
  <c r="AC29" i="35" s="1"/>
  <c r="G59" i="35"/>
  <c r="G68" i="35"/>
  <c r="G50" i="35"/>
  <c r="G54" i="35" s="1"/>
  <c r="G41" i="35" s="1"/>
  <c r="G53" i="35"/>
  <c r="U59" i="35"/>
  <c r="I53" i="35"/>
  <c r="I59" i="35"/>
  <c r="K59" i="35"/>
  <c r="AC68" i="35"/>
  <c r="AC53" i="35"/>
  <c r="AC50" i="35"/>
  <c r="AA68" i="35"/>
  <c r="AA50" i="35"/>
  <c r="AA54" i="35" s="1"/>
  <c r="Z41" i="35" s="1"/>
  <c r="AA19" i="35"/>
  <c r="AA42" i="35"/>
  <c r="Y53" i="35"/>
  <c r="Y50" i="35"/>
  <c r="Y54" i="35" s="1"/>
  <c r="X41" i="35" s="1"/>
  <c r="Y68" i="35"/>
  <c r="Y30" i="35"/>
  <c r="Y29" i="35" s="1"/>
  <c r="X8" i="35"/>
  <c r="Y42" i="35"/>
  <c r="W68" i="35"/>
  <c r="W50" i="35"/>
  <c r="W53" i="35"/>
  <c r="W42" i="35"/>
  <c r="U31" i="35"/>
  <c r="U60" i="35"/>
  <c r="U56" i="35" s="1"/>
  <c r="R8" i="35"/>
  <c r="S56" i="35"/>
  <c r="Q53" i="35"/>
  <c r="Q68" i="35"/>
  <c r="Q50" i="35"/>
  <c r="Q30" i="35"/>
  <c r="Q29" i="35" s="1"/>
  <c r="Q31" i="35"/>
  <c r="O68" i="35"/>
  <c r="O50" i="35"/>
  <c r="O54" i="35" s="1"/>
  <c r="N41" i="35" s="1"/>
  <c r="O53" i="35"/>
  <c r="O59" i="35"/>
  <c r="M56" i="35"/>
  <c r="M53" i="35" s="1"/>
  <c r="L8" i="35"/>
  <c r="M30" i="35"/>
  <c r="M29" i="35" s="1"/>
  <c r="M42" i="35"/>
  <c r="K53" i="35"/>
  <c r="K50" i="35"/>
  <c r="K68" i="35"/>
  <c r="I50" i="35"/>
  <c r="I68" i="35"/>
  <c r="N8" i="35"/>
  <c r="F16" i="35"/>
  <c r="F20" i="35" s="1"/>
  <c r="F24" i="35" s="1"/>
  <c r="F23" i="35" s="1"/>
  <c r="F8" i="35"/>
  <c r="G49" i="35" l="1"/>
  <c r="G48" i="35" s="1"/>
  <c r="Y41" i="35"/>
  <c r="AC54" i="35"/>
  <c r="AA41" i="35"/>
  <c r="AA49" i="35"/>
  <c r="Y49" i="35"/>
  <c r="W54" i="35"/>
  <c r="V41" i="35" s="1"/>
  <c r="U50" i="35"/>
  <c r="U68" i="35"/>
  <c r="U53" i="35"/>
  <c r="S53" i="35"/>
  <c r="S50" i="35"/>
  <c r="S68" i="35"/>
  <c r="Q54" i="35"/>
  <c r="O41" i="35"/>
  <c r="O49" i="35"/>
  <c r="M68" i="35"/>
  <c r="M50" i="35"/>
  <c r="K54" i="35"/>
  <c r="I54" i="35"/>
  <c r="G76" i="35"/>
  <c r="G129" i="35"/>
  <c r="G130" i="35" s="1"/>
  <c r="G132" i="35"/>
  <c r="G133" i="35" s="1"/>
  <c r="G45" i="35" l="1"/>
  <c r="G44" i="35" s="1"/>
  <c r="G43" i="35" s="1"/>
  <c r="W49" i="35"/>
  <c r="W45" i="35" s="1"/>
  <c r="W41" i="35"/>
  <c r="AB41" i="35"/>
  <c r="AC41" i="35"/>
  <c r="AC49" i="35"/>
  <c r="AA45" i="35"/>
  <c r="AA44" i="35" s="1"/>
  <c r="AA43" i="35" s="1"/>
  <c r="Z45" i="35"/>
  <c r="Z44" i="35" s="1"/>
  <c r="Z43" i="35" s="1"/>
  <c r="Z49" i="35"/>
  <c r="X45" i="35"/>
  <c r="X44" i="35" s="1"/>
  <c r="X43" i="35" s="1"/>
  <c r="X49" i="35"/>
  <c r="Y45" i="35"/>
  <c r="Y44" i="35" s="1"/>
  <c r="Y43" i="35" s="1"/>
  <c r="U54" i="35"/>
  <c r="S54" i="35"/>
  <c r="P41" i="35"/>
  <c r="Q41" i="35"/>
  <c r="Q49" i="35"/>
  <c r="O45" i="35"/>
  <c r="O44" i="35" s="1"/>
  <c r="O43" i="35" s="1"/>
  <c r="N45" i="35"/>
  <c r="N44" i="35" s="1"/>
  <c r="N43" i="35" s="1"/>
  <c r="N49" i="35"/>
  <c r="M54" i="35"/>
  <c r="J41" i="35"/>
  <c r="K41" i="35"/>
  <c r="K49" i="35"/>
  <c r="I41" i="35"/>
  <c r="H41" i="35"/>
  <c r="I49" i="35"/>
  <c r="G75" i="35"/>
  <c r="G71" i="35"/>
  <c r="G80" i="35"/>
  <c r="G108" i="35"/>
  <c r="G109" i="35" s="1"/>
  <c r="G111" i="35"/>
  <c r="G112" i="35" s="1"/>
  <c r="W44" i="35" l="1"/>
  <c r="W43" i="35" s="1"/>
  <c r="V49" i="35"/>
  <c r="V45" i="35"/>
  <c r="V44" i="35" s="1"/>
  <c r="V43" i="35" s="1"/>
  <c r="AB45" i="35"/>
  <c r="AB44" i="35" s="1"/>
  <c r="AB43" i="35" s="1"/>
  <c r="AC45" i="35"/>
  <c r="AC44" i="35" s="1"/>
  <c r="AC43" i="35" s="1"/>
  <c r="AB49" i="35"/>
  <c r="T41" i="35"/>
  <c r="U41" i="35"/>
  <c r="U49" i="35"/>
  <c r="R41" i="35"/>
  <c r="S41" i="35"/>
  <c r="S49" i="35"/>
  <c r="P45" i="35"/>
  <c r="P44" i="35" s="1"/>
  <c r="P43" i="35" s="1"/>
  <c r="P49" i="35"/>
  <c r="Q45" i="35"/>
  <c r="Q44" i="35" s="1"/>
  <c r="Q43" i="35" s="1"/>
  <c r="L41" i="35"/>
  <c r="M41" i="35"/>
  <c r="M49" i="35"/>
  <c r="J49" i="35"/>
  <c r="K45" i="35"/>
  <c r="K44" i="35" s="1"/>
  <c r="K43" i="35" s="1"/>
  <c r="J45" i="35"/>
  <c r="J44" i="35" s="1"/>
  <c r="J43" i="35" s="1"/>
  <c r="H45" i="35"/>
  <c r="H44" i="35" s="1"/>
  <c r="H43" i="35" s="1"/>
  <c r="H49" i="35"/>
  <c r="I45" i="35"/>
  <c r="I44" i="35" s="1"/>
  <c r="I43" i="35" s="1"/>
  <c r="F41" i="35"/>
  <c r="G82" i="35"/>
  <c r="G83" i="35"/>
  <c r="G81" i="35"/>
  <c r="U45" i="35" l="1"/>
  <c r="U44" i="35" s="1"/>
  <c r="U43" i="35" s="1"/>
  <c r="T45" i="35"/>
  <c r="T44" i="35" s="1"/>
  <c r="T43" i="35" s="1"/>
  <c r="T49" i="35"/>
  <c r="R49" i="35"/>
  <c r="R45" i="35"/>
  <c r="R44" i="35" s="1"/>
  <c r="R43" i="35" s="1"/>
  <c r="S45" i="35"/>
  <c r="S44" i="35" s="1"/>
  <c r="S43" i="35" s="1"/>
  <c r="M45" i="35"/>
  <c r="M44" i="35" s="1"/>
  <c r="M43" i="35" s="1"/>
  <c r="L45" i="35"/>
  <c r="L44" i="35" s="1"/>
  <c r="L43" i="35" s="1"/>
  <c r="L49" i="35"/>
  <c r="G86" i="35"/>
  <c r="G84" i="35"/>
  <c r="F49" i="35"/>
  <c r="F48" i="35" s="1"/>
  <c r="F45" i="35"/>
  <c r="F44" i="35" s="1"/>
  <c r="F43" i="35" s="1"/>
  <c r="AC137" i="34"/>
  <c r="AA137" i="34"/>
  <c r="Y137" i="34"/>
  <c r="W137" i="34"/>
  <c r="U137" i="34"/>
  <c r="S137" i="34"/>
  <c r="Q137" i="34"/>
  <c r="O137" i="34"/>
  <c r="M137" i="34"/>
  <c r="K137" i="34"/>
  <c r="I137" i="34"/>
  <c r="AC135" i="34"/>
  <c r="AC141" i="34" s="1"/>
  <c r="AA135" i="34"/>
  <c r="AA141" i="34" s="1"/>
  <c r="Y135" i="34"/>
  <c r="Y141" i="34" s="1"/>
  <c r="W135" i="34"/>
  <c r="W96" i="34" s="1"/>
  <c r="U135" i="34"/>
  <c r="U141" i="34" s="1"/>
  <c r="S135" i="34"/>
  <c r="S141" i="34" s="1"/>
  <c r="Q135" i="34"/>
  <c r="Q96" i="34" s="1"/>
  <c r="O135" i="34"/>
  <c r="O141" i="34" s="1"/>
  <c r="M135" i="34"/>
  <c r="M141" i="34" s="1"/>
  <c r="K135" i="34"/>
  <c r="K141" i="34" s="1"/>
  <c r="I135" i="34"/>
  <c r="I141" i="34" s="1"/>
  <c r="AC122" i="34"/>
  <c r="AA122" i="34"/>
  <c r="Y122" i="34"/>
  <c r="W122" i="34"/>
  <c r="U122" i="34"/>
  <c r="S122" i="34"/>
  <c r="Q122" i="34"/>
  <c r="O122" i="34"/>
  <c r="M122" i="34"/>
  <c r="K122" i="34"/>
  <c r="I122" i="34"/>
  <c r="AC121" i="34"/>
  <c r="AA121" i="34"/>
  <c r="Y121" i="34"/>
  <c r="W121" i="34"/>
  <c r="U121" i="34"/>
  <c r="S121" i="34"/>
  <c r="Q121" i="34"/>
  <c r="O121" i="34"/>
  <c r="M121" i="34"/>
  <c r="K121" i="34"/>
  <c r="I121" i="34"/>
  <c r="AC120" i="34"/>
  <c r="AA120" i="34"/>
  <c r="Y120" i="34"/>
  <c r="W120" i="34"/>
  <c r="U120" i="34"/>
  <c r="S120" i="34"/>
  <c r="Q120" i="34"/>
  <c r="O120" i="34"/>
  <c r="M120" i="34"/>
  <c r="K120" i="34"/>
  <c r="I120" i="34"/>
  <c r="AC119" i="34"/>
  <c r="AA119" i="34"/>
  <c r="Y119" i="34"/>
  <c r="W119" i="34"/>
  <c r="U119" i="34"/>
  <c r="S119" i="34"/>
  <c r="Q119" i="34"/>
  <c r="O119" i="34"/>
  <c r="M119" i="34"/>
  <c r="K119" i="34"/>
  <c r="I119" i="34"/>
  <c r="AC106" i="34"/>
  <c r="AA106" i="34"/>
  <c r="Y106" i="34"/>
  <c r="W106" i="34"/>
  <c r="U106" i="34"/>
  <c r="S106" i="34"/>
  <c r="Q106" i="34"/>
  <c r="O106" i="34"/>
  <c r="M106" i="34"/>
  <c r="K106" i="34"/>
  <c r="I106" i="34"/>
  <c r="AC104" i="34"/>
  <c r="AC105" i="34" s="1"/>
  <c r="AA104" i="34"/>
  <c r="AA105" i="34" s="1"/>
  <c r="Y104" i="34"/>
  <c r="Y105" i="34" s="1"/>
  <c r="W104" i="34"/>
  <c r="W105" i="34" s="1"/>
  <c r="U104" i="34"/>
  <c r="U105" i="34" s="1"/>
  <c r="S104" i="34"/>
  <c r="S105" i="34" s="1"/>
  <c r="Q104" i="34"/>
  <c r="Q105" i="34" s="1"/>
  <c r="O104" i="34"/>
  <c r="O105" i="34" s="1"/>
  <c r="M104" i="34"/>
  <c r="M105" i="34" s="1"/>
  <c r="K104" i="34"/>
  <c r="K105" i="34" s="1"/>
  <c r="I104" i="34"/>
  <c r="I105" i="34" s="1"/>
  <c r="AC80" i="34"/>
  <c r="AC83" i="34" s="1"/>
  <c r="AA80" i="34"/>
  <c r="AA82" i="34" s="1"/>
  <c r="Y80" i="34"/>
  <c r="Y82" i="34" s="1"/>
  <c r="W80" i="34"/>
  <c r="U80" i="34"/>
  <c r="U83" i="34" s="1"/>
  <c r="S80" i="34"/>
  <c r="S83" i="34" s="1"/>
  <c r="Q80" i="34"/>
  <c r="Q83" i="34" s="1"/>
  <c r="O80" i="34"/>
  <c r="O83" i="34" s="1"/>
  <c r="M80" i="34"/>
  <c r="K80" i="34"/>
  <c r="K82" i="34" s="1"/>
  <c r="I80" i="34"/>
  <c r="I83" i="34" s="1"/>
  <c r="I86" i="34" s="1"/>
  <c r="AC71" i="34"/>
  <c r="AA71" i="34"/>
  <c r="Y71" i="34"/>
  <c r="W71" i="34"/>
  <c r="U71" i="34"/>
  <c r="S71" i="34"/>
  <c r="Q71" i="34"/>
  <c r="O71" i="34"/>
  <c r="M71" i="34"/>
  <c r="K71" i="34"/>
  <c r="I71" i="34"/>
  <c r="AC65" i="34"/>
  <c r="AC60" i="34" s="1"/>
  <c r="AA65" i="34"/>
  <c r="AA60" i="34" s="1"/>
  <c r="Y65" i="34"/>
  <c r="Y59" i="34" s="1"/>
  <c r="W65" i="34"/>
  <c r="W60" i="34" s="1"/>
  <c r="W108" i="34" s="1"/>
  <c r="W109" i="34" s="1"/>
  <c r="U65" i="34"/>
  <c r="U60" i="34" s="1"/>
  <c r="U111" i="34" s="1"/>
  <c r="U112" i="34" s="1"/>
  <c r="S65" i="34"/>
  <c r="S59" i="34" s="1"/>
  <c r="Q65" i="34"/>
  <c r="Q60" i="34" s="1"/>
  <c r="P8" i="34" s="1"/>
  <c r="O65" i="34"/>
  <c r="O60" i="34" s="1"/>
  <c r="M65" i="34"/>
  <c r="M60" i="34" s="1"/>
  <c r="K65" i="34"/>
  <c r="K60" i="34" s="1"/>
  <c r="I65" i="34"/>
  <c r="I59" i="34" s="1"/>
  <c r="AC63" i="34"/>
  <c r="AA63" i="34"/>
  <c r="Y63" i="34"/>
  <c r="W63" i="34"/>
  <c r="U63" i="34"/>
  <c r="S63" i="34"/>
  <c r="Q63" i="34"/>
  <c r="O63" i="34"/>
  <c r="M63" i="34"/>
  <c r="K63" i="34"/>
  <c r="I63" i="34"/>
  <c r="AC52" i="34"/>
  <c r="AA52" i="34"/>
  <c r="Y52" i="34"/>
  <c r="W52" i="34"/>
  <c r="U52" i="34"/>
  <c r="S52" i="34"/>
  <c r="Q52" i="34"/>
  <c r="O52" i="34"/>
  <c r="M52" i="34"/>
  <c r="K52" i="34"/>
  <c r="I52" i="34"/>
  <c r="AC32" i="34"/>
  <c r="AB32" i="34" s="1"/>
  <c r="AA32" i="34"/>
  <c r="Z32" i="34" s="1"/>
  <c r="Y32" i="34"/>
  <c r="Y31" i="34" s="1"/>
  <c r="W32" i="34"/>
  <c r="W42" i="34" s="1"/>
  <c r="U32" i="34"/>
  <c r="T32" i="34" s="1"/>
  <c r="S32" i="34"/>
  <c r="S42" i="34" s="1"/>
  <c r="Q32" i="34"/>
  <c r="Q42" i="34" s="1"/>
  <c r="O32" i="34"/>
  <c r="O42" i="34" s="1"/>
  <c r="M32" i="34"/>
  <c r="L32" i="34" s="1"/>
  <c r="K32" i="34"/>
  <c r="J32" i="34" s="1"/>
  <c r="I32" i="34"/>
  <c r="I31" i="34" s="1"/>
  <c r="AC26" i="34"/>
  <c r="AC25" i="34" s="1"/>
  <c r="AA26" i="34"/>
  <c r="Y26" i="34"/>
  <c r="W26" i="34"/>
  <c r="W25" i="34" s="1"/>
  <c r="U26" i="34"/>
  <c r="U25" i="34" s="1"/>
  <c r="S26" i="34"/>
  <c r="S25" i="34" s="1"/>
  <c r="Q26" i="34"/>
  <c r="Q25" i="34" s="1"/>
  <c r="O26" i="34"/>
  <c r="M26" i="34"/>
  <c r="M25" i="34" s="1"/>
  <c r="K26" i="34"/>
  <c r="I26" i="34"/>
  <c r="I25" i="34" s="1"/>
  <c r="AB25" i="34"/>
  <c r="Z25" i="34"/>
  <c r="X25" i="34"/>
  <c r="V25" i="34"/>
  <c r="T25" i="34"/>
  <c r="R25" i="34"/>
  <c r="P25" i="34"/>
  <c r="N25" i="34"/>
  <c r="L25" i="34"/>
  <c r="J25" i="34"/>
  <c r="H25" i="34"/>
  <c r="AB19" i="34"/>
  <c r="Z19" i="34"/>
  <c r="X19" i="34"/>
  <c r="V19" i="34"/>
  <c r="T19" i="34"/>
  <c r="R19" i="34"/>
  <c r="P19" i="34"/>
  <c r="N19" i="34"/>
  <c r="L19" i="34"/>
  <c r="J19" i="34"/>
  <c r="H19" i="34"/>
  <c r="AC15" i="34"/>
  <c r="AC19" i="34" s="1"/>
  <c r="AA15" i="34"/>
  <c r="AA19" i="34" s="1"/>
  <c r="Y15" i="34"/>
  <c r="Y19" i="34" s="1"/>
  <c r="W15" i="34"/>
  <c r="W19" i="34" s="1"/>
  <c r="U15" i="34"/>
  <c r="S15" i="34"/>
  <c r="Q15" i="34"/>
  <c r="O15" i="34"/>
  <c r="O19" i="34" s="1"/>
  <c r="M15" i="34"/>
  <c r="K15" i="34"/>
  <c r="K19" i="34" s="1"/>
  <c r="I15" i="34"/>
  <c r="I19" i="34" s="1"/>
  <c r="AB9" i="34"/>
  <c r="Z9" i="34"/>
  <c r="X9" i="34"/>
  <c r="V9" i="34"/>
  <c r="T9" i="34"/>
  <c r="R9" i="34"/>
  <c r="P9" i="34"/>
  <c r="N9" i="34"/>
  <c r="L9" i="34"/>
  <c r="J9" i="34"/>
  <c r="H9" i="34"/>
  <c r="G131" i="34"/>
  <c r="G135" i="34"/>
  <c r="G96" i="34" s="1"/>
  <c r="G122" i="34"/>
  <c r="G121" i="34"/>
  <c r="G120" i="34"/>
  <c r="G119" i="34"/>
  <c r="G106" i="34"/>
  <c r="G104" i="34"/>
  <c r="G105" i="34" s="1"/>
  <c r="G65" i="34"/>
  <c r="G60" i="34" s="1"/>
  <c r="G63" i="34"/>
  <c r="G52" i="34"/>
  <c r="G32" i="34"/>
  <c r="F32" i="34" s="1"/>
  <c r="F31" i="34" s="1"/>
  <c r="G26" i="34"/>
  <c r="G25" i="34" s="1"/>
  <c r="F25" i="34"/>
  <c r="F19" i="34"/>
  <c r="G15" i="34"/>
  <c r="G19" i="34" s="1"/>
  <c r="F9" i="34"/>
  <c r="F2" i="34"/>
  <c r="F10" i="34" s="1"/>
  <c r="H4" i="34"/>
  <c r="I131" i="34" s="1"/>
  <c r="Y137" i="35"/>
  <c r="AA137" i="35" s="1"/>
  <c r="AC137" i="35" s="1"/>
  <c r="AE137" i="35" s="1"/>
  <c r="AG137" i="35" s="1"/>
  <c r="AI137" i="35" s="1"/>
  <c r="AK137" i="35" s="1"/>
  <c r="AM137" i="35" s="1"/>
  <c r="AO137" i="35" s="1"/>
  <c r="AQ137" i="35" s="1"/>
  <c r="AS137" i="35" s="1"/>
  <c r="AU137" i="35" s="1"/>
  <c r="AW137" i="35" s="1"/>
  <c r="AY137" i="35" s="1"/>
  <c r="BA137" i="35" s="1"/>
  <c r="BC137" i="35" s="1"/>
  <c r="BE137" i="35" s="1"/>
  <c r="BG137" i="35" s="1"/>
  <c r="BI137" i="35" s="1"/>
  <c r="S137" i="35"/>
  <c r="U137" i="35" s="1"/>
  <c r="W137" i="35" s="1"/>
  <c r="M137" i="35"/>
  <c r="O137" i="35" s="1"/>
  <c r="Q137" i="35" s="1"/>
  <c r="G137" i="35"/>
  <c r="I137" i="35" s="1"/>
  <c r="K137" i="35" s="1"/>
  <c r="Y136" i="35"/>
  <c r="Q136" i="35"/>
  <c r="S136" i="35" s="1"/>
  <c r="G141" i="35"/>
  <c r="AC135" i="35"/>
  <c r="AC141" i="35" s="1"/>
  <c r="AA135" i="35"/>
  <c r="AA141" i="35" s="1"/>
  <c r="Y135" i="35"/>
  <c r="W135" i="35"/>
  <c r="W141" i="35" s="1"/>
  <c r="U135" i="35"/>
  <c r="U141" i="35" s="1"/>
  <c r="S135" i="35"/>
  <c r="Q135" i="35"/>
  <c r="O135" i="35"/>
  <c r="O141" i="35" s="1"/>
  <c r="M135" i="35"/>
  <c r="M141" i="35" s="1"/>
  <c r="K135" i="35"/>
  <c r="K141" i="35" s="1"/>
  <c r="I135" i="35"/>
  <c r="I141" i="35" s="1"/>
  <c r="AA122" i="35"/>
  <c r="Y122" i="35"/>
  <c r="S122" i="35"/>
  <c r="O122" i="35"/>
  <c r="M122" i="35"/>
  <c r="Y121" i="35"/>
  <c r="S121" i="35"/>
  <c r="O121" i="35"/>
  <c r="M121" i="35"/>
  <c r="AA120" i="35"/>
  <c r="Y120" i="35"/>
  <c r="S120" i="35"/>
  <c r="M120" i="35"/>
  <c r="AA119" i="35"/>
  <c r="Y119" i="35"/>
  <c r="S119" i="35"/>
  <c r="M119" i="35"/>
  <c r="M111" i="35"/>
  <c r="M112" i="35" s="1"/>
  <c r="AA106" i="35"/>
  <c r="Y106" i="35"/>
  <c r="S106" i="35"/>
  <c r="O106" i="35"/>
  <c r="M106" i="35"/>
  <c r="AC104" i="35"/>
  <c r="AA104" i="35"/>
  <c r="Y104" i="35"/>
  <c r="Y105" i="35" s="1"/>
  <c r="W104" i="35"/>
  <c r="U104" i="35"/>
  <c r="S104" i="35"/>
  <c r="S105" i="35" s="1"/>
  <c r="Q104" i="35"/>
  <c r="O104" i="35"/>
  <c r="O105" i="35" s="1"/>
  <c r="M104" i="35"/>
  <c r="M105" i="35" s="1"/>
  <c r="K104" i="35"/>
  <c r="I104" i="35"/>
  <c r="AC80" i="35"/>
  <c r="AC82" i="35" s="1"/>
  <c r="AA80" i="35"/>
  <c r="AA82" i="35" s="1"/>
  <c r="Y80" i="35"/>
  <c r="Y82" i="35" s="1"/>
  <c r="W80" i="35"/>
  <c r="U80" i="35"/>
  <c r="S80" i="35"/>
  <c r="S83" i="35" s="1"/>
  <c r="S86" i="35" s="1"/>
  <c r="O80" i="35"/>
  <c r="M80" i="35"/>
  <c r="M82" i="35" s="1"/>
  <c r="K80" i="35"/>
  <c r="K82" i="35" s="1"/>
  <c r="I80" i="35"/>
  <c r="I83" i="35" s="1"/>
  <c r="I84" i="35" s="1"/>
  <c r="E75" i="35"/>
  <c r="E81" i="35" s="1"/>
  <c r="Q80" i="35"/>
  <c r="E74" i="35"/>
  <c r="E80" i="35" s="1"/>
  <c r="E83" i="35" s="1"/>
  <c r="E86" i="35" s="1"/>
  <c r="E89" i="35" s="1"/>
  <c r="Y71" i="35"/>
  <c r="U71" i="35"/>
  <c r="AC71" i="35"/>
  <c r="AA71" i="35"/>
  <c r="W71" i="35"/>
  <c r="S71" i="35"/>
  <c r="O71" i="35"/>
  <c r="M71" i="35"/>
  <c r="K71" i="35"/>
  <c r="I71" i="35"/>
  <c r="AA121" i="35"/>
  <c r="U121" i="35"/>
  <c r="O119" i="35"/>
  <c r="E65" i="35"/>
  <c r="C65" i="35"/>
  <c r="M108" i="35"/>
  <c r="M109" i="35" s="1"/>
  <c r="E57" i="35"/>
  <c r="E58" i="35" s="1"/>
  <c r="AB2" i="35"/>
  <c r="AB10" i="35" s="1"/>
  <c r="AB48" i="35" s="1"/>
  <c r="Z2" i="35"/>
  <c r="Z10" i="35" s="1"/>
  <c r="X2" i="35"/>
  <c r="X10" i="35" s="1"/>
  <c r="V2" i="35"/>
  <c r="V10" i="35" s="1"/>
  <c r="T2" i="35"/>
  <c r="T10" i="35" s="1"/>
  <c r="R2" i="35"/>
  <c r="R10" i="35" s="1"/>
  <c r="P2" i="35"/>
  <c r="P10" i="35" s="1"/>
  <c r="N2" i="35"/>
  <c r="N10" i="35" s="1"/>
  <c r="L2" i="35"/>
  <c r="L10" i="35" s="1"/>
  <c r="J2" i="35"/>
  <c r="J10" i="35" s="1"/>
  <c r="H2" i="35"/>
  <c r="H10" i="35" s="1"/>
  <c r="G137" i="34"/>
  <c r="E75" i="34"/>
  <c r="E81" i="34" s="1"/>
  <c r="E74" i="34"/>
  <c r="E80" i="34" s="1"/>
  <c r="E83" i="34" s="1"/>
  <c r="E86" i="34" s="1"/>
  <c r="E89" i="34" s="1"/>
  <c r="E65" i="34"/>
  <c r="C65" i="34"/>
  <c r="E57" i="34"/>
  <c r="E58" i="34" s="1"/>
  <c r="U74" i="33"/>
  <c r="Q136" i="33"/>
  <c r="M131" i="33"/>
  <c r="O131" i="33"/>
  <c r="Q131" i="33"/>
  <c r="S131" i="33"/>
  <c r="U131" i="33"/>
  <c r="AC131" i="33"/>
  <c r="W131" i="33"/>
  <c r="AA131" i="33"/>
  <c r="Y131" i="33"/>
  <c r="K131" i="33"/>
  <c r="I131" i="33"/>
  <c r="G131" i="33"/>
  <c r="U131" i="13"/>
  <c r="Y72" i="33"/>
  <c r="U72" i="33"/>
  <c r="Q72" i="33"/>
  <c r="BO137" i="35" l="1"/>
  <c r="BK137" i="35"/>
  <c r="R32" i="34"/>
  <c r="R42" i="34" s="1"/>
  <c r="V32" i="34"/>
  <c r="V30" i="34" s="1"/>
  <c r="V29" i="34" s="1"/>
  <c r="R48" i="35"/>
  <c r="S141" i="35"/>
  <c r="AA30" i="34"/>
  <c r="AA29" i="34" s="1"/>
  <c r="Y30" i="34"/>
  <c r="Y29" i="34" s="1"/>
  <c r="G31" i="34"/>
  <c r="Y42" i="34"/>
  <c r="X32" i="34"/>
  <c r="X42" i="34" s="1"/>
  <c r="AA31" i="34"/>
  <c r="AA42" i="34"/>
  <c r="K30" i="34"/>
  <c r="K29" i="34" s="1"/>
  <c r="O30" i="34"/>
  <c r="O29" i="34" s="1"/>
  <c r="AC31" i="34"/>
  <c r="AC42" i="34"/>
  <c r="N32" i="34"/>
  <c r="N31" i="34" s="1"/>
  <c r="G30" i="34"/>
  <c r="G29" i="34" s="1"/>
  <c r="K31" i="34"/>
  <c r="M31" i="34"/>
  <c r="O31" i="34"/>
  <c r="AA25" i="34"/>
  <c r="V31" i="34"/>
  <c r="W31" i="34"/>
  <c r="K25" i="34"/>
  <c r="H32" i="34"/>
  <c r="H30" i="34" s="1"/>
  <c r="H29" i="34" s="1"/>
  <c r="I42" i="34"/>
  <c r="K42" i="34"/>
  <c r="M42" i="34"/>
  <c r="M30" i="34"/>
  <c r="M29" i="34" s="1"/>
  <c r="U42" i="34"/>
  <c r="AC96" i="34"/>
  <c r="V42" i="34"/>
  <c r="AC30" i="34"/>
  <c r="AC29" i="34" s="1"/>
  <c r="P32" i="34"/>
  <c r="P30" i="34" s="1"/>
  <c r="P29" i="34" s="1"/>
  <c r="M59" i="34"/>
  <c r="K59" i="34"/>
  <c r="O59" i="34"/>
  <c r="Y96" i="34"/>
  <c r="Q59" i="34"/>
  <c r="AA59" i="34"/>
  <c r="S96" i="34"/>
  <c r="G141" i="34"/>
  <c r="AC59" i="34"/>
  <c r="K96" i="34"/>
  <c r="U96" i="34"/>
  <c r="AB8" i="34"/>
  <c r="AC108" i="34"/>
  <c r="AC109" i="34" s="1"/>
  <c r="AC111" i="34"/>
  <c r="AC112" i="34" s="1"/>
  <c r="AC56" i="34"/>
  <c r="AC50" i="34" s="1"/>
  <c r="U59" i="34"/>
  <c r="W59" i="34"/>
  <c r="AA96" i="34"/>
  <c r="Y60" i="34"/>
  <c r="Y111" i="34" s="1"/>
  <c r="Y112" i="34" s="1"/>
  <c r="M82" i="34"/>
  <c r="G59" i="34"/>
  <c r="W83" i="34"/>
  <c r="M96" i="34"/>
  <c r="O96" i="34"/>
  <c r="Y96" i="35"/>
  <c r="M83" i="35"/>
  <c r="M84" i="35" s="1"/>
  <c r="Q141" i="35"/>
  <c r="S84" i="35"/>
  <c r="X16" i="35"/>
  <c r="X20" i="35" s="1"/>
  <c r="X24" i="35" s="1"/>
  <c r="X23" i="35" s="1"/>
  <c r="Y10" i="35"/>
  <c r="X48" i="35"/>
  <c r="L48" i="35"/>
  <c r="O10" i="35"/>
  <c r="O132" i="35" s="1"/>
  <c r="O133" i="35" s="1"/>
  <c r="O142" i="35" s="1"/>
  <c r="N16" i="35"/>
  <c r="N20" i="35" s="1"/>
  <c r="N24" i="35" s="1"/>
  <c r="N23" i="35" s="1"/>
  <c r="N48" i="35"/>
  <c r="Z16" i="35"/>
  <c r="Z20" i="35" s="1"/>
  <c r="Z24" i="35" s="1"/>
  <c r="Z23" i="35" s="1"/>
  <c r="AA10" i="35"/>
  <c r="Z48" i="35"/>
  <c r="Q10" i="35"/>
  <c r="Q75" i="35" s="1"/>
  <c r="P16" i="35"/>
  <c r="P20" i="35" s="1"/>
  <c r="P24" i="35" s="1"/>
  <c r="P23" i="35" s="1"/>
  <c r="J16" i="35"/>
  <c r="J20" i="35" s="1"/>
  <c r="J24" i="35" s="1"/>
  <c r="J23" i="35" s="1"/>
  <c r="K10" i="35"/>
  <c r="K132" i="35" s="1"/>
  <c r="L16" i="35"/>
  <c r="L20" i="35" s="1"/>
  <c r="L24" i="35" s="1"/>
  <c r="L23" i="35" s="1"/>
  <c r="M10" i="35"/>
  <c r="M81" i="35" s="1"/>
  <c r="T48" i="35"/>
  <c r="R16" i="35"/>
  <c r="R20" i="35" s="1"/>
  <c r="R24" i="35" s="1"/>
  <c r="R23" i="35" s="1"/>
  <c r="S10" i="35"/>
  <c r="S81" i="35" s="1"/>
  <c r="T16" i="35"/>
  <c r="T20" i="35" s="1"/>
  <c r="T24" i="35" s="1"/>
  <c r="T23" i="35" s="1"/>
  <c r="U10" i="35"/>
  <c r="U132" i="35" s="1"/>
  <c r="U133" i="35" s="1"/>
  <c r="U142" i="35" s="1"/>
  <c r="W10" i="35"/>
  <c r="V16" i="35"/>
  <c r="V20" i="35" s="1"/>
  <c r="V24" i="35" s="1"/>
  <c r="V23" i="35" s="1"/>
  <c r="V48" i="35"/>
  <c r="P48" i="35"/>
  <c r="AC10" i="35"/>
  <c r="AB16" i="35"/>
  <c r="AB20" i="35" s="1"/>
  <c r="AB24" i="35" s="1"/>
  <c r="AB23" i="35" s="1"/>
  <c r="J48" i="35"/>
  <c r="H16" i="35"/>
  <c r="H20" i="35" s="1"/>
  <c r="H24" i="35" s="1"/>
  <c r="H23" i="35" s="1"/>
  <c r="I10" i="35"/>
  <c r="I132" i="35" s="1"/>
  <c r="I133" i="35" s="1"/>
  <c r="I142" i="35" s="1"/>
  <c r="H48" i="35"/>
  <c r="AA111" i="35"/>
  <c r="AA112" i="35" s="1"/>
  <c r="Z8" i="35"/>
  <c r="AA105" i="35"/>
  <c r="U119" i="35"/>
  <c r="T8" i="35"/>
  <c r="U122" i="35"/>
  <c r="S96" i="35"/>
  <c r="U105" i="35"/>
  <c r="U96" i="35"/>
  <c r="U120" i="35"/>
  <c r="U106" i="35"/>
  <c r="W105" i="35"/>
  <c r="O96" i="35"/>
  <c r="M96" i="35"/>
  <c r="K83" i="35"/>
  <c r="K84" i="35" s="1"/>
  <c r="I82" i="35"/>
  <c r="I105" i="35"/>
  <c r="G89" i="35"/>
  <c r="G87" i="35"/>
  <c r="AC84" i="34"/>
  <c r="AC86" i="34"/>
  <c r="AC89" i="34" s="1"/>
  <c r="AC90" i="34" s="1"/>
  <c r="AC82" i="34"/>
  <c r="U82" i="34"/>
  <c r="M83" i="34"/>
  <c r="M84" i="34" s="1"/>
  <c r="I82" i="34"/>
  <c r="K111" i="34"/>
  <c r="K112" i="34" s="1"/>
  <c r="J8" i="34"/>
  <c r="K108" i="34"/>
  <c r="K109" i="34" s="1"/>
  <c r="K56" i="34"/>
  <c r="K53" i="34" s="1"/>
  <c r="M111" i="34"/>
  <c r="M112" i="34" s="1"/>
  <c r="L8" i="34"/>
  <c r="M108" i="34"/>
  <c r="M109" i="34" s="1"/>
  <c r="M56" i="34"/>
  <c r="J31" i="34"/>
  <c r="J30" i="34"/>
  <c r="J29" i="34" s="1"/>
  <c r="J42" i="34"/>
  <c r="N8" i="34"/>
  <c r="O111" i="34"/>
  <c r="O112" i="34" s="1"/>
  <c r="O108" i="34"/>
  <c r="O109" i="34" s="1"/>
  <c r="O56" i="34"/>
  <c r="L42" i="34"/>
  <c r="L31" i="34"/>
  <c r="L30" i="34"/>
  <c r="L29" i="34" s="1"/>
  <c r="AB30" i="34"/>
  <c r="AB29" i="34" s="1"/>
  <c r="AB42" i="34"/>
  <c r="AB31" i="34"/>
  <c r="T31" i="34"/>
  <c r="T42" i="34"/>
  <c r="T30" i="34"/>
  <c r="T29" i="34" s="1"/>
  <c r="AA108" i="34"/>
  <c r="AA109" i="34" s="1"/>
  <c r="AA56" i="34"/>
  <c r="Z8" i="34"/>
  <c r="AA111" i="34"/>
  <c r="AA112" i="34" s="1"/>
  <c r="I87" i="34"/>
  <c r="I89" i="34"/>
  <c r="O84" i="34"/>
  <c r="O86" i="34"/>
  <c r="Q84" i="34"/>
  <c r="Q86" i="34"/>
  <c r="S84" i="34"/>
  <c r="S86" i="34"/>
  <c r="U84" i="34"/>
  <c r="U86" i="34"/>
  <c r="Z31" i="34"/>
  <c r="Z30" i="34"/>
  <c r="Z29" i="34" s="1"/>
  <c r="Z42" i="34"/>
  <c r="T8" i="34"/>
  <c r="Q19" i="34"/>
  <c r="Y25" i="34"/>
  <c r="R30" i="34"/>
  <c r="R29" i="34" s="1"/>
  <c r="O82" i="34"/>
  <c r="Y83" i="34"/>
  <c r="I96" i="34"/>
  <c r="Q30" i="34"/>
  <c r="Q29" i="34" s="1"/>
  <c r="W111" i="34"/>
  <c r="W112" i="34" s="1"/>
  <c r="V8" i="34"/>
  <c r="S30" i="34"/>
  <c r="S29" i="34" s="1"/>
  <c r="Q82" i="34"/>
  <c r="AA83" i="34"/>
  <c r="S19" i="34"/>
  <c r="Q56" i="34"/>
  <c r="S82" i="34"/>
  <c r="Q141" i="34"/>
  <c r="M19" i="34"/>
  <c r="U30" i="34"/>
  <c r="U29" i="34" s="1"/>
  <c r="I84" i="34"/>
  <c r="U19" i="34"/>
  <c r="U56" i="34"/>
  <c r="I60" i="34"/>
  <c r="W82" i="34"/>
  <c r="W30" i="34"/>
  <c r="W29" i="34" s="1"/>
  <c r="Q31" i="34"/>
  <c r="W56" i="34"/>
  <c r="W141" i="34"/>
  <c r="O25" i="34"/>
  <c r="X30" i="34"/>
  <c r="X29" i="34" s="1"/>
  <c r="R31" i="34"/>
  <c r="Q108" i="34"/>
  <c r="Q109" i="34" s="1"/>
  <c r="I30" i="34"/>
  <c r="I29" i="34" s="1"/>
  <c r="S31" i="34"/>
  <c r="U108" i="34"/>
  <c r="U109" i="34" s="1"/>
  <c r="U31" i="34"/>
  <c r="S60" i="34"/>
  <c r="K83" i="34"/>
  <c r="Q111" i="34"/>
  <c r="Q112" i="34" s="1"/>
  <c r="F8" i="34"/>
  <c r="G56" i="34"/>
  <c r="G53" i="34" s="1"/>
  <c r="F16" i="34"/>
  <c r="F20" i="34" s="1"/>
  <c r="F24" i="34" s="1"/>
  <c r="F23" i="34" s="1"/>
  <c r="G10" i="34"/>
  <c r="G75" i="34" s="1"/>
  <c r="H2" i="34"/>
  <c r="H10" i="34" s="1"/>
  <c r="H16" i="34" s="1"/>
  <c r="H20" i="34" s="1"/>
  <c r="H24" i="34" s="1"/>
  <c r="H23" i="34" s="1"/>
  <c r="F42" i="34"/>
  <c r="G42" i="34"/>
  <c r="J4" i="34"/>
  <c r="K131" i="34" s="1"/>
  <c r="F30" i="34"/>
  <c r="F29" i="34" s="1"/>
  <c r="S108" i="35"/>
  <c r="S109" i="35" s="1"/>
  <c r="S111" i="35"/>
  <c r="S112" i="35" s="1"/>
  <c r="Y111" i="35"/>
  <c r="Y112" i="35" s="1"/>
  <c r="Y108" i="35"/>
  <c r="Y109" i="35" s="1"/>
  <c r="S87" i="35"/>
  <c r="S89" i="35"/>
  <c r="Q82" i="35"/>
  <c r="Q83" i="35"/>
  <c r="I96" i="35"/>
  <c r="I121" i="35"/>
  <c r="AC81" i="35"/>
  <c r="O83" i="35"/>
  <c r="AA108" i="35"/>
  <c r="AA109" i="35" s="1"/>
  <c r="W132" i="35"/>
  <c r="K105" i="35"/>
  <c r="O82" i="35"/>
  <c r="U83" i="35"/>
  <c r="I120" i="35"/>
  <c r="Y141" i="35"/>
  <c r="W83" i="35"/>
  <c r="S82" i="35"/>
  <c r="Y83" i="35"/>
  <c r="U82" i="35"/>
  <c r="AA83" i="35"/>
  <c r="I86" i="35"/>
  <c r="W96" i="35"/>
  <c r="O120" i="35"/>
  <c r="H8" i="35"/>
  <c r="Q71" i="35"/>
  <c r="W82" i="35"/>
  <c r="AC83" i="35"/>
  <c r="I119" i="35"/>
  <c r="AA96" i="35"/>
  <c r="I106" i="35"/>
  <c r="I122" i="35"/>
  <c r="N30" i="34" l="1"/>
  <c r="N29" i="34" s="1"/>
  <c r="Q132" i="35"/>
  <c r="Q133" i="35" s="1"/>
  <c r="Q142" i="35" s="1"/>
  <c r="Q81" i="35"/>
  <c r="Q129" i="35"/>
  <c r="Q130" i="35" s="1"/>
  <c r="N42" i="34"/>
  <c r="X31" i="34"/>
  <c r="P31" i="34"/>
  <c r="P42" i="34"/>
  <c r="I10" i="34"/>
  <c r="I129" i="34" s="1"/>
  <c r="I130" i="34" s="1"/>
  <c r="I142" i="34" s="1"/>
  <c r="H42" i="34"/>
  <c r="H31" i="34"/>
  <c r="G16" i="34"/>
  <c r="G20" i="34" s="1"/>
  <c r="G24" i="34" s="1"/>
  <c r="G23" i="34" s="1"/>
  <c r="AC53" i="34"/>
  <c r="AC54" i="34"/>
  <c r="AC41" i="34" s="1"/>
  <c r="AC68" i="34"/>
  <c r="Y56" i="34"/>
  <c r="Y108" i="34"/>
  <c r="Y109" i="34" s="1"/>
  <c r="X8" i="34"/>
  <c r="W86" i="34"/>
  <c r="W84" i="34"/>
  <c r="M86" i="35"/>
  <c r="S132" i="35"/>
  <c r="S133" i="35" s="1"/>
  <c r="K69" i="35"/>
  <c r="K16" i="35"/>
  <c r="K20" i="35" s="1"/>
  <c r="K24" i="35" s="1"/>
  <c r="K23" i="35" s="1"/>
  <c r="K48" i="35"/>
  <c r="Y69" i="35"/>
  <c r="Y16" i="35"/>
  <c r="Y20" i="35" s="1"/>
  <c r="Y24" i="35" s="1"/>
  <c r="Y23" i="35" s="1"/>
  <c r="Y48" i="35"/>
  <c r="M69" i="35"/>
  <c r="M16" i="35"/>
  <c r="M20" i="35" s="1"/>
  <c r="M24" i="35" s="1"/>
  <c r="M23" i="35" s="1"/>
  <c r="M48" i="35"/>
  <c r="O81" i="35"/>
  <c r="Q69" i="35"/>
  <c r="Q16" i="35"/>
  <c r="Q20" i="35" s="1"/>
  <c r="Q24" i="35" s="1"/>
  <c r="Q23" i="35" s="1"/>
  <c r="Q48" i="35"/>
  <c r="AC69" i="35"/>
  <c r="AC16" i="35"/>
  <c r="AC20" i="35" s="1"/>
  <c r="AC24" i="35" s="1"/>
  <c r="AC23" i="35" s="1"/>
  <c r="AC48" i="35"/>
  <c r="U69" i="35"/>
  <c r="U16" i="35"/>
  <c r="U20" i="35" s="1"/>
  <c r="U24" i="35" s="1"/>
  <c r="U23" i="35" s="1"/>
  <c r="U48" i="35"/>
  <c r="S16" i="35"/>
  <c r="S20" i="35" s="1"/>
  <c r="S24" i="35" s="1"/>
  <c r="S23" i="35" s="1"/>
  <c r="S69" i="35"/>
  <c r="S48" i="35"/>
  <c r="AA69" i="35"/>
  <c r="AA16" i="35"/>
  <c r="AA20" i="35" s="1"/>
  <c r="AA24" i="35" s="1"/>
  <c r="AA23" i="35" s="1"/>
  <c r="AA48" i="35"/>
  <c r="Y132" i="35"/>
  <c r="Y133" i="35" s="1"/>
  <c r="Q126" i="35"/>
  <c r="Q127" i="35" s="1"/>
  <c r="W69" i="35"/>
  <c r="W16" i="35"/>
  <c r="W20" i="35" s="1"/>
  <c r="W24" i="35" s="1"/>
  <c r="W23" i="35" s="1"/>
  <c r="W48" i="35"/>
  <c r="O69" i="35"/>
  <c r="O16" i="35"/>
  <c r="O20" i="35" s="1"/>
  <c r="O24" i="35" s="1"/>
  <c r="O23" i="35" s="1"/>
  <c r="O48" i="35"/>
  <c r="I69" i="35"/>
  <c r="I16" i="35"/>
  <c r="I20" i="35" s="1"/>
  <c r="I24" i="35" s="1"/>
  <c r="I23" i="35" s="1"/>
  <c r="I48" i="35"/>
  <c r="AC105" i="35"/>
  <c r="AC120" i="35"/>
  <c r="AC119" i="35"/>
  <c r="AC121" i="35"/>
  <c r="AC122" i="35"/>
  <c r="AC96" i="35"/>
  <c r="AC106" i="35"/>
  <c r="U111" i="35"/>
  <c r="U112" i="35" s="1"/>
  <c r="W121" i="35"/>
  <c r="W106" i="35"/>
  <c r="W120" i="35"/>
  <c r="W122" i="35"/>
  <c r="W119" i="35"/>
  <c r="U108" i="35"/>
  <c r="U109" i="35" s="1"/>
  <c r="W133" i="35"/>
  <c r="W142" i="35" s="1"/>
  <c r="K86" i="35"/>
  <c r="K87" i="35" s="1"/>
  <c r="K133" i="35"/>
  <c r="K142" i="35" s="1"/>
  <c r="G93" i="35"/>
  <c r="G90" i="35"/>
  <c r="AC93" i="34"/>
  <c r="AC94" i="34" s="1"/>
  <c r="AC87" i="34"/>
  <c r="M86" i="34"/>
  <c r="M87" i="34" s="1"/>
  <c r="Q53" i="34"/>
  <c r="Q68" i="34"/>
  <c r="Q50" i="34"/>
  <c r="Q54" i="34" s="1"/>
  <c r="U89" i="34"/>
  <c r="U87" i="34"/>
  <c r="O53" i="34"/>
  <c r="O68" i="34"/>
  <c r="O50" i="34"/>
  <c r="O54" i="34" s="1"/>
  <c r="O41" i="34" s="1"/>
  <c r="I56" i="34"/>
  <c r="I111" i="34"/>
  <c r="I112" i="34" s="1"/>
  <c r="H8" i="34"/>
  <c r="I108" i="34"/>
  <c r="I109" i="34" s="1"/>
  <c r="Y84" i="34"/>
  <c r="Y86" i="34"/>
  <c r="M53" i="34"/>
  <c r="M68" i="34"/>
  <c r="M50" i="34"/>
  <c r="O87" i="34"/>
  <c r="O89" i="34"/>
  <c r="U68" i="34"/>
  <c r="U50" i="34"/>
  <c r="K84" i="34"/>
  <c r="K86" i="34"/>
  <c r="AA84" i="34"/>
  <c r="AA86" i="34"/>
  <c r="S111" i="34"/>
  <c r="S112" i="34" s="1"/>
  <c r="S108" i="34"/>
  <c r="S109" i="34" s="1"/>
  <c r="S56" i="34"/>
  <c r="R8" i="34"/>
  <c r="S87" i="34"/>
  <c r="S89" i="34"/>
  <c r="U53" i="34"/>
  <c r="I16" i="34"/>
  <c r="I20" i="34" s="1"/>
  <c r="I24" i="34" s="1"/>
  <c r="I23" i="34" s="1"/>
  <c r="I93" i="34"/>
  <c r="I90" i="34"/>
  <c r="W68" i="34"/>
  <c r="W50" i="34"/>
  <c r="W53" i="34"/>
  <c r="K68" i="34"/>
  <c r="K50" i="34"/>
  <c r="Q87" i="34"/>
  <c r="Q89" i="34"/>
  <c r="AA68" i="34"/>
  <c r="AA50" i="34"/>
  <c r="AA54" i="34" s="1"/>
  <c r="AA53" i="34"/>
  <c r="J2" i="34"/>
  <c r="J10" i="34" s="1"/>
  <c r="L4" i="34"/>
  <c r="M131" i="34" s="1"/>
  <c r="G132" i="34"/>
  <c r="G133" i="34" s="1"/>
  <c r="G129" i="34"/>
  <c r="G130" i="34" s="1"/>
  <c r="G142" i="34" s="1"/>
  <c r="G69" i="34"/>
  <c r="G50" i="34"/>
  <c r="G54" i="34" s="1"/>
  <c r="G41" i="34" s="1"/>
  <c r="G68" i="34"/>
  <c r="Y84" i="35"/>
  <c r="Y86" i="35"/>
  <c r="K122" i="35"/>
  <c r="K106" i="35"/>
  <c r="K119" i="35"/>
  <c r="J8" i="35"/>
  <c r="K120" i="35"/>
  <c r="K121" i="35"/>
  <c r="K96" i="35"/>
  <c r="O111" i="35"/>
  <c r="O112" i="35" s="1"/>
  <c r="O108" i="35"/>
  <c r="O109" i="35" s="1"/>
  <c r="I108" i="35"/>
  <c r="I109" i="35" s="1"/>
  <c r="I111" i="35"/>
  <c r="I112" i="35" s="1"/>
  <c r="U75" i="35"/>
  <c r="U129" i="35"/>
  <c r="U130" i="35" s="1"/>
  <c r="U126" i="35"/>
  <c r="U127" i="35" s="1"/>
  <c r="O84" i="35"/>
  <c r="O86" i="35"/>
  <c r="U86" i="35"/>
  <c r="U84" i="35"/>
  <c r="AC84" i="35"/>
  <c r="AC86" i="35"/>
  <c r="AA81" i="35"/>
  <c r="AA129" i="35"/>
  <c r="AA130" i="35" s="1"/>
  <c r="AA126" i="35"/>
  <c r="AA127" i="35" s="1"/>
  <c r="AA75" i="35"/>
  <c r="S93" i="35"/>
  <c r="S90" i="35"/>
  <c r="M75" i="35"/>
  <c r="M129" i="35"/>
  <c r="M130" i="35" s="1"/>
  <c r="M142" i="35" s="1"/>
  <c r="G142" i="35"/>
  <c r="Q119" i="35"/>
  <c r="P8" i="35"/>
  <c r="Q120" i="35"/>
  <c r="Q121" i="35"/>
  <c r="Q105" i="35"/>
  <c r="Q96" i="35"/>
  <c r="Q122" i="35"/>
  <c r="Q106" i="35"/>
  <c r="W75" i="35"/>
  <c r="W129" i="35"/>
  <c r="W130" i="35" s="1"/>
  <c r="W126" i="35"/>
  <c r="W127" i="35" s="1"/>
  <c r="O75" i="35"/>
  <c r="O129" i="35"/>
  <c r="O130" i="35" s="1"/>
  <c r="O126" i="35"/>
  <c r="O127" i="35" s="1"/>
  <c r="M87" i="35"/>
  <c r="M89" i="35"/>
  <c r="Q84" i="35"/>
  <c r="Q86" i="35"/>
  <c r="M132" i="35"/>
  <c r="M133" i="35" s="1"/>
  <c r="AA84" i="35"/>
  <c r="AA86" i="35"/>
  <c r="I87" i="35"/>
  <c r="I89" i="35"/>
  <c r="W86" i="35"/>
  <c r="W84" i="35"/>
  <c r="Y81" i="35"/>
  <c r="Y129" i="35"/>
  <c r="Y130" i="35" s="1"/>
  <c r="Y142" i="35" s="1"/>
  <c r="Y75" i="35"/>
  <c r="W81" i="35"/>
  <c r="K75" i="35"/>
  <c r="K81" i="35"/>
  <c r="K129" i="35"/>
  <c r="K130" i="35" s="1"/>
  <c r="K126" i="35"/>
  <c r="K127" i="35" s="1"/>
  <c r="I126" i="35"/>
  <c r="I127" i="35" s="1"/>
  <c r="I75" i="35"/>
  <c r="I81" i="35"/>
  <c r="I129" i="35"/>
  <c r="I130" i="35" s="1"/>
  <c r="AA132" i="35"/>
  <c r="AA133" i="35" s="1"/>
  <c r="AA142" i="35" s="1"/>
  <c r="S75" i="35"/>
  <c r="S129" i="35"/>
  <c r="S130" i="35" s="1"/>
  <c r="S142" i="35" s="1"/>
  <c r="AC129" i="35"/>
  <c r="AC130" i="35" s="1"/>
  <c r="AC126" i="35"/>
  <c r="AC127" i="35" s="1"/>
  <c r="AC132" i="35"/>
  <c r="AC133" i="35" s="1"/>
  <c r="AC142" i="35" s="1"/>
  <c r="AC75" i="35"/>
  <c r="U81" i="35"/>
  <c r="I81" i="34" l="1"/>
  <c r="I132" i="34"/>
  <c r="I133" i="34" s="1"/>
  <c r="I75" i="34"/>
  <c r="I69" i="34"/>
  <c r="K10" i="34"/>
  <c r="J16" i="34"/>
  <c r="J20" i="34" s="1"/>
  <c r="J24" i="34" s="1"/>
  <c r="J23" i="34" s="1"/>
  <c r="AB41" i="34"/>
  <c r="AC49" i="34"/>
  <c r="AB49" i="34" s="1"/>
  <c r="Y68" i="34"/>
  <c r="Y50" i="34"/>
  <c r="Y54" i="34" s="1"/>
  <c r="Y53" i="34"/>
  <c r="W89" i="34"/>
  <c r="W87" i="34"/>
  <c r="M89" i="34"/>
  <c r="M93" i="34" s="1"/>
  <c r="K89" i="35"/>
  <c r="K90" i="35" s="1"/>
  <c r="AB8" i="35"/>
  <c r="AC108" i="35"/>
  <c r="AC109" i="35" s="1"/>
  <c r="AC111" i="35"/>
  <c r="AC112" i="35" s="1"/>
  <c r="G98" i="35"/>
  <c r="G99" i="35" s="1"/>
  <c r="G94" i="35"/>
  <c r="AC98" i="34"/>
  <c r="AC99" i="34" s="1"/>
  <c r="Q41" i="34"/>
  <c r="P41" i="34"/>
  <c r="AA41" i="34"/>
  <c r="Z41" i="34"/>
  <c r="S90" i="34"/>
  <c r="S93" i="34"/>
  <c r="I53" i="34"/>
  <c r="I68" i="34"/>
  <c r="I50" i="34"/>
  <c r="AA89" i="34"/>
  <c r="AA87" i="34"/>
  <c r="O49" i="34"/>
  <c r="Q49" i="34"/>
  <c r="Y89" i="34"/>
  <c r="Y87" i="34"/>
  <c r="S68" i="34"/>
  <c r="S50" i="34"/>
  <c r="S53" i="34"/>
  <c r="K54" i="34"/>
  <c r="K87" i="34"/>
  <c r="K89" i="34"/>
  <c r="AA49" i="34"/>
  <c r="Q93" i="34"/>
  <c r="Q90" i="34"/>
  <c r="M54" i="34"/>
  <c r="I98" i="34"/>
  <c r="I94" i="34"/>
  <c r="W54" i="34"/>
  <c r="N41" i="34"/>
  <c r="U54" i="34"/>
  <c r="O93" i="34"/>
  <c r="O90" i="34"/>
  <c r="U90" i="34"/>
  <c r="U93" i="34"/>
  <c r="G49" i="34"/>
  <c r="F41" i="34"/>
  <c r="G80" i="34"/>
  <c r="G71" i="34"/>
  <c r="G111" i="34"/>
  <c r="G112" i="34" s="1"/>
  <c r="G108" i="34"/>
  <c r="G109" i="34" s="1"/>
  <c r="N4" i="34"/>
  <c r="O131" i="34" s="1"/>
  <c r="L2" i="34"/>
  <c r="L10" i="34" s="1"/>
  <c r="U87" i="35"/>
  <c r="U89" i="35"/>
  <c r="Y87" i="35"/>
  <c r="Y89" i="35"/>
  <c r="AA87" i="35"/>
  <c r="AA89" i="35"/>
  <c r="S94" i="35"/>
  <c r="S98" i="35"/>
  <c r="O89" i="35"/>
  <c r="O87" i="35"/>
  <c r="Q108" i="35"/>
  <c r="Q109" i="35" s="1"/>
  <c r="Q111" i="35"/>
  <c r="Q112" i="35" s="1"/>
  <c r="Q87" i="35"/>
  <c r="Q89" i="35"/>
  <c r="K108" i="35"/>
  <c r="K109" i="35" s="1"/>
  <c r="K111" i="35"/>
  <c r="K112" i="35" s="1"/>
  <c r="M90" i="35"/>
  <c r="M93" i="35"/>
  <c r="AC87" i="35"/>
  <c r="AC89" i="35"/>
  <c r="I90" i="35"/>
  <c r="I93" i="35"/>
  <c r="W87" i="35"/>
  <c r="W89" i="35"/>
  <c r="AC45" i="34" l="1"/>
  <c r="AC44" i="34" s="1"/>
  <c r="AC43" i="34" s="1"/>
  <c r="L16" i="34"/>
  <c r="L20" i="34" s="1"/>
  <c r="L24" i="34" s="1"/>
  <c r="L23" i="34" s="1"/>
  <c r="M10" i="34"/>
  <c r="K81" i="34"/>
  <c r="K75" i="34"/>
  <c r="K69" i="34"/>
  <c r="K129" i="34"/>
  <c r="K130" i="34" s="1"/>
  <c r="K142" i="34" s="1"/>
  <c r="K132" i="34"/>
  <c r="K133" i="34" s="1"/>
  <c r="K16" i="34"/>
  <c r="K20" i="34" s="1"/>
  <c r="K24" i="34" s="1"/>
  <c r="K23" i="34" s="1"/>
  <c r="AB45" i="34"/>
  <c r="AB44" i="34" s="1"/>
  <c r="AB43" i="34" s="1"/>
  <c r="M90" i="34"/>
  <c r="W90" i="34"/>
  <c r="W93" i="34"/>
  <c r="Y41" i="34"/>
  <c r="X41" i="34"/>
  <c r="Y49" i="34"/>
  <c r="K93" i="35"/>
  <c r="K98" i="35" s="1"/>
  <c r="V8" i="35"/>
  <c r="W108" i="35"/>
  <c r="W109" i="35" s="1"/>
  <c r="W111" i="35"/>
  <c r="W112" i="35" s="1"/>
  <c r="Q94" i="34"/>
  <c r="Q98" i="34"/>
  <c r="Q45" i="34"/>
  <c r="Q44" i="34" s="1"/>
  <c r="Q43" i="34" s="1"/>
  <c r="P45" i="34"/>
  <c r="P44" i="34" s="1"/>
  <c r="P43" i="34" s="1"/>
  <c r="P49" i="34"/>
  <c r="Z49" i="34"/>
  <c r="AA45" i="34"/>
  <c r="AA44" i="34" s="1"/>
  <c r="AA43" i="34" s="1"/>
  <c r="Z45" i="34"/>
  <c r="Z44" i="34" s="1"/>
  <c r="Z43" i="34" s="1"/>
  <c r="K93" i="34"/>
  <c r="K90" i="34"/>
  <c r="V41" i="34"/>
  <c r="W41" i="34"/>
  <c r="O98" i="34"/>
  <c r="O94" i="34"/>
  <c r="M98" i="34"/>
  <c r="M94" i="34"/>
  <c r="W49" i="34"/>
  <c r="S94" i="34"/>
  <c r="S98" i="34"/>
  <c r="O45" i="34"/>
  <c r="O44" i="34" s="1"/>
  <c r="O43" i="34" s="1"/>
  <c r="N45" i="34"/>
  <c r="N44" i="34" s="1"/>
  <c r="N43" i="34" s="1"/>
  <c r="N49" i="34"/>
  <c r="I54" i="34"/>
  <c r="AA90" i="34"/>
  <c r="AA93" i="34"/>
  <c r="K41" i="34"/>
  <c r="J41" i="34"/>
  <c r="U41" i="34"/>
  <c r="T41" i="34"/>
  <c r="U49" i="34"/>
  <c r="K49" i="34"/>
  <c r="I99" i="34"/>
  <c r="I144" i="34"/>
  <c r="S54" i="34"/>
  <c r="S49" i="34" s="1"/>
  <c r="M41" i="34"/>
  <c r="L41" i="34"/>
  <c r="U94" i="34"/>
  <c r="U98" i="34"/>
  <c r="M49" i="34"/>
  <c r="Y90" i="34"/>
  <c r="Y93" i="34"/>
  <c r="F49" i="34"/>
  <c r="F48" i="34" s="1"/>
  <c r="G48" i="34"/>
  <c r="G45" i="34"/>
  <c r="G44" i="34" s="1"/>
  <c r="G43" i="34" s="1"/>
  <c r="F45" i="34"/>
  <c r="F44" i="34" s="1"/>
  <c r="F43" i="34" s="1"/>
  <c r="P4" i="34"/>
  <c r="Q131" i="34" s="1"/>
  <c r="N2" i="34"/>
  <c r="N10" i="34" s="1"/>
  <c r="G81" i="34"/>
  <c r="G82" i="34"/>
  <c r="G83" i="34"/>
  <c r="Y90" i="35"/>
  <c r="Y93" i="35"/>
  <c r="M98" i="35"/>
  <c r="M94" i="35"/>
  <c r="I98" i="35"/>
  <c r="I94" i="35"/>
  <c r="Q93" i="35"/>
  <c r="Q90" i="35"/>
  <c r="U93" i="35"/>
  <c r="U90" i="35"/>
  <c r="W90" i="35"/>
  <c r="W93" i="35"/>
  <c r="O93" i="35"/>
  <c r="O90" i="35"/>
  <c r="S99" i="35"/>
  <c r="S144" i="35"/>
  <c r="AA90" i="35"/>
  <c r="AA93" i="35"/>
  <c r="AC90" i="35"/>
  <c r="AC93" i="35"/>
  <c r="N48" i="34" l="1"/>
  <c r="N16" i="34"/>
  <c r="N20" i="34" s="1"/>
  <c r="N24" i="34" s="1"/>
  <c r="N23" i="34" s="1"/>
  <c r="O10" i="34"/>
  <c r="M75" i="34"/>
  <c r="M69" i="34"/>
  <c r="M129" i="34"/>
  <c r="M130" i="34" s="1"/>
  <c r="M142" i="34" s="1"/>
  <c r="M81" i="34"/>
  <c r="M16" i="34"/>
  <c r="M20" i="34" s="1"/>
  <c r="M24" i="34" s="1"/>
  <c r="M23" i="34" s="1"/>
  <c r="M132" i="34"/>
  <c r="M133" i="34" s="1"/>
  <c r="W94" i="34"/>
  <c r="W98" i="34"/>
  <c r="Y45" i="34"/>
  <c r="Y44" i="34" s="1"/>
  <c r="Y43" i="34" s="1"/>
  <c r="X45" i="34"/>
  <c r="X44" i="34" s="1"/>
  <c r="X43" i="34" s="1"/>
  <c r="X49" i="34"/>
  <c r="K94" i="35"/>
  <c r="Y94" i="34"/>
  <c r="Y98" i="34"/>
  <c r="S45" i="34"/>
  <c r="R45" i="34"/>
  <c r="R49" i="34"/>
  <c r="M48" i="34"/>
  <c r="M45" i="34"/>
  <c r="M44" i="34" s="1"/>
  <c r="M43" i="34" s="1"/>
  <c r="L45" i="34"/>
  <c r="L44" i="34" s="1"/>
  <c r="L43" i="34" s="1"/>
  <c r="L49" i="34"/>
  <c r="L48" i="34" s="1"/>
  <c r="Q99" i="34"/>
  <c r="AA94" i="34"/>
  <c r="AA98" i="34"/>
  <c r="I41" i="34"/>
  <c r="H41" i="34"/>
  <c r="J49" i="34"/>
  <c r="J48" i="34" s="1"/>
  <c r="K48" i="34"/>
  <c r="K45" i="34"/>
  <c r="K44" i="34" s="1"/>
  <c r="K43" i="34" s="1"/>
  <c r="J45" i="34"/>
  <c r="J44" i="34" s="1"/>
  <c r="J43" i="34" s="1"/>
  <c r="V45" i="34"/>
  <c r="V44" i="34" s="1"/>
  <c r="V43" i="34" s="1"/>
  <c r="V49" i="34"/>
  <c r="W45" i="34"/>
  <c r="W44" i="34" s="1"/>
  <c r="W43" i="34" s="1"/>
  <c r="O99" i="34"/>
  <c r="K98" i="34"/>
  <c r="K94" i="34"/>
  <c r="S99" i="34"/>
  <c r="U99" i="34"/>
  <c r="S41" i="34"/>
  <c r="R41" i="34"/>
  <c r="U45" i="34"/>
  <c r="U44" i="34" s="1"/>
  <c r="U43" i="34" s="1"/>
  <c r="T45" i="34"/>
  <c r="T44" i="34" s="1"/>
  <c r="T43" i="34" s="1"/>
  <c r="T49" i="34"/>
  <c r="I49" i="34"/>
  <c r="M99" i="34"/>
  <c r="G86" i="34"/>
  <c r="G84" i="34"/>
  <c r="P2" i="34"/>
  <c r="P10" i="34" s="1"/>
  <c r="R4" i="34"/>
  <c r="S131" i="34" s="1"/>
  <c r="W94" i="35"/>
  <c r="W98" i="35"/>
  <c r="AC94" i="35"/>
  <c r="AC98" i="35"/>
  <c r="AA94" i="35"/>
  <c r="AA98" i="35"/>
  <c r="O94" i="35"/>
  <c r="O98" i="35"/>
  <c r="I99" i="35"/>
  <c r="I144" i="35"/>
  <c r="Y94" i="35"/>
  <c r="Y98" i="35"/>
  <c r="G144" i="35"/>
  <c r="K99" i="35"/>
  <c r="K144" i="35"/>
  <c r="U94" i="35"/>
  <c r="U98" i="35"/>
  <c r="M99" i="35"/>
  <c r="M144" i="35"/>
  <c r="Q94" i="35"/>
  <c r="Q98" i="35"/>
  <c r="M144" i="34" l="1"/>
  <c r="P16" i="34"/>
  <c r="P20" i="34" s="1"/>
  <c r="P24" i="34" s="1"/>
  <c r="P23" i="34" s="1"/>
  <c r="Q10" i="34"/>
  <c r="O129" i="34"/>
  <c r="O81" i="34"/>
  <c r="O75" i="34"/>
  <c r="O69" i="34"/>
  <c r="O16" i="34"/>
  <c r="O20" i="34" s="1"/>
  <c r="O24" i="34" s="1"/>
  <c r="O23" i="34" s="1"/>
  <c r="O132" i="34"/>
  <c r="O133" i="34" s="1"/>
  <c r="O48" i="34"/>
  <c r="P48" i="34"/>
  <c r="R44" i="34"/>
  <c r="R43" i="34" s="1"/>
  <c r="W99" i="34"/>
  <c r="H49" i="34"/>
  <c r="H48" i="34" s="1"/>
  <c r="I48" i="34"/>
  <c r="I45" i="34"/>
  <c r="I44" i="34" s="1"/>
  <c r="I43" i="34" s="1"/>
  <c r="H45" i="34"/>
  <c r="H44" i="34" s="1"/>
  <c r="H43" i="34" s="1"/>
  <c r="AA99" i="34"/>
  <c r="K99" i="34"/>
  <c r="K144" i="34"/>
  <c r="S44" i="34"/>
  <c r="S43" i="34" s="1"/>
  <c r="Y99" i="34"/>
  <c r="T4" i="34"/>
  <c r="U131" i="34" s="1"/>
  <c r="R2" i="34"/>
  <c r="R10" i="34" s="1"/>
  <c r="R48" i="34" s="1"/>
  <c r="G87" i="34"/>
  <c r="G89" i="34"/>
  <c r="U99" i="35"/>
  <c r="U144" i="35"/>
  <c r="W144" i="35"/>
  <c r="W99" i="35"/>
  <c r="Y144" i="35"/>
  <c r="Y99" i="35"/>
  <c r="O99" i="35"/>
  <c r="O144" i="35"/>
  <c r="Q99" i="35"/>
  <c r="Q144" i="35"/>
  <c r="AA144" i="35"/>
  <c r="AA99" i="35"/>
  <c r="AC144" i="35"/>
  <c r="AC99" i="35"/>
  <c r="S10" i="34" l="1"/>
  <c r="R16" i="34"/>
  <c r="R20" i="34" s="1"/>
  <c r="R24" i="34" s="1"/>
  <c r="R23" i="34" s="1"/>
  <c r="O130" i="34"/>
  <c r="O142" i="34" s="1"/>
  <c r="O144" i="34"/>
  <c r="Q132" i="34"/>
  <c r="Q133" i="34" s="1"/>
  <c r="Q75" i="34"/>
  <c r="Q69" i="34"/>
  <c r="Q16" i="34"/>
  <c r="Q20" i="34" s="1"/>
  <c r="Q24" i="34" s="1"/>
  <c r="Q23" i="34" s="1"/>
  <c r="Q81" i="34"/>
  <c r="Q129" i="34"/>
  <c r="Q48" i="34"/>
  <c r="T2" i="34"/>
  <c r="T10" i="34" s="1"/>
  <c r="V4" i="34"/>
  <c r="W131" i="34" s="1"/>
  <c r="G93" i="34"/>
  <c r="G90" i="34"/>
  <c r="Q130" i="34" l="1"/>
  <c r="Q142" i="34" s="1"/>
  <c r="Q144" i="34"/>
  <c r="T16" i="34"/>
  <c r="T20" i="34" s="1"/>
  <c r="T24" i="34" s="1"/>
  <c r="T23" i="34" s="1"/>
  <c r="U10" i="34"/>
  <c r="T48" i="34"/>
  <c r="S129" i="34"/>
  <c r="S81" i="34"/>
  <c r="S69" i="34"/>
  <c r="S75" i="34"/>
  <c r="S16" i="34"/>
  <c r="S20" i="34" s="1"/>
  <c r="S24" i="34" s="1"/>
  <c r="S23" i="34" s="1"/>
  <c r="S48" i="34"/>
  <c r="S132" i="34"/>
  <c r="S133" i="34" s="1"/>
  <c r="G98" i="34"/>
  <c r="G94" i="34"/>
  <c r="V2" i="34"/>
  <c r="V10" i="34" s="1"/>
  <c r="X4" i="34"/>
  <c r="Y131" i="34" s="1"/>
  <c r="S130" i="34" l="1"/>
  <c r="S142" i="34" s="1"/>
  <c r="S144" i="34"/>
  <c r="U75" i="34"/>
  <c r="U16" i="34"/>
  <c r="U20" i="34" s="1"/>
  <c r="U24" i="34" s="1"/>
  <c r="U23" i="34" s="1"/>
  <c r="U81" i="34"/>
  <c r="U129" i="34"/>
  <c r="U69" i="34"/>
  <c r="U48" i="34"/>
  <c r="U132" i="34"/>
  <c r="U133" i="34" s="1"/>
  <c r="V16" i="34"/>
  <c r="V20" i="34" s="1"/>
  <c r="V24" i="34" s="1"/>
  <c r="V23" i="34" s="1"/>
  <c r="W10" i="34"/>
  <c r="V48" i="34"/>
  <c r="G99" i="34"/>
  <c r="G144" i="34"/>
  <c r="X2" i="34"/>
  <c r="X10" i="34" s="1"/>
  <c r="Z4" i="34"/>
  <c r="AA131" i="34" s="1"/>
  <c r="W75" i="34" l="1"/>
  <c r="W129" i="34"/>
  <c r="W16" i="34"/>
  <c r="W20" i="34" s="1"/>
  <c r="W24" i="34" s="1"/>
  <c r="W23" i="34" s="1"/>
  <c r="W69" i="34"/>
  <c r="W81" i="34"/>
  <c r="W48" i="34"/>
  <c r="W132" i="34"/>
  <c r="W133" i="34" s="1"/>
  <c r="X16" i="34"/>
  <c r="X20" i="34" s="1"/>
  <c r="X24" i="34" s="1"/>
  <c r="X23" i="34" s="1"/>
  <c r="Y10" i="34"/>
  <c r="X48" i="34"/>
  <c r="U130" i="34"/>
  <c r="U142" i="34" s="1"/>
  <c r="U144" i="34"/>
  <c r="AB4" i="34"/>
  <c r="Z2" i="34"/>
  <c r="Z10" i="34" s="1"/>
  <c r="AA10" i="34" l="1"/>
  <c r="Z16" i="34"/>
  <c r="Z20" i="34" s="1"/>
  <c r="Z24" i="34" s="1"/>
  <c r="Z23" i="34" s="1"/>
  <c r="Z48" i="34"/>
  <c r="Y132" i="34"/>
  <c r="Y133" i="34" s="1"/>
  <c r="Y69" i="34"/>
  <c r="Y75" i="34"/>
  <c r="Y81" i="34"/>
  <c r="Y129" i="34"/>
  <c r="Y16" i="34"/>
  <c r="Y20" i="34" s="1"/>
  <c r="Y24" i="34" s="1"/>
  <c r="Y23" i="34" s="1"/>
  <c r="Y48" i="34"/>
  <c r="AD4" i="34"/>
  <c r="AC131" i="34"/>
  <c r="W130" i="34"/>
  <c r="W142" i="34" s="1"/>
  <c r="W144" i="34"/>
  <c r="AB2" i="34"/>
  <c r="AB10" i="34" s="1"/>
  <c r="AB16" i="34" l="1"/>
  <c r="AB20" i="34" s="1"/>
  <c r="AB24" i="34" s="1"/>
  <c r="AB23" i="34" s="1"/>
  <c r="AC10" i="34"/>
  <c r="AB48" i="34"/>
  <c r="AF4" i="34"/>
  <c r="AD2" i="34"/>
  <c r="AD10" i="34" s="1"/>
  <c r="Y130" i="34"/>
  <c r="Y142" i="34" s="1"/>
  <c r="Y144" i="34"/>
  <c r="AA69" i="34"/>
  <c r="AA75" i="34"/>
  <c r="AA129" i="34"/>
  <c r="AA81" i="34"/>
  <c r="AA16" i="34"/>
  <c r="AA20" i="34" s="1"/>
  <c r="AA24" i="34" s="1"/>
  <c r="AA23" i="34" s="1"/>
  <c r="AA48" i="34"/>
  <c r="AA132" i="34"/>
  <c r="AA133" i="34" s="1"/>
  <c r="Q74" i="33"/>
  <c r="Y136" i="33"/>
  <c r="Y141" i="33" s="1"/>
  <c r="U136" i="33"/>
  <c r="G136" i="33"/>
  <c r="AB2" i="33"/>
  <c r="AB10" i="33" s="1"/>
  <c r="Z2" i="33"/>
  <c r="Z10" i="33" s="1"/>
  <c r="X2" i="33"/>
  <c r="X10" i="33" s="1"/>
  <c r="V2" i="33"/>
  <c r="V10" i="33" s="1"/>
  <c r="T2" i="33"/>
  <c r="T10" i="33" s="1"/>
  <c r="R2" i="33"/>
  <c r="R10" i="33" s="1"/>
  <c r="P2" i="33"/>
  <c r="P10" i="33" s="1"/>
  <c r="Q10" i="33" s="1"/>
  <c r="N2" i="33"/>
  <c r="L2" i="33"/>
  <c r="L10" i="33" s="1"/>
  <c r="N10" i="33"/>
  <c r="O10" i="33" s="1"/>
  <c r="AC79" i="33"/>
  <c r="AA79" i="33"/>
  <c r="Y79" i="33"/>
  <c r="Y79" i="39" s="1"/>
  <c r="W79" i="33"/>
  <c r="U79" i="33"/>
  <c r="U79" i="39" s="1"/>
  <c r="S79" i="33"/>
  <c r="S79" i="39" s="1"/>
  <c r="Q79" i="33"/>
  <c r="Q79" i="39" s="1"/>
  <c r="O79" i="33"/>
  <c r="M79" i="33"/>
  <c r="K79" i="33"/>
  <c r="I79" i="33"/>
  <c r="I79" i="39" s="1"/>
  <c r="G79" i="33"/>
  <c r="G79" i="39" s="1"/>
  <c r="Y137" i="33"/>
  <c r="AA137" i="33" s="1"/>
  <c r="AC137" i="33" s="1"/>
  <c r="AE137" i="33" s="1"/>
  <c r="AG137" i="33" s="1"/>
  <c r="AI137" i="33" s="1"/>
  <c r="AC135" i="33"/>
  <c r="AC141" i="33" s="1"/>
  <c r="AA135" i="33"/>
  <c r="AA141" i="33" s="1"/>
  <c r="Y135" i="33"/>
  <c r="Y122" i="33"/>
  <c r="Y121" i="33"/>
  <c r="Y120" i="33"/>
  <c r="Y119" i="33"/>
  <c r="Y106" i="33"/>
  <c r="AC104" i="33"/>
  <c r="AA104" i="33"/>
  <c r="Y104" i="33"/>
  <c r="Y105" i="33" s="1"/>
  <c r="AA66" i="33"/>
  <c r="AA65" i="33" s="1"/>
  <c r="AA60" i="33" s="1"/>
  <c r="Y65" i="33"/>
  <c r="Y60" i="33" s="1"/>
  <c r="Y63" i="33"/>
  <c r="Y62" i="33"/>
  <c r="AC57" i="33"/>
  <c r="AC63" i="33" s="1"/>
  <c r="AA57" i="33"/>
  <c r="AA63" i="33" s="1"/>
  <c r="Y52" i="33"/>
  <c r="AC42" i="33"/>
  <c r="AA42" i="33"/>
  <c r="X42" i="33"/>
  <c r="AB32" i="33"/>
  <c r="AB42" i="33" s="1"/>
  <c r="Z32" i="33"/>
  <c r="Z31" i="33" s="1"/>
  <c r="Y32" i="33"/>
  <c r="Y42" i="33" s="1"/>
  <c r="AC31" i="33"/>
  <c r="AB31" i="33"/>
  <c r="AA31" i="33"/>
  <c r="Y31" i="33"/>
  <c r="X31" i="33"/>
  <c r="AB30" i="33"/>
  <c r="AB29" i="33" s="1"/>
  <c r="Z30" i="33"/>
  <c r="Z29" i="33" s="1"/>
  <c r="X30" i="33"/>
  <c r="X29" i="33" s="1"/>
  <c r="AC26" i="33"/>
  <c r="AC25" i="33" s="1"/>
  <c r="AA26" i="33"/>
  <c r="AA25" i="33" s="1"/>
  <c r="Y26" i="33"/>
  <c r="Y25" i="33" s="1"/>
  <c r="AB25" i="33"/>
  <c r="Z25" i="33"/>
  <c r="X25" i="33"/>
  <c r="AB19" i="33"/>
  <c r="Z19" i="33"/>
  <c r="X19" i="33"/>
  <c r="AC15" i="33"/>
  <c r="AC19" i="33" s="1"/>
  <c r="AA15" i="33"/>
  <c r="Y15" i="33"/>
  <c r="Y19" i="33" s="1"/>
  <c r="X9" i="33"/>
  <c r="S137" i="33"/>
  <c r="U137" i="33" s="1"/>
  <c r="W137" i="33" s="1"/>
  <c r="W135" i="33"/>
  <c r="W141" i="33" s="1"/>
  <c r="U135" i="33"/>
  <c r="S135" i="33"/>
  <c r="S96" i="33" s="1"/>
  <c r="S122" i="33"/>
  <c r="S121" i="33"/>
  <c r="S120" i="33"/>
  <c r="S119" i="33"/>
  <c r="S106" i="33"/>
  <c r="W104" i="33"/>
  <c r="U104" i="33"/>
  <c r="S104" i="33"/>
  <c r="S105" i="33" s="1"/>
  <c r="U66" i="33"/>
  <c r="U122" i="33" s="1"/>
  <c r="S65" i="33"/>
  <c r="S60" i="33" s="1"/>
  <c r="S63" i="33"/>
  <c r="S62" i="33"/>
  <c r="W57" i="33"/>
  <c r="W63" i="33" s="1"/>
  <c r="U57" i="33"/>
  <c r="U63" i="33" s="1"/>
  <c r="S52" i="33"/>
  <c r="W42" i="33"/>
  <c r="U42" i="33"/>
  <c r="R42" i="33"/>
  <c r="V32" i="33"/>
  <c r="V30" i="33" s="1"/>
  <c r="V29" i="33" s="1"/>
  <c r="T32" i="33"/>
  <c r="T31" i="33" s="1"/>
  <c r="S32" i="33"/>
  <c r="S42" i="33" s="1"/>
  <c r="W31" i="33"/>
  <c r="U31" i="33"/>
  <c r="R31" i="33"/>
  <c r="R30" i="33"/>
  <c r="R29" i="33" s="1"/>
  <c r="W26" i="33"/>
  <c r="W30" i="33" s="1"/>
  <c r="W29" i="33" s="1"/>
  <c r="U26" i="33"/>
  <c r="U25" i="33" s="1"/>
  <c r="S26" i="33"/>
  <c r="S25" i="33" s="1"/>
  <c r="V25" i="33"/>
  <c r="T25" i="33"/>
  <c r="R25" i="33"/>
  <c r="V19" i="33"/>
  <c r="T19" i="33"/>
  <c r="R19" i="33"/>
  <c r="W15" i="33"/>
  <c r="W19" i="33" s="1"/>
  <c r="U15" i="33"/>
  <c r="U19" i="33" s="1"/>
  <c r="S15" i="33"/>
  <c r="S19" i="33" s="1"/>
  <c r="R9" i="33"/>
  <c r="M137" i="33"/>
  <c r="O137" i="33" s="1"/>
  <c r="Q137" i="33" s="1"/>
  <c r="Q135" i="33"/>
  <c r="O135" i="33"/>
  <c r="M135" i="33"/>
  <c r="M96" i="33" s="1"/>
  <c r="M122" i="33"/>
  <c r="M121" i="33"/>
  <c r="M120" i="33"/>
  <c r="M119" i="33"/>
  <c r="M106" i="33"/>
  <c r="Q104" i="33"/>
  <c r="O104" i="33"/>
  <c r="M104" i="33"/>
  <c r="M105" i="33" s="1"/>
  <c r="O66" i="33"/>
  <c r="O52" i="33" s="1"/>
  <c r="M65" i="33"/>
  <c r="M60" i="33" s="1"/>
  <c r="M56" i="33" s="1"/>
  <c r="M63" i="33"/>
  <c r="M62" i="33"/>
  <c r="M59" i="33" s="1"/>
  <c r="Q57" i="33"/>
  <c r="Q63" i="33" s="1"/>
  <c r="O57" i="33"/>
  <c r="O63" i="33" s="1"/>
  <c r="M52" i="33"/>
  <c r="Q42" i="33"/>
  <c r="O42" i="33"/>
  <c r="L42" i="33"/>
  <c r="P32" i="33"/>
  <c r="P42" i="33" s="1"/>
  <c r="N32" i="33"/>
  <c r="N30" i="33" s="1"/>
  <c r="N29" i="33" s="1"/>
  <c r="M32" i="33"/>
  <c r="M42" i="33" s="1"/>
  <c r="Q31" i="33"/>
  <c r="O31" i="33"/>
  <c r="L31" i="33"/>
  <c r="L30" i="33"/>
  <c r="L29" i="33" s="1"/>
  <c r="Q26" i="33"/>
  <c r="Q25" i="33" s="1"/>
  <c r="O26" i="33"/>
  <c r="O30" i="33" s="1"/>
  <c r="O29" i="33" s="1"/>
  <c r="M26" i="33"/>
  <c r="M25" i="33" s="1"/>
  <c r="P25" i="33"/>
  <c r="N25" i="33"/>
  <c r="L25" i="33"/>
  <c r="P19" i="33"/>
  <c r="N19" i="33"/>
  <c r="L19" i="33"/>
  <c r="Q15" i="33"/>
  <c r="Q19" i="33" s="1"/>
  <c r="O15" i="33"/>
  <c r="M15" i="33"/>
  <c r="M19" i="33" s="1"/>
  <c r="L9" i="33"/>
  <c r="G137" i="33"/>
  <c r="I137" i="33" s="1"/>
  <c r="K135" i="33"/>
  <c r="K141" i="33" s="1"/>
  <c r="I135" i="33"/>
  <c r="I141" i="33" s="1"/>
  <c r="G135" i="33"/>
  <c r="G122" i="33"/>
  <c r="G121" i="33"/>
  <c r="G120" i="33"/>
  <c r="G119" i="33"/>
  <c r="G106" i="33"/>
  <c r="K104" i="33"/>
  <c r="I104" i="33"/>
  <c r="G104" i="33"/>
  <c r="G105" i="33" s="1"/>
  <c r="I66" i="33"/>
  <c r="I120" i="33" s="1"/>
  <c r="G65" i="33"/>
  <c r="G63" i="33"/>
  <c r="G62" i="33"/>
  <c r="K57" i="33"/>
  <c r="J9" i="33" s="1"/>
  <c r="I57" i="33"/>
  <c r="H9" i="33" s="1"/>
  <c r="G52" i="33"/>
  <c r="K42" i="33"/>
  <c r="I42" i="33"/>
  <c r="F42" i="33"/>
  <c r="J32" i="33"/>
  <c r="J30" i="33" s="1"/>
  <c r="J29" i="33" s="1"/>
  <c r="H32" i="33"/>
  <c r="H30" i="33" s="1"/>
  <c r="H29" i="33" s="1"/>
  <c r="G32" i="33"/>
  <c r="G31" i="33" s="1"/>
  <c r="K31" i="33"/>
  <c r="I31" i="33"/>
  <c r="F31" i="33"/>
  <c r="F30" i="33"/>
  <c r="F29" i="33" s="1"/>
  <c r="K26" i="33"/>
  <c r="K30" i="33" s="1"/>
  <c r="K29" i="33" s="1"/>
  <c r="I26" i="33"/>
  <c r="I25" i="33" s="1"/>
  <c r="G26" i="33"/>
  <c r="J25" i="33"/>
  <c r="H25" i="33"/>
  <c r="F25" i="33"/>
  <c r="J19" i="33"/>
  <c r="H19" i="33"/>
  <c r="F19" i="33"/>
  <c r="K15" i="33"/>
  <c r="I15" i="33"/>
  <c r="I19" i="33" s="1"/>
  <c r="G15" i="33"/>
  <c r="G19" i="33" s="1"/>
  <c r="F9" i="33"/>
  <c r="J2" i="33"/>
  <c r="J10" i="33" s="1"/>
  <c r="H2" i="33"/>
  <c r="H10" i="33" s="1"/>
  <c r="F2" i="33"/>
  <c r="F10" i="33" s="1"/>
  <c r="BK2" i="3"/>
  <c r="BK10" i="3" s="1"/>
  <c r="BK16" i="3" s="1"/>
  <c r="BK20" i="3" s="1"/>
  <c r="BK24" i="3" s="1"/>
  <c r="BK23" i="3" s="1"/>
  <c r="BM2" i="3"/>
  <c r="BM10" i="3" s="1"/>
  <c r="BO2" i="3"/>
  <c r="BO10" i="3" s="1"/>
  <c r="BP10" i="3" s="1"/>
  <c r="BQ2" i="3"/>
  <c r="BQ10" i="3" s="1"/>
  <c r="BK9" i="3"/>
  <c r="BQ9" i="3"/>
  <c r="BL15" i="3"/>
  <c r="BL19" i="3" s="1"/>
  <c r="BN15" i="3"/>
  <c r="BN19" i="3" s="1"/>
  <c r="BP15" i="3"/>
  <c r="BP19" i="3" s="1"/>
  <c r="BR15" i="3"/>
  <c r="BR19" i="3" s="1"/>
  <c r="BK19" i="3"/>
  <c r="BM19" i="3"/>
  <c r="BO19" i="3"/>
  <c r="BQ19" i="3"/>
  <c r="BK25" i="3"/>
  <c r="BM25" i="3"/>
  <c r="BO25" i="3"/>
  <c r="BL26" i="3"/>
  <c r="BN26" i="3"/>
  <c r="BN30" i="3" s="1"/>
  <c r="BN29" i="3" s="1"/>
  <c r="BP26" i="3"/>
  <c r="BP25" i="3" s="1"/>
  <c r="BQ26" i="3"/>
  <c r="BQ25" i="3" s="1"/>
  <c r="BK30" i="3"/>
  <c r="BK29" i="3" s="1"/>
  <c r="BK31" i="3"/>
  <c r="BN31" i="3"/>
  <c r="BP31" i="3"/>
  <c r="BR31" i="3"/>
  <c r="BL32" i="3"/>
  <c r="BL31" i="3" s="1"/>
  <c r="BM32" i="3"/>
  <c r="BM42" i="3" s="1"/>
  <c r="BO32" i="3"/>
  <c r="BO30" i="3" s="1"/>
  <c r="BO29" i="3" s="1"/>
  <c r="BQ32" i="3"/>
  <c r="BQ42" i="3" s="1"/>
  <c r="BK42" i="3"/>
  <c r="BN42" i="3"/>
  <c r="BP42" i="3"/>
  <c r="BR42" i="3"/>
  <c r="BL52" i="3"/>
  <c r="BN57" i="3"/>
  <c r="BN63" i="3" s="1"/>
  <c r="BP57" i="3"/>
  <c r="BO9" i="3" s="1"/>
  <c r="BL62" i="3"/>
  <c r="BL63" i="3"/>
  <c r="BR63" i="3"/>
  <c r="BL65" i="3"/>
  <c r="BL60" i="3" s="1"/>
  <c r="BN66" i="3"/>
  <c r="BP66" i="3" s="1"/>
  <c r="BP72" i="3"/>
  <c r="BR72" i="3" s="1"/>
  <c r="BR79" i="3"/>
  <c r="BL104" i="3"/>
  <c r="BL105" i="3" s="1"/>
  <c r="BN104" i="3"/>
  <c r="BP104" i="3"/>
  <c r="BR104" i="3"/>
  <c r="BL106" i="3"/>
  <c r="BL119" i="3"/>
  <c r="BL120" i="3"/>
  <c r="BL121" i="3"/>
  <c r="BL122" i="3"/>
  <c r="BL123" i="3"/>
  <c r="BL135" i="3"/>
  <c r="BL96" i="3" s="1"/>
  <c r="BN135" i="3"/>
  <c r="BP135" i="3"/>
  <c r="BP140" i="3" s="1"/>
  <c r="BR135" i="3"/>
  <c r="O10" i="30"/>
  <c r="C11" i="30"/>
  <c r="D11" i="30"/>
  <c r="E11" i="30"/>
  <c r="F11" i="30"/>
  <c r="G11" i="30"/>
  <c r="H11" i="30"/>
  <c r="I11" i="30"/>
  <c r="J11" i="30"/>
  <c r="K11" i="30"/>
  <c r="O9" i="30"/>
  <c r="O8" i="30"/>
  <c r="S31" i="33" l="1"/>
  <c r="Z42" i="33"/>
  <c r="J31" i="33"/>
  <c r="W25" i="33"/>
  <c r="I123" i="39"/>
  <c r="I117" i="39" s="1"/>
  <c r="I116" i="39" s="1"/>
  <c r="I114" i="39" s="1"/>
  <c r="I115" i="39" s="1"/>
  <c r="I77" i="39"/>
  <c r="I76" i="39" s="1"/>
  <c r="K79" i="38"/>
  <c r="K123" i="38" s="1"/>
  <c r="K117" i="38" s="1"/>
  <c r="K116" i="38" s="1"/>
  <c r="K114" i="38" s="1"/>
  <c r="K115" i="38" s="1"/>
  <c r="K79" i="39"/>
  <c r="U123" i="39"/>
  <c r="U117" i="39" s="1"/>
  <c r="U116" i="39" s="1"/>
  <c r="U114" i="39" s="1"/>
  <c r="U115" i="39" s="1"/>
  <c r="U77" i="39"/>
  <c r="U76" i="39" s="1"/>
  <c r="AC79" i="38"/>
  <c r="AC123" i="38" s="1"/>
  <c r="AC117" i="38" s="1"/>
  <c r="AC116" i="38" s="1"/>
  <c r="AC114" i="38" s="1"/>
  <c r="AC115" i="38" s="1"/>
  <c r="AC79" i="39"/>
  <c r="Y123" i="39"/>
  <c r="Y117" i="39" s="1"/>
  <c r="Y116" i="39" s="1"/>
  <c r="Y114" i="39" s="1"/>
  <c r="Y115" i="39" s="1"/>
  <c r="Y77" i="39"/>
  <c r="Y76" i="39" s="1"/>
  <c r="M79" i="38"/>
  <c r="M123" i="38" s="1"/>
  <c r="M117" i="38" s="1"/>
  <c r="M116" i="38" s="1"/>
  <c r="M114" i="38" s="1"/>
  <c r="M115" i="38" s="1"/>
  <c r="M79" i="39"/>
  <c r="W79" i="38"/>
  <c r="W123" i="38" s="1"/>
  <c r="W117" i="38" s="1"/>
  <c r="W116" i="38" s="1"/>
  <c r="W114" i="38" s="1"/>
  <c r="W115" i="38" s="1"/>
  <c r="W79" i="39"/>
  <c r="S123" i="39"/>
  <c r="S117" i="39" s="1"/>
  <c r="S116" i="39" s="1"/>
  <c r="S114" i="39" s="1"/>
  <c r="S115" i="39" s="1"/>
  <c r="S77" i="39"/>
  <c r="S76" i="39" s="1"/>
  <c r="O79" i="38"/>
  <c r="O123" i="38" s="1"/>
  <c r="O117" i="38" s="1"/>
  <c r="O116" i="38" s="1"/>
  <c r="O114" i="38" s="1"/>
  <c r="O115" i="38" s="1"/>
  <c r="O79" i="39"/>
  <c r="G123" i="39"/>
  <c r="G117" i="39" s="1"/>
  <c r="G116" i="39" s="1"/>
  <c r="G114" i="39" s="1"/>
  <c r="G115" i="39" s="1"/>
  <c r="G77" i="39"/>
  <c r="G76" i="39" s="1"/>
  <c r="Q123" i="39"/>
  <c r="Q117" i="39" s="1"/>
  <c r="Q116" i="39" s="1"/>
  <c r="Q114" i="39" s="1"/>
  <c r="Q115" i="39" s="1"/>
  <c r="Q77" i="39"/>
  <c r="Q76" i="39" s="1"/>
  <c r="AA79" i="38"/>
  <c r="AA123" i="38" s="1"/>
  <c r="AA117" i="38" s="1"/>
  <c r="AA116" i="38" s="1"/>
  <c r="AA114" i="38" s="1"/>
  <c r="AA115" i="38" s="1"/>
  <c r="AA79" i="39"/>
  <c r="U79" i="37"/>
  <c r="U77" i="37" s="1"/>
  <c r="U76" i="37" s="1"/>
  <c r="U79" i="38"/>
  <c r="Y79" i="37"/>
  <c r="Y123" i="37" s="1"/>
  <c r="Y117" i="37" s="1"/>
  <c r="Y116" i="37" s="1"/>
  <c r="Y114" i="37" s="1"/>
  <c r="Y115" i="37" s="1"/>
  <c r="Y79" i="38"/>
  <c r="AA77" i="38"/>
  <c r="AA76" i="38" s="1"/>
  <c r="Q79" i="37"/>
  <c r="Q123" i="37" s="1"/>
  <c r="Q117" i="37" s="1"/>
  <c r="Q116" i="37" s="1"/>
  <c r="Q114" i="37" s="1"/>
  <c r="Q115" i="37" s="1"/>
  <c r="Q79" i="38"/>
  <c r="G79" i="37"/>
  <c r="G123" i="37" s="1"/>
  <c r="G117" i="37" s="1"/>
  <c r="G116" i="37" s="1"/>
  <c r="G114" i="37" s="1"/>
  <c r="G115" i="37" s="1"/>
  <c r="G79" i="38"/>
  <c r="I79" i="37"/>
  <c r="I123" i="37" s="1"/>
  <c r="I117" i="37" s="1"/>
  <c r="I116" i="37" s="1"/>
  <c r="I114" i="37" s="1"/>
  <c r="I115" i="37" s="1"/>
  <c r="I79" i="38"/>
  <c r="S79" i="37"/>
  <c r="S77" i="37" s="1"/>
  <c r="S76" i="37" s="1"/>
  <c r="S79" i="38"/>
  <c r="K79" i="34"/>
  <c r="K79" i="35" s="1"/>
  <c r="K79" i="37"/>
  <c r="M79" i="34"/>
  <c r="M123" i="34" s="1"/>
  <c r="M117" i="34" s="1"/>
  <c r="M116" i="34" s="1"/>
  <c r="M114" i="34" s="1"/>
  <c r="M115" i="34" s="1"/>
  <c r="M79" i="37"/>
  <c r="O79" i="34"/>
  <c r="O123" i="34" s="1"/>
  <c r="O117" i="34" s="1"/>
  <c r="O116" i="34" s="1"/>
  <c r="O114" i="34" s="1"/>
  <c r="O115" i="34" s="1"/>
  <c r="O79" i="37"/>
  <c r="W79" i="34"/>
  <c r="W123" i="34" s="1"/>
  <c r="W117" i="34" s="1"/>
  <c r="W116" i="34" s="1"/>
  <c r="W114" i="34" s="1"/>
  <c r="W115" i="34" s="1"/>
  <c r="W79" i="37"/>
  <c r="AA79" i="34"/>
  <c r="AA77" i="34" s="1"/>
  <c r="AA76" i="34" s="1"/>
  <c r="AA79" i="37"/>
  <c r="AC79" i="34"/>
  <c r="AC77" i="34" s="1"/>
  <c r="AC76" i="34" s="1"/>
  <c r="AC79" i="37"/>
  <c r="BP63" i="3"/>
  <c r="O25" i="33"/>
  <c r="O65" i="33"/>
  <c r="O60" i="33" s="1"/>
  <c r="N8" i="33" s="1"/>
  <c r="AK137" i="33"/>
  <c r="AM137" i="33" s="1"/>
  <c r="AO137" i="33" s="1"/>
  <c r="AQ137" i="33" s="1"/>
  <c r="AS137" i="33" s="1"/>
  <c r="AU137" i="33" s="1"/>
  <c r="AW137" i="33" s="1"/>
  <c r="AY137" i="33" s="1"/>
  <c r="BA137" i="33" s="1"/>
  <c r="BC137" i="33" s="1"/>
  <c r="BE137" i="33" s="1"/>
  <c r="BG137" i="33" s="1"/>
  <c r="BI137" i="33" s="1"/>
  <c r="BK137" i="33" s="1"/>
  <c r="BO137" i="33" s="1"/>
  <c r="Z9" i="33"/>
  <c r="T9" i="33"/>
  <c r="M31" i="33"/>
  <c r="P31" i="33"/>
  <c r="V9" i="33"/>
  <c r="O119" i="33"/>
  <c r="N9" i="33"/>
  <c r="P9" i="33"/>
  <c r="AB9" i="33"/>
  <c r="P30" i="33"/>
  <c r="P29" i="33" s="1"/>
  <c r="AA30" i="33"/>
  <c r="AA29" i="33" s="1"/>
  <c r="U105" i="33"/>
  <c r="I119" i="33"/>
  <c r="J42" i="33"/>
  <c r="G30" i="33"/>
  <c r="G29" i="33" s="1"/>
  <c r="T42" i="33"/>
  <c r="I30" i="33"/>
  <c r="I29" i="33" s="1"/>
  <c r="N42" i="33"/>
  <c r="T30" i="33"/>
  <c r="T29" i="33" s="1"/>
  <c r="G96" i="33"/>
  <c r="I52" i="33"/>
  <c r="U30" i="33"/>
  <c r="U29" i="33" s="1"/>
  <c r="Y30" i="33"/>
  <c r="Y29" i="33" s="1"/>
  <c r="BL42" i="3"/>
  <c r="BL30" i="3"/>
  <c r="BL29" i="3" s="1"/>
  <c r="BL25" i="3"/>
  <c r="BN25" i="3"/>
  <c r="BP30" i="3"/>
  <c r="BP29" i="3" s="1"/>
  <c r="AA130" i="34"/>
  <c r="AA142" i="34" s="1"/>
  <c r="AA144" i="34"/>
  <c r="AE10" i="34"/>
  <c r="AD16" i="34"/>
  <c r="AD20" i="34" s="1"/>
  <c r="AD24" i="34" s="1"/>
  <c r="AD23" i="34" s="1"/>
  <c r="AD48" i="34"/>
  <c r="AF2" i="34"/>
  <c r="AF10" i="34" s="1"/>
  <c r="AH4" i="34"/>
  <c r="AC69" i="34"/>
  <c r="AC129" i="34"/>
  <c r="AC81" i="34"/>
  <c r="AC75" i="34"/>
  <c r="AC16" i="34"/>
  <c r="AC20" i="34" s="1"/>
  <c r="AC24" i="34" s="1"/>
  <c r="AC23" i="34" s="1"/>
  <c r="AC48" i="34"/>
  <c r="AC132" i="34"/>
  <c r="AC133" i="34" s="1"/>
  <c r="BN122" i="3"/>
  <c r="G59" i="33"/>
  <c r="G141" i="33"/>
  <c r="Q66" i="33"/>
  <c r="Q122" i="33" s="1"/>
  <c r="M141" i="33"/>
  <c r="L8" i="33"/>
  <c r="U65" i="33"/>
  <c r="U60" i="33" s="1"/>
  <c r="O77" i="33"/>
  <c r="M123" i="33"/>
  <c r="M117" i="33" s="1"/>
  <c r="M116" i="33" s="1"/>
  <c r="M114" i="33" s="1"/>
  <c r="M115" i="33" s="1"/>
  <c r="I105" i="33"/>
  <c r="O105" i="33"/>
  <c r="M53" i="33"/>
  <c r="Y59" i="33"/>
  <c r="U62" i="33"/>
  <c r="G60" i="33"/>
  <c r="G56" i="33" s="1"/>
  <c r="G53" i="33" s="1"/>
  <c r="AA105" i="33"/>
  <c r="Y96" i="33"/>
  <c r="O96" i="33"/>
  <c r="S141" i="33"/>
  <c r="Q77" i="33"/>
  <c r="Q76" i="33" s="1"/>
  <c r="AA123" i="33"/>
  <c r="G123" i="33"/>
  <c r="G117" i="33" s="1"/>
  <c r="G116" i="33" s="1"/>
  <c r="G114" i="33" s="1"/>
  <c r="G115" i="33" s="1"/>
  <c r="G79" i="34"/>
  <c r="I123" i="33"/>
  <c r="I79" i="34"/>
  <c r="Q79" i="34"/>
  <c r="S123" i="33"/>
  <c r="S117" i="33" s="1"/>
  <c r="S116" i="33" s="1"/>
  <c r="S114" i="33" s="1"/>
  <c r="S115" i="33" s="1"/>
  <c r="S79" i="34"/>
  <c r="U123" i="33"/>
  <c r="U79" i="34"/>
  <c r="Y123" i="33"/>
  <c r="Y117" i="33" s="1"/>
  <c r="Y116" i="33" s="1"/>
  <c r="Y114" i="33" s="1"/>
  <c r="Y115" i="33" s="1"/>
  <c r="Y79" i="34"/>
  <c r="Z16" i="33"/>
  <c r="Z20" i="33" s="1"/>
  <c r="Z24" i="33" s="1"/>
  <c r="Z23" i="33" s="1"/>
  <c r="AA10" i="33"/>
  <c r="AA126" i="33" s="1"/>
  <c r="AA127" i="33" s="1"/>
  <c r="U96" i="33"/>
  <c r="AC10" i="33"/>
  <c r="AC129" i="33" s="1"/>
  <c r="AB16" i="33"/>
  <c r="AB20" i="33" s="1"/>
  <c r="AB24" i="33" s="1"/>
  <c r="AB23" i="33" s="1"/>
  <c r="X16" i="33"/>
  <c r="X20" i="33" s="1"/>
  <c r="X24" i="33" s="1"/>
  <c r="X23" i="33" s="1"/>
  <c r="Y10" i="33"/>
  <c r="W10" i="33"/>
  <c r="W16" i="33" s="1"/>
  <c r="W20" i="33" s="1"/>
  <c r="W24" i="33" s="1"/>
  <c r="W23" i="33" s="1"/>
  <c r="V16" i="33"/>
  <c r="V20" i="33" s="1"/>
  <c r="V24" i="33" s="1"/>
  <c r="V23" i="33" s="1"/>
  <c r="T16" i="33"/>
  <c r="T20" i="33" s="1"/>
  <c r="T24" i="33" s="1"/>
  <c r="T23" i="33" s="1"/>
  <c r="U10" i="33"/>
  <c r="R16" i="33"/>
  <c r="R20" i="33" s="1"/>
  <c r="R24" i="33" s="1"/>
  <c r="R23" i="33" s="1"/>
  <c r="S10" i="33"/>
  <c r="S69" i="33" s="1"/>
  <c r="N16" i="33"/>
  <c r="N20" i="33" s="1"/>
  <c r="N24" i="33" s="1"/>
  <c r="N23" i="33" s="1"/>
  <c r="M10" i="33"/>
  <c r="M77" i="33" s="1"/>
  <c r="L16" i="33"/>
  <c r="L20" i="33" s="1"/>
  <c r="L24" i="33" s="1"/>
  <c r="L23" i="33" s="1"/>
  <c r="P16" i="33"/>
  <c r="P20" i="33" s="1"/>
  <c r="P24" i="33" s="1"/>
  <c r="P23" i="33" s="1"/>
  <c r="O123" i="33"/>
  <c r="Y56" i="33"/>
  <c r="X8" i="33"/>
  <c r="AA56" i="33"/>
  <c r="Z8" i="33"/>
  <c r="AA108" i="33"/>
  <c r="AA109" i="33" s="1"/>
  <c r="AA111" i="33"/>
  <c r="AA112" i="33" s="1"/>
  <c r="AC66" i="33"/>
  <c r="AE66" i="33" s="1"/>
  <c r="AA119" i="33"/>
  <c r="AA19" i="33"/>
  <c r="AA52" i="33"/>
  <c r="AA120" i="33"/>
  <c r="AA106" i="33"/>
  <c r="AA96" i="33"/>
  <c r="AA121" i="33"/>
  <c r="AA62" i="33"/>
  <c r="AA59" i="33" s="1"/>
  <c r="AA122" i="33"/>
  <c r="AC30" i="33"/>
  <c r="AC29" i="33" s="1"/>
  <c r="S56" i="33"/>
  <c r="S53" i="33" s="1"/>
  <c r="R8" i="33"/>
  <c r="U56" i="33"/>
  <c r="T8" i="33"/>
  <c r="V42" i="33"/>
  <c r="V31" i="33"/>
  <c r="S59" i="33"/>
  <c r="W66" i="33"/>
  <c r="U119" i="33"/>
  <c r="U52" i="33"/>
  <c r="U120" i="33"/>
  <c r="U106" i="33"/>
  <c r="U141" i="33"/>
  <c r="U121" i="33"/>
  <c r="S30" i="33"/>
  <c r="S29" i="33" s="1"/>
  <c r="O16" i="33"/>
  <c r="O20" i="33" s="1"/>
  <c r="O24" i="33" s="1"/>
  <c r="O23" i="33" s="1"/>
  <c r="M68" i="33"/>
  <c r="M50" i="33"/>
  <c r="M54" i="33" s="1"/>
  <c r="Q132" i="33"/>
  <c r="Q69" i="33"/>
  <c r="Q129" i="33"/>
  <c r="Q126" i="33"/>
  <c r="Q16" i="33"/>
  <c r="Q20" i="33" s="1"/>
  <c r="Q24" i="33" s="1"/>
  <c r="Q23" i="33" s="1"/>
  <c r="N31" i="33"/>
  <c r="O19" i="33"/>
  <c r="O120" i="33"/>
  <c r="O106" i="33"/>
  <c r="O141" i="33"/>
  <c r="O121" i="33"/>
  <c r="Q141" i="33"/>
  <c r="M30" i="33"/>
  <c r="M29" i="33" s="1"/>
  <c r="O62" i="33"/>
  <c r="O122" i="33"/>
  <c r="Q30" i="33"/>
  <c r="Q29" i="33" s="1"/>
  <c r="H31" i="33"/>
  <c r="K63" i="33"/>
  <c r="K25" i="33"/>
  <c r="G42" i="33"/>
  <c r="H42" i="33"/>
  <c r="G10" i="33"/>
  <c r="G77" i="33" s="1"/>
  <c r="F16" i="33"/>
  <c r="F20" i="33" s="1"/>
  <c r="F24" i="33" s="1"/>
  <c r="F23" i="33" s="1"/>
  <c r="H16" i="33"/>
  <c r="H20" i="33" s="1"/>
  <c r="H24" i="33" s="1"/>
  <c r="H23" i="33" s="1"/>
  <c r="I10" i="33"/>
  <c r="I77" i="33" s="1"/>
  <c r="J16" i="33"/>
  <c r="J20" i="33" s="1"/>
  <c r="J24" i="33" s="1"/>
  <c r="J23" i="33" s="1"/>
  <c r="K10" i="33"/>
  <c r="K77" i="33" s="1"/>
  <c r="K137" i="33"/>
  <c r="G25" i="33"/>
  <c r="I62" i="33"/>
  <c r="K19" i="33"/>
  <c r="I63" i="33"/>
  <c r="I96" i="33"/>
  <c r="I121" i="33"/>
  <c r="I65" i="33"/>
  <c r="I60" i="33" s="1"/>
  <c r="I106" i="33"/>
  <c r="I122" i="33"/>
  <c r="K66" i="33"/>
  <c r="BR26" i="3"/>
  <c r="BR25" i="3" s="1"/>
  <c r="BL117" i="3"/>
  <c r="BL116" i="3" s="1"/>
  <c r="BL114" i="3" s="1"/>
  <c r="BL115" i="3" s="1"/>
  <c r="BO16" i="3"/>
  <c r="BO20" i="3" s="1"/>
  <c r="BO24" i="3" s="1"/>
  <c r="BO23" i="3" s="1"/>
  <c r="BL59" i="3"/>
  <c r="BQ31" i="3"/>
  <c r="BO31" i="3"/>
  <c r="BN105" i="3"/>
  <c r="BM31" i="3"/>
  <c r="BO42" i="3"/>
  <c r="BQ30" i="3"/>
  <c r="BQ29" i="3" s="1"/>
  <c r="BN96" i="3"/>
  <c r="BP119" i="3"/>
  <c r="BP123" i="3"/>
  <c r="BP62" i="3"/>
  <c r="BP120" i="3"/>
  <c r="BP52" i="3"/>
  <c r="BP96" i="3"/>
  <c r="BP105" i="3"/>
  <c r="BP121" i="3"/>
  <c r="BP65" i="3"/>
  <c r="BP60" i="3" s="1"/>
  <c r="BP122" i="3"/>
  <c r="BP106" i="3"/>
  <c r="BR140" i="3"/>
  <c r="BL10" i="3"/>
  <c r="BL16" i="3" s="1"/>
  <c r="BL20" i="3" s="1"/>
  <c r="BL24" i="3" s="1"/>
  <c r="BL23" i="3" s="1"/>
  <c r="BL56" i="3"/>
  <c r="BL53" i="3" s="1"/>
  <c r="BK8" i="3"/>
  <c r="BQ16" i="3"/>
  <c r="BQ20" i="3" s="1"/>
  <c r="BQ24" i="3" s="1"/>
  <c r="BQ23" i="3" s="1"/>
  <c r="BR10" i="3"/>
  <c r="BP132" i="3"/>
  <c r="BP126" i="3"/>
  <c r="BP127" i="3" s="1"/>
  <c r="BP69" i="3"/>
  <c r="BP76" i="3"/>
  <c r="BP74" i="3" s="1"/>
  <c r="BP129" i="3"/>
  <c r="BP130" i="3" s="1"/>
  <c r="BR66" i="3"/>
  <c r="BR96" i="3" s="1"/>
  <c r="BN119" i="3"/>
  <c r="BN123" i="3"/>
  <c r="BN62" i="3"/>
  <c r="BN120" i="3"/>
  <c r="BN52" i="3"/>
  <c r="BN121" i="3"/>
  <c r="BN65" i="3"/>
  <c r="BN60" i="3" s="1"/>
  <c r="BN106" i="3"/>
  <c r="BN10" i="3"/>
  <c r="BM16" i="3"/>
  <c r="BM20" i="3" s="1"/>
  <c r="BM24" i="3" s="1"/>
  <c r="BM23" i="3" s="1"/>
  <c r="BP16" i="3"/>
  <c r="BP20" i="3" s="1"/>
  <c r="BP24" i="3" s="1"/>
  <c r="BP23" i="3" s="1"/>
  <c r="BM9" i="3"/>
  <c r="BM30" i="3"/>
  <c r="BM29" i="3" s="1"/>
  <c r="S123" i="37" l="1"/>
  <c r="S117" i="37" s="1"/>
  <c r="S116" i="37" s="1"/>
  <c r="S114" i="37" s="1"/>
  <c r="S115" i="37" s="1"/>
  <c r="AC77" i="38"/>
  <c r="AC76" i="38" s="1"/>
  <c r="M77" i="38"/>
  <c r="M76" i="38" s="1"/>
  <c r="O56" i="33"/>
  <c r="O59" i="33"/>
  <c r="K77" i="38"/>
  <c r="K76" i="38" s="1"/>
  <c r="Q106" i="33"/>
  <c r="AA123" i="34"/>
  <c r="AA117" i="34" s="1"/>
  <c r="AA116" i="34" s="1"/>
  <c r="AA114" i="34" s="1"/>
  <c r="AA115" i="34" s="1"/>
  <c r="U123" i="37"/>
  <c r="U117" i="37" s="1"/>
  <c r="U116" i="37" s="1"/>
  <c r="U114" i="37" s="1"/>
  <c r="U115" i="37" s="1"/>
  <c r="Y77" i="37"/>
  <c r="Y76" i="37" s="1"/>
  <c r="O77" i="38"/>
  <c r="O76" i="38" s="1"/>
  <c r="W77" i="38"/>
  <c r="W76" i="38" s="1"/>
  <c r="O123" i="39"/>
  <c r="O117" i="39" s="1"/>
  <c r="O116" i="39" s="1"/>
  <c r="O114" i="39" s="1"/>
  <c r="O115" i="39" s="1"/>
  <c r="O77" i="39"/>
  <c r="O76" i="39" s="1"/>
  <c r="M123" i="39"/>
  <c r="M117" i="39" s="1"/>
  <c r="M116" i="39" s="1"/>
  <c r="M114" i="39" s="1"/>
  <c r="M115" i="39" s="1"/>
  <c r="M77" i="39"/>
  <c r="M76" i="39" s="1"/>
  <c r="I77" i="37"/>
  <c r="I76" i="37" s="1"/>
  <c r="AC123" i="39"/>
  <c r="AC117" i="39" s="1"/>
  <c r="AC116" i="39" s="1"/>
  <c r="AC114" i="39" s="1"/>
  <c r="AC115" i="39" s="1"/>
  <c r="AC77" i="39"/>
  <c r="AC76" i="39" s="1"/>
  <c r="W123" i="39"/>
  <c r="W117" i="39" s="1"/>
  <c r="W116" i="39" s="1"/>
  <c r="W114" i="39" s="1"/>
  <c r="W115" i="39" s="1"/>
  <c r="W77" i="39"/>
  <c r="W76" i="39" s="1"/>
  <c r="AA123" i="39"/>
  <c r="AA117" i="39" s="1"/>
  <c r="AA116" i="39" s="1"/>
  <c r="AA114" i="39" s="1"/>
  <c r="AA115" i="39" s="1"/>
  <c r="AA77" i="39"/>
  <c r="AA76" i="39" s="1"/>
  <c r="K123" i="39"/>
  <c r="K117" i="39" s="1"/>
  <c r="K116" i="39" s="1"/>
  <c r="K114" i="39" s="1"/>
  <c r="K115" i="39" s="1"/>
  <c r="K77" i="39"/>
  <c r="K76" i="39" s="1"/>
  <c r="O77" i="34"/>
  <c r="O76" i="34" s="1"/>
  <c r="O79" i="35"/>
  <c r="O123" i="35" s="1"/>
  <c r="O117" i="35" s="1"/>
  <c r="O116" i="35" s="1"/>
  <c r="O114" i="35" s="1"/>
  <c r="O115" i="35" s="1"/>
  <c r="M77" i="34"/>
  <c r="M76" i="34" s="1"/>
  <c r="Q77" i="37"/>
  <c r="Q76" i="37" s="1"/>
  <c r="Q123" i="38"/>
  <c r="Q117" i="38" s="1"/>
  <c r="Q116" i="38" s="1"/>
  <c r="Q114" i="38" s="1"/>
  <c r="Q115" i="38" s="1"/>
  <c r="Q77" i="38"/>
  <c r="Q76" i="38" s="1"/>
  <c r="Y123" i="38"/>
  <c r="Y117" i="38" s="1"/>
  <c r="Y116" i="38" s="1"/>
  <c r="Y114" i="38" s="1"/>
  <c r="Y115" i="38" s="1"/>
  <c r="Y77" i="38"/>
  <c r="Y76" i="38" s="1"/>
  <c r="K77" i="34"/>
  <c r="K76" i="34" s="1"/>
  <c r="S123" i="38"/>
  <c r="S117" i="38" s="1"/>
  <c r="S116" i="38" s="1"/>
  <c r="S114" i="38" s="1"/>
  <c r="S115" i="38" s="1"/>
  <c r="S77" i="38"/>
  <c r="S76" i="38" s="1"/>
  <c r="U123" i="38"/>
  <c r="U117" i="38" s="1"/>
  <c r="U116" i="38" s="1"/>
  <c r="U114" i="38" s="1"/>
  <c r="U115" i="38" s="1"/>
  <c r="U77" i="38"/>
  <c r="U76" i="38" s="1"/>
  <c r="G77" i="37"/>
  <c r="G76" i="37" s="1"/>
  <c r="K123" i="34"/>
  <c r="K117" i="34" s="1"/>
  <c r="K116" i="34" s="1"/>
  <c r="K114" i="34" s="1"/>
  <c r="K115" i="34" s="1"/>
  <c r="M79" i="35"/>
  <c r="M77" i="35" s="1"/>
  <c r="M76" i="35" s="1"/>
  <c r="I123" i="38"/>
  <c r="I117" i="38" s="1"/>
  <c r="I116" i="38" s="1"/>
  <c r="I114" i="38" s="1"/>
  <c r="I115" i="38" s="1"/>
  <c r="I77" i="38"/>
  <c r="I76" i="38" s="1"/>
  <c r="G123" i="38"/>
  <c r="G117" i="38" s="1"/>
  <c r="G116" i="38" s="1"/>
  <c r="G114" i="38" s="1"/>
  <c r="G115" i="38" s="1"/>
  <c r="G77" i="38"/>
  <c r="G76" i="38" s="1"/>
  <c r="W79" i="35"/>
  <c r="W123" i="35" s="1"/>
  <c r="W117" i="35" s="1"/>
  <c r="W116" i="35" s="1"/>
  <c r="W114" i="35" s="1"/>
  <c r="W115" i="35" s="1"/>
  <c r="W77" i="34"/>
  <c r="W76" i="34" s="1"/>
  <c r="AC79" i="35"/>
  <c r="AC77" i="35" s="1"/>
  <c r="AC76" i="35" s="1"/>
  <c r="AA79" i="35"/>
  <c r="AA123" i="35" s="1"/>
  <c r="AA117" i="35" s="1"/>
  <c r="AA116" i="35" s="1"/>
  <c r="AA114" i="35" s="1"/>
  <c r="AA115" i="35" s="1"/>
  <c r="AC123" i="34"/>
  <c r="AC117" i="34" s="1"/>
  <c r="AC116" i="34" s="1"/>
  <c r="AC114" i="34" s="1"/>
  <c r="AC115" i="34" s="1"/>
  <c r="AC123" i="37"/>
  <c r="AC117" i="37" s="1"/>
  <c r="AC116" i="37" s="1"/>
  <c r="AC114" i="37" s="1"/>
  <c r="AC115" i="37" s="1"/>
  <c r="AC77" i="37"/>
  <c r="AC76" i="37" s="1"/>
  <c r="W123" i="37"/>
  <c r="W117" i="37" s="1"/>
  <c r="W116" i="37" s="1"/>
  <c r="W114" i="37" s="1"/>
  <c r="W115" i="37" s="1"/>
  <c r="W77" i="37"/>
  <c r="W76" i="37" s="1"/>
  <c r="AA123" i="37"/>
  <c r="AA117" i="37" s="1"/>
  <c r="AA116" i="37" s="1"/>
  <c r="AA114" i="37" s="1"/>
  <c r="AA115" i="37" s="1"/>
  <c r="AA77" i="37"/>
  <c r="AA76" i="37" s="1"/>
  <c r="O123" i="37"/>
  <c r="O117" i="37" s="1"/>
  <c r="O116" i="37" s="1"/>
  <c r="O114" i="37" s="1"/>
  <c r="O115" i="37" s="1"/>
  <c r="O77" i="37"/>
  <c r="O76" i="37" s="1"/>
  <c r="M123" i="37"/>
  <c r="M117" i="37" s="1"/>
  <c r="M116" i="37" s="1"/>
  <c r="M114" i="37" s="1"/>
  <c r="M115" i="37" s="1"/>
  <c r="M77" i="37"/>
  <c r="M76" i="37" s="1"/>
  <c r="K123" i="37"/>
  <c r="K117" i="37" s="1"/>
  <c r="K116" i="37" s="1"/>
  <c r="K114" i="37" s="1"/>
  <c r="K115" i="37" s="1"/>
  <c r="K77" i="37"/>
  <c r="K76" i="37" s="1"/>
  <c r="Q130" i="33"/>
  <c r="AA53" i="33"/>
  <c r="AC16" i="33"/>
  <c r="AC20" i="33" s="1"/>
  <c r="AC24" i="33" s="1"/>
  <c r="AC23" i="33" s="1"/>
  <c r="F8" i="33"/>
  <c r="W132" i="33"/>
  <c r="W133" i="33" s="1"/>
  <c r="W142" i="33" s="1"/>
  <c r="W129" i="33"/>
  <c r="BR30" i="3"/>
  <c r="BR29" i="3" s="1"/>
  <c r="AJ4" i="34"/>
  <c r="AJ2" i="34" s="1"/>
  <c r="AJ10" i="34" s="1"/>
  <c r="AH2" i="34"/>
  <c r="AH10" i="34" s="1"/>
  <c r="AG10" i="34"/>
  <c r="AF16" i="34"/>
  <c r="AF20" i="34" s="1"/>
  <c r="AF24" i="34" s="1"/>
  <c r="AF23" i="34" s="1"/>
  <c r="AF48" i="34"/>
  <c r="AE75" i="34"/>
  <c r="AE16" i="34"/>
  <c r="AE20" i="34" s="1"/>
  <c r="AE24" i="34" s="1"/>
  <c r="AE23" i="34" s="1"/>
  <c r="AE81" i="34"/>
  <c r="AE69" i="34"/>
  <c r="AE129" i="34"/>
  <c r="AE77" i="34"/>
  <c r="AE76" i="34" s="1"/>
  <c r="AE132" i="34"/>
  <c r="AE48" i="34"/>
  <c r="AC130" i="34"/>
  <c r="AC142" i="34" s="1"/>
  <c r="AC144" i="34"/>
  <c r="BP59" i="3"/>
  <c r="Q119" i="33"/>
  <c r="Q52" i="33"/>
  <c r="Q65" i="33"/>
  <c r="Q60" i="33" s="1"/>
  <c r="P8" i="33" s="1"/>
  <c r="Q105" i="33"/>
  <c r="Q120" i="33"/>
  <c r="Q62" i="33"/>
  <c r="U59" i="33"/>
  <c r="Q96" i="33"/>
  <c r="Q121" i="33"/>
  <c r="Q127" i="33"/>
  <c r="Q123" i="33"/>
  <c r="Q133" i="33"/>
  <c r="Q142" i="33" s="1"/>
  <c r="U117" i="33"/>
  <c r="U116" i="33" s="1"/>
  <c r="U114" i="33" s="1"/>
  <c r="U115" i="33" s="1"/>
  <c r="M41" i="33"/>
  <c r="L41" i="33"/>
  <c r="AE52" i="33"/>
  <c r="AE121" i="33"/>
  <c r="AE120" i="33"/>
  <c r="AG66" i="33"/>
  <c r="AE119" i="33"/>
  <c r="AE123" i="33"/>
  <c r="AE122" i="33"/>
  <c r="AE105" i="33"/>
  <c r="AE65" i="33"/>
  <c r="AE106" i="33"/>
  <c r="AE96" i="33"/>
  <c r="AE98" i="33" s="1"/>
  <c r="AE133" i="33"/>
  <c r="AE142" i="33" s="1"/>
  <c r="AE130" i="33"/>
  <c r="AE127" i="33"/>
  <c r="U53" i="33"/>
  <c r="AC130" i="33"/>
  <c r="G77" i="34"/>
  <c r="G76" i="34" s="1"/>
  <c r="G79" i="35"/>
  <c r="G123" i="35" s="1"/>
  <c r="G117" i="35" s="1"/>
  <c r="G116" i="35" s="1"/>
  <c r="G114" i="35" s="1"/>
  <c r="G115" i="35" s="1"/>
  <c r="G123" i="34"/>
  <c r="G117" i="34" s="1"/>
  <c r="G116" i="34" s="1"/>
  <c r="G114" i="34" s="1"/>
  <c r="G115" i="34" s="1"/>
  <c r="U79" i="35"/>
  <c r="U123" i="34"/>
  <c r="U117" i="34" s="1"/>
  <c r="U116" i="34" s="1"/>
  <c r="U114" i="34" s="1"/>
  <c r="U115" i="34" s="1"/>
  <c r="U77" i="34"/>
  <c r="U76" i="34" s="1"/>
  <c r="Y79" i="35"/>
  <c r="Y123" i="34"/>
  <c r="Y117" i="34" s="1"/>
  <c r="Y116" i="34" s="1"/>
  <c r="Y114" i="34" s="1"/>
  <c r="Y115" i="34" s="1"/>
  <c r="Y77" i="34"/>
  <c r="Y76" i="34" s="1"/>
  <c r="K123" i="35"/>
  <c r="K117" i="35" s="1"/>
  <c r="K116" i="35" s="1"/>
  <c r="K114" i="35" s="1"/>
  <c r="K115" i="35" s="1"/>
  <c r="K77" i="35"/>
  <c r="K76" i="35" s="1"/>
  <c r="S79" i="35"/>
  <c r="S123" i="34"/>
  <c r="S117" i="34" s="1"/>
  <c r="S116" i="34" s="1"/>
  <c r="S114" i="34" s="1"/>
  <c r="S115" i="34" s="1"/>
  <c r="S77" i="34"/>
  <c r="S76" i="34" s="1"/>
  <c r="I79" i="35"/>
  <c r="I123" i="34"/>
  <c r="I117" i="34" s="1"/>
  <c r="I116" i="34" s="1"/>
  <c r="I114" i="34" s="1"/>
  <c r="I115" i="34" s="1"/>
  <c r="I77" i="34"/>
  <c r="I76" i="34" s="1"/>
  <c r="Q123" i="34"/>
  <c r="Q117" i="34" s="1"/>
  <c r="Q116" i="34" s="1"/>
  <c r="Q114" i="34" s="1"/>
  <c r="Q115" i="34" s="1"/>
  <c r="Q79" i="35"/>
  <c r="Q77" i="34"/>
  <c r="Q76" i="34" s="1"/>
  <c r="AC132" i="33"/>
  <c r="AC133" i="33" s="1"/>
  <c r="AC142" i="33" s="1"/>
  <c r="AC77" i="33"/>
  <c r="AC76" i="33" s="1"/>
  <c r="AC71" i="33" s="1"/>
  <c r="AA132" i="33"/>
  <c r="AA133" i="33" s="1"/>
  <c r="AA142" i="33" s="1"/>
  <c r="AA77" i="33"/>
  <c r="AA76" i="33" s="1"/>
  <c r="AA129" i="33"/>
  <c r="AA130" i="33" s="1"/>
  <c r="AA69" i="33"/>
  <c r="AA16" i="33"/>
  <c r="AA20" i="33" s="1"/>
  <c r="AA24" i="33" s="1"/>
  <c r="AA23" i="33" s="1"/>
  <c r="Y77" i="33"/>
  <c r="Y76" i="33" s="1"/>
  <c r="W69" i="33"/>
  <c r="W77" i="33"/>
  <c r="W76" i="33" s="1"/>
  <c r="W75" i="33" s="1"/>
  <c r="U129" i="33"/>
  <c r="U130" i="33" s="1"/>
  <c r="U77" i="33"/>
  <c r="U76" i="33" s="1"/>
  <c r="S132" i="33"/>
  <c r="S133" i="33" s="1"/>
  <c r="S77" i="33"/>
  <c r="S76" i="33" s="1"/>
  <c r="S111" i="33" s="1"/>
  <c r="S112" i="33" s="1"/>
  <c r="S16" i="33"/>
  <c r="S20" i="33" s="1"/>
  <c r="S24" i="33" s="1"/>
  <c r="S23" i="33" s="1"/>
  <c r="S129" i="33"/>
  <c r="S130" i="33" s="1"/>
  <c r="S142" i="33" s="1"/>
  <c r="K16" i="33"/>
  <c r="K20" i="33" s="1"/>
  <c r="K24" i="33" s="1"/>
  <c r="K23" i="33" s="1"/>
  <c r="AC126" i="33"/>
  <c r="AC127" i="33" s="1"/>
  <c r="AC69" i="33"/>
  <c r="Y111" i="33"/>
  <c r="Y112" i="33" s="1"/>
  <c r="Y108" i="33"/>
  <c r="Y109" i="33" s="1"/>
  <c r="Y69" i="33"/>
  <c r="Y129" i="33"/>
  <c r="Y130" i="33" s="1"/>
  <c r="Y142" i="33" s="1"/>
  <c r="Y16" i="33"/>
  <c r="Y20" i="33" s="1"/>
  <c r="Y24" i="33" s="1"/>
  <c r="Y23" i="33" s="1"/>
  <c r="Y132" i="33"/>
  <c r="Y133" i="33" s="1"/>
  <c r="W126" i="33"/>
  <c r="W127" i="33" s="1"/>
  <c r="U126" i="33"/>
  <c r="U127" i="33" s="1"/>
  <c r="U69" i="33"/>
  <c r="U132" i="33"/>
  <c r="U133" i="33" s="1"/>
  <c r="U142" i="33" s="1"/>
  <c r="U16" i="33"/>
  <c r="U20" i="33" s="1"/>
  <c r="U24" i="33" s="1"/>
  <c r="U23" i="33" s="1"/>
  <c r="AA68" i="33"/>
  <c r="AA50" i="33"/>
  <c r="AA80" i="33"/>
  <c r="AA71" i="33"/>
  <c r="AA75" i="33"/>
  <c r="Y71" i="33"/>
  <c r="Y80" i="33"/>
  <c r="Y75" i="33"/>
  <c r="AA117" i="33"/>
  <c r="AA116" i="33" s="1"/>
  <c r="AA114" i="33" s="1"/>
  <c r="AA115" i="33" s="1"/>
  <c r="Y53" i="33"/>
  <c r="Y68" i="33"/>
  <c r="Y50" i="33"/>
  <c r="AC122" i="33"/>
  <c r="AC121" i="33"/>
  <c r="AC96" i="33"/>
  <c r="AC106" i="33"/>
  <c r="AC120" i="33"/>
  <c r="AC52" i="33"/>
  <c r="AC119" i="33"/>
  <c r="AC62" i="33"/>
  <c r="AC65" i="33"/>
  <c r="AC60" i="33" s="1"/>
  <c r="AC123" i="33"/>
  <c r="AC105" i="33"/>
  <c r="U71" i="33"/>
  <c r="U80" i="33"/>
  <c r="U75" i="33"/>
  <c r="U68" i="33"/>
  <c r="U50" i="33"/>
  <c r="U54" i="33" s="1"/>
  <c r="W130" i="33"/>
  <c r="W122" i="33"/>
  <c r="W62" i="33"/>
  <c r="W121" i="33"/>
  <c r="W96" i="33"/>
  <c r="W106" i="33"/>
  <c r="W120" i="33"/>
  <c r="W52" i="33"/>
  <c r="W119" i="33"/>
  <c r="W123" i="33"/>
  <c r="W65" i="33"/>
  <c r="W60" i="33" s="1"/>
  <c r="W105" i="33"/>
  <c r="U111" i="33"/>
  <c r="U112" i="33" s="1"/>
  <c r="S68" i="33"/>
  <c r="S50" i="33"/>
  <c r="U108" i="33"/>
  <c r="U109" i="33" s="1"/>
  <c r="Q71" i="33"/>
  <c r="Q80" i="33"/>
  <c r="Q82" i="33" s="1"/>
  <c r="Q75" i="33"/>
  <c r="O117" i="33"/>
  <c r="O116" i="33" s="1"/>
  <c r="O114" i="33" s="1"/>
  <c r="O115" i="33" s="1"/>
  <c r="O132" i="33"/>
  <c r="O133" i="33" s="1"/>
  <c r="O142" i="33" s="1"/>
  <c r="O69" i="33"/>
  <c r="O129" i="33"/>
  <c r="O130" i="33" s="1"/>
  <c r="O76" i="33"/>
  <c r="O126" i="33"/>
  <c r="O127" i="33" s="1"/>
  <c r="O68" i="33"/>
  <c r="O50" i="33"/>
  <c r="O54" i="33" s="1"/>
  <c r="M16" i="33"/>
  <c r="M20" i="33" s="1"/>
  <c r="M24" i="33" s="1"/>
  <c r="M23" i="33" s="1"/>
  <c r="M132" i="33"/>
  <c r="M133" i="33" s="1"/>
  <c r="M69" i="33"/>
  <c r="M129" i="33"/>
  <c r="M130" i="33" s="1"/>
  <c r="M142" i="33" s="1"/>
  <c r="M76" i="33"/>
  <c r="M49" i="33"/>
  <c r="O53" i="33"/>
  <c r="I117" i="33"/>
  <c r="I116" i="33" s="1"/>
  <c r="I114" i="33" s="1"/>
  <c r="I115" i="33" s="1"/>
  <c r="H8" i="33"/>
  <c r="I56" i="33"/>
  <c r="K129" i="33"/>
  <c r="K130" i="33" s="1"/>
  <c r="K76" i="33"/>
  <c r="K69" i="33"/>
  <c r="K126" i="33"/>
  <c r="K127" i="33" s="1"/>
  <c r="K132" i="33"/>
  <c r="I59" i="33"/>
  <c r="I16" i="33"/>
  <c r="I20" i="33" s="1"/>
  <c r="I24" i="33" s="1"/>
  <c r="I23" i="33" s="1"/>
  <c r="I129" i="33"/>
  <c r="I130" i="33" s="1"/>
  <c r="I76" i="33"/>
  <c r="I111" i="33" s="1"/>
  <c r="I112" i="33" s="1"/>
  <c r="I69" i="33"/>
  <c r="I126" i="33"/>
  <c r="I127" i="33" s="1"/>
  <c r="I132" i="33"/>
  <c r="I133" i="33" s="1"/>
  <c r="I142" i="33" s="1"/>
  <c r="G68" i="33"/>
  <c r="G50" i="33"/>
  <c r="K122" i="33"/>
  <c r="K106" i="33"/>
  <c r="K65" i="33"/>
  <c r="K60" i="33" s="1"/>
  <c r="K121" i="33"/>
  <c r="K105" i="33"/>
  <c r="K96" i="33"/>
  <c r="K52" i="33"/>
  <c r="K120" i="33"/>
  <c r="K62" i="33"/>
  <c r="K123" i="33"/>
  <c r="K119" i="33"/>
  <c r="G16" i="33"/>
  <c r="G20" i="33" s="1"/>
  <c r="G24" i="33" s="1"/>
  <c r="G23" i="33" s="1"/>
  <c r="G129" i="33"/>
  <c r="G130" i="33" s="1"/>
  <c r="G142" i="33" s="1"/>
  <c r="G76" i="33"/>
  <c r="G69" i="33"/>
  <c r="G132" i="33"/>
  <c r="G133" i="33" s="1"/>
  <c r="BN59" i="3"/>
  <c r="BL68" i="3"/>
  <c r="BL50" i="3"/>
  <c r="BL54" i="3"/>
  <c r="BP75" i="3"/>
  <c r="BP71" i="3"/>
  <c r="BP80" i="3"/>
  <c r="BP147" i="3" s="1"/>
  <c r="BP133" i="3"/>
  <c r="BP141" i="3" s="1"/>
  <c r="BP148" i="3"/>
  <c r="BN117" i="3"/>
  <c r="BN116" i="3" s="1"/>
  <c r="BN114" i="3" s="1"/>
  <c r="BN115" i="3" s="1"/>
  <c r="BR119" i="3"/>
  <c r="BR123" i="3"/>
  <c r="BR120" i="3"/>
  <c r="BR52" i="3"/>
  <c r="BR105" i="3"/>
  <c r="BR121" i="3"/>
  <c r="BR65" i="3"/>
  <c r="BR122" i="3"/>
  <c r="BR106" i="3"/>
  <c r="BP108" i="3"/>
  <c r="BP109" i="3" s="1"/>
  <c r="BP56" i="3"/>
  <c r="BO8" i="3"/>
  <c r="BP111" i="3"/>
  <c r="BP112" i="3" s="1"/>
  <c r="BR16" i="3"/>
  <c r="BR20" i="3" s="1"/>
  <c r="BR24" i="3" s="1"/>
  <c r="BR23" i="3" s="1"/>
  <c r="BR132" i="3"/>
  <c r="BR133" i="3" s="1"/>
  <c r="BR141" i="3" s="1"/>
  <c r="BR126" i="3"/>
  <c r="BR127" i="3" s="1"/>
  <c r="BR69" i="3"/>
  <c r="BR76" i="3"/>
  <c r="BR74" i="3" s="1"/>
  <c r="BR129" i="3"/>
  <c r="BR130" i="3" s="1"/>
  <c r="BN132" i="3"/>
  <c r="BN133" i="3" s="1"/>
  <c r="BN126" i="3"/>
  <c r="BN127" i="3" s="1"/>
  <c r="BN69" i="3"/>
  <c r="BN76" i="3"/>
  <c r="BN74" i="3" s="1"/>
  <c r="BN108" i="3" s="1"/>
  <c r="BN109" i="3" s="1"/>
  <c r="BN129" i="3"/>
  <c r="BN130" i="3" s="1"/>
  <c r="BN16" i="3"/>
  <c r="BN20" i="3" s="1"/>
  <c r="BN24" i="3" s="1"/>
  <c r="BN23" i="3" s="1"/>
  <c r="BL132" i="3"/>
  <c r="BL133" i="3" s="1"/>
  <c r="BL69" i="3"/>
  <c r="BL76" i="3"/>
  <c r="BL74" i="3" s="1"/>
  <c r="BL129" i="3"/>
  <c r="BL130" i="3" s="1"/>
  <c r="BN56" i="3"/>
  <c r="BN53" i="3" s="1"/>
  <c r="BM8" i="3"/>
  <c r="BP117" i="3"/>
  <c r="BP116" i="3" s="1"/>
  <c r="BP114" i="3" s="1"/>
  <c r="BP115" i="3" s="1"/>
  <c r="M123" i="35" l="1"/>
  <c r="M117" i="35" s="1"/>
  <c r="M116" i="35" s="1"/>
  <c r="M114" i="35" s="1"/>
  <c r="M115" i="35" s="1"/>
  <c r="Q59" i="33"/>
  <c r="AA77" i="35"/>
  <c r="AA76" i="35" s="1"/>
  <c r="O77" i="35"/>
  <c r="O76" i="35" s="1"/>
  <c r="W77" i="35"/>
  <c r="W76" i="35" s="1"/>
  <c r="AC123" i="35"/>
  <c r="AC117" i="35" s="1"/>
  <c r="AC116" i="35" s="1"/>
  <c r="AC114" i="35" s="1"/>
  <c r="AC115" i="35" s="1"/>
  <c r="AL4" i="34"/>
  <c r="AL2" i="34" s="1"/>
  <c r="AL10" i="34" s="1"/>
  <c r="Q108" i="33"/>
  <c r="Q109" i="33" s="1"/>
  <c r="Q111" i="33"/>
  <c r="Q112" i="33" s="1"/>
  <c r="Q117" i="33"/>
  <c r="Q116" i="33" s="1"/>
  <c r="Q114" i="33" s="1"/>
  <c r="Q115" i="33" s="1"/>
  <c r="AE133" i="34"/>
  <c r="AE144" i="34"/>
  <c r="AN4" i="34"/>
  <c r="AR4" i="34" s="1"/>
  <c r="AJ16" i="34"/>
  <c r="AJ20" i="34" s="1"/>
  <c r="AJ24" i="34" s="1"/>
  <c r="AJ23" i="34" s="1"/>
  <c r="AK10" i="34"/>
  <c r="AJ48" i="34"/>
  <c r="AE130" i="34"/>
  <c r="AE142" i="34" s="1"/>
  <c r="AG132" i="34"/>
  <c r="AG16" i="34"/>
  <c r="AG20" i="34" s="1"/>
  <c r="AG24" i="34" s="1"/>
  <c r="AG23" i="34" s="1"/>
  <c r="AG75" i="34"/>
  <c r="AG81" i="34"/>
  <c r="AG69" i="34"/>
  <c r="AG129" i="34"/>
  <c r="AG77" i="34"/>
  <c r="AG76" i="34" s="1"/>
  <c r="AG48" i="34"/>
  <c r="AI10" i="34"/>
  <c r="AH16" i="34"/>
  <c r="AH20" i="34" s="1"/>
  <c r="AH24" i="34" s="1"/>
  <c r="AH23" i="34" s="1"/>
  <c r="AH48" i="34"/>
  <c r="Q56" i="33"/>
  <c r="Q53" i="33" s="1"/>
  <c r="W59" i="33"/>
  <c r="BP149" i="3"/>
  <c r="AC117" i="33"/>
  <c r="AC116" i="33" s="1"/>
  <c r="AC114" i="33" s="1"/>
  <c r="AC115" i="33" s="1"/>
  <c r="AE60" i="33"/>
  <c r="AE59" i="33"/>
  <c r="AE144" i="33"/>
  <c r="AE99" i="33"/>
  <c r="AE117" i="33"/>
  <c r="AE116" i="33" s="1"/>
  <c r="AE114" i="33" s="1"/>
  <c r="AE115" i="33" s="1"/>
  <c r="AG119" i="33"/>
  <c r="AG105" i="33"/>
  <c r="AG120" i="33"/>
  <c r="AG65" i="33"/>
  <c r="AG122" i="33"/>
  <c r="AI66" i="33"/>
  <c r="AK66" i="33" s="1"/>
  <c r="AG52" i="33"/>
  <c r="AG123" i="33"/>
  <c r="AG96" i="33"/>
  <c r="AG98" i="33" s="1"/>
  <c r="AG121" i="33"/>
  <c r="AG106" i="33"/>
  <c r="AG133" i="33"/>
  <c r="AG142" i="33" s="1"/>
  <c r="AG127" i="33"/>
  <c r="AG130" i="33"/>
  <c r="AC59" i="33"/>
  <c r="I123" i="35"/>
  <c r="I117" i="35" s="1"/>
  <c r="I116" i="35" s="1"/>
  <c r="I114" i="35" s="1"/>
  <c r="I115" i="35" s="1"/>
  <c r="I77" i="35"/>
  <c r="I76" i="35" s="1"/>
  <c r="S123" i="35"/>
  <c r="S117" i="35" s="1"/>
  <c r="S116" i="35" s="1"/>
  <c r="S114" i="35" s="1"/>
  <c r="S115" i="35" s="1"/>
  <c r="S77" i="35"/>
  <c r="S76" i="35" s="1"/>
  <c r="Q123" i="35"/>
  <c r="Q117" i="35" s="1"/>
  <c r="Q116" i="35" s="1"/>
  <c r="Q114" i="35" s="1"/>
  <c r="Q115" i="35" s="1"/>
  <c r="Q77" i="35"/>
  <c r="Q76" i="35" s="1"/>
  <c r="Y77" i="35"/>
  <c r="Y76" i="35" s="1"/>
  <c r="Y123" i="35"/>
  <c r="Y117" i="35" s="1"/>
  <c r="Y116" i="35" s="1"/>
  <c r="Y114" i="35" s="1"/>
  <c r="Y115" i="35" s="1"/>
  <c r="U123" i="35"/>
  <c r="U117" i="35" s="1"/>
  <c r="U116" i="35" s="1"/>
  <c r="U114" i="35" s="1"/>
  <c r="U115" i="35" s="1"/>
  <c r="U77" i="35"/>
  <c r="U76" i="35" s="1"/>
  <c r="AC75" i="33"/>
  <c r="AC80" i="33"/>
  <c r="AC83" i="33" s="1"/>
  <c r="W80" i="33"/>
  <c r="W82" i="33" s="1"/>
  <c r="W71" i="33"/>
  <c r="S108" i="33"/>
  <c r="S109" i="33" s="1"/>
  <c r="S71" i="33"/>
  <c r="S80" i="33"/>
  <c r="S82" i="33" s="1"/>
  <c r="S75" i="33"/>
  <c r="I108" i="33"/>
  <c r="I109" i="33" s="1"/>
  <c r="AA82" i="33"/>
  <c r="AA81" i="33"/>
  <c r="AA83" i="33"/>
  <c r="AA54" i="33"/>
  <c r="Y82" i="33"/>
  <c r="Y81" i="33"/>
  <c r="Y83" i="33"/>
  <c r="Y54" i="33"/>
  <c r="Y49" i="33" s="1"/>
  <c r="AB8" i="33"/>
  <c r="AC108" i="33"/>
  <c r="AC109" i="33" s="1"/>
  <c r="AC111" i="33"/>
  <c r="AC112" i="33" s="1"/>
  <c r="AC56" i="33"/>
  <c r="V8" i="33"/>
  <c r="W108" i="33"/>
  <c r="W109" i="33" s="1"/>
  <c r="W56" i="33"/>
  <c r="W53" i="33" s="1"/>
  <c r="W111" i="33"/>
  <c r="W112" i="33" s="1"/>
  <c r="S54" i="33"/>
  <c r="U49" i="33"/>
  <c r="U41" i="33"/>
  <c r="T41" i="33"/>
  <c r="W117" i="33"/>
  <c r="W116" i="33" s="1"/>
  <c r="W114" i="33" s="1"/>
  <c r="W115" i="33" s="1"/>
  <c r="U82" i="33"/>
  <c r="U81" i="33"/>
  <c r="U83" i="33"/>
  <c r="O49" i="33"/>
  <c r="M71" i="33"/>
  <c r="M80" i="33"/>
  <c r="M82" i="33" s="1"/>
  <c r="M75" i="33"/>
  <c r="M111" i="33"/>
  <c r="M112" i="33" s="1"/>
  <c r="M108" i="33"/>
  <c r="M109" i="33" s="1"/>
  <c r="O41" i="33"/>
  <c r="N41" i="33"/>
  <c r="O71" i="33"/>
  <c r="O80" i="33"/>
  <c r="O82" i="33" s="1"/>
  <c r="O75" i="33"/>
  <c r="O108" i="33"/>
  <c r="O109" i="33" s="1"/>
  <c r="O111" i="33"/>
  <c r="O112" i="33" s="1"/>
  <c r="L45" i="33"/>
  <c r="L44" i="33" s="1"/>
  <c r="L43" i="33" s="1"/>
  <c r="L49" i="33"/>
  <c r="L48" i="33" s="1"/>
  <c r="M48" i="33"/>
  <c r="M45" i="33"/>
  <c r="M44" i="33" s="1"/>
  <c r="M43" i="33" s="1"/>
  <c r="Q68" i="33"/>
  <c r="Q50" i="33"/>
  <c r="Q81" i="33"/>
  <c r="Q83" i="33"/>
  <c r="K80" i="33"/>
  <c r="K71" i="33"/>
  <c r="K75" i="33"/>
  <c r="G54" i="33"/>
  <c r="G49" i="33" s="1"/>
  <c r="G80" i="33"/>
  <c r="G71" i="33"/>
  <c r="G75" i="33"/>
  <c r="G108" i="33"/>
  <c r="G109" i="33" s="1"/>
  <c r="G111" i="33"/>
  <c r="G112" i="33" s="1"/>
  <c r="K117" i="33"/>
  <c r="K116" i="33" s="1"/>
  <c r="K114" i="33" s="1"/>
  <c r="K115" i="33" s="1"/>
  <c r="I80" i="33"/>
  <c r="I82" i="33" s="1"/>
  <c r="I71" i="33"/>
  <c r="I75" i="33"/>
  <c r="K111" i="33"/>
  <c r="K112" i="33" s="1"/>
  <c r="J8" i="33"/>
  <c r="K56" i="33"/>
  <c r="K108" i="33"/>
  <c r="K109" i="33" s="1"/>
  <c r="I50" i="33"/>
  <c r="I54" i="33" s="1"/>
  <c r="I68" i="33"/>
  <c r="I53" i="33"/>
  <c r="K59" i="33"/>
  <c r="K133" i="33"/>
  <c r="K142" i="33" s="1"/>
  <c r="BN111" i="3"/>
  <c r="BN112" i="3" s="1"/>
  <c r="BR117" i="3"/>
  <c r="BR116" i="3" s="1"/>
  <c r="BR114" i="3" s="1"/>
  <c r="BR115" i="3" s="1"/>
  <c r="BR60" i="3"/>
  <c r="BR59" i="3"/>
  <c r="BP81" i="3"/>
  <c r="BP82" i="3"/>
  <c r="BP83" i="3"/>
  <c r="BR75" i="3"/>
  <c r="BR71" i="3"/>
  <c r="BR80" i="3"/>
  <c r="BP68" i="3"/>
  <c r="BP50" i="3"/>
  <c r="BN68" i="3"/>
  <c r="BN50" i="3"/>
  <c r="BK41" i="3"/>
  <c r="BL41" i="3"/>
  <c r="BP53" i="3"/>
  <c r="BL49" i="3"/>
  <c r="BN75" i="3"/>
  <c r="BN71" i="3"/>
  <c r="BN80" i="3"/>
  <c r="BL75" i="3"/>
  <c r="BL71" i="3"/>
  <c r="BL80" i="3"/>
  <c r="BL108" i="3"/>
  <c r="BL109" i="3" s="1"/>
  <c r="BL111" i="3"/>
  <c r="BL112" i="3" s="1"/>
  <c r="AR2" i="34" l="1"/>
  <c r="AR10" i="34" s="1"/>
  <c r="AS10" i="34" s="1"/>
  <c r="AV4" i="34"/>
  <c r="AM66" i="33"/>
  <c r="AK65" i="33"/>
  <c r="AK52" i="33"/>
  <c r="AK123" i="33"/>
  <c r="AK122" i="33"/>
  <c r="AK106" i="33"/>
  <c r="AK120" i="33"/>
  <c r="AK119" i="33"/>
  <c r="AK121" i="33"/>
  <c r="AK105" i="33"/>
  <c r="AK96" i="33"/>
  <c r="AK98" i="33" s="1"/>
  <c r="AK127" i="33"/>
  <c r="AK133" i="33"/>
  <c r="AK142" i="33" s="1"/>
  <c r="AK130" i="33"/>
  <c r="AK81" i="34"/>
  <c r="AK132" i="34"/>
  <c r="AK16" i="34"/>
  <c r="AK20" i="34" s="1"/>
  <c r="AK24" i="34" s="1"/>
  <c r="AK23" i="34" s="1"/>
  <c r="AK69" i="34"/>
  <c r="AK129" i="34"/>
  <c r="AK130" i="34" s="1"/>
  <c r="AK142" i="34" s="1"/>
  <c r="AK77" i="34"/>
  <c r="AK76" i="34" s="1"/>
  <c r="AK75" i="34"/>
  <c r="AK48" i="34"/>
  <c r="AG133" i="34"/>
  <c r="AG144" i="34"/>
  <c r="AN2" i="34"/>
  <c r="AN10" i="34" s="1"/>
  <c r="AP4" i="34"/>
  <c r="AL16" i="34"/>
  <c r="AL20" i="34" s="1"/>
  <c r="AL24" i="34" s="1"/>
  <c r="AL23" i="34" s="1"/>
  <c r="AM10" i="34"/>
  <c r="AL48" i="34"/>
  <c r="AI75" i="34"/>
  <c r="AI69" i="34"/>
  <c r="AI81" i="34"/>
  <c r="AI48" i="34"/>
  <c r="AI16" i="34"/>
  <c r="AI20" i="34" s="1"/>
  <c r="AI24" i="34" s="1"/>
  <c r="AI23" i="34" s="1"/>
  <c r="AI132" i="34"/>
  <c r="AI77" i="34"/>
  <c r="AI76" i="34" s="1"/>
  <c r="AI129" i="34"/>
  <c r="AG130" i="34"/>
  <c r="AG142" i="34" s="1"/>
  <c r="S83" i="33"/>
  <c r="S86" i="33" s="1"/>
  <c r="AE108" i="33"/>
  <c r="AE109" i="33" s="1"/>
  <c r="AE56" i="33"/>
  <c r="AD8" i="33"/>
  <c r="AE111" i="33"/>
  <c r="AE112" i="33" s="1"/>
  <c r="S81" i="33"/>
  <c r="AG144" i="33"/>
  <c r="AG99" i="33"/>
  <c r="AI96" i="33"/>
  <c r="AI98" i="33" s="1"/>
  <c r="AI123" i="33"/>
  <c r="AI119" i="33"/>
  <c r="AI52" i="33"/>
  <c r="AI105" i="33"/>
  <c r="AI106" i="33"/>
  <c r="AI120" i="33"/>
  <c r="AI65" i="33"/>
  <c r="AI122" i="33"/>
  <c r="AI121" i="33"/>
  <c r="AI133" i="33"/>
  <c r="AI142" i="33" s="1"/>
  <c r="AI127" i="33"/>
  <c r="AI130" i="33"/>
  <c r="AG117" i="33"/>
  <c r="AG116" i="33" s="1"/>
  <c r="AG114" i="33" s="1"/>
  <c r="AG115" i="33" s="1"/>
  <c r="AG60" i="33"/>
  <c r="AG59" i="33"/>
  <c r="AC81" i="33"/>
  <c r="AC82" i="33"/>
  <c r="W83" i="33"/>
  <c r="W86" i="33" s="1"/>
  <c r="W81" i="33"/>
  <c r="X49" i="33"/>
  <c r="X48" i="33" s="1"/>
  <c r="Y48" i="33"/>
  <c r="Y45" i="33"/>
  <c r="Y44" i="33" s="1"/>
  <c r="Y43" i="33" s="1"/>
  <c r="X45" i="33"/>
  <c r="AC68" i="33"/>
  <c r="AC50" i="33"/>
  <c r="Y86" i="33"/>
  <c r="Y84" i="33"/>
  <c r="AA41" i="33"/>
  <c r="Z41" i="33"/>
  <c r="AC53" i="33"/>
  <c r="AC86" i="33"/>
  <c r="AC84" i="33"/>
  <c r="AA49" i="33"/>
  <c r="Y41" i="33"/>
  <c r="X41" i="33"/>
  <c r="AA86" i="33"/>
  <c r="AA84" i="33"/>
  <c r="U86" i="33"/>
  <c r="U84" i="33"/>
  <c r="T49" i="33"/>
  <c r="T48" i="33" s="1"/>
  <c r="U48" i="33"/>
  <c r="U45" i="33"/>
  <c r="U44" i="33" s="1"/>
  <c r="U43" i="33" s="1"/>
  <c r="T45" i="33"/>
  <c r="T44" i="33" s="1"/>
  <c r="T43" i="33" s="1"/>
  <c r="S41" i="33"/>
  <c r="R41" i="33"/>
  <c r="S49" i="33"/>
  <c r="W68" i="33"/>
  <c r="W50" i="33"/>
  <c r="W54" i="33" s="1"/>
  <c r="Q86" i="33"/>
  <c r="Q84" i="33"/>
  <c r="Q54" i="33"/>
  <c r="Q49" i="33" s="1"/>
  <c r="M83" i="33"/>
  <c r="M81" i="33"/>
  <c r="N49" i="33"/>
  <c r="N48" i="33" s="1"/>
  <c r="O48" i="33"/>
  <c r="O45" i="33"/>
  <c r="O44" i="33" s="1"/>
  <c r="O43" i="33" s="1"/>
  <c r="N45" i="33"/>
  <c r="N44" i="33" s="1"/>
  <c r="N43" i="33" s="1"/>
  <c r="O81" i="33"/>
  <c r="O83" i="33"/>
  <c r="I81" i="33"/>
  <c r="I83" i="33"/>
  <c r="K83" i="33"/>
  <c r="K82" i="33"/>
  <c r="K81" i="33"/>
  <c r="I49" i="33"/>
  <c r="G45" i="33"/>
  <c r="F49" i="33"/>
  <c r="F48" i="33" s="1"/>
  <c r="F45" i="33"/>
  <c r="G48" i="33"/>
  <c r="K50" i="33"/>
  <c r="K54" i="33" s="1"/>
  <c r="K68" i="33"/>
  <c r="G81" i="33"/>
  <c r="G83" i="33"/>
  <c r="G82" i="33"/>
  <c r="I41" i="33"/>
  <c r="H41" i="33"/>
  <c r="K53" i="33"/>
  <c r="F41" i="33"/>
  <c r="G41" i="33"/>
  <c r="BL48" i="3"/>
  <c r="BK45" i="3"/>
  <c r="BK44" i="3" s="1"/>
  <c r="BK43" i="3" s="1"/>
  <c r="BK49" i="3"/>
  <c r="BK48" i="3" s="1"/>
  <c r="BL45" i="3"/>
  <c r="BL44" i="3" s="1"/>
  <c r="BN54" i="3"/>
  <c r="BN49" i="3" s="1"/>
  <c r="BP86" i="3"/>
  <c r="BP84" i="3"/>
  <c r="BP54" i="3"/>
  <c r="BL81" i="3"/>
  <c r="BL82" i="3"/>
  <c r="BL83" i="3"/>
  <c r="BR108" i="3"/>
  <c r="BR109" i="3" s="1"/>
  <c r="BQ62" i="3"/>
  <c r="BR56" i="3"/>
  <c r="BQ8" i="3"/>
  <c r="BR111" i="3"/>
  <c r="BR112" i="3" s="1"/>
  <c r="BN81" i="3"/>
  <c r="BN82" i="3"/>
  <c r="BN83" i="3"/>
  <c r="BR81" i="3"/>
  <c r="BR82" i="3"/>
  <c r="BR83" i="3"/>
  <c r="AR48" i="34" l="1"/>
  <c r="AR16" i="34"/>
  <c r="AR20" i="34" s="1"/>
  <c r="AR24" i="34" s="1"/>
  <c r="AR23" i="34" s="1"/>
  <c r="AV2" i="34"/>
  <c r="AV10" i="34" s="1"/>
  <c r="AZ4" i="34"/>
  <c r="AS132" i="34"/>
  <c r="AS75" i="34"/>
  <c r="AS129" i="34"/>
  <c r="AS130" i="34" s="1"/>
  <c r="AS142" i="34" s="1"/>
  <c r="AS69" i="34"/>
  <c r="AS81" i="34"/>
  <c r="AS16" i="34"/>
  <c r="AS20" i="34" s="1"/>
  <c r="AS24" i="34" s="1"/>
  <c r="AS23" i="34" s="1"/>
  <c r="AS77" i="34"/>
  <c r="AS48" i="34"/>
  <c r="AP2" i="34"/>
  <c r="AP10" i="34" s="1"/>
  <c r="AP16" i="34" s="1"/>
  <c r="AP20" i="34" s="1"/>
  <c r="AP24" i="34" s="1"/>
  <c r="AP23" i="34" s="1"/>
  <c r="AT4" i="34"/>
  <c r="AK117" i="33"/>
  <c r="AK116" i="33" s="1"/>
  <c r="AK114" i="33" s="1"/>
  <c r="AK115" i="33" s="1"/>
  <c r="AK99" i="33"/>
  <c r="AK144" i="33"/>
  <c r="AK60" i="33"/>
  <c r="AK59" i="33"/>
  <c r="AO66" i="33"/>
  <c r="AM123" i="33"/>
  <c r="AM106" i="33"/>
  <c r="AM52" i="33"/>
  <c r="AM122" i="33"/>
  <c r="AM121" i="33"/>
  <c r="AM96" i="33"/>
  <c r="AM98" i="33" s="1"/>
  <c r="AM120" i="33"/>
  <c r="AM65" i="33"/>
  <c r="AM119" i="33"/>
  <c r="AM105" i="33"/>
  <c r="AM127" i="33"/>
  <c r="AM130" i="33"/>
  <c r="AM133" i="33"/>
  <c r="AM142" i="33" s="1"/>
  <c r="AO10" i="34"/>
  <c r="AN16" i="34"/>
  <c r="AN20" i="34" s="1"/>
  <c r="AN24" i="34" s="1"/>
  <c r="AN23" i="34" s="1"/>
  <c r="AN48" i="34"/>
  <c r="AI133" i="34"/>
  <c r="AI144" i="34"/>
  <c r="AK133" i="34"/>
  <c r="AK144" i="34"/>
  <c r="AM77" i="34"/>
  <c r="AM76" i="34" s="1"/>
  <c r="AM81" i="34"/>
  <c r="AM16" i="34"/>
  <c r="AM20" i="34" s="1"/>
  <c r="AM24" i="34" s="1"/>
  <c r="AM23" i="34" s="1"/>
  <c r="AM132" i="34"/>
  <c r="AM129" i="34"/>
  <c r="AM130" i="34" s="1"/>
  <c r="AM142" i="34" s="1"/>
  <c r="AM75" i="34"/>
  <c r="AM69" i="34"/>
  <c r="AM48" i="34"/>
  <c r="AI130" i="34"/>
  <c r="AI142" i="34" s="1"/>
  <c r="S84" i="33"/>
  <c r="AG111" i="33"/>
  <c r="AG112" i="33" s="1"/>
  <c r="AG108" i="33"/>
  <c r="AG109" i="33" s="1"/>
  <c r="AG56" i="33"/>
  <c r="AF8" i="33"/>
  <c r="AE68" i="33"/>
  <c r="AE50" i="33"/>
  <c r="AE53" i="33"/>
  <c r="AI60" i="33"/>
  <c r="AI59" i="33"/>
  <c r="AI117" i="33"/>
  <c r="AI116" i="33" s="1"/>
  <c r="AI114" i="33" s="1"/>
  <c r="AI115" i="33" s="1"/>
  <c r="AI144" i="33"/>
  <c r="AI99" i="33"/>
  <c r="W84" i="33"/>
  <c r="Z49" i="33"/>
  <c r="Z48" i="33" s="1"/>
  <c r="AA48" i="33"/>
  <c r="AA45" i="33"/>
  <c r="AA44" i="33" s="1"/>
  <c r="AA43" i="33" s="1"/>
  <c r="Z45" i="33"/>
  <c r="Z44" i="33" s="1"/>
  <c r="Z43" i="33" s="1"/>
  <c r="AC89" i="33"/>
  <c r="AC87" i="33"/>
  <c r="AA89" i="33"/>
  <c r="AA87" i="33"/>
  <c r="Y89" i="33"/>
  <c r="Y87" i="33"/>
  <c r="AC54" i="33"/>
  <c r="X44" i="33"/>
  <c r="X43" i="33" s="1"/>
  <c r="W41" i="33"/>
  <c r="V41" i="33"/>
  <c r="W49" i="33"/>
  <c r="R45" i="33"/>
  <c r="R44" i="33" s="1"/>
  <c r="R43" i="33" s="1"/>
  <c r="R49" i="33"/>
  <c r="R48" i="33" s="1"/>
  <c r="S48" i="33"/>
  <c r="S45" i="33"/>
  <c r="S44" i="33" s="1"/>
  <c r="S43" i="33" s="1"/>
  <c r="U89" i="33"/>
  <c r="U87" i="33"/>
  <c r="S89" i="33"/>
  <c r="S87" i="33"/>
  <c r="W89" i="33"/>
  <c r="W87" i="33"/>
  <c r="Q89" i="33"/>
  <c r="Q87" i="33"/>
  <c r="O86" i="33"/>
  <c r="O84" i="33"/>
  <c r="P49" i="33"/>
  <c r="P48" i="33" s="1"/>
  <c r="Q48" i="33"/>
  <c r="Q45" i="33"/>
  <c r="P45" i="33"/>
  <c r="M86" i="33"/>
  <c r="M84" i="33"/>
  <c r="P41" i="33"/>
  <c r="Q41" i="33"/>
  <c r="K41" i="33"/>
  <c r="J41" i="33"/>
  <c r="I84" i="33"/>
  <c r="I86" i="33"/>
  <c r="K84" i="33"/>
  <c r="K86" i="33"/>
  <c r="K49" i="33"/>
  <c r="F44" i="33"/>
  <c r="F43" i="33" s="1"/>
  <c r="G44" i="33"/>
  <c r="G43" i="33" s="1"/>
  <c r="I45" i="33"/>
  <c r="I44" i="33" s="1"/>
  <c r="I43" i="33" s="1"/>
  <c r="H49" i="33"/>
  <c r="H48" i="33" s="1"/>
  <c r="H45" i="33"/>
  <c r="H44" i="33" s="1"/>
  <c r="H43" i="33" s="1"/>
  <c r="I48" i="33"/>
  <c r="G86" i="33"/>
  <c r="G84" i="33"/>
  <c r="BP87" i="3"/>
  <c r="BP89" i="3"/>
  <c r="BN41" i="3"/>
  <c r="BM41" i="3"/>
  <c r="BR86" i="3"/>
  <c r="BR84" i="3"/>
  <c r="BO41" i="3"/>
  <c r="BP41" i="3"/>
  <c r="BP49" i="3"/>
  <c r="BR68" i="3"/>
  <c r="BR50" i="3"/>
  <c r="BR54" i="3" s="1"/>
  <c r="BQ56" i="3"/>
  <c r="BR53" i="3"/>
  <c r="BN48" i="3"/>
  <c r="BM45" i="3"/>
  <c r="BM49" i="3"/>
  <c r="BM48" i="3" s="1"/>
  <c r="BN45" i="3"/>
  <c r="BL43" i="3"/>
  <c r="BL86" i="3"/>
  <c r="BL84" i="3"/>
  <c r="BN86" i="3"/>
  <c r="BN84" i="3"/>
  <c r="AZ2" i="34" l="1"/>
  <c r="AZ10" i="34" s="1"/>
  <c r="BD4" i="34"/>
  <c r="AT2" i="34"/>
  <c r="AT10" i="34" s="1"/>
  <c r="AX4" i="34"/>
  <c r="AZ16" i="34"/>
  <c r="AZ20" i="34" s="1"/>
  <c r="AZ24" i="34" s="1"/>
  <c r="AZ23" i="34" s="1"/>
  <c r="BA10" i="34"/>
  <c r="AZ48" i="34"/>
  <c r="AV16" i="34"/>
  <c r="AV20" i="34" s="1"/>
  <c r="AV24" i="34" s="1"/>
  <c r="AV23" i="34" s="1"/>
  <c r="AW10" i="34"/>
  <c r="AV48" i="34"/>
  <c r="AP48" i="34"/>
  <c r="AQ10" i="34"/>
  <c r="AQ129" i="34" s="1"/>
  <c r="AQ130" i="34" s="1"/>
  <c r="AQ142" i="34" s="1"/>
  <c r="AS76" i="34"/>
  <c r="AS133" i="34"/>
  <c r="AS144" i="34"/>
  <c r="AM117" i="33"/>
  <c r="AM116" i="33" s="1"/>
  <c r="AM114" i="33" s="1"/>
  <c r="AM115" i="33" s="1"/>
  <c r="AT16" i="34"/>
  <c r="AT20" i="34" s="1"/>
  <c r="AT24" i="34" s="1"/>
  <c r="AT23" i="34" s="1"/>
  <c r="AU10" i="34"/>
  <c r="AT48" i="34"/>
  <c r="AM99" i="33"/>
  <c r="AM144" i="33"/>
  <c r="AK56" i="33"/>
  <c r="AK108" i="33"/>
  <c r="AK109" i="33" s="1"/>
  <c r="AJ8" i="33"/>
  <c r="AK111" i="33"/>
  <c r="AK112" i="33" s="1"/>
  <c r="AQ66" i="33"/>
  <c r="AO52" i="33"/>
  <c r="AO120" i="33"/>
  <c r="AO65" i="33"/>
  <c r="AO106" i="33"/>
  <c r="AO121" i="33"/>
  <c r="AO122" i="33"/>
  <c r="AO96" i="33"/>
  <c r="AO98" i="33" s="1"/>
  <c r="AO119" i="33"/>
  <c r="AO123" i="33"/>
  <c r="AO105" i="33"/>
  <c r="AO127" i="33"/>
  <c r="AO133" i="33"/>
  <c r="AO142" i="33" s="1"/>
  <c r="AO130" i="33"/>
  <c r="AM60" i="33"/>
  <c r="AM59" i="33"/>
  <c r="AM133" i="34"/>
  <c r="AM144" i="34"/>
  <c r="AO132" i="34"/>
  <c r="AO69" i="34"/>
  <c r="AO129" i="34"/>
  <c r="AO130" i="34" s="1"/>
  <c r="AO142" i="34" s="1"/>
  <c r="AO77" i="34"/>
  <c r="AO76" i="34" s="1"/>
  <c r="AO81" i="34"/>
  <c r="AO75" i="34"/>
  <c r="AO16" i="34"/>
  <c r="AO20" i="34" s="1"/>
  <c r="AO24" i="34" s="1"/>
  <c r="AO23" i="34" s="1"/>
  <c r="AO48" i="34"/>
  <c r="AE54" i="33"/>
  <c r="AE49" i="33" s="1"/>
  <c r="AG68" i="33"/>
  <c r="AG50" i="33"/>
  <c r="AG53" i="33"/>
  <c r="AI56" i="33"/>
  <c r="AI111" i="33"/>
  <c r="AI112" i="33" s="1"/>
  <c r="AH8" i="33"/>
  <c r="AI108" i="33"/>
  <c r="AI109" i="33" s="1"/>
  <c r="AC41" i="33"/>
  <c r="AB41" i="33"/>
  <c r="Y90" i="33"/>
  <c r="Y93" i="33"/>
  <c r="AA93" i="33"/>
  <c r="AA90" i="33"/>
  <c r="AC49" i="33"/>
  <c r="AC93" i="33"/>
  <c r="AC90" i="33"/>
  <c r="V49" i="33"/>
  <c r="V48" i="33" s="1"/>
  <c r="W48" i="33"/>
  <c r="W45" i="33"/>
  <c r="W44" i="33" s="1"/>
  <c r="W43" i="33" s="1"/>
  <c r="V45" i="33"/>
  <c r="V44" i="33" s="1"/>
  <c r="V43" i="33" s="1"/>
  <c r="S90" i="33"/>
  <c r="S93" i="33"/>
  <c r="W93" i="33"/>
  <c r="W90" i="33"/>
  <c r="U90" i="33"/>
  <c r="U93" i="33"/>
  <c r="O89" i="33"/>
  <c r="O87" i="33"/>
  <c r="M89" i="33"/>
  <c r="M87" i="33"/>
  <c r="Q93" i="33"/>
  <c r="Q90" i="33"/>
  <c r="P44" i="33"/>
  <c r="P43" i="33" s="1"/>
  <c r="Q44" i="33"/>
  <c r="Q43" i="33" s="1"/>
  <c r="I89" i="33"/>
  <c r="I87" i="33"/>
  <c r="G89" i="33"/>
  <c r="G87" i="33"/>
  <c r="K45" i="33"/>
  <c r="K44" i="33" s="1"/>
  <c r="K43" i="33" s="1"/>
  <c r="J49" i="33"/>
  <c r="J48" i="33" s="1"/>
  <c r="J45" i="33"/>
  <c r="J44" i="33" s="1"/>
  <c r="J43" i="33" s="1"/>
  <c r="K48" i="33"/>
  <c r="K89" i="33"/>
  <c r="K87" i="33"/>
  <c r="BP45" i="3"/>
  <c r="BP44" i="3" s="1"/>
  <c r="BP48" i="3"/>
  <c r="BO49" i="3"/>
  <c r="BO48" i="3" s="1"/>
  <c r="BO45" i="3"/>
  <c r="BO44" i="3" s="1"/>
  <c r="BO43" i="3" s="1"/>
  <c r="BL87" i="3"/>
  <c r="BL89" i="3"/>
  <c r="BN87" i="3"/>
  <c r="BN89" i="3"/>
  <c r="BR87" i="3"/>
  <c r="BR89" i="3"/>
  <c r="BN44" i="3"/>
  <c r="BP93" i="3"/>
  <c r="BP90" i="3"/>
  <c r="BM44" i="3"/>
  <c r="BM43" i="3" s="1"/>
  <c r="BR49" i="3"/>
  <c r="BR41" i="3"/>
  <c r="BQ41" i="3"/>
  <c r="AQ69" i="34" l="1"/>
  <c r="AQ75" i="34"/>
  <c r="AQ132" i="34"/>
  <c r="BD2" i="34"/>
  <c r="BD10" i="34" s="1"/>
  <c r="BD16" i="34" s="1"/>
  <c r="BD20" i="34" s="1"/>
  <c r="BD24" i="34" s="1"/>
  <c r="BD23" i="34" s="1"/>
  <c r="BH4" i="34"/>
  <c r="BH2" i="34" s="1"/>
  <c r="BH10" i="34" s="1"/>
  <c r="AQ16" i="34"/>
  <c r="AQ20" i="34" s="1"/>
  <c r="AQ24" i="34" s="1"/>
  <c r="AQ23" i="34" s="1"/>
  <c r="BE10" i="34"/>
  <c r="BE74" i="34" s="1"/>
  <c r="BD48" i="34"/>
  <c r="AQ81" i="34"/>
  <c r="AX2" i="34"/>
  <c r="AX10" i="34" s="1"/>
  <c r="AX16" i="34" s="1"/>
  <c r="AX20" i="34" s="1"/>
  <c r="AX24" i="34" s="1"/>
  <c r="AX23" i="34" s="1"/>
  <c r="BB4" i="34"/>
  <c r="AW16" i="34"/>
  <c r="AW20" i="34" s="1"/>
  <c r="AW24" i="34" s="1"/>
  <c r="AW23" i="34" s="1"/>
  <c r="AW75" i="34"/>
  <c r="AW69" i="34"/>
  <c r="AW132" i="34"/>
  <c r="AW77" i="34"/>
  <c r="AW76" i="34" s="1"/>
  <c r="AW129" i="34"/>
  <c r="AW130" i="34" s="1"/>
  <c r="AW142" i="34" s="1"/>
  <c r="AW81" i="34"/>
  <c r="AW48" i="34"/>
  <c r="AQ77" i="34"/>
  <c r="AQ76" i="34" s="1"/>
  <c r="BA16" i="34"/>
  <c r="BA20" i="34" s="1"/>
  <c r="BA24" i="34" s="1"/>
  <c r="BA23" i="34" s="1"/>
  <c r="BA75" i="34"/>
  <c r="BA69" i="34"/>
  <c r="BA132" i="34"/>
  <c r="BA77" i="34"/>
  <c r="BA76" i="34" s="1"/>
  <c r="BA129" i="34"/>
  <c r="BA130" i="34" s="1"/>
  <c r="BA142" i="34" s="1"/>
  <c r="BA81" i="34"/>
  <c r="BA48" i="34"/>
  <c r="AQ48" i="34"/>
  <c r="AO117" i="33"/>
  <c r="AO116" i="33" s="1"/>
  <c r="AO114" i="33" s="1"/>
  <c r="AO115" i="33" s="1"/>
  <c r="AU16" i="34"/>
  <c r="AU20" i="34" s="1"/>
  <c r="AU24" i="34" s="1"/>
  <c r="AU23" i="34" s="1"/>
  <c r="AU132" i="34"/>
  <c r="AU81" i="34"/>
  <c r="AU75" i="34"/>
  <c r="AU69" i="34"/>
  <c r="AU77" i="34"/>
  <c r="AU76" i="34" s="1"/>
  <c r="AU129" i="34"/>
  <c r="AU130" i="34" s="1"/>
  <c r="AU142" i="34" s="1"/>
  <c r="AU48" i="34"/>
  <c r="AO99" i="33"/>
  <c r="AO144" i="33"/>
  <c r="AQ65" i="33"/>
  <c r="AQ105" i="33"/>
  <c r="AS66" i="33"/>
  <c r="AU66" i="33" s="1"/>
  <c r="AQ96" i="33"/>
  <c r="AQ98" i="33" s="1"/>
  <c r="AQ121" i="33"/>
  <c r="AQ123" i="33"/>
  <c r="AQ122" i="33"/>
  <c r="AQ119" i="33"/>
  <c r="AQ106" i="33"/>
  <c r="AQ52" i="33"/>
  <c r="AQ120" i="33"/>
  <c r="AQ130" i="33"/>
  <c r="AQ127" i="33"/>
  <c r="AQ133" i="33"/>
  <c r="AQ142" i="33" s="1"/>
  <c r="AO59" i="33"/>
  <c r="AO60" i="33"/>
  <c r="AK53" i="33"/>
  <c r="AK68" i="33"/>
  <c r="AK50" i="33"/>
  <c r="AK54" i="33" s="1"/>
  <c r="AL8" i="33"/>
  <c r="AM108" i="33"/>
  <c r="AM109" i="33" s="1"/>
  <c r="AM56" i="33"/>
  <c r="AM111" i="33"/>
  <c r="AM112" i="33" s="1"/>
  <c r="AO133" i="34"/>
  <c r="AO144" i="34"/>
  <c r="AQ133" i="34"/>
  <c r="AQ144" i="34"/>
  <c r="AG54" i="33"/>
  <c r="AG49" i="33" s="1"/>
  <c r="AI53" i="33"/>
  <c r="AI50" i="33"/>
  <c r="AI68" i="33"/>
  <c r="AI54" i="33"/>
  <c r="AE48" i="33"/>
  <c r="AE45" i="33"/>
  <c r="AD45" i="33"/>
  <c r="AD49" i="33"/>
  <c r="AD48" i="33" s="1"/>
  <c r="AE41" i="33"/>
  <c r="AD41" i="33"/>
  <c r="AC98" i="33"/>
  <c r="AC94" i="33"/>
  <c r="AC45" i="33"/>
  <c r="AC44" i="33" s="1"/>
  <c r="AC43" i="33" s="1"/>
  <c r="AC48" i="33"/>
  <c r="AB45" i="33"/>
  <c r="AB44" i="33" s="1"/>
  <c r="AB43" i="33" s="1"/>
  <c r="AB49" i="33"/>
  <c r="AB48" i="33" s="1"/>
  <c r="AA98" i="33"/>
  <c r="AA94" i="33"/>
  <c r="Y94" i="33"/>
  <c r="Y98" i="33"/>
  <c r="W98" i="33"/>
  <c r="W94" i="33"/>
  <c r="U98" i="33"/>
  <c r="U94" i="33"/>
  <c r="S98" i="33"/>
  <c r="S94" i="33"/>
  <c r="M90" i="33"/>
  <c r="M93" i="33"/>
  <c r="O90" i="33"/>
  <c r="O93" i="33"/>
  <c r="Q98" i="33"/>
  <c r="Q94" i="33"/>
  <c r="I90" i="33"/>
  <c r="I93" i="33"/>
  <c r="K90" i="33"/>
  <c r="K93" i="33"/>
  <c r="G93" i="33"/>
  <c r="G90" i="33"/>
  <c r="BP43" i="3"/>
  <c r="BQ45" i="3"/>
  <c r="BQ44" i="3" s="1"/>
  <c r="BQ43" i="3" s="1"/>
  <c r="BQ49" i="3"/>
  <c r="BQ48" i="3" s="1"/>
  <c r="BR45" i="3"/>
  <c r="BR44" i="3" s="1"/>
  <c r="BR48" i="3"/>
  <c r="BN93" i="3"/>
  <c r="BN90" i="3"/>
  <c r="BP94" i="3"/>
  <c r="BP98" i="3"/>
  <c r="BR93" i="3"/>
  <c r="BR90" i="3"/>
  <c r="BL93" i="3"/>
  <c r="BL90" i="3"/>
  <c r="BN43" i="3"/>
  <c r="BE80" i="34" l="1"/>
  <c r="BE108" i="34"/>
  <c r="BE109" i="34" s="1"/>
  <c r="BE71" i="34"/>
  <c r="BE111" i="34"/>
  <c r="BE112" i="34" s="1"/>
  <c r="BI10" i="34"/>
  <c r="BI74" i="34" s="1"/>
  <c r="BH16" i="34"/>
  <c r="BH20" i="34" s="1"/>
  <c r="BH24" i="34" s="1"/>
  <c r="BH23" i="34" s="1"/>
  <c r="BH48" i="34"/>
  <c r="AU52" i="33"/>
  <c r="AU96" i="33"/>
  <c r="AU98" i="33" s="1"/>
  <c r="AU106" i="33"/>
  <c r="AU121" i="33"/>
  <c r="AU105" i="33"/>
  <c r="AU122" i="33"/>
  <c r="AU123" i="33"/>
  <c r="AU65" i="33"/>
  <c r="AU119" i="33"/>
  <c r="AW66" i="33"/>
  <c r="AU120" i="33"/>
  <c r="AU127" i="33"/>
  <c r="AU133" i="33"/>
  <c r="AU142" i="33" s="1"/>
  <c r="AU130" i="33"/>
  <c r="BE16" i="34"/>
  <c r="BE20" i="34" s="1"/>
  <c r="BE24" i="34" s="1"/>
  <c r="BE23" i="34" s="1"/>
  <c r="BE81" i="34"/>
  <c r="BE132" i="34"/>
  <c r="BE75" i="34"/>
  <c r="BE129" i="34"/>
  <c r="BE130" i="34" s="1"/>
  <c r="BE142" i="34" s="1"/>
  <c r="BE76" i="34"/>
  <c r="BE69" i="34"/>
  <c r="BE48" i="34"/>
  <c r="BB2" i="34"/>
  <c r="BB10" i="34" s="1"/>
  <c r="BC10" i="34" s="1"/>
  <c r="BF4" i="34"/>
  <c r="AY10" i="34"/>
  <c r="AY129" i="34" s="1"/>
  <c r="AY130" i="34" s="1"/>
  <c r="AY142" i="34" s="1"/>
  <c r="AX48" i="34"/>
  <c r="AY81" i="34"/>
  <c r="AY16" i="34"/>
  <c r="AY20" i="34" s="1"/>
  <c r="AY24" i="34" s="1"/>
  <c r="AY23" i="34" s="1"/>
  <c r="BA133" i="34"/>
  <c r="BA144" i="34"/>
  <c r="AW133" i="34"/>
  <c r="AW144" i="34"/>
  <c r="AU133" i="34"/>
  <c r="AU144" i="34"/>
  <c r="AQ117" i="33"/>
  <c r="AQ116" i="33" s="1"/>
  <c r="AQ114" i="33" s="1"/>
  <c r="AQ115" i="33" s="1"/>
  <c r="AQ144" i="33"/>
  <c r="AQ99" i="33"/>
  <c r="AK49" i="33"/>
  <c r="AQ59" i="33"/>
  <c r="AQ60" i="33"/>
  <c r="AK41" i="33"/>
  <c r="AJ41" i="33"/>
  <c r="AO56" i="33"/>
  <c r="AN8" i="33"/>
  <c r="AO111" i="33"/>
  <c r="AO112" i="33" s="1"/>
  <c r="AO108" i="33"/>
  <c r="AO109" i="33" s="1"/>
  <c r="AM50" i="33"/>
  <c r="AM54" i="33" s="1"/>
  <c r="AM68" i="33"/>
  <c r="AM53" i="33"/>
  <c r="AS123" i="33"/>
  <c r="AS120" i="33"/>
  <c r="AS122" i="33"/>
  <c r="AS106" i="33"/>
  <c r="AS65" i="33"/>
  <c r="AS52" i="33"/>
  <c r="AS121" i="33"/>
  <c r="AS105" i="33"/>
  <c r="AS119" i="33"/>
  <c r="AS96" i="33"/>
  <c r="AS98" i="33" s="1"/>
  <c r="AS130" i="33"/>
  <c r="AS133" i="33"/>
  <c r="AS142" i="33" s="1"/>
  <c r="AS127" i="33"/>
  <c r="AG41" i="33"/>
  <c r="AF41" i="33"/>
  <c r="AG45" i="33"/>
  <c r="AG48" i="33"/>
  <c r="AF45" i="33"/>
  <c r="AF49" i="33"/>
  <c r="AF48" i="33" s="1"/>
  <c r="AH41" i="33"/>
  <c r="AI41" i="33"/>
  <c r="AD44" i="33"/>
  <c r="AD43" i="33" s="1"/>
  <c r="AE44" i="33"/>
  <c r="AE43" i="33" s="1"/>
  <c r="AI49" i="33"/>
  <c r="Y99" i="33"/>
  <c r="Y144" i="33"/>
  <c r="AA99" i="33"/>
  <c r="AA144" i="33"/>
  <c r="AC144" i="33"/>
  <c r="AC99" i="33"/>
  <c r="S99" i="33"/>
  <c r="S144" i="33"/>
  <c r="U99" i="33"/>
  <c r="U144" i="33"/>
  <c r="W144" i="33"/>
  <c r="W99" i="33"/>
  <c r="M98" i="33"/>
  <c r="M94" i="33"/>
  <c r="Q144" i="33"/>
  <c r="Q99" i="33"/>
  <c r="O98" i="33"/>
  <c r="O94" i="33"/>
  <c r="I98" i="33"/>
  <c r="I94" i="33"/>
  <c r="G98" i="33"/>
  <c r="G94" i="33"/>
  <c r="K98" i="33"/>
  <c r="K94" i="33"/>
  <c r="BN94" i="3"/>
  <c r="BN98" i="3"/>
  <c r="BL94" i="3"/>
  <c r="BL98" i="3"/>
  <c r="BR43" i="3"/>
  <c r="BR94" i="3"/>
  <c r="BR98" i="3"/>
  <c r="BP99" i="3"/>
  <c r="BP143" i="3"/>
  <c r="BB48" i="34" l="1"/>
  <c r="BI71" i="34"/>
  <c r="BI80" i="34"/>
  <c r="BI108" i="34"/>
  <c r="BI109" i="34" s="1"/>
  <c r="BI111" i="34"/>
  <c r="BI112" i="34" s="1"/>
  <c r="BE83" i="34"/>
  <c r="BE82" i="34"/>
  <c r="AU117" i="33"/>
  <c r="AU116" i="33" s="1"/>
  <c r="AU114" i="33" s="1"/>
  <c r="AU115" i="33" s="1"/>
  <c r="BB16" i="34"/>
  <c r="BB20" i="34" s="1"/>
  <c r="BB24" i="34" s="1"/>
  <c r="BB23" i="34" s="1"/>
  <c r="AY132" i="34"/>
  <c r="AY77" i="34"/>
  <c r="AY76" i="34" s="1"/>
  <c r="AW123" i="33"/>
  <c r="AW119" i="33"/>
  <c r="AW65" i="33"/>
  <c r="AW96" i="33"/>
  <c r="AW98" i="33" s="1"/>
  <c r="AW120" i="33"/>
  <c r="AW121" i="33"/>
  <c r="AW52" i="33"/>
  <c r="AW105" i="33"/>
  <c r="AW122" i="33"/>
  <c r="AW106" i="33"/>
  <c r="AW127" i="33"/>
  <c r="AW130" i="33"/>
  <c r="AW133" i="33"/>
  <c r="AW142" i="33" s="1"/>
  <c r="BF2" i="34"/>
  <c r="BF10" i="34" s="1"/>
  <c r="BG10" i="34" s="1"/>
  <c r="BG74" i="34" s="1"/>
  <c r="BV4" i="34"/>
  <c r="BV2" i="34" s="1"/>
  <c r="BV10" i="34" s="1"/>
  <c r="AU60" i="33"/>
  <c r="AU59" i="33"/>
  <c r="AU144" i="33"/>
  <c r="AU99" i="33"/>
  <c r="BI16" i="34"/>
  <c r="BI20" i="34" s="1"/>
  <c r="BI24" i="34" s="1"/>
  <c r="BI23" i="34" s="1"/>
  <c r="BI69" i="34"/>
  <c r="BI81" i="34"/>
  <c r="BI76" i="34"/>
  <c r="BI129" i="34"/>
  <c r="BI130" i="34" s="1"/>
  <c r="BI142" i="34" s="1"/>
  <c r="BI75" i="34"/>
  <c r="BI132" i="34"/>
  <c r="BI48" i="34"/>
  <c r="AY48" i="34"/>
  <c r="AY75" i="34"/>
  <c r="BE133" i="34"/>
  <c r="AY69" i="34"/>
  <c r="BC81" i="34"/>
  <c r="BC16" i="34"/>
  <c r="BC20" i="34" s="1"/>
  <c r="BC24" i="34" s="1"/>
  <c r="BC23" i="34" s="1"/>
  <c r="BC132" i="34"/>
  <c r="BC77" i="34"/>
  <c r="BC76" i="34" s="1"/>
  <c r="BC75" i="34"/>
  <c r="BC69" i="34"/>
  <c r="BC129" i="34"/>
  <c r="BC130" i="34" s="1"/>
  <c r="BC142" i="34" s="1"/>
  <c r="BC48" i="34"/>
  <c r="AY133" i="34"/>
  <c r="AY144" i="34"/>
  <c r="AS117" i="33"/>
  <c r="AS116" i="33" s="1"/>
  <c r="AS114" i="33" s="1"/>
  <c r="AS115" i="33" s="1"/>
  <c r="AL41" i="33"/>
  <c r="AM41" i="33"/>
  <c r="AM49" i="33"/>
  <c r="AO68" i="33"/>
  <c r="AO50" i="33"/>
  <c r="AO54" i="33"/>
  <c r="AO53" i="33"/>
  <c r="AS59" i="33"/>
  <c r="AS60" i="33"/>
  <c r="AJ49" i="33"/>
  <c r="AJ48" i="33" s="1"/>
  <c r="AK45" i="33"/>
  <c r="AK44" i="33" s="1"/>
  <c r="AK43" i="33" s="1"/>
  <c r="AK48" i="33"/>
  <c r="AJ45" i="33"/>
  <c r="AJ44" i="33" s="1"/>
  <c r="AJ43" i="33" s="1"/>
  <c r="AS144" i="33"/>
  <c r="AS99" i="33"/>
  <c r="AP8" i="33"/>
  <c r="AQ56" i="33"/>
  <c r="AQ111" i="33"/>
  <c r="AQ112" i="33" s="1"/>
  <c r="AQ108" i="33"/>
  <c r="AQ109" i="33" s="1"/>
  <c r="AH45" i="33"/>
  <c r="AH44" i="33" s="1"/>
  <c r="AH43" i="33" s="1"/>
  <c r="AH49" i="33"/>
  <c r="AH48" i="33" s="1"/>
  <c r="AI48" i="33"/>
  <c r="AI45" i="33"/>
  <c r="AI44" i="33" s="1"/>
  <c r="AI43" i="33" s="1"/>
  <c r="AF44" i="33"/>
  <c r="AF43" i="33" s="1"/>
  <c r="AG44" i="33"/>
  <c r="AG43" i="33" s="1"/>
  <c r="M99" i="33"/>
  <c r="M144" i="33"/>
  <c r="O99" i="33"/>
  <c r="O144" i="33"/>
  <c r="G99" i="33"/>
  <c r="G144" i="33"/>
  <c r="I144" i="33"/>
  <c r="I99" i="33"/>
  <c r="K144" i="33"/>
  <c r="K99" i="33"/>
  <c r="BR99" i="3"/>
  <c r="BR143" i="3"/>
  <c r="BL99" i="3"/>
  <c r="BL143" i="3"/>
  <c r="BN99" i="3"/>
  <c r="BN143" i="3"/>
  <c r="BE84" i="34" l="1"/>
  <c r="BE86" i="34"/>
  <c r="BG80" i="34"/>
  <c r="BG111" i="34"/>
  <c r="BG112" i="34" s="1"/>
  <c r="BG108" i="34"/>
  <c r="BG109" i="34" s="1"/>
  <c r="BG71" i="34"/>
  <c r="BI83" i="34"/>
  <c r="BI82" i="34"/>
  <c r="AU56" i="33"/>
  <c r="AU108" i="33"/>
  <c r="AU109" i="33" s="1"/>
  <c r="AU111" i="33"/>
  <c r="AU112" i="33" s="1"/>
  <c r="AT8" i="33"/>
  <c r="BI133" i="34"/>
  <c r="BW10" i="34"/>
  <c r="BV16" i="34"/>
  <c r="BV20" i="34" s="1"/>
  <c r="BV24" i="34" s="1"/>
  <c r="BV23" i="34" s="1"/>
  <c r="BV48" i="34"/>
  <c r="BF48" i="34"/>
  <c r="BF16" i="34"/>
  <c r="BF20" i="34" s="1"/>
  <c r="BF24" i="34" s="1"/>
  <c r="BF23" i="34" s="1"/>
  <c r="AW144" i="33"/>
  <c r="AW99" i="33"/>
  <c r="AW59" i="33"/>
  <c r="AW60" i="33"/>
  <c r="AW117" i="33"/>
  <c r="AW116" i="33" s="1"/>
  <c r="AW114" i="33" s="1"/>
  <c r="AW115" i="33" s="1"/>
  <c r="BG16" i="34"/>
  <c r="BG20" i="34" s="1"/>
  <c r="BG24" i="34" s="1"/>
  <c r="BG23" i="34" s="1"/>
  <c r="BG81" i="34"/>
  <c r="BG76" i="34"/>
  <c r="BG75" i="34"/>
  <c r="BG132" i="34"/>
  <c r="BG129" i="34"/>
  <c r="BG130" i="34" s="1"/>
  <c r="BG142" i="34" s="1"/>
  <c r="BG69" i="34"/>
  <c r="BG48" i="34"/>
  <c r="BC133" i="34"/>
  <c r="BC144" i="34"/>
  <c r="AR8" i="33"/>
  <c r="AS111" i="33"/>
  <c r="AS112" i="33" s="1"/>
  <c r="AS108" i="33"/>
  <c r="AS109" i="33" s="1"/>
  <c r="AS56" i="33"/>
  <c r="AO49" i="33"/>
  <c r="AN41" i="33"/>
  <c r="AO41" i="33"/>
  <c r="AM48" i="33"/>
  <c r="AL45" i="33"/>
  <c r="AL44" i="33" s="1"/>
  <c r="AL43" i="33" s="1"/>
  <c r="AM45" i="33"/>
  <c r="AM44" i="33" s="1"/>
  <c r="AM43" i="33" s="1"/>
  <c r="AL49" i="33"/>
  <c r="AL48" i="33" s="1"/>
  <c r="AQ68" i="33"/>
  <c r="AQ50" i="33"/>
  <c r="AQ54" i="33" s="1"/>
  <c r="AQ53" i="33"/>
  <c r="O5" i="30"/>
  <c r="BI84" i="34" l="1"/>
  <c r="BI86" i="34"/>
  <c r="BG83" i="34"/>
  <c r="BG82" i="34"/>
  <c r="BE89" i="34"/>
  <c r="BE87" i="34"/>
  <c r="AW108" i="33"/>
  <c r="AW109" i="33" s="1"/>
  <c r="AW111" i="33"/>
  <c r="AW112" i="33" s="1"/>
  <c r="AV8" i="33"/>
  <c r="AW56" i="33"/>
  <c r="BW69" i="34"/>
  <c r="BW81" i="34"/>
  <c r="BW16" i="34"/>
  <c r="BW20" i="34" s="1"/>
  <c r="BW24" i="34" s="1"/>
  <c r="BW23" i="34" s="1"/>
  <c r="BW77" i="34"/>
  <c r="BW76" i="34" s="1"/>
  <c r="BW75" i="34"/>
  <c r="BW129" i="34"/>
  <c r="BW130" i="34" s="1"/>
  <c r="BW142" i="34" s="1"/>
  <c r="BW132" i="34"/>
  <c r="BW48" i="34"/>
  <c r="AU68" i="33"/>
  <c r="AU50" i="33"/>
  <c r="AU54" i="33" s="1"/>
  <c r="AU53" i="33"/>
  <c r="BG133" i="34"/>
  <c r="AS68" i="33"/>
  <c r="AS50" i="33"/>
  <c r="AS53" i="33"/>
  <c r="AQ49" i="33"/>
  <c r="AQ41" i="33"/>
  <c r="AP41" i="33"/>
  <c r="AO45" i="33"/>
  <c r="AO44" i="33" s="1"/>
  <c r="AO43" i="33" s="1"/>
  <c r="AN45" i="33"/>
  <c r="AN44" i="33" s="1"/>
  <c r="AN43" i="33" s="1"/>
  <c r="AO48" i="33"/>
  <c r="AN49" i="33"/>
  <c r="AN48" i="33" s="1"/>
  <c r="AO79" i="15"/>
  <c r="AM79" i="15"/>
  <c r="AO79" i="14"/>
  <c r="AM79" i="14"/>
  <c r="CV2" i="13"/>
  <c r="CV10" i="13" s="1"/>
  <c r="CX2" i="13"/>
  <c r="CX10" i="13" s="1"/>
  <c r="CZ2" i="13"/>
  <c r="CZ10" i="13" s="1"/>
  <c r="DB2" i="13"/>
  <c r="DB10" i="13" s="1"/>
  <c r="DD2" i="13"/>
  <c r="DD10" i="13" s="1"/>
  <c r="DF2" i="13"/>
  <c r="DF10" i="13" s="1"/>
  <c r="DG10" i="13" s="1"/>
  <c r="DH2" i="13"/>
  <c r="DH10" i="13" s="1"/>
  <c r="DI10" i="13" s="1"/>
  <c r="DJ2" i="13"/>
  <c r="DJ10" i="13" s="1"/>
  <c r="DK10" i="13" s="1"/>
  <c r="DK129" i="13" s="1"/>
  <c r="DK130" i="13" s="1"/>
  <c r="DB9" i="13"/>
  <c r="DF9" i="13"/>
  <c r="DJ9" i="13"/>
  <c r="CW15" i="13"/>
  <c r="CW19" i="13" s="1"/>
  <c r="CY15" i="13"/>
  <c r="DA15" i="13"/>
  <c r="DA19" i="13" s="1"/>
  <c r="DC15" i="13"/>
  <c r="DC19" i="13" s="1"/>
  <c r="DE15" i="13"/>
  <c r="DE19" i="13" s="1"/>
  <c r="DG15" i="13"/>
  <c r="DI15" i="13"/>
  <c r="DK15" i="13"/>
  <c r="DK19" i="13" s="1"/>
  <c r="CV19" i="13"/>
  <c r="CX19" i="13"/>
  <c r="CZ19" i="13"/>
  <c r="DB19" i="13"/>
  <c r="DD19" i="13"/>
  <c r="DF19" i="13"/>
  <c r="DH19" i="13"/>
  <c r="DJ19" i="13"/>
  <c r="DG25" i="13"/>
  <c r="DF26" i="13"/>
  <c r="DF25" i="13" s="1"/>
  <c r="DI26" i="13"/>
  <c r="DH26" i="13" s="1"/>
  <c r="DK26" i="13"/>
  <c r="DJ26" i="13" s="1"/>
  <c r="DG30" i="13"/>
  <c r="DG29" i="13" s="1"/>
  <c r="CW31" i="13"/>
  <c r="CY31" i="13"/>
  <c r="DA31" i="13"/>
  <c r="DC31" i="13"/>
  <c r="DE31" i="13"/>
  <c r="DG31" i="13"/>
  <c r="CV32" i="13"/>
  <c r="CV31" i="13" s="1"/>
  <c r="CX32" i="13"/>
  <c r="CX42" i="13" s="1"/>
  <c r="CZ32" i="13"/>
  <c r="CZ31" i="13" s="1"/>
  <c r="DB32" i="13"/>
  <c r="DB31" i="13" s="1"/>
  <c r="DD32" i="13"/>
  <c r="DD31" i="13" s="1"/>
  <c r="DF32" i="13"/>
  <c r="DI32" i="13"/>
  <c r="DH32" i="13" s="1"/>
  <c r="DK32" i="13"/>
  <c r="DJ32" i="13" s="1"/>
  <c r="CW39" i="13"/>
  <c r="CY39" i="13"/>
  <c r="DA39" i="13"/>
  <c r="DC39" i="13"/>
  <c r="DE39" i="13"/>
  <c r="DG39" i="13"/>
  <c r="DI39" i="13"/>
  <c r="DK39" i="13"/>
  <c r="CW42" i="13"/>
  <c r="CY42" i="13"/>
  <c r="DA42" i="13"/>
  <c r="DC42" i="13"/>
  <c r="DE42" i="13"/>
  <c r="DG42" i="13"/>
  <c r="CW52" i="13"/>
  <c r="CY52" i="13"/>
  <c r="DA52" i="13"/>
  <c r="DC52" i="13"/>
  <c r="DE52" i="13"/>
  <c r="DG52" i="13"/>
  <c r="DI52" i="13"/>
  <c r="DK52" i="13"/>
  <c r="DI57" i="13"/>
  <c r="DI63" i="13" s="1"/>
  <c r="DC63" i="13"/>
  <c r="DG63" i="13"/>
  <c r="DK63" i="13"/>
  <c r="DC65" i="13"/>
  <c r="DG65" i="13"/>
  <c r="DI65" i="13"/>
  <c r="DK65" i="13"/>
  <c r="DI67" i="13"/>
  <c r="DC100" i="13"/>
  <c r="DC104" i="13" s="1"/>
  <c r="DC105" i="13" s="1"/>
  <c r="DG100" i="13"/>
  <c r="DG104" i="13" s="1"/>
  <c r="DG105" i="13" s="1"/>
  <c r="DI100" i="13"/>
  <c r="DI104" i="13" s="1"/>
  <c r="DI105" i="13" s="1"/>
  <c r="DK100" i="13"/>
  <c r="DK104" i="13" s="1"/>
  <c r="DK105" i="13" s="1"/>
  <c r="CW106" i="13"/>
  <c r="CY106" i="13"/>
  <c r="DA106" i="13"/>
  <c r="DC106" i="13"/>
  <c r="DE106" i="13"/>
  <c r="DG106" i="13"/>
  <c r="DI106" i="13"/>
  <c r="DK106" i="13"/>
  <c r="CW119" i="13"/>
  <c r="CY119" i="13"/>
  <c r="DA119" i="13"/>
  <c r="DC119" i="13"/>
  <c r="DE119" i="13"/>
  <c r="DG119" i="13"/>
  <c r="DI119" i="13"/>
  <c r="DK119" i="13"/>
  <c r="CW120" i="13"/>
  <c r="CY120" i="13"/>
  <c r="DA120" i="13"/>
  <c r="DC120" i="13"/>
  <c r="DE120" i="13"/>
  <c r="DG120" i="13"/>
  <c r="DI120" i="13"/>
  <c r="DK120" i="13"/>
  <c r="CW121" i="13"/>
  <c r="CY121" i="13"/>
  <c r="DA121" i="13"/>
  <c r="DC121" i="13"/>
  <c r="DE121" i="13"/>
  <c r="DG121" i="13"/>
  <c r="DI121" i="13"/>
  <c r="DK121" i="13"/>
  <c r="CW122" i="13"/>
  <c r="CY122" i="13"/>
  <c r="DA122" i="13"/>
  <c r="DC122" i="13"/>
  <c r="DE122" i="13"/>
  <c r="DG122" i="13"/>
  <c r="DI122" i="13"/>
  <c r="DK122" i="13"/>
  <c r="DC123" i="13"/>
  <c r="DG123" i="13"/>
  <c r="DI123" i="13"/>
  <c r="DK123" i="13"/>
  <c r="DC135" i="13"/>
  <c r="DG135" i="13"/>
  <c r="DG141" i="13" s="1"/>
  <c r="DI135" i="13"/>
  <c r="DI96" i="13" s="1"/>
  <c r="DK135" i="13"/>
  <c r="DK141" i="13" s="1"/>
  <c r="DC138" i="13"/>
  <c r="DG138" i="13"/>
  <c r="DI138" i="13"/>
  <c r="DK138" i="13"/>
  <c r="BE93" i="34" l="1"/>
  <c r="BE90" i="34"/>
  <c r="BG84" i="34"/>
  <c r="BG86" i="34"/>
  <c r="BI87" i="34"/>
  <c r="BI89" i="34"/>
  <c r="AU49" i="33"/>
  <c r="DK59" i="13"/>
  <c r="DK60" i="13"/>
  <c r="DJ8" i="13" s="1"/>
  <c r="AU41" i="33"/>
  <c r="AT41" i="33"/>
  <c r="AW68" i="33"/>
  <c r="AW50" i="33"/>
  <c r="AW54" i="33"/>
  <c r="AW53" i="33"/>
  <c r="BW133" i="34"/>
  <c r="BW144" i="34"/>
  <c r="AQ45" i="33"/>
  <c r="AQ44" i="33" s="1"/>
  <c r="AQ43" i="33" s="1"/>
  <c r="AQ48" i="33"/>
  <c r="AP49" i="33"/>
  <c r="AP48" i="33" s="1"/>
  <c r="AP45" i="33"/>
  <c r="AP44" i="33" s="1"/>
  <c r="AP43" i="33" s="1"/>
  <c r="AS54" i="33"/>
  <c r="DD42" i="13"/>
  <c r="DK126" i="13"/>
  <c r="DK127" i="13" s="1"/>
  <c r="DK96" i="13"/>
  <c r="DK42" i="13"/>
  <c r="DJ42" i="13"/>
  <c r="DJ31" i="13"/>
  <c r="DB16" i="13"/>
  <c r="DB20" i="13" s="1"/>
  <c r="DC10" i="13"/>
  <c r="DC16" i="13" s="1"/>
  <c r="DC20" i="13" s="1"/>
  <c r="DK117" i="13"/>
  <c r="DK116" i="13" s="1"/>
  <c r="DK114" i="13" s="1"/>
  <c r="DK115" i="13" s="1"/>
  <c r="DF30" i="13"/>
  <c r="DF29" i="13" s="1"/>
  <c r="DK30" i="13"/>
  <c r="DK29" i="13" s="1"/>
  <c r="DI117" i="13"/>
  <c r="DI116" i="13" s="1"/>
  <c r="DI114" i="13" s="1"/>
  <c r="DI115" i="13" s="1"/>
  <c r="DH9" i="13"/>
  <c r="DC117" i="13"/>
  <c r="DC116" i="13" s="1"/>
  <c r="DC114" i="13" s="1"/>
  <c r="DC115" i="13" s="1"/>
  <c r="DG96" i="13"/>
  <c r="DK25" i="13"/>
  <c r="DK31" i="13"/>
  <c r="DG117" i="13"/>
  <c r="DG116" i="13" s="1"/>
  <c r="DG114" i="13" s="1"/>
  <c r="DG115" i="13" s="1"/>
  <c r="CX31" i="13"/>
  <c r="DG126" i="13"/>
  <c r="DG127" i="13" s="1"/>
  <c r="DG129" i="13"/>
  <c r="DG130" i="13" s="1"/>
  <c r="DG76" i="13"/>
  <c r="DG74" i="13" s="1"/>
  <c r="DG132" i="13"/>
  <c r="DG133" i="13" s="1"/>
  <c r="DG142" i="13" s="1"/>
  <c r="DH25" i="13"/>
  <c r="DH30" i="13"/>
  <c r="DH29" i="13" s="1"/>
  <c r="CZ16" i="13"/>
  <c r="CZ20" i="13" s="1"/>
  <c r="DA10" i="13"/>
  <c r="DK16" i="13"/>
  <c r="DK20" i="13" s="1"/>
  <c r="DK24" i="13" s="1"/>
  <c r="DK23" i="13" s="1"/>
  <c r="DC96" i="13"/>
  <c r="DC141" i="13"/>
  <c r="DI60" i="13"/>
  <c r="DI59" i="13"/>
  <c r="DI16" i="13"/>
  <c r="DI20" i="13" s="1"/>
  <c r="DI24" i="13" s="1"/>
  <c r="DI23" i="13" s="1"/>
  <c r="DH31" i="13"/>
  <c r="DH42" i="13"/>
  <c r="DG16" i="13"/>
  <c r="DG20" i="13" s="1"/>
  <c r="DG24" i="13" s="1"/>
  <c r="DG23" i="13" s="1"/>
  <c r="DI126" i="13"/>
  <c r="DI127" i="13" s="1"/>
  <c r="DI129" i="13"/>
  <c r="DI130" i="13" s="1"/>
  <c r="DI69" i="13"/>
  <c r="DI76" i="13"/>
  <c r="DI74" i="13" s="1"/>
  <c r="DI132" i="13"/>
  <c r="DI133" i="13" s="1"/>
  <c r="DE10" i="13"/>
  <c r="DD16" i="13"/>
  <c r="DD20" i="13" s="1"/>
  <c r="CV42" i="13"/>
  <c r="DJ30" i="13"/>
  <c r="DJ29" i="13" s="1"/>
  <c r="DJ25" i="13"/>
  <c r="DK150" i="13"/>
  <c r="DK69" i="13"/>
  <c r="DK76" i="13"/>
  <c r="DK74" i="13" s="1"/>
  <c r="DK111" i="13" s="1"/>
  <c r="DK112" i="13" s="1"/>
  <c r="DK132" i="13"/>
  <c r="CX16" i="13"/>
  <c r="CX20" i="13" s="1"/>
  <c r="CY10" i="13"/>
  <c r="CV16" i="13"/>
  <c r="CV20" i="13" s="1"/>
  <c r="CW10" i="13"/>
  <c r="DI42" i="13"/>
  <c r="DJ16" i="13"/>
  <c r="DJ20" i="13" s="1"/>
  <c r="DJ24" i="13" s="1"/>
  <c r="DJ23" i="13" s="1"/>
  <c r="DI141" i="13"/>
  <c r="DI25" i="13"/>
  <c r="DI19" i="13"/>
  <c r="DI31" i="13"/>
  <c r="DH16" i="13"/>
  <c r="DH20" i="13" s="1"/>
  <c r="DH24" i="13" s="1"/>
  <c r="DH23" i="13" s="1"/>
  <c r="DF42" i="13"/>
  <c r="DG19" i="13"/>
  <c r="DI30" i="13"/>
  <c r="DI29" i="13" s="1"/>
  <c r="DF16" i="13"/>
  <c r="DF20" i="13" s="1"/>
  <c r="DF24" i="13" s="1"/>
  <c r="DF23" i="13" s="1"/>
  <c r="DF31" i="13"/>
  <c r="DB42" i="13"/>
  <c r="CZ42" i="13"/>
  <c r="CY19" i="13"/>
  <c r="BG87" i="34" l="1"/>
  <c r="BG89" i="34"/>
  <c r="BI90" i="34"/>
  <c r="BI93" i="34"/>
  <c r="BE98" i="34"/>
  <c r="BE94" i="34"/>
  <c r="AW41" i="33"/>
  <c r="AV41" i="33"/>
  <c r="AW49" i="33"/>
  <c r="AU45" i="33"/>
  <c r="AU44" i="33" s="1"/>
  <c r="AU43" i="33" s="1"/>
  <c r="AU48" i="33"/>
  <c r="AT45" i="33"/>
  <c r="AT44" i="33" s="1"/>
  <c r="AT43" i="33" s="1"/>
  <c r="AT49" i="33"/>
  <c r="AT48" i="33" s="1"/>
  <c r="DK56" i="13"/>
  <c r="DK50" i="13" s="1"/>
  <c r="AR41" i="33"/>
  <c r="AS41" i="33"/>
  <c r="AS49" i="33"/>
  <c r="DJ62" i="13"/>
  <c r="DC132" i="13"/>
  <c r="DC133" i="13" s="1"/>
  <c r="DC142" i="13" s="1"/>
  <c r="DK108" i="13"/>
  <c r="DK109" i="13" s="1"/>
  <c r="DC76" i="13"/>
  <c r="DC74" i="13" s="1"/>
  <c r="DC75" i="13" s="1"/>
  <c r="DC126" i="13"/>
  <c r="DC127" i="13" s="1"/>
  <c r="DC129" i="13"/>
  <c r="DC130" i="13" s="1"/>
  <c r="CW16" i="13"/>
  <c r="CW20" i="13" s="1"/>
  <c r="CW129" i="13"/>
  <c r="CW130" i="13" s="1"/>
  <c r="CW126" i="13"/>
  <c r="CW127" i="13" s="1"/>
  <c r="DE126" i="13"/>
  <c r="DE127" i="13" s="1"/>
  <c r="DE129" i="13"/>
  <c r="DE130" i="13" s="1"/>
  <c r="CY126" i="13"/>
  <c r="CY127" i="13" s="1"/>
  <c r="CY129" i="13"/>
  <c r="CY130" i="13" s="1"/>
  <c r="DK148" i="13"/>
  <c r="DK133" i="13"/>
  <c r="DK142" i="13" s="1"/>
  <c r="DK75" i="13"/>
  <c r="DK80" i="13"/>
  <c r="DE16" i="13"/>
  <c r="DE20" i="13" s="1"/>
  <c r="DA126" i="13"/>
  <c r="DA127" i="13" s="1"/>
  <c r="DA129" i="13"/>
  <c r="DA130" i="13" s="1"/>
  <c r="DA16" i="13"/>
  <c r="DA20" i="13" s="1"/>
  <c r="DI75" i="13"/>
  <c r="DI80" i="13"/>
  <c r="DI108" i="13"/>
  <c r="DI109" i="13" s="1"/>
  <c r="DI111" i="13"/>
  <c r="DI112" i="13" s="1"/>
  <c r="DH8" i="13"/>
  <c r="DH62" i="13"/>
  <c r="DI56" i="13"/>
  <c r="DI142" i="13"/>
  <c r="CY16" i="13"/>
  <c r="CY20" i="13" s="1"/>
  <c r="DG75" i="13"/>
  <c r="BI98" i="34" l="1"/>
  <c r="BI94" i="34"/>
  <c r="BE99" i="34"/>
  <c r="BE144" i="34"/>
  <c r="BG93" i="34"/>
  <c r="BG90" i="34"/>
  <c r="DK68" i="13"/>
  <c r="DK53" i="13"/>
  <c r="AW45" i="33"/>
  <c r="AW44" i="33" s="1"/>
  <c r="AW43" i="33" s="1"/>
  <c r="AW48" i="33"/>
  <c r="AV45" i="33"/>
  <c r="AV44" i="33" s="1"/>
  <c r="AV43" i="33" s="1"/>
  <c r="AV49" i="33"/>
  <c r="AV48" i="33" s="1"/>
  <c r="AS48" i="33"/>
  <c r="AR45" i="33"/>
  <c r="AR44" i="33" s="1"/>
  <c r="AR43" i="33" s="1"/>
  <c r="AS45" i="33"/>
  <c r="AS44" i="33" s="1"/>
  <c r="AS43" i="33" s="1"/>
  <c r="AR49" i="33"/>
  <c r="AR48" i="33" s="1"/>
  <c r="DK81" i="13"/>
  <c r="DK83" i="13"/>
  <c r="DK82" i="13"/>
  <c r="DI68" i="13"/>
  <c r="DI50" i="13"/>
  <c r="DI53" i="13"/>
  <c r="DI82" i="13"/>
  <c r="DI81" i="13"/>
  <c r="DI83" i="13"/>
  <c r="DK54" i="13"/>
  <c r="DK49" i="13" s="1"/>
  <c r="BG94" i="34" l="1"/>
  <c r="BG98" i="34"/>
  <c r="BI99" i="34"/>
  <c r="BI144" i="34"/>
  <c r="DK84" i="13"/>
  <c r="DK45" i="13"/>
  <c r="DJ49" i="13"/>
  <c r="DJ48" i="13" s="1"/>
  <c r="DK48" i="13"/>
  <c r="DJ45" i="13"/>
  <c r="DJ41" i="13"/>
  <c r="DK41" i="13"/>
  <c r="DI84" i="13"/>
  <c r="DI54" i="13"/>
  <c r="DI49" i="13" s="1"/>
  <c r="BG99" i="34" l="1"/>
  <c r="BG144" i="34"/>
  <c r="DI41" i="13"/>
  <c r="DH41" i="13"/>
  <c r="DJ44" i="13"/>
  <c r="DJ43" i="13" s="1"/>
  <c r="DH49" i="13"/>
  <c r="DH48" i="13" s="1"/>
  <c r="DI48" i="13"/>
  <c r="DH45" i="13"/>
  <c r="DH44" i="13" s="1"/>
  <c r="DH43" i="13" s="1"/>
  <c r="DI45" i="13"/>
  <c r="DK44" i="13"/>
  <c r="DI44" i="13" l="1"/>
  <c r="DI47" i="13" s="1"/>
  <c r="DK43" i="13"/>
  <c r="DK47" i="13"/>
  <c r="DI43" i="13" l="1"/>
  <c r="E75" i="33"/>
  <c r="E81" i="33" s="1"/>
  <c r="E74" i="33"/>
  <c r="E80" i="33" s="1"/>
  <c r="E83" i="33" s="1"/>
  <c r="E86" i="33" s="1"/>
  <c r="E89" i="33" s="1"/>
  <c r="E65" i="33"/>
  <c r="C65" i="33"/>
  <c r="E57" i="33"/>
  <c r="E58" i="33" s="1"/>
  <c r="AN181" i="15"/>
  <c r="AO137" i="15"/>
  <c r="AO135" i="15"/>
  <c r="AO141" i="15" s="1"/>
  <c r="AO131" i="15"/>
  <c r="AO104" i="15"/>
  <c r="AO67" i="15"/>
  <c r="AN72" i="15" s="1"/>
  <c r="AO57" i="15"/>
  <c r="AN9" i="15" s="1"/>
  <c r="AO42" i="15"/>
  <c r="AN32" i="15"/>
  <c r="AN31" i="15" s="1"/>
  <c r="AO31" i="15"/>
  <c r="AO26" i="15"/>
  <c r="AO30" i="15" s="1"/>
  <c r="AO29" i="15" s="1"/>
  <c r="AN25" i="15"/>
  <c r="AN19" i="15"/>
  <c r="AO15" i="15"/>
  <c r="AN2" i="15"/>
  <c r="AN10" i="15" s="1"/>
  <c r="AL181" i="15"/>
  <c r="AM137" i="15"/>
  <c r="AM135" i="15"/>
  <c r="AM131" i="15"/>
  <c r="AM104" i="15"/>
  <c r="AM67" i="15"/>
  <c r="AL72" i="15" s="1"/>
  <c r="AM57" i="15"/>
  <c r="AL9" i="15" s="1"/>
  <c r="AM42" i="15"/>
  <c r="AL32" i="15"/>
  <c r="AL31" i="15" s="1"/>
  <c r="AM31" i="15"/>
  <c r="AM26" i="15"/>
  <c r="AM25" i="15" s="1"/>
  <c r="AL25" i="15"/>
  <c r="AL19" i="15"/>
  <c r="AM15" i="15"/>
  <c r="AL2" i="15"/>
  <c r="AL10" i="15" s="1"/>
  <c r="AO135" i="14"/>
  <c r="AO141" i="14" s="1"/>
  <c r="AM135" i="14"/>
  <c r="AM141" i="14" s="1"/>
  <c r="AO131" i="14"/>
  <c r="AM131" i="14"/>
  <c r="AO123" i="14"/>
  <c r="AM123" i="14"/>
  <c r="AO122" i="14"/>
  <c r="AM122" i="14"/>
  <c r="AO121" i="14"/>
  <c r="AM121" i="14"/>
  <c r="AO120" i="14"/>
  <c r="AM120" i="14"/>
  <c r="AO119" i="14"/>
  <c r="AM119" i="14"/>
  <c r="AO106" i="14"/>
  <c r="AM106" i="14"/>
  <c r="AO104" i="14"/>
  <c r="AO105" i="14" s="1"/>
  <c r="AM104" i="14"/>
  <c r="AM105" i="14" s="1"/>
  <c r="AO67" i="14"/>
  <c r="AN72" i="14" s="1"/>
  <c r="AM67" i="14"/>
  <c r="AL72" i="14" s="1"/>
  <c r="AO65" i="14"/>
  <c r="AO60" i="14" s="1"/>
  <c r="AN8" i="14" s="1"/>
  <c r="AM65" i="14"/>
  <c r="AO62" i="14"/>
  <c r="AO57" i="14"/>
  <c r="AN9" i="14" s="1"/>
  <c r="AM57" i="14"/>
  <c r="AL9" i="14" s="1"/>
  <c r="AO52" i="14"/>
  <c r="AM52" i="14"/>
  <c r="AN19" i="14"/>
  <c r="AL19" i="14"/>
  <c r="AO15" i="14"/>
  <c r="AO19" i="14" s="1"/>
  <c r="AM15" i="14"/>
  <c r="AM19" i="14" s="1"/>
  <c r="AN2" i="14"/>
  <c r="AN10" i="14" s="1"/>
  <c r="AL2" i="14"/>
  <c r="AL10" i="14" s="1"/>
  <c r="AM10" i="14" s="1"/>
  <c r="O6" i="30"/>
  <c r="O7" i="30"/>
  <c r="N11" i="30"/>
  <c r="M11" i="30"/>
  <c r="AO138" i="13"/>
  <c r="AO135" i="13"/>
  <c r="AO96" i="13" s="1"/>
  <c r="AO131" i="13"/>
  <c r="AO123" i="13"/>
  <c r="AO122" i="13"/>
  <c r="AO121" i="13"/>
  <c r="AO120" i="13"/>
  <c r="AO119" i="13"/>
  <c r="AO106" i="13"/>
  <c r="AO100" i="13"/>
  <c r="AO104" i="13" s="1"/>
  <c r="AO105" i="13" s="1"/>
  <c r="AO67" i="13"/>
  <c r="AN72" i="13" s="1"/>
  <c r="AO65" i="13"/>
  <c r="AO57" i="13"/>
  <c r="AN9" i="13" s="1"/>
  <c r="AO52" i="13"/>
  <c r="AO42" i="13"/>
  <c r="AO39" i="13"/>
  <c r="AN32" i="13"/>
  <c r="AN31" i="13" s="1"/>
  <c r="AO31" i="13"/>
  <c r="AN19" i="13"/>
  <c r="AO15" i="13"/>
  <c r="AO19" i="13" s="1"/>
  <c r="AN2" i="13"/>
  <c r="AN10" i="13" s="1"/>
  <c r="AN16" i="13" s="1"/>
  <c r="AN20" i="13" s="1"/>
  <c r="AM138" i="13"/>
  <c r="AM135" i="13"/>
  <c r="AM141" i="13" s="1"/>
  <c r="AM131" i="13"/>
  <c r="AM123" i="13"/>
  <c r="AM122" i="13"/>
  <c r="AM121" i="13"/>
  <c r="AM120" i="13"/>
  <c r="AM119" i="13"/>
  <c r="AM106" i="13"/>
  <c r="AM100" i="13"/>
  <c r="AM104" i="13" s="1"/>
  <c r="AM105" i="13" s="1"/>
  <c r="AM67" i="13"/>
  <c r="AL72" i="13" s="1"/>
  <c r="AM65" i="13"/>
  <c r="AM60" i="13" s="1"/>
  <c r="AM57" i="13"/>
  <c r="AM63" i="13" s="1"/>
  <c r="AM52" i="13"/>
  <c r="AM42" i="13"/>
  <c r="AM39" i="13"/>
  <c r="AL32" i="13"/>
  <c r="AL42" i="13" s="1"/>
  <c r="AM31" i="13"/>
  <c r="AL19" i="13"/>
  <c r="AM15" i="13"/>
  <c r="AM19" i="13" s="1"/>
  <c r="AL2" i="13"/>
  <c r="AL10" i="13" s="1"/>
  <c r="AO96" i="14" l="1"/>
  <c r="AO60" i="13"/>
  <c r="AN8" i="13" s="1"/>
  <c r="AM96" i="14"/>
  <c r="AM30" i="15"/>
  <c r="AM29" i="15" s="1"/>
  <c r="AO25" i="15"/>
  <c r="AM62" i="14"/>
  <c r="AM59" i="14" s="1"/>
  <c r="AO59" i="14"/>
  <c r="AL30" i="15"/>
  <c r="AL29" i="15" s="1"/>
  <c r="AM141" i="15"/>
  <c r="AM63" i="15"/>
  <c r="AO63" i="15"/>
  <c r="AN30" i="15"/>
  <c r="AN29" i="15" s="1"/>
  <c r="AM60" i="14"/>
  <c r="AM56" i="14" s="1"/>
  <c r="AM117" i="14"/>
  <c r="AM116" i="14" s="1"/>
  <c r="AM114" i="14" s="1"/>
  <c r="AM115" i="14" s="1"/>
  <c r="AO117" i="14"/>
  <c r="AO116" i="14" s="1"/>
  <c r="AO114" i="14" s="1"/>
  <c r="AO115" i="14" s="1"/>
  <c r="O11" i="30"/>
  <c r="AN42" i="13"/>
  <c r="AO117" i="13"/>
  <c r="AO116" i="13" s="1"/>
  <c r="AO114" i="13" s="1"/>
  <c r="AO115" i="13" s="1"/>
  <c r="AM59" i="13"/>
  <c r="AO63" i="13"/>
  <c r="AM96" i="13"/>
  <c r="AL31" i="13"/>
  <c r="AN61" i="13"/>
  <c r="AM117" i="13"/>
  <c r="AM116" i="13" s="1"/>
  <c r="AM114" i="13" s="1"/>
  <c r="AM115" i="13" s="1"/>
  <c r="AN16" i="15"/>
  <c r="AN20" i="15" s="1"/>
  <c r="AN24" i="15" s="1"/>
  <c r="AN23" i="15" s="1"/>
  <c r="AO10" i="15"/>
  <c r="AO132" i="15" s="1"/>
  <c r="AO19" i="15"/>
  <c r="AN42" i="15"/>
  <c r="AL16" i="15"/>
  <c r="AL20" i="15" s="1"/>
  <c r="AL24" i="15" s="1"/>
  <c r="AL23" i="15" s="1"/>
  <c r="AM10" i="15"/>
  <c r="AM19" i="15"/>
  <c r="AL42" i="15"/>
  <c r="AM69" i="14"/>
  <c r="AM16" i="14"/>
  <c r="AM20" i="14" s="1"/>
  <c r="AM132" i="14"/>
  <c r="AM133" i="14" s="1"/>
  <c r="AM142" i="14" s="1"/>
  <c r="AN16" i="14"/>
  <c r="AN20" i="14" s="1"/>
  <c r="AO10" i="14"/>
  <c r="AO69" i="14" s="1"/>
  <c r="AL16" i="14"/>
  <c r="AL20" i="14" s="1"/>
  <c r="AO56" i="14"/>
  <c r="AO56" i="13"/>
  <c r="AO53" i="13" s="1"/>
  <c r="AO59" i="13"/>
  <c r="AO10" i="13"/>
  <c r="AO141" i="13"/>
  <c r="AL8" i="13"/>
  <c r="AM56" i="13"/>
  <c r="AM53" i="13" s="1"/>
  <c r="AM111" i="13"/>
  <c r="AM112" i="13" s="1"/>
  <c r="AM10" i="13"/>
  <c r="AL16" i="13"/>
  <c r="AL20" i="13" s="1"/>
  <c r="AL9" i="13"/>
  <c r="AL61" i="13"/>
  <c r="AM132" i="13" l="1"/>
  <c r="AM133" i="13" s="1"/>
  <c r="AM142" i="13" s="1"/>
  <c r="AM75" i="13"/>
  <c r="AO69" i="13"/>
  <c r="AO75" i="13"/>
  <c r="AM111" i="14"/>
  <c r="AM112" i="14" s="1"/>
  <c r="AL8" i="14"/>
  <c r="AO132" i="13"/>
  <c r="AO133" i="13" s="1"/>
  <c r="AO142" i="13" s="1"/>
  <c r="AO71" i="15"/>
  <c r="AO80" i="15"/>
  <c r="AO78" i="15"/>
  <c r="AO75" i="15"/>
  <c r="AO77" i="15"/>
  <c r="AO76" i="15" s="1"/>
  <c r="AO69" i="15"/>
  <c r="AO129" i="15"/>
  <c r="AO126" i="15"/>
  <c r="AO16" i="15"/>
  <c r="AO20" i="15" s="1"/>
  <c r="AO24" i="15" s="1"/>
  <c r="AO23" i="15" s="1"/>
  <c r="AM69" i="15"/>
  <c r="AM129" i="15"/>
  <c r="AM126" i="15"/>
  <c r="AM71" i="15"/>
  <c r="AM80" i="15"/>
  <c r="AM78" i="15"/>
  <c r="AM77" i="15"/>
  <c r="AM76" i="15" s="1"/>
  <c r="AM75" i="15"/>
  <c r="AM132" i="15"/>
  <c r="AM16" i="15"/>
  <c r="AM20" i="15" s="1"/>
  <c r="AM24" i="15" s="1"/>
  <c r="AM23" i="15" s="1"/>
  <c r="AO75" i="14"/>
  <c r="AO71" i="14"/>
  <c r="AO78" i="14"/>
  <c r="AO77" i="14"/>
  <c r="AO76" i="14" s="1"/>
  <c r="AO108" i="14"/>
  <c r="AO109" i="14" s="1"/>
  <c r="AO80" i="14"/>
  <c r="AO16" i="14"/>
  <c r="AO20" i="14" s="1"/>
  <c r="AM75" i="14"/>
  <c r="AM71" i="14"/>
  <c r="AM80" i="14"/>
  <c r="AM78" i="14"/>
  <c r="AM77" i="14"/>
  <c r="AM76" i="14" s="1"/>
  <c r="AO111" i="14"/>
  <c r="AO112" i="14" s="1"/>
  <c r="AM50" i="14"/>
  <c r="AM54" i="14" s="1"/>
  <c r="AM53" i="14"/>
  <c r="AM68" i="14"/>
  <c r="AM63" i="14" s="1"/>
  <c r="AM108" i="14"/>
  <c r="AM109" i="14" s="1"/>
  <c r="AO132" i="14"/>
  <c r="AO133" i="14" s="1"/>
  <c r="AO142" i="14" s="1"/>
  <c r="AO50" i="14"/>
  <c r="AO54" i="14" s="1"/>
  <c r="AO68" i="14"/>
  <c r="AO63" i="14" s="1"/>
  <c r="AO53" i="14"/>
  <c r="AO16" i="13"/>
  <c r="AO20" i="13" s="1"/>
  <c r="AO50" i="13"/>
  <c r="AO54" i="13" s="1"/>
  <c r="AO68" i="13"/>
  <c r="AO78" i="13"/>
  <c r="AO149" i="13" s="1"/>
  <c r="AO77" i="13"/>
  <c r="AP77" i="13" s="1"/>
  <c r="AO71" i="13"/>
  <c r="AO80" i="13"/>
  <c r="AO83" i="13" s="1"/>
  <c r="AO129" i="13"/>
  <c r="AO130" i="13" s="1"/>
  <c r="AO126" i="13"/>
  <c r="AO127" i="13" s="1"/>
  <c r="AO108" i="13"/>
  <c r="AO109" i="13" s="1"/>
  <c r="AO111" i="13"/>
  <c r="AO112" i="13" s="1"/>
  <c r="AM126" i="13"/>
  <c r="AM127" i="13" s="1"/>
  <c r="AM69" i="13"/>
  <c r="AM16" i="13"/>
  <c r="AM20" i="13" s="1"/>
  <c r="AM129" i="13"/>
  <c r="AM130" i="13" s="1"/>
  <c r="AM80" i="13"/>
  <c r="AM78" i="13"/>
  <c r="AM149" i="13" s="1"/>
  <c r="AM71" i="13"/>
  <c r="AM77" i="13"/>
  <c r="AM68" i="13"/>
  <c r="AM50" i="13"/>
  <c r="AM54" i="13" s="1"/>
  <c r="AM108" i="13"/>
  <c r="AM109" i="13" s="1"/>
  <c r="AN77" i="13" l="1"/>
  <c r="AO83" i="15"/>
  <c r="AO82" i="15"/>
  <c r="AO81" i="15"/>
  <c r="AM83" i="15"/>
  <c r="AM82" i="15"/>
  <c r="AM81" i="15"/>
  <c r="AO83" i="14"/>
  <c r="AO82" i="14"/>
  <c r="AO81" i="14"/>
  <c r="AM49" i="14"/>
  <c r="AM83" i="14"/>
  <c r="AM82" i="14"/>
  <c r="AM81" i="14"/>
  <c r="AO49" i="14"/>
  <c r="AO82" i="13"/>
  <c r="AO81" i="13"/>
  <c r="AO49" i="13"/>
  <c r="AO76" i="13"/>
  <c r="AN41" i="13"/>
  <c r="AO41" i="13"/>
  <c r="AL41" i="13"/>
  <c r="AM41" i="13"/>
  <c r="AM81" i="13"/>
  <c r="AM83" i="13"/>
  <c r="AM82" i="13"/>
  <c r="AM49" i="13"/>
  <c r="AM76" i="13"/>
  <c r="AO86" i="15" l="1"/>
  <c r="AO84" i="15"/>
  <c r="AM86" i="15"/>
  <c r="AM84" i="15"/>
  <c r="AM84" i="14"/>
  <c r="AM86" i="14"/>
  <c r="AL49" i="14"/>
  <c r="AL48" i="14" s="1"/>
  <c r="AM48" i="14"/>
  <c r="AM45" i="14"/>
  <c r="AL45" i="14"/>
  <c r="AO84" i="14"/>
  <c r="AO86" i="14"/>
  <c r="AN49" i="14"/>
  <c r="AN48" i="14" s="1"/>
  <c r="AO48" i="14"/>
  <c r="AO45" i="14"/>
  <c r="AN45" i="14"/>
  <c r="AO45" i="13"/>
  <c r="AO44" i="13" s="1"/>
  <c r="AN49" i="13"/>
  <c r="AN48" i="13" s="1"/>
  <c r="AO48" i="13"/>
  <c r="AN45" i="13"/>
  <c r="AN44" i="13" s="1"/>
  <c r="AN43" i="13" s="1"/>
  <c r="AO86" i="13"/>
  <c r="AO84" i="13"/>
  <c r="AL49" i="13"/>
  <c r="AL48" i="13" s="1"/>
  <c r="AM48" i="13"/>
  <c r="AL45" i="13"/>
  <c r="AL44" i="13" s="1"/>
  <c r="AL43" i="13" s="1"/>
  <c r="AM45" i="13"/>
  <c r="AM44" i="13" s="1"/>
  <c r="AM84" i="13"/>
  <c r="AM86" i="13"/>
  <c r="AO87" i="15" l="1"/>
  <c r="AO89" i="15"/>
  <c r="AM89" i="15"/>
  <c r="AM87" i="15"/>
  <c r="AM89" i="14"/>
  <c r="AM87" i="14"/>
  <c r="AO89" i="14"/>
  <c r="AO87" i="14"/>
  <c r="AO47" i="13"/>
  <c r="AO43" i="13"/>
  <c r="AO89" i="13"/>
  <c r="AO87" i="13"/>
  <c r="AM43" i="13"/>
  <c r="AM47" i="13"/>
  <c r="AM89" i="13"/>
  <c r="AM87" i="13"/>
  <c r="AO93" i="15" l="1"/>
  <c r="AO90" i="15"/>
  <c r="AM90" i="15"/>
  <c r="AM93" i="15"/>
  <c r="AO93" i="14"/>
  <c r="AO90" i="14"/>
  <c r="AM93" i="14"/>
  <c r="AM90" i="14"/>
  <c r="AO93" i="13"/>
  <c r="AO90" i="13"/>
  <c r="AM93" i="13"/>
  <c r="AM90" i="13"/>
  <c r="AO94" i="15" l="1"/>
  <c r="AM94" i="15"/>
  <c r="AM98" i="14"/>
  <c r="AM94" i="14"/>
  <c r="AO98" i="14"/>
  <c r="AO94" i="14"/>
  <c r="AO98" i="13"/>
  <c r="AO99" i="13" s="1"/>
  <c r="AO94" i="13"/>
  <c r="AM98" i="13"/>
  <c r="AM94" i="13"/>
  <c r="AO144" i="14" l="1"/>
  <c r="AO99" i="14"/>
  <c r="AO124" i="14" s="1"/>
  <c r="AM144" i="14"/>
  <c r="AM99" i="14"/>
  <c r="AM124" i="14" s="1"/>
  <c r="AO124" i="13"/>
  <c r="AO144" i="13"/>
  <c r="AM144" i="13"/>
  <c r="AM99" i="13"/>
  <c r="AM124" i="13" s="1"/>
  <c r="AE2" i="3" l="1"/>
  <c r="AE10" i="3" s="1"/>
  <c r="AF10" i="3" s="1"/>
  <c r="AE3" i="3"/>
  <c r="AE15" i="3"/>
  <c r="AF15" i="3"/>
  <c r="AE16" i="3"/>
  <c r="AF16" i="3"/>
  <c r="AE17" i="3"/>
  <c r="AF17" i="3"/>
  <c r="AE18" i="3"/>
  <c r="AF18" i="3"/>
  <c r="AE19" i="3"/>
  <c r="AF19" i="3"/>
  <c r="AE20" i="3"/>
  <c r="AF20" i="3"/>
  <c r="AE23" i="3"/>
  <c r="AF23" i="3"/>
  <c r="AE24" i="3"/>
  <c r="AF24" i="3"/>
  <c r="AE25" i="3"/>
  <c r="AF25" i="3"/>
  <c r="AE26" i="3"/>
  <c r="AF26" i="3"/>
  <c r="AE29" i="3"/>
  <c r="AF29" i="3"/>
  <c r="AE30" i="3"/>
  <c r="AF30" i="3"/>
  <c r="AE31" i="3"/>
  <c r="AF31" i="3"/>
  <c r="AE32" i="3"/>
  <c r="AF32" i="3"/>
  <c r="AE41" i="3"/>
  <c r="AF41" i="3"/>
  <c r="AE42" i="3"/>
  <c r="AF42" i="3"/>
  <c r="AE43" i="3"/>
  <c r="AF43" i="3"/>
  <c r="AE44" i="3"/>
  <c r="AF44" i="3"/>
  <c r="AE45" i="3"/>
  <c r="AF45" i="3"/>
  <c r="AE46" i="3"/>
  <c r="AE48" i="3"/>
  <c r="AF48" i="3"/>
  <c r="AE49" i="3"/>
  <c r="AF49" i="3"/>
  <c r="AF50" i="3"/>
  <c r="AF51" i="3"/>
  <c r="AF52" i="3"/>
  <c r="AF53" i="3"/>
  <c r="AF54" i="3"/>
  <c r="AF55" i="3"/>
  <c r="AF56" i="3"/>
  <c r="AF57" i="3"/>
  <c r="AE9" i="3" s="1"/>
  <c r="AF58" i="3"/>
  <c r="AF59" i="3"/>
  <c r="AF60" i="3"/>
  <c r="AF62" i="3"/>
  <c r="AF63" i="3"/>
  <c r="AF64" i="3"/>
  <c r="AF100" i="3" s="1"/>
  <c r="AF104" i="3" s="1"/>
  <c r="AF65" i="3"/>
  <c r="AF66" i="3"/>
  <c r="AF106" i="3" s="1"/>
  <c r="AF67" i="3"/>
  <c r="AF68" i="3"/>
  <c r="AF69" i="3"/>
  <c r="AF71" i="3"/>
  <c r="AF72" i="3"/>
  <c r="AF74" i="3"/>
  <c r="AF75" i="3"/>
  <c r="AF76" i="3"/>
  <c r="AF77" i="3"/>
  <c r="AF79" i="3"/>
  <c r="AF80" i="3"/>
  <c r="AF81" i="3"/>
  <c r="AF82" i="3"/>
  <c r="AF83" i="3"/>
  <c r="AF84" i="3"/>
  <c r="AF86" i="3"/>
  <c r="AF87" i="3"/>
  <c r="AF89" i="3"/>
  <c r="AF90" i="3"/>
  <c r="AF92" i="3"/>
  <c r="AF93" i="3"/>
  <c r="AF94" i="3"/>
  <c r="AF96" i="3"/>
  <c r="AF98" i="3"/>
  <c r="AF99" i="3"/>
  <c r="AF128" i="3"/>
  <c r="AF105" i="3" l="1"/>
  <c r="AF120" i="3"/>
  <c r="AF122" i="3"/>
  <c r="AF119" i="3"/>
  <c r="AF117" i="3" s="1"/>
  <c r="AF116" i="3" s="1"/>
  <c r="AF114" i="3" s="1"/>
  <c r="AF115" i="3" s="1"/>
  <c r="AF121" i="3"/>
  <c r="AF108" i="3"/>
  <c r="AF109" i="3" s="1"/>
  <c r="AF111" i="3"/>
  <c r="AF112" i="3" s="1"/>
  <c r="AF123" i="3"/>
  <c r="AF135" i="3"/>
  <c r="AF140" i="3" s="1"/>
  <c r="AE8" i="3"/>
  <c r="AF137" i="3"/>
  <c r="AF132" i="3"/>
  <c r="AF126" i="3"/>
  <c r="AF127" i="3" s="1"/>
  <c r="AF129" i="3"/>
  <c r="AF130" i="3" s="1"/>
  <c r="AF133" i="3" l="1"/>
  <c r="AF141" i="3" s="1"/>
  <c r="AF143" i="3" s="1"/>
  <c r="DG135" i="14" l="1"/>
  <c r="DG141" i="14" s="1"/>
  <c r="DG123" i="14"/>
  <c r="DG122" i="14"/>
  <c r="DG121" i="14"/>
  <c r="DG120" i="14"/>
  <c r="DG119" i="14"/>
  <c r="DG106" i="14"/>
  <c r="DG104" i="14"/>
  <c r="DG105" i="14" s="1"/>
  <c r="DG65" i="14"/>
  <c r="DG60" i="14" s="1"/>
  <c r="DG52" i="14"/>
  <c r="DG32" i="14"/>
  <c r="DF32" i="14" s="1"/>
  <c r="DG26" i="14"/>
  <c r="DG30" i="14" s="1"/>
  <c r="DG29" i="14" s="1"/>
  <c r="DF19" i="14"/>
  <c r="DG15" i="14"/>
  <c r="DG19" i="14" s="1"/>
  <c r="DF9" i="14"/>
  <c r="DF2" i="14"/>
  <c r="DF10" i="14" s="1"/>
  <c r="DG59" i="14" l="1"/>
  <c r="DF26" i="14"/>
  <c r="DF30" i="14" s="1"/>
  <c r="DF29" i="14" s="1"/>
  <c r="DG117" i="14"/>
  <c r="DG116" i="14" s="1"/>
  <c r="DG114" i="14" s="1"/>
  <c r="DG115" i="14" s="1"/>
  <c r="DG42" i="14"/>
  <c r="DG25" i="14"/>
  <c r="DF62" i="14"/>
  <c r="DG56" i="14"/>
  <c r="DG53" i="14" s="1"/>
  <c r="DF16" i="14"/>
  <c r="DF20" i="14" s="1"/>
  <c r="DF24" i="14" s="1"/>
  <c r="DF23" i="14" s="1"/>
  <c r="DG10" i="14"/>
  <c r="DF31" i="14"/>
  <c r="DF42" i="14"/>
  <c r="DF8" i="14"/>
  <c r="DG96" i="14"/>
  <c r="DG31" i="14"/>
  <c r="DF25" i="14" l="1"/>
  <c r="DG68" i="14"/>
  <c r="DG63" i="14" s="1"/>
  <c r="DG50" i="14"/>
  <c r="DG54" i="14" s="1"/>
  <c r="DG41" i="14" s="1"/>
  <c r="DG76" i="14"/>
  <c r="DG74" i="14" s="1"/>
  <c r="DG69" i="14"/>
  <c r="DG157" i="14"/>
  <c r="DG132" i="14"/>
  <c r="DG16" i="14"/>
  <c r="DG20" i="14" s="1"/>
  <c r="DG24" i="14" s="1"/>
  <c r="DG23" i="14" s="1"/>
  <c r="DR181" i="15"/>
  <c r="DS137" i="15"/>
  <c r="DS135" i="15"/>
  <c r="DS141" i="15" s="1"/>
  <c r="DS104" i="15"/>
  <c r="DS63" i="15"/>
  <c r="DS42" i="15"/>
  <c r="DR32" i="15"/>
  <c r="DR31" i="15" s="1"/>
  <c r="DS31" i="15"/>
  <c r="DS26" i="15"/>
  <c r="DS30" i="15" s="1"/>
  <c r="DS29" i="15" s="1"/>
  <c r="DR25" i="15"/>
  <c r="DR19" i="15"/>
  <c r="DS15" i="15"/>
  <c r="DS19" i="15" s="1"/>
  <c r="DR9" i="15"/>
  <c r="DR2" i="15"/>
  <c r="DR10" i="15" s="1"/>
  <c r="AD92" i="3"/>
  <c r="Q92" i="3"/>
  <c r="AS136" i="3"/>
  <c r="AS131" i="3"/>
  <c r="AS79" i="3"/>
  <c r="AS77" i="3"/>
  <c r="AS67" i="3"/>
  <c r="AS64" i="3"/>
  <c r="AS62" i="3"/>
  <c r="AS57" i="3"/>
  <c r="AS32" i="3"/>
  <c r="AS18" i="3"/>
  <c r="AS17" i="3"/>
  <c r="AR26" i="3"/>
  <c r="AR18" i="3"/>
  <c r="AR17" i="3"/>
  <c r="AR15" i="3"/>
  <c r="DP181" i="15"/>
  <c r="DQ137" i="15"/>
  <c r="DQ135" i="15"/>
  <c r="DQ141" i="15" s="1"/>
  <c r="DQ104" i="15"/>
  <c r="DQ63" i="15"/>
  <c r="DQ42" i="15"/>
  <c r="DP32" i="15"/>
  <c r="DP30" i="15" s="1"/>
  <c r="DP29" i="15" s="1"/>
  <c r="AR29" i="3" s="1"/>
  <c r="DQ31" i="15"/>
  <c r="AS31" i="3" s="1"/>
  <c r="DQ26" i="15"/>
  <c r="DQ25" i="15" s="1"/>
  <c r="AS25" i="3" s="1"/>
  <c r="DP25" i="15"/>
  <c r="AR25" i="3" s="1"/>
  <c r="DP19" i="15"/>
  <c r="AR19" i="3" s="1"/>
  <c r="DQ15" i="15"/>
  <c r="AS15" i="3" s="1"/>
  <c r="DP9" i="15"/>
  <c r="DP2" i="15"/>
  <c r="DP10" i="15" s="1"/>
  <c r="DB2" i="15"/>
  <c r="DB10" i="15" s="1"/>
  <c r="DB9" i="15"/>
  <c r="DC15" i="15"/>
  <c r="DC19" i="15" s="1"/>
  <c r="DB19" i="15"/>
  <c r="DB25" i="15"/>
  <c r="DC26" i="15"/>
  <c r="DC25" i="15" s="1"/>
  <c r="DC31" i="15"/>
  <c r="DB32" i="15"/>
  <c r="DB42" i="15" s="1"/>
  <c r="DC42" i="15"/>
  <c r="DC63" i="15"/>
  <c r="DC104" i="15"/>
  <c r="DC135" i="15"/>
  <c r="DC141" i="15" s="1"/>
  <c r="DC137" i="15"/>
  <c r="DB181" i="15"/>
  <c r="AC18" i="3"/>
  <c r="AC17" i="3"/>
  <c r="AC15" i="3"/>
  <c r="AD136" i="3"/>
  <c r="AD131" i="3"/>
  <c r="AD79" i="3"/>
  <c r="AD77" i="3"/>
  <c r="AD67" i="3"/>
  <c r="AD64" i="3"/>
  <c r="AD62" i="3"/>
  <c r="AD57" i="3"/>
  <c r="AD18" i="3"/>
  <c r="AD17" i="3"/>
  <c r="Q136" i="3"/>
  <c r="Q131" i="3"/>
  <c r="Q79" i="3"/>
  <c r="Q77" i="3"/>
  <c r="Q67" i="3"/>
  <c r="Q64" i="3"/>
  <c r="Q62" i="3"/>
  <c r="Q57" i="3"/>
  <c r="Q18" i="3"/>
  <c r="Q17" i="3"/>
  <c r="P18" i="3"/>
  <c r="P17" i="3"/>
  <c r="P15" i="3"/>
  <c r="Q26" i="3"/>
  <c r="Q32" i="3"/>
  <c r="AK135" i="14"/>
  <c r="AK96" i="14" s="1"/>
  <c r="AK131" i="14"/>
  <c r="AK123" i="14"/>
  <c r="AK122" i="14"/>
  <c r="AK121" i="14"/>
  <c r="AK120" i="14"/>
  <c r="AK119" i="14"/>
  <c r="AK106" i="14"/>
  <c r="AK104" i="14"/>
  <c r="AK105" i="14" s="1"/>
  <c r="AK67" i="14"/>
  <c r="AJ72" i="14" s="1"/>
  <c r="AK65" i="14"/>
  <c r="AK60" i="14" s="1"/>
  <c r="AK57" i="14"/>
  <c r="AJ9" i="14" s="1"/>
  <c r="AK52" i="14"/>
  <c r="AJ19" i="14"/>
  <c r="AK15" i="14"/>
  <c r="AK19" i="14" s="1"/>
  <c r="AJ2" i="14"/>
  <c r="AJ10" i="14" s="1"/>
  <c r="AK138" i="13"/>
  <c r="AK135" i="13"/>
  <c r="AK141" i="13" s="1"/>
  <c r="AK131" i="13"/>
  <c r="AK123" i="13"/>
  <c r="AK122" i="13"/>
  <c r="AK121" i="13"/>
  <c r="AK120" i="13"/>
  <c r="AK119" i="13"/>
  <c r="AK106" i="13"/>
  <c r="AK100" i="13"/>
  <c r="AK104" i="13" s="1"/>
  <c r="AK105" i="13" s="1"/>
  <c r="AK67" i="13"/>
  <c r="AK65" i="13"/>
  <c r="AK57" i="13"/>
  <c r="AK52" i="13"/>
  <c r="AK42" i="13"/>
  <c r="AK39" i="13"/>
  <c r="AJ32" i="13"/>
  <c r="AJ31" i="13" s="1"/>
  <c r="AK31" i="13"/>
  <c r="AJ19" i="13"/>
  <c r="AK15" i="13"/>
  <c r="AK19" i="13" s="1"/>
  <c r="AJ2" i="13"/>
  <c r="AJ10" i="13" s="1"/>
  <c r="L11" i="30"/>
  <c r="AK131" i="15"/>
  <c r="Y221" i="3"/>
  <c r="Y222" i="3"/>
  <c r="Y220" i="3"/>
  <c r="X221" i="3"/>
  <c r="X222" i="3"/>
  <c r="X220" i="3"/>
  <c r="BM153" i="36" l="1"/>
  <c r="BM154" i="36" s="1"/>
  <c r="BU153" i="13"/>
  <c r="BU154" i="13" s="1"/>
  <c r="CS153" i="13"/>
  <c r="CS154" i="13" s="1"/>
  <c r="DP153" i="36"/>
  <c r="DP154" i="36" s="1"/>
  <c r="CE153" i="36"/>
  <c r="CE154" i="36" s="1"/>
  <c r="DB153" i="36"/>
  <c r="DH153" i="36"/>
  <c r="DH154" i="36" s="1"/>
  <c r="BG153" i="36"/>
  <c r="BG154" i="36" s="1"/>
  <c r="DF153" i="36"/>
  <c r="DF154" i="36" s="1"/>
  <c r="BK153" i="36"/>
  <c r="BK154" i="36" s="1"/>
  <c r="BO153" i="13"/>
  <c r="BO154" i="13" s="1"/>
  <c r="BI153" i="36"/>
  <c r="BK153" i="13"/>
  <c r="BK154" i="13" s="1"/>
  <c r="DD153" i="36"/>
  <c r="DD154" i="36" s="1"/>
  <c r="BM153" i="13"/>
  <c r="BM154" i="13" s="1"/>
  <c r="BQ153" i="13"/>
  <c r="BQ154" i="13" s="1"/>
  <c r="BS153" i="13"/>
  <c r="BS154" i="13" s="1"/>
  <c r="DC30" i="15"/>
  <c r="DC29" i="15" s="1"/>
  <c r="BC153" i="13"/>
  <c r="BC154" i="13" s="1"/>
  <c r="BI153" i="13"/>
  <c r="BI154" i="13" s="1"/>
  <c r="BG153" i="13"/>
  <c r="BG154" i="13" s="1"/>
  <c r="AQ153" i="36"/>
  <c r="AK153" i="36"/>
  <c r="AO153" i="36"/>
  <c r="AM153" i="36"/>
  <c r="AU153" i="36"/>
  <c r="BC153" i="36"/>
  <c r="BC154" i="36" s="1"/>
  <c r="AW153" i="36"/>
  <c r="AW154" i="36" s="1"/>
  <c r="BE153" i="36"/>
  <c r="BE154" i="36" s="1"/>
  <c r="BA153" i="36"/>
  <c r="BA154" i="36" s="1"/>
  <c r="AS153" i="36"/>
  <c r="AS154" i="36" s="1"/>
  <c r="AY153" i="36"/>
  <c r="AY154" i="36" s="1"/>
  <c r="BE153" i="13"/>
  <c r="BE154" i="13" s="1"/>
  <c r="AK153" i="13"/>
  <c r="BA153" i="13"/>
  <c r="BA154" i="13" s="1"/>
  <c r="AY153" i="13"/>
  <c r="AY154" i="13" s="1"/>
  <c r="AW153" i="13"/>
  <c r="AW154" i="13" s="1"/>
  <c r="AS153" i="13"/>
  <c r="AS154" i="13" s="1"/>
  <c r="AQ153" i="13"/>
  <c r="AU153" i="13"/>
  <c r="DQ19" i="15"/>
  <c r="AS19" i="3" s="1"/>
  <c r="AK60" i="13"/>
  <c r="AK111" i="13" s="1"/>
  <c r="AK112" i="13" s="1"/>
  <c r="Z256" i="3"/>
  <c r="Y256" i="3"/>
  <c r="Y255" i="3"/>
  <c r="AK59" i="13"/>
  <c r="AJ72" i="13"/>
  <c r="DC10" i="15"/>
  <c r="DC76" i="15" s="1"/>
  <c r="DC74" i="15" s="1"/>
  <c r="DB16" i="15"/>
  <c r="DB20" i="15" s="1"/>
  <c r="DB24" i="15" s="1"/>
  <c r="DB23" i="15" s="1"/>
  <c r="DQ30" i="15"/>
  <c r="DQ29" i="15" s="1"/>
  <c r="AS29" i="3" s="1"/>
  <c r="DS25" i="15"/>
  <c r="AS26" i="3"/>
  <c r="AJ8" i="14"/>
  <c r="AK56" i="14"/>
  <c r="AK53" i="14" s="1"/>
  <c r="AK62" i="14"/>
  <c r="AK59" i="14" s="1"/>
  <c r="AK117" i="14"/>
  <c r="AK116" i="14" s="1"/>
  <c r="AK114" i="14" s="1"/>
  <c r="AK115" i="14" s="1"/>
  <c r="AK78" i="14"/>
  <c r="AK150" i="13" s="1"/>
  <c r="AM153" i="13"/>
  <c r="AO153" i="13"/>
  <c r="AK80" i="13"/>
  <c r="AK83" i="13" s="1"/>
  <c r="AK78" i="13"/>
  <c r="AK149" i="13" s="1"/>
  <c r="AK96" i="13"/>
  <c r="Z255" i="3"/>
  <c r="AJ61" i="13"/>
  <c r="DG49" i="14"/>
  <c r="DF41" i="14"/>
  <c r="DG133" i="14"/>
  <c r="DG142" i="14" s="1"/>
  <c r="DG155" i="14"/>
  <c r="DG80" i="14"/>
  <c r="DG75" i="14"/>
  <c r="DG111" i="14"/>
  <c r="DG112" i="14" s="1"/>
  <c r="DG108" i="14"/>
  <c r="DG109" i="14" s="1"/>
  <c r="AR32" i="3"/>
  <c r="DP31" i="15"/>
  <c r="AR31" i="3" s="1"/>
  <c r="AR30" i="3"/>
  <c r="DS10" i="15"/>
  <c r="DR16" i="15"/>
  <c r="DR20" i="15" s="1"/>
  <c r="DR24" i="15" s="1"/>
  <c r="DR23" i="15" s="1"/>
  <c r="DR42" i="15"/>
  <c r="DR30" i="15"/>
  <c r="DR29" i="15" s="1"/>
  <c r="DQ10" i="15"/>
  <c r="DP16" i="15"/>
  <c r="DP42" i="15"/>
  <c r="DB31" i="15"/>
  <c r="DB30" i="15"/>
  <c r="DB29" i="15" s="1"/>
  <c r="AK71" i="14"/>
  <c r="AK80" i="14"/>
  <c r="AK82" i="14" s="1"/>
  <c r="AK108" i="14"/>
  <c r="AK109" i="14" s="1"/>
  <c r="AJ16" i="14"/>
  <c r="AJ20" i="14" s="1"/>
  <c r="AK10" i="14"/>
  <c r="AK132" i="14" s="1"/>
  <c r="AK133" i="14" s="1"/>
  <c r="AK111" i="14"/>
  <c r="AK112" i="14" s="1"/>
  <c r="AK141" i="14"/>
  <c r="AK117" i="13"/>
  <c r="AK116" i="13" s="1"/>
  <c r="AK114" i="13" s="1"/>
  <c r="AK115" i="13" s="1"/>
  <c r="AK71" i="13"/>
  <c r="AJ16" i="13"/>
  <c r="AJ20" i="13" s="1"/>
  <c r="AK10" i="13"/>
  <c r="AK63" i="13"/>
  <c r="AJ9" i="13"/>
  <c r="AJ42" i="13"/>
  <c r="X223" i="3"/>
  <c r="Y223" i="3"/>
  <c r="DC132" i="15" l="1"/>
  <c r="DC69" i="15"/>
  <c r="AK150" i="36"/>
  <c r="AK132" i="13"/>
  <c r="AK133" i="13" s="1"/>
  <c r="AK142" i="13" s="1"/>
  <c r="AK75" i="13"/>
  <c r="DC126" i="15"/>
  <c r="DC16" i="15"/>
  <c r="DC20" i="15" s="1"/>
  <c r="DC24" i="15" s="1"/>
  <c r="DC23" i="15" s="1"/>
  <c r="DC129" i="15"/>
  <c r="AJ8" i="13"/>
  <c r="AK108" i="13"/>
  <c r="AK109" i="13" s="1"/>
  <c r="AK56" i="13"/>
  <c r="AK53" i="13" s="1"/>
  <c r="AK77" i="13"/>
  <c r="DP20" i="15"/>
  <c r="AR16" i="3"/>
  <c r="AS30" i="3"/>
  <c r="AK77" i="14"/>
  <c r="AK76" i="14" s="1"/>
  <c r="AK68" i="14"/>
  <c r="AK63" i="14" s="1"/>
  <c r="AK50" i="14"/>
  <c r="AK54" i="14" s="1"/>
  <c r="AK49" i="14" s="1"/>
  <c r="AK82" i="13"/>
  <c r="DG45" i="14"/>
  <c r="DG44" i="14" s="1"/>
  <c r="DG43" i="14" s="1"/>
  <c r="DF45" i="14"/>
  <c r="DF44" i="14" s="1"/>
  <c r="DF43" i="14" s="1"/>
  <c r="DF49" i="14"/>
  <c r="DF48" i="14" s="1"/>
  <c r="DG48" i="14"/>
  <c r="DG83" i="14"/>
  <c r="DG82" i="14"/>
  <c r="DG81" i="14"/>
  <c r="DS76" i="15"/>
  <c r="DS74" i="15" s="1"/>
  <c r="DS69" i="15"/>
  <c r="DS132" i="15"/>
  <c r="DS129" i="15"/>
  <c r="DS126" i="15"/>
  <c r="DS16" i="15"/>
  <c r="DS20" i="15" s="1"/>
  <c r="DS24" i="15" s="1"/>
  <c r="DS23" i="15" s="1"/>
  <c r="DQ69" i="15"/>
  <c r="DQ76" i="15"/>
  <c r="DQ74" i="15" s="1"/>
  <c r="DQ132" i="15"/>
  <c r="DQ129" i="15"/>
  <c r="DQ126" i="15"/>
  <c r="DQ16" i="15"/>
  <c r="DC75" i="15"/>
  <c r="DC80" i="15"/>
  <c r="AK83" i="14"/>
  <c r="AK86" i="14" s="1"/>
  <c r="AK142" i="14"/>
  <c r="AK69" i="14"/>
  <c r="AK75" i="14"/>
  <c r="AK16" i="14"/>
  <c r="AK20" i="14" s="1"/>
  <c r="AK81" i="14"/>
  <c r="AK81" i="13"/>
  <c r="AK69" i="13"/>
  <c r="AK16" i="13"/>
  <c r="AK20" i="13" s="1"/>
  <c r="AK126" i="13"/>
  <c r="AK127" i="13" s="1"/>
  <c r="AK129" i="13"/>
  <c r="AK130" i="13" s="1"/>
  <c r="AL77" i="13" l="1"/>
  <c r="AK50" i="13"/>
  <c r="AK54" i="13" s="1"/>
  <c r="AK49" i="13" s="1"/>
  <c r="AK68" i="13"/>
  <c r="AK84" i="14"/>
  <c r="DP24" i="15"/>
  <c r="AR20" i="3"/>
  <c r="AJ49" i="14"/>
  <c r="AJ48" i="14" s="1"/>
  <c r="AK48" i="14"/>
  <c r="AK45" i="14"/>
  <c r="AJ45" i="14"/>
  <c r="AK86" i="13"/>
  <c r="AK84" i="13"/>
  <c r="DG84" i="14"/>
  <c r="DQ20" i="15"/>
  <c r="AS16" i="3"/>
  <c r="DS75" i="15"/>
  <c r="DS80" i="15"/>
  <c r="DQ80" i="15"/>
  <c r="DQ75" i="15"/>
  <c r="DC81" i="15"/>
  <c r="DC82" i="15"/>
  <c r="DC83" i="15"/>
  <c r="AK89" i="14"/>
  <c r="AK87" i="14"/>
  <c r="AK76" i="13"/>
  <c r="DP23" i="15" l="1"/>
  <c r="AR23" i="3" s="1"/>
  <c r="AR24" i="3"/>
  <c r="AJ49" i="13"/>
  <c r="AJ48" i="13" s="1"/>
  <c r="AK48" i="13"/>
  <c r="AK45" i="13"/>
  <c r="AJ45" i="13"/>
  <c r="AK89" i="13"/>
  <c r="AK87" i="13"/>
  <c r="AK41" i="13"/>
  <c r="AJ41" i="13"/>
  <c r="DQ24" i="15"/>
  <c r="AS20" i="3"/>
  <c r="DS83" i="15"/>
  <c r="DS82" i="15"/>
  <c r="DS81" i="15"/>
  <c r="DQ83" i="15"/>
  <c r="DQ82" i="15"/>
  <c r="DQ81" i="15"/>
  <c r="DC84" i="15"/>
  <c r="AK93" i="14"/>
  <c r="AK90" i="14"/>
  <c r="AK93" i="13" l="1"/>
  <c r="AK90" i="13"/>
  <c r="AJ44" i="13"/>
  <c r="AJ43" i="13" s="1"/>
  <c r="AK44" i="13"/>
  <c r="DQ23" i="15"/>
  <c r="AS23" i="3" s="1"/>
  <c r="AS24" i="3"/>
  <c r="DS84" i="15"/>
  <c r="DQ84" i="15"/>
  <c r="AK98" i="14"/>
  <c r="AK94" i="14"/>
  <c r="AK43" i="13" l="1"/>
  <c r="AK47" i="13"/>
  <c r="AK94" i="13"/>
  <c r="AK98" i="13"/>
  <c r="AK144" i="14"/>
  <c r="AK99" i="14"/>
  <c r="AK124" i="14" s="1"/>
  <c r="AK144" i="13" l="1"/>
  <c r="AK99" i="13"/>
  <c r="AK124" i="13" s="1"/>
  <c r="AJ181" i="15" l="1"/>
  <c r="AK137" i="15"/>
  <c r="AK135" i="15"/>
  <c r="AK141" i="15" s="1"/>
  <c r="AK104" i="15"/>
  <c r="AK67" i="15"/>
  <c r="AJ72" i="15" s="1"/>
  <c r="AK57" i="15"/>
  <c r="AJ9" i="15" s="1"/>
  <c r="AK42" i="15"/>
  <c r="AJ32" i="15"/>
  <c r="AJ30" i="15" s="1"/>
  <c r="AJ29" i="15" s="1"/>
  <c r="AK31" i="15"/>
  <c r="AK26" i="15"/>
  <c r="AK30" i="15" s="1"/>
  <c r="AK29" i="15" s="1"/>
  <c r="AJ25" i="15"/>
  <c r="AJ19" i="15"/>
  <c r="AK15" i="15"/>
  <c r="AK19" i="15" s="1"/>
  <c r="AJ2" i="15"/>
  <c r="AJ10" i="15" s="1"/>
  <c r="AJ31" i="15" l="1"/>
  <c r="AK80" i="15"/>
  <c r="AK83" i="15" s="1"/>
  <c r="AK86" i="15" s="1"/>
  <c r="AK89" i="15" s="1"/>
  <c r="AK78" i="15"/>
  <c r="AK71" i="15"/>
  <c r="AJ16" i="15"/>
  <c r="AJ20" i="15" s="1"/>
  <c r="AJ24" i="15" s="1"/>
  <c r="AJ23" i="15" s="1"/>
  <c r="AK10" i="15"/>
  <c r="AK132" i="15" s="1"/>
  <c r="AJ42" i="15"/>
  <c r="AK63" i="15"/>
  <c r="AK25" i="15"/>
  <c r="AK151" i="13" l="1"/>
  <c r="AK152" i="13" s="1"/>
  <c r="AK154" i="13" s="1"/>
  <c r="AK151" i="36"/>
  <c r="AK152" i="36" s="1"/>
  <c r="AK154" i="36" s="1"/>
  <c r="AK84" i="15"/>
  <c r="AK87" i="15"/>
  <c r="AK82" i="15"/>
  <c r="AK93" i="15"/>
  <c r="AK90" i="15"/>
  <c r="AK75" i="15"/>
  <c r="AK16" i="15"/>
  <c r="AK20" i="15" s="1"/>
  <c r="AK24" i="15" s="1"/>
  <c r="AK23" i="15" s="1"/>
  <c r="AK129" i="15"/>
  <c r="AK81" i="15"/>
  <c r="AK126" i="15"/>
  <c r="AK77" i="15"/>
  <c r="AK76" i="15" s="1"/>
  <c r="AK69" i="15"/>
  <c r="AK94" i="15" l="1"/>
  <c r="DL26" i="15" l="1"/>
  <c r="DM32" i="15"/>
  <c r="DC26" i="14"/>
  <c r="DC32" i="14"/>
  <c r="O77" i="3"/>
  <c r="T255" i="3"/>
  <c r="T223" i="3"/>
  <c r="AC222" i="3" s="1"/>
  <c r="W222" i="3"/>
  <c r="V222" i="3"/>
  <c r="U222" i="3"/>
  <c r="W221" i="3"/>
  <c r="V221" i="3"/>
  <c r="U221" i="3"/>
  <c r="U256" i="3" s="1"/>
  <c r="W220" i="3"/>
  <c r="V220" i="3"/>
  <c r="U220" i="3"/>
  <c r="W148" i="3"/>
  <c r="W149" i="3"/>
  <c r="W147" i="3"/>
  <c r="V148" i="3"/>
  <c r="V149" i="3"/>
  <c r="V147" i="3"/>
  <c r="U148" i="3"/>
  <c r="U149" i="3"/>
  <c r="U147" i="3"/>
  <c r="T150" i="3"/>
  <c r="X255" i="3" l="1"/>
  <c r="W256" i="3"/>
  <c r="X256" i="3"/>
  <c r="AC221" i="3"/>
  <c r="AC220" i="3"/>
  <c r="V255" i="3"/>
  <c r="U255" i="3"/>
  <c r="W223" i="3"/>
  <c r="AF221" i="3" s="1"/>
  <c r="V223" i="3"/>
  <c r="AE222" i="3" s="1"/>
  <c r="W255" i="3"/>
  <c r="V256" i="3"/>
  <c r="U223" i="3"/>
  <c r="T256" i="3"/>
  <c r="U150" i="3"/>
  <c r="V150" i="3"/>
  <c r="W150" i="3"/>
  <c r="AE220" i="3" l="1"/>
  <c r="AE221" i="3"/>
  <c r="AF220" i="3"/>
  <c r="AF222" i="3"/>
  <c r="AD220" i="3"/>
  <c r="AD222" i="3"/>
  <c r="AD221" i="3"/>
  <c r="O92" i="3"/>
  <c r="BZ32" i="3" l="1"/>
  <c r="BY32" i="3" s="1"/>
  <c r="BT32" i="3"/>
  <c r="BS32" i="3" s="1"/>
  <c r="BG15" i="3"/>
  <c r="BJ79" i="3"/>
  <c r="BH67" i="3"/>
  <c r="BH57" i="3"/>
  <c r="BI3" i="3"/>
  <c r="BQ3" i="3" s="1"/>
  <c r="BG3" i="3"/>
  <c r="BO3" i="3" s="1"/>
  <c r="BE3" i="3"/>
  <c r="BM3" i="3" s="1"/>
  <c r="BC3" i="3"/>
  <c r="BK3" i="3" s="1"/>
  <c r="BD135" i="3"/>
  <c r="BD140" i="3" s="1"/>
  <c r="BD104" i="3"/>
  <c r="BD66" i="3"/>
  <c r="BD121" i="3" s="1"/>
  <c r="BD63" i="3"/>
  <c r="BC19" i="3"/>
  <c r="BD15" i="3"/>
  <c r="BD19" i="3" s="1"/>
  <c r="BC9" i="3"/>
  <c r="BC2" i="3"/>
  <c r="BC10" i="3" s="1"/>
  <c r="BC16" i="3" s="1"/>
  <c r="BC20" i="3" s="1"/>
  <c r="BJ135" i="3"/>
  <c r="BJ140" i="3" s="1"/>
  <c r="BJ104" i="3"/>
  <c r="BI2" i="3"/>
  <c r="BI10" i="3" s="1"/>
  <c r="BJ10" i="3" s="1"/>
  <c r="CJ140" i="3"/>
  <c r="DN181" i="15"/>
  <c r="DO137" i="15"/>
  <c r="DO135" i="15"/>
  <c r="DO141" i="15" s="1"/>
  <c r="DO104" i="15"/>
  <c r="DO63" i="15"/>
  <c r="DO32" i="15"/>
  <c r="DO31" i="15" s="1"/>
  <c r="DN26" i="15"/>
  <c r="DN25" i="15" s="1"/>
  <c r="DN19" i="15"/>
  <c r="DO15" i="15"/>
  <c r="DO19" i="15" s="1"/>
  <c r="DN2" i="15"/>
  <c r="DN10" i="15" s="1"/>
  <c r="DE135" i="14"/>
  <c r="DE96" i="14" s="1"/>
  <c r="DE123" i="14"/>
  <c r="DE122" i="14"/>
  <c r="DE121" i="14"/>
  <c r="DE120" i="14"/>
  <c r="DE119" i="14"/>
  <c r="DE106" i="14"/>
  <c r="DE104" i="14"/>
  <c r="DE105" i="14" s="1"/>
  <c r="DE65" i="14"/>
  <c r="DE59" i="14" s="1"/>
  <c r="DE52" i="14"/>
  <c r="DE32" i="14"/>
  <c r="DE26" i="14"/>
  <c r="DD26" i="14"/>
  <c r="AC26" i="3" s="1"/>
  <c r="DD19" i="14"/>
  <c r="AC19" i="3" s="1"/>
  <c r="DE15" i="14"/>
  <c r="DD9" i="14"/>
  <c r="DD2" i="14"/>
  <c r="DD10" i="14" s="1"/>
  <c r="DD16" i="14" s="1"/>
  <c r="Q60" i="3"/>
  <c r="P32" i="3"/>
  <c r="Q25" i="3"/>
  <c r="P19" i="3"/>
  <c r="DF181" i="15"/>
  <c r="DG137" i="15"/>
  <c r="DG135" i="15"/>
  <c r="DG141" i="15" s="1"/>
  <c r="DG104" i="15"/>
  <c r="DG63" i="15"/>
  <c r="DG42" i="15"/>
  <c r="DF32" i="15"/>
  <c r="DF31" i="15" s="1"/>
  <c r="DG31" i="15"/>
  <c r="DG30" i="15"/>
  <c r="DG29" i="15" s="1"/>
  <c r="DG25" i="15"/>
  <c r="DF25" i="15"/>
  <c r="DF19" i="15"/>
  <c r="DG15" i="15"/>
  <c r="DF9" i="15"/>
  <c r="DF2" i="15"/>
  <c r="DF10" i="15" s="1"/>
  <c r="DG10" i="15" s="1"/>
  <c r="DA135" i="14"/>
  <c r="DA96" i="14" s="1"/>
  <c r="DA123" i="14"/>
  <c r="DA122" i="14"/>
  <c r="DA121" i="14"/>
  <c r="DA120" i="14"/>
  <c r="DA119" i="14"/>
  <c r="DA106" i="14"/>
  <c r="DA104" i="14"/>
  <c r="DA105" i="14" s="1"/>
  <c r="DA65" i="14"/>
  <c r="DA60" i="14" s="1"/>
  <c r="DA62" i="14"/>
  <c r="DA52" i="14"/>
  <c r="DA42" i="14"/>
  <c r="DA30" i="14"/>
  <c r="DA29" i="14" s="1"/>
  <c r="DA31" i="14"/>
  <c r="CZ26" i="14"/>
  <c r="CZ25" i="14" s="1"/>
  <c r="DA25" i="14"/>
  <c r="CZ19" i="14"/>
  <c r="DA15" i="14"/>
  <c r="DA19" i="14" s="1"/>
  <c r="CZ9" i="14"/>
  <c r="CZ2" i="14"/>
  <c r="CZ10" i="14" s="1"/>
  <c r="CZ8" i="14" l="1"/>
  <c r="DA56" i="14"/>
  <c r="DA68" i="14" s="1"/>
  <c r="DA63" i="14" s="1"/>
  <c r="DA59" i="14"/>
  <c r="BU3" i="3"/>
  <c r="CC3" i="3" s="1"/>
  <c r="BW3" i="3"/>
  <c r="CE3" i="3" s="1"/>
  <c r="BY3" i="3"/>
  <c r="CG3" i="3" s="1"/>
  <c r="BS3" i="3"/>
  <c r="CA3" i="3" s="1"/>
  <c r="DE30" i="14"/>
  <c r="AD26" i="3"/>
  <c r="DA141" i="14"/>
  <c r="DE31" i="14"/>
  <c r="AD31" i="3" s="1"/>
  <c r="AD32" i="3"/>
  <c r="DE117" i="14"/>
  <c r="DE116" i="14" s="1"/>
  <c r="DE114" i="14" s="1"/>
  <c r="DE115" i="14" s="1"/>
  <c r="DD20" i="14"/>
  <c r="AC16" i="3"/>
  <c r="DE19" i="14"/>
  <c r="AD19" i="3" s="1"/>
  <c r="AD15" i="3"/>
  <c r="Q19" i="3"/>
  <c r="Q15" i="3"/>
  <c r="P26" i="3"/>
  <c r="Q29" i="3"/>
  <c r="Q30" i="3"/>
  <c r="P25" i="3"/>
  <c r="DD32" i="14"/>
  <c r="DD42" i="14" s="1"/>
  <c r="DA117" i="14"/>
  <c r="DA116" i="14" s="1"/>
  <c r="DA114" i="14" s="1"/>
  <c r="DA115" i="14" s="1"/>
  <c r="DF30" i="15"/>
  <c r="DF29" i="15" s="1"/>
  <c r="BD65" i="3"/>
  <c r="BD60" i="3" s="1"/>
  <c r="BC8" i="3" s="1"/>
  <c r="BD96" i="3"/>
  <c r="BD105" i="3"/>
  <c r="BD122" i="3"/>
  <c r="BD123" i="3"/>
  <c r="BD52" i="3"/>
  <c r="BD10" i="3"/>
  <c r="BD132" i="3" s="1"/>
  <c r="BD133" i="3" s="1"/>
  <c r="BD141" i="3" s="1"/>
  <c r="BD106" i="3"/>
  <c r="BD119" i="3"/>
  <c r="BD120" i="3"/>
  <c r="BJ126" i="3"/>
  <c r="BJ76" i="3"/>
  <c r="BJ74" i="3" s="1"/>
  <c r="BJ75" i="3" s="1"/>
  <c r="BJ132" i="3"/>
  <c r="BJ129" i="3"/>
  <c r="DN16" i="15"/>
  <c r="DN20" i="15" s="1"/>
  <c r="DN24" i="15" s="1"/>
  <c r="DN23" i="15" s="1"/>
  <c r="DO10" i="15"/>
  <c r="DO16" i="15" s="1"/>
  <c r="DO20" i="15" s="1"/>
  <c r="DN32" i="15"/>
  <c r="DN30" i="15" s="1"/>
  <c r="DN29" i="15" s="1"/>
  <c r="DO42" i="15"/>
  <c r="DN9" i="15"/>
  <c r="DO26" i="15"/>
  <c r="DE42" i="14"/>
  <c r="DD25" i="14"/>
  <c r="AC25" i="3" s="1"/>
  <c r="DE25" i="14"/>
  <c r="AD25" i="3" s="1"/>
  <c r="DE60" i="14"/>
  <c r="AD60" i="3" s="1"/>
  <c r="DE10" i="14"/>
  <c r="DE141" i="14"/>
  <c r="P31" i="3"/>
  <c r="Q31" i="3"/>
  <c r="DF42" i="15"/>
  <c r="DG132" i="15"/>
  <c r="DG129" i="15"/>
  <c r="DG126" i="15"/>
  <c r="DG69" i="15"/>
  <c r="DG76" i="15"/>
  <c r="DG74" i="15" s="1"/>
  <c r="DG16" i="15"/>
  <c r="DG20" i="15" s="1"/>
  <c r="DG24" i="15" s="1"/>
  <c r="DG23" i="15" s="1"/>
  <c r="DG19" i="15"/>
  <c r="DF16" i="15"/>
  <c r="DF20" i="15" s="1"/>
  <c r="DF24" i="15" s="1"/>
  <c r="DF23" i="15" s="1"/>
  <c r="CZ16" i="14"/>
  <c r="CZ20" i="14" s="1"/>
  <c r="CZ24" i="14" s="1"/>
  <c r="CZ23" i="14" s="1"/>
  <c r="DA10" i="14"/>
  <c r="DA16" i="14" s="1"/>
  <c r="DA20" i="14" s="1"/>
  <c r="DA24" i="14" s="1"/>
  <c r="DA23" i="14" s="1"/>
  <c r="DD30" i="14" l="1"/>
  <c r="BD59" i="3"/>
  <c r="BD56" i="3"/>
  <c r="BD68" i="3" s="1"/>
  <c r="DA53" i="14"/>
  <c r="DA50" i="14"/>
  <c r="DA54" i="14" s="1"/>
  <c r="DA49" i="14" s="1"/>
  <c r="BD117" i="3"/>
  <c r="BD116" i="3" s="1"/>
  <c r="BD114" i="3" s="1"/>
  <c r="BD115" i="3" s="1"/>
  <c r="DO24" i="15"/>
  <c r="DO23" i="15" s="1"/>
  <c r="DD29" i="14"/>
  <c r="AC29" i="3" s="1"/>
  <c r="AC30" i="3"/>
  <c r="DD31" i="14"/>
  <c r="AC31" i="3" s="1"/>
  <c r="AC32" i="3"/>
  <c r="DE29" i="14"/>
  <c r="AD29" i="3" s="1"/>
  <c r="AD30" i="3"/>
  <c r="DD24" i="14"/>
  <c r="AC20" i="3"/>
  <c r="P29" i="3"/>
  <c r="P30" i="3"/>
  <c r="Q56" i="3"/>
  <c r="P16" i="3"/>
  <c r="DE16" i="14"/>
  <c r="DE157" i="14"/>
  <c r="BD69" i="3"/>
  <c r="BD76" i="3"/>
  <c r="BD74" i="3" s="1"/>
  <c r="BD129" i="3"/>
  <c r="BD130" i="3" s="1"/>
  <c r="BD126" i="3"/>
  <c r="BD127" i="3" s="1"/>
  <c r="BD16" i="3"/>
  <c r="BD20" i="3" s="1"/>
  <c r="DN31" i="15"/>
  <c r="DN42" i="15"/>
  <c r="DO30" i="15"/>
  <c r="DO29" i="15" s="1"/>
  <c r="DO25" i="15"/>
  <c r="DO132" i="15"/>
  <c r="DO129" i="15"/>
  <c r="DO126" i="15"/>
  <c r="DO76" i="15"/>
  <c r="DO74" i="15" s="1"/>
  <c r="DO69" i="15"/>
  <c r="DD62" i="14"/>
  <c r="DD8" i="14"/>
  <c r="DE56" i="14"/>
  <c r="DE132" i="14"/>
  <c r="DE76" i="14"/>
  <c r="DE74" i="14" s="1"/>
  <c r="DE69" i="14"/>
  <c r="DG80" i="15"/>
  <c r="DG75" i="15"/>
  <c r="DA69" i="14"/>
  <c r="DA132" i="14"/>
  <c r="DA133" i="14" s="1"/>
  <c r="DA142" i="14" s="1"/>
  <c r="DA76" i="14"/>
  <c r="DA74" i="14" s="1"/>
  <c r="DK153" i="13" l="1"/>
  <c r="CY153" i="36"/>
  <c r="BD50" i="3"/>
  <c r="BD54" i="3" s="1"/>
  <c r="BD49" i="3" s="1"/>
  <c r="BD53" i="3"/>
  <c r="DD23" i="14"/>
  <c r="AC23" i="3" s="1"/>
  <c r="AC24" i="3"/>
  <c r="DE20" i="14"/>
  <c r="AD16" i="3"/>
  <c r="Q16" i="3"/>
  <c r="P20" i="3"/>
  <c r="DE133" i="14"/>
  <c r="DE142" i="14" s="1"/>
  <c r="DE155" i="14"/>
  <c r="DO155" i="15"/>
  <c r="BD111" i="3"/>
  <c r="BD112" i="3" s="1"/>
  <c r="BD108" i="3"/>
  <c r="BD109" i="3" s="1"/>
  <c r="BD71" i="3"/>
  <c r="BD80" i="3"/>
  <c r="BD75" i="3"/>
  <c r="DO75" i="15"/>
  <c r="DO80" i="15"/>
  <c r="DE68" i="14"/>
  <c r="DE63" i="14" s="1"/>
  <c r="DE50" i="14"/>
  <c r="DE53" i="14"/>
  <c r="DE75" i="14"/>
  <c r="DE80" i="14"/>
  <c r="DE108" i="14"/>
  <c r="DE109" i="14" s="1"/>
  <c r="DE111" i="14"/>
  <c r="DE112" i="14" s="1"/>
  <c r="DG83" i="15"/>
  <c r="DG81" i="15"/>
  <c r="DG82" i="15"/>
  <c r="DA111" i="14"/>
  <c r="DA112" i="14" s="1"/>
  <c r="DA108" i="14"/>
  <c r="DA109" i="14" s="1"/>
  <c r="DA80" i="14"/>
  <c r="DA75" i="14"/>
  <c r="DA48" i="14"/>
  <c r="DA45" i="14"/>
  <c r="CZ45" i="14"/>
  <c r="CZ49" i="14"/>
  <c r="CZ48" i="14" s="1"/>
  <c r="DA41" i="14"/>
  <c r="CZ148" i="36" l="1"/>
  <c r="DL148" i="13"/>
  <c r="DE24" i="14"/>
  <c r="AD20" i="3"/>
  <c r="Q20" i="3"/>
  <c r="P23" i="3"/>
  <c r="P24" i="3"/>
  <c r="BD48" i="3"/>
  <c r="BC49" i="3"/>
  <c r="BC48" i="3" s="1"/>
  <c r="BC45" i="3"/>
  <c r="BD45" i="3"/>
  <c r="BD83" i="3"/>
  <c r="BD82" i="3"/>
  <c r="BD81" i="3"/>
  <c r="DO83" i="15"/>
  <c r="DO82" i="15"/>
  <c r="DO81" i="15"/>
  <c r="DE83" i="14"/>
  <c r="DE82" i="14"/>
  <c r="DE81" i="14"/>
  <c r="DE54" i="14"/>
  <c r="DG84" i="15"/>
  <c r="DA81" i="14"/>
  <c r="DA82" i="14"/>
  <c r="DA83" i="14"/>
  <c r="DA44" i="14"/>
  <c r="DA43" i="14" s="1"/>
  <c r="DE23" i="14" l="1"/>
  <c r="AD23" i="3" s="1"/>
  <c r="AD24" i="3"/>
  <c r="Q23" i="3"/>
  <c r="Q24" i="3"/>
  <c r="BD86" i="3"/>
  <c r="BD84" i="3"/>
  <c r="DO84" i="15"/>
  <c r="DD41" i="14"/>
  <c r="DE41" i="14"/>
  <c r="DE84" i="14"/>
  <c r="DE49" i="14"/>
  <c r="DA84" i="14"/>
  <c r="BD89" i="3" l="1"/>
  <c r="BD87" i="3"/>
  <c r="DD49" i="14"/>
  <c r="DD48" i="14" s="1"/>
  <c r="DE48" i="14"/>
  <c r="DE45" i="14"/>
  <c r="DE44" i="14" s="1"/>
  <c r="DE43" i="14" s="1"/>
  <c r="DD45" i="14"/>
  <c r="DD44" i="14" s="1"/>
  <c r="DD43" i="14" s="1"/>
  <c r="BD90" i="3" l="1"/>
  <c r="BD93" i="3"/>
  <c r="BD98" i="3" l="1"/>
  <c r="BD94" i="3"/>
  <c r="BD143" i="3" l="1"/>
  <c r="BD99" i="3"/>
  <c r="DM57" i="15" l="1"/>
  <c r="DL9" i="15" s="1"/>
  <c r="DK57" i="15"/>
  <c r="DJ9" i="15" s="1"/>
  <c r="DM67" i="15"/>
  <c r="DK67" i="15"/>
  <c r="DC67" i="14"/>
  <c r="DC57" i="14"/>
  <c r="DI67" i="15"/>
  <c r="DL25" i="15"/>
  <c r="DM42" i="15"/>
  <c r="DK32" i="15"/>
  <c r="DK31" i="15" s="1"/>
  <c r="DH26" i="15"/>
  <c r="DI32" i="15"/>
  <c r="DJ181" i="15"/>
  <c r="DK137" i="15"/>
  <c r="DK135" i="15"/>
  <c r="DK141" i="15" s="1"/>
  <c r="DK104" i="15"/>
  <c r="DJ26" i="15"/>
  <c r="DJ25" i="15" s="1"/>
  <c r="DJ19" i="15"/>
  <c r="DK15" i="15"/>
  <c r="DK19" i="15" s="1"/>
  <c r="DJ2" i="15"/>
  <c r="DJ10" i="15" s="1"/>
  <c r="DJ16" i="15" s="1"/>
  <c r="DJ20" i="15" s="1"/>
  <c r="DB26" i="14"/>
  <c r="DB32" i="14"/>
  <c r="DB42" i="14" s="1"/>
  <c r="W32" i="14"/>
  <c r="Y32" i="14" s="1"/>
  <c r="Y42" i="14" s="1"/>
  <c r="DL181" i="15"/>
  <c r="DM137" i="15"/>
  <c r="DM135" i="15"/>
  <c r="DM141" i="15" s="1"/>
  <c r="DM104" i="15"/>
  <c r="DL19" i="15"/>
  <c r="DM15" i="15"/>
  <c r="DM19" i="15" s="1"/>
  <c r="DL2" i="15"/>
  <c r="DL10" i="15" s="1"/>
  <c r="DJ24" i="15" l="1"/>
  <c r="DJ23" i="15" s="1"/>
  <c r="T246" i="3"/>
  <c r="U246" i="3"/>
  <c r="L162" i="3"/>
  <c r="T247" i="3"/>
  <c r="U247" i="3"/>
  <c r="J163" i="3"/>
  <c r="U230" i="3"/>
  <c r="T230" i="3"/>
  <c r="U248" i="3"/>
  <c r="T248" i="3"/>
  <c r="L161" i="3"/>
  <c r="BJ57" i="3"/>
  <c r="AR9" i="3"/>
  <c r="L163" i="3"/>
  <c r="F157" i="3"/>
  <c r="DK26" i="15"/>
  <c r="DK25" i="15" s="1"/>
  <c r="DC42" i="14"/>
  <c r="AA32" i="14"/>
  <c r="AC32" i="14" s="1"/>
  <c r="DK63" i="15"/>
  <c r="DM63" i="15"/>
  <c r="DJ32" i="15"/>
  <c r="DJ30" i="15" s="1"/>
  <c r="DJ29" i="15" s="1"/>
  <c r="DK42" i="15"/>
  <c r="DK10" i="15"/>
  <c r="DM31" i="15"/>
  <c r="DL32" i="15"/>
  <c r="DL16" i="15"/>
  <c r="DM10" i="15"/>
  <c r="DM16" i="15" s="1"/>
  <c r="DM26" i="15"/>
  <c r="L194" i="3"/>
  <c r="T249" i="3" l="1"/>
  <c r="U249" i="3"/>
  <c r="DK30" i="15"/>
  <c r="DK29" i="15" s="1"/>
  <c r="BI9" i="3"/>
  <c r="BJ63" i="3"/>
  <c r="M163" i="3"/>
  <c r="DL20" i="15"/>
  <c r="DM20" i="15"/>
  <c r="AE32" i="14"/>
  <c r="AG32" i="14" s="1"/>
  <c r="AC42" i="14"/>
  <c r="DJ31" i="15"/>
  <c r="DJ42" i="15"/>
  <c r="DK16" i="15"/>
  <c r="DK20" i="15" s="1"/>
  <c r="DK24" i="15" s="1"/>
  <c r="DK23" i="15" s="1"/>
  <c r="DK132" i="15"/>
  <c r="DK129" i="15"/>
  <c r="DK126" i="15"/>
  <c r="DK76" i="15"/>
  <c r="DK74" i="15" s="1"/>
  <c r="DK69" i="15"/>
  <c r="DL42" i="15"/>
  <c r="DL31" i="15"/>
  <c r="DL30" i="15"/>
  <c r="DM30" i="15"/>
  <c r="DM25" i="15"/>
  <c r="DM76" i="15"/>
  <c r="DM74" i="15" s="1"/>
  <c r="DM129" i="15"/>
  <c r="DM126" i="15"/>
  <c r="DM132" i="15"/>
  <c r="DM69" i="15"/>
  <c r="DL29" i="15" l="1"/>
  <c r="DM29" i="15"/>
  <c r="DM24" i="15"/>
  <c r="DL24" i="15"/>
  <c r="AI32" i="14"/>
  <c r="AK32" i="14" s="1"/>
  <c r="AM32" i="14" s="1"/>
  <c r="AG42" i="14"/>
  <c r="DK75" i="15"/>
  <c r="DK80" i="15"/>
  <c r="DM80" i="15"/>
  <c r="DM75" i="15"/>
  <c r="AM31" i="14" l="1"/>
  <c r="AO32" i="14"/>
  <c r="AQ32" i="14" s="1"/>
  <c r="AM42" i="14"/>
  <c r="AM41" i="14" s="1"/>
  <c r="AM44" i="14" s="1"/>
  <c r="AM43" i="14" s="1"/>
  <c r="AK31" i="14"/>
  <c r="AK42" i="14"/>
  <c r="AK41" i="14" s="1"/>
  <c r="AK44" i="14" s="1"/>
  <c r="AK43" i="14" s="1"/>
  <c r="DM23" i="15"/>
  <c r="DL23" i="15"/>
  <c r="AI42" i="14"/>
  <c r="CQ32" i="14"/>
  <c r="CS32" i="14" s="1"/>
  <c r="DK83" i="15"/>
  <c r="DK82" i="15"/>
  <c r="DK81" i="15"/>
  <c r="DM82" i="15"/>
  <c r="DM81" i="15"/>
  <c r="DM83" i="15"/>
  <c r="AS32" i="14" l="1"/>
  <c r="AQ31" i="14"/>
  <c r="AQ42" i="14"/>
  <c r="AQ41" i="14" s="1"/>
  <c r="AQ44" i="14" s="1"/>
  <c r="AQ43" i="14" s="1"/>
  <c r="AO31" i="14"/>
  <c r="AO42" i="14"/>
  <c r="AO41" i="14" s="1"/>
  <c r="AO44" i="14" s="1"/>
  <c r="AO43" i="14" s="1"/>
  <c r="CU32" i="14"/>
  <c r="CS42" i="14"/>
  <c r="DK84" i="15"/>
  <c r="DM84" i="15"/>
  <c r="AS31" i="14" l="1"/>
  <c r="AS42" i="14"/>
  <c r="AS41" i="14" s="1"/>
  <c r="AS44" i="14" s="1"/>
  <c r="AS43" i="14" s="1"/>
  <c r="AU32" i="14"/>
  <c r="AW32" i="14" s="1"/>
  <c r="CW32" i="14"/>
  <c r="CU42" i="14"/>
  <c r="AY32" i="14" l="1"/>
  <c r="AW31" i="14"/>
  <c r="AW42" i="14"/>
  <c r="AW41" i="14" s="1"/>
  <c r="AW44" i="14" s="1"/>
  <c r="AW43" i="14" s="1"/>
  <c r="AU31" i="14"/>
  <c r="AU42" i="14"/>
  <c r="AU41" i="14" s="1"/>
  <c r="AU44" i="14" s="1"/>
  <c r="AU43" i="14" s="1"/>
  <c r="CW42" i="14"/>
  <c r="CY32" i="14"/>
  <c r="AY31" i="14" l="1"/>
  <c r="BA32" i="14"/>
  <c r="AY42" i="14"/>
  <c r="AY41" i="14" s="1"/>
  <c r="AY44" i="14" s="1"/>
  <c r="AY43" i="14" s="1"/>
  <c r="CJ123" i="3"/>
  <c r="CJ122" i="3"/>
  <c r="CJ121" i="3"/>
  <c r="CJ120" i="3"/>
  <c r="CJ119" i="3"/>
  <c r="CJ106" i="3"/>
  <c r="CJ100" i="3"/>
  <c r="CJ104" i="3" s="1"/>
  <c r="CJ105" i="3" s="1"/>
  <c r="CJ65" i="3"/>
  <c r="CJ63" i="3"/>
  <c r="CJ52" i="3"/>
  <c r="CI9" i="3"/>
  <c r="AL2" i="3"/>
  <c r="AL10" i="3" s="1"/>
  <c r="AM10" i="3" s="1"/>
  <c r="L2" i="3"/>
  <c r="L10" i="3" s="1"/>
  <c r="G179" i="3"/>
  <c r="AS123" i="3"/>
  <c r="AS135" i="3"/>
  <c r="AQ136" i="3"/>
  <c r="AQ79" i="3"/>
  <c r="AQ123" i="3" s="1"/>
  <c r="AQ77" i="3"/>
  <c r="AQ67" i="3"/>
  <c r="AQ64" i="3"/>
  <c r="AQ137" i="3" s="1"/>
  <c r="AQ57" i="3"/>
  <c r="AQ32" i="3"/>
  <c r="AQ42" i="3" s="1"/>
  <c r="AQ18" i="3"/>
  <c r="AQ17" i="3"/>
  <c r="AP26" i="3"/>
  <c r="AP18" i="3"/>
  <c r="AP17" i="3"/>
  <c r="AP15" i="3"/>
  <c r="AO32" i="3"/>
  <c r="AO42" i="3" s="1"/>
  <c r="AO18" i="3"/>
  <c r="AO17" i="3"/>
  <c r="AN26" i="3"/>
  <c r="AN18" i="3"/>
  <c r="AN17" i="3"/>
  <c r="AN15" i="3"/>
  <c r="AM32" i="3"/>
  <c r="AM42" i="3" s="1"/>
  <c r="AM18" i="3"/>
  <c r="AM17" i="3"/>
  <c r="AL26" i="3"/>
  <c r="AL18" i="3"/>
  <c r="AL17" i="3"/>
  <c r="AL15" i="3"/>
  <c r="AS122" i="3"/>
  <c r="AS121" i="3"/>
  <c r="AS120" i="3"/>
  <c r="AS119" i="3"/>
  <c r="AS106" i="3"/>
  <c r="AS52" i="3"/>
  <c r="AR2" i="3"/>
  <c r="AR10" i="3" s="1"/>
  <c r="AS10" i="3" s="1"/>
  <c r="F165" i="3" s="1"/>
  <c r="AQ122" i="3"/>
  <c r="AQ121" i="3"/>
  <c r="AQ120" i="3"/>
  <c r="AQ119" i="3"/>
  <c r="AQ106" i="3"/>
  <c r="AQ52" i="3"/>
  <c r="AP2" i="3"/>
  <c r="AP10" i="3" s="1"/>
  <c r="AQ10" i="3" s="1"/>
  <c r="AO122" i="3"/>
  <c r="AO121" i="3"/>
  <c r="AO120" i="3"/>
  <c r="AO119" i="3"/>
  <c r="AO106" i="3"/>
  <c r="AO52" i="3"/>
  <c r="AN2" i="3"/>
  <c r="AN10" i="3" s="1"/>
  <c r="AO10" i="3" s="1"/>
  <c r="AM122" i="3"/>
  <c r="AM121" i="3"/>
  <c r="AM120" i="3"/>
  <c r="AM119" i="3"/>
  <c r="AM106" i="3"/>
  <c r="AM52" i="3"/>
  <c r="AB136" i="3"/>
  <c r="AB131" i="3"/>
  <c r="G188" i="3" s="1"/>
  <c r="AD123" i="3"/>
  <c r="AB79" i="3"/>
  <c r="AB123" i="3" s="1"/>
  <c r="Z79" i="3"/>
  <c r="Z123" i="3" s="1"/>
  <c r="AB77" i="3"/>
  <c r="AB92" i="3"/>
  <c r="AD135" i="3"/>
  <c r="AB64" i="3"/>
  <c r="AB137" i="3" s="1"/>
  <c r="AB67" i="3"/>
  <c r="AC9" i="3"/>
  <c r="AB57" i="3"/>
  <c r="AD42" i="3"/>
  <c r="AC42" i="3"/>
  <c r="AB32" i="3"/>
  <c r="AB42" i="3" s="1"/>
  <c r="AB18" i="3"/>
  <c r="AB17" i="3"/>
  <c r="AA18" i="3"/>
  <c r="AA17" i="3"/>
  <c r="AA15" i="3"/>
  <c r="Z32" i="3"/>
  <c r="Z42" i="3" s="1"/>
  <c r="Z18" i="3"/>
  <c r="Z17" i="3"/>
  <c r="Y18" i="3"/>
  <c r="Y17" i="3"/>
  <c r="Y15" i="3"/>
  <c r="AD122" i="3"/>
  <c r="AD121" i="3"/>
  <c r="AD120" i="3"/>
  <c r="AD119" i="3"/>
  <c r="AD106" i="3"/>
  <c r="AD52" i="3"/>
  <c r="AC2" i="3"/>
  <c r="AC10" i="3" s="1"/>
  <c r="AD10" i="3" s="1"/>
  <c r="AB122" i="3"/>
  <c r="AB121" i="3"/>
  <c r="AB120" i="3"/>
  <c r="AB119" i="3"/>
  <c r="AB106" i="3"/>
  <c r="AB52" i="3"/>
  <c r="AA2" i="3"/>
  <c r="AA10" i="3" s="1"/>
  <c r="AB10" i="3" s="1"/>
  <c r="Z122" i="3"/>
  <c r="Z121" i="3"/>
  <c r="Z120" i="3"/>
  <c r="Z119" i="3"/>
  <c r="Z106" i="3"/>
  <c r="Z52" i="3"/>
  <c r="Y2" i="3"/>
  <c r="Y10" i="3" s="1"/>
  <c r="Z10" i="3" s="1"/>
  <c r="X32" i="3"/>
  <c r="X42" i="3" s="1"/>
  <c r="X18" i="3"/>
  <c r="X17" i="3"/>
  <c r="W26" i="3"/>
  <c r="W18" i="3"/>
  <c r="W17" i="3"/>
  <c r="W15" i="3"/>
  <c r="X122" i="3"/>
  <c r="X121" i="3"/>
  <c r="X120" i="3"/>
  <c r="X119" i="3"/>
  <c r="X106" i="3"/>
  <c r="X52" i="3"/>
  <c r="J2" i="3"/>
  <c r="N2" i="3"/>
  <c r="N10" i="3" s="1"/>
  <c r="O10" i="3" s="1"/>
  <c r="O136" i="3"/>
  <c r="O131" i="3"/>
  <c r="G187" i="3" s="1"/>
  <c r="O79" i="3"/>
  <c r="O123" i="3" s="1"/>
  <c r="O64" i="3"/>
  <c r="O100" i="3" s="1"/>
  <c r="O104" i="3" s="1"/>
  <c r="O105" i="3" s="1"/>
  <c r="O57" i="3"/>
  <c r="O32" i="3"/>
  <c r="O42" i="3" s="1"/>
  <c r="O18" i="3"/>
  <c r="O17" i="3"/>
  <c r="N18" i="3"/>
  <c r="N17" i="3"/>
  <c r="N15" i="3"/>
  <c r="M32" i="3"/>
  <c r="M42" i="3" s="1"/>
  <c r="M18" i="3"/>
  <c r="M17" i="3"/>
  <c r="L18" i="3"/>
  <c r="L17" i="3"/>
  <c r="L15" i="3"/>
  <c r="O122" i="3"/>
  <c r="O121" i="3"/>
  <c r="O120" i="3"/>
  <c r="O119" i="3"/>
  <c r="O106" i="3"/>
  <c r="O52" i="3"/>
  <c r="M122" i="3"/>
  <c r="M121" i="3"/>
  <c r="M120" i="3"/>
  <c r="M119" i="3"/>
  <c r="M106" i="3"/>
  <c r="M52" i="3"/>
  <c r="Q123" i="3"/>
  <c r="Q100" i="3"/>
  <c r="Q104" i="3" s="1"/>
  <c r="Q105" i="3" s="1"/>
  <c r="P9" i="3"/>
  <c r="Q42" i="3"/>
  <c r="BI26" i="3"/>
  <c r="BI15" i="3"/>
  <c r="Q122" i="3"/>
  <c r="Q121" i="3"/>
  <c r="Q120" i="3"/>
  <c r="Q119" i="3"/>
  <c r="Q106" i="3"/>
  <c r="Q52" i="3"/>
  <c r="P2" i="3"/>
  <c r="P10" i="3" s="1"/>
  <c r="Q10" i="3" s="1"/>
  <c r="K32" i="3"/>
  <c r="K18" i="3"/>
  <c r="K17" i="3"/>
  <c r="J18" i="3"/>
  <c r="J17" i="3"/>
  <c r="J15" i="3"/>
  <c r="AI135" i="13"/>
  <c r="AG135" i="13"/>
  <c r="AE135" i="13"/>
  <c r="AC135" i="13"/>
  <c r="AA135" i="13"/>
  <c r="Y135" i="13"/>
  <c r="W135" i="13"/>
  <c r="U135" i="13"/>
  <c r="BC32" i="14" l="1"/>
  <c r="BE32" i="14" s="1"/>
  <c r="BA42" i="14"/>
  <c r="BA41" i="14" s="1"/>
  <c r="BA44" i="14" s="1"/>
  <c r="BA43" i="14" s="1"/>
  <c r="BA31" i="14"/>
  <c r="CJ117" i="3"/>
  <c r="CJ116" i="3" s="1"/>
  <c r="CJ114" i="3" s="1"/>
  <c r="CJ115" i="3" s="1"/>
  <c r="Y247" i="3"/>
  <c r="Z247" i="3"/>
  <c r="W247" i="3"/>
  <c r="X247" i="3"/>
  <c r="V247" i="3"/>
  <c r="Y248" i="3"/>
  <c r="Z248" i="3"/>
  <c r="Y246" i="3"/>
  <c r="Z246" i="3"/>
  <c r="X246" i="3"/>
  <c r="V246" i="3"/>
  <c r="W246" i="3"/>
  <c r="J156" i="3"/>
  <c r="Y229" i="3"/>
  <c r="Z229" i="3"/>
  <c r="X229" i="3"/>
  <c r="V229" i="3"/>
  <c r="W229" i="3"/>
  <c r="Y230" i="3"/>
  <c r="Z230" i="3"/>
  <c r="J162" i="3"/>
  <c r="T229" i="3"/>
  <c r="U229" i="3"/>
  <c r="T228" i="3"/>
  <c r="U228" i="3"/>
  <c r="W248" i="3"/>
  <c r="X248" i="3"/>
  <c r="V248" i="3"/>
  <c r="J157" i="3"/>
  <c r="J169" i="3" s="1"/>
  <c r="X230" i="3"/>
  <c r="V230" i="3"/>
  <c r="W230" i="3"/>
  <c r="J161" i="3"/>
  <c r="M161" i="3" s="1"/>
  <c r="BJ67" i="3"/>
  <c r="BI16" i="3"/>
  <c r="BI20" i="3" s="1"/>
  <c r="BI24" i="3" s="1"/>
  <c r="BI23" i="3" s="1"/>
  <c r="BI19" i="3"/>
  <c r="BJ15" i="3"/>
  <c r="BJ26" i="3"/>
  <c r="BI25" i="3"/>
  <c r="F156" i="3"/>
  <c r="F164" i="3"/>
  <c r="AA9" i="3"/>
  <c r="L156" i="3"/>
  <c r="L168" i="3" s="1"/>
  <c r="AP9" i="3"/>
  <c r="L157" i="3"/>
  <c r="L169" i="3" s="1"/>
  <c r="F163" i="3"/>
  <c r="N9" i="3"/>
  <c r="L155" i="3"/>
  <c r="L167" i="3" s="1"/>
  <c r="F155" i="3"/>
  <c r="G196" i="3"/>
  <c r="M10" i="3"/>
  <c r="AQ62" i="3"/>
  <c r="AS96" i="3"/>
  <c r="O65" i="3"/>
  <c r="AB117" i="3"/>
  <c r="AB116" i="3" s="1"/>
  <c r="AB114" i="3" s="1"/>
  <c r="AB115" i="3" s="1"/>
  <c r="AQ100" i="3"/>
  <c r="AQ104" i="3" s="1"/>
  <c r="AQ105" i="3" s="1"/>
  <c r="AD76" i="3"/>
  <c r="AD74" i="3" s="1"/>
  <c r="AS100" i="3"/>
  <c r="AS104" i="3" s="1"/>
  <c r="AS105" i="3" s="1"/>
  <c r="AQ135" i="3"/>
  <c r="AQ96" i="3" s="1"/>
  <c r="AS137" i="3"/>
  <c r="AS76" i="3"/>
  <c r="AS74" i="3" s="1"/>
  <c r="AS132" i="3"/>
  <c r="AS126" i="3"/>
  <c r="AS127" i="3" s="1"/>
  <c r="AS117" i="3"/>
  <c r="AS116" i="3" s="1"/>
  <c r="AS114" i="3" s="1"/>
  <c r="AS115" i="3" s="1"/>
  <c r="AS140" i="3"/>
  <c r="AS65" i="3"/>
  <c r="AQ117" i="3"/>
  <c r="AQ116" i="3" s="1"/>
  <c r="AQ114" i="3" s="1"/>
  <c r="AQ115" i="3" s="1"/>
  <c r="AQ76" i="3"/>
  <c r="AQ74" i="3" s="1"/>
  <c r="AQ69" i="3"/>
  <c r="AQ126" i="3"/>
  <c r="AQ127" i="3" s="1"/>
  <c r="AQ65" i="3"/>
  <c r="AQ60" i="3" s="1"/>
  <c r="K157" i="3" s="1"/>
  <c r="AO126" i="3"/>
  <c r="AO127" i="3" s="1"/>
  <c r="AD96" i="3"/>
  <c r="AD140" i="3"/>
  <c r="AB62" i="3"/>
  <c r="AD137" i="3"/>
  <c r="AB100" i="3"/>
  <c r="AB104" i="3" s="1"/>
  <c r="AB105" i="3" s="1"/>
  <c r="AD100" i="3"/>
  <c r="AD104" i="3" s="1"/>
  <c r="AD105" i="3" s="1"/>
  <c r="AD69" i="3"/>
  <c r="AD126" i="3"/>
  <c r="AD127" i="3" s="1"/>
  <c r="AD117" i="3"/>
  <c r="AD116" i="3" s="1"/>
  <c r="AD114" i="3" s="1"/>
  <c r="AD115" i="3" s="1"/>
  <c r="AD132" i="3"/>
  <c r="F174" i="3" s="1"/>
  <c r="AD65" i="3"/>
  <c r="AB69" i="3"/>
  <c r="AB76" i="3"/>
  <c r="AB74" i="3" s="1"/>
  <c r="AB132" i="3"/>
  <c r="AB126" i="3"/>
  <c r="AB127" i="3" s="1"/>
  <c r="AB65" i="3"/>
  <c r="AB60" i="3" s="1"/>
  <c r="K156" i="3" s="1"/>
  <c r="AB135" i="3"/>
  <c r="AB96" i="3" s="1"/>
  <c r="Z117" i="3"/>
  <c r="Z116" i="3" s="1"/>
  <c r="Z114" i="3" s="1"/>
  <c r="Z115" i="3" s="1"/>
  <c r="Z126" i="3"/>
  <c r="Z127" i="3" s="1"/>
  <c r="O132" i="3"/>
  <c r="O117" i="3"/>
  <c r="O116" i="3" s="1"/>
  <c r="O114" i="3" s="1"/>
  <c r="O115" i="3" s="1"/>
  <c r="O76" i="3"/>
  <c r="O74" i="3" s="1"/>
  <c r="O126" i="3"/>
  <c r="O127" i="3" s="1"/>
  <c r="O135" i="3"/>
  <c r="O96" i="3" s="1"/>
  <c r="O137" i="3"/>
  <c r="Q69" i="3"/>
  <c r="Q117" i="3"/>
  <c r="Q116" i="3" s="1"/>
  <c r="Q114" i="3" s="1"/>
  <c r="Q115" i="3" s="1"/>
  <c r="Q126" i="3"/>
  <c r="Q127" i="3" s="1"/>
  <c r="Q76" i="3"/>
  <c r="Q74" i="3" s="1"/>
  <c r="Q132" i="3"/>
  <c r="F173" i="3" s="1"/>
  <c r="Q65" i="3"/>
  <c r="Q135" i="3"/>
  <c r="Q140" i="3" s="1"/>
  <c r="Q137" i="3"/>
  <c r="BG32" i="14" l="1"/>
  <c r="BE42" i="14"/>
  <c r="BE41" i="14" s="1"/>
  <c r="BE44" i="14" s="1"/>
  <c r="BE43" i="14" s="1"/>
  <c r="BE31" i="14"/>
  <c r="BC31" i="14"/>
  <c r="BC42" i="14"/>
  <c r="BC41" i="14" s="1"/>
  <c r="BC44" i="14" s="1"/>
  <c r="BC43" i="14" s="1"/>
  <c r="J168" i="3"/>
  <c r="M162" i="3"/>
  <c r="V249" i="3"/>
  <c r="O140" i="3"/>
  <c r="M156" i="3"/>
  <c r="N156" i="3"/>
  <c r="Z249" i="3"/>
  <c r="Y249" i="3"/>
  <c r="X249" i="3"/>
  <c r="N157" i="3"/>
  <c r="W249" i="3"/>
  <c r="U231" i="3"/>
  <c r="AD228" i="3" s="1"/>
  <c r="T231" i="3"/>
  <c r="AC228" i="3" s="1"/>
  <c r="Q147" i="3"/>
  <c r="X237" i="3"/>
  <c r="Y237" i="3"/>
  <c r="T237" i="3"/>
  <c r="U237" i="3"/>
  <c r="W237" i="3"/>
  <c r="V237" i="3"/>
  <c r="Y265" i="3"/>
  <c r="Z265" i="3"/>
  <c r="X265" i="3"/>
  <c r="T265" i="3"/>
  <c r="W265" i="3"/>
  <c r="U265" i="3"/>
  <c r="V265" i="3"/>
  <c r="AD75" i="3"/>
  <c r="X238" i="3"/>
  <c r="AA238" i="3" s="1"/>
  <c r="Y238" i="3"/>
  <c r="T238" i="3"/>
  <c r="W238" i="3"/>
  <c r="U238" i="3"/>
  <c r="V238" i="3"/>
  <c r="Y266" i="3"/>
  <c r="Z266" i="3"/>
  <c r="X239" i="3"/>
  <c r="AA239" i="3" s="1"/>
  <c r="Y239" i="3"/>
  <c r="T239" i="3"/>
  <c r="U239" i="3"/>
  <c r="V239" i="3"/>
  <c r="W239" i="3"/>
  <c r="V266" i="3"/>
  <c r="U266" i="3"/>
  <c r="W266" i="3"/>
  <c r="X266" i="3"/>
  <c r="T266" i="3"/>
  <c r="AB148" i="3"/>
  <c r="BJ25" i="3"/>
  <c r="BJ16" i="3"/>
  <c r="BJ20" i="3" s="1"/>
  <c r="BJ24" i="3" s="1"/>
  <c r="BJ23" i="3" s="1"/>
  <c r="BJ19" i="3"/>
  <c r="F166" i="3"/>
  <c r="M157" i="3"/>
  <c r="M169" i="3" s="1"/>
  <c r="BJ69" i="3"/>
  <c r="BJ80" i="3"/>
  <c r="F158" i="3"/>
  <c r="AD147" i="3"/>
  <c r="G213" i="3"/>
  <c r="G206" i="3"/>
  <c r="G212" i="3"/>
  <c r="G205" i="3"/>
  <c r="AD133" i="3"/>
  <c r="AD141" i="3" s="1"/>
  <c r="F181" i="3"/>
  <c r="Q133" i="3"/>
  <c r="Q141" i="3" s="1"/>
  <c r="F180" i="3"/>
  <c r="AS133" i="3"/>
  <c r="AS141" i="3" s="1"/>
  <c r="F175" i="3"/>
  <c r="F176" i="3" s="1"/>
  <c r="O133" i="3"/>
  <c r="AB133" i="3"/>
  <c r="AQ140" i="3"/>
  <c r="AQ59" i="3"/>
  <c r="AS75" i="3"/>
  <c r="AQ56" i="3"/>
  <c r="AP8" i="3"/>
  <c r="AQ111" i="3"/>
  <c r="AQ112" i="3" s="1"/>
  <c r="AQ108" i="3"/>
  <c r="AQ109" i="3" s="1"/>
  <c r="AQ75" i="3"/>
  <c r="AQ80" i="3"/>
  <c r="AD80" i="3"/>
  <c r="AD83" i="3" s="1"/>
  <c r="AD59" i="3"/>
  <c r="AB56" i="3"/>
  <c r="AA8" i="3"/>
  <c r="AB111" i="3"/>
  <c r="AB112" i="3" s="1"/>
  <c r="AB108" i="3"/>
  <c r="AB109" i="3" s="1"/>
  <c r="AB140" i="3"/>
  <c r="AB59" i="3"/>
  <c r="AB75" i="3"/>
  <c r="AB80" i="3"/>
  <c r="AB147" i="3" s="1"/>
  <c r="O75" i="3"/>
  <c r="Q96" i="3"/>
  <c r="Q75" i="3"/>
  <c r="Q80" i="3"/>
  <c r="Q59" i="3"/>
  <c r="BI32" i="14" l="1"/>
  <c r="BG31" i="14"/>
  <c r="BG42" i="14"/>
  <c r="BG41" i="14" s="1"/>
  <c r="BG44" i="14" s="1"/>
  <c r="BG43" i="14" s="1"/>
  <c r="M168" i="3"/>
  <c r="AD229" i="3"/>
  <c r="AC229" i="3"/>
  <c r="Y240" i="3"/>
  <c r="AB149" i="3"/>
  <c r="X240" i="3"/>
  <c r="Z264" i="3"/>
  <c r="Z267" i="3" s="1"/>
  <c r="Y264" i="3"/>
  <c r="Y267" i="3" s="1"/>
  <c r="T264" i="3"/>
  <c r="T267" i="3" s="1"/>
  <c r="V264" i="3"/>
  <c r="V267" i="3" s="1"/>
  <c r="W264" i="3"/>
  <c r="W267" i="3" s="1"/>
  <c r="U264" i="3"/>
  <c r="U267" i="3" s="1"/>
  <c r="X264" i="3"/>
  <c r="X267" i="3" s="1"/>
  <c r="V240" i="3"/>
  <c r="AC230" i="3"/>
  <c r="W240" i="3"/>
  <c r="T240" i="3"/>
  <c r="AD230" i="3"/>
  <c r="U240" i="3"/>
  <c r="BJ83" i="3"/>
  <c r="BJ84" i="3" s="1"/>
  <c r="BJ81" i="3"/>
  <c r="BJ82" i="3"/>
  <c r="O141" i="3"/>
  <c r="AB141" i="3"/>
  <c r="AQ83" i="3"/>
  <c r="AQ82" i="3"/>
  <c r="AQ81" i="3"/>
  <c r="AQ50" i="3"/>
  <c r="AQ68" i="3"/>
  <c r="AQ63" i="3" s="1"/>
  <c r="AQ53" i="3"/>
  <c r="AD81" i="3"/>
  <c r="AD82" i="3"/>
  <c r="AD84" i="3"/>
  <c r="AB83" i="3"/>
  <c r="AB82" i="3"/>
  <c r="AB81" i="3"/>
  <c r="AB53" i="3"/>
  <c r="AB50" i="3"/>
  <c r="AB68" i="3"/>
  <c r="AB63" i="3" s="1"/>
  <c r="Q81" i="3"/>
  <c r="Q83" i="3"/>
  <c r="Q82" i="3"/>
  <c r="BI42" i="14" l="1"/>
  <c r="BI41" i="14" s="1"/>
  <c r="BI44" i="14" s="1"/>
  <c r="BI43" i="14" s="1"/>
  <c r="BK32" i="14"/>
  <c r="BI31" i="14"/>
  <c r="AQ54" i="3"/>
  <c r="AQ84" i="3"/>
  <c r="AB84" i="3"/>
  <c r="AB54" i="3"/>
  <c r="AB49" i="3" s="1"/>
  <c r="Q84" i="3"/>
  <c r="BK31" i="14" l="1"/>
  <c r="BK42" i="14"/>
  <c r="BK41" i="14" s="1"/>
  <c r="BK44" i="14" s="1"/>
  <c r="BK43" i="14" s="1"/>
  <c r="AQ41" i="3"/>
  <c r="AQ49" i="3"/>
  <c r="AB41" i="3"/>
  <c r="AA49" i="3"/>
  <c r="AA48" i="3" s="1"/>
  <c r="AB48" i="3"/>
  <c r="AB45" i="3"/>
  <c r="AA45" i="3"/>
  <c r="AB44" i="3" l="1"/>
  <c r="AB43" i="3" s="1"/>
  <c r="AP49" i="3"/>
  <c r="AP48" i="3" s="1"/>
  <c r="AQ48" i="3"/>
  <c r="AQ45" i="3"/>
  <c r="AQ44" i="3" s="1"/>
  <c r="AP45" i="3"/>
  <c r="AB47" i="3" l="1"/>
  <c r="AQ47" i="3"/>
  <c r="AQ43" i="3"/>
  <c r="O135" i="13" l="1"/>
  <c r="DD181" i="15" l="1"/>
  <c r="DE137" i="15"/>
  <c r="DE104" i="15"/>
  <c r="DE42" i="15"/>
  <c r="DD32" i="15"/>
  <c r="DD42" i="15" s="1"/>
  <c r="DE31" i="15"/>
  <c r="AM31" i="3" s="1"/>
  <c r="DE26" i="15"/>
  <c r="DE25" i="15" s="1"/>
  <c r="AM25" i="3" s="1"/>
  <c r="DD25" i="15"/>
  <c r="AL25" i="3" s="1"/>
  <c r="DD19" i="15"/>
  <c r="AL19" i="3" s="1"/>
  <c r="DE15" i="15"/>
  <c r="AM15" i="3" s="1"/>
  <c r="DD2" i="15"/>
  <c r="DD10" i="15" s="1"/>
  <c r="DD16" i="15" s="1"/>
  <c r="DD31" i="15" l="1"/>
  <c r="AL31" i="3" s="1"/>
  <c r="DD20" i="15"/>
  <c r="AL16" i="3"/>
  <c r="DD30" i="15"/>
  <c r="AL32" i="3"/>
  <c r="AL42" i="3" s="1"/>
  <c r="DE30" i="15"/>
  <c r="AM26" i="3"/>
  <c r="DE19" i="15"/>
  <c r="AM19" i="3" s="1"/>
  <c r="DE10" i="15"/>
  <c r="DE29" i="15" l="1"/>
  <c r="AM29" i="3" s="1"/>
  <c r="AM30" i="3"/>
  <c r="DD29" i="15"/>
  <c r="AL29" i="3" s="1"/>
  <c r="AL30" i="3"/>
  <c r="DD24" i="15"/>
  <c r="AL20" i="3"/>
  <c r="DE16" i="15"/>
  <c r="DE129" i="15"/>
  <c r="DE126" i="15"/>
  <c r="DD23" i="15" l="1"/>
  <c r="AL23" i="3" s="1"/>
  <c r="AL24" i="3"/>
  <c r="DE20" i="15"/>
  <c r="AM16" i="3"/>
  <c r="DE24" i="15" l="1"/>
  <c r="AM20" i="3"/>
  <c r="DE23" i="15" l="1"/>
  <c r="AM23" i="3" s="1"/>
  <c r="AM24" i="3"/>
  <c r="CY122" i="14" l="1"/>
  <c r="CY121" i="14"/>
  <c r="CY120" i="14"/>
  <c r="CY119" i="14"/>
  <c r="CY106" i="14"/>
  <c r="CY104" i="14"/>
  <c r="CY105" i="14" s="1"/>
  <c r="CY52" i="14"/>
  <c r="CY42" i="14"/>
  <c r="CY31" i="14"/>
  <c r="X31" i="3" s="1"/>
  <c r="CY26" i="14"/>
  <c r="CY25" i="14" s="1"/>
  <c r="X25" i="3" s="1"/>
  <c r="CX25" i="14"/>
  <c r="W25" i="3" s="1"/>
  <c r="CX19" i="14"/>
  <c r="W19" i="3" s="1"/>
  <c r="CY15" i="14"/>
  <c r="X15" i="3" s="1"/>
  <c r="CX2" i="14"/>
  <c r="CX10" i="14" s="1"/>
  <c r="DH181" i="15"/>
  <c r="DI137" i="15"/>
  <c r="DI135" i="15"/>
  <c r="DI141" i="15" s="1"/>
  <c r="DI104" i="15"/>
  <c r="DI63" i="15"/>
  <c r="DH19" i="15"/>
  <c r="DI15" i="15"/>
  <c r="DH9" i="15"/>
  <c r="DH2" i="15"/>
  <c r="DH10" i="15" s="1"/>
  <c r="DH16" i="15" s="1"/>
  <c r="DC135" i="14"/>
  <c r="DC96" i="14" s="1"/>
  <c r="DC123" i="14"/>
  <c r="DC122" i="14"/>
  <c r="DC121" i="14"/>
  <c r="DC120" i="14"/>
  <c r="DC119" i="14"/>
  <c r="DC106" i="14"/>
  <c r="DC104" i="14"/>
  <c r="DC105" i="14" s="1"/>
  <c r="DC65" i="14"/>
  <c r="DC60" i="14" s="1"/>
  <c r="DC52" i="14"/>
  <c r="DB31" i="14"/>
  <c r="DC31" i="14"/>
  <c r="DC30" i="14"/>
  <c r="DC25" i="14"/>
  <c r="DB25" i="14"/>
  <c r="DB19" i="14"/>
  <c r="DC15" i="14"/>
  <c r="DB9" i="14"/>
  <c r="DB2" i="14"/>
  <c r="DB10" i="14" s="1"/>
  <c r="AQ31" i="3"/>
  <c r="AP25" i="3"/>
  <c r="AP19" i="3"/>
  <c r="AQ15" i="3"/>
  <c r="CW135" i="14"/>
  <c r="CW141" i="14" s="1"/>
  <c r="CW123" i="14"/>
  <c r="CW122" i="14"/>
  <c r="CW121" i="14"/>
  <c r="CW120" i="14"/>
  <c r="CW119" i="14"/>
  <c r="CW106" i="14"/>
  <c r="CW104" i="14"/>
  <c r="CW105" i="14" s="1"/>
  <c r="CW65" i="14"/>
  <c r="CW62" i="14"/>
  <c r="CW52" i="14"/>
  <c r="CW31" i="14"/>
  <c r="AB31" i="3" s="1"/>
  <c r="CV19" i="14"/>
  <c r="AA19" i="3" s="1"/>
  <c r="CW15" i="14"/>
  <c r="CV9" i="14"/>
  <c r="CV2" i="14"/>
  <c r="CV10" i="14" s="1"/>
  <c r="DC117" i="14" l="1"/>
  <c r="DC116" i="14" s="1"/>
  <c r="DC114" i="14" s="1"/>
  <c r="DC115" i="14" s="1"/>
  <c r="DB62" i="14"/>
  <c r="K162" i="3"/>
  <c r="CY19" i="14"/>
  <c r="X19" i="3" s="1"/>
  <c r="DC19" i="14"/>
  <c r="CY30" i="14"/>
  <c r="CY29" i="14" s="1"/>
  <c r="X29" i="3" s="1"/>
  <c r="X26" i="3"/>
  <c r="CW19" i="14"/>
  <c r="AB19" i="3" s="1"/>
  <c r="AB15" i="3"/>
  <c r="K161" i="3"/>
  <c r="AS147" i="3"/>
  <c r="Q148" i="3" s="1"/>
  <c r="AS59" i="3"/>
  <c r="AS69" i="3"/>
  <c r="AS80" i="3"/>
  <c r="AP31" i="3"/>
  <c r="AP32" i="3"/>
  <c r="DI26" i="15"/>
  <c r="DI30" i="15" s="1"/>
  <c r="DH20" i="15"/>
  <c r="AQ26" i="3"/>
  <c r="DI19" i="15"/>
  <c r="DH32" i="15"/>
  <c r="AR42" i="3" s="1"/>
  <c r="AS42" i="3"/>
  <c r="AQ19" i="3"/>
  <c r="BI32" i="3"/>
  <c r="DC29" i="14"/>
  <c r="AQ25" i="3"/>
  <c r="CX16" i="14"/>
  <c r="CY10" i="14"/>
  <c r="CX42" i="14"/>
  <c r="CW117" i="14"/>
  <c r="CW116" i="14" s="1"/>
  <c r="CW114" i="14" s="1"/>
  <c r="CW115" i="14" s="1"/>
  <c r="DH25" i="15"/>
  <c r="DI31" i="15"/>
  <c r="DI42" i="15"/>
  <c r="DI10" i="15"/>
  <c r="DB16" i="14"/>
  <c r="DC10" i="14"/>
  <c r="DC16" i="14" s="1"/>
  <c r="DC141" i="14"/>
  <c r="DB30" i="14"/>
  <c r="DC59" i="14"/>
  <c r="CW10" i="14"/>
  <c r="CV16" i="14"/>
  <c r="CW60" i="14"/>
  <c r="CW59" i="14"/>
  <c r="CW96" i="14"/>
  <c r="X30" i="3" l="1"/>
  <c r="DH30" i="15"/>
  <c r="BI31" i="3"/>
  <c r="BI42" i="3"/>
  <c r="BJ32" i="3"/>
  <c r="BI30" i="3"/>
  <c r="BI29" i="3" s="1"/>
  <c r="K168" i="3"/>
  <c r="N162" i="3"/>
  <c r="N168" i="3" s="1"/>
  <c r="N161" i="3"/>
  <c r="DC20" i="14"/>
  <c r="DB20" i="14"/>
  <c r="CV20" i="14"/>
  <c r="AA16" i="3"/>
  <c r="AC8" i="3"/>
  <c r="AD56" i="3"/>
  <c r="AD108" i="3"/>
  <c r="AD109" i="3" s="1"/>
  <c r="AD111" i="3"/>
  <c r="AD112" i="3" s="1"/>
  <c r="CX20" i="14"/>
  <c r="W16" i="3"/>
  <c r="Q111" i="3"/>
  <c r="Q112" i="3" s="1"/>
  <c r="P8" i="3"/>
  <c r="Q108" i="3"/>
  <c r="Q109" i="3" s="1"/>
  <c r="DH31" i="15"/>
  <c r="DH42" i="15"/>
  <c r="DI29" i="15"/>
  <c r="DH29" i="15"/>
  <c r="DI25" i="15"/>
  <c r="AP16" i="3"/>
  <c r="AP42" i="3"/>
  <c r="AP41" i="3" s="1"/>
  <c r="AP44" i="3" s="1"/>
  <c r="AP43" i="3" s="1"/>
  <c r="AQ29" i="3"/>
  <c r="AQ30" i="3"/>
  <c r="DH24" i="15"/>
  <c r="AS81" i="3"/>
  <c r="AS83" i="3"/>
  <c r="AS82" i="3"/>
  <c r="AP29" i="3"/>
  <c r="AP30" i="3"/>
  <c r="P42" i="3"/>
  <c r="DB29" i="14"/>
  <c r="CY16" i="14"/>
  <c r="DI69" i="15"/>
  <c r="DI129" i="15"/>
  <c r="DI126" i="15"/>
  <c r="DI16" i="15"/>
  <c r="DI76" i="15"/>
  <c r="DI74" i="15" s="1"/>
  <c r="DC132" i="14"/>
  <c r="DC76" i="14"/>
  <c r="DC74" i="14" s="1"/>
  <c r="DC69" i="14"/>
  <c r="CW16" i="14"/>
  <c r="CW56" i="14"/>
  <c r="CV8" i="14"/>
  <c r="CW69" i="14"/>
  <c r="CW132" i="14"/>
  <c r="CW76" i="14"/>
  <c r="CW74" i="14" s="1"/>
  <c r="BJ42" i="3" l="1"/>
  <c r="BJ31" i="3"/>
  <c r="BJ30" i="3"/>
  <c r="BJ29" i="3" s="1"/>
  <c r="CX24" i="14"/>
  <c r="W20" i="3"/>
  <c r="CW20" i="14"/>
  <c r="AB16" i="3"/>
  <c r="AD50" i="3"/>
  <c r="AD53" i="3"/>
  <c r="AD68" i="3"/>
  <c r="AD63" i="3" s="1"/>
  <c r="AA20" i="3"/>
  <c r="DB24" i="14"/>
  <c r="CY20" i="14"/>
  <c r="X16" i="3"/>
  <c r="DC24" i="14"/>
  <c r="DH23" i="15"/>
  <c r="AP20" i="3"/>
  <c r="AS84" i="3"/>
  <c r="DI20" i="15"/>
  <c r="AQ16" i="3"/>
  <c r="DI80" i="15"/>
  <c r="DI75" i="15"/>
  <c r="DC75" i="14"/>
  <c r="DC80" i="14"/>
  <c r="DC82" i="14" s="1"/>
  <c r="DC133" i="14"/>
  <c r="DC142" i="14" s="1"/>
  <c r="CW75" i="14"/>
  <c r="CW80" i="14"/>
  <c r="CW133" i="14"/>
  <c r="CW142" i="14" s="1"/>
  <c r="CW68" i="14"/>
  <c r="CW63" i="14" s="1"/>
  <c r="CW50" i="14"/>
  <c r="CW53" i="14"/>
  <c r="CW108" i="14"/>
  <c r="CW109" i="14" s="1"/>
  <c r="CW111" i="14"/>
  <c r="CW112" i="14" s="1"/>
  <c r="DC23" i="14" l="1"/>
  <c r="AB20" i="3"/>
  <c r="CY24" i="14"/>
  <c r="X20" i="3"/>
  <c r="DB23" i="14"/>
  <c r="AD54" i="3"/>
  <c r="AD49" i="3" s="1"/>
  <c r="CX23" i="14"/>
  <c r="W23" i="3" s="1"/>
  <c r="W24" i="3"/>
  <c r="AP23" i="3"/>
  <c r="AP24" i="3"/>
  <c r="DI24" i="15"/>
  <c r="AQ20" i="3"/>
  <c r="DI83" i="15"/>
  <c r="DI82" i="15"/>
  <c r="DI81" i="15"/>
  <c r="DC83" i="14"/>
  <c r="DC81" i="14"/>
  <c r="CW54" i="14"/>
  <c r="CW83" i="14"/>
  <c r="CW82" i="14"/>
  <c r="CW81" i="14"/>
  <c r="AD48" i="3" l="1"/>
  <c r="AC45" i="3"/>
  <c r="AC49" i="3"/>
  <c r="AC48" i="3" s="1"/>
  <c r="AD45" i="3"/>
  <c r="CY23" i="14"/>
  <c r="X23" i="3" s="1"/>
  <c r="X24" i="3"/>
  <c r="AD41" i="3"/>
  <c r="AC41" i="3"/>
  <c r="CW49" i="14"/>
  <c r="CW41" i="14"/>
  <c r="DI23" i="15"/>
  <c r="AQ23" i="3"/>
  <c r="AQ24" i="3"/>
  <c r="DI84" i="15"/>
  <c r="DC84" i="14"/>
  <c r="CW84" i="14"/>
  <c r="CW45" i="14" l="1"/>
  <c r="CW44" i="14" s="1"/>
  <c r="CW43" i="14" s="1"/>
  <c r="CV45" i="14"/>
  <c r="CV49" i="14"/>
  <c r="CV48" i="14" s="1"/>
  <c r="AC44" i="3"/>
  <c r="AC43" i="3" s="1"/>
  <c r="CW48" i="14"/>
  <c r="AD44" i="3"/>
  <c r="AD43" i="3" l="1"/>
  <c r="AD47" i="3"/>
  <c r="O31" i="3" l="1"/>
  <c r="N19" i="3"/>
  <c r="K31" i="3"/>
  <c r="J19" i="3"/>
  <c r="O19" i="3" l="1"/>
  <c r="O15" i="3"/>
  <c r="J32" i="3"/>
  <c r="BC32" i="3" s="1"/>
  <c r="K19" i="3"/>
  <c r="K15" i="3"/>
  <c r="N32" i="3"/>
  <c r="N42" i="3" s="1"/>
  <c r="N20" i="3"/>
  <c r="N16" i="3"/>
  <c r="N31" i="3"/>
  <c r="J31" i="3"/>
  <c r="BC42" i="3" l="1"/>
  <c r="BC41" i="3" s="1"/>
  <c r="BC44" i="3" s="1"/>
  <c r="BC43" i="3" s="1"/>
  <c r="BE32" i="3"/>
  <c r="BG32" i="3" s="1"/>
  <c r="BC31" i="3"/>
  <c r="BD32" i="3"/>
  <c r="J20" i="3"/>
  <c r="J16" i="3"/>
  <c r="CZ181" i="15"/>
  <c r="CX181" i="15"/>
  <c r="CV181" i="15"/>
  <c r="DA137" i="15"/>
  <c r="CY137" i="15"/>
  <c r="CW137" i="15"/>
  <c r="DA104" i="15"/>
  <c r="CY104" i="15"/>
  <c r="CW104" i="15"/>
  <c r="DA42" i="15"/>
  <c r="CY42" i="15"/>
  <c r="CW42" i="15"/>
  <c r="CZ32" i="15"/>
  <c r="CX32" i="15"/>
  <c r="CV32" i="15"/>
  <c r="CV42" i="15" s="1"/>
  <c r="DA31" i="15"/>
  <c r="AO31" i="3" s="1"/>
  <c r="CY31" i="15"/>
  <c r="CW31" i="15"/>
  <c r="DA26" i="15"/>
  <c r="CY26" i="15"/>
  <c r="CY25" i="15" s="1"/>
  <c r="CW26" i="15"/>
  <c r="CW25" i="15" s="1"/>
  <c r="DA25" i="15"/>
  <c r="AO25" i="3" s="1"/>
  <c r="CZ25" i="15"/>
  <c r="AN25" i="3" s="1"/>
  <c r="CX25" i="15"/>
  <c r="CV25" i="15"/>
  <c r="CZ19" i="15"/>
  <c r="AN19" i="3" s="1"/>
  <c r="CX19" i="15"/>
  <c r="CV19" i="15"/>
  <c r="DA15" i="15"/>
  <c r="AO15" i="3" s="1"/>
  <c r="CY15" i="15"/>
  <c r="CY19" i="15" s="1"/>
  <c r="CW15" i="15"/>
  <c r="CZ2" i="15"/>
  <c r="CZ10" i="15" s="1"/>
  <c r="CX2" i="15"/>
  <c r="CX10" i="15" s="1"/>
  <c r="CX16" i="15" s="1"/>
  <c r="CX20" i="15" s="1"/>
  <c r="CX24" i="15" s="1"/>
  <c r="CX23" i="15" s="1"/>
  <c r="CV2" i="15"/>
  <c r="CV10" i="15" s="1"/>
  <c r="CU123" i="14"/>
  <c r="CU122" i="14"/>
  <c r="CS122" i="14"/>
  <c r="CQ122" i="14"/>
  <c r="CU121" i="14"/>
  <c r="CS121" i="14"/>
  <c r="CQ121" i="14"/>
  <c r="CU120" i="14"/>
  <c r="CS120" i="14"/>
  <c r="CQ120" i="14"/>
  <c r="CU119" i="14"/>
  <c r="CS119" i="14"/>
  <c r="CQ119" i="14"/>
  <c r="CU106" i="14"/>
  <c r="CS106" i="14"/>
  <c r="CQ106" i="14"/>
  <c r="CU104" i="14"/>
  <c r="CU105" i="14" s="1"/>
  <c r="CS104" i="14"/>
  <c r="CS105" i="14" s="1"/>
  <c r="CQ104" i="14"/>
  <c r="CQ105" i="14" s="1"/>
  <c r="CU52" i="14"/>
  <c r="CS52" i="14"/>
  <c r="CQ52" i="14"/>
  <c r="CQ42" i="14"/>
  <c r="CQ31" i="14"/>
  <c r="CT19" i="14"/>
  <c r="Y19" i="3" s="1"/>
  <c r="CR19" i="14"/>
  <c r="CP19" i="14"/>
  <c r="CU15" i="14"/>
  <c r="Z15" i="3" s="1"/>
  <c r="CS15" i="14"/>
  <c r="CS19" i="14" s="1"/>
  <c r="CQ15" i="14"/>
  <c r="CQ19" i="14" s="1"/>
  <c r="CT2" i="14"/>
  <c r="CT10" i="14" s="1"/>
  <c r="CR2" i="14"/>
  <c r="CR10" i="14" s="1"/>
  <c r="CP2" i="14"/>
  <c r="CP10" i="14" s="1"/>
  <c r="CP16" i="14" s="1"/>
  <c r="CP20" i="14" s="1"/>
  <c r="M31" i="3"/>
  <c r="L19" i="3"/>
  <c r="O131" i="15"/>
  <c r="Q131" i="15"/>
  <c r="S131" i="15"/>
  <c r="U131" i="15"/>
  <c r="W131" i="15"/>
  <c r="Y131" i="15"/>
  <c r="AA131" i="15"/>
  <c r="AC131" i="15"/>
  <c r="AE131" i="15"/>
  <c r="AG131" i="15"/>
  <c r="AI131" i="15"/>
  <c r="O131" i="14"/>
  <c r="AG131" i="14"/>
  <c r="Q131" i="14"/>
  <c r="S131" i="14"/>
  <c r="U131" i="14"/>
  <c r="W131" i="14"/>
  <c r="Y131" i="14"/>
  <c r="AA131" i="14"/>
  <c r="AC131" i="14"/>
  <c r="AE131" i="14"/>
  <c r="AI131" i="14"/>
  <c r="AI131" i="13"/>
  <c r="AG131" i="13"/>
  <c r="AE131" i="13"/>
  <c r="AC131" i="13"/>
  <c r="AA131" i="13"/>
  <c r="Y131" i="13"/>
  <c r="W131" i="13"/>
  <c r="O131" i="13"/>
  <c r="AH181" i="15"/>
  <c r="AI137" i="15"/>
  <c r="AI135" i="15"/>
  <c r="AI141" i="15" s="1"/>
  <c r="AI104" i="15"/>
  <c r="AI67" i="15"/>
  <c r="AH72" i="15" s="1"/>
  <c r="AI57" i="15"/>
  <c r="AH9" i="15" s="1"/>
  <c r="AI42" i="15"/>
  <c r="AH32" i="15"/>
  <c r="AH30" i="15" s="1"/>
  <c r="AH29" i="15" s="1"/>
  <c r="AI31" i="15"/>
  <c r="AI26" i="15"/>
  <c r="AI30" i="15" s="1"/>
  <c r="AI29" i="15" s="1"/>
  <c r="AH25" i="15"/>
  <c r="AH19" i="15"/>
  <c r="AI15" i="15"/>
  <c r="AI19" i="15" s="1"/>
  <c r="AH2" i="15"/>
  <c r="AH10" i="15" s="1"/>
  <c r="AI135" i="14"/>
  <c r="AI96" i="14" s="1"/>
  <c r="AI123" i="14"/>
  <c r="AI122" i="14"/>
  <c r="AI121" i="14"/>
  <c r="AI120" i="14"/>
  <c r="AI119" i="14"/>
  <c r="AI106" i="14"/>
  <c r="AI104" i="14"/>
  <c r="AI105" i="14" s="1"/>
  <c r="AI67" i="14"/>
  <c r="AI62" i="14" s="1"/>
  <c r="AI65" i="14"/>
  <c r="AI57" i="14"/>
  <c r="AH9" i="14" s="1"/>
  <c r="AI52" i="14"/>
  <c r="AH19" i="14"/>
  <c r="AI15" i="14"/>
  <c r="AI19" i="14" s="1"/>
  <c r="AH2" i="14"/>
  <c r="AH10" i="14" s="1"/>
  <c r="AH16" i="14" s="1"/>
  <c r="AH20" i="14" s="1"/>
  <c r="AI141" i="13"/>
  <c r="AI138" i="13"/>
  <c r="AI123" i="13"/>
  <c r="AI122" i="13"/>
  <c r="AI121" i="13"/>
  <c r="AI120" i="13"/>
  <c r="AI119" i="13"/>
  <c r="AI106" i="13"/>
  <c r="AI100" i="13"/>
  <c r="AI104" i="13" s="1"/>
  <c r="AI105" i="13" s="1"/>
  <c r="AI96" i="13"/>
  <c r="AI67" i="13"/>
  <c r="AI65" i="13"/>
  <c r="AI57" i="13"/>
  <c r="AI52" i="13"/>
  <c r="AI42" i="13"/>
  <c r="AI39" i="13"/>
  <c r="AH32" i="13"/>
  <c r="AH31" i="13" s="1"/>
  <c r="AI31" i="13"/>
  <c r="AH19" i="13"/>
  <c r="AI15" i="13"/>
  <c r="AI19" i="13" s="1"/>
  <c r="AH2" i="13"/>
  <c r="AH10" i="13" s="1"/>
  <c r="AG141" i="13"/>
  <c r="AE141" i="13"/>
  <c r="AC141" i="13"/>
  <c r="AA141" i="13"/>
  <c r="Y141" i="13"/>
  <c r="W141" i="13"/>
  <c r="U141" i="13"/>
  <c r="O141" i="13"/>
  <c r="O135" i="15"/>
  <c r="O141" i="15" s="1"/>
  <c r="Y135" i="15"/>
  <c r="Y141" i="15" s="1"/>
  <c r="AA135" i="15"/>
  <c r="AA141" i="15" s="1"/>
  <c r="AC135" i="15"/>
  <c r="AC141" i="15" s="1"/>
  <c r="AE135" i="15"/>
  <c r="AE141" i="15" s="1"/>
  <c r="AG135" i="15"/>
  <c r="AG141" i="15" s="1"/>
  <c r="Y146" i="15"/>
  <c r="N72" i="15"/>
  <c r="AF181" i="15"/>
  <c r="AG137" i="15"/>
  <c r="AG104" i="15"/>
  <c r="AG67" i="15"/>
  <c r="AG57" i="15"/>
  <c r="AG63" i="15" s="1"/>
  <c r="AG42" i="15"/>
  <c r="AF32" i="15"/>
  <c r="AF31" i="15" s="1"/>
  <c r="AG31" i="15"/>
  <c r="AG26" i="15"/>
  <c r="AG25" i="15" s="1"/>
  <c r="AF25" i="15"/>
  <c r="AF19" i="15"/>
  <c r="AG15" i="15"/>
  <c r="AG19" i="15" s="1"/>
  <c r="AF2" i="15"/>
  <c r="AF10" i="15" s="1"/>
  <c r="AD181" i="15"/>
  <c r="AE137" i="15"/>
  <c r="AE104" i="15"/>
  <c r="AE67" i="15"/>
  <c r="AD72" i="15" s="1"/>
  <c r="AE57" i="15"/>
  <c r="AE63" i="15" s="1"/>
  <c r="AE42" i="15"/>
  <c r="AD32" i="15"/>
  <c r="AD30" i="15" s="1"/>
  <c r="AD29" i="15" s="1"/>
  <c r="AE31" i="15"/>
  <c r="AE26" i="15"/>
  <c r="AE30" i="15" s="1"/>
  <c r="AE29" i="15" s="1"/>
  <c r="AD25" i="15"/>
  <c r="AD19" i="15"/>
  <c r="AE15" i="15"/>
  <c r="AE19" i="15" s="1"/>
  <c r="AD2" i="15"/>
  <c r="AD10" i="15" s="1"/>
  <c r="AB181" i="15"/>
  <c r="AC137" i="15"/>
  <c r="AC104" i="15"/>
  <c r="AC67" i="15"/>
  <c r="AB72" i="15" s="1"/>
  <c r="AC57" i="15"/>
  <c r="AB9" i="15" s="1"/>
  <c r="AC42" i="15"/>
  <c r="AB32" i="15"/>
  <c r="AB42" i="15" s="1"/>
  <c r="AC31" i="15"/>
  <c r="AC26" i="15"/>
  <c r="AC30" i="15" s="1"/>
  <c r="AC29" i="15" s="1"/>
  <c r="AB25" i="15"/>
  <c r="AB19" i="15"/>
  <c r="AC15" i="15"/>
  <c r="AC19" i="15" s="1"/>
  <c r="AB2" i="15"/>
  <c r="AB10" i="15" s="1"/>
  <c r="Z181" i="15"/>
  <c r="AA137" i="15"/>
  <c r="AA104" i="15"/>
  <c r="AA67" i="15"/>
  <c r="Z72" i="15" s="1"/>
  <c r="AA57" i="15"/>
  <c r="AA63" i="15" s="1"/>
  <c r="AA42" i="15"/>
  <c r="Z32" i="15"/>
  <c r="Z42" i="15" s="1"/>
  <c r="AA31" i="15"/>
  <c r="AA26" i="15"/>
  <c r="AA25" i="15" s="1"/>
  <c r="Z25" i="15"/>
  <c r="Z19" i="15"/>
  <c r="AA15" i="15"/>
  <c r="AA19" i="15" s="1"/>
  <c r="Z2" i="15"/>
  <c r="Z10" i="15" s="1"/>
  <c r="AA10" i="15" s="1"/>
  <c r="AA77" i="15" s="1"/>
  <c r="X181" i="15"/>
  <c r="Y137" i="15"/>
  <c r="Y104" i="15"/>
  <c r="Y67" i="15"/>
  <c r="X72" i="15" s="1"/>
  <c r="Y57" i="15"/>
  <c r="Y63" i="15" s="1"/>
  <c r="Y42" i="15"/>
  <c r="X32" i="15"/>
  <c r="X31" i="15" s="1"/>
  <c r="Y31" i="15"/>
  <c r="Y26" i="15"/>
  <c r="Y30" i="15" s="1"/>
  <c r="Y29" i="15" s="1"/>
  <c r="X25" i="15"/>
  <c r="X19" i="15"/>
  <c r="Y15" i="15"/>
  <c r="Y19" i="15" s="1"/>
  <c r="X2" i="15"/>
  <c r="X10" i="15" s="1"/>
  <c r="V181" i="15"/>
  <c r="W137" i="15"/>
  <c r="W135" i="15"/>
  <c r="W141" i="15" s="1"/>
  <c r="W104" i="15"/>
  <c r="W67" i="15"/>
  <c r="V72" i="15" s="1"/>
  <c r="W57" i="15"/>
  <c r="V9" i="15" s="1"/>
  <c r="W42" i="15"/>
  <c r="V32" i="15"/>
  <c r="V42" i="15" s="1"/>
  <c r="W31" i="15"/>
  <c r="W26" i="15"/>
  <c r="W30" i="15" s="1"/>
  <c r="W29" i="15" s="1"/>
  <c r="V25" i="15"/>
  <c r="V19" i="15"/>
  <c r="W15" i="15"/>
  <c r="W19" i="15" s="1"/>
  <c r="V2" i="15"/>
  <c r="V10" i="15" s="1"/>
  <c r="CW136" i="13" l="1"/>
  <c r="CW92" i="13"/>
  <c r="DE92" i="13"/>
  <c r="K92" i="3" s="1"/>
  <c r="CW72" i="13"/>
  <c r="CW79" i="13"/>
  <c r="CW123" i="13" s="1"/>
  <c r="CW117" i="13" s="1"/>
  <c r="CW116" i="13" s="1"/>
  <c r="CW114" i="13" s="1"/>
  <c r="CW115" i="13" s="1"/>
  <c r="CW64" i="13"/>
  <c r="DE79" i="13"/>
  <c r="DE123" i="13" s="1"/>
  <c r="DE117" i="13" s="1"/>
  <c r="DE116" i="13" s="1"/>
  <c r="DE114" i="13" s="1"/>
  <c r="DE115" i="13" s="1"/>
  <c r="DE72" i="13"/>
  <c r="K72" i="3" s="1"/>
  <c r="DE64" i="13"/>
  <c r="K64" i="3" s="1"/>
  <c r="K135" i="3" s="1"/>
  <c r="DE136" i="13"/>
  <c r="K136" i="3" s="1"/>
  <c r="CW131" i="13"/>
  <c r="CW132" i="13" s="1"/>
  <c r="CW133" i="13" s="1"/>
  <c r="DE131" i="13"/>
  <c r="DE132" i="13" s="1"/>
  <c r="DE133" i="13" s="1"/>
  <c r="DE135" i="13"/>
  <c r="CY131" i="13"/>
  <c r="CY132" i="13" s="1"/>
  <c r="CY133" i="13" s="1"/>
  <c r="CY92" i="13"/>
  <c r="CY72" i="13"/>
  <c r="CY79" i="13"/>
  <c r="CY123" i="13" s="1"/>
  <c r="CY117" i="13" s="1"/>
  <c r="CY116" i="13" s="1"/>
  <c r="CY114" i="13" s="1"/>
  <c r="CY115" i="13" s="1"/>
  <c r="CY64" i="13"/>
  <c r="CY136" i="13"/>
  <c r="AI63" i="13"/>
  <c r="DA131" i="13"/>
  <c r="DA132" i="13" s="1"/>
  <c r="DA133" i="13" s="1"/>
  <c r="AH72" i="13"/>
  <c r="DI72" i="13"/>
  <c r="DA92" i="13"/>
  <c r="M92" i="3" s="1"/>
  <c r="DA79" i="13"/>
  <c r="DA123" i="13" s="1"/>
  <c r="DA117" i="13" s="1"/>
  <c r="DA116" i="13" s="1"/>
  <c r="DA114" i="13" s="1"/>
  <c r="DA115" i="13" s="1"/>
  <c r="DA72" i="13"/>
  <c r="DA64" i="13"/>
  <c r="DC72" i="13"/>
  <c r="DA136" i="13"/>
  <c r="M136" i="3" s="1"/>
  <c r="AC25" i="15"/>
  <c r="Y25" i="15"/>
  <c r="DC72" i="15"/>
  <c r="AQ72" i="3" s="1"/>
  <c r="CY136" i="15"/>
  <c r="CU131" i="14"/>
  <c r="AQ150" i="36" s="1"/>
  <c r="CS136" i="14"/>
  <c r="CU136" i="14"/>
  <c r="Z136" i="3" s="1"/>
  <c r="DA72" i="14"/>
  <c r="CW72" i="14"/>
  <c r="AB72" i="3" s="1"/>
  <c r="DA64" i="15"/>
  <c r="DA135" i="15" s="1"/>
  <c r="DG72" i="15"/>
  <c r="BD31" i="3"/>
  <c r="BD42" i="3"/>
  <c r="BD41" i="3" s="1"/>
  <c r="BD44" i="3" s="1"/>
  <c r="DA67" i="15"/>
  <c r="AO67" i="3" s="1"/>
  <c r="AO69" i="3" s="1"/>
  <c r="W25" i="15"/>
  <c r="CS131" i="14"/>
  <c r="CQ79" i="14"/>
  <c r="CQ123" i="14" s="1"/>
  <c r="CQ117" i="14" s="1"/>
  <c r="CQ116" i="14" s="1"/>
  <c r="CQ114" i="14" s="1"/>
  <c r="CQ115" i="14" s="1"/>
  <c r="AI60" i="14"/>
  <c r="AH8" i="14" s="1"/>
  <c r="CQ64" i="14"/>
  <c r="CQ135" i="14" s="1"/>
  <c r="CY72" i="14"/>
  <c r="CY79" i="14"/>
  <c r="CY64" i="14"/>
  <c r="CY92" i="14"/>
  <c r="X92" i="3" s="1"/>
  <c r="CY136" i="14"/>
  <c r="CU117" i="14"/>
  <c r="CU116" i="14" s="1"/>
  <c r="CU114" i="14" s="1"/>
  <c r="CU115" i="14" s="1"/>
  <c r="AI59" i="14"/>
  <c r="L31" i="3"/>
  <c r="L32" i="3"/>
  <c r="L42" i="3" s="1"/>
  <c r="K20" i="3"/>
  <c r="K16" i="3"/>
  <c r="O20" i="3"/>
  <c r="O16" i="3"/>
  <c r="L20" i="3"/>
  <c r="L16" i="3"/>
  <c r="M19" i="3"/>
  <c r="M15" i="3"/>
  <c r="CW131" i="15"/>
  <c r="DE64" i="15"/>
  <c r="DE92" i="15"/>
  <c r="AM92" i="3" s="1"/>
  <c r="DE136" i="15"/>
  <c r="DE72" i="15"/>
  <c r="DE79" i="15"/>
  <c r="X9" i="15"/>
  <c r="DA30" i="15"/>
  <c r="AO26" i="3"/>
  <c r="CZ30" i="15"/>
  <c r="AN32" i="3"/>
  <c r="AN42" i="3" s="1"/>
  <c r="DI132" i="15"/>
  <c r="CY131" i="15"/>
  <c r="DA19" i="15"/>
  <c r="AO19" i="3" s="1"/>
  <c r="CW136" i="15"/>
  <c r="CW72" i="15"/>
  <c r="CV16" i="15"/>
  <c r="CV20" i="15" s="1"/>
  <c r="CV24" i="15" s="1"/>
  <c r="CV23" i="15" s="1"/>
  <c r="CW10" i="15"/>
  <c r="CW129" i="15" s="1"/>
  <c r="DA57" i="15"/>
  <c r="CZ9" i="15" s="1"/>
  <c r="CW64" i="15"/>
  <c r="CW135" i="15" s="1"/>
  <c r="AF72" i="15"/>
  <c r="DI72" i="15"/>
  <c r="DA72" i="15"/>
  <c r="AB31" i="15"/>
  <c r="DA79" i="15"/>
  <c r="AO79" i="3" s="1"/>
  <c r="AI25" i="15"/>
  <c r="CZ42" i="15"/>
  <c r="CW79" i="15"/>
  <c r="DA92" i="15"/>
  <c r="AO92" i="3" s="1"/>
  <c r="CW92" i="15"/>
  <c r="DA136" i="15"/>
  <c r="DA131" i="15"/>
  <c r="AQ151" i="36" s="1"/>
  <c r="CY64" i="15"/>
  <c r="CY135" i="15" s="1"/>
  <c r="CY67" i="15"/>
  <c r="CV31" i="15"/>
  <c r="CY72" i="15"/>
  <c r="AF9" i="15"/>
  <c r="CY79" i="15"/>
  <c r="AD9" i="15"/>
  <c r="CZ31" i="15"/>
  <c r="AN31" i="3" s="1"/>
  <c r="CY92" i="15"/>
  <c r="CY57" i="15"/>
  <c r="CY63" i="15" s="1"/>
  <c r="CU92" i="14"/>
  <c r="Z92" i="3" s="1"/>
  <c r="CU72" i="14"/>
  <c r="Z72" i="3" s="1"/>
  <c r="AH72" i="14"/>
  <c r="CQ131" i="14"/>
  <c r="AI141" i="14"/>
  <c r="AI117" i="14"/>
  <c r="AI116" i="14" s="1"/>
  <c r="AI114" i="14" s="1"/>
  <c r="AI115" i="14" s="1"/>
  <c r="CQ10" i="14"/>
  <c r="CQ16" i="14" s="1"/>
  <c r="CQ20" i="14" s="1"/>
  <c r="CQ72" i="14"/>
  <c r="CS64" i="14"/>
  <c r="CQ92" i="14"/>
  <c r="CS72" i="14"/>
  <c r="CQ136" i="14"/>
  <c r="CS79" i="14"/>
  <c r="CS123" i="14" s="1"/>
  <c r="CS117" i="14" s="1"/>
  <c r="CS116" i="14" s="1"/>
  <c r="CS114" i="14" s="1"/>
  <c r="CS115" i="14" s="1"/>
  <c r="CS92" i="14"/>
  <c r="CS31" i="14"/>
  <c r="DC72" i="14"/>
  <c r="DE72" i="14" s="1"/>
  <c r="CU31" i="14"/>
  <c r="Z31" i="3" s="1"/>
  <c r="CU64" i="14"/>
  <c r="AI117" i="13"/>
  <c r="AI116" i="13" s="1"/>
  <c r="AI114" i="13" s="1"/>
  <c r="AI115" i="13" s="1"/>
  <c r="AI59" i="13"/>
  <c r="AI60" i="13"/>
  <c r="AH8" i="13" s="1"/>
  <c r="DA10" i="15"/>
  <c r="CZ16" i="15"/>
  <c r="CX42" i="15"/>
  <c r="CX31" i="15"/>
  <c r="CW19" i="15"/>
  <c r="CV30" i="15"/>
  <c r="CV29" i="15" s="1"/>
  <c r="CW30" i="15"/>
  <c r="CW29" i="15" s="1"/>
  <c r="CX30" i="15"/>
  <c r="CX29" i="15" s="1"/>
  <c r="CY30" i="15"/>
  <c r="CY29" i="15" s="1"/>
  <c r="CY10" i="15"/>
  <c r="CT16" i="14"/>
  <c r="CU10" i="14"/>
  <c r="CR16" i="14"/>
  <c r="CR20" i="14" s="1"/>
  <c r="CS10" i="14"/>
  <c r="CU19" i="14"/>
  <c r="Z19" i="3" s="1"/>
  <c r="AI10" i="15"/>
  <c r="AH16" i="15"/>
  <c r="AH20" i="15" s="1"/>
  <c r="AH24" i="15" s="1"/>
  <c r="AH23" i="15" s="1"/>
  <c r="AH31" i="15"/>
  <c r="AH42" i="15"/>
  <c r="AI63" i="15"/>
  <c r="AI10" i="14"/>
  <c r="AI31" i="14"/>
  <c r="AH16" i="13"/>
  <c r="AH20" i="13" s="1"/>
  <c r="AI10" i="13"/>
  <c r="AH42" i="13"/>
  <c r="AH9" i="13"/>
  <c r="AH61" i="13"/>
  <c r="V30" i="15"/>
  <c r="V29" i="15" s="1"/>
  <c r="Z30" i="15"/>
  <c r="Z29" i="15" s="1"/>
  <c r="Z31" i="15"/>
  <c r="AB30" i="15"/>
  <c r="AB29" i="15" s="1"/>
  <c r="AC63" i="15"/>
  <c r="AF30" i="15"/>
  <c r="AF29" i="15" s="1"/>
  <c r="W63" i="15"/>
  <c r="X30" i="15"/>
  <c r="X29" i="15" s="1"/>
  <c r="Z9" i="15"/>
  <c r="AE25" i="15"/>
  <c r="AG10" i="15"/>
  <c r="AF16" i="15"/>
  <c r="AF20" i="15" s="1"/>
  <c r="AF24" i="15" s="1"/>
  <c r="AF23" i="15" s="1"/>
  <c r="AG30" i="15"/>
  <c r="AG29" i="15" s="1"/>
  <c r="AF42" i="15"/>
  <c r="AD16" i="15"/>
  <c r="AD20" i="15" s="1"/>
  <c r="AD24" i="15" s="1"/>
  <c r="AD23" i="15" s="1"/>
  <c r="AE10" i="15"/>
  <c r="AD31" i="15"/>
  <c r="AD42" i="15"/>
  <c r="AC10" i="15"/>
  <c r="AB16" i="15"/>
  <c r="AB20" i="15" s="1"/>
  <c r="AB24" i="15" s="1"/>
  <c r="AB23" i="15" s="1"/>
  <c r="AA129" i="15"/>
  <c r="AA132" i="15"/>
  <c r="AA76" i="15"/>
  <c r="AA126" i="15"/>
  <c r="AA69" i="15"/>
  <c r="AA16" i="15"/>
  <c r="AA20" i="15" s="1"/>
  <c r="AA24" i="15" s="1"/>
  <c r="AA23" i="15" s="1"/>
  <c r="AA30" i="15"/>
  <c r="AA29" i="15" s="1"/>
  <c r="Z16" i="15"/>
  <c r="Z20" i="15" s="1"/>
  <c r="Z24" i="15" s="1"/>
  <c r="Z23" i="15" s="1"/>
  <c r="Y10" i="15"/>
  <c r="X16" i="15"/>
  <c r="X20" i="15" s="1"/>
  <c r="X24" i="15" s="1"/>
  <c r="X23" i="15" s="1"/>
  <c r="X42" i="15"/>
  <c r="W10" i="15"/>
  <c r="V16" i="15"/>
  <c r="V20" i="15" s="1"/>
  <c r="V24" i="15" s="1"/>
  <c r="V23" i="15" s="1"/>
  <c r="V31" i="15"/>
  <c r="N72" i="14"/>
  <c r="AG135" i="14"/>
  <c r="AE135" i="14"/>
  <c r="AG123" i="14"/>
  <c r="AE123" i="14"/>
  <c r="AG122" i="14"/>
  <c r="AE122" i="14"/>
  <c r="AG121" i="14"/>
  <c r="AE121" i="14"/>
  <c r="AG120" i="14"/>
  <c r="AE120" i="14"/>
  <c r="AG119" i="14"/>
  <c r="AE119" i="14"/>
  <c r="AG106" i="14"/>
  <c r="AE106" i="14"/>
  <c r="AG104" i="14"/>
  <c r="AG105" i="14" s="1"/>
  <c r="AE104" i="14"/>
  <c r="AE105" i="14" s="1"/>
  <c r="AG67" i="14"/>
  <c r="AE67" i="14"/>
  <c r="AE62" i="14" s="1"/>
  <c r="AG65" i="14"/>
  <c r="AE65" i="14"/>
  <c r="AG57" i="14"/>
  <c r="AE57" i="14"/>
  <c r="AD9" i="14" s="1"/>
  <c r="AG52" i="14"/>
  <c r="AE52" i="14"/>
  <c r="AE42" i="14"/>
  <c r="AE31" i="14"/>
  <c r="AF19" i="14"/>
  <c r="AD19" i="14"/>
  <c r="AG15" i="14"/>
  <c r="AG19" i="14" s="1"/>
  <c r="AE15" i="14"/>
  <c r="AE19" i="14" s="1"/>
  <c r="AF2" i="14"/>
  <c r="AF10" i="14" s="1"/>
  <c r="AD2" i="14"/>
  <c r="AD10" i="14" s="1"/>
  <c r="AC135" i="14"/>
  <c r="AA135" i="14"/>
  <c r="AC123" i="14"/>
  <c r="AA123" i="14"/>
  <c r="AC122" i="14"/>
  <c r="AA122" i="14"/>
  <c r="AC121" i="14"/>
  <c r="AA121" i="14"/>
  <c r="AC120" i="14"/>
  <c r="AA120" i="14"/>
  <c r="AC119" i="14"/>
  <c r="AA119" i="14"/>
  <c r="AC106" i="14"/>
  <c r="AA106" i="14"/>
  <c r="AC104" i="14"/>
  <c r="AC105" i="14" s="1"/>
  <c r="AA104" i="14"/>
  <c r="AA105" i="14" s="1"/>
  <c r="AC67" i="14"/>
  <c r="AC62" i="14" s="1"/>
  <c r="AA67" i="14"/>
  <c r="AC65" i="14"/>
  <c r="AA65" i="14"/>
  <c r="AC57" i="14"/>
  <c r="AB9" i="14" s="1"/>
  <c r="AA57" i="14"/>
  <c r="AC52" i="14"/>
  <c r="AA52" i="14"/>
  <c r="AA42" i="14"/>
  <c r="AA31" i="14"/>
  <c r="AB19" i="14"/>
  <c r="Z19" i="14"/>
  <c r="AC15" i="14"/>
  <c r="AC19" i="14" s="1"/>
  <c r="AA15" i="14"/>
  <c r="AA19" i="14" s="1"/>
  <c r="AB2" i="14"/>
  <c r="AB10" i="14" s="1"/>
  <c r="Z2" i="14"/>
  <c r="Z10" i="14" s="1"/>
  <c r="AG96" i="13"/>
  <c r="AE96" i="13"/>
  <c r="AC96" i="13"/>
  <c r="AA96" i="13"/>
  <c r="Y96" i="13"/>
  <c r="W96" i="13"/>
  <c r="U96" i="13"/>
  <c r="O96" i="13"/>
  <c r="AM150" i="13" l="1"/>
  <c r="AM150" i="36"/>
  <c r="AO151" i="13"/>
  <c r="AO151" i="36"/>
  <c r="AM151" i="13"/>
  <c r="AM151" i="36"/>
  <c r="AQ152" i="36"/>
  <c r="AQ154" i="36" s="1"/>
  <c r="AO150" i="13"/>
  <c r="AO152" i="13" s="1"/>
  <c r="AO154" i="13" s="1"/>
  <c r="AO150" i="36"/>
  <c r="AI77" i="13"/>
  <c r="AJ77" i="13" s="1"/>
  <c r="AI75" i="13"/>
  <c r="AO131" i="3"/>
  <c r="F189" i="3" s="1"/>
  <c r="AQ151" i="13"/>
  <c r="Z131" i="3"/>
  <c r="F188" i="3" s="1"/>
  <c r="AQ150" i="13"/>
  <c r="AI56" i="14"/>
  <c r="AI50" i="14" s="1"/>
  <c r="AI54" i="14" s="1"/>
  <c r="AI41" i="14" s="1"/>
  <c r="K131" i="3"/>
  <c r="E187" i="3" s="1"/>
  <c r="M131" i="3"/>
  <c r="F187" i="3" s="1"/>
  <c r="DK72" i="13"/>
  <c r="DH72" i="13"/>
  <c r="DI71" i="13"/>
  <c r="DI86" i="13"/>
  <c r="DE96" i="13"/>
  <c r="DE141" i="13"/>
  <c r="DE142" i="13" s="1"/>
  <c r="DE65" i="13"/>
  <c r="DE100" i="13"/>
  <c r="DE104" i="13" s="1"/>
  <c r="DE105" i="13" s="1"/>
  <c r="DE138" i="13"/>
  <c r="CW135" i="13"/>
  <c r="CW96" i="13" s="1"/>
  <c r="CW65" i="13"/>
  <c r="CW138" i="13"/>
  <c r="CW100" i="13"/>
  <c r="CW104" i="13" s="1"/>
  <c r="CW105" i="13" s="1"/>
  <c r="DC71" i="13"/>
  <c r="DG72" i="13"/>
  <c r="O72" i="3"/>
  <c r="O71" i="3" s="1"/>
  <c r="CY100" i="13"/>
  <c r="CY104" i="13" s="1"/>
  <c r="CY105" i="13" s="1"/>
  <c r="CY138" i="13"/>
  <c r="CY135" i="13"/>
  <c r="CY96" i="13" s="1"/>
  <c r="CY65" i="13"/>
  <c r="DA100" i="13"/>
  <c r="DA104" i="13" s="1"/>
  <c r="DA105" i="13" s="1"/>
  <c r="DA138" i="13"/>
  <c r="DA135" i="13"/>
  <c r="DA141" i="13" s="1"/>
  <c r="DA142" i="13" s="1"/>
  <c r="DA65" i="13"/>
  <c r="CU132" i="14"/>
  <c r="CU133" i="14" s="1"/>
  <c r="CY141" i="15"/>
  <c r="CQ65" i="14"/>
  <c r="DK72" i="15"/>
  <c r="DK71" i="15" s="1"/>
  <c r="DG72" i="14"/>
  <c r="AD72" i="3"/>
  <c r="DB72" i="15"/>
  <c r="DC71" i="15"/>
  <c r="DC86" i="15"/>
  <c r="DC92" i="15"/>
  <c r="AQ92" i="3" s="1"/>
  <c r="V257" i="3" s="1"/>
  <c r="V258" i="3" s="1"/>
  <c r="K140" i="3"/>
  <c r="CY131" i="14"/>
  <c r="AU150" i="36" s="1"/>
  <c r="AO64" i="3"/>
  <c r="AO135" i="3" s="1"/>
  <c r="DA69" i="15"/>
  <c r="DM72" i="15"/>
  <c r="DM71" i="15" s="1"/>
  <c r="CZ72" i="14"/>
  <c r="DA71" i="14"/>
  <c r="DA86" i="14"/>
  <c r="DD72" i="14"/>
  <c r="DE71" i="14"/>
  <c r="DE86" i="14"/>
  <c r="DE131" i="15"/>
  <c r="AU151" i="36" s="1"/>
  <c r="AO136" i="3"/>
  <c r="DA141" i="15"/>
  <c r="CW141" i="15"/>
  <c r="DG92" i="15"/>
  <c r="DF72" i="15"/>
  <c r="DG71" i="15"/>
  <c r="DG86" i="15"/>
  <c r="CW126" i="15"/>
  <c r="BD43" i="3"/>
  <c r="AO123" i="3"/>
  <c r="AO117" i="3" s="1"/>
  <c r="AO116" i="3" s="1"/>
  <c r="AO114" i="3" s="1"/>
  <c r="AO115" i="3" s="1"/>
  <c r="CW132" i="15"/>
  <c r="CQ141" i="14"/>
  <c r="CU57" i="14"/>
  <c r="CQ96" i="14"/>
  <c r="X136" i="3"/>
  <c r="AI16" i="14"/>
  <c r="AI20" i="14" s="1"/>
  <c r="AI77" i="14"/>
  <c r="AI76" i="14" s="1"/>
  <c r="X64" i="3"/>
  <c r="CY135" i="14"/>
  <c r="CY141" i="14" s="1"/>
  <c r="CY65" i="14"/>
  <c r="X79" i="3"/>
  <c r="X123" i="3" s="1"/>
  <c r="X117" i="3" s="1"/>
  <c r="X116" i="3" s="1"/>
  <c r="X114" i="3" s="1"/>
  <c r="X115" i="3" s="1"/>
  <c r="CY123" i="14"/>
  <c r="CY117" i="14" s="1"/>
  <c r="CY116" i="14" s="1"/>
  <c r="CY114" i="14" s="1"/>
  <c r="CY115" i="14" s="1"/>
  <c r="CU65" i="14"/>
  <c r="Z64" i="3"/>
  <c r="X72" i="3"/>
  <c r="CT20" i="14"/>
  <c r="Y16" i="3"/>
  <c r="M79" i="3"/>
  <c r="M123" i="3" s="1"/>
  <c r="M117" i="3" s="1"/>
  <c r="M116" i="3" s="1"/>
  <c r="M114" i="3" s="1"/>
  <c r="M115" i="3" s="1"/>
  <c r="M72" i="3"/>
  <c r="M64" i="3"/>
  <c r="M20" i="3"/>
  <c r="M16" i="3"/>
  <c r="K79" i="3"/>
  <c r="DC86" i="14"/>
  <c r="AB71" i="3"/>
  <c r="AB86" i="3"/>
  <c r="DA63" i="15"/>
  <c r="AO57" i="3"/>
  <c r="AN9" i="3" s="1"/>
  <c r="W16" i="15"/>
  <c r="W20" i="15" s="1"/>
  <c r="W24" i="15" s="1"/>
  <c r="W23" i="15" s="1"/>
  <c r="W77" i="15"/>
  <c r="W76" i="15" s="1"/>
  <c r="AE16" i="15"/>
  <c r="AE20" i="15" s="1"/>
  <c r="AE24" i="15" s="1"/>
  <c r="AE23" i="15" s="1"/>
  <c r="AE77" i="15"/>
  <c r="AE76" i="15" s="1"/>
  <c r="AQ131" i="3"/>
  <c r="G189" i="3" s="1"/>
  <c r="G190" i="3" s="1"/>
  <c r="CZ20" i="15"/>
  <c r="AN16" i="3"/>
  <c r="Y16" i="15"/>
  <c r="Y20" i="15" s="1"/>
  <c r="Y24" i="15" s="1"/>
  <c r="Y23" i="15" s="1"/>
  <c r="Y77" i="15"/>
  <c r="Y76" i="15" s="1"/>
  <c r="DA29" i="15"/>
  <c r="AO29" i="3" s="1"/>
  <c r="AO30" i="3"/>
  <c r="AM79" i="3"/>
  <c r="AM123" i="3" s="1"/>
  <c r="AM117" i="3" s="1"/>
  <c r="AM116" i="3" s="1"/>
  <c r="AM114" i="3" s="1"/>
  <c r="AM115" i="3" s="1"/>
  <c r="AM72" i="3"/>
  <c r="AG16" i="15"/>
  <c r="AG20" i="15" s="1"/>
  <c r="AG24" i="15" s="1"/>
  <c r="AG23" i="15" s="1"/>
  <c r="AG77" i="15"/>
  <c r="AI16" i="15"/>
  <c r="AI20" i="15" s="1"/>
  <c r="AI24" i="15" s="1"/>
  <c r="AI23" i="15" s="1"/>
  <c r="AI77" i="15"/>
  <c r="AI76" i="15" s="1"/>
  <c r="AM136" i="3"/>
  <c r="CX9" i="15"/>
  <c r="CZ72" i="15"/>
  <c r="AO72" i="3"/>
  <c r="CW16" i="15"/>
  <c r="CW20" i="15" s="1"/>
  <c r="CW24" i="15" s="1"/>
  <c r="CW23" i="15" s="1"/>
  <c r="AQ71" i="3"/>
  <c r="AQ86" i="3"/>
  <c r="CZ29" i="15"/>
  <c r="AN29" i="3" s="1"/>
  <c r="AN30" i="3"/>
  <c r="AM64" i="3"/>
  <c r="DE135" i="15"/>
  <c r="DE141" i="15" s="1"/>
  <c r="AC16" i="15"/>
  <c r="AC20" i="15" s="1"/>
  <c r="AC24" i="15" s="1"/>
  <c r="AC23" i="15" s="1"/>
  <c r="AC77" i="15"/>
  <c r="AC76" i="15" s="1"/>
  <c r="CX72" i="15"/>
  <c r="DH72" i="15"/>
  <c r="DI71" i="15"/>
  <c r="DI86" i="15"/>
  <c r="CY69" i="15"/>
  <c r="AG62" i="14"/>
  <c r="AG59" i="14" s="1"/>
  <c r="CU67" i="14"/>
  <c r="AG96" i="14"/>
  <c r="AG141" i="14"/>
  <c r="DB72" i="14"/>
  <c r="DC71" i="14"/>
  <c r="CQ132" i="14"/>
  <c r="Z72" i="14"/>
  <c r="AE96" i="14"/>
  <c r="AE141" i="14"/>
  <c r="AC96" i="14"/>
  <c r="AC141" i="14"/>
  <c r="CV72" i="14"/>
  <c r="CW71" i="14"/>
  <c r="CW86" i="14"/>
  <c r="AA96" i="14"/>
  <c r="AA141" i="14"/>
  <c r="CU135" i="14"/>
  <c r="Z9" i="14"/>
  <c r="AF9" i="14"/>
  <c r="CS65" i="14"/>
  <c r="CS135" i="14"/>
  <c r="AI56" i="13"/>
  <c r="AI53" i="13" s="1"/>
  <c r="DA126" i="15"/>
  <c r="DA16" i="15"/>
  <c r="DA129" i="15"/>
  <c r="DA132" i="15"/>
  <c r="CY126" i="15"/>
  <c r="CY129" i="15"/>
  <c r="CY16" i="15"/>
  <c r="CY20" i="15" s="1"/>
  <c r="CY24" i="15" s="1"/>
  <c r="CY23" i="15" s="1"/>
  <c r="CY132" i="15"/>
  <c r="CU16" i="14"/>
  <c r="CS16" i="14"/>
  <c r="CS20" i="14" s="1"/>
  <c r="CS132" i="14"/>
  <c r="AI69" i="15"/>
  <c r="AI132" i="15"/>
  <c r="AI129" i="15"/>
  <c r="AI126" i="15"/>
  <c r="AI69" i="14"/>
  <c r="AI132" i="13"/>
  <c r="AI133" i="13" s="1"/>
  <c r="AI142" i="13" s="1"/>
  <c r="AI129" i="13"/>
  <c r="AI130" i="13" s="1"/>
  <c r="AI126" i="13"/>
  <c r="AI127" i="13" s="1"/>
  <c r="AI69" i="13"/>
  <c r="AI16" i="13"/>
  <c r="AI20" i="13" s="1"/>
  <c r="AG69" i="15"/>
  <c r="AG132" i="15"/>
  <c r="AG129" i="15"/>
  <c r="AG126" i="15"/>
  <c r="AE132" i="15"/>
  <c r="AE129" i="15"/>
  <c r="AE126" i="15"/>
  <c r="AE69" i="15"/>
  <c r="AC132" i="15"/>
  <c r="AC129" i="15"/>
  <c r="AC69" i="15"/>
  <c r="AC126" i="15"/>
  <c r="AA80" i="15"/>
  <c r="AA75" i="15"/>
  <c r="Y132" i="15"/>
  <c r="Y69" i="15"/>
  <c r="Y129" i="15"/>
  <c r="Y126" i="15"/>
  <c r="W132" i="15"/>
  <c r="W129" i="15"/>
  <c r="W126" i="15"/>
  <c r="W69" i="15"/>
  <c r="AC31" i="14"/>
  <c r="AE117" i="14"/>
  <c r="AE116" i="14" s="1"/>
  <c r="AE114" i="14" s="1"/>
  <c r="AE115" i="14" s="1"/>
  <c r="AC60" i="14"/>
  <c r="AB8" i="14" s="1"/>
  <c r="AG60" i="14"/>
  <c r="AF8" i="14" s="1"/>
  <c r="AB72" i="14"/>
  <c r="AD72" i="14"/>
  <c r="AF72" i="14"/>
  <c r="AA117" i="14"/>
  <c r="AA116" i="14" s="1"/>
  <c r="AA114" i="14" s="1"/>
  <c r="AA115" i="14" s="1"/>
  <c r="AC117" i="14"/>
  <c r="AC116" i="14" s="1"/>
  <c r="AC114" i="14" s="1"/>
  <c r="AC115" i="14" s="1"/>
  <c r="AG117" i="14"/>
  <c r="AG116" i="14" s="1"/>
  <c r="AG114" i="14" s="1"/>
  <c r="AG115" i="14" s="1"/>
  <c r="AC59" i="14"/>
  <c r="AE59" i="14"/>
  <c r="AD16" i="14"/>
  <c r="AD20" i="14" s="1"/>
  <c r="AE10" i="14"/>
  <c r="AE16" i="14" s="1"/>
  <c r="AE20" i="14" s="1"/>
  <c r="AF16" i="14"/>
  <c r="AF20" i="14" s="1"/>
  <c r="AG10" i="14"/>
  <c r="AG31" i="14"/>
  <c r="AE60" i="14"/>
  <c r="Z16" i="14"/>
  <c r="Z20" i="14" s="1"/>
  <c r="AA10" i="14"/>
  <c r="AB16" i="14"/>
  <c r="AB20" i="14" s="1"/>
  <c r="AC10" i="14"/>
  <c r="AC77" i="14" s="1"/>
  <c r="AA60" i="14"/>
  <c r="AA62" i="14"/>
  <c r="AA59" i="14" s="1"/>
  <c r="AO152" i="36" l="1"/>
  <c r="AO154" i="36" s="1"/>
  <c r="AI68" i="14"/>
  <c r="AI63" i="14" s="1"/>
  <c r="AI49" i="14"/>
  <c r="AU152" i="36"/>
  <c r="AU154" i="36" s="1"/>
  <c r="Z132" i="3"/>
  <c r="Z133" i="3" s="1"/>
  <c r="AM152" i="13"/>
  <c r="AM154" i="13" s="1"/>
  <c r="AM152" i="36"/>
  <c r="AM154" i="36" s="1"/>
  <c r="AO132" i="3"/>
  <c r="F207" i="3" s="1"/>
  <c r="F197" i="3"/>
  <c r="AM131" i="3"/>
  <c r="E189" i="3" s="1"/>
  <c r="E157" i="3" s="1"/>
  <c r="G157" i="3" s="1"/>
  <c r="AU151" i="13"/>
  <c r="AQ152" i="13"/>
  <c r="AQ154" i="13" s="1"/>
  <c r="AI53" i="14"/>
  <c r="X131" i="3"/>
  <c r="E188" i="3" s="1"/>
  <c r="E156" i="3" s="1"/>
  <c r="G156" i="3" s="1"/>
  <c r="AU150" i="13"/>
  <c r="E155" i="3"/>
  <c r="G155" i="3" s="1"/>
  <c r="F190" i="3"/>
  <c r="CY132" i="14"/>
  <c r="CY133" i="14" s="1"/>
  <c r="CY142" i="14" s="1"/>
  <c r="DA96" i="13"/>
  <c r="CW141" i="13"/>
  <c r="CW142" i="13" s="1"/>
  <c r="DG71" i="13"/>
  <c r="CY141" i="13"/>
  <c r="CY142" i="13" s="1"/>
  <c r="DI87" i="13"/>
  <c r="DI89" i="13"/>
  <c r="DJ72" i="13"/>
  <c r="DK71" i="13"/>
  <c r="DK86" i="13"/>
  <c r="Q72" i="3"/>
  <c r="Y273" i="3" s="1"/>
  <c r="AO96" i="3"/>
  <c r="AO137" i="3"/>
  <c r="DS72" i="15"/>
  <c r="DR72" i="15" s="1"/>
  <c r="DJ72" i="15"/>
  <c r="DE132" i="15"/>
  <c r="DL72" i="15"/>
  <c r="DO72" i="15"/>
  <c r="DO86" i="15" s="1"/>
  <c r="DK86" i="15"/>
  <c r="DK89" i="15" s="1"/>
  <c r="DM86" i="15"/>
  <c r="DM89" i="15" s="1"/>
  <c r="DC87" i="15"/>
  <c r="DC89" i="15"/>
  <c r="AO62" i="3"/>
  <c r="DQ92" i="15"/>
  <c r="AS92" i="3" s="1"/>
  <c r="DS92" i="15"/>
  <c r="AO65" i="3"/>
  <c r="AO60" i="3" s="1"/>
  <c r="AN8" i="3" s="1"/>
  <c r="DQ72" i="15"/>
  <c r="AO100" i="3"/>
  <c r="AO104" i="3" s="1"/>
  <c r="AO105" i="3" s="1"/>
  <c r="DF72" i="14"/>
  <c r="DG71" i="14"/>
  <c r="DG86" i="14"/>
  <c r="DE89" i="14"/>
  <c r="DE87" i="14"/>
  <c r="DA89" i="14"/>
  <c r="DA87" i="14"/>
  <c r="Y274" i="3"/>
  <c r="Z274" i="3"/>
  <c r="T274" i="3"/>
  <c r="U274" i="3"/>
  <c r="W274" i="3"/>
  <c r="X274" i="3"/>
  <c r="V274" i="3"/>
  <c r="DG89" i="15"/>
  <c r="DG87" i="15"/>
  <c r="DA77" i="15"/>
  <c r="AO77" i="3" s="1"/>
  <c r="AO76" i="3" s="1"/>
  <c r="AO74" i="3" s="1"/>
  <c r="AO71" i="3" s="1"/>
  <c r="AG56" i="14"/>
  <c r="AG53" i="14" s="1"/>
  <c r="CU60" i="14"/>
  <c r="CT8" i="14" s="1"/>
  <c r="X137" i="3"/>
  <c r="X135" i="3"/>
  <c r="X96" i="3" s="1"/>
  <c r="X65" i="3"/>
  <c r="X100" i="3"/>
  <c r="X104" i="3" s="1"/>
  <c r="X105" i="3" s="1"/>
  <c r="CU62" i="14"/>
  <c r="CU59" i="14" s="1"/>
  <c r="Z67" i="3"/>
  <c r="AI45" i="14"/>
  <c r="AI44" i="14" s="1"/>
  <c r="AI43" i="14" s="1"/>
  <c r="AH45" i="14"/>
  <c r="CT72" i="14"/>
  <c r="CY96" i="14"/>
  <c r="AG16" i="14"/>
  <c r="AG20" i="14" s="1"/>
  <c r="AG77" i="14"/>
  <c r="AE69" i="14"/>
  <c r="AE77" i="14"/>
  <c r="Y20" i="3"/>
  <c r="AA69" i="14"/>
  <c r="AA77" i="14"/>
  <c r="CT9" i="14"/>
  <c r="Z57" i="3"/>
  <c r="CU69" i="14"/>
  <c r="CU20" i="14"/>
  <c r="Z16" i="3"/>
  <c r="Z137" i="3"/>
  <c r="Z65" i="3"/>
  <c r="Z100" i="3"/>
  <c r="Z104" i="3" s="1"/>
  <c r="Z105" i="3" s="1"/>
  <c r="Z135" i="3"/>
  <c r="M137" i="3"/>
  <c r="M100" i="3"/>
  <c r="M104" i="3" s="1"/>
  <c r="M105" i="3" s="1"/>
  <c r="M135" i="3"/>
  <c r="M140" i="3" s="1"/>
  <c r="M65" i="3"/>
  <c r="AB89" i="3"/>
  <c r="AB87" i="3"/>
  <c r="AD71" i="3"/>
  <c r="AD86" i="3"/>
  <c r="AO140" i="3"/>
  <c r="AG76" i="15"/>
  <c r="AQ89" i="3"/>
  <c r="AQ87" i="3"/>
  <c r="CY77" i="15"/>
  <c r="CY76" i="15" s="1"/>
  <c r="CY74" i="15" s="1"/>
  <c r="CY71" i="15" s="1"/>
  <c r="AM140" i="3"/>
  <c r="AM137" i="3"/>
  <c r="AM135" i="3"/>
  <c r="AM96" i="3" s="1"/>
  <c r="AM65" i="3"/>
  <c r="AM100" i="3"/>
  <c r="AM104" i="3" s="1"/>
  <c r="AM105" i="3" s="1"/>
  <c r="CZ24" i="15"/>
  <c r="AN20" i="3"/>
  <c r="DA20" i="15"/>
  <c r="AO16" i="3"/>
  <c r="G197" i="3"/>
  <c r="AQ132" i="3"/>
  <c r="DI87" i="15"/>
  <c r="DI89" i="15"/>
  <c r="CU141" i="14"/>
  <c r="CU142" i="14" s="1"/>
  <c r="CU96" i="14"/>
  <c r="CQ133" i="14"/>
  <c r="CQ142" i="14" s="1"/>
  <c r="DC89" i="14"/>
  <c r="DC87" i="14"/>
  <c r="CW87" i="14"/>
  <c r="CW89" i="14"/>
  <c r="CS96" i="14"/>
  <c r="CS141" i="14"/>
  <c r="AI50" i="13"/>
  <c r="AI54" i="13" s="1"/>
  <c r="AI68" i="13"/>
  <c r="CS133" i="14"/>
  <c r="AI80" i="15"/>
  <c r="AI71" i="15"/>
  <c r="AI75" i="15"/>
  <c r="AI80" i="14"/>
  <c r="AI75" i="14"/>
  <c r="AI71" i="14"/>
  <c r="AI108" i="14"/>
  <c r="AI109" i="14" s="1"/>
  <c r="AI111" i="14"/>
  <c r="AI112" i="14" s="1"/>
  <c r="AH49" i="14"/>
  <c r="AH48" i="14" s="1"/>
  <c r="AI48" i="14"/>
  <c r="AG80" i="15"/>
  <c r="AG75" i="15"/>
  <c r="AE80" i="15"/>
  <c r="AE75" i="15"/>
  <c r="AC80" i="15"/>
  <c r="AC75" i="15"/>
  <c r="AA82" i="15"/>
  <c r="AA83" i="15"/>
  <c r="AA81" i="15"/>
  <c r="Y80" i="15"/>
  <c r="Y75" i="15"/>
  <c r="W75" i="15"/>
  <c r="W80" i="15"/>
  <c r="AC56" i="14"/>
  <c r="AC53" i="14" s="1"/>
  <c r="AA16" i="14"/>
  <c r="AA20" i="14" s="1"/>
  <c r="AD8" i="14"/>
  <c r="AE56" i="14"/>
  <c r="AG69" i="14"/>
  <c r="AC16" i="14"/>
  <c r="AC20" i="14" s="1"/>
  <c r="AA56" i="14"/>
  <c r="Z8" i="14"/>
  <c r="AC69" i="14"/>
  <c r="F213" i="3" l="1"/>
  <c r="Z148" i="3"/>
  <c r="AU152" i="13"/>
  <c r="AU154" i="13" s="1"/>
  <c r="AG68" i="14"/>
  <c r="AG63" i="14" s="1"/>
  <c r="AG50" i="14"/>
  <c r="AG54" i="14" s="1"/>
  <c r="AG41" i="14" s="1"/>
  <c r="AO133" i="3"/>
  <c r="AO141" i="3" s="1"/>
  <c r="F214" i="3"/>
  <c r="AO148" i="3"/>
  <c r="E190" i="3"/>
  <c r="E158" i="3" s="1"/>
  <c r="G158" i="3" s="1"/>
  <c r="X273" i="3"/>
  <c r="U273" i="3"/>
  <c r="DI90" i="13"/>
  <c r="DI93" i="13"/>
  <c r="DK89" i="13"/>
  <c r="DK87" i="13"/>
  <c r="V273" i="3"/>
  <c r="Q86" i="3"/>
  <c r="Q87" i="3" s="1"/>
  <c r="W273" i="3"/>
  <c r="Z273" i="3"/>
  <c r="Q71" i="3"/>
  <c r="T273" i="3"/>
  <c r="DM87" i="15"/>
  <c r="DS86" i="15"/>
  <c r="DS89" i="15" s="1"/>
  <c r="DO71" i="15"/>
  <c r="DN72" i="15"/>
  <c r="DK87" i="15"/>
  <c r="DS71" i="15"/>
  <c r="AO59" i="3"/>
  <c r="DG89" i="14"/>
  <c r="DG87" i="14"/>
  <c r="AS72" i="3"/>
  <c r="DP72" i="15"/>
  <c r="DQ71" i="15"/>
  <c r="DQ86" i="15"/>
  <c r="AO56" i="3"/>
  <c r="AO53" i="3" s="1"/>
  <c r="Z257" i="3"/>
  <c r="Z258" i="3" s="1"/>
  <c r="Y257" i="3"/>
  <c r="Y258" i="3" s="1"/>
  <c r="X257" i="3"/>
  <c r="X258" i="3" s="1"/>
  <c r="W257" i="3"/>
  <c r="W258" i="3" s="1"/>
  <c r="T257" i="3"/>
  <c r="T258" i="3" s="1"/>
  <c r="U257" i="3"/>
  <c r="U258" i="3" s="1"/>
  <c r="F182" i="3"/>
  <c r="F183" i="3" s="1"/>
  <c r="DC93" i="15"/>
  <c r="DC90" i="15"/>
  <c r="DA93" i="14"/>
  <c r="DA90" i="14"/>
  <c r="DE93" i="14"/>
  <c r="DE90" i="14"/>
  <c r="CU56" i="14"/>
  <c r="CU53" i="14" s="1"/>
  <c r="AO111" i="3"/>
  <c r="AO112" i="3" s="1"/>
  <c r="DO87" i="15"/>
  <c r="DO89" i="15"/>
  <c r="AO80" i="3"/>
  <c r="AO147" i="3" s="1"/>
  <c r="AO108" i="3"/>
  <c r="AO109" i="3" s="1"/>
  <c r="AO75" i="3"/>
  <c r="DA76" i="15"/>
  <c r="DA74" i="15" s="1"/>
  <c r="DG93" i="15"/>
  <c r="DG90" i="15"/>
  <c r="AQ148" i="3"/>
  <c r="AQ147" i="3"/>
  <c r="DK93" i="15"/>
  <c r="DK90" i="15"/>
  <c r="X140" i="3"/>
  <c r="Z20" i="3"/>
  <c r="Y9" i="3"/>
  <c r="F206" i="3"/>
  <c r="Z69" i="3"/>
  <c r="Z62" i="3"/>
  <c r="Z59" i="3" s="1"/>
  <c r="F196" i="3"/>
  <c r="Z96" i="3"/>
  <c r="Z140" i="3"/>
  <c r="Z141" i="3" s="1"/>
  <c r="Z60" i="3"/>
  <c r="CU77" i="14"/>
  <c r="M96" i="3"/>
  <c r="AD89" i="3"/>
  <c r="AD87" i="3"/>
  <c r="AB93" i="3"/>
  <c r="AB90" i="3"/>
  <c r="DM90" i="15"/>
  <c r="DM93" i="15"/>
  <c r="CZ23" i="15"/>
  <c r="AN23" i="3" s="1"/>
  <c r="AN24" i="3"/>
  <c r="AQ93" i="3"/>
  <c r="AQ90" i="3"/>
  <c r="CY80" i="15"/>
  <c r="CY82" i="15" s="1"/>
  <c r="CY75" i="15"/>
  <c r="G214" i="3"/>
  <c r="G215" i="3" s="1"/>
  <c r="AQ133" i="3"/>
  <c r="AQ141" i="3" s="1"/>
  <c r="G207" i="3"/>
  <c r="G208" i="3" s="1"/>
  <c r="DA24" i="15"/>
  <c r="AO20" i="3"/>
  <c r="DI93" i="15"/>
  <c r="DI90" i="15"/>
  <c r="CS142" i="14"/>
  <c r="DC93" i="14"/>
  <c r="DC90" i="14"/>
  <c r="CW90" i="14"/>
  <c r="CW93" i="14"/>
  <c r="AI83" i="15"/>
  <c r="AI82" i="15"/>
  <c r="AI81" i="15"/>
  <c r="AI82" i="14"/>
  <c r="AI81" i="14"/>
  <c r="AI83" i="14"/>
  <c r="AI41" i="13"/>
  <c r="AH41" i="13"/>
  <c r="AI49" i="13"/>
  <c r="AG83" i="15"/>
  <c r="AG82" i="15"/>
  <c r="AG81" i="15"/>
  <c r="AE82" i="15"/>
  <c r="AE83" i="15"/>
  <c r="AE81" i="15"/>
  <c r="AC83" i="15"/>
  <c r="AC81" i="15"/>
  <c r="AC82" i="15"/>
  <c r="AA84" i="15"/>
  <c r="Y83" i="15"/>
  <c r="Y82" i="15"/>
  <c r="Y81" i="15"/>
  <c r="W83" i="15"/>
  <c r="W82" i="15"/>
  <c r="W81" i="15"/>
  <c r="AC68" i="14"/>
  <c r="AC63" i="14" s="1"/>
  <c r="AC50" i="14"/>
  <c r="AC54" i="14" s="1"/>
  <c r="AC41" i="14" s="1"/>
  <c r="AE50" i="14"/>
  <c r="AE54" i="14" s="1"/>
  <c r="AE68" i="14"/>
  <c r="AE63" i="14" s="1"/>
  <c r="AE53" i="14"/>
  <c r="AA50" i="14"/>
  <c r="AA54" i="14" s="1"/>
  <c r="AA68" i="14"/>
  <c r="AA63" i="14" s="1"/>
  <c r="AA53" i="14"/>
  <c r="AG49" i="14" l="1"/>
  <c r="AF45" i="14" s="1"/>
  <c r="Q89" i="3"/>
  <c r="Q93" i="3" s="1"/>
  <c r="DK93" i="13"/>
  <c r="DK90" i="13"/>
  <c r="DI94" i="13"/>
  <c r="DI98" i="13"/>
  <c r="AO50" i="3"/>
  <c r="AO54" i="3" s="1"/>
  <c r="AO49" i="3" s="1"/>
  <c r="AQ149" i="3"/>
  <c r="DS87" i="15"/>
  <c r="AO68" i="3"/>
  <c r="AO63" i="3" s="1"/>
  <c r="CU68" i="14"/>
  <c r="CU63" i="14" s="1"/>
  <c r="DG90" i="14"/>
  <c r="DG93" i="14"/>
  <c r="DC94" i="15"/>
  <c r="CU50" i="14"/>
  <c r="CU54" i="14" s="1"/>
  <c r="CU41" i="14" s="1"/>
  <c r="DQ89" i="15"/>
  <c r="DQ87" i="15"/>
  <c r="DS93" i="15"/>
  <c r="DS90" i="15"/>
  <c r="AS86" i="3"/>
  <c r="X275" i="3"/>
  <c r="X276" i="3" s="1"/>
  <c r="Y275" i="3"/>
  <c r="Y276" i="3" s="1"/>
  <c r="T275" i="3"/>
  <c r="T276" i="3" s="1"/>
  <c r="W275" i="3"/>
  <c r="W276" i="3" s="1"/>
  <c r="Z275" i="3"/>
  <c r="Z276" i="3" s="1"/>
  <c r="V275" i="3"/>
  <c r="V276" i="3" s="1"/>
  <c r="U275" i="3"/>
  <c r="U276" i="3" s="1"/>
  <c r="AS71" i="3"/>
  <c r="DE94" i="14"/>
  <c r="DE98" i="14"/>
  <c r="DA98" i="14"/>
  <c r="DA94" i="14"/>
  <c r="AO83" i="3"/>
  <c r="AO84" i="3" s="1"/>
  <c r="AO81" i="3"/>
  <c r="AO82" i="3"/>
  <c r="DG94" i="15"/>
  <c r="DA71" i="15"/>
  <c r="DA80" i="15"/>
  <c r="DA75" i="15"/>
  <c r="CY81" i="15"/>
  <c r="CY83" i="15"/>
  <c r="CY86" i="15" s="1"/>
  <c r="DO93" i="15"/>
  <c r="DO90" i="15"/>
  <c r="DK94" i="15"/>
  <c r="Z56" i="3"/>
  <c r="Y8" i="3"/>
  <c r="AG45" i="14"/>
  <c r="AG44" i="14" s="1"/>
  <c r="AG43" i="14" s="1"/>
  <c r="Z77" i="3"/>
  <c r="Z76" i="3" s="1"/>
  <c r="Z74" i="3" s="1"/>
  <c r="CU76" i="14"/>
  <c r="CU74" i="14" s="1"/>
  <c r="AB94" i="3"/>
  <c r="AB98" i="3"/>
  <c r="AD93" i="3"/>
  <c r="AD90" i="3"/>
  <c r="DA23" i="15"/>
  <c r="AO23" i="3" s="1"/>
  <c r="AO24" i="3"/>
  <c r="AQ98" i="3"/>
  <c r="AQ94" i="3"/>
  <c r="DM94" i="15"/>
  <c r="DI94" i="15"/>
  <c r="DC98" i="14"/>
  <c r="DC94" i="14"/>
  <c r="CW94" i="14"/>
  <c r="CW98" i="14"/>
  <c r="AI86" i="15"/>
  <c r="AI84" i="15"/>
  <c r="AI86" i="14"/>
  <c r="AI84" i="14"/>
  <c r="AI45" i="13"/>
  <c r="AI44" i="13" s="1"/>
  <c r="AH45" i="13"/>
  <c r="AH44" i="13" s="1"/>
  <c r="AH43" i="13" s="1"/>
  <c r="AI48" i="13"/>
  <c r="AH49" i="13"/>
  <c r="AH48" i="13" s="1"/>
  <c r="AG84" i="15"/>
  <c r="AE84" i="15"/>
  <c r="AC84" i="15"/>
  <c r="Y84" i="15"/>
  <c r="W84" i="15"/>
  <c r="AC49" i="14"/>
  <c r="AE41" i="14"/>
  <c r="AG48" i="14"/>
  <c r="AE49" i="14"/>
  <c r="AA41" i="14"/>
  <c r="AA49" i="14"/>
  <c r="AG138" i="13"/>
  <c r="AG123" i="13"/>
  <c r="AG122" i="13"/>
  <c r="AG121" i="13"/>
  <c r="AG120" i="13"/>
  <c r="AG119" i="13"/>
  <c r="AG106" i="13"/>
  <c r="AG100" i="13"/>
  <c r="AG104" i="13" s="1"/>
  <c r="AG105" i="13" s="1"/>
  <c r="AG67" i="13"/>
  <c r="AG65" i="13"/>
  <c r="AG57" i="13"/>
  <c r="AG52" i="13"/>
  <c r="AG42" i="13"/>
  <c r="AG39" i="13"/>
  <c r="AF32" i="13"/>
  <c r="AF31" i="13" s="1"/>
  <c r="AG31" i="13"/>
  <c r="AF19" i="13"/>
  <c r="AG15" i="13"/>
  <c r="AG19" i="13" s="1"/>
  <c r="AF2" i="13"/>
  <c r="AF10" i="13" s="1"/>
  <c r="AE138" i="13"/>
  <c r="AE123" i="13"/>
  <c r="AE122" i="13"/>
  <c r="AE121" i="13"/>
  <c r="AE120" i="13"/>
  <c r="AE119" i="13"/>
  <c r="AE106" i="13"/>
  <c r="AE100" i="13"/>
  <c r="AE104" i="13" s="1"/>
  <c r="AE105" i="13" s="1"/>
  <c r="AE67" i="13"/>
  <c r="AD72" i="13" s="1"/>
  <c r="AE65" i="13"/>
  <c r="AE57" i="13"/>
  <c r="AE63" i="13" s="1"/>
  <c r="AE52" i="13"/>
  <c r="AE42" i="13"/>
  <c r="AE39" i="13"/>
  <c r="AD32" i="13"/>
  <c r="AD31" i="13" s="1"/>
  <c r="AE31" i="13"/>
  <c r="AD19" i="13"/>
  <c r="AE15" i="13"/>
  <c r="AE19" i="13" s="1"/>
  <c r="AD2" i="13"/>
  <c r="AD10" i="13" s="1"/>
  <c r="AC138" i="13"/>
  <c r="AC123" i="13"/>
  <c r="AC122" i="13"/>
  <c r="AC121" i="13"/>
  <c r="AC120" i="13"/>
  <c r="AC119" i="13"/>
  <c r="AC106" i="13"/>
  <c r="AC100" i="13"/>
  <c r="AC104" i="13" s="1"/>
  <c r="AC105" i="13" s="1"/>
  <c r="AC67" i="13"/>
  <c r="AC65" i="13"/>
  <c r="AC57" i="13"/>
  <c r="AC52" i="13"/>
  <c r="AC42" i="13"/>
  <c r="AC39" i="13"/>
  <c r="AB32" i="13"/>
  <c r="AB42" i="13" s="1"/>
  <c r="AC31" i="13"/>
  <c r="AB19" i="13"/>
  <c r="AC15" i="13"/>
  <c r="AC19" i="13" s="1"/>
  <c r="AB2" i="13"/>
  <c r="AB10" i="13" s="1"/>
  <c r="AA138" i="13"/>
  <c r="AA123" i="13"/>
  <c r="AA122" i="13"/>
  <c r="AA121" i="13"/>
  <c r="AA120" i="13"/>
  <c r="AA119" i="13"/>
  <c r="AA106" i="13"/>
  <c r="AA100" i="13"/>
  <c r="AA104" i="13" s="1"/>
  <c r="AA105" i="13" s="1"/>
  <c r="AA67" i="13"/>
  <c r="Z72" i="13" s="1"/>
  <c r="AA65" i="13"/>
  <c r="AA57" i="13"/>
  <c r="AA63" i="13" s="1"/>
  <c r="AA52" i="13"/>
  <c r="AA42" i="13"/>
  <c r="AA39" i="13"/>
  <c r="Z32" i="13"/>
  <c r="Z31" i="13" s="1"/>
  <c r="AA31" i="13"/>
  <c r="Z19" i="13"/>
  <c r="AA15" i="13"/>
  <c r="AA19" i="13" s="1"/>
  <c r="Z2" i="13"/>
  <c r="Z10" i="13" s="1"/>
  <c r="Y138" i="13"/>
  <c r="Y123" i="13"/>
  <c r="Y122" i="13"/>
  <c r="Y121" i="13"/>
  <c r="Y120" i="13"/>
  <c r="Y119" i="13"/>
  <c r="Y106" i="13"/>
  <c r="Y100" i="13"/>
  <c r="Y104" i="13" s="1"/>
  <c r="Y105" i="13" s="1"/>
  <c r="Y67" i="13"/>
  <c r="X72" i="13" s="1"/>
  <c r="Y65" i="13"/>
  <c r="Y57" i="13"/>
  <c r="Y63" i="13" s="1"/>
  <c r="Y52" i="13"/>
  <c r="Y42" i="13"/>
  <c r="Y39" i="13"/>
  <c r="X32" i="13"/>
  <c r="X31" i="13" s="1"/>
  <c r="Y31" i="13"/>
  <c r="X19" i="13"/>
  <c r="Y15" i="13"/>
  <c r="Y19" i="13" s="1"/>
  <c r="X2" i="13"/>
  <c r="X10" i="13" s="1"/>
  <c r="W138" i="13"/>
  <c r="W123" i="13"/>
  <c r="W122" i="13"/>
  <c r="W121" i="13"/>
  <c r="W120" i="13"/>
  <c r="W119" i="13"/>
  <c r="W106" i="13"/>
  <c r="W100" i="13"/>
  <c r="W104" i="13" s="1"/>
  <c r="W105" i="13" s="1"/>
  <c r="W67" i="13"/>
  <c r="V72" i="13" s="1"/>
  <c r="W65" i="13"/>
  <c r="W57" i="13"/>
  <c r="W63" i="13" s="1"/>
  <c r="W52" i="13"/>
  <c r="W42" i="13"/>
  <c r="W39" i="13"/>
  <c r="V32" i="13"/>
  <c r="V31" i="13" s="1"/>
  <c r="W31" i="13"/>
  <c r="V19" i="13"/>
  <c r="W15" i="13"/>
  <c r="W19" i="13" s="1"/>
  <c r="V2" i="13"/>
  <c r="V10" i="13" s="1"/>
  <c r="DA57" i="13" l="1"/>
  <c r="CZ9" i="13" s="1"/>
  <c r="AF49" i="14"/>
  <c r="AF48" i="14" s="1"/>
  <c r="Q90" i="3"/>
  <c r="DA67" i="13"/>
  <c r="DC67" i="13"/>
  <c r="O67" i="3" s="1"/>
  <c r="DG67" i="13"/>
  <c r="AB72" i="13"/>
  <c r="CY67" i="13"/>
  <c r="AB9" i="13"/>
  <c r="CY57" i="13"/>
  <c r="DI99" i="13"/>
  <c r="DI124" i="13" s="1"/>
  <c r="DI144" i="13"/>
  <c r="DK94" i="13"/>
  <c r="DK98" i="13"/>
  <c r="AO86" i="3"/>
  <c r="AO89" i="3" s="1"/>
  <c r="CY84" i="15"/>
  <c r="DG94" i="14"/>
  <c r="DG98" i="14"/>
  <c r="AS89" i="3"/>
  <c r="AS87" i="3"/>
  <c r="DS94" i="15"/>
  <c r="DQ93" i="15"/>
  <c r="DQ90" i="15"/>
  <c r="AF72" i="13"/>
  <c r="CU49" i="14"/>
  <c r="CU45" i="14" s="1"/>
  <c r="CU44" i="14" s="1"/>
  <c r="CU43" i="14" s="1"/>
  <c r="DA144" i="14"/>
  <c r="DA99" i="14"/>
  <c r="DA124" i="14" s="1"/>
  <c r="DE144" i="14"/>
  <c r="DE99" i="14"/>
  <c r="DE124" i="14" s="1"/>
  <c r="Q94" i="3"/>
  <c r="Q98" i="3"/>
  <c r="Q99" i="3" s="1"/>
  <c r="DO94" i="15"/>
  <c r="DA82" i="15"/>
  <c r="DA81" i="15"/>
  <c r="DA83" i="15"/>
  <c r="AC45" i="14"/>
  <c r="AC44" i="14" s="1"/>
  <c r="AC43" i="14" s="1"/>
  <c r="AB45" i="14"/>
  <c r="CU111" i="14"/>
  <c r="CU112" i="14" s="1"/>
  <c r="CU75" i="14"/>
  <c r="CU108" i="14"/>
  <c r="CU109" i="14" s="1"/>
  <c r="CU71" i="14"/>
  <c r="CU80" i="14"/>
  <c r="Z75" i="3"/>
  <c r="Z71" i="3"/>
  <c r="Z80" i="3"/>
  <c r="Z147" i="3" s="1"/>
  <c r="Z111" i="3"/>
  <c r="Z112" i="3" s="1"/>
  <c r="Z108" i="3"/>
  <c r="Z109" i="3" s="1"/>
  <c r="Z50" i="3"/>
  <c r="Z68" i="3"/>
  <c r="Z63" i="3" s="1"/>
  <c r="Z53" i="3"/>
  <c r="AD94" i="3"/>
  <c r="AD98" i="3"/>
  <c r="AB99" i="3"/>
  <c r="AB143" i="3"/>
  <c r="AN49" i="3"/>
  <c r="AN48" i="3" s="1"/>
  <c r="AO48" i="3"/>
  <c r="AN45" i="3"/>
  <c r="AO45" i="3"/>
  <c r="AO41" i="3"/>
  <c r="AN41" i="3"/>
  <c r="AQ99" i="3"/>
  <c r="AQ143" i="3"/>
  <c r="AB49" i="14"/>
  <c r="AB48" i="14" s="1"/>
  <c r="CW99" i="14"/>
  <c r="CW124" i="14" s="1"/>
  <c r="CW144" i="14"/>
  <c r="DC99" i="14"/>
  <c r="DC124" i="14" s="1"/>
  <c r="DC144" i="14"/>
  <c r="AA117" i="13"/>
  <c r="AA116" i="13" s="1"/>
  <c r="AA114" i="13" s="1"/>
  <c r="AA115" i="13" s="1"/>
  <c r="X9" i="13"/>
  <c r="AE117" i="13"/>
  <c r="AE116" i="13" s="1"/>
  <c r="AE114" i="13" s="1"/>
  <c r="AE115" i="13" s="1"/>
  <c r="AG63" i="13"/>
  <c r="AA60" i="13"/>
  <c r="Z8" i="13" s="1"/>
  <c r="AC63" i="13"/>
  <c r="Y59" i="13"/>
  <c r="CY87" i="15"/>
  <c r="CY89" i="15"/>
  <c r="AI89" i="15"/>
  <c r="AI87" i="15"/>
  <c r="AI89" i="14"/>
  <c r="AI87" i="14"/>
  <c r="AI47" i="13"/>
  <c r="AI43" i="13"/>
  <c r="AC48" i="14"/>
  <c r="AD45" i="14"/>
  <c r="AD49" i="14"/>
  <c r="AD48" i="14" s="1"/>
  <c r="AE48" i="14"/>
  <c r="AE45" i="14"/>
  <c r="AE44" i="14" s="1"/>
  <c r="AE43" i="14" s="1"/>
  <c r="AA45" i="14"/>
  <c r="AA44" i="14" s="1"/>
  <c r="AA43" i="14" s="1"/>
  <c r="Z45" i="14"/>
  <c r="AA48" i="14"/>
  <c r="Z49" i="14"/>
  <c r="Z48" i="14" s="1"/>
  <c r="AD9" i="13"/>
  <c r="W117" i="13"/>
  <c r="W116" i="13" s="1"/>
  <c r="W114" i="13" s="1"/>
  <c r="W115" i="13" s="1"/>
  <c r="AC59" i="13"/>
  <c r="V9" i="13"/>
  <c r="AG117" i="13"/>
  <c r="AG116" i="13" s="1"/>
  <c r="AG114" i="13" s="1"/>
  <c r="AG115" i="13" s="1"/>
  <c r="AE60" i="13"/>
  <c r="AE56" i="13" s="1"/>
  <c r="AE53" i="13" s="1"/>
  <c r="W60" i="13"/>
  <c r="V8" i="13" s="1"/>
  <c r="AC117" i="13"/>
  <c r="AC116" i="13" s="1"/>
  <c r="AC114" i="13" s="1"/>
  <c r="AC115" i="13" s="1"/>
  <c r="Y117" i="13"/>
  <c r="Y116" i="13" s="1"/>
  <c r="Y114" i="13" s="1"/>
  <c r="Y115" i="13" s="1"/>
  <c r="AC60" i="13"/>
  <c r="AC56" i="13" s="1"/>
  <c r="AG60" i="13"/>
  <c r="AF8" i="13" s="1"/>
  <c r="AE59" i="13"/>
  <c r="AF9" i="13"/>
  <c r="W59" i="13"/>
  <c r="Y60" i="13"/>
  <c r="Y56" i="13" s="1"/>
  <c r="AB31" i="13"/>
  <c r="Z9" i="13"/>
  <c r="AB61" i="13"/>
  <c r="AD61" i="13"/>
  <c r="AF16" i="13"/>
  <c r="AF20" i="13" s="1"/>
  <c r="AG10" i="13"/>
  <c r="AG77" i="13" s="1"/>
  <c r="AF42" i="13"/>
  <c r="AG59" i="13"/>
  <c r="AF61" i="13"/>
  <c r="AD16" i="13"/>
  <c r="AD20" i="13" s="1"/>
  <c r="AE10" i="13"/>
  <c r="AD42" i="13"/>
  <c r="AB16" i="13"/>
  <c r="AB20" i="13" s="1"/>
  <c r="AC10" i="13"/>
  <c r="Z16" i="13"/>
  <c r="Z20" i="13" s="1"/>
  <c r="AA10" i="13"/>
  <c r="Z42" i="13"/>
  <c r="AA59" i="13"/>
  <c r="Z61" i="13"/>
  <c r="X16" i="13"/>
  <c r="X20" i="13" s="1"/>
  <c r="Y10" i="13"/>
  <c r="X42" i="13"/>
  <c r="X61" i="13"/>
  <c r="V16" i="13"/>
  <c r="V20" i="13" s="1"/>
  <c r="W10" i="13"/>
  <c r="W77" i="13" s="1"/>
  <c r="V42" i="13"/>
  <c r="V61" i="13"/>
  <c r="CF135" i="3"/>
  <c r="CF140" i="3" s="1"/>
  <c r="CF104" i="3"/>
  <c r="CF63" i="3"/>
  <c r="CF32" i="3"/>
  <c r="CF42" i="3" s="1"/>
  <c r="CF26" i="3"/>
  <c r="CE25" i="3"/>
  <c r="CE19" i="3"/>
  <c r="CF15" i="3"/>
  <c r="CF19" i="3" s="1"/>
  <c r="CE9" i="3"/>
  <c r="CE2" i="3"/>
  <c r="CE10" i="3" s="1"/>
  <c r="BX135" i="3"/>
  <c r="BX140" i="3" s="1"/>
  <c r="BX104" i="3"/>
  <c r="BX57" i="3"/>
  <c r="BX63" i="3" s="1"/>
  <c r="BX32" i="3"/>
  <c r="BX42" i="3" s="1"/>
  <c r="BX26" i="3"/>
  <c r="BX25" i="3" s="1"/>
  <c r="BW25" i="3"/>
  <c r="BW19" i="3"/>
  <c r="BX15" i="3"/>
  <c r="BX19" i="3" s="1"/>
  <c r="BW2" i="3"/>
  <c r="BW10" i="3" s="1"/>
  <c r="BF135" i="3"/>
  <c r="BF140" i="3" s="1"/>
  <c r="BF104" i="3"/>
  <c r="BF63" i="3"/>
  <c r="BE42" i="3"/>
  <c r="BF32" i="3"/>
  <c r="BE31" i="3"/>
  <c r="BE19" i="3"/>
  <c r="BF15" i="3"/>
  <c r="BF19" i="3" s="1"/>
  <c r="BE9" i="3"/>
  <c r="BE2" i="3"/>
  <c r="BE10" i="3" s="1"/>
  <c r="M57" i="3" l="1"/>
  <c r="L9" i="3" s="1"/>
  <c r="DA63" i="13"/>
  <c r="AH77" i="13"/>
  <c r="DK99" i="13"/>
  <c r="DK124" i="13" s="1"/>
  <c r="DK144" i="13"/>
  <c r="CY63" i="13"/>
  <c r="CX9" i="13"/>
  <c r="CY69" i="13"/>
  <c r="CX72" i="13"/>
  <c r="CY60" i="13"/>
  <c r="CY59" i="13"/>
  <c r="DG80" i="13"/>
  <c r="DG69" i="13"/>
  <c r="DG59" i="13"/>
  <c r="DG60" i="13"/>
  <c r="DF72" i="13"/>
  <c r="DC69" i="13"/>
  <c r="DC80" i="13"/>
  <c r="DC59" i="13"/>
  <c r="DC60" i="13"/>
  <c r="DB72" i="13"/>
  <c r="DA69" i="13"/>
  <c r="CZ72" i="13"/>
  <c r="DA60" i="13"/>
  <c r="DA59" i="13"/>
  <c r="CT49" i="14"/>
  <c r="CT48" i="14" s="1"/>
  <c r="CU48" i="14"/>
  <c r="AO87" i="3"/>
  <c r="DG99" i="14"/>
  <c r="DG124" i="14" s="1"/>
  <c r="DG144" i="14"/>
  <c r="CT45" i="14"/>
  <c r="DQ94" i="15"/>
  <c r="AS93" i="3"/>
  <c r="AS90" i="3"/>
  <c r="Q143" i="3"/>
  <c r="Q146" i="3"/>
  <c r="O148" i="3"/>
  <c r="Y228" i="3"/>
  <c r="Z228" i="3"/>
  <c r="Z231" i="3" s="1"/>
  <c r="X228" i="3"/>
  <c r="V228" i="3"/>
  <c r="W228" i="3"/>
  <c r="DA86" i="15"/>
  <c r="DA84" i="15"/>
  <c r="F168" i="3"/>
  <c r="F167" i="3"/>
  <c r="F169" i="3" s="1"/>
  <c r="BX31" i="3"/>
  <c r="Z81" i="3"/>
  <c r="Z83" i="3"/>
  <c r="Z82" i="3"/>
  <c r="CU83" i="14"/>
  <c r="CU81" i="14"/>
  <c r="CU82" i="14"/>
  <c r="Z54" i="3"/>
  <c r="Z41" i="3" s="1"/>
  <c r="Y69" i="13"/>
  <c r="Y77" i="13"/>
  <c r="X77" i="13" s="1"/>
  <c r="M67" i="3"/>
  <c r="AC16" i="13"/>
  <c r="AC20" i="13" s="1"/>
  <c r="AC77" i="13"/>
  <c r="J155" i="3"/>
  <c r="G195" i="3"/>
  <c r="O69" i="3"/>
  <c r="O62" i="3"/>
  <c r="O59" i="3" s="1"/>
  <c r="O60" i="3"/>
  <c r="K155" i="3" s="1"/>
  <c r="O80" i="3"/>
  <c r="O147" i="3" s="1"/>
  <c r="AA69" i="13"/>
  <c r="AA77" i="13"/>
  <c r="AE16" i="13"/>
  <c r="AE20" i="13" s="1"/>
  <c r="AE77" i="13"/>
  <c r="AD143" i="3"/>
  <c r="AD99" i="3"/>
  <c r="AO93" i="3"/>
  <c r="AO90" i="3"/>
  <c r="AO44" i="3"/>
  <c r="AN44" i="3"/>
  <c r="AN43" i="3" s="1"/>
  <c r="CF30" i="3"/>
  <c r="CF29" i="3" s="1"/>
  <c r="AA56" i="13"/>
  <c r="AA53" i="13" s="1"/>
  <c r="AD8" i="13"/>
  <c r="X8" i="13"/>
  <c r="CY90" i="15"/>
  <c r="CY93" i="15"/>
  <c r="AI93" i="15"/>
  <c r="AI90" i="15"/>
  <c r="AI93" i="14"/>
  <c r="AI90" i="14"/>
  <c r="W56" i="13"/>
  <c r="W53" i="13" s="1"/>
  <c r="AB8" i="13"/>
  <c r="AG56" i="13"/>
  <c r="AG50" i="13" s="1"/>
  <c r="AG54" i="13" s="1"/>
  <c r="AG132" i="13"/>
  <c r="AG133" i="13" s="1"/>
  <c r="AG142" i="13" s="1"/>
  <c r="AG129" i="13"/>
  <c r="AG130" i="13" s="1"/>
  <c r="AG126" i="13"/>
  <c r="AG127" i="13" s="1"/>
  <c r="AG69" i="13"/>
  <c r="AG16" i="13"/>
  <c r="AG20" i="13" s="1"/>
  <c r="AE69" i="13"/>
  <c r="AE132" i="13"/>
  <c r="AE133" i="13" s="1"/>
  <c r="AE142" i="13" s="1"/>
  <c r="AE129" i="13"/>
  <c r="AE130" i="13" s="1"/>
  <c r="AE126" i="13"/>
  <c r="AE127" i="13" s="1"/>
  <c r="AE68" i="13"/>
  <c r="AE50" i="13"/>
  <c r="AE54" i="13" s="1"/>
  <c r="AE41" i="13" s="1"/>
  <c r="AC68" i="13"/>
  <c r="AC53" i="13"/>
  <c r="AC50" i="13"/>
  <c r="AC54" i="13" s="1"/>
  <c r="AC69" i="13"/>
  <c r="AC132" i="13"/>
  <c r="AC133" i="13" s="1"/>
  <c r="AC142" i="13" s="1"/>
  <c r="AC129" i="13"/>
  <c r="AC130" i="13" s="1"/>
  <c r="AC126" i="13"/>
  <c r="AC127" i="13" s="1"/>
  <c r="AA132" i="13"/>
  <c r="AA133" i="13" s="1"/>
  <c r="AA142" i="13" s="1"/>
  <c r="AA129" i="13"/>
  <c r="AA130" i="13" s="1"/>
  <c r="AA126" i="13"/>
  <c r="AA127" i="13" s="1"/>
  <c r="AA16" i="13"/>
  <c r="AA20" i="13" s="1"/>
  <c r="Y68" i="13"/>
  <c r="Y50" i="13"/>
  <c r="Y54" i="13" s="1"/>
  <c r="Y41" i="13" s="1"/>
  <c r="Y16" i="13"/>
  <c r="Y20" i="13" s="1"/>
  <c r="Y132" i="13"/>
  <c r="Y133" i="13" s="1"/>
  <c r="Y142" i="13" s="1"/>
  <c r="Y129" i="13"/>
  <c r="Y130" i="13" s="1"/>
  <c r="Y126" i="13"/>
  <c r="Y127" i="13" s="1"/>
  <c r="Y53" i="13"/>
  <c r="W132" i="13"/>
  <c r="W133" i="13" s="1"/>
  <c r="W142" i="13" s="1"/>
  <c r="W129" i="13"/>
  <c r="W130" i="13" s="1"/>
  <c r="W126" i="13"/>
  <c r="W127" i="13" s="1"/>
  <c r="W69" i="13"/>
  <c r="W16" i="13"/>
  <c r="W20" i="13" s="1"/>
  <c r="BW32" i="3"/>
  <c r="BW42" i="3" s="1"/>
  <c r="CF31" i="3"/>
  <c r="BW9" i="3"/>
  <c r="CF25" i="3"/>
  <c r="CF10" i="3"/>
  <c r="CE16" i="3"/>
  <c r="CE20" i="3" s="1"/>
  <c r="CE24" i="3" s="1"/>
  <c r="CE23" i="3" s="1"/>
  <c r="CE32" i="3"/>
  <c r="BW16" i="3"/>
  <c r="BW20" i="3" s="1"/>
  <c r="BW24" i="3" s="1"/>
  <c r="BW23" i="3" s="1"/>
  <c r="BX10" i="3"/>
  <c r="BX76" i="3" s="1"/>
  <c r="BX74" i="3" s="1"/>
  <c r="BX75" i="3" s="1"/>
  <c r="BX30" i="3"/>
  <c r="BX29" i="3" s="1"/>
  <c r="BF10" i="3"/>
  <c r="BF16" i="3" s="1"/>
  <c r="BF20" i="3" s="1"/>
  <c r="BE16" i="3"/>
  <c r="BE20" i="3" s="1"/>
  <c r="BF42" i="3"/>
  <c r="BF31" i="3"/>
  <c r="AD77" i="13" l="1"/>
  <c r="Z77" i="13"/>
  <c r="CY77" i="13"/>
  <c r="CY76" i="13" s="1"/>
  <c r="CY74" i="13" s="1"/>
  <c r="CY108" i="13" s="1"/>
  <c r="CY109" i="13" s="1"/>
  <c r="AB77" i="13"/>
  <c r="AF77" i="13"/>
  <c r="DG82" i="13"/>
  <c r="DG81" i="13"/>
  <c r="DG83" i="13"/>
  <c r="CZ8" i="13"/>
  <c r="DA56" i="13"/>
  <c r="DA77" i="13"/>
  <c r="CX8" i="13"/>
  <c r="CY56" i="13"/>
  <c r="DC56" i="13"/>
  <c r="DB8" i="13"/>
  <c r="DC111" i="13"/>
  <c r="DC112" i="13" s="1"/>
  <c r="DC108" i="13"/>
  <c r="DC109" i="13" s="1"/>
  <c r="DC81" i="13"/>
  <c r="DC83" i="13"/>
  <c r="DC82" i="13"/>
  <c r="DG108" i="13"/>
  <c r="DG109" i="13" s="1"/>
  <c r="DG111" i="13"/>
  <c r="DG112" i="13" s="1"/>
  <c r="DF8" i="13"/>
  <c r="DG56" i="13"/>
  <c r="AS98" i="3"/>
  <c r="AS94" i="3"/>
  <c r="W231" i="3"/>
  <c r="V231" i="3"/>
  <c r="X231" i="3"/>
  <c r="AG228" i="3" s="1"/>
  <c r="Y231" i="3"/>
  <c r="AA237" i="3"/>
  <c r="DA89" i="15"/>
  <c r="DA87" i="15"/>
  <c r="O151" i="3"/>
  <c r="O149" i="3"/>
  <c r="CF132" i="3"/>
  <c r="CF76" i="3"/>
  <c r="CF74" i="3" s="1"/>
  <c r="CF75" i="3" s="1"/>
  <c r="N155" i="3"/>
  <c r="N167" i="3" s="1"/>
  <c r="K167" i="3"/>
  <c r="M155" i="3"/>
  <c r="M167" i="3" s="1"/>
  <c r="J167" i="3"/>
  <c r="CF16" i="3"/>
  <c r="CF20" i="3" s="1"/>
  <c r="CF24" i="3" s="1"/>
  <c r="CF23" i="3" s="1"/>
  <c r="Z49" i="3"/>
  <c r="CU86" i="14"/>
  <c r="CU84" i="14"/>
  <c r="Z84" i="3"/>
  <c r="Z86" i="3"/>
  <c r="O56" i="3"/>
  <c r="N8" i="3"/>
  <c r="O108" i="3"/>
  <c r="O109" i="3" s="1"/>
  <c r="O111" i="3"/>
  <c r="O112" i="3" s="1"/>
  <c r="M62" i="3"/>
  <c r="M59" i="3" s="1"/>
  <c r="F195" i="3"/>
  <c r="M60" i="3"/>
  <c r="O83" i="3"/>
  <c r="O81" i="3"/>
  <c r="O82" i="3"/>
  <c r="Q68" i="3"/>
  <c r="Q63" i="3" s="1"/>
  <c r="Q53" i="3"/>
  <c r="Q50" i="3"/>
  <c r="AO47" i="3"/>
  <c r="AO43" i="3"/>
  <c r="AO94" i="3"/>
  <c r="AO98" i="3"/>
  <c r="AA68" i="13"/>
  <c r="AA50" i="13"/>
  <c r="AA54" i="13" s="1"/>
  <c r="AA41" i="13" s="1"/>
  <c r="W50" i="13"/>
  <c r="W54" i="13" s="1"/>
  <c r="CY94" i="15"/>
  <c r="AI94" i="15"/>
  <c r="AI98" i="14"/>
  <c r="AI94" i="14"/>
  <c r="W68" i="13"/>
  <c r="AG53" i="13"/>
  <c r="AG68" i="13"/>
  <c r="AG41" i="13"/>
  <c r="AF41" i="13"/>
  <c r="AG49" i="13"/>
  <c r="AE49" i="13"/>
  <c r="AD41" i="13"/>
  <c r="AC49" i="13"/>
  <c r="AC41" i="13"/>
  <c r="AB41" i="13"/>
  <c r="X41" i="13"/>
  <c r="Y49" i="13"/>
  <c r="BW30" i="3"/>
  <c r="BW29" i="3" s="1"/>
  <c r="BW31" i="3"/>
  <c r="CE42" i="3"/>
  <c r="CE30" i="3"/>
  <c r="CE29" i="3" s="1"/>
  <c r="CE31" i="3"/>
  <c r="CF126" i="3"/>
  <c r="CF129" i="3"/>
  <c r="CF69" i="3"/>
  <c r="BX126" i="3"/>
  <c r="BX132" i="3"/>
  <c r="BX69" i="3"/>
  <c r="BX129" i="3"/>
  <c r="BX16" i="3"/>
  <c r="BX20" i="3" s="1"/>
  <c r="BX24" i="3" s="1"/>
  <c r="BX23" i="3" s="1"/>
  <c r="BF76" i="3"/>
  <c r="BF74" i="3" s="1"/>
  <c r="BF132" i="3"/>
  <c r="BF126" i="3"/>
  <c r="BF129" i="3"/>
  <c r="BF69" i="3"/>
  <c r="DH77" i="13" l="1"/>
  <c r="CX77" i="13"/>
  <c r="CY111" i="13"/>
  <c r="CY112" i="13" s="1"/>
  <c r="DC50" i="13"/>
  <c r="DC54" i="13" s="1"/>
  <c r="DC68" i="13"/>
  <c r="DC53" i="13"/>
  <c r="CY50" i="13"/>
  <c r="CY68" i="13"/>
  <c r="CY53" i="13"/>
  <c r="DF77" i="13"/>
  <c r="DA76" i="13"/>
  <c r="DA74" i="13" s="1"/>
  <c r="DJ77" i="13"/>
  <c r="CZ77" i="13"/>
  <c r="DA50" i="13"/>
  <c r="DA53" i="13"/>
  <c r="DA68" i="13"/>
  <c r="DG68" i="13"/>
  <c r="DG50" i="13"/>
  <c r="DG54" i="13" s="1"/>
  <c r="DG53" i="13"/>
  <c r="DC86" i="13"/>
  <c r="DC84" i="13"/>
  <c r="DG84" i="13"/>
  <c r="DG86" i="13"/>
  <c r="CY71" i="13"/>
  <c r="CY75" i="13"/>
  <c r="CY80" i="13"/>
  <c r="AS143" i="3"/>
  <c r="AS99" i="3"/>
  <c r="AE230" i="3"/>
  <c r="AE229" i="3"/>
  <c r="AF230" i="3"/>
  <c r="AF229" i="3"/>
  <c r="AF228" i="3"/>
  <c r="AE228" i="3"/>
  <c r="AG230" i="3"/>
  <c r="AG229" i="3"/>
  <c r="DA90" i="15"/>
  <c r="DA93" i="15"/>
  <c r="DA94" i="15" s="1"/>
  <c r="BX148" i="3"/>
  <c r="CF148" i="3"/>
  <c r="Z87" i="3"/>
  <c r="Z89" i="3"/>
  <c r="CU89" i="14"/>
  <c r="CU87" i="14"/>
  <c r="Y49" i="3"/>
  <c r="Y48" i="3" s="1"/>
  <c r="Z45" i="3"/>
  <c r="Z44" i="3" s="1"/>
  <c r="Y45" i="3"/>
  <c r="Z48" i="3"/>
  <c r="M56" i="3"/>
  <c r="L8" i="3"/>
  <c r="O84" i="3"/>
  <c r="O86" i="3"/>
  <c r="O53" i="3"/>
  <c r="O50" i="3"/>
  <c r="O54" i="3" s="1"/>
  <c r="O68" i="3"/>
  <c r="O63" i="3" s="1"/>
  <c r="Q54" i="3"/>
  <c r="Q49" i="3" s="1"/>
  <c r="AO99" i="3"/>
  <c r="AO143" i="3"/>
  <c r="Z41" i="13"/>
  <c r="AA49" i="13"/>
  <c r="Z45" i="13" s="1"/>
  <c r="AI99" i="14"/>
  <c r="AI124" i="14" s="1"/>
  <c r="AF49" i="13"/>
  <c r="AF48" i="13" s="1"/>
  <c r="AG48" i="13"/>
  <c r="AF45" i="13"/>
  <c r="AF44" i="13" s="1"/>
  <c r="AF43" i="13" s="1"/>
  <c r="AG45" i="13"/>
  <c r="AG44" i="13" s="1"/>
  <c r="AD49" i="13"/>
  <c r="AD48" i="13" s="1"/>
  <c r="AE48" i="13"/>
  <c r="AE45" i="13"/>
  <c r="AE44" i="13" s="1"/>
  <c r="AD45" i="13"/>
  <c r="AD44" i="13" s="1"/>
  <c r="AD43" i="13" s="1"/>
  <c r="AB49" i="13"/>
  <c r="AB48" i="13" s="1"/>
  <c r="AC45" i="13"/>
  <c r="AC44" i="13" s="1"/>
  <c r="AB45" i="13"/>
  <c r="AB44" i="13" s="1"/>
  <c r="AB43" i="13" s="1"/>
  <c r="AC48" i="13"/>
  <c r="X49" i="13"/>
  <c r="X48" i="13" s="1"/>
  <c r="Y48" i="13"/>
  <c r="Y45" i="13"/>
  <c r="Y44" i="13" s="1"/>
  <c r="X45" i="13"/>
  <c r="X44" i="13" s="1"/>
  <c r="X43" i="13" s="1"/>
  <c r="W41" i="13"/>
  <c r="V41" i="13"/>
  <c r="W49" i="13"/>
  <c r="CF80" i="3"/>
  <c r="CF147" i="3" s="1"/>
  <c r="BF75" i="3"/>
  <c r="BF80" i="3"/>
  <c r="Z44" i="13" l="1"/>
  <c r="Z43" i="13" s="1"/>
  <c r="DG41" i="13"/>
  <c r="DF41" i="13"/>
  <c r="DC41" i="13"/>
  <c r="DB41" i="13"/>
  <c r="DA54" i="13"/>
  <c r="DG49" i="13"/>
  <c r="CY81" i="13"/>
  <c r="CY83" i="13"/>
  <c r="CY82" i="13"/>
  <c r="DC49" i="13"/>
  <c r="DA71" i="13"/>
  <c r="DA75" i="13"/>
  <c r="DA80" i="13"/>
  <c r="DA108" i="13"/>
  <c r="DA109" i="13" s="1"/>
  <c r="DA111" i="13"/>
  <c r="DA112" i="13" s="1"/>
  <c r="DG87" i="13"/>
  <c r="DG89" i="13"/>
  <c r="DC89" i="13"/>
  <c r="DC87" i="13"/>
  <c r="CY54" i="13"/>
  <c r="CF149" i="3"/>
  <c r="Z47" i="3"/>
  <c r="Z43" i="3"/>
  <c r="CU93" i="14"/>
  <c r="CU90" i="14"/>
  <c r="Z90" i="3"/>
  <c r="Z93" i="3"/>
  <c r="O89" i="3"/>
  <c r="O87" i="3"/>
  <c r="O41" i="3"/>
  <c r="N41" i="3"/>
  <c r="AA48" i="13"/>
  <c r="O49" i="3"/>
  <c r="AA45" i="13"/>
  <c r="AA44" i="13" s="1"/>
  <c r="AA47" i="13" s="1"/>
  <c r="Z49" i="13"/>
  <c r="Z48" i="13" s="1"/>
  <c r="M50" i="3"/>
  <c r="M54" i="3" s="1"/>
  <c r="M68" i="3"/>
  <c r="M63" i="3" s="1"/>
  <c r="M53" i="3"/>
  <c r="P49" i="3"/>
  <c r="P48" i="3" s="1"/>
  <c r="P45" i="3"/>
  <c r="Q48" i="3"/>
  <c r="Q45" i="3"/>
  <c r="Q41" i="3"/>
  <c r="P41" i="3"/>
  <c r="AG47" i="13"/>
  <c r="AG43" i="13"/>
  <c r="AE47" i="13"/>
  <c r="AE43" i="13"/>
  <c r="AC47" i="13"/>
  <c r="AC43" i="13"/>
  <c r="Y47" i="13"/>
  <c r="Y43" i="13"/>
  <c r="W48" i="13"/>
  <c r="V45" i="13"/>
  <c r="V44" i="13" s="1"/>
  <c r="V43" i="13" s="1"/>
  <c r="W45" i="13"/>
  <c r="W44" i="13" s="1"/>
  <c r="V49" i="13"/>
  <c r="V48" i="13" s="1"/>
  <c r="CF83" i="3"/>
  <c r="CF82" i="3"/>
  <c r="CF81" i="3"/>
  <c r="BF83" i="3"/>
  <c r="BF82" i="3"/>
  <c r="BF81" i="3"/>
  <c r="DA81" i="13" l="1"/>
  <c r="DA83" i="13"/>
  <c r="DA82" i="13"/>
  <c r="DC48" i="13"/>
  <c r="DB45" i="13"/>
  <c r="DB44" i="13" s="1"/>
  <c r="DB43" i="13" s="1"/>
  <c r="DC45" i="13"/>
  <c r="DC44" i="13" s="1"/>
  <c r="DB49" i="13"/>
  <c r="DB48" i="13" s="1"/>
  <c r="CY86" i="13"/>
  <c r="CY84" i="13"/>
  <c r="DA41" i="13"/>
  <c r="CZ41" i="13"/>
  <c r="DA49" i="13"/>
  <c r="DF49" i="13"/>
  <c r="DF48" i="13" s="1"/>
  <c r="DG48" i="13"/>
  <c r="DF45" i="13"/>
  <c r="DF44" i="13" s="1"/>
  <c r="DF43" i="13" s="1"/>
  <c r="DG45" i="13"/>
  <c r="DG44" i="13" s="1"/>
  <c r="DC93" i="13"/>
  <c r="DC90" i="13"/>
  <c r="DG90" i="13"/>
  <c r="DG93" i="13"/>
  <c r="CY41" i="13"/>
  <c r="CX41" i="13"/>
  <c r="CY49" i="13"/>
  <c r="AA43" i="13"/>
  <c r="CU98" i="14"/>
  <c r="CU94" i="14"/>
  <c r="Z98" i="3"/>
  <c r="Z94" i="3"/>
  <c r="M41" i="3"/>
  <c r="L41" i="3"/>
  <c r="M49" i="3"/>
  <c r="P44" i="3"/>
  <c r="P43" i="3" s="1"/>
  <c r="N45" i="3"/>
  <c r="N44" i="3" s="1"/>
  <c r="N43" i="3" s="1"/>
  <c r="N49" i="3"/>
  <c r="N48" i="3" s="1"/>
  <c r="O48" i="3"/>
  <c r="O45" i="3"/>
  <c r="O44" i="3" s="1"/>
  <c r="O93" i="3"/>
  <c r="O90" i="3"/>
  <c r="Q44" i="3"/>
  <c r="W47" i="13"/>
  <c r="W43" i="13"/>
  <c r="CF84" i="3"/>
  <c r="BF84" i="3"/>
  <c r="DG47" i="13" l="1"/>
  <c r="DG43" i="13"/>
  <c r="CX45" i="13"/>
  <c r="CX44" i="13" s="1"/>
  <c r="CX43" i="13" s="1"/>
  <c r="CY45" i="13"/>
  <c r="CY44" i="13" s="1"/>
  <c r="CY48" i="13"/>
  <c r="CX49" i="13"/>
  <c r="CX48" i="13" s="1"/>
  <c r="CZ45" i="13"/>
  <c r="CZ44" i="13" s="1"/>
  <c r="CZ43" i="13" s="1"/>
  <c r="DA45" i="13"/>
  <c r="DA44" i="13" s="1"/>
  <c r="CZ49" i="13"/>
  <c r="CZ48" i="13" s="1"/>
  <c r="DA48" i="13"/>
  <c r="CY89" i="13"/>
  <c r="CY87" i="13"/>
  <c r="DC47" i="13"/>
  <c r="DC43" i="13"/>
  <c r="DG94" i="13"/>
  <c r="DG98" i="13"/>
  <c r="DA86" i="13"/>
  <c r="DA84" i="13"/>
  <c r="DC94" i="13"/>
  <c r="DC98" i="13"/>
  <c r="Z99" i="3"/>
  <c r="Z143" i="3"/>
  <c r="CU99" i="14"/>
  <c r="CU124" i="14" s="1"/>
  <c r="CU144" i="14"/>
  <c r="L45" i="3"/>
  <c r="L44" i="3" s="1"/>
  <c r="L43" i="3" s="1"/>
  <c r="L49" i="3"/>
  <c r="L48" i="3" s="1"/>
  <c r="M45" i="3"/>
  <c r="M44" i="3" s="1"/>
  <c r="O98" i="3"/>
  <c r="O94" i="3"/>
  <c r="O47" i="3"/>
  <c r="O43" i="3"/>
  <c r="Q43" i="3"/>
  <c r="Q47" i="3"/>
  <c r="DG99" i="13" l="1"/>
  <c r="DG124" i="13" s="1"/>
  <c r="DG144" i="13"/>
  <c r="DA89" i="13"/>
  <c r="DA87" i="13"/>
  <c r="CY93" i="13"/>
  <c r="CY90" i="13"/>
  <c r="DA47" i="13"/>
  <c r="DA43" i="13"/>
  <c r="DC99" i="13"/>
  <c r="DC124" i="13" s="1"/>
  <c r="DC144" i="13"/>
  <c r="CY47" i="13"/>
  <c r="CY43" i="13"/>
  <c r="O146" i="3"/>
  <c r="O99" i="3"/>
  <c r="O143" i="3"/>
  <c r="M43" i="3"/>
  <c r="M47" i="3"/>
  <c r="CY94" i="13" l="1"/>
  <c r="CY98" i="13"/>
  <c r="DA93" i="13"/>
  <c r="DA90" i="13"/>
  <c r="CY99" i="13" l="1"/>
  <c r="CY124" i="13" s="1"/>
  <c r="CY144" i="13"/>
  <c r="DA98" i="13"/>
  <c r="DA94" i="13"/>
  <c r="CE85" i="28"/>
  <c r="CE74" i="28" s="1"/>
  <c r="DL26" i="29"/>
  <c r="DL25" i="29" s="1"/>
  <c r="DK26" i="29"/>
  <c r="DJ26" i="29" s="1"/>
  <c r="DM38" i="29"/>
  <c r="DK32" i="29"/>
  <c r="DK31" i="29" s="1"/>
  <c r="DI45" i="29"/>
  <c r="DI49" i="29" s="1"/>
  <c r="DL38" i="29"/>
  <c r="DL36" i="29" s="1"/>
  <c r="DL35" i="29" s="1"/>
  <c r="CO49" i="28"/>
  <c r="CM144" i="28"/>
  <c r="CK144" i="28"/>
  <c r="CI144" i="28"/>
  <c r="CK143" i="28"/>
  <c r="CM143" i="28" s="1"/>
  <c r="CM142" i="28"/>
  <c r="CK142" i="28"/>
  <c r="CI142" i="28"/>
  <c r="CI103" i="28" s="1"/>
  <c r="CM135" i="28"/>
  <c r="CK135" i="28"/>
  <c r="CI135" i="28"/>
  <c r="CI130" i="28"/>
  <c r="CM129" i="28"/>
  <c r="CK129" i="28"/>
  <c r="CI129" i="28"/>
  <c r="CM128" i="28"/>
  <c r="CK128" i="28"/>
  <c r="CI128" i="28"/>
  <c r="CM127" i="28"/>
  <c r="CK127" i="28"/>
  <c r="CI127" i="28"/>
  <c r="CM126" i="28"/>
  <c r="CK126" i="28"/>
  <c r="CI126" i="28"/>
  <c r="CM113" i="28"/>
  <c r="CK113" i="28"/>
  <c r="CI113" i="28"/>
  <c r="CM107" i="28"/>
  <c r="CM111" i="28" s="1"/>
  <c r="CM112" i="28" s="1"/>
  <c r="CK107" i="28"/>
  <c r="CK111" i="28" s="1"/>
  <c r="CK112" i="28" s="1"/>
  <c r="CI107" i="28"/>
  <c r="CI111" i="28" s="1"/>
  <c r="CI112" i="28" s="1"/>
  <c r="CM99" i="28"/>
  <c r="CK99" i="28"/>
  <c r="CK86" i="28"/>
  <c r="CM86" i="28" s="1"/>
  <c r="CM130" i="28" s="1"/>
  <c r="CK84" i="28"/>
  <c r="CK74" i="28"/>
  <c r="CM72" i="28"/>
  <c r="CK72" i="28"/>
  <c r="CI72" i="28"/>
  <c r="CI66" i="28" s="1"/>
  <c r="CI70" i="28"/>
  <c r="CK69" i="28"/>
  <c r="CM69" i="28" s="1"/>
  <c r="CK64" i="28"/>
  <c r="CJ9" i="28" s="1"/>
  <c r="CM59" i="28"/>
  <c r="CK59" i="28"/>
  <c r="CI49" i="28"/>
  <c r="CH45" i="28"/>
  <c r="CH49" i="28" s="1"/>
  <c r="CM42" i="28"/>
  <c r="CK42" i="28"/>
  <c r="CL38" i="28"/>
  <c r="CL37" i="28" s="1"/>
  <c r="CM37" i="28"/>
  <c r="CM36" i="28"/>
  <c r="CM35" i="28" s="1"/>
  <c r="CJ35" i="28"/>
  <c r="CL32" i="28"/>
  <c r="CL30" i="28" s="1"/>
  <c r="CL29" i="28" s="1"/>
  <c r="CJ32" i="28"/>
  <c r="CJ31" i="28" s="1"/>
  <c r="CI32" i="28"/>
  <c r="CM31" i="28"/>
  <c r="CK31" i="28"/>
  <c r="CI31" i="28"/>
  <c r="CK30" i="28"/>
  <c r="CK29" i="28"/>
  <c r="CM26" i="28"/>
  <c r="CI26" i="28" s="1"/>
  <c r="CJ26" i="28"/>
  <c r="CL25" i="28"/>
  <c r="CK25" i="28"/>
  <c r="CJ25" i="28"/>
  <c r="CL19" i="28"/>
  <c r="CJ19" i="28"/>
  <c r="CH19" i="28"/>
  <c r="CM15" i="28"/>
  <c r="CM19" i="28" s="1"/>
  <c r="CK15" i="28"/>
  <c r="CK19" i="28" s="1"/>
  <c r="CI15" i="28"/>
  <c r="CI19" i="28" s="1"/>
  <c r="CH9" i="28"/>
  <c r="CL2" i="28"/>
  <c r="CL10" i="28" s="1"/>
  <c r="CJ2" i="28"/>
  <c r="CJ10" i="28" s="1"/>
  <c r="CH2" i="28"/>
  <c r="CH10" i="28" s="1"/>
  <c r="CI10" i="28" s="1"/>
  <c r="DM144" i="29"/>
  <c r="DK144" i="29"/>
  <c r="DI144" i="29"/>
  <c r="DK143" i="29"/>
  <c r="DM143" i="29" s="1"/>
  <c r="DM142" i="29"/>
  <c r="DK142" i="29"/>
  <c r="DI142" i="29"/>
  <c r="DI147" i="29" s="1"/>
  <c r="DM135" i="29"/>
  <c r="DI130" i="29"/>
  <c r="DM129" i="29"/>
  <c r="DK129" i="29"/>
  <c r="DI129" i="29"/>
  <c r="DM128" i="29"/>
  <c r="DK128" i="29"/>
  <c r="DI128" i="29"/>
  <c r="DM127" i="29"/>
  <c r="DK127" i="29"/>
  <c r="DI127" i="29"/>
  <c r="DM126" i="29"/>
  <c r="DK126" i="29"/>
  <c r="DI126" i="29"/>
  <c r="DM113" i="29"/>
  <c r="DK113" i="29"/>
  <c r="DI113" i="29"/>
  <c r="DM107" i="29"/>
  <c r="DM111" i="29" s="1"/>
  <c r="DM112" i="29" s="1"/>
  <c r="DK107" i="29"/>
  <c r="DK111" i="29" s="1"/>
  <c r="DK112" i="29" s="1"/>
  <c r="DI107" i="29"/>
  <c r="DI111" i="29" s="1"/>
  <c r="DI112" i="29" s="1"/>
  <c r="DK99" i="29"/>
  <c r="DM99" i="29" s="1"/>
  <c r="DK86" i="29"/>
  <c r="DM86" i="29" s="1"/>
  <c r="DM130" i="29" s="1"/>
  <c r="DK84" i="29"/>
  <c r="DM84" i="29" s="1"/>
  <c r="DK74" i="29"/>
  <c r="DM72" i="29"/>
  <c r="DK72" i="29"/>
  <c r="DI72" i="29"/>
  <c r="DI66" i="29" s="1"/>
  <c r="DI70" i="29"/>
  <c r="DK69" i="29"/>
  <c r="DM69" i="29" s="1"/>
  <c r="DK64" i="29"/>
  <c r="DJ9" i="29" s="1"/>
  <c r="DM59" i="29"/>
  <c r="DK59" i="29"/>
  <c r="DJ35" i="29"/>
  <c r="DL32" i="29"/>
  <c r="DM31" i="29"/>
  <c r="DL31" i="29"/>
  <c r="DH19" i="29"/>
  <c r="DL15" i="29"/>
  <c r="DM15" i="29" s="1"/>
  <c r="DJ15" i="29"/>
  <c r="DJ19" i="29" s="1"/>
  <c r="DI15" i="29"/>
  <c r="DI19" i="29" s="1"/>
  <c r="DH9" i="29"/>
  <c r="DL2" i="29"/>
  <c r="DL10" i="29" s="1"/>
  <c r="DM10" i="29" s="1"/>
  <c r="DJ2" i="29"/>
  <c r="DJ10" i="29" s="1"/>
  <c r="DK10" i="29" s="1"/>
  <c r="DH2" i="29"/>
  <c r="DH10" i="29" s="1"/>
  <c r="DG45" i="29"/>
  <c r="DB74" i="29"/>
  <c r="DD74" i="29" s="1"/>
  <c r="DF74" i="29" s="1"/>
  <c r="DB45" i="29"/>
  <c r="DA45" i="29" s="1"/>
  <c r="DA49" i="29" s="1"/>
  <c r="DF38" i="29"/>
  <c r="DF37" i="29" s="1"/>
  <c r="DF26" i="29"/>
  <c r="DF30" i="29" s="1"/>
  <c r="DF29" i="29" s="1"/>
  <c r="DF144" i="29"/>
  <c r="DD144" i="29"/>
  <c r="DB144" i="29"/>
  <c r="DD143" i="29"/>
  <c r="DF143" i="29" s="1"/>
  <c r="DF142" i="29"/>
  <c r="DD142" i="29"/>
  <c r="DB142" i="29"/>
  <c r="DB147" i="29" s="1"/>
  <c r="DF135" i="29"/>
  <c r="DD135" i="29"/>
  <c r="DB135" i="29"/>
  <c r="DB130" i="29"/>
  <c r="DF129" i="29"/>
  <c r="DD129" i="29"/>
  <c r="DB129" i="29"/>
  <c r="DF128" i="29"/>
  <c r="DD128" i="29"/>
  <c r="DB128" i="29"/>
  <c r="DF127" i="29"/>
  <c r="DD127" i="29"/>
  <c r="DB127" i="29"/>
  <c r="DF126" i="29"/>
  <c r="DD126" i="29"/>
  <c r="DB126" i="29"/>
  <c r="DF113" i="29"/>
  <c r="DD113" i="29"/>
  <c r="DB113" i="29"/>
  <c r="DF107" i="29"/>
  <c r="DF111" i="29" s="1"/>
  <c r="DF112" i="29" s="1"/>
  <c r="DD107" i="29"/>
  <c r="DD111" i="29" s="1"/>
  <c r="DD112" i="29" s="1"/>
  <c r="DB107" i="29"/>
  <c r="DB111" i="29" s="1"/>
  <c r="DB112" i="29" s="1"/>
  <c r="DD99" i="29"/>
  <c r="DF99" i="29" s="1"/>
  <c r="DD86" i="29"/>
  <c r="DD130" i="29" s="1"/>
  <c r="DD84" i="29"/>
  <c r="DF84" i="29" s="1"/>
  <c r="DF72" i="29"/>
  <c r="DD72" i="29"/>
  <c r="DB72" i="29"/>
  <c r="DB70" i="29"/>
  <c r="DD69" i="29"/>
  <c r="DD64" i="29"/>
  <c r="DD70" i="29" s="1"/>
  <c r="DF59" i="29"/>
  <c r="DD59" i="29"/>
  <c r="DD42" i="29"/>
  <c r="DE38" i="29"/>
  <c r="DE37" i="29" s="1"/>
  <c r="DC35" i="29"/>
  <c r="DE32" i="29"/>
  <c r="DB32" i="29"/>
  <c r="DC32" i="29"/>
  <c r="DC42" i="29" s="1"/>
  <c r="DF31" i="29"/>
  <c r="DD31" i="29"/>
  <c r="DD30" i="29"/>
  <c r="DD29" i="29" s="1"/>
  <c r="DE27" i="29"/>
  <c r="DC26" i="29"/>
  <c r="DB26" i="29"/>
  <c r="DA26" i="29" s="1"/>
  <c r="DE25" i="29"/>
  <c r="DD25" i="29"/>
  <c r="DA19" i="29"/>
  <c r="DE15" i="29"/>
  <c r="DE19" i="29" s="1"/>
  <c r="DC15" i="29"/>
  <c r="DC19" i="29" s="1"/>
  <c r="DB15" i="29"/>
  <c r="DB19" i="29" s="1"/>
  <c r="DA9" i="29"/>
  <c r="DE2" i="29"/>
  <c r="DE10" i="29" s="1"/>
  <c r="DF10" i="29" s="1"/>
  <c r="DC2" i="29"/>
  <c r="DC10" i="29" s="1"/>
  <c r="DD10" i="29" s="1"/>
  <c r="DA2" i="29"/>
  <c r="DA10" i="29" s="1"/>
  <c r="CK103" i="28" l="1"/>
  <c r="DA144" i="13"/>
  <c r="DA99" i="13"/>
  <c r="DA124" i="13" s="1"/>
  <c r="DI67" i="29"/>
  <c r="DH69" i="29" s="1"/>
  <c r="CL31" i="28"/>
  <c r="CI67" i="28"/>
  <c r="CI63" i="28" s="1"/>
  <c r="CI124" i="28"/>
  <c r="CI123" i="28" s="1"/>
  <c r="CI121" i="28" s="1"/>
  <c r="CI122" i="28" s="1"/>
  <c r="CI79" i="28" s="1"/>
  <c r="DK15" i="29"/>
  <c r="DK19" i="29" s="1"/>
  <c r="DK66" i="29"/>
  <c r="DB66" i="29"/>
  <c r="CJ30" i="28"/>
  <c r="CJ29" i="28" s="1"/>
  <c r="DM124" i="29"/>
  <c r="DM123" i="29" s="1"/>
  <c r="DM121" i="29" s="1"/>
  <c r="DM122" i="29" s="1"/>
  <c r="DM79" i="29" s="1"/>
  <c r="CK66" i="28"/>
  <c r="DD147" i="29"/>
  <c r="DJ32" i="29"/>
  <c r="DJ31" i="29" s="1"/>
  <c r="DI103" i="29"/>
  <c r="CM124" i="28"/>
  <c r="CM123" i="28" s="1"/>
  <c r="CM121" i="28" s="1"/>
  <c r="CM122" i="28" s="1"/>
  <c r="CM79" i="28" s="1"/>
  <c r="DI124" i="29"/>
  <c r="DI123" i="29" s="1"/>
  <c r="DI121" i="29" s="1"/>
  <c r="DI122" i="29" s="1"/>
  <c r="DI79" i="29" s="1"/>
  <c r="DK103" i="29"/>
  <c r="CL42" i="28"/>
  <c r="DL30" i="29"/>
  <c r="DL29" i="29" s="1"/>
  <c r="DM26" i="29"/>
  <c r="DM25" i="29" s="1"/>
  <c r="DK25" i="29"/>
  <c r="DK30" i="29"/>
  <c r="DK29" i="29" s="1"/>
  <c r="DH45" i="29"/>
  <c r="DH49" i="29" s="1"/>
  <c r="DK42" i="29"/>
  <c r="CJ16" i="28"/>
  <c r="CJ20" i="28" s="1"/>
  <c r="CJ24" i="28" s="1"/>
  <c r="CJ23" i="28" s="1"/>
  <c r="CK10" i="28"/>
  <c r="CK76" i="28" s="1"/>
  <c r="CM10" i="28"/>
  <c r="CM136" i="28" s="1"/>
  <c r="CM137" i="28" s="1"/>
  <c r="CL16" i="28"/>
  <c r="CL20" i="28" s="1"/>
  <c r="CL24" i="28" s="1"/>
  <c r="CL23" i="28" s="1"/>
  <c r="CK83" i="28"/>
  <c r="CK81" i="28" s="1"/>
  <c r="CK87" i="28" s="1"/>
  <c r="CH8" i="28"/>
  <c r="CM147" i="28"/>
  <c r="CM103" i="28"/>
  <c r="CI76" i="28"/>
  <c r="CI133" i="28"/>
  <c r="CI134" i="28" s="1"/>
  <c r="CI83" i="28"/>
  <c r="CI81" i="28" s="1"/>
  <c r="CI118" i="28" s="1"/>
  <c r="CI119" i="28" s="1"/>
  <c r="CI139" i="28"/>
  <c r="CI140" i="28" s="1"/>
  <c r="CI136" i="28"/>
  <c r="CI137" i="28" s="1"/>
  <c r="CI25" i="28"/>
  <c r="CI30" i="28"/>
  <c r="CI29" i="28" s="1"/>
  <c r="CH26" i="28"/>
  <c r="CK70" i="28"/>
  <c r="CK67" i="28" s="1"/>
  <c r="CM74" i="28"/>
  <c r="CM25" i="28"/>
  <c r="CH32" i="28"/>
  <c r="CM64" i="28"/>
  <c r="CM84" i="28"/>
  <c r="CK130" i="28"/>
  <c r="CK124" i="28" s="1"/>
  <c r="CK123" i="28" s="1"/>
  <c r="CK121" i="28" s="1"/>
  <c r="CK122" i="28" s="1"/>
  <c r="CK79" i="28" s="1"/>
  <c r="CH16" i="28"/>
  <c r="CH20" i="28" s="1"/>
  <c r="CL36" i="28"/>
  <c r="CL35" i="28" s="1"/>
  <c r="CI42" i="28"/>
  <c r="CI41" i="28" s="1"/>
  <c r="CI44" i="28" s="1"/>
  <c r="CI43" i="28" s="1"/>
  <c r="CI147" i="28"/>
  <c r="CM30" i="28"/>
  <c r="CM29" i="28" s="1"/>
  <c r="CI16" i="28"/>
  <c r="CI20" i="28" s="1"/>
  <c r="CI24" i="28" s="1"/>
  <c r="CI23" i="28" s="1"/>
  <c r="CJ42" i="28"/>
  <c r="CK147" i="28"/>
  <c r="DF36" i="29"/>
  <c r="DF35" i="29" s="1"/>
  <c r="DF86" i="29"/>
  <c r="DF130" i="29" s="1"/>
  <c r="DF124" i="29" s="1"/>
  <c r="DF123" i="29" s="1"/>
  <c r="DF121" i="29" s="1"/>
  <c r="DF122" i="29" s="1"/>
  <c r="DF79" i="29" s="1"/>
  <c r="DJ25" i="29"/>
  <c r="DD124" i="29"/>
  <c r="DD123" i="29" s="1"/>
  <c r="DD121" i="29" s="1"/>
  <c r="DD122" i="29" s="1"/>
  <c r="DD79" i="29" s="1"/>
  <c r="DF64" i="29"/>
  <c r="DB103" i="29"/>
  <c r="DB124" i="29"/>
  <c r="DB123" i="29" s="1"/>
  <c r="DB121" i="29" s="1"/>
  <c r="DB122" i="29" s="1"/>
  <c r="DB79" i="29" s="1"/>
  <c r="DH8" i="29"/>
  <c r="DI63" i="29"/>
  <c r="DM37" i="29"/>
  <c r="DC9" i="29"/>
  <c r="DE36" i="29"/>
  <c r="DE35" i="29" s="1"/>
  <c r="DI32" i="29"/>
  <c r="DH32" i="29" s="1"/>
  <c r="DH31" i="29" s="1"/>
  <c r="DI10" i="29"/>
  <c r="DI76" i="29" s="1"/>
  <c r="DH16" i="29"/>
  <c r="DH20" i="29" s="1"/>
  <c r="DM83" i="29"/>
  <c r="DM81" i="29" s="1"/>
  <c r="DM139" i="29"/>
  <c r="DM140" i="29" s="1"/>
  <c r="DM133" i="29"/>
  <c r="DM134" i="29" s="1"/>
  <c r="DM19" i="29"/>
  <c r="DM16" i="29"/>
  <c r="DM20" i="29" s="1"/>
  <c r="DM136" i="29"/>
  <c r="DM137" i="29" s="1"/>
  <c r="DM147" i="29"/>
  <c r="DM103" i="29"/>
  <c r="DK133" i="29"/>
  <c r="DK134" i="29" s="1"/>
  <c r="DK83" i="29"/>
  <c r="DK81" i="29" s="1"/>
  <c r="DK87" i="29" s="1"/>
  <c r="DK139" i="29"/>
  <c r="DK140" i="29" s="1"/>
  <c r="DK70" i="29"/>
  <c r="DK67" i="29" s="1"/>
  <c r="DK76" i="29"/>
  <c r="DM36" i="29"/>
  <c r="DM35" i="29" s="1"/>
  <c r="DM64" i="29"/>
  <c r="DM74" i="29"/>
  <c r="DM66" i="29" s="1"/>
  <c r="DJ16" i="29"/>
  <c r="DJ20" i="29" s="1"/>
  <c r="DJ24" i="29" s="1"/>
  <c r="DJ23" i="29" s="1"/>
  <c r="DL37" i="29"/>
  <c r="DJ42" i="29"/>
  <c r="DK130" i="29"/>
  <c r="DK124" i="29" s="1"/>
  <c r="DK123" i="29" s="1"/>
  <c r="DK121" i="29" s="1"/>
  <c r="DK122" i="29" s="1"/>
  <c r="DK79" i="29" s="1"/>
  <c r="DK16" i="29"/>
  <c r="DK20" i="29" s="1"/>
  <c r="DK24" i="29" s="1"/>
  <c r="DK23" i="29" s="1"/>
  <c r="DL16" i="29"/>
  <c r="DL20" i="29" s="1"/>
  <c r="DL24" i="29" s="1"/>
  <c r="DL23" i="29" s="1"/>
  <c r="DL19" i="29"/>
  <c r="DL42" i="29"/>
  <c r="DK147" i="29"/>
  <c r="DM42" i="29"/>
  <c r="DB49" i="29"/>
  <c r="DB67" i="29"/>
  <c r="DA69" i="29" s="1"/>
  <c r="DD66" i="29"/>
  <c r="DB63" i="29"/>
  <c r="DB60" i="29" s="1"/>
  <c r="DD67" i="29"/>
  <c r="DC8" i="29" s="1"/>
  <c r="DC31" i="29"/>
  <c r="DC30" i="29"/>
  <c r="DC29" i="29" s="1"/>
  <c r="DF25" i="29"/>
  <c r="DB25" i="29"/>
  <c r="DF103" i="29"/>
  <c r="DF147" i="29"/>
  <c r="DA16" i="29"/>
  <c r="DA20" i="29" s="1"/>
  <c r="DA24" i="29" s="1"/>
  <c r="DA23" i="29" s="1"/>
  <c r="DB10" i="29"/>
  <c r="DB16" i="29" s="1"/>
  <c r="DB20" i="29" s="1"/>
  <c r="DB24" i="29" s="1"/>
  <c r="DB23" i="29" s="1"/>
  <c r="DD139" i="29"/>
  <c r="DD140" i="29" s="1"/>
  <c r="DD148" i="29" s="1"/>
  <c r="DD83" i="29"/>
  <c r="DD81" i="29" s="1"/>
  <c r="DD133" i="29"/>
  <c r="DD134" i="29" s="1"/>
  <c r="DD136" i="29"/>
  <c r="DD137" i="29" s="1"/>
  <c r="DB42" i="29"/>
  <c r="DB31" i="29"/>
  <c r="DA32" i="29"/>
  <c r="DF76" i="29"/>
  <c r="DA25" i="29"/>
  <c r="DF83" i="29"/>
  <c r="DF139" i="29"/>
  <c r="DF140" i="29" s="1"/>
  <c r="DF136" i="29"/>
  <c r="DF137" i="29" s="1"/>
  <c r="DF133" i="29"/>
  <c r="DF134" i="29" s="1"/>
  <c r="DC16" i="29"/>
  <c r="DC20" i="29" s="1"/>
  <c r="DC24" i="29" s="1"/>
  <c r="DC23" i="29" s="1"/>
  <c r="DC25" i="29"/>
  <c r="DD15" i="29"/>
  <c r="DD103" i="29"/>
  <c r="DE16" i="29"/>
  <c r="DE20" i="29" s="1"/>
  <c r="DE24" i="29" s="1"/>
  <c r="DE23" i="29" s="1"/>
  <c r="DD76" i="29"/>
  <c r="DE30" i="29"/>
  <c r="DE29" i="29" s="1"/>
  <c r="DE31" i="29"/>
  <c r="DF69" i="29"/>
  <c r="DF66" i="29" s="1"/>
  <c r="DF15" i="29"/>
  <c r="DB30" i="29"/>
  <c r="DB29" i="29" s="1"/>
  <c r="DF42" i="29"/>
  <c r="DE42" i="29"/>
  <c r="CX15" i="29"/>
  <c r="CY15" i="29" s="1"/>
  <c r="CY19" i="29" s="1"/>
  <c r="CV15" i="29"/>
  <c r="CW15" i="29" s="1"/>
  <c r="CW19" i="29" s="1"/>
  <c r="CY38" i="29"/>
  <c r="CY36" i="29" s="1"/>
  <c r="CY35" i="29" s="1"/>
  <c r="CW32" i="29"/>
  <c r="CX2" i="29"/>
  <c r="CX10" i="29" s="1"/>
  <c r="CV2" i="29"/>
  <c r="CV10" i="29" s="1"/>
  <c r="CT2" i="29"/>
  <c r="CT10" i="29" s="1"/>
  <c r="CY144" i="29"/>
  <c r="CW144" i="29"/>
  <c r="CU144" i="29"/>
  <c r="CW143" i="29"/>
  <c r="CY143" i="29" s="1"/>
  <c r="CY142" i="29"/>
  <c r="CW142" i="29"/>
  <c r="CU142" i="29"/>
  <c r="CU103" i="29" s="1"/>
  <c r="CY135" i="29"/>
  <c r="CW135" i="29"/>
  <c r="CU135" i="29"/>
  <c r="CU130" i="29"/>
  <c r="CY129" i="29"/>
  <c r="CW129" i="29"/>
  <c r="CU129" i="29"/>
  <c r="CY128" i="29"/>
  <c r="CW128" i="29"/>
  <c r="CU128" i="29"/>
  <c r="CY127" i="29"/>
  <c r="CW127" i="29"/>
  <c r="CU127" i="29"/>
  <c r="CY126" i="29"/>
  <c r="CW126" i="29"/>
  <c r="CU126" i="29"/>
  <c r="CY113" i="29"/>
  <c r="CW113" i="29"/>
  <c r="CU113" i="29"/>
  <c r="CY107" i="29"/>
  <c r="CY111" i="29" s="1"/>
  <c r="CY112" i="29" s="1"/>
  <c r="CW107" i="29"/>
  <c r="CW111" i="29" s="1"/>
  <c r="CW112" i="29" s="1"/>
  <c r="CU107" i="29"/>
  <c r="CU111" i="29" s="1"/>
  <c r="CU112" i="29" s="1"/>
  <c r="CW103" i="29"/>
  <c r="CW99" i="29"/>
  <c r="CY99" i="29" s="1"/>
  <c r="CW86" i="29"/>
  <c r="CY86" i="29" s="1"/>
  <c r="CY130" i="29" s="1"/>
  <c r="CW84" i="29"/>
  <c r="CW74" i="29"/>
  <c r="CY72" i="29"/>
  <c r="CW72" i="29"/>
  <c r="CU72" i="29"/>
  <c r="CU70" i="29"/>
  <c r="CU67" i="29" s="1"/>
  <c r="CT8" i="29" s="1"/>
  <c r="CW69" i="29"/>
  <c r="CY69" i="29" s="1"/>
  <c r="CU66" i="29"/>
  <c r="CW64" i="29"/>
  <c r="CV9" i="29" s="1"/>
  <c r="CY59" i="29"/>
  <c r="CW59" i="29"/>
  <c r="CU49" i="29"/>
  <c r="CT45" i="29"/>
  <c r="CT49" i="29" s="1"/>
  <c r="CY42" i="29"/>
  <c r="CY37" i="29"/>
  <c r="CV35" i="29"/>
  <c r="CX32" i="29"/>
  <c r="CX31" i="29" s="1"/>
  <c r="CY31" i="29"/>
  <c r="CV26" i="29"/>
  <c r="CV25" i="29" s="1"/>
  <c r="CX25" i="29"/>
  <c r="CW25" i="29"/>
  <c r="CT19" i="29"/>
  <c r="CU15" i="29"/>
  <c r="CT9" i="29"/>
  <c r="CQ187" i="29"/>
  <c r="CO187" i="29"/>
  <c r="CM187" i="29"/>
  <c r="CJ187" i="29"/>
  <c r="CH187" i="29"/>
  <c r="CF187" i="29"/>
  <c r="CC187" i="29"/>
  <c r="CA187" i="29"/>
  <c r="BY187" i="29"/>
  <c r="BV187" i="29"/>
  <c r="BP187" i="29"/>
  <c r="BN187" i="29"/>
  <c r="BL187" i="29"/>
  <c r="BF187" i="29"/>
  <c r="BD187" i="29"/>
  <c r="BB187" i="29"/>
  <c r="AV187" i="29"/>
  <c r="AT187" i="29"/>
  <c r="AR187" i="29"/>
  <c r="AL187" i="29"/>
  <c r="AJ187" i="29"/>
  <c r="AH187" i="29"/>
  <c r="AD187" i="29"/>
  <c r="AB187" i="29"/>
  <c r="Z187" i="29"/>
  <c r="X187" i="29"/>
  <c r="V187" i="29"/>
  <c r="T187" i="29"/>
  <c r="R187" i="29"/>
  <c r="P187" i="29"/>
  <c r="N187" i="29"/>
  <c r="CN144" i="29"/>
  <c r="CK144" i="29"/>
  <c r="CI144" i="29"/>
  <c r="CD144" i="29"/>
  <c r="CB144" i="29"/>
  <c r="CR144" i="29" s="1"/>
  <c r="AC144" i="29"/>
  <c r="AE144" i="29" s="1"/>
  <c r="W144" i="29"/>
  <c r="Y144" i="29" s="1"/>
  <c r="Q144" i="29"/>
  <c r="S144" i="29" s="1"/>
  <c r="AI144" i="29" s="1"/>
  <c r="AM144" i="29" s="1"/>
  <c r="I144" i="29"/>
  <c r="K144" i="29" s="1"/>
  <c r="M144" i="29" s="1"/>
  <c r="CP143" i="29"/>
  <c r="CR143" i="29" s="1"/>
  <c r="CI143" i="29"/>
  <c r="CK143" i="29" s="1"/>
  <c r="BQ143" i="29"/>
  <c r="BG143" i="29"/>
  <c r="AW143" i="29"/>
  <c r="AM143" i="29"/>
  <c r="AC143" i="29"/>
  <c r="AE143" i="29" s="1"/>
  <c r="U143" i="29"/>
  <c r="O143" i="29"/>
  <c r="Q143" i="29" s="1"/>
  <c r="I143" i="29"/>
  <c r="CR142" i="29"/>
  <c r="CP142" i="29"/>
  <c r="CN142" i="29"/>
  <c r="CN147" i="29" s="1"/>
  <c r="CK142" i="29"/>
  <c r="CI142" i="29"/>
  <c r="CG142" i="29"/>
  <c r="CG147" i="29" s="1"/>
  <c r="CD142" i="29"/>
  <c r="CD147" i="29" s="1"/>
  <c r="CB142" i="29"/>
  <c r="CB147" i="29" s="1"/>
  <c r="BZ142" i="29"/>
  <c r="BZ147" i="29" s="1"/>
  <c r="BW142" i="29"/>
  <c r="BW147" i="29" s="1"/>
  <c r="BQ142" i="29"/>
  <c r="BO142" i="29"/>
  <c r="BO147" i="29" s="1"/>
  <c r="BM142" i="29"/>
  <c r="BM147" i="29" s="1"/>
  <c r="BG142" i="29"/>
  <c r="BE142" i="29"/>
  <c r="BC142" i="29"/>
  <c r="AW142" i="29"/>
  <c r="AU142" i="29"/>
  <c r="AS142" i="29"/>
  <c r="AM142" i="29"/>
  <c r="AK142" i="29"/>
  <c r="AI142" i="29"/>
  <c r="AE142" i="29"/>
  <c r="AC142" i="29"/>
  <c r="AA142" i="29"/>
  <c r="AA147" i="29" s="1"/>
  <c r="Y142" i="29"/>
  <c r="W142" i="29"/>
  <c r="U142" i="29"/>
  <c r="S142" i="29"/>
  <c r="Q142" i="29"/>
  <c r="O142" i="29"/>
  <c r="M142" i="29"/>
  <c r="K142" i="29"/>
  <c r="I142" i="29"/>
  <c r="G142" i="29"/>
  <c r="G147" i="29" s="1"/>
  <c r="CN138" i="29"/>
  <c r="CK138" i="29"/>
  <c r="CI138" i="29"/>
  <c r="CD138" i="29"/>
  <c r="CB138" i="29"/>
  <c r="AC138" i="29"/>
  <c r="AE138" i="29" s="1"/>
  <c r="W138" i="29"/>
  <c r="Q138" i="29"/>
  <c r="S138" i="29" s="1"/>
  <c r="CN135" i="29"/>
  <c r="CK135" i="29"/>
  <c r="CI135" i="29"/>
  <c r="CD135" i="29"/>
  <c r="CB135" i="29"/>
  <c r="CR135" i="29" s="1"/>
  <c r="DK135" i="29" s="1"/>
  <c r="DK136" i="29" s="1"/>
  <c r="DK137" i="29" s="1"/>
  <c r="AC135" i="29"/>
  <c r="AE135" i="29" s="1"/>
  <c r="W135" i="29"/>
  <c r="Y135" i="29" s="1"/>
  <c r="Q135" i="29"/>
  <c r="S135" i="29" s="1"/>
  <c r="I135" i="29"/>
  <c r="K135" i="29" s="1"/>
  <c r="CN132" i="29"/>
  <c r="CK132" i="29"/>
  <c r="CI132" i="29"/>
  <c r="CD132" i="29"/>
  <c r="CB132" i="29"/>
  <c r="AC132" i="29"/>
  <c r="W132" i="29"/>
  <c r="Y132" i="29" s="1"/>
  <c r="Q132" i="29"/>
  <c r="M130" i="29"/>
  <c r="K130" i="29"/>
  <c r="I130" i="29"/>
  <c r="G130" i="29"/>
  <c r="M129" i="29"/>
  <c r="K129" i="29"/>
  <c r="I129" i="29"/>
  <c r="G129" i="29"/>
  <c r="M128" i="29"/>
  <c r="K128" i="29"/>
  <c r="I128" i="29"/>
  <c r="G128" i="29"/>
  <c r="M127" i="29"/>
  <c r="K127" i="29"/>
  <c r="I127" i="29"/>
  <c r="G127" i="29"/>
  <c r="M126" i="29"/>
  <c r="K126" i="29"/>
  <c r="I126" i="29"/>
  <c r="G126" i="29"/>
  <c r="M118" i="29"/>
  <c r="K118" i="29"/>
  <c r="I118" i="29"/>
  <c r="M115" i="29"/>
  <c r="K115" i="29"/>
  <c r="I115" i="29"/>
  <c r="M113" i="29"/>
  <c r="K113" i="29"/>
  <c r="I113" i="29"/>
  <c r="G113" i="29"/>
  <c r="CR111" i="29"/>
  <c r="CP111" i="29"/>
  <c r="CN111" i="29"/>
  <c r="CK111" i="29"/>
  <c r="CI111" i="29"/>
  <c r="CG111" i="29"/>
  <c r="CD111" i="29"/>
  <c r="CB111" i="29"/>
  <c r="BZ111" i="29"/>
  <c r="BW111" i="29"/>
  <c r="BQ111" i="29"/>
  <c r="BO111" i="29"/>
  <c r="BM111" i="29"/>
  <c r="BG111" i="29"/>
  <c r="BE111" i="29"/>
  <c r="BC111" i="29"/>
  <c r="AW111" i="29"/>
  <c r="AU111" i="29"/>
  <c r="AS111" i="29"/>
  <c r="AM111" i="29"/>
  <c r="AK111" i="29"/>
  <c r="AI111" i="29"/>
  <c r="AE111" i="29"/>
  <c r="AC111" i="29"/>
  <c r="AA111" i="29"/>
  <c r="Y111" i="29"/>
  <c r="W111" i="29"/>
  <c r="U111" i="29"/>
  <c r="S111" i="29"/>
  <c r="Q111" i="29"/>
  <c r="O111" i="29"/>
  <c r="M111" i="29"/>
  <c r="M112" i="29" s="1"/>
  <c r="K111" i="29"/>
  <c r="K112" i="29" s="1"/>
  <c r="I111" i="29"/>
  <c r="I112" i="29" s="1"/>
  <c r="G111" i="29"/>
  <c r="G112" i="29" s="1"/>
  <c r="CP99" i="29"/>
  <c r="CR99" i="29" s="1"/>
  <c r="CI99" i="29"/>
  <c r="CK99" i="29" s="1"/>
  <c r="BO99" i="29"/>
  <c r="BQ99" i="29" s="1"/>
  <c r="CP84" i="29"/>
  <c r="CM84" i="29"/>
  <c r="CI84" i="29"/>
  <c r="CK84" i="29" s="1"/>
  <c r="CC84" i="29"/>
  <c r="CA84" i="29"/>
  <c r="BY84" i="29"/>
  <c r="BW84" i="29"/>
  <c r="BO84" i="29"/>
  <c r="BN84" i="29" s="1"/>
  <c r="BL84" i="29"/>
  <c r="BD84" i="29"/>
  <c r="BB84" i="29"/>
  <c r="AT84" i="29"/>
  <c r="AR84" i="29"/>
  <c r="AJ84" i="29"/>
  <c r="AH84" i="29"/>
  <c r="AC84" i="29"/>
  <c r="AE84" i="29" s="1"/>
  <c r="W84" i="29"/>
  <c r="Y84" i="29" s="1"/>
  <c r="M83" i="29"/>
  <c r="K83" i="29"/>
  <c r="I83" i="29"/>
  <c r="E82" i="29"/>
  <c r="E88" i="29" s="1"/>
  <c r="G81" i="29"/>
  <c r="G115" i="29" s="1"/>
  <c r="E81" i="29"/>
  <c r="E87" i="29" s="1"/>
  <c r="E90" i="29" s="1"/>
  <c r="E93" i="29" s="1"/>
  <c r="E96" i="29" s="1"/>
  <c r="CR74" i="29"/>
  <c r="CP74" i="29"/>
  <c r="CN74" i="29"/>
  <c r="CK74" i="29"/>
  <c r="CI74" i="29"/>
  <c r="CG74" i="29"/>
  <c r="CD74" i="29"/>
  <c r="CB74" i="29"/>
  <c r="BZ74" i="29"/>
  <c r="BM74" i="29"/>
  <c r="BG74" i="29"/>
  <c r="BE74" i="29"/>
  <c r="BC74" i="29"/>
  <c r="AW74" i="29"/>
  <c r="AU74" i="29"/>
  <c r="AS74" i="29"/>
  <c r="AM74" i="29"/>
  <c r="AK74" i="29"/>
  <c r="AI74" i="29"/>
  <c r="AE74" i="29"/>
  <c r="AC74" i="29"/>
  <c r="AA74" i="29"/>
  <c r="Y74" i="29"/>
  <c r="W74" i="29"/>
  <c r="U74" i="29"/>
  <c r="S74" i="29"/>
  <c r="Q74" i="29"/>
  <c r="O74" i="29"/>
  <c r="O73" i="29"/>
  <c r="U73" i="29" s="1"/>
  <c r="M72" i="29"/>
  <c r="M74" i="29" s="1"/>
  <c r="M87" i="29" s="1"/>
  <c r="K72" i="29"/>
  <c r="K74" i="29" s="1"/>
  <c r="I72" i="29"/>
  <c r="I74" i="29" s="1"/>
  <c r="G72" i="29"/>
  <c r="G74" i="29" s="1"/>
  <c r="G69" i="29" s="1"/>
  <c r="G66" i="29" s="1"/>
  <c r="E72" i="29"/>
  <c r="C72" i="29"/>
  <c r="CN70" i="29"/>
  <c r="CG70" i="29"/>
  <c r="BZ70" i="29"/>
  <c r="BO70" i="29"/>
  <c r="BO69" i="29"/>
  <c r="BQ69" i="29" s="1"/>
  <c r="CP64" i="29"/>
  <c r="CP70" i="29" s="1"/>
  <c r="CI64" i="29"/>
  <c r="CI70" i="29" s="1"/>
  <c r="CB64" i="29"/>
  <c r="CA9" i="29" s="1"/>
  <c r="BW64" i="29"/>
  <c r="BW70" i="29" s="1"/>
  <c r="BQ64" i="29"/>
  <c r="BQ70" i="29" s="1"/>
  <c r="BM64" i="29"/>
  <c r="BM70" i="29" s="1"/>
  <c r="BG64" i="29"/>
  <c r="BF9" i="29" s="1"/>
  <c r="BE64" i="29"/>
  <c r="BD9" i="29" s="1"/>
  <c r="BC64" i="29"/>
  <c r="BB9" i="29" s="1"/>
  <c r="AW64" i="29"/>
  <c r="AU64" i="29"/>
  <c r="AT9" i="29" s="1"/>
  <c r="AS64" i="29"/>
  <c r="AR9" i="29" s="1"/>
  <c r="AM64" i="29"/>
  <c r="AL9" i="29" s="1"/>
  <c r="AK64" i="29"/>
  <c r="AJ9" i="29" s="1"/>
  <c r="AI64" i="29"/>
  <c r="AH9" i="29" s="1"/>
  <c r="AE64" i="29"/>
  <c r="AE70" i="29" s="1"/>
  <c r="AC64" i="29"/>
  <c r="AC70" i="29" s="1"/>
  <c r="AA64" i="29"/>
  <c r="AA70" i="29" s="1"/>
  <c r="Y64" i="29"/>
  <c r="Y70" i="29" s="1"/>
  <c r="W64" i="29"/>
  <c r="V9" i="29" s="1"/>
  <c r="U64" i="29"/>
  <c r="U70" i="29" s="1"/>
  <c r="S64" i="29"/>
  <c r="S70" i="29" s="1"/>
  <c r="Q64" i="29"/>
  <c r="Q70" i="29" s="1"/>
  <c r="O64" i="29"/>
  <c r="O70" i="29" s="1"/>
  <c r="E64" i="29"/>
  <c r="E65" i="29" s="1"/>
  <c r="M63" i="29"/>
  <c r="K63" i="29"/>
  <c r="K57" i="29" s="1"/>
  <c r="K61" i="29" s="1"/>
  <c r="K56" i="29" s="1"/>
  <c r="J45" i="29" s="1"/>
  <c r="I63" i="29"/>
  <c r="I57" i="29" s="1"/>
  <c r="G63" i="29"/>
  <c r="G57" i="29" s="1"/>
  <c r="M59" i="29"/>
  <c r="K59" i="29"/>
  <c r="I59" i="29"/>
  <c r="G59" i="29"/>
  <c r="CP42" i="29"/>
  <c r="CI42" i="29"/>
  <c r="CB42" i="29"/>
  <c r="BO42" i="29"/>
  <c r="BG42" i="29"/>
  <c r="BE42" i="29"/>
  <c r="AW42" i="29"/>
  <c r="AU42" i="29"/>
  <c r="AS42" i="29"/>
  <c r="AM42" i="29"/>
  <c r="AK42" i="29"/>
  <c r="AI42" i="29"/>
  <c r="AE42" i="29"/>
  <c r="AC42" i="29"/>
  <c r="AA42" i="29"/>
  <c r="Y42" i="29"/>
  <c r="W42" i="29"/>
  <c r="U42" i="29"/>
  <c r="S42" i="29"/>
  <c r="Q42" i="29"/>
  <c r="O42" i="29"/>
  <c r="M42" i="29"/>
  <c r="K42" i="29"/>
  <c r="CR38" i="29"/>
  <c r="CR42" i="29" s="1"/>
  <c r="CK38" i="29"/>
  <c r="CG32" i="29" s="1"/>
  <c r="CD38" i="29"/>
  <c r="CC38" i="29" s="1"/>
  <c r="BQ38" i="29"/>
  <c r="BQ42" i="29" s="1"/>
  <c r="BF38" i="29"/>
  <c r="BF37" i="29" s="1"/>
  <c r="AV38" i="29"/>
  <c r="AL38" i="29"/>
  <c r="AL37" i="29" s="1"/>
  <c r="AD38" i="29"/>
  <c r="X38" i="29"/>
  <c r="X42" i="29" s="1"/>
  <c r="R38" i="29"/>
  <c r="R42" i="29" s="1"/>
  <c r="L38" i="29"/>
  <c r="L37" i="29" s="1"/>
  <c r="BG37" i="29"/>
  <c r="AW37" i="29"/>
  <c r="AM37" i="29"/>
  <c r="AE37" i="29"/>
  <c r="Y37" i="29"/>
  <c r="S37" i="29"/>
  <c r="M37" i="29"/>
  <c r="BS36" i="29"/>
  <c r="BR36" i="29"/>
  <c r="BI36" i="29"/>
  <c r="BH36" i="29"/>
  <c r="BG36" i="29"/>
  <c r="BG35" i="29" s="1"/>
  <c r="AY36" i="29"/>
  <c r="AX36" i="29"/>
  <c r="AW36" i="29"/>
  <c r="AW35" i="29" s="1"/>
  <c r="CQ32" i="29"/>
  <c r="CQ31" i="29" s="1"/>
  <c r="CO32" i="29"/>
  <c r="CO31" i="29" s="1"/>
  <c r="CJ32" i="29"/>
  <c r="CH32" i="29"/>
  <c r="CC32" i="29"/>
  <c r="CC31" i="29" s="1"/>
  <c r="CA32" i="29"/>
  <c r="BS32" i="29"/>
  <c r="BP32" i="29"/>
  <c r="BN32" i="29"/>
  <c r="BN42" i="29" s="1"/>
  <c r="BI32" i="29"/>
  <c r="BF32" i="29"/>
  <c r="BD32" i="29"/>
  <c r="BD42" i="29" s="1"/>
  <c r="BC32" i="29"/>
  <c r="BC42" i="29" s="1"/>
  <c r="AY32" i="29"/>
  <c r="AX32" i="29"/>
  <c r="AV32" i="29"/>
  <c r="AV31" i="29" s="1"/>
  <c r="AT32" i="29"/>
  <c r="AT42" i="29" s="1"/>
  <c r="AR32" i="29"/>
  <c r="AR31" i="29" s="1"/>
  <c r="AM32" i="29"/>
  <c r="AM36" i="29" s="1"/>
  <c r="AM35" i="29" s="1"/>
  <c r="AJ32" i="29"/>
  <c r="AJ42" i="29" s="1"/>
  <c r="AH32" i="29"/>
  <c r="AH42" i="29" s="1"/>
  <c r="AE32" i="29"/>
  <c r="AE36" i="29" s="1"/>
  <c r="AE35" i="29" s="1"/>
  <c r="AB32" i="29"/>
  <c r="AB42" i="29" s="1"/>
  <c r="Z32" i="29"/>
  <c r="Z42" i="29" s="1"/>
  <c r="Y32" i="29"/>
  <c r="Y31" i="29" s="1"/>
  <c r="V32" i="29"/>
  <c r="V42" i="29" s="1"/>
  <c r="T32" i="29"/>
  <c r="S32" i="29"/>
  <c r="BT32" i="29" s="1"/>
  <c r="P32" i="29"/>
  <c r="P42" i="29" s="1"/>
  <c r="N32" i="29"/>
  <c r="N42" i="29" s="1"/>
  <c r="L32" i="29"/>
  <c r="J32" i="29"/>
  <c r="H32" i="29"/>
  <c r="H42" i="29" s="1"/>
  <c r="F32" i="29"/>
  <c r="F31" i="29" s="1"/>
  <c r="CR31" i="29"/>
  <c r="CP31" i="29"/>
  <c r="CK31" i="29"/>
  <c r="CI31" i="29"/>
  <c r="CD31" i="29"/>
  <c r="CB31" i="29"/>
  <c r="BQ31" i="29"/>
  <c r="BO31" i="29"/>
  <c r="BN31" i="29"/>
  <c r="BG31" i="29"/>
  <c r="BE31" i="29"/>
  <c r="AW31" i="29"/>
  <c r="AU31" i="29"/>
  <c r="AS31" i="29"/>
  <c r="AK31" i="29"/>
  <c r="AI31" i="29"/>
  <c r="AC31" i="29"/>
  <c r="AA31" i="29"/>
  <c r="W31" i="29"/>
  <c r="U31" i="29"/>
  <c r="Q31" i="29"/>
  <c r="O31" i="29"/>
  <c r="K31" i="29"/>
  <c r="CQ30" i="29"/>
  <c r="CQ29" i="29" s="1"/>
  <c r="CP30" i="29"/>
  <c r="CP29" i="29" s="1"/>
  <c r="CI30" i="29"/>
  <c r="CI29" i="29" s="1"/>
  <c r="CD30" i="29"/>
  <c r="CD29" i="29" s="1"/>
  <c r="CB30" i="29"/>
  <c r="CB29" i="29" s="1"/>
  <c r="BO30" i="29"/>
  <c r="BO29" i="29" s="1"/>
  <c r="BF30" i="29"/>
  <c r="BF29" i="29" s="1"/>
  <c r="AV30" i="29"/>
  <c r="AV29" i="29" s="1"/>
  <c r="CR26" i="29"/>
  <c r="CR30" i="29" s="1"/>
  <c r="CR29" i="29" s="1"/>
  <c r="CO26" i="29"/>
  <c r="CO25" i="29" s="1"/>
  <c r="CK26" i="29"/>
  <c r="CH26" i="29"/>
  <c r="CC26" i="29"/>
  <c r="CA26" i="29"/>
  <c r="CA25" i="29" s="1"/>
  <c r="BZ26" i="29"/>
  <c r="BY26" i="29" s="1"/>
  <c r="BY25" i="29" s="1"/>
  <c r="BQ26" i="29"/>
  <c r="BQ30" i="29" s="1"/>
  <c r="BQ29" i="29" s="1"/>
  <c r="BN26" i="29"/>
  <c r="BL26" i="29" s="1"/>
  <c r="BM26" i="29" s="1"/>
  <c r="BG26" i="29"/>
  <c r="BG30" i="29" s="1"/>
  <c r="BD26" i="29"/>
  <c r="BD25" i="29" s="1"/>
  <c r="BB26" i="29"/>
  <c r="AW26" i="29"/>
  <c r="AW30" i="29" s="1"/>
  <c r="AT26" i="29"/>
  <c r="AM26" i="29"/>
  <c r="AM30" i="29" s="1"/>
  <c r="AM29" i="29" s="1"/>
  <c r="AJ26" i="29"/>
  <c r="AK26" i="29" s="1"/>
  <c r="AK30" i="29" s="1"/>
  <c r="AK29" i="29" s="1"/>
  <c r="AH26" i="29"/>
  <c r="AE26" i="29"/>
  <c r="AB26" i="29"/>
  <c r="AC26" i="29" s="1"/>
  <c r="AC30" i="29" s="1"/>
  <c r="AC29" i="29" s="1"/>
  <c r="Y26" i="29"/>
  <c r="V26" i="29"/>
  <c r="W26" i="29" s="1"/>
  <c r="S26" i="29"/>
  <c r="P26" i="29"/>
  <c r="M26" i="29"/>
  <c r="M25" i="29" s="1"/>
  <c r="J26" i="29"/>
  <c r="H26" i="29" s="1"/>
  <c r="H25" i="29" s="1"/>
  <c r="F26" i="29"/>
  <c r="CQ25" i="29"/>
  <c r="CP25" i="29"/>
  <c r="CJ25" i="29"/>
  <c r="CI25" i="29"/>
  <c r="CD25" i="29"/>
  <c r="CB25" i="29"/>
  <c r="BP25" i="29"/>
  <c r="BO25" i="29"/>
  <c r="BF25" i="29"/>
  <c r="AV25" i="29"/>
  <c r="AT25" i="29"/>
  <c r="AL25" i="29"/>
  <c r="AD25" i="29"/>
  <c r="AC25" i="29"/>
  <c r="AB25" i="29"/>
  <c r="X25" i="29"/>
  <c r="S25" i="29"/>
  <c r="R25" i="29"/>
  <c r="L25" i="29"/>
  <c r="CQ19" i="29"/>
  <c r="CO19" i="29"/>
  <c r="CM19" i="29"/>
  <c r="CJ19" i="29"/>
  <c r="CH19" i="29"/>
  <c r="CF19" i="29"/>
  <c r="CA19" i="29"/>
  <c r="BY19" i="29"/>
  <c r="BV19" i="29"/>
  <c r="BP19" i="29"/>
  <c r="BN19" i="29"/>
  <c r="BL19" i="29"/>
  <c r="BF19" i="29"/>
  <c r="BD19" i="29"/>
  <c r="BB19" i="29"/>
  <c r="AV19" i="29"/>
  <c r="AT19" i="29"/>
  <c r="AR19" i="29"/>
  <c r="AL19" i="29"/>
  <c r="AJ19" i="29"/>
  <c r="AH19" i="29"/>
  <c r="AD19" i="29"/>
  <c r="AB19" i="29"/>
  <c r="Z19" i="29"/>
  <c r="X19" i="29"/>
  <c r="V19" i="29"/>
  <c r="T19" i="29"/>
  <c r="R19" i="29"/>
  <c r="P19" i="29"/>
  <c r="N19" i="29"/>
  <c r="L19" i="29"/>
  <c r="J19" i="29"/>
  <c r="H19" i="29"/>
  <c r="F19" i="29"/>
  <c r="CR15" i="29"/>
  <c r="CR19" i="29" s="1"/>
  <c r="CP15" i="29"/>
  <c r="CN15" i="29"/>
  <c r="CN19" i="29" s="1"/>
  <c r="CK15" i="29"/>
  <c r="CK19" i="29" s="1"/>
  <c r="CI15" i="29"/>
  <c r="CI19" i="29" s="1"/>
  <c r="CG15" i="29"/>
  <c r="CG19" i="29" s="1"/>
  <c r="CD15" i="29"/>
  <c r="CD19" i="29" s="1"/>
  <c r="CB15" i="29"/>
  <c r="BZ15" i="29"/>
  <c r="BZ19" i="29" s="1"/>
  <c r="BW15" i="29"/>
  <c r="BW19" i="29" s="1"/>
  <c r="BQ15" i="29"/>
  <c r="BQ19" i="29" s="1"/>
  <c r="BO15" i="29"/>
  <c r="BO19" i="29" s="1"/>
  <c r="BM15" i="29"/>
  <c r="BM19" i="29" s="1"/>
  <c r="BG15" i="29"/>
  <c r="BE15" i="29"/>
  <c r="BE19" i="29" s="1"/>
  <c r="BC15" i="29"/>
  <c r="BC19" i="29" s="1"/>
  <c r="AW15" i="29"/>
  <c r="AW19" i="29" s="1"/>
  <c r="AU15" i="29"/>
  <c r="AU19" i="29" s="1"/>
  <c r="AS15" i="29"/>
  <c r="AS19" i="29" s="1"/>
  <c r="AM15" i="29"/>
  <c r="AK15" i="29"/>
  <c r="AK19" i="29" s="1"/>
  <c r="AI15" i="29"/>
  <c r="AI19" i="29" s="1"/>
  <c r="AE15" i="29"/>
  <c r="AE19" i="29" s="1"/>
  <c r="AC15" i="29"/>
  <c r="AC19" i="29" s="1"/>
  <c r="AA15" i="29"/>
  <c r="AA19" i="29" s="1"/>
  <c r="Y15" i="29"/>
  <c r="W15" i="29"/>
  <c r="W19" i="29" s="1"/>
  <c r="U15" i="29"/>
  <c r="U19" i="29" s="1"/>
  <c r="S15" i="29"/>
  <c r="S19" i="29" s="1"/>
  <c r="Q15" i="29"/>
  <c r="Q19" i="29" s="1"/>
  <c r="O15" i="29"/>
  <c r="O19" i="29" s="1"/>
  <c r="M15" i="29"/>
  <c r="K15" i="29"/>
  <c r="K19" i="29" s="1"/>
  <c r="I15" i="29"/>
  <c r="I19" i="29" s="1"/>
  <c r="G15" i="29"/>
  <c r="G19" i="29" s="1"/>
  <c r="CO9" i="29"/>
  <c r="CM9" i="29"/>
  <c r="CH9" i="29"/>
  <c r="CF9" i="29"/>
  <c r="BY9" i="29"/>
  <c r="BN9" i="29"/>
  <c r="AV9" i="29"/>
  <c r="AD9" i="29"/>
  <c r="AB9" i="29"/>
  <c r="L9" i="29"/>
  <c r="J9" i="29"/>
  <c r="H9" i="29"/>
  <c r="F9" i="29"/>
  <c r="L8" i="29"/>
  <c r="J8" i="29"/>
  <c r="H8" i="29"/>
  <c r="F8" i="29"/>
  <c r="CQ2" i="29"/>
  <c r="CQ10" i="29" s="1"/>
  <c r="CR10" i="29" s="1"/>
  <c r="CO2" i="29"/>
  <c r="CO10" i="29" s="1"/>
  <c r="CM2" i="29"/>
  <c r="CM10" i="29" s="1"/>
  <c r="CM16" i="29" s="1"/>
  <c r="CM20" i="29" s="1"/>
  <c r="CJ2" i="29"/>
  <c r="CJ10" i="29" s="1"/>
  <c r="CK10" i="29" s="1"/>
  <c r="CH2" i="29"/>
  <c r="CH10" i="29" s="1"/>
  <c r="CF2" i="29"/>
  <c r="CF10" i="29" s="1"/>
  <c r="CF16" i="29" s="1"/>
  <c r="CF20" i="29" s="1"/>
  <c r="CC2" i="29"/>
  <c r="CC10" i="29" s="1"/>
  <c r="CD10" i="29" s="1"/>
  <c r="CA2" i="29"/>
  <c r="CA10" i="29" s="1"/>
  <c r="BY2" i="29"/>
  <c r="BY10" i="29" s="1"/>
  <c r="BY16" i="29" s="1"/>
  <c r="BY20" i="29" s="1"/>
  <c r="BV2" i="29"/>
  <c r="BV10" i="29" s="1"/>
  <c r="BW10" i="29" s="1"/>
  <c r="BP2" i="29"/>
  <c r="BP10" i="29" s="1"/>
  <c r="BN2" i="29"/>
  <c r="BN10" i="29" s="1"/>
  <c r="BN16" i="29" s="1"/>
  <c r="BN20" i="29" s="1"/>
  <c r="BL2" i="29"/>
  <c r="BL10" i="29" s="1"/>
  <c r="BM10" i="29" s="1"/>
  <c r="BM83" i="29" s="1"/>
  <c r="BM81" i="29" s="1"/>
  <c r="BF2" i="29"/>
  <c r="BF10" i="29" s="1"/>
  <c r="BD2" i="29"/>
  <c r="BD10" i="29" s="1"/>
  <c r="BD16" i="29" s="1"/>
  <c r="BD20" i="29" s="1"/>
  <c r="BB2" i="29"/>
  <c r="BB10" i="29" s="1"/>
  <c r="BC10" i="29" s="1"/>
  <c r="AV2" i="29"/>
  <c r="AV10" i="29" s="1"/>
  <c r="AT2" i="29"/>
  <c r="AT10" i="29" s="1"/>
  <c r="AT16" i="29" s="1"/>
  <c r="AT20" i="29" s="1"/>
  <c r="AR2" i="29"/>
  <c r="AR10" i="29" s="1"/>
  <c r="AS10" i="29" s="1"/>
  <c r="AS83" i="29" s="1"/>
  <c r="AS81" i="29" s="1"/>
  <c r="AL2" i="29"/>
  <c r="AL10" i="29" s="1"/>
  <c r="AJ2" i="29"/>
  <c r="AJ10" i="29" s="1"/>
  <c r="AJ16" i="29" s="1"/>
  <c r="AJ20" i="29" s="1"/>
  <c r="AH2" i="29"/>
  <c r="AH10" i="29" s="1"/>
  <c r="AI10" i="29" s="1"/>
  <c r="AD2" i="29"/>
  <c r="AD10" i="29" s="1"/>
  <c r="AB2" i="29"/>
  <c r="AB10" i="29" s="1"/>
  <c r="AB16" i="29" s="1"/>
  <c r="AB20" i="29" s="1"/>
  <c r="AB24" i="29" s="1"/>
  <c r="AB23" i="29" s="1"/>
  <c r="Z2" i="29"/>
  <c r="Z10" i="29" s="1"/>
  <c r="AA10" i="29" s="1"/>
  <c r="X2" i="29"/>
  <c r="X10" i="29" s="1"/>
  <c r="V2" i="29"/>
  <c r="V10" i="29" s="1"/>
  <c r="V16" i="29" s="1"/>
  <c r="V20" i="29" s="1"/>
  <c r="T2" i="29"/>
  <c r="T10" i="29" s="1"/>
  <c r="U10" i="29" s="1"/>
  <c r="R2" i="29"/>
  <c r="R10" i="29" s="1"/>
  <c r="P2" i="29"/>
  <c r="P10" i="29" s="1"/>
  <c r="P16" i="29" s="1"/>
  <c r="P20" i="29" s="1"/>
  <c r="N2" i="29"/>
  <c r="N10" i="29" s="1"/>
  <c r="O10" i="29" s="1"/>
  <c r="L2" i="29"/>
  <c r="L10" i="29" s="1"/>
  <c r="J2" i="29"/>
  <c r="J10" i="29" s="1"/>
  <c r="J16" i="29" s="1"/>
  <c r="J20" i="29" s="1"/>
  <c r="H2" i="29"/>
  <c r="H10" i="29" s="1"/>
  <c r="I10" i="29" s="1"/>
  <c r="F2" i="29"/>
  <c r="F10" i="29" s="1"/>
  <c r="BO45" i="28"/>
  <c r="AZ26" i="29" l="1"/>
  <c r="BQ84" i="29"/>
  <c r="R9" i="29"/>
  <c r="CX38" i="29"/>
  <c r="CX37" i="29" s="1"/>
  <c r="DI16" i="29"/>
  <c r="DI20" i="29" s="1"/>
  <c r="CU32" i="29"/>
  <c r="CU31" i="29" s="1"/>
  <c r="DF81" i="29"/>
  <c r="DF87" i="29" s="1"/>
  <c r="DJ30" i="29"/>
  <c r="DJ29" i="29" s="1"/>
  <c r="CR64" i="29"/>
  <c r="CR70" i="29" s="1"/>
  <c r="AM31" i="29"/>
  <c r="BD24" i="29"/>
  <c r="BD23" i="29" s="1"/>
  <c r="BV9" i="29"/>
  <c r="CY10" i="29"/>
  <c r="CY136" i="29" s="1"/>
  <c r="CY137" i="29" s="1"/>
  <c r="CX16" i="29"/>
  <c r="CX20" i="29" s="1"/>
  <c r="CX24" i="29" s="1"/>
  <c r="CX23" i="29" s="1"/>
  <c r="DB57" i="29"/>
  <c r="AJ25" i="29"/>
  <c r="AC147" i="29"/>
  <c r="CI148" i="28"/>
  <c r="BC31" i="29"/>
  <c r="BQ37" i="29"/>
  <c r="DA8" i="29"/>
  <c r="DB75" i="29"/>
  <c r="CH24" i="28"/>
  <c r="CH23" i="28" s="1"/>
  <c r="BW16" i="29"/>
  <c r="BW20" i="29" s="1"/>
  <c r="AW25" i="29"/>
  <c r="CX27" i="29"/>
  <c r="DB136" i="29"/>
  <c r="DB137" i="29" s="1"/>
  <c r="CM83" i="28"/>
  <c r="CM81" i="28" s="1"/>
  <c r="X9" i="29"/>
  <c r="BM32" i="29"/>
  <c r="BW32" i="29" s="1"/>
  <c r="BW31" i="29" s="1"/>
  <c r="BQ36" i="29"/>
  <c r="BQ35" i="29" s="1"/>
  <c r="CH69" i="28"/>
  <c r="O59" i="29"/>
  <c r="CY124" i="29"/>
  <c r="CY123" i="29" s="1"/>
  <c r="CY121" i="29" s="1"/>
  <c r="CY122" i="29" s="1"/>
  <c r="CY79" i="29" s="1"/>
  <c r="DM30" i="29"/>
  <c r="DM29" i="29" s="1"/>
  <c r="DI26" i="29"/>
  <c r="DI24" i="29" s="1"/>
  <c r="DI23" i="29" s="1"/>
  <c r="DM24" i="29"/>
  <c r="DM23" i="29" s="1"/>
  <c r="DI42" i="29"/>
  <c r="DI41" i="29" s="1"/>
  <c r="DI44" i="29" s="1"/>
  <c r="DI43" i="29" s="1"/>
  <c r="DI31" i="29"/>
  <c r="DH42" i="29"/>
  <c r="DH41" i="29" s="1"/>
  <c r="DH44" i="29" s="1"/>
  <c r="DH43" i="29" s="1"/>
  <c r="CK63" i="28"/>
  <c r="CJ8" i="28"/>
  <c r="CK118" i="28"/>
  <c r="CK119" i="28" s="1"/>
  <c r="CK115" i="28"/>
  <c r="CK116" i="28" s="1"/>
  <c r="CL9" i="28"/>
  <c r="CM70" i="28"/>
  <c r="CI57" i="28"/>
  <c r="CI60" i="28"/>
  <c r="CI75" i="28"/>
  <c r="CH42" i="28"/>
  <c r="CH41" i="28" s="1"/>
  <c r="CH44" i="28" s="1"/>
  <c r="CH43" i="28" s="1"/>
  <c r="CH31" i="28"/>
  <c r="CM133" i="28"/>
  <c r="CM134" i="28" s="1"/>
  <c r="CM139" i="28"/>
  <c r="CM140" i="28" s="1"/>
  <c r="CM148" i="28" s="1"/>
  <c r="CM78" i="28"/>
  <c r="CM82" i="28"/>
  <c r="CM80" i="28"/>
  <c r="CK133" i="28"/>
  <c r="CK134" i="28" s="1"/>
  <c r="CK16" i="28"/>
  <c r="CK20" i="28" s="1"/>
  <c r="CK24" i="28" s="1"/>
  <c r="CK23" i="28" s="1"/>
  <c r="CK139" i="28"/>
  <c r="CK140" i="28" s="1"/>
  <c r="CK148" i="28" s="1"/>
  <c r="CK136" i="28"/>
  <c r="CK137" i="28" s="1"/>
  <c r="CK89" i="28"/>
  <c r="CK90" i="28"/>
  <c r="CK88" i="28"/>
  <c r="CM76" i="28"/>
  <c r="CM87" i="28"/>
  <c r="CM67" i="28"/>
  <c r="CM66" i="28"/>
  <c r="CM16" i="28"/>
  <c r="CM20" i="28" s="1"/>
  <c r="CM24" i="28" s="1"/>
  <c r="CM23" i="28" s="1"/>
  <c r="CH25" i="28"/>
  <c r="CH30" i="28"/>
  <c r="CH29" i="28" s="1"/>
  <c r="CI87" i="28"/>
  <c r="CI78" i="28"/>
  <c r="CI82" i="28"/>
  <c r="CI61" i="28"/>
  <c r="CI115" i="28"/>
  <c r="CI116" i="28" s="1"/>
  <c r="CK78" i="28"/>
  <c r="CK82" i="28"/>
  <c r="CK37" i="29"/>
  <c r="DF70" i="29"/>
  <c r="DF67" i="29" s="1"/>
  <c r="DF63" i="29" s="1"/>
  <c r="DE9" i="29"/>
  <c r="AT24" i="29"/>
  <c r="AT23" i="29" s="1"/>
  <c r="BP9" i="29"/>
  <c r="AJ31" i="29"/>
  <c r="CR37" i="29"/>
  <c r="I103" i="29"/>
  <c r="CX19" i="29"/>
  <c r="CW30" i="29"/>
  <c r="CW29" i="29" s="1"/>
  <c r="DK148" i="29"/>
  <c r="K124" i="29"/>
  <c r="K123" i="29" s="1"/>
  <c r="K121" i="29" s="1"/>
  <c r="K122" i="29" s="1"/>
  <c r="K79" i="29" s="1"/>
  <c r="K78" i="29" s="1"/>
  <c r="CX30" i="29"/>
  <c r="CX29" i="29" s="1"/>
  <c r="CU124" i="29"/>
  <c r="CU123" i="29" s="1"/>
  <c r="CU121" i="29" s="1"/>
  <c r="CU122" i="29" s="1"/>
  <c r="CU79" i="29" s="1"/>
  <c r="DI75" i="29"/>
  <c r="DI57" i="29"/>
  <c r="DI60" i="29"/>
  <c r="CW31" i="29"/>
  <c r="CW70" i="29"/>
  <c r="CW67" i="29" s="1"/>
  <c r="CW63" i="29" s="1"/>
  <c r="CW60" i="29" s="1"/>
  <c r="BZ25" i="29"/>
  <c r="CK36" i="29"/>
  <c r="CK35" i="29" s="1"/>
  <c r="BM42" i="29"/>
  <c r="P9" i="29"/>
  <c r="BM30" i="29"/>
  <c r="BM29" i="29" s="1"/>
  <c r="Z31" i="29"/>
  <c r="BF36" i="29"/>
  <c r="BF35" i="29" s="1"/>
  <c r="R37" i="29"/>
  <c r="CW42" i="29"/>
  <c r="CV32" i="29"/>
  <c r="CV31" i="29" s="1"/>
  <c r="DM148" i="29"/>
  <c r="DM87" i="29"/>
  <c r="DM76" i="29"/>
  <c r="DK89" i="29"/>
  <c r="DK90" i="29"/>
  <c r="DK88" i="29"/>
  <c r="DK78" i="29"/>
  <c r="DK82" i="29"/>
  <c r="DM70" i="29"/>
  <c r="DM67" i="29" s="1"/>
  <c r="DL9" i="29"/>
  <c r="DK63" i="29"/>
  <c r="DK118" i="29"/>
  <c r="DK119" i="29" s="1"/>
  <c r="DK115" i="29"/>
  <c r="DK116" i="29" s="1"/>
  <c r="DJ8" i="29"/>
  <c r="DM78" i="29"/>
  <c r="DM82" i="29"/>
  <c r="DI133" i="29"/>
  <c r="DI134" i="29" s="1"/>
  <c r="DI83" i="29"/>
  <c r="DI81" i="29" s="1"/>
  <c r="DI139" i="29"/>
  <c r="DI140" i="29" s="1"/>
  <c r="DI148" i="29" s="1"/>
  <c r="DD118" i="29"/>
  <c r="DD119" i="29" s="1"/>
  <c r="DB41" i="29"/>
  <c r="DB44" i="29" s="1"/>
  <c r="DB43" i="29" s="1"/>
  <c r="DD63" i="29"/>
  <c r="DD57" i="29" s="1"/>
  <c r="DF90" i="29"/>
  <c r="DF89" i="29"/>
  <c r="DF88" i="29"/>
  <c r="DF82" i="29"/>
  <c r="DF80" i="29"/>
  <c r="DF78" i="29"/>
  <c r="DB83" i="29"/>
  <c r="DB81" i="29" s="1"/>
  <c r="DB139" i="29"/>
  <c r="DB140" i="29" s="1"/>
  <c r="DB148" i="29" s="1"/>
  <c r="DB76" i="29"/>
  <c r="DB133" i="29"/>
  <c r="DB134" i="29" s="1"/>
  <c r="DD75" i="29"/>
  <c r="DA42" i="29"/>
  <c r="DA41" i="29" s="1"/>
  <c r="DA44" i="29" s="1"/>
  <c r="DA43" i="29" s="1"/>
  <c r="DA31" i="29"/>
  <c r="DD115" i="29"/>
  <c r="DD116" i="29" s="1"/>
  <c r="DF19" i="29"/>
  <c r="DF16" i="29"/>
  <c r="DF20" i="29" s="1"/>
  <c r="DF24" i="29" s="1"/>
  <c r="DF23" i="29" s="1"/>
  <c r="DD16" i="29"/>
  <c r="DD20" i="29" s="1"/>
  <c r="DD24" i="29" s="1"/>
  <c r="DD23" i="29" s="1"/>
  <c r="DD19" i="29"/>
  <c r="DA30" i="29"/>
  <c r="DA29" i="29" s="1"/>
  <c r="DF148" i="29"/>
  <c r="DD78" i="29"/>
  <c r="DD82" i="29"/>
  <c r="DD87" i="29"/>
  <c r="CV16" i="29"/>
  <c r="CV20" i="29" s="1"/>
  <c r="CV24" i="29" s="1"/>
  <c r="CV23" i="29" s="1"/>
  <c r="CV19" i="29"/>
  <c r="CX42" i="29"/>
  <c r="CW10" i="29"/>
  <c r="CU19" i="29"/>
  <c r="CU16" i="29"/>
  <c r="CU20" i="29" s="1"/>
  <c r="CY147" i="29"/>
  <c r="CY103" i="29"/>
  <c r="CU26" i="29"/>
  <c r="CY30" i="29"/>
  <c r="CY29" i="29" s="1"/>
  <c r="CY25" i="29"/>
  <c r="CU63" i="29"/>
  <c r="CT69" i="29"/>
  <c r="CU10" i="29"/>
  <c r="CT16" i="29"/>
  <c r="CT20" i="29" s="1"/>
  <c r="CT32" i="29"/>
  <c r="CY64" i="29"/>
  <c r="CY84" i="29"/>
  <c r="CW130" i="29"/>
  <c r="CW124" i="29" s="1"/>
  <c r="CW123" i="29" s="1"/>
  <c r="CW121" i="29" s="1"/>
  <c r="CW122" i="29" s="1"/>
  <c r="CW79" i="29" s="1"/>
  <c r="CX36" i="29"/>
  <c r="CX35" i="29" s="1"/>
  <c r="CU42" i="29"/>
  <c r="CU41" i="29" s="1"/>
  <c r="CU44" i="29" s="1"/>
  <c r="CU43" i="29" s="1"/>
  <c r="CU147" i="29"/>
  <c r="CY74" i="29"/>
  <c r="CV42" i="29"/>
  <c r="CW66" i="29"/>
  <c r="CW147" i="29"/>
  <c r="AM25" i="29"/>
  <c r="BG25" i="29"/>
  <c r="AT30" i="29"/>
  <c r="AT29" i="29" s="1"/>
  <c r="BJ26" i="29"/>
  <c r="H31" i="29"/>
  <c r="S31" i="29"/>
  <c r="AT31" i="29"/>
  <c r="BF31" i="29"/>
  <c r="X32" i="29"/>
  <c r="X31" i="29" s="1"/>
  <c r="CJ38" i="29"/>
  <c r="CJ36" i="29" s="1"/>
  <c r="CJ35" i="29" s="1"/>
  <c r="AI73" i="29"/>
  <c r="AI126" i="29" s="1"/>
  <c r="G116" i="29"/>
  <c r="BQ147" i="29"/>
  <c r="CQ9" i="29"/>
  <c r="I60" i="29"/>
  <c r="I124" i="29"/>
  <c r="I123" i="29" s="1"/>
  <c r="I121" i="29" s="1"/>
  <c r="I122" i="29" s="1"/>
  <c r="I79" i="29" s="1"/>
  <c r="I78" i="29" s="1"/>
  <c r="Z9" i="29"/>
  <c r="Q10" i="29"/>
  <c r="Q83" i="29" s="1"/>
  <c r="Q81" i="29" s="1"/>
  <c r="Q87" i="29" s="1"/>
  <c r="CO30" i="29"/>
  <c r="CO29" i="29" s="1"/>
  <c r="AB30" i="29"/>
  <c r="AB29" i="29" s="1"/>
  <c r="CR36" i="29"/>
  <c r="CR35" i="29" s="1"/>
  <c r="W70" i="29"/>
  <c r="N9" i="29"/>
  <c r="BL9" i="29"/>
  <c r="BO10" i="29"/>
  <c r="BO83" i="29" s="1"/>
  <c r="BO81" i="29" s="1"/>
  <c r="S30" i="29"/>
  <c r="S29" i="29" s="1"/>
  <c r="CA30" i="29"/>
  <c r="CA29" i="29" s="1"/>
  <c r="P31" i="29"/>
  <c r="BD31" i="29"/>
  <c r="I32" i="29"/>
  <c r="BH32" i="29"/>
  <c r="CN32" i="29"/>
  <c r="CM32" i="29" s="1"/>
  <c r="CM31" i="29" s="1"/>
  <c r="CK42" i="29"/>
  <c r="O72" i="29"/>
  <c r="O66" i="29" s="1"/>
  <c r="W30" i="29"/>
  <c r="W29" i="29" s="1"/>
  <c r="W25" i="29"/>
  <c r="AA73" i="29"/>
  <c r="AA103" i="29" s="1"/>
  <c r="W73" i="29"/>
  <c r="W129" i="29" s="1"/>
  <c r="CQ16" i="29"/>
  <c r="CQ20" i="29" s="1"/>
  <c r="CQ24" i="29" s="1"/>
  <c r="CQ23" i="29" s="1"/>
  <c r="J25" i="29"/>
  <c r="G124" i="29"/>
  <c r="G123" i="29" s="1"/>
  <c r="G121" i="29" s="1"/>
  <c r="G122" i="29" s="1"/>
  <c r="G79" i="29" s="1"/>
  <c r="G78" i="29" s="1"/>
  <c r="T9" i="29"/>
  <c r="Z16" i="29"/>
  <c r="Z20" i="29" s="1"/>
  <c r="AK25" i="29"/>
  <c r="BQ25" i="29"/>
  <c r="Y30" i="29"/>
  <c r="Y29" i="29" s="1"/>
  <c r="BT26" i="29"/>
  <c r="AJ30" i="29"/>
  <c r="AJ29" i="29" s="1"/>
  <c r="BB32" i="29"/>
  <c r="BB30" i="29" s="1"/>
  <c r="BB29" i="29" s="1"/>
  <c r="BJ32" i="29"/>
  <c r="AV36" i="29"/>
  <c r="AV35" i="29" s="1"/>
  <c r="X37" i="29"/>
  <c r="G75" i="29"/>
  <c r="G70" i="29" s="1"/>
  <c r="O128" i="29"/>
  <c r="CR16" i="29"/>
  <c r="CR20" i="29" s="1"/>
  <c r="CR24" i="29" s="1"/>
  <c r="CR23" i="29" s="1"/>
  <c r="BN30" i="29"/>
  <c r="BN29" i="29" s="1"/>
  <c r="Y36" i="29"/>
  <c r="Y35" i="29" s="1"/>
  <c r="AU10" i="29"/>
  <c r="AU83" i="29" s="1"/>
  <c r="AU81" i="29" s="1"/>
  <c r="AR16" i="29"/>
  <c r="AR20" i="29" s="1"/>
  <c r="CR25" i="29"/>
  <c r="Z26" i="29"/>
  <c r="Z25" i="29" s="1"/>
  <c r="AR26" i="29"/>
  <c r="AR25" i="29" s="1"/>
  <c r="N31" i="29"/>
  <c r="V31" i="29"/>
  <c r="AE31" i="29"/>
  <c r="BP38" i="29"/>
  <c r="BP36" i="29" s="1"/>
  <c r="BP35" i="29" s="1"/>
  <c r="CQ38" i="29"/>
  <c r="CQ36" i="29" s="1"/>
  <c r="CQ35" i="29" s="1"/>
  <c r="G61" i="29"/>
  <c r="G56" i="29" s="1"/>
  <c r="G87" i="29"/>
  <c r="G90" i="29" s="1"/>
  <c r="G118" i="29"/>
  <c r="G119" i="29" s="1"/>
  <c r="AE147" i="29"/>
  <c r="CP147" i="29"/>
  <c r="BN24" i="29"/>
  <c r="BN23" i="29" s="1"/>
  <c r="J24" i="29"/>
  <c r="J23" i="29" s="1"/>
  <c r="V24" i="29"/>
  <c r="V23" i="29" s="1"/>
  <c r="AJ24" i="29"/>
  <c r="AJ23" i="29" s="1"/>
  <c r="BY24" i="29"/>
  <c r="BY23" i="29" s="1"/>
  <c r="AS16" i="29"/>
  <c r="AS20" i="29" s="1"/>
  <c r="T26" i="29"/>
  <c r="T30" i="29" s="1"/>
  <c r="T29" i="29" s="1"/>
  <c r="CN26" i="29"/>
  <c r="AW29" i="29"/>
  <c r="V30" i="29"/>
  <c r="V29" i="29" s="1"/>
  <c r="AH31" i="29"/>
  <c r="AD32" i="29"/>
  <c r="AD30" i="29" s="1"/>
  <c r="AD29" i="29" s="1"/>
  <c r="K60" i="29"/>
  <c r="G103" i="29"/>
  <c r="CR147" i="29"/>
  <c r="CI147" i="29"/>
  <c r="V25" i="29"/>
  <c r="CC16" i="29"/>
  <c r="CC20" i="29" s="1"/>
  <c r="CC24" i="29" s="1"/>
  <c r="CC23" i="29" s="1"/>
  <c r="BN25" i="29"/>
  <c r="I26" i="29"/>
  <c r="I25" i="29" s="1"/>
  <c r="S36" i="29"/>
  <c r="AZ36" i="29" s="1"/>
  <c r="O147" i="29"/>
  <c r="X16" i="29"/>
  <c r="X20" i="29" s="1"/>
  <c r="X24" i="29" s="1"/>
  <c r="X23" i="29" s="1"/>
  <c r="Y10" i="29"/>
  <c r="Y136" i="29" s="1"/>
  <c r="AL16" i="29"/>
  <c r="AL20" i="29" s="1"/>
  <c r="AL24" i="29" s="1"/>
  <c r="AL23" i="29" s="1"/>
  <c r="AM10" i="29"/>
  <c r="AM83" i="29" s="1"/>
  <c r="AM81" i="29" s="1"/>
  <c r="AM87" i="29" s="1"/>
  <c r="CA16" i="29"/>
  <c r="CA20" i="29" s="1"/>
  <c r="CA24" i="29" s="1"/>
  <c r="CA23" i="29" s="1"/>
  <c r="CB10" i="29"/>
  <c r="CB133" i="29" s="1"/>
  <c r="CO16" i="29"/>
  <c r="CO20" i="29" s="1"/>
  <c r="CO24" i="29" s="1"/>
  <c r="CO23" i="29" s="1"/>
  <c r="CP10" i="29"/>
  <c r="CP16" i="29" s="1"/>
  <c r="CP20" i="29" s="1"/>
  <c r="CP24" i="29" s="1"/>
  <c r="CP23" i="29" s="1"/>
  <c r="BC83" i="29"/>
  <c r="BC81" i="29" s="1"/>
  <c r="BC76" i="29"/>
  <c r="BF16" i="29"/>
  <c r="BF20" i="29" s="1"/>
  <c r="BF24" i="29" s="1"/>
  <c r="BF23" i="29" s="1"/>
  <c r="BG10" i="29"/>
  <c r="BG83" i="29" s="1"/>
  <c r="BG81" i="29" s="1"/>
  <c r="BG87" i="29" s="1"/>
  <c r="BV16" i="29"/>
  <c r="BV20" i="29" s="1"/>
  <c r="AA139" i="29"/>
  <c r="AA136" i="29"/>
  <c r="AA133" i="29"/>
  <c r="AA83" i="29"/>
  <c r="AA81" i="29" s="1"/>
  <c r="AA87" i="29" s="1"/>
  <c r="AS82" i="29"/>
  <c r="CD133" i="29"/>
  <c r="CD83" i="29"/>
  <c r="CD81" i="29" s="1"/>
  <c r="CD87" i="29" s="1"/>
  <c r="W10" i="29"/>
  <c r="W83" i="29" s="1"/>
  <c r="W81" i="29" s="1"/>
  <c r="W87" i="29" s="1"/>
  <c r="BZ10" i="29"/>
  <c r="BZ83" i="29" s="1"/>
  <c r="BZ81" i="29" s="1"/>
  <c r="AA16" i="29"/>
  <c r="AA20" i="29" s="1"/>
  <c r="CD16" i="29"/>
  <c r="CD20" i="29" s="1"/>
  <c r="CD24" i="29" s="1"/>
  <c r="CD23" i="29" s="1"/>
  <c r="AE30" i="29"/>
  <c r="AE29" i="29" s="1"/>
  <c r="AE25" i="29"/>
  <c r="CD37" i="29"/>
  <c r="CD42" i="29"/>
  <c r="BZ32" i="29"/>
  <c r="P24" i="29"/>
  <c r="P23" i="29" s="1"/>
  <c r="AV16" i="29"/>
  <c r="AV20" i="29" s="1"/>
  <c r="AV24" i="29" s="1"/>
  <c r="AV23" i="29" s="1"/>
  <c r="AW10" i="29"/>
  <c r="N16" i="29"/>
  <c r="N20" i="29" s="1"/>
  <c r="AH16" i="29"/>
  <c r="AH20" i="29" s="1"/>
  <c r="AH24" i="29" s="1"/>
  <c r="AH23" i="29" s="1"/>
  <c r="BL16" i="29"/>
  <c r="BL20" i="29" s="1"/>
  <c r="BL24" i="29" s="1"/>
  <c r="BL23" i="29" s="1"/>
  <c r="CJ16" i="29"/>
  <c r="CJ20" i="29" s="1"/>
  <c r="CJ24" i="29" s="1"/>
  <c r="CJ23" i="29" s="1"/>
  <c r="AH30" i="29"/>
  <c r="AH29" i="29" s="1"/>
  <c r="AH25" i="29"/>
  <c r="AI26" i="29"/>
  <c r="L31" i="29"/>
  <c r="L36" i="29"/>
  <c r="L35" i="29" s="1"/>
  <c r="L30" i="29"/>
  <c r="L29" i="29" s="1"/>
  <c r="M32" i="29"/>
  <c r="M30" i="29" s="1"/>
  <c r="M29" i="29" s="1"/>
  <c r="CD36" i="29"/>
  <c r="CD35" i="29" s="1"/>
  <c r="I84" i="29"/>
  <c r="I82" i="29"/>
  <c r="U136" i="29"/>
  <c r="U137" i="29" s="1"/>
  <c r="U139" i="29"/>
  <c r="U140" i="29" s="1"/>
  <c r="U83" i="29"/>
  <c r="U81" i="29" s="1"/>
  <c r="U87" i="29" s="1"/>
  <c r="U133" i="29"/>
  <c r="U134" i="29" s="1"/>
  <c r="U76" i="29"/>
  <c r="AI83" i="29"/>
  <c r="AI81" i="29" s="1"/>
  <c r="AI76" i="29"/>
  <c r="CK139" i="29"/>
  <c r="CK76" i="29"/>
  <c r="L16" i="29"/>
  <c r="L20" i="29" s="1"/>
  <c r="L24" i="29" s="1"/>
  <c r="L23" i="29" s="1"/>
  <c r="M10" i="29"/>
  <c r="M16" i="29" s="1"/>
  <c r="M20" i="29" s="1"/>
  <c r="M24" i="29" s="1"/>
  <c r="M23" i="29" s="1"/>
  <c r="AD16" i="29"/>
  <c r="AD20" i="29" s="1"/>
  <c r="AD24" i="29" s="1"/>
  <c r="AD23" i="29" s="1"/>
  <c r="AE10" i="29"/>
  <c r="AE83" i="29" s="1"/>
  <c r="AE81" i="29" s="1"/>
  <c r="CH16" i="29"/>
  <c r="CH20" i="29" s="1"/>
  <c r="CH24" i="29" s="1"/>
  <c r="CH23" i="29" s="1"/>
  <c r="CI10" i="29"/>
  <c r="CI83" i="29" s="1"/>
  <c r="CI81" i="29" s="1"/>
  <c r="T16" i="29"/>
  <c r="T20" i="29" s="1"/>
  <c r="F30" i="29"/>
  <c r="F29" i="29" s="1"/>
  <c r="F25" i="29"/>
  <c r="P30" i="29"/>
  <c r="P29" i="29" s="1"/>
  <c r="Q26" i="29"/>
  <c r="BB25" i="29"/>
  <c r="BC26" i="29"/>
  <c r="AK10" i="29"/>
  <c r="AK83" i="29" s="1"/>
  <c r="AK81" i="29" s="1"/>
  <c r="AK87" i="29" s="1"/>
  <c r="CN10" i="29"/>
  <c r="CN16" i="29" s="1"/>
  <c r="CN20" i="29" s="1"/>
  <c r="U16" i="29"/>
  <c r="U20" i="29" s="1"/>
  <c r="G26" i="29"/>
  <c r="CC30" i="29"/>
  <c r="CC29" i="29" s="1"/>
  <c r="CC25" i="29"/>
  <c r="AR42" i="29"/>
  <c r="S35" i="29"/>
  <c r="R16" i="29"/>
  <c r="R20" i="29" s="1"/>
  <c r="R24" i="29" s="1"/>
  <c r="R23" i="29" s="1"/>
  <c r="S10" i="29"/>
  <c r="S136" i="29" s="1"/>
  <c r="BP16" i="29"/>
  <c r="BP20" i="29" s="1"/>
  <c r="BP24" i="29" s="1"/>
  <c r="BP23" i="29" s="1"/>
  <c r="BQ10" i="29"/>
  <c r="BQ16" i="29" s="1"/>
  <c r="BQ20" i="29" s="1"/>
  <c r="BQ24" i="29" s="1"/>
  <c r="H16" i="29"/>
  <c r="H20" i="29" s="1"/>
  <c r="H24" i="29" s="1"/>
  <c r="H23" i="29" s="1"/>
  <c r="BB16" i="29"/>
  <c r="BB20" i="29" s="1"/>
  <c r="BB24" i="29" s="1"/>
  <c r="BB23" i="29" s="1"/>
  <c r="BJ30" i="29"/>
  <c r="BG29" i="29"/>
  <c r="CH30" i="29"/>
  <c r="CH29" i="29" s="1"/>
  <c r="CH25" i="29"/>
  <c r="T42" i="29"/>
  <c r="T31" i="29"/>
  <c r="AD37" i="29"/>
  <c r="AD42" i="29"/>
  <c r="CC37" i="29"/>
  <c r="CC42" i="29"/>
  <c r="I116" i="29"/>
  <c r="I87" i="29"/>
  <c r="I69" i="29"/>
  <c r="I66" i="29" s="1"/>
  <c r="I76" i="29"/>
  <c r="M90" i="29"/>
  <c r="M89" i="29"/>
  <c r="O139" i="29"/>
  <c r="O140" i="29" s="1"/>
  <c r="O136" i="29"/>
  <c r="O137" i="29" s="1"/>
  <c r="O133" i="29"/>
  <c r="O134" i="29" s="1"/>
  <c r="O83" i="29"/>
  <c r="O81" i="29" s="1"/>
  <c r="BM80" i="29" s="1"/>
  <c r="BM82" i="29"/>
  <c r="I16" i="29"/>
  <c r="I20" i="29" s="1"/>
  <c r="BC16" i="29"/>
  <c r="BC20" i="29" s="1"/>
  <c r="J31" i="29"/>
  <c r="J42" i="29"/>
  <c r="J41" i="29" s="1"/>
  <c r="J44" i="29" s="1"/>
  <c r="J43" i="29" s="1"/>
  <c r="AL42" i="29"/>
  <c r="K45" i="29"/>
  <c r="J56" i="29"/>
  <c r="J55" i="29" s="1"/>
  <c r="F16" i="29"/>
  <c r="F20" i="29" s="1"/>
  <c r="F24" i="29" s="1"/>
  <c r="F23" i="29" s="1"/>
  <c r="G10" i="29"/>
  <c r="G16" i="29" s="1"/>
  <c r="G20" i="29" s="1"/>
  <c r="K10" i="29"/>
  <c r="K82" i="29" s="1"/>
  <c r="AC10" i="29"/>
  <c r="AC133" i="29" s="1"/>
  <c r="BE10" i="29"/>
  <c r="BE83" i="29" s="1"/>
  <c r="BE81" i="29" s="1"/>
  <c r="BE87" i="29" s="1"/>
  <c r="CG10" i="29"/>
  <c r="CG76" i="29" s="1"/>
  <c r="O16" i="29"/>
  <c r="O20" i="29" s="1"/>
  <c r="AI16" i="29"/>
  <c r="AI20" i="29" s="1"/>
  <c r="BM16" i="29"/>
  <c r="BM20" i="29" s="1"/>
  <c r="BM24" i="29" s="1"/>
  <c r="CK16" i="29"/>
  <c r="CK20" i="29" s="1"/>
  <c r="CK24" i="29" s="1"/>
  <c r="CK23" i="29" s="1"/>
  <c r="P25" i="29"/>
  <c r="N26" i="29"/>
  <c r="CJ30" i="29"/>
  <c r="CJ29" i="29" s="1"/>
  <c r="CJ31" i="29"/>
  <c r="CP19" i="29"/>
  <c r="BW26" i="29"/>
  <c r="CG26" i="29"/>
  <c r="CK30" i="29"/>
  <c r="CK29" i="29" s="1"/>
  <c r="AV42" i="29"/>
  <c r="AV37" i="29"/>
  <c r="G60" i="29"/>
  <c r="BW83" i="29"/>
  <c r="BW81" i="29" s="1"/>
  <c r="BV84" i="29"/>
  <c r="M19" i="29"/>
  <c r="Y19" i="29"/>
  <c r="AM19" i="29"/>
  <c r="BG19" i="29"/>
  <c r="CB19" i="29"/>
  <c r="Y25" i="29"/>
  <c r="AU26" i="29"/>
  <c r="BD30" i="29"/>
  <c r="BD29" i="29" s="1"/>
  <c r="BE26" i="29"/>
  <c r="H30" i="29"/>
  <c r="H29" i="29" s="1"/>
  <c r="CA31" i="29"/>
  <c r="CA42" i="29"/>
  <c r="CF32" i="29"/>
  <c r="CG31" i="29"/>
  <c r="CG42" i="29"/>
  <c r="K41" i="29"/>
  <c r="CD64" i="29"/>
  <c r="CB70" i="29"/>
  <c r="CD76" i="29"/>
  <c r="CR76" i="29"/>
  <c r="M57" i="29"/>
  <c r="M61" i="29" s="1"/>
  <c r="M41" i="29" s="1"/>
  <c r="M60" i="29"/>
  <c r="M75" i="29"/>
  <c r="M70" i="29" s="1"/>
  <c r="CK83" i="29"/>
  <c r="CK81" i="29" s="1"/>
  <c r="BL25" i="29"/>
  <c r="K26" i="29"/>
  <c r="R32" i="29"/>
  <c r="AL32" i="29"/>
  <c r="BP31" i="29"/>
  <c r="BP30" i="29"/>
  <c r="BP29" i="29" s="1"/>
  <c r="CC36" i="29"/>
  <c r="CC35" i="29" s="1"/>
  <c r="K87" i="29"/>
  <c r="K69" i="29"/>
  <c r="K66" i="29" s="1"/>
  <c r="BM25" i="29"/>
  <c r="CK25" i="29"/>
  <c r="J30" i="29"/>
  <c r="J29" i="29" s="1"/>
  <c r="AB31" i="29"/>
  <c r="AZ32" i="29"/>
  <c r="CH31" i="29"/>
  <c r="CH42" i="29"/>
  <c r="BW42" i="29"/>
  <c r="I61" i="29"/>
  <c r="K116" i="29"/>
  <c r="M116" i="29"/>
  <c r="M69" i="29"/>
  <c r="M66" i="29" s="1"/>
  <c r="CK64" i="29"/>
  <c r="O76" i="29"/>
  <c r="AS87" i="29"/>
  <c r="AS76" i="29"/>
  <c r="BM87" i="29"/>
  <c r="BW74" i="29"/>
  <c r="BO74" i="29"/>
  <c r="AA76" i="29"/>
  <c r="BM76" i="29"/>
  <c r="G32" i="29"/>
  <c r="F42" i="29"/>
  <c r="L42" i="29"/>
  <c r="BF42" i="29"/>
  <c r="CO42" i="29"/>
  <c r="I75" i="29"/>
  <c r="I70" i="29" s="1"/>
  <c r="CF84" i="29"/>
  <c r="K75" i="29"/>
  <c r="K70" i="29" s="1"/>
  <c r="U129" i="29"/>
  <c r="U130" i="29"/>
  <c r="U127" i="29"/>
  <c r="U113" i="29"/>
  <c r="U128" i="29"/>
  <c r="U59" i="29"/>
  <c r="U72" i="29"/>
  <c r="U112" i="29"/>
  <c r="U126" i="29"/>
  <c r="U103" i="29"/>
  <c r="CK133" i="29"/>
  <c r="O130" i="29"/>
  <c r="O126" i="29"/>
  <c r="O127" i="29"/>
  <c r="O113" i="29"/>
  <c r="O129" i="29"/>
  <c r="O103" i="29"/>
  <c r="Q73" i="29"/>
  <c r="G83" i="29"/>
  <c r="I119" i="29"/>
  <c r="Y138" i="29"/>
  <c r="CR84" i="29"/>
  <c r="CR83" i="29" s="1"/>
  <c r="CR81" i="29" s="1"/>
  <c r="K119" i="29"/>
  <c r="O112" i="29"/>
  <c r="CR138" i="29"/>
  <c r="CR139" i="29" s="1"/>
  <c r="M119" i="29"/>
  <c r="AE132" i="29"/>
  <c r="AI135" i="29"/>
  <c r="M124" i="29"/>
  <c r="M123" i="29" s="1"/>
  <c r="M121" i="29" s="1"/>
  <c r="M122" i="29" s="1"/>
  <c r="M79" i="29" s="1"/>
  <c r="M78" i="29" s="1"/>
  <c r="S143" i="29"/>
  <c r="Q147" i="29"/>
  <c r="CD139" i="29"/>
  <c r="AM147" i="29"/>
  <c r="AS144" i="29"/>
  <c r="CR136" i="29"/>
  <c r="I147" i="29"/>
  <c r="K143" i="29"/>
  <c r="M135" i="29"/>
  <c r="CD136" i="29"/>
  <c r="AI138" i="29"/>
  <c r="U147" i="29"/>
  <c r="W143" i="29"/>
  <c r="AK144" i="29"/>
  <c r="AK147" i="29" s="1"/>
  <c r="AI147" i="29"/>
  <c r="S132" i="29"/>
  <c r="I136" i="29"/>
  <c r="I137" i="29" s="1"/>
  <c r="CK136" i="29"/>
  <c r="CK147" i="29"/>
  <c r="CR132" i="29"/>
  <c r="CR133" i="29" s="1"/>
  <c r="CY83" i="29" l="1"/>
  <c r="CY81" i="29" s="1"/>
  <c r="G82" i="29"/>
  <c r="BJ36" i="29"/>
  <c r="K136" i="29"/>
  <c r="K137" i="29" s="1"/>
  <c r="AA137" i="29"/>
  <c r="AA127" i="29"/>
  <c r="Y73" i="29"/>
  <c r="Y112" i="29" s="1"/>
  <c r="Q16" i="29"/>
  <c r="Q20" i="29" s="1"/>
  <c r="AA59" i="29"/>
  <c r="Q139" i="29"/>
  <c r="AC83" i="29"/>
  <c r="AC81" i="29" s="1"/>
  <c r="AC82" i="29" s="1"/>
  <c r="AA112" i="29"/>
  <c r="CN42" i="29"/>
  <c r="Q136" i="29"/>
  <c r="AA140" i="29"/>
  <c r="AA148" i="29" s="1"/>
  <c r="AA129" i="29"/>
  <c r="CM42" i="29"/>
  <c r="AA128" i="29"/>
  <c r="AA113" i="29"/>
  <c r="W113" i="29"/>
  <c r="AS26" i="29"/>
  <c r="CY139" i="29"/>
  <c r="CY140" i="29" s="1"/>
  <c r="DE8" i="29"/>
  <c r="W126" i="29"/>
  <c r="CY133" i="29"/>
  <c r="CY134" i="29" s="1"/>
  <c r="Q133" i="29"/>
  <c r="W76" i="29"/>
  <c r="W127" i="29"/>
  <c r="CN133" i="29"/>
  <c r="DD60" i="29"/>
  <c r="F41" i="29"/>
  <c r="DF115" i="29"/>
  <c r="DF116" i="29" s="1"/>
  <c r="CP76" i="29"/>
  <c r="DF118" i="29"/>
  <c r="DF119" i="29" s="1"/>
  <c r="BR32" i="29"/>
  <c r="AM73" i="29"/>
  <c r="AM72" i="29" s="1"/>
  <c r="AM67" i="29" s="1"/>
  <c r="AI103" i="29"/>
  <c r="CN31" i="29"/>
  <c r="BL32" i="29"/>
  <c r="BL30" i="29" s="1"/>
  <c r="BL29" i="29" s="1"/>
  <c r="CY16" i="29"/>
  <c r="CY20" i="29" s="1"/>
  <c r="CY24" i="29" s="1"/>
  <c r="CY23" i="29" s="1"/>
  <c r="G93" i="29"/>
  <c r="G96" i="29" s="1"/>
  <c r="CP83" i="29"/>
  <c r="CP81" i="29" s="1"/>
  <c r="CP87" i="29" s="1"/>
  <c r="CP90" i="29" s="1"/>
  <c r="AI113" i="29"/>
  <c r="AU76" i="29"/>
  <c r="AD36" i="29"/>
  <c r="AD35" i="29" s="1"/>
  <c r="AI130" i="29"/>
  <c r="AD31" i="29"/>
  <c r="AI112" i="29"/>
  <c r="BV32" i="29"/>
  <c r="BT30" i="29"/>
  <c r="Q76" i="29"/>
  <c r="CN24" i="29"/>
  <c r="CN23" i="29" s="1"/>
  <c r="BO16" i="29"/>
  <c r="BO20" i="29" s="1"/>
  <c r="BO24" i="29" s="1"/>
  <c r="BO23" i="29" s="1"/>
  <c r="Z24" i="29"/>
  <c r="Z23" i="29" s="1"/>
  <c r="BM31" i="29"/>
  <c r="DI25" i="29"/>
  <c r="DH26" i="29"/>
  <c r="DH25" i="29" s="1"/>
  <c r="DI30" i="29"/>
  <c r="DI29" i="29" s="1"/>
  <c r="CI89" i="28"/>
  <c r="CI90" i="28"/>
  <c r="CI88" i="28"/>
  <c r="CM118" i="28"/>
  <c r="CM119" i="28" s="1"/>
  <c r="CM115" i="28"/>
  <c r="CM116" i="28" s="1"/>
  <c r="CL8" i="28"/>
  <c r="CM63" i="28"/>
  <c r="CM89" i="28"/>
  <c r="CM90" i="28"/>
  <c r="CM88" i="28"/>
  <c r="CH48" i="28"/>
  <c r="CI48" i="28"/>
  <c r="CI56" i="28"/>
  <c r="CK91" i="28"/>
  <c r="CK93" i="28"/>
  <c r="CK75" i="28"/>
  <c r="CK57" i="28"/>
  <c r="CK61" i="28" s="1"/>
  <c r="CK60" i="28"/>
  <c r="U148" i="29"/>
  <c r="AC73" i="29"/>
  <c r="AC130" i="29" s="1"/>
  <c r="AA126" i="29"/>
  <c r="K76" i="29"/>
  <c r="AU16" i="29"/>
  <c r="AU20" i="29" s="1"/>
  <c r="AU24" i="29" s="1"/>
  <c r="AA134" i="29"/>
  <c r="X30" i="29"/>
  <c r="X29" i="29" s="1"/>
  <c r="X36" i="29"/>
  <c r="X35" i="29" s="1"/>
  <c r="CV8" i="29"/>
  <c r="K84" i="29"/>
  <c r="BE76" i="29"/>
  <c r="W16" i="29"/>
  <c r="W20" i="29" s="1"/>
  <c r="W24" i="29" s="1"/>
  <c r="W23" i="29" s="1"/>
  <c r="Y76" i="29"/>
  <c r="BT36" i="29"/>
  <c r="K16" i="29"/>
  <c r="K20" i="29" s="1"/>
  <c r="K24" i="29" s="1"/>
  <c r="K23" i="29" s="1"/>
  <c r="CV30" i="29"/>
  <c r="CV29" i="29" s="1"/>
  <c r="DK57" i="29"/>
  <c r="DK61" i="29" s="1"/>
  <c r="DK60" i="29"/>
  <c r="DK75" i="29"/>
  <c r="DM63" i="29"/>
  <c r="DL8" i="29"/>
  <c r="DM118" i="29"/>
  <c r="DM119" i="29" s="1"/>
  <c r="DM115" i="29"/>
  <c r="DM116" i="29" s="1"/>
  <c r="DM90" i="29"/>
  <c r="DM88" i="29"/>
  <c r="DM89" i="29"/>
  <c r="DK93" i="29"/>
  <c r="DK91" i="29"/>
  <c r="DI78" i="29"/>
  <c r="DI82" i="29"/>
  <c r="DI61" i="29"/>
  <c r="DI87" i="29"/>
  <c r="DI115" i="29"/>
  <c r="DI116" i="29" s="1"/>
  <c r="DI118" i="29"/>
  <c r="DI119" i="29" s="1"/>
  <c r="DD90" i="29"/>
  <c r="DD88" i="29"/>
  <c r="DD89" i="29"/>
  <c r="DF75" i="29"/>
  <c r="DF60" i="29"/>
  <c r="DF57" i="29"/>
  <c r="DF61" i="29" s="1"/>
  <c r="DD61" i="29"/>
  <c r="DB78" i="29"/>
  <c r="DB82" i="29"/>
  <c r="DB61" i="29"/>
  <c r="DB87" i="29"/>
  <c r="DB115" i="29"/>
  <c r="DB116" i="29" s="1"/>
  <c r="DB118" i="29"/>
  <c r="DB119" i="29" s="1"/>
  <c r="DF91" i="29"/>
  <c r="DF93" i="29"/>
  <c r="CU24" i="29"/>
  <c r="CU23" i="29" s="1"/>
  <c r="CW133" i="29"/>
  <c r="CW134" i="29" s="1"/>
  <c r="CW16" i="29"/>
  <c r="CW20" i="29" s="1"/>
  <c r="CW24" i="29" s="1"/>
  <c r="CW23" i="29" s="1"/>
  <c r="CW136" i="29"/>
  <c r="CW137" i="29" s="1"/>
  <c r="CW76" i="29"/>
  <c r="CW139" i="29"/>
  <c r="CW140" i="29" s="1"/>
  <c r="CW148" i="29" s="1"/>
  <c r="CW83" i="29"/>
  <c r="CW81" i="29" s="1"/>
  <c r="CW78" i="29" s="1"/>
  <c r="CY76" i="29"/>
  <c r="CY87" i="29"/>
  <c r="CU57" i="29"/>
  <c r="CU60" i="29"/>
  <c r="CU75" i="29"/>
  <c r="CW75" i="29"/>
  <c r="CW57" i="29"/>
  <c r="CY66" i="29"/>
  <c r="CY148" i="29"/>
  <c r="CT42" i="29"/>
  <c r="CT41" i="29" s="1"/>
  <c r="CT44" i="29" s="1"/>
  <c r="CT43" i="29" s="1"/>
  <c r="CT31" i="29"/>
  <c r="CY78" i="29"/>
  <c r="CY82" i="29"/>
  <c r="CY80" i="29"/>
  <c r="CU76" i="29"/>
  <c r="CU133" i="29"/>
  <c r="CU134" i="29" s="1"/>
  <c r="CU83" i="29"/>
  <c r="CU81" i="29" s="1"/>
  <c r="CU139" i="29"/>
  <c r="CU140" i="29" s="1"/>
  <c r="CU148" i="29" s="1"/>
  <c r="CU136" i="29"/>
  <c r="CU137" i="29" s="1"/>
  <c r="CX9" i="29"/>
  <c r="CY70" i="29"/>
  <c r="CY67" i="29" s="1"/>
  <c r="CU25" i="29"/>
  <c r="CU30" i="29"/>
  <c r="CU29" i="29" s="1"/>
  <c r="CT26" i="29"/>
  <c r="CT24" i="29" s="1"/>
  <c r="CT23" i="29" s="1"/>
  <c r="CB16" i="29"/>
  <c r="CB20" i="29" s="1"/>
  <c r="CB24" i="29" s="1"/>
  <c r="CB23" i="29" s="1"/>
  <c r="CB76" i="29"/>
  <c r="BG76" i="29"/>
  <c r="K55" i="29"/>
  <c r="BR81" i="29"/>
  <c r="DK80" i="29" s="1"/>
  <c r="BG16" i="29"/>
  <c r="BG20" i="29" s="1"/>
  <c r="BG24" i="29" s="1"/>
  <c r="BG23" i="29" s="1"/>
  <c r="AR24" i="29"/>
  <c r="AR23" i="29" s="1"/>
  <c r="AZ30" i="29"/>
  <c r="CJ37" i="29"/>
  <c r="CJ42" i="29"/>
  <c r="AS73" i="29"/>
  <c r="AI69" i="29"/>
  <c r="AE139" i="29"/>
  <c r="CB139" i="29"/>
  <c r="AI72" i="29"/>
  <c r="AI67" i="29" s="1"/>
  <c r="AI128" i="29"/>
  <c r="O87" i="29"/>
  <c r="O90" i="29" s="1"/>
  <c r="BC24" i="29"/>
  <c r="BC23" i="29" s="1"/>
  <c r="Y16" i="29"/>
  <c r="Y20" i="29" s="1"/>
  <c r="Y24" i="29" s="1"/>
  <c r="Y23" i="29" s="1"/>
  <c r="AR30" i="29"/>
  <c r="AR29" i="29" s="1"/>
  <c r="I42" i="29"/>
  <c r="I41" i="29" s="1"/>
  <c r="I31" i="29"/>
  <c r="O67" i="29"/>
  <c r="CN136" i="29"/>
  <c r="U124" i="29"/>
  <c r="U123" i="29" s="1"/>
  <c r="U121" i="29" s="1"/>
  <c r="U122" i="29" s="1"/>
  <c r="U79" i="29" s="1"/>
  <c r="AI127" i="29"/>
  <c r="AI59" i="29"/>
  <c r="AI129" i="29"/>
  <c r="AE16" i="29"/>
  <c r="AE20" i="29" s="1"/>
  <c r="AE24" i="29" s="1"/>
  <c r="AE23" i="29" s="1"/>
  <c r="BB42" i="29"/>
  <c r="G91" i="29"/>
  <c r="O148" i="29"/>
  <c r="AA130" i="29"/>
  <c r="AA72" i="29"/>
  <c r="G88" i="29"/>
  <c r="BB31" i="29"/>
  <c r="CN25" i="29"/>
  <c r="CN30" i="29"/>
  <c r="CN29" i="29" s="1"/>
  <c r="CM26" i="29"/>
  <c r="W139" i="29"/>
  <c r="W140" i="29" s="1"/>
  <c r="I30" i="29"/>
  <c r="I29" i="29" s="1"/>
  <c r="Y139" i="29"/>
  <c r="Y140" i="29" s="1"/>
  <c r="G89" i="29"/>
  <c r="W128" i="29"/>
  <c r="T24" i="29"/>
  <c r="T23" i="29" s="1"/>
  <c r="AX81" i="29"/>
  <c r="W133" i="29"/>
  <c r="W134" i="29" s="1"/>
  <c r="AE133" i="29"/>
  <c r="Y133" i="29"/>
  <c r="Y134" i="29" s="1"/>
  <c r="CN76" i="29"/>
  <c r="Y83" i="29"/>
  <c r="Y81" i="29" s="1"/>
  <c r="Y82" i="29" s="1"/>
  <c r="I24" i="29"/>
  <c r="I23" i="29" s="1"/>
  <c r="CQ42" i="29"/>
  <c r="CQ37" i="29"/>
  <c r="U26" i="29"/>
  <c r="U24" i="29" s="1"/>
  <c r="U23" i="29" s="1"/>
  <c r="T25" i="29"/>
  <c r="W59" i="29"/>
  <c r="W72" i="29"/>
  <c r="Q134" i="29"/>
  <c r="BQ83" i="29"/>
  <c r="BQ81" i="29" s="1"/>
  <c r="BQ82" i="29" s="1"/>
  <c r="Q137" i="29"/>
  <c r="W136" i="29"/>
  <c r="W137" i="29" s="1"/>
  <c r="G84" i="29"/>
  <c r="L41" i="29"/>
  <c r="W112" i="29"/>
  <c r="W130" i="29"/>
  <c r="BP42" i="29"/>
  <c r="BP37" i="29"/>
  <c r="AA26" i="29"/>
  <c r="Z30" i="29"/>
  <c r="Z29" i="29" s="1"/>
  <c r="AM88" i="29"/>
  <c r="AM90" i="29"/>
  <c r="AM89" i="29"/>
  <c r="BQ74" i="29"/>
  <c r="BO76" i="29"/>
  <c r="BO87" i="29"/>
  <c r="M76" i="29"/>
  <c r="BE88" i="29"/>
  <c r="BE90" i="29"/>
  <c r="BE89" i="29"/>
  <c r="AS25" i="29"/>
  <c r="AS30" i="29"/>
  <c r="BO82" i="29"/>
  <c r="BS81" i="29"/>
  <c r="BO80" i="29"/>
  <c r="H41" i="29"/>
  <c r="BZ31" i="29"/>
  <c r="BZ42" i="29"/>
  <c r="BZ30" i="29"/>
  <c r="BZ29" i="29" s="1"/>
  <c r="BY32" i="29"/>
  <c r="BZ82" i="29"/>
  <c r="BZ80" i="29"/>
  <c r="CP80" i="29"/>
  <c r="CP82" i="29"/>
  <c r="BZ76" i="29"/>
  <c r="AC103" i="29"/>
  <c r="AC59" i="29"/>
  <c r="G42" i="29"/>
  <c r="G41" i="29" s="1"/>
  <c r="G31" i="29"/>
  <c r="I56" i="29"/>
  <c r="AL31" i="29"/>
  <c r="AL30" i="29"/>
  <c r="AL29" i="29" s="1"/>
  <c r="AL36" i="29"/>
  <c r="AL35" i="29" s="1"/>
  <c r="CK82" i="29"/>
  <c r="CK87" i="29"/>
  <c r="CK80" i="29"/>
  <c r="U89" i="29"/>
  <c r="U88" i="29"/>
  <c r="U90" i="29"/>
  <c r="BE30" i="29"/>
  <c r="BI26" i="29"/>
  <c r="BE25" i="29"/>
  <c r="F56" i="29"/>
  <c r="F55" i="29" s="1"/>
  <c r="G55" i="29"/>
  <c r="G45" i="29"/>
  <c r="F45" i="29"/>
  <c r="BZ16" i="29"/>
  <c r="BZ20" i="29" s="1"/>
  <c r="BZ24" i="29" s="1"/>
  <c r="BZ23" i="29" s="1"/>
  <c r="BE82" i="29"/>
  <c r="BI81" i="29"/>
  <c r="BE80" i="29"/>
  <c r="BQ23" i="29"/>
  <c r="G30" i="29"/>
  <c r="G29" i="29" s="1"/>
  <c r="G25" i="29"/>
  <c r="AK82" i="29"/>
  <c r="AO81" i="29"/>
  <c r="AK80" i="29"/>
  <c r="CI136" i="29"/>
  <c r="CI133" i="29"/>
  <c r="CI76" i="29"/>
  <c r="U78" i="29"/>
  <c r="U82" i="29"/>
  <c r="AI30" i="29"/>
  <c r="AI29" i="29" s="1"/>
  <c r="AI25" i="29"/>
  <c r="N24" i="29"/>
  <c r="N23" i="29" s="1"/>
  <c r="W82" i="29"/>
  <c r="BC80" i="29"/>
  <c r="BC87" i="29"/>
  <c r="BC82" i="29"/>
  <c r="BH81" i="29"/>
  <c r="CP88" i="29"/>
  <c r="S83" i="29"/>
  <c r="S81" i="29" s="1"/>
  <c r="AM80" i="29" s="1"/>
  <c r="S76" i="29"/>
  <c r="Q30" i="29"/>
  <c r="BS26" i="29"/>
  <c r="DL27" i="29" s="1"/>
  <c r="Q25" i="29"/>
  <c r="M136" i="29"/>
  <c r="M137" i="29" s="1"/>
  <c r="CD88" i="29"/>
  <c r="CD90" i="29"/>
  <c r="CD89" i="29"/>
  <c r="BW80" i="29"/>
  <c r="BW82" i="29"/>
  <c r="AU80" i="29"/>
  <c r="AU82" i="29"/>
  <c r="AY81" i="29"/>
  <c r="AW144" i="29"/>
  <c r="AS147" i="29"/>
  <c r="AU144" i="29"/>
  <c r="AU147" i="29" s="1"/>
  <c r="AI136" i="29"/>
  <c r="AI137" i="29" s="1"/>
  <c r="AK135" i="29"/>
  <c r="BW87" i="29"/>
  <c r="BW76" i="29"/>
  <c r="W147" i="29"/>
  <c r="Y143" i="29"/>
  <c r="W103" i="29"/>
  <c r="K147" i="29"/>
  <c r="K148" i="29" s="1"/>
  <c r="M143" i="29"/>
  <c r="K103" i="29"/>
  <c r="CR80" i="29"/>
  <c r="CR82" i="29"/>
  <c r="AU87" i="29"/>
  <c r="O124" i="29"/>
  <c r="O123" i="29" s="1"/>
  <c r="O121" i="29" s="1"/>
  <c r="O122" i="29" s="1"/>
  <c r="O79" i="29" s="1"/>
  <c r="O78" i="29" s="1"/>
  <c r="BZ87" i="29"/>
  <c r="CI82" i="29"/>
  <c r="CI87" i="29"/>
  <c r="CI80" i="29"/>
  <c r="BM88" i="29"/>
  <c r="BM89" i="29"/>
  <c r="BM90" i="29"/>
  <c r="Y128" i="29"/>
  <c r="Y130" i="29"/>
  <c r="Y129" i="29"/>
  <c r="Y127" i="29"/>
  <c r="Y113" i="29"/>
  <c r="Y126" i="29"/>
  <c r="Y59" i="29"/>
  <c r="Y72" i="29"/>
  <c r="AM76" i="29"/>
  <c r="AK76" i="29"/>
  <c r="K88" i="29"/>
  <c r="K90" i="29"/>
  <c r="K89" i="29"/>
  <c r="R31" i="29"/>
  <c r="R30" i="29"/>
  <c r="R29" i="29" s="1"/>
  <c r="R36" i="29"/>
  <c r="R35" i="29" s="1"/>
  <c r="AE82" i="29"/>
  <c r="AE87" i="29"/>
  <c r="CF26" i="29"/>
  <c r="CG30" i="29"/>
  <c r="CG29" i="29" s="1"/>
  <c r="CG25" i="29"/>
  <c r="BE16" i="29"/>
  <c r="BE20" i="29" s="1"/>
  <c r="BE24" i="29" s="1"/>
  <c r="AC139" i="29"/>
  <c r="AC136" i="29"/>
  <c r="AC76" i="29"/>
  <c r="AC16" i="29"/>
  <c r="AC20" i="29" s="1"/>
  <c r="AC24" i="29" s="1"/>
  <c r="AC23" i="29" s="1"/>
  <c r="K44" i="29"/>
  <c r="K43" i="29" s="1"/>
  <c r="AS24" i="29"/>
  <c r="Q24" i="29"/>
  <c r="Q23" i="29" s="1"/>
  <c r="BC30" i="29"/>
  <c r="BC25" i="29"/>
  <c r="AW83" i="29"/>
  <c r="AW81" i="29" s="1"/>
  <c r="AW76" i="29"/>
  <c r="CD82" i="29"/>
  <c r="CD80" i="29"/>
  <c r="AA82" i="29"/>
  <c r="AM16" i="29"/>
  <c r="AM20" i="29" s="1"/>
  <c r="AM24" i="29" s="1"/>
  <c r="AM23" i="29" s="1"/>
  <c r="Y137" i="29"/>
  <c r="AA88" i="29"/>
  <c r="AA90" i="29"/>
  <c r="AA89" i="29"/>
  <c r="W88" i="29"/>
  <c r="W90" i="29"/>
  <c r="W89" i="29"/>
  <c r="BM23" i="29"/>
  <c r="AK16" i="29"/>
  <c r="AK20" i="29" s="1"/>
  <c r="AK24" i="29" s="1"/>
  <c r="AK23" i="29" s="1"/>
  <c r="G24" i="29"/>
  <c r="G23" i="29" s="1"/>
  <c r="M93" i="29"/>
  <c r="M91" i="29"/>
  <c r="Q82" i="29"/>
  <c r="AE136" i="29"/>
  <c r="AE76" i="29"/>
  <c r="M36" i="29"/>
  <c r="M35" i="29" s="1"/>
  <c r="M31" i="29"/>
  <c r="CI16" i="29"/>
  <c r="CI20" i="29" s="1"/>
  <c r="CI24" i="29" s="1"/>
  <c r="CI23" i="29" s="1"/>
  <c r="BG88" i="29"/>
  <c r="BG90" i="29"/>
  <c r="BG89" i="29"/>
  <c r="BV42" i="29"/>
  <c r="BV31" i="29"/>
  <c r="M84" i="29"/>
  <c r="M82" i="29"/>
  <c r="S16" i="29"/>
  <c r="S20" i="29" s="1"/>
  <c r="S24" i="29" s="1"/>
  <c r="S23" i="29" s="1"/>
  <c r="O26" i="29"/>
  <c r="BH26" i="29" s="1"/>
  <c r="N25" i="29"/>
  <c r="N30" i="29"/>
  <c r="N29" i="29" s="1"/>
  <c r="CG83" i="29"/>
  <c r="CG81" i="29" s="1"/>
  <c r="CG16" i="29"/>
  <c r="CG20" i="29" s="1"/>
  <c r="CG24" i="29" s="1"/>
  <c r="CG23" i="29" s="1"/>
  <c r="I88" i="29"/>
  <c r="I90" i="29"/>
  <c r="I89" i="29"/>
  <c r="AM82" i="29"/>
  <c r="S147" i="29"/>
  <c r="AI139" i="29"/>
  <c r="AI140" i="29" s="1"/>
  <c r="AI148" i="29" s="1"/>
  <c r="AK138" i="29"/>
  <c r="I148" i="29"/>
  <c r="AC112" i="29"/>
  <c r="Q128" i="29"/>
  <c r="Q130" i="29"/>
  <c r="Q126" i="29"/>
  <c r="Q129" i="29"/>
  <c r="Q127" i="29"/>
  <c r="Q103" i="29"/>
  <c r="Q113" i="29"/>
  <c r="Q72" i="29"/>
  <c r="AK73" i="29"/>
  <c r="Q59" i="29"/>
  <c r="S73" i="29"/>
  <c r="S137" i="29" s="1"/>
  <c r="Q90" i="29"/>
  <c r="Q89" i="29"/>
  <c r="Q88" i="29"/>
  <c r="AC87" i="29"/>
  <c r="AK88" i="29"/>
  <c r="AK90" i="29"/>
  <c r="AK89" i="29"/>
  <c r="CD70" i="29"/>
  <c r="CC9" i="29"/>
  <c r="AU30" i="29"/>
  <c r="AY26" i="29"/>
  <c r="AU25" i="29"/>
  <c r="BW30" i="29"/>
  <c r="BW29" i="29" s="1"/>
  <c r="BV26" i="29"/>
  <c r="BW25" i="29"/>
  <c r="S133" i="29"/>
  <c r="AI132" i="29"/>
  <c r="S139" i="29"/>
  <c r="CI139" i="29"/>
  <c r="Q112" i="29"/>
  <c r="U66" i="29"/>
  <c r="U67" i="29"/>
  <c r="AM128" i="29"/>
  <c r="AM113" i="29"/>
  <c r="AM126" i="29"/>
  <c r="AM127" i="29"/>
  <c r="AM103" i="29"/>
  <c r="AS88" i="29"/>
  <c r="AS89" i="29"/>
  <c r="AS90" i="29"/>
  <c r="CK70" i="29"/>
  <c r="CJ9" i="29"/>
  <c r="K30" i="29"/>
  <c r="K29" i="29" s="1"/>
  <c r="K25" i="29"/>
  <c r="M56" i="29"/>
  <c r="CR87" i="29"/>
  <c r="CF31" i="29"/>
  <c r="CF42" i="29"/>
  <c r="AI24" i="29"/>
  <c r="AI23" i="29" s="1"/>
  <c r="G136" i="29"/>
  <c r="G137" i="29" s="1"/>
  <c r="G148" i="29" s="1"/>
  <c r="G76" i="29"/>
  <c r="O82" i="29"/>
  <c r="M88" i="29"/>
  <c r="CN139" i="29"/>
  <c r="CN83" i="29"/>
  <c r="CN81" i="29" s="1"/>
  <c r="Q140" i="29"/>
  <c r="Q148" i="29" s="1"/>
  <c r="AI82" i="29"/>
  <c r="AN81" i="29"/>
  <c r="AI87" i="29"/>
  <c r="AI80" i="29"/>
  <c r="AW16" i="29"/>
  <c r="AW20" i="29" s="1"/>
  <c r="AW24" i="29" s="1"/>
  <c r="AS80" i="29"/>
  <c r="BG82" i="29"/>
  <c r="CB136" i="29"/>
  <c r="CB83" i="29"/>
  <c r="CB81" i="29" s="1"/>
  <c r="BW24" i="29"/>
  <c r="BW23" i="29" s="1"/>
  <c r="AC128" i="29" l="1"/>
  <c r="AM130" i="29"/>
  <c r="BL31" i="29"/>
  <c r="AC134" i="29"/>
  <c r="AC129" i="29"/>
  <c r="AA124" i="29"/>
  <c r="AA123" i="29" s="1"/>
  <c r="AA121" i="29" s="1"/>
  <c r="AA122" i="29" s="1"/>
  <c r="AA79" i="29" s="1"/>
  <c r="AA78" i="29" s="1"/>
  <c r="AI66" i="29"/>
  <c r="AC127" i="29"/>
  <c r="AM129" i="29"/>
  <c r="S134" i="29"/>
  <c r="BL42" i="29"/>
  <c r="AC137" i="29"/>
  <c r="AC140" i="29"/>
  <c r="AC148" i="29" s="1"/>
  <c r="W124" i="29"/>
  <c r="W123" i="29" s="1"/>
  <c r="W121" i="29" s="1"/>
  <c r="W122" i="29" s="1"/>
  <c r="W79" i="29" s="1"/>
  <c r="W78" i="29" s="1"/>
  <c r="AC126" i="29"/>
  <c r="AM59" i="29"/>
  <c r="G94" i="29"/>
  <c r="AX26" i="29"/>
  <c r="F44" i="29"/>
  <c r="F43" i="29" s="1"/>
  <c r="W148" i="29"/>
  <c r="G44" i="29"/>
  <c r="G43" i="29" s="1"/>
  <c r="O24" i="29"/>
  <c r="O23" i="29" s="1"/>
  <c r="AC72" i="29"/>
  <c r="AM69" i="29"/>
  <c r="AM112" i="29"/>
  <c r="AE73" i="29"/>
  <c r="AE140" i="29" s="1"/>
  <c r="AE148" i="29" s="1"/>
  <c r="CP89" i="29"/>
  <c r="AC113" i="29"/>
  <c r="CO48" i="28"/>
  <c r="DH30" i="29"/>
  <c r="DH29" i="29" s="1"/>
  <c r="DH24" i="29"/>
  <c r="DH23" i="29" s="1"/>
  <c r="CK41" i="28"/>
  <c r="CJ41" i="28"/>
  <c r="CK56" i="28"/>
  <c r="CK94" i="28"/>
  <c r="CK96" i="28"/>
  <c r="CM93" i="28"/>
  <c r="CM91" i="28"/>
  <c r="CI91" i="28"/>
  <c r="CI93" i="28"/>
  <c r="CH56" i="28"/>
  <c r="CH55" i="28" s="1"/>
  <c r="CI55" i="28"/>
  <c r="CI52" i="28"/>
  <c r="CI51" i="28" s="1"/>
  <c r="CI50" i="28" s="1"/>
  <c r="CH52" i="28"/>
  <c r="CH51" i="28" s="1"/>
  <c r="CH50" i="28" s="1"/>
  <c r="CM75" i="28"/>
  <c r="CM57" i="28"/>
  <c r="CM60" i="28"/>
  <c r="CM61" i="28"/>
  <c r="BH24" i="29"/>
  <c r="O89" i="29"/>
  <c r="AI124" i="29"/>
  <c r="AI123" i="29" s="1"/>
  <c r="AI121" i="29" s="1"/>
  <c r="AI122" i="29" s="1"/>
  <c r="AI79" i="29" s="1"/>
  <c r="AI78" i="29" s="1"/>
  <c r="BT24" i="29"/>
  <c r="DI48" i="29"/>
  <c r="DI56" i="29"/>
  <c r="DH48" i="29"/>
  <c r="DK41" i="29"/>
  <c r="DJ41" i="29"/>
  <c r="DM57" i="29"/>
  <c r="DM61" i="29" s="1"/>
  <c r="DM75" i="29"/>
  <c r="DM60" i="29"/>
  <c r="DM93" i="29"/>
  <c r="DM91" i="29"/>
  <c r="DK94" i="29"/>
  <c r="DK96" i="29"/>
  <c r="DI89" i="29"/>
  <c r="DI90" i="29"/>
  <c r="DI88" i="29"/>
  <c r="DK56" i="29"/>
  <c r="DE41" i="29"/>
  <c r="DF41" i="29"/>
  <c r="DC41" i="29"/>
  <c r="DD41" i="29"/>
  <c r="DD56" i="29"/>
  <c r="DA48" i="29"/>
  <c r="DB48" i="29"/>
  <c r="DB56" i="29"/>
  <c r="DF96" i="29"/>
  <c r="DF94" i="29"/>
  <c r="DB90" i="29"/>
  <c r="DB88" i="29"/>
  <c r="DB89" i="29"/>
  <c r="DF56" i="29"/>
  <c r="DD93" i="29"/>
  <c r="DD91" i="29"/>
  <c r="CW82" i="29"/>
  <c r="CW115" i="29"/>
  <c r="CW116" i="29" s="1"/>
  <c r="CW80" i="29"/>
  <c r="CW118" i="29"/>
  <c r="CW119" i="29" s="1"/>
  <c r="CW87" i="29"/>
  <c r="CY118" i="29"/>
  <c r="CY119" i="29" s="1"/>
  <c r="CY115" i="29"/>
  <c r="CY116" i="29" s="1"/>
  <c r="CX8" i="29"/>
  <c r="CY63" i="29"/>
  <c r="CT25" i="29"/>
  <c r="CT30" i="29"/>
  <c r="CT29" i="29" s="1"/>
  <c r="CU87" i="29"/>
  <c r="CU61" i="29"/>
  <c r="CU82" i="29"/>
  <c r="CU78" i="29"/>
  <c r="CU118" i="29"/>
  <c r="CU119" i="29" s="1"/>
  <c r="CU115" i="29"/>
  <c r="CU116" i="29" s="1"/>
  <c r="CW61" i="29"/>
  <c r="CW56" i="29" s="1"/>
  <c r="CY90" i="29"/>
  <c r="CY88" i="29"/>
  <c r="CY89" i="29"/>
  <c r="N8" i="29"/>
  <c r="O63" i="29"/>
  <c r="O115" i="29"/>
  <c r="O116" i="29" s="1"/>
  <c r="O88" i="29"/>
  <c r="Y87" i="29"/>
  <c r="Y88" i="29" s="1"/>
  <c r="AE134" i="29"/>
  <c r="AS127" i="29"/>
  <c r="AW73" i="29"/>
  <c r="AS59" i="29"/>
  <c r="AS112" i="29"/>
  <c r="BC73" i="29"/>
  <c r="AS126" i="29"/>
  <c r="AS130" i="29"/>
  <c r="AS113" i="29"/>
  <c r="AS72" i="29"/>
  <c r="AS67" i="29" s="1"/>
  <c r="AS129" i="29"/>
  <c r="AS103" i="29"/>
  <c r="AS69" i="29"/>
  <c r="AS66" i="29" s="1"/>
  <c r="AS128" i="29"/>
  <c r="O118" i="29"/>
  <c r="O119" i="29" s="1"/>
  <c r="CM25" i="29"/>
  <c r="CM24" i="29"/>
  <c r="CM23" i="29" s="1"/>
  <c r="CM30" i="29"/>
  <c r="CM29" i="29" s="1"/>
  <c r="AA25" i="29"/>
  <c r="AA30" i="29"/>
  <c r="AA29" i="29" s="1"/>
  <c r="U30" i="29"/>
  <c r="U29" i="29" s="1"/>
  <c r="U25" i="29"/>
  <c r="BJ24" i="29"/>
  <c r="AA66" i="29"/>
  <c r="AA67" i="29"/>
  <c r="AA24" i="29"/>
  <c r="AA23" i="29" s="1"/>
  <c r="W66" i="29"/>
  <c r="W67" i="29"/>
  <c r="BZ88" i="29"/>
  <c r="BZ90" i="29"/>
  <c r="BZ89" i="29"/>
  <c r="Y147" i="29"/>
  <c r="Y148" i="29" s="1"/>
  <c r="Y103" i="29"/>
  <c r="H56" i="29"/>
  <c r="H55" i="29" s="1"/>
  <c r="I45" i="29"/>
  <c r="I44" i="29" s="1"/>
  <c r="I43" i="29" s="1"/>
  <c r="H45" i="29"/>
  <c r="H44" i="29" s="1"/>
  <c r="H43" i="29" s="1"/>
  <c r="I55" i="29"/>
  <c r="AS29" i="29"/>
  <c r="M96" i="29"/>
  <c r="M94" i="29"/>
  <c r="BE29" i="29"/>
  <c r="BI30" i="29"/>
  <c r="Q91" i="29"/>
  <c r="Y66" i="29"/>
  <c r="Y67" i="29"/>
  <c r="BY31" i="29"/>
  <c r="BY42" i="29"/>
  <c r="BY30" i="29"/>
  <c r="BY29" i="29" s="1"/>
  <c r="AM118" i="29"/>
  <c r="AM119" i="29" s="1"/>
  <c r="AM115" i="29"/>
  <c r="AM116" i="29" s="1"/>
  <c r="AM63" i="29"/>
  <c r="AL8" i="29"/>
  <c r="AK139" i="29"/>
  <c r="AK140" i="29" s="1"/>
  <c r="AK148" i="29" s="1"/>
  <c r="AM138" i="29"/>
  <c r="BG91" i="29"/>
  <c r="S82" i="29"/>
  <c r="S87" i="29"/>
  <c r="CG82" i="29"/>
  <c r="CG80" i="29"/>
  <c r="CG87" i="29"/>
  <c r="BV30" i="29"/>
  <c r="BV29" i="29" s="1"/>
  <c r="BV25" i="29"/>
  <c r="BC29" i="29"/>
  <c r="AE90" i="29"/>
  <c r="AE89" i="29"/>
  <c r="AE88" i="29"/>
  <c r="AU89" i="29"/>
  <c r="AU88" i="29"/>
  <c r="AU90" i="29"/>
  <c r="U93" i="29"/>
  <c r="U91" i="29"/>
  <c r="AC67" i="29"/>
  <c r="AC66" i="29"/>
  <c r="BO89" i="29"/>
  <c r="BO90" i="29"/>
  <c r="BO88" i="29"/>
  <c r="BG80" i="29"/>
  <c r="AY24" i="29"/>
  <c r="AU23" i="29"/>
  <c r="AM124" i="29"/>
  <c r="AM123" i="29" s="1"/>
  <c r="AM121" i="29" s="1"/>
  <c r="AM122" i="29" s="1"/>
  <c r="AM79" i="29" s="1"/>
  <c r="AM78" i="29" s="1"/>
  <c r="BQ80" i="29"/>
  <c r="S128" i="29"/>
  <c r="S129" i="29"/>
  <c r="S127" i="29"/>
  <c r="S130" i="29"/>
  <c r="S113" i="29"/>
  <c r="S126" i="29"/>
  <c r="S72" i="29"/>
  <c r="S59" i="29"/>
  <c r="S112" i="29"/>
  <c r="S103" i="29"/>
  <c r="AP81" i="29"/>
  <c r="K91" i="29"/>
  <c r="K93" i="29"/>
  <c r="CI90" i="29"/>
  <c r="CI89" i="29"/>
  <c r="CI88" i="29"/>
  <c r="M147" i="29"/>
  <c r="M148" i="29" s="1"/>
  <c r="M103" i="29"/>
  <c r="BC144" i="29"/>
  <c r="AW147" i="29"/>
  <c r="BC88" i="29"/>
  <c r="BC89" i="29"/>
  <c r="BC90" i="29"/>
  <c r="AZ24" i="29"/>
  <c r="AW23" i="29"/>
  <c r="AU29" i="29"/>
  <c r="AY30" i="29"/>
  <c r="G97" i="29"/>
  <c r="G100" i="29"/>
  <c r="CK89" i="29"/>
  <c r="CK88" i="29"/>
  <c r="CK90" i="29"/>
  <c r="S140" i="29"/>
  <c r="S148" i="29" s="1"/>
  <c r="AO90" i="29"/>
  <c r="AK91" i="29"/>
  <c r="AC90" i="29"/>
  <c r="AC89" i="29"/>
  <c r="AC88" i="29"/>
  <c r="O25" i="29"/>
  <c r="O30" i="29"/>
  <c r="AX30" i="29" s="1"/>
  <c r="BR26" i="29"/>
  <c r="AW82" i="29"/>
  <c r="AZ81" i="29"/>
  <c r="AW80" i="29"/>
  <c r="AW87" i="29"/>
  <c r="AX24" i="29"/>
  <c r="AS23" i="29"/>
  <c r="Y124" i="29"/>
  <c r="Y123" i="29" s="1"/>
  <c r="Y121" i="29" s="1"/>
  <c r="Y122" i="29" s="1"/>
  <c r="Y79" i="29" s="1"/>
  <c r="Y78" i="29" s="1"/>
  <c r="BR90" i="29"/>
  <c r="BM91" i="29"/>
  <c r="BW88" i="29"/>
  <c r="BW90" i="29"/>
  <c r="BW89" i="29"/>
  <c r="Q29" i="29"/>
  <c r="BS30" i="29"/>
  <c r="CP91" i="29"/>
  <c r="AE128" i="29"/>
  <c r="AE129" i="29"/>
  <c r="AE127" i="29"/>
  <c r="AE130" i="29"/>
  <c r="AE113" i="29"/>
  <c r="AE72" i="29"/>
  <c r="AE126" i="29"/>
  <c r="AE59" i="29"/>
  <c r="AE103" i="29"/>
  <c r="AE112" i="29"/>
  <c r="AC124" i="29"/>
  <c r="AC123" i="29" s="1"/>
  <c r="AC121" i="29" s="1"/>
  <c r="AC122" i="29" s="1"/>
  <c r="AC79" i="29" s="1"/>
  <c r="AC78" i="29" s="1"/>
  <c r="BV24" i="29"/>
  <c r="BV23" i="29" s="1"/>
  <c r="BI90" i="29"/>
  <c r="BE91" i="29"/>
  <c r="BQ76" i="29"/>
  <c r="BQ87" i="29"/>
  <c r="BS24" i="29"/>
  <c r="AM91" i="29"/>
  <c r="Q67" i="29"/>
  <c r="Q66" i="29"/>
  <c r="AM66" i="29"/>
  <c r="AI115" i="29"/>
  <c r="AI116" i="29" s="1"/>
  <c r="AI118" i="29"/>
  <c r="AI119" i="29" s="1"/>
  <c r="AI63" i="29"/>
  <c r="AH8" i="29"/>
  <c r="CN82" i="29"/>
  <c r="CN80" i="29"/>
  <c r="CN87" i="29"/>
  <c r="U115" i="29"/>
  <c r="U116" i="29" s="1"/>
  <c r="U118" i="29"/>
  <c r="U119" i="29" s="1"/>
  <c r="U63" i="29"/>
  <c r="T8" i="29"/>
  <c r="W91" i="29"/>
  <c r="W93" i="29"/>
  <c r="BE23" i="29"/>
  <c r="BI24" i="29"/>
  <c r="O93" i="29"/>
  <c r="O91" i="29"/>
  <c r="AI88" i="29"/>
  <c r="AI90" i="29"/>
  <c r="AI89" i="29"/>
  <c r="BJ81" i="29"/>
  <c r="DD80" i="29" s="1"/>
  <c r="CR88" i="29"/>
  <c r="CR90" i="29"/>
  <c r="CR89" i="29"/>
  <c r="AX90" i="29"/>
  <c r="AS91" i="29"/>
  <c r="CB80" i="29"/>
  <c r="CB82" i="29"/>
  <c r="CB87" i="29"/>
  <c r="L56" i="29"/>
  <c r="L55" i="29" s="1"/>
  <c r="M45" i="29"/>
  <c r="M44" i="29" s="1"/>
  <c r="M43" i="29" s="1"/>
  <c r="M55" i="29"/>
  <c r="L45" i="29"/>
  <c r="L44" i="29" s="1"/>
  <c r="L43" i="29" s="1"/>
  <c r="AI133" i="29"/>
  <c r="AI134" i="29" s="1"/>
  <c r="AK132" i="29"/>
  <c r="BT81" i="29"/>
  <c r="DM80" i="29" s="1"/>
  <c r="AK130" i="29"/>
  <c r="AK127" i="29"/>
  <c r="AK126" i="29"/>
  <c r="AK128" i="29"/>
  <c r="AK113" i="29"/>
  <c r="AK112" i="29"/>
  <c r="AK103" i="29"/>
  <c r="AU73" i="29"/>
  <c r="AK72" i="29"/>
  <c r="AK67" i="29" s="1"/>
  <c r="AK129" i="29"/>
  <c r="AK59" i="29"/>
  <c r="AK69" i="29"/>
  <c r="Q124" i="29"/>
  <c r="Q123" i="29" s="1"/>
  <c r="Q121" i="29" s="1"/>
  <c r="Q122" i="29" s="1"/>
  <c r="Q79" i="29" s="1"/>
  <c r="Q78" i="29" s="1"/>
  <c r="I93" i="29"/>
  <c r="I91" i="29"/>
  <c r="BR24" i="29"/>
  <c r="AA93" i="29"/>
  <c r="AA91" i="29"/>
  <c r="CF30" i="29"/>
  <c r="CF29" i="29" s="1"/>
  <c r="CF25" i="29"/>
  <c r="CF24" i="29"/>
  <c r="CF23" i="29" s="1"/>
  <c r="AK136" i="29"/>
  <c r="AK137" i="29" s="1"/>
  <c r="AM135" i="29"/>
  <c r="CD91" i="29"/>
  <c r="AE137" i="29" l="1"/>
  <c r="CM96" i="28"/>
  <c r="CM94" i="28"/>
  <c r="CK100" i="28"/>
  <c r="CK97" i="28"/>
  <c r="CM56" i="28"/>
  <c r="CI94" i="28"/>
  <c r="CI96" i="28"/>
  <c r="CJ56" i="28"/>
  <c r="CJ55" i="28" s="1"/>
  <c r="CK45" i="28"/>
  <c r="CK44" i="28" s="1"/>
  <c r="CK43" i="28" s="1"/>
  <c r="CJ45" i="28"/>
  <c r="CJ44" i="28" s="1"/>
  <c r="CJ43" i="28" s="1"/>
  <c r="CK55" i="28"/>
  <c r="CL41" i="28"/>
  <c r="CM41" i="28"/>
  <c r="AS124" i="29"/>
  <c r="AS123" i="29" s="1"/>
  <c r="AS121" i="29" s="1"/>
  <c r="AS122" i="29" s="1"/>
  <c r="AS79" i="29" s="1"/>
  <c r="AS78" i="29" s="1"/>
  <c r="AM93" i="29"/>
  <c r="AM96" i="29" s="1"/>
  <c r="AK66" i="29"/>
  <c r="DL41" i="29"/>
  <c r="DM41" i="29"/>
  <c r="DM96" i="29"/>
  <c r="DM94" i="29"/>
  <c r="DI91" i="29"/>
  <c r="DI93" i="29"/>
  <c r="DI55" i="29"/>
  <c r="DH56" i="29"/>
  <c r="DH55" i="29" s="1"/>
  <c r="DI52" i="29"/>
  <c r="DI51" i="29" s="1"/>
  <c r="DI50" i="29" s="1"/>
  <c r="DH52" i="29"/>
  <c r="DH51" i="29" s="1"/>
  <c r="DH50" i="29" s="1"/>
  <c r="DM56" i="29"/>
  <c r="DK45" i="29"/>
  <c r="DK44" i="29" s="1"/>
  <c r="DK43" i="29" s="1"/>
  <c r="DJ45" i="29"/>
  <c r="DJ44" i="29" s="1"/>
  <c r="DJ43" i="29" s="1"/>
  <c r="DJ56" i="29"/>
  <c r="DJ55" i="29" s="1"/>
  <c r="DK55" i="29"/>
  <c r="DK100" i="29"/>
  <c r="DK97" i="29"/>
  <c r="DC45" i="29"/>
  <c r="DC44" i="29" s="1"/>
  <c r="DC43" i="29" s="1"/>
  <c r="DD55" i="29"/>
  <c r="DC56" i="29"/>
  <c r="DC55" i="29" s="1"/>
  <c r="DD45" i="29"/>
  <c r="DD44" i="29" s="1"/>
  <c r="DD43" i="29" s="1"/>
  <c r="DD96" i="29"/>
  <c r="DD94" i="29"/>
  <c r="DF97" i="29"/>
  <c r="DF100" i="29"/>
  <c r="DB93" i="29"/>
  <c r="DB91" i="29"/>
  <c r="DE56" i="29"/>
  <c r="DE55" i="29" s="1"/>
  <c r="DF55" i="29"/>
  <c r="DF45" i="29"/>
  <c r="DF44" i="29" s="1"/>
  <c r="DF43" i="29" s="1"/>
  <c r="DE45" i="29"/>
  <c r="DE44" i="29" s="1"/>
  <c r="DE43" i="29" s="1"/>
  <c r="DA52" i="29"/>
  <c r="DA51" i="29" s="1"/>
  <c r="DA50" i="29" s="1"/>
  <c r="DB55" i="29"/>
  <c r="DA56" i="29"/>
  <c r="DA55" i="29" s="1"/>
  <c r="DB52" i="29"/>
  <c r="DB51" i="29" s="1"/>
  <c r="DB50" i="29" s="1"/>
  <c r="CW89" i="29"/>
  <c r="CW90" i="29"/>
  <c r="CW88" i="29"/>
  <c r="CV56" i="29"/>
  <c r="CV55" i="29" s="1"/>
  <c r="CW45" i="29"/>
  <c r="CV45" i="29"/>
  <c r="CW55" i="29"/>
  <c r="CT48" i="29"/>
  <c r="CU48" i="29"/>
  <c r="CY75" i="29"/>
  <c r="CY57" i="29"/>
  <c r="CY60" i="29"/>
  <c r="CY61" i="29"/>
  <c r="CY91" i="29"/>
  <c r="CY93" i="29"/>
  <c r="CW41" i="29"/>
  <c r="CV41" i="29"/>
  <c r="CU89" i="29"/>
  <c r="CU90" i="29"/>
  <c r="CU88" i="29"/>
  <c r="CU56" i="29"/>
  <c r="BC126" i="29"/>
  <c r="BC112" i="29"/>
  <c r="BM73" i="29"/>
  <c r="BC59" i="29"/>
  <c r="BC69" i="29"/>
  <c r="BC128" i="29"/>
  <c r="BC129" i="29"/>
  <c r="BC103" i="29"/>
  <c r="BC72" i="29"/>
  <c r="BC67" i="29" s="1"/>
  <c r="BG73" i="29"/>
  <c r="BC113" i="29"/>
  <c r="BC130" i="29"/>
  <c r="BC127" i="29"/>
  <c r="Y89" i="29"/>
  <c r="AS115" i="29"/>
  <c r="AS116" i="29" s="1"/>
  <c r="AS63" i="29"/>
  <c r="AR8" i="29"/>
  <c r="AS118" i="29"/>
  <c r="AS119" i="29" s="1"/>
  <c r="Y90" i="29"/>
  <c r="Y93" i="29" s="1"/>
  <c r="AW113" i="29"/>
  <c r="AW129" i="29"/>
  <c r="AW127" i="29"/>
  <c r="AW103" i="29"/>
  <c r="AW128" i="29"/>
  <c r="AW72" i="29"/>
  <c r="AW67" i="29" s="1"/>
  <c r="AW69" i="29"/>
  <c r="AW59" i="29"/>
  <c r="AW126" i="29"/>
  <c r="AW130" i="29"/>
  <c r="AW112" i="29"/>
  <c r="O60" i="29"/>
  <c r="O75" i="29"/>
  <c r="O57" i="29"/>
  <c r="O61" i="29" s="1"/>
  <c r="O41" i="29" s="1"/>
  <c r="Z8" i="29"/>
  <c r="AA118" i="29"/>
  <c r="AA119" i="29" s="1"/>
  <c r="AA115" i="29"/>
  <c r="AA116" i="29" s="1"/>
  <c r="AA63" i="29"/>
  <c r="W118" i="29"/>
  <c r="W119" i="29" s="1"/>
  <c r="W115" i="29"/>
  <c r="W116" i="29" s="1"/>
  <c r="W63" i="29"/>
  <c r="V8" i="29"/>
  <c r="BH30" i="29"/>
  <c r="AE67" i="29"/>
  <c r="AE66" i="29"/>
  <c r="O96" i="29"/>
  <c r="O94" i="29"/>
  <c r="U75" i="29"/>
  <c r="U57" i="29"/>
  <c r="U60" i="29"/>
  <c r="AE124" i="29"/>
  <c r="AE123" i="29" s="1"/>
  <c r="AE121" i="29" s="1"/>
  <c r="AE122" i="29" s="1"/>
  <c r="AE79" i="29" s="1"/>
  <c r="AE78" i="29" s="1"/>
  <c r="O29" i="29"/>
  <c r="BR30" i="29"/>
  <c r="AC93" i="29"/>
  <c r="AC91" i="29"/>
  <c r="K94" i="29"/>
  <c r="K96" i="29"/>
  <c r="AM139" i="29"/>
  <c r="AM140" i="29" s="1"/>
  <c r="AM148" i="29" s="1"/>
  <c r="AS138" i="29"/>
  <c r="Q93" i="29"/>
  <c r="CG90" i="29"/>
  <c r="CG89" i="29"/>
  <c r="CG88" i="29"/>
  <c r="AK133" i="29"/>
  <c r="AK134" i="29" s="1"/>
  <c r="AM132" i="29"/>
  <c r="Q115" i="29"/>
  <c r="Q116" i="29" s="1"/>
  <c r="Q118" i="29"/>
  <c r="Q119" i="29" s="1"/>
  <c r="Q63" i="29"/>
  <c r="P8" i="29"/>
  <c r="BW91" i="29"/>
  <c r="S66" i="29"/>
  <c r="S67" i="29"/>
  <c r="BS90" i="29"/>
  <c r="BO91" i="29"/>
  <c r="AE91" i="29"/>
  <c r="O56" i="29"/>
  <c r="BH90" i="29"/>
  <c r="BC91" i="29"/>
  <c r="U96" i="29"/>
  <c r="U94" i="29"/>
  <c r="AM136" i="29"/>
  <c r="AM137" i="29" s="1"/>
  <c r="AS135" i="29"/>
  <c r="CB88" i="29"/>
  <c r="CB90" i="29"/>
  <c r="CB89" i="29"/>
  <c r="AN90" i="29"/>
  <c r="AI93" i="29"/>
  <c r="AI91" i="29"/>
  <c r="W96" i="29"/>
  <c r="W94" i="29"/>
  <c r="CN88" i="29"/>
  <c r="CN90" i="29"/>
  <c r="CN89" i="29"/>
  <c r="AI75" i="29"/>
  <c r="AI70" i="29" s="1"/>
  <c r="AN63" i="29"/>
  <c r="AI57" i="29"/>
  <c r="AI60" i="29"/>
  <c r="S124" i="29"/>
  <c r="S123" i="29" s="1"/>
  <c r="S121" i="29" s="1"/>
  <c r="S122" i="29" s="1"/>
  <c r="S79" i="29" s="1"/>
  <c r="S78" i="29" s="1"/>
  <c r="AY90" i="29"/>
  <c r="AU91" i="29"/>
  <c r="AM57" i="29"/>
  <c r="AM75" i="29"/>
  <c r="AM70" i="29" s="1"/>
  <c r="BQ90" i="29"/>
  <c r="BQ89" i="29"/>
  <c r="BQ88" i="29"/>
  <c r="G105" i="29"/>
  <c r="G101" i="29"/>
  <c r="AA96" i="29"/>
  <c r="AA94" i="29"/>
  <c r="AK118" i="29"/>
  <c r="AK119" i="29" s="1"/>
  <c r="AK115" i="29"/>
  <c r="AK116" i="29" s="1"/>
  <c r="AK63" i="29"/>
  <c r="AK60" i="29" s="1"/>
  <c r="AJ8" i="29"/>
  <c r="AK124" i="29"/>
  <c r="AK123" i="29" s="1"/>
  <c r="AK121" i="29" s="1"/>
  <c r="AK122" i="29" s="1"/>
  <c r="AK79" i="29" s="1"/>
  <c r="AM60" i="29"/>
  <c r="CK91" i="29"/>
  <c r="CI91" i="29"/>
  <c r="BZ91" i="29"/>
  <c r="I96" i="29"/>
  <c r="I94" i="29"/>
  <c r="AU127" i="29"/>
  <c r="AU128" i="29"/>
  <c r="AU126" i="29"/>
  <c r="AU129" i="29"/>
  <c r="AU103" i="29"/>
  <c r="AU59" i="29"/>
  <c r="BE73" i="29"/>
  <c r="AU113" i="29"/>
  <c r="AU130" i="29"/>
  <c r="AU72" i="29"/>
  <c r="AU67" i="29" s="1"/>
  <c r="AU69" i="29"/>
  <c r="AU112" i="29"/>
  <c r="CR91" i="29"/>
  <c r="AW90" i="29"/>
  <c r="AW89" i="29"/>
  <c r="AW88" i="29"/>
  <c r="BE144" i="29"/>
  <c r="BE147" i="29" s="1"/>
  <c r="BC147" i="29"/>
  <c r="BG144" i="29"/>
  <c r="AC118" i="29"/>
  <c r="AC119" i="29" s="1"/>
  <c r="AC115" i="29"/>
  <c r="AC116" i="29" s="1"/>
  <c r="AC63" i="29"/>
  <c r="AB8" i="29"/>
  <c r="S90" i="29"/>
  <c r="S89" i="29"/>
  <c r="S88" i="29"/>
  <c r="Y118" i="29"/>
  <c r="Y119" i="29" s="1"/>
  <c r="Y115" i="29"/>
  <c r="Y116" i="29" s="1"/>
  <c r="Y63" i="29"/>
  <c r="X8" i="29"/>
  <c r="M100" i="29"/>
  <c r="M97" i="29"/>
  <c r="AM94" i="29" l="1"/>
  <c r="AS93" i="29"/>
  <c r="AS94" i="29" s="1"/>
  <c r="N41" i="29"/>
  <c r="CL45" i="28"/>
  <c r="CL44" i="28" s="1"/>
  <c r="CL43" i="28" s="1"/>
  <c r="CM55" i="28"/>
  <c r="CL56" i="28"/>
  <c r="CL55" i="28" s="1"/>
  <c r="CM45" i="28"/>
  <c r="CM44" i="28" s="1"/>
  <c r="CM43" i="28" s="1"/>
  <c r="CK105" i="28"/>
  <c r="CK101" i="28"/>
  <c r="CI97" i="28"/>
  <c r="CI100" i="28"/>
  <c r="CM97" i="28"/>
  <c r="CM100" i="28"/>
  <c r="Y91" i="29"/>
  <c r="BC66" i="29"/>
  <c r="AS96" i="29"/>
  <c r="AW66" i="29"/>
  <c r="DI94" i="29"/>
  <c r="DI96" i="29"/>
  <c r="DK105" i="29"/>
  <c r="DK101" i="29"/>
  <c r="DM100" i="29"/>
  <c r="DM97" i="29"/>
  <c r="DM45" i="29"/>
  <c r="DM44" i="29" s="1"/>
  <c r="DM43" i="29" s="1"/>
  <c r="DL45" i="29"/>
  <c r="DL44" i="29" s="1"/>
  <c r="DL43" i="29" s="1"/>
  <c r="DM55" i="29"/>
  <c r="DL56" i="29"/>
  <c r="DL55" i="29" s="1"/>
  <c r="DD97" i="29"/>
  <c r="DD100" i="29"/>
  <c r="DB96" i="29"/>
  <c r="DB94" i="29"/>
  <c r="DF105" i="29"/>
  <c r="DF101" i="29"/>
  <c r="CV44" i="29"/>
  <c r="CV43" i="29" s="1"/>
  <c r="CW91" i="29"/>
  <c r="CW93" i="29"/>
  <c r="CY41" i="29"/>
  <c r="CX41" i="29"/>
  <c r="CU91" i="29"/>
  <c r="CU93" i="29"/>
  <c r="CY96" i="29"/>
  <c r="CY94" i="29"/>
  <c r="CT56" i="29"/>
  <c r="CT55" i="29" s="1"/>
  <c r="CU52" i="29"/>
  <c r="CU51" i="29" s="1"/>
  <c r="CU50" i="29" s="1"/>
  <c r="CU55" i="29"/>
  <c r="CT52" i="29"/>
  <c r="CT51" i="29" s="1"/>
  <c r="CT50" i="29" s="1"/>
  <c r="CY56" i="29"/>
  <c r="CW44" i="29"/>
  <c r="CW43" i="29" s="1"/>
  <c r="AS75" i="29"/>
  <c r="AS70" i="29" s="1"/>
  <c r="AS57" i="29"/>
  <c r="AX63" i="29"/>
  <c r="BG127" i="29"/>
  <c r="BG126" i="29"/>
  <c r="BG103" i="29"/>
  <c r="BG130" i="29"/>
  <c r="BG72" i="29"/>
  <c r="BG67" i="29" s="1"/>
  <c r="BG129" i="29"/>
  <c r="BG59" i="29"/>
  <c r="BG69" i="29"/>
  <c r="BG66" i="29" s="1"/>
  <c r="BG128" i="29"/>
  <c r="BG113" i="29"/>
  <c r="BG112" i="29"/>
  <c r="BC115" i="29"/>
  <c r="BC116" i="29" s="1"/>
  <c r="BB8" i="29"/>
  <c r="BC63" i="29"/>
  <c r="BC118" i="29"/>
  <c r="BC119" i="29" s="1"/>
  <c r="BM126" i="29"/>
  <c r="BQ73" i="29"/>
  <c r="BM127" i="29"/>
  <c r="BM112" i="29"/>
  <c r="BM59" i="29"/>
  <c r="CG73" i="29"/>
  <c r="BM113" i="29"/>
  <c r="BM72" i="29"/>
  <c r="BM129" i="29"/>
  <c r="BM128" i="29"/>
  <c r="BM130" i="29"/>
  <c r="BM103" i="29"/>
  <c r="BW73" i="29"/>
  <c r="AV8" i="29"/>
  <c r="AW63" i="29"/>
  <c r="AW118" i="29"/>
  <c r="AW119" i="29" s="1"/>
  <c r="AW115" i="29"/>
  <c r="AW116" i="29" s="1"/>
  <c r="AW124" i="29"/>
  <c r="AW123" i="29" s="1"/>
  <c r="AW121" i="29" s="1"/>
  <c r="AW122" i="29" s="1"/>
  <c r="AW79" i="29" s="1"/>
  <c r="AW78" i="29" s="1"/>
  <c r="AS60" i="29"/>
  <c r="BC124" i="29"/>
  <c r="BC123" i="29" s="1"/>
  <c r="BC121" i="29" s="1"/>
  <c r="BC122" i="29" s="1"/>
  <c r="BC79" i="29" s="1"/>
  <c r="AE93" i="29"/>
  <c r="AE94" i="29" s="1"/>
  <c r="AA75" i="29"/>
  <c r="AA57" i="29"/>
  <c r="AA61" i="29" s="1"/>
  <c r="AA60" i="29"/>
  <c r="W57" i="29"/>
  <c r="W61" i="29" s="1"/>
  <c r="W60" i="29"/>
  <c r="W75" i="29"/>
  <c r="Y75" i="29"/>
  <c r="Y57" i="29"/>
  <c r="Y60" i="29"/>
  <c r="BQ91" i="29"/>
  <c r="BT90" i="29"/>
  <c r="AS136" i="29"/>
  <c r="AS137" i="29" s="1"/>
  <c r="AU135" i="29"/>
  <c r="Q96" i="29"/>
  <c r="Q94" i="29"/>
  <c r="AC57" i="29"/>
  <c r="AC61" i="29" s="1"/>
  <c r="AC75" i="29"/>
  <c r="AC60" i="29"/>
  <c r="BE130" i="29"/>
  <c r="BE127" i="29"/>
  <c r="BE128" i="29"/>
  <c r="BO73" i="29"/>
  <c r="BE112" i="29"/>
  <c r="BE103" i="29"/>
  <c r="BE113" i="29"/>
  <c r="BE126" i="29"/>
  <c r="BE59" i="29"/>
  <c r="BE72" i="29"/>
  <c r="BE67" i="29" s="1"/>
  <c r="BE129" i="29"/>
  <c r="BE69" i="29"/>
  <c r="AA100" i="29"/>
  <c r="AA97" i="29"/>
  <c r="W97" i="29"/>
  <c r="W100" i="29"/>
  <c r="AW91" i="29"/>
  <c r="AZ90" i="29"/>
  <c r="AU66" i="29"/>
  <c r="I97" i="29"/>
  <c r="I100" i="29"/>
  <c r="AK75" i="29"/>
  <c r="AK70" i="29" s="1"/>
  <c r="AK57" i="29"/>
  <c r="AK61" i="29" s="1"/>
  <c r="AO63" i="29"/>
  <c r="G150" i="29"/>
  <c r="G106" i="29"/>
  <c r="AI96" i="29"/>
  <c r="AI94" i="29"/>
  <c r="U97" i="29"/>
  <c r="U100" i="29"/>
  <c r="AS100" i="29"/>
  <c r="AS97" i="29"/>
  <c r="AS139" i="29"/>
  <c r="AS140" i="29" s="1"/>
  <c r="AS148" i="29" s="1"/>
  <c r="AU138" i="29"/>
  <c r="O100" i="29"/>
  <c r="O97" i="29"/>
  <c r="CB91" i="29"/>
  <c r="AK78" i="29"/>
  <c r="AK93" i="29"/>
  <c r="M101" i="29"/>
  <c r="M105" i="29"/>
  <c r="BG147" i="29"/>
  <c r="BM144" i="29"/>
  <c r="AU118" i="29"/>
  <c r="AU119" i="29" s="1"/>
  <c r="AU115" i="29"/>
  <c r="AU116" i="29" s="1"/>
  <c r="AU63" i="29"/>
  <c r="AT8" i="29"/>
  <c r="CN91" i="29"/>
  <c r="N56" i="29"/>
  <c r="N55" i="29" s="1"/>
  <c r="O55" i="29"/>
  <c r="O45" i="29"/>
  <c r="O44" i="29" s="1"/>
  <c r="O43" i="29" s="1"/>
  <c r="N45" i="29"/>
  <c r="N44" i="29" s="1"/>
  <c r="N43" i="29" s="1"/>
  <c r="S115" i="29"/>
  <c r="S116" i="29" s="1"/>
  <c r="S63" i="29"/>
  <c r="R8" i="29"/>
  <c r="S118" i="29"/>
  <c r="S119" i="29" s="1"/>
  <c r="AM133" i="29"/>
  <c r="AM134" i="29" s="1"/>
  <c r="AS132" i="29"/>
  <c r="CG91" i="29"/>
  <c r="AC96" i="29"/>
  <c r="AC94" i="29"/>
  <c r="S93" i="29"/>
  <c r="S91" i="29"/>
  <c r="BJ90" i="29"/>
  <c r="AP90" i="29"/>
  <c r="AU124" i="29"/>
  <c r="AU123" i="29" s="1"/>
  <c r="AU121" i="29" s="1"/>
  <c r="AU122" i="29" s="1"/>
  <c r="AU79" i="29" s="1"/>
  <c r="AM100" i="29"/>
  <c r="AM97" i="29"/>
  <c r="AM61" i="29"/>
  <c r="AI61" i="29"/>
  <c r="AI56" i="29" s="1"/>
  <c r="Y96" i="29"/>
  <c r="Y94" i="29"/>
  <c r="Q57" i="29"/>
  <c r="Q61" i="29" s="1"/>
  <c r="Q75" i="29"/>
  <c r="Q60" i="29"/>
  <c r="K97" i="29"/>
  <c r="K100" i="29"/>
  <c r="U61" i="29"/>
  <c r="U56" i="29" s="1"/>
  <c r="AE118" i="29"/>
  <c r="AE119" i="29" s="1"/>
  <c r="AE115" i="29"/>
  <c r="AE116" i="29" s="1"/>
  <c r="AE63" i="29"/>
  <c r="AD8" i="29"/>
  <c r="AE96" i="29" l="1"/>
  <c r="CK106" i="28"/>
  <c r="CK150" i="28"/>
  <c r="CM105" i="28"/>
  <c r="CM101" i="28"/>
  <c r="CI105" i="28"/>
  <c r="CI101" i="28"/>
  <c r="AW93" i="29"/>
  <c r="DM105" i="29"/>
  <c r="DM101" i="29"/>
  <c r="DK106" i="29"/>
  <c r="DK150" i="29"/>
  <c r="DI97" i="29"/>
  <c r="DI100" i="29"/>
  <c r="DF106" i="29"/>
  <c r="DF150" i="29"/>
  <c r="DB100" i="29"/>
  <c r="DB97" i="29"/>
  <c r="DD105" i="29"/>
  <c r="DD101" i="29"/>
  <c r="CW94" i="29"/>
  <c r="CW96" i="29"/>
  <c r="CX45" i="29"/>
  <c r="CX44" i="29" s="1"/>
  <c r="CX43" i="29" s="1"/>
  <c r="CY55" i="29"/>
  <c r="CY45" i="29"/>
  <c r="CY44" i="29" s="1"/>
  <c r="CY43" i="29" s="1"/>
  <c r="CX56" i="29"/>
  <c r="CX55" i="29" s="1"/>
  <c r="CY97" i="29"/>
  <c r="CY100" i="29"/>
  <c r="CU94" i="29"/>
  <c r="CU96" i="29"/>
  <c r="BC60" i="29"/>
  <c r="BH63" i="29"/>
  <c r="BC57" i="29"/>
  <c r="BC75" i="29"/>
  <c r="BC70" i="29" s="1"/>
  <c r="BG124" i="29"/>
  <c r="BG123" i="29" s="1"/>
  <c r="BG121" i="29" s="1"/>
  <c r="BG122" i="29" s="1"/>
  <c r="BG79" i="29" s="1"/>
  <c r="BC61" i="29"/>
  <c r="BC41" i="29" s="1"/>
  <c r="AW75" i="29"/>
  <c r="AW70" i="29" s="1"/>
  <c r="AW57" i="29"/>
  <c r="AW60" i="29"/>
  <c r="BC78" i="29"/>
  <c r="BC93" i="29"/>
  <c r="BM66" i="29"/>
  <c r="BM67" i="29"/>
  <c r="BQ126" i="29"/>
  <c r="BQ112" i="29"/>
  <c r="BQ113" i="29"/>
  <c r="BQ72" i="29"/>
  <c r="BQ130" i="29"/>
  <c r="BQ128" i="29"/>
  <c r="BQ59" i="29"/>
  <c r="CK73" i="29"/>
  <c r="BQ127" i="29"/>
  <c r="BQ129" i="29"/>
  <c r="BQ103" i="29"/>
  <c r="BG63" i="29"/>
  <c r="BG118" i="29"/>
  <c r="BG119" i="29" s="1"/>
  <c r="BG115" i="29"/>
  <c r="BG116" i="29" s="1"/>
  <c r="BF8" i="29"/>
  <c r="AS61" i="29"/>
  <c r="CG130" i="29"/>
  <c r="CD73" i="29"/>
  <c r="CG72" i="29"/>
  <c r="CG103" i="29"/>
  <c r="CG126" i="29"/>
  <c r="CG59" i="29"/>
  <c r="CG127" i="29"/>
  <c r="BZ73" i="29"/>
  <c r="CB73" i="29"/>
  <c r="CN73" i="29"/>
  <c r="CG129" i="29"/>
  <c r="CG128" i="29"/>
  <c r="CG113" i="29"/>
  <c r="CG112" i="29"/>
  <c r="BE66" i="29"/>
  <c r="BW129" i="29"/>
  <c r="BW103" i="29"/>
  <c r="BW59" i="29"/>
  <c r="BW130" i="29"/>
  <c r="BW126" i="29"/>
  <c r="BW128" i="29"/>
  <c r="BW72" i="29"/>
  <c r="BW127" i="29"/>
  <c r="BW112" i="29"/>
  <c r="BW113" i="29"/>
  <c r="BM124" i="29"/>
  <c r="BM123" i="29" s="1"/>
  <c r="BM121" i="29" s="1"/>
  <c r="BM122" i="29" s="1"/>
  <c r="BM79" i="29" s="1"/>
  <c r="V41" i="29"/>
  <c r="W41" i="29"/>
  <c r="AA41" i="29"/>
  <c r="Z41" i="29"/>
  <c r="AA56" i="29"/>
  <c r="W56" i="29"/>
  <c r="AI45" i="29"/>
  <c r="AI55" i="29"/>
  <c r="AH45" i="29"/>
  <c r="AH56" i="29"/>
  <c r="AH55" i="29" s="1"/>
  <c r="AJ41" i="29"/>
  <c r="AK41" i="29"/>
  <c r="AM41" i="29"/>
  <c r="AL41" i="29"/>
  <c r="W101" i="29"/>
  <c r="W105" i="29"/>
  <c r="AW138" i="29"/>
  <c r="AU139" i="29"/>
  <c r="AU140" i="29" s="1"/>
  <c r="AU148" i="29" s="1"/>
  <c r="AM101" i="29"/>
  <c r="AM105" i="29"/>
  <c r="S96" i="29"/>
  <c r="S94" i="29"/>
  <c r="AU57" i="29"/>
  <c r="AU61" i="29" s="1"/>
  <c r="AU75" i="29"/>
  <c r="AU70" i="29" s="1"/>
  <c r="AY63" i="29"/>
  <c r="U105" i="29"/>
  <c r="U101" i="29"/>
  <c r="BE118" i="29"/>
  <c r="BE119" i="29" s="1"/>
  <c r="BE115" i="29"/>
  <c r="BE116" i="29" s="1"/>
  <c r="BE63" i="29"/>
  <c r="BD8" i="29"/>
  <c r="BO127" i="29"/>
  <c r="BO128" i="29"/>
  <c r="BO126" i="29"/>
  <c r="BO130" i="29"/>
  <c r="BO129" i="29"/>
  <c r="BO103" i="29"/>
  <c r="BO113" i="29"/>
  <c r="CI73" i="29"/>
  <c r="BO72" i="29"/>
  <c r="BO59" i="29"/>
  <c r="BO112" i="29"/>
  <c r="AC56" i="29"/>
  <c r="AU60" i="29"/>
  <c r="AE97" i="29"/>
  <c r="AE100" i="29"/>
  <c r="AE57" i="29"/>
  <c r="AE75" i="29"/>
  <c r="AE60" i="29"/>
  <c r="P41" i="29"/>
  <c r="Q41" i="29"/>
  <c r="I101" i="29"/>
  <c r="I105" i="29"/>
  <c r="U55" i="29"/>
  <c r="T45" i="29"/>
  <c r="T56" i="29"/>
  <c r="T55" i="29" s="1"/>
  <c r="U45" i="29"/>
  <c r="AU78" i="29"/>
  <c r="AU93" i="29"/>
  <c r="AS133" i="29"/>
  <c r="AS134" i="29" s="1"/>
  <c r="AU132" i="29"/>
  <c r="M150" i="29"/>
  <c r="M106" i="29"/>
  <c r="AA101" i="29"/>
  <c r="AA105" i="29"/>
  <c r="AB41" i="29"/>
  <c r="AC41" i="29"/>
  <c r="Q97" i="29"/>
  <c r="Q100" i="29"/>
  <c r="AK56" i="29"/>
  <c r="BE124" i="29"/>
  <c r="BE123" i="29" s="1"/>
  <c r="BE121" i="29" s="1"/>
  <c r="BE122" i="29" s="1"/>
  <c r="BE79" i="29" s="1"/>
  <c r="O101" i="29"/>
  <c r="O105" i="29"/>
  <c r="S57" i="29"/>
  <c r="S75" i="29"/>
  <c r="S60" i="29"/>
  <c r="AP63" i="29"/>
  <c r="AZ63" i="29"/>
  <c r="BQ144" i="29"/>
  <c r="BO144" i="29"/>
  <c r="BW144" i="29" s="1"/>
  <c r="U41" i="29"/>
  <c r="T41" i="29"/>
  <c r="Y100" i="29"/>
  <c r="Y97" i="29"/>
  <c r="K101" i="29"/>
  <c r="K105" i="29"/>
  <c r="AC100" i="29"/>
  <c r="AC97" i="29"/>
  <c r="Q56" i="29"/>
  <c r="AH41" i="29"/>
  <c r="AI41" i="29"/>
  <c r="AM56" i="29"/>
  <c r="AK96" i="29"/>
  <c r="AK94" i="29"/>
  <c r="AS101" i="29"/>
  <c r="AS105" i="29"/>
  <c r="AI97" i="29"/>
  <c r="AI100" i="29"/>
  <c r="AW96" i="29"/>
  <c r="AW94" i="29"/>
  <c r="AW135" i="29"/>
  <c r="AU136" i="29"/>
  <c r="AU137" i="29" s="1"/>
  <c r="Y61" i="29"/>
  <c r="CM150" i="28" l="1"/>
  <c r="CM106" i="28"/>
  <c r="CI106" i="28"/>
  <c r="CI150" i="28"/>
  <c r="DI105" i="29"/>
  <c r="DI101" i="29"/>
  <c r="DM150" i="29"/>
  <c r="DM106" i="29"/>
  <c r="DD106" i="29"/>
  <c r="DD150" i="29"/>
  <c r="DB105" i="29"/>
  <c r="DB101" i="29"/>
  <c r="CW100" i="29"/>
  <c r="CW97" i="29"/>
  <c r="CU97" i="29"/>
  <c r="CU100" i="29"/>
  <c r="CY105" i="29"/>
  <c r="CY101" i="29"/>
  <c r="CG124" i="29"/>
  <c r="CG123" i="29" s="1"/>
  <c r="CG121" i="29" s="1"/>
  <c r="CG122" i="29" s="1"/>
  <c r="CG79" i="29" s="1"/>
  <c r="AS41" i="29"/>
  <c r="AR41" i="29"/>
  <c r="BQ67" i="29"/>
  <c r="BQ66" i="29"/>
  <c r="BC96" i="29"/>
  <c r="BC94" i="29"/>
  <c r="BW66" i="29"/>
  <c r="BW67" i="29"/>
  <c r="CN128" i="29"/>
  <c r="CN72" i="29"/>
  <c r="CN59" i="29"/>
  <c r="CN113" i="29"/>
  <c r="CN103" i="29"/>
  <c r="CN140" i="29"/>
  <c r="CN148" i="29" s="1"/>
  <c r="CN112" i="29"/>
  <c r="CN134" i="29"/>
  <c r="CN126" i="29"/>
  <c r="CN127" i="29"/>
  <c r="CN137" i="29"/>
  <c r="CN130" i="29"/>
  <c r="CN129" i="29"/>
  <c r="BG78" i="29"/>
  <c r="BG93" i="29"/>
  <c r="CB103" i="29"/>
  <c r="CB140" i="29"/>
  <c r="CB148" i="29" s="1"/>
  <c r="CB126" i="29"/>
  <c r="CB128" i="29"/>
  <c r="CB113" i="29"/>
  <c r="CB137" i="29"/>
  <c r="CB127" i="29"/>
  <c r="CB59" i="29"/>
  <c r="CB129" i="29"/>
  <c r="CB72" i="29"/>
  <c r="CB130" i="29"/>
  <c r="CB112" i="29"/>
  <c r="CB134" i="29"/>
  <c r="CG66" i="29"/>
  <c r="CG67" i="29"/>
  <c r="CK128" i="29"/>
  <c r="CK72" i="29"/>
  <c r="CK127" i="29"/>
  <c r="CR73" i="29"/>
  <c r="CK103" i="29"/>
  <c r="CK137" i="29"/>
  <c r="CK126" i="29"/>
  <c r="CK112" i="29"/>
  <c r="CK129" i="29"/>
  <c r="CK130" i="29"/>
  <c r="CK113" i="29"/>
  <c r="CK140" i="29"/>
  <c r="CK148" i="29" s="1"/>
  <c r="CK59" i="29"/>
  <c r="CK134" i="29"/>
  <c r="BM78" i="29"/>
  <c r="BM93" i="29"/>
  <c r="BW124" i="29"/>
  <c r="BW123" i="29" s="1"/>
  <c r="BW121" i="29" s="1"/>
  <c r="BW122" i="29" s="1"/>
  <c r="BW79" i="29" s="1"/>
  <c r="BZ126" i="29"/>
  <c r="BZ127" i="29"/>
  <c r="BZ59" i="29"/>
  <c r="BZ103" i="29"/>
  <c r="BZ130" i="29"/>
  <c r="BZ113" i="29"/>
  <c r="BZ129" i="29"/>
  <c r="BZ72" i="29"/>
  <c r="BZ128" i="29"/>
  <c r="BZ112" i="29"/>
  <c r="CD129" i="29"/>
  <c r="CD137" i="29"/>
  <c r="CD134" i="29"/>
  <c r="CD72" i="29"/>
  <c r="CD103" i="29"/>
  <c r="CD113" i="29"/>
  <c r="CD127" i="29"/>
  <c r="CD128" i="29"/>
  <c r="CD140" i="29"/>
  <c r="CD148" i="29" s="1"/>
  <c r="CD59" i="29"/>
  <c r="CD130" i="29"/>
  <c r="CD112" i="29"/>
  <c r="CD126" i="29"/>
  <c r="BQ124" i="29"/>
  <c r="BQ123" i="29" s="1"/>
  <c r="BQ121" i="29" s="1"/>
  <c r="BQ122" i="29" s="1"/>
  <c r="BQ79" i="29" s="1"/>
  <c r="AW61" i="29"/>
  <c r="AW56" i="29" s="1"/>
  <c r="BC56" i="29"/>
  <c r="BG60" i="29"/>
  <c r="BG75" i="29"/>
  <c r="BG70" i="29" s="1"/>
  <c r="BG57" i="29"/>
  <c r="BM115" i="29"/>
  <c r="BM116" i="29" s="1"/>
  <c r="BL8" i="29"/>
  <c r="BM118" i="29"/>
  <c r="BM119" i="29" s="1"/>
  <c r="BL69" i="29"/>
  <c r="BM63" i="29"/>
  <c r="BB41" i="29"/>
  <c r="AS56" i="29"/>
  <c r="BJ63" i="29"/>
  <c r="U44" i="29"/>
  <c r="U43" i="29" s="1"/>
  <c r="Z45" i="29"/>
  <c r="Z44" i="29" s="1"/>
  <c r="Z43" i="29" s="1"/>
  <c r="AA55" i="29"/>
  <c r="Z56" i="29"/>
  <c r="Z55" i="29" s="1"/>
  <c r="AA45" i="29"/>
  <c r="AA44" i="29" s="1"/>
  <c r="AA43" i="29" s="1"/>
  <c r="T44" i="29"/>
  <c r="T43" i="29" s="1"/>
  <c r="W55" i="29"/>
  <c r="W45" i="29"/>
  <c r="W44" i="29" s="1"/>
  <c r="W43" i="29" s="1"/>
  <c r="V45" i="29"/>
  <c r="V44" i="29" s="1"/>
  <c r="V43" i="29" s="1"/>
  <c r="V56" i="29"/>
  <c r="V55" i="29" s="1"/>
  <c r="U150" i="29"/>
  <c r="U106" i="29"/>
  <c r="AW139" i="29"/>
  <c r="AW140" i="29" s="1"/>
  <c r="AW148" i="29" s="1"/>
  <c r="BC138" i="29"/>
  <c r="AI101" i="29"/>
  <c r="AI105" i="29"/>
  <c r="AC105" i="29"/>
  <c r="AC101" i="29"/>
  <c r="O150" i="29"/>
  <c r="O106" i="29"/>
  <c r="BE78" i="29"/>
  <c r="BE93" i="29"/>
  <c r="AJ45" i="29"/>
  <c r="AJ44" i="29" s="1"/>
  <c r="AJ43" i="29" s="1"/>
  <c r="AK55" i="29"/>
  <c r="AJ56" i="29"/>
  <c r="AJ55" i="29" s="1"/>
  <c r="AK45" i="29"/>
  <c r="AK44" i="29" s="1"/>
  <c r="AA150" i="29"/>
  <c r="AA106" i="29"/>
  <c r="AU96" i="29"/>
  <c r="AU94" i="29"/>
  <c r="I150" i="29"/>
  <c r="I106" i="29"/>
  <c r="BO67" i="29"/>
  <c r="BO66" i="29"/>
  <c r="BO124" i="29"/>
  <c r="BO123" i="29" s="1"/>
  <c r="BO121" i="29" s="1"/>
  <c r="BO122" i="29" s="1"/>
  <c r="BO79" i="29" s="1"/>
  <c r="AU41" i="29"/>
  <c r="AT41" i="29"/>
  <c r="Y41" i="29"/>
  <c r="X41" i="29"/>
  <c r="AK97" i="29"/>
  <c r="AK100" i="29"/>
  <c r="Y56" i="29"/>
  <c r="AU133" i="29"/>
  <c r="AU134" i="29" s="1"/>
  <c r="AW132" i="29"/>
  <c r="W150" i="29"/>
  <c r="W106" i="29"/>
  <c r="BC135" i="29"/>
  <c r="AW136" i="29"/>
  <c r="AW137" i="29" s="1"/>
  <c r="AS150" i="29"/>
  <c r="AX105" i="29"/>
  <c r="AS106" i="29"/>
  <c r="AL56" i="29"/>
  <c r="AL55" i="29" s="1"/>
  <c r="AL45" i="29"/>
  <c r="AL44" i="29" s="1"/>
  <c r="AL43" i="29" s="1"/>
  <c r="AM45" i="29"/>
  <c r="AM44" i="29" s="1"/>
  <c r="AM55" i="29"/>
  <c r="Y101" i="29"/>
  <c r="Y105" i="29"/>
  <c r="Q105" i="29"/>
  <c r="Q101" i="29"/>
  <c r="CI128" i="29"/>
  <c r="CI129" i="29"/>
  <c r="CI113" i="29"/>
  <c r="CI130" i="29"/>
  <c r="CI126" i="29"/>
  <c r="CI72" i="29"/>
  <c r="CP73" i="29"/>
  <c r="CI103" i="29"/>
  <c r="CI127" i="29"/>
  <c r="CI59" i="29"/>
  <c r="CI112" i="29"/>
  <c r="CI140" i="29"/>
  <c r="CI148" i="29" s="1"/>
  <c r="CI137" i="29"/>
  <c r="CI134" i="29"/>
  <c r="S97" i="29"/>
  <c r="S100" i="29"/>
  <c r="AH44" i="29"/>
  <c r="AH43" i="29" s="1"/>
  <c r="AW97" i="29"/>
  <c r="AW100" i="29"/>
  <c r="P56" i="29"/>
  <c r="P55" i="29" s="1"/>
  <c r="Q45" i="29"/>
  <c r="Q44" i="29" s="1"/>
  <c r="Q43" i="29" s="1"/>
  <c r="Q55" i="29"/>
  <c r="P45" i="29"/>
  <c r="P44" i="29" s="1"/>
  <c r="P43" i="29" s="1"/>
  <c r="AE105" i="29"/>
  <c r="AE101" i="29"/>
  <c r="AM150" i="29"/>
  <c r="AM106" i="29"/>
  <c r="K150" i="29"/>
  <c r="K106" i="29"/>
  <c r="BE75" i="29"/>
  <c r="BE70" i="29" s="1"/>
  <c r="BI63" i="29"/>
  <c r="BE57" i="29"/>
  <c r="BZ144" i="29"/>
  <c r="CP144" i="29" s="1"/>
  <c r="CG144" i="29"/>
  <c r="BE60" i="29"/>
  <c r="S61" i="29"/>
  <c r="AE61" i="29"/>
  <c r="AC55" i="29"/>
  <c r="AB56" i="29"/>
  <c r="AB55" i="29" s="1"/>
  <c r="AB45" i="29"/>
  <c r="AB44" i="29" s="1"/>
  <c r="AB43" i="29" s="1"/>
  <c r="AC45" i="29"/>
  <c r="AC44" i="29" s="1"/>
  <c r="AC43" i="29" s="1"/>
  <c r="AU56" i="29"/>
  <c r="AI44" i="29"/>
  <c r="CN124" i="29" l="1"/>
  <c r="CN123" i="29" s="1"/>
  <c r="CN121" i="29" s="1"/>
  <c r="CN122" i="29" s="1"/>
  <c r="CN79" i="29" s="1"/>
  <c r="DI106" i="29"/>
  <c r="DI150" i="29"/>
  <c r="DB150" i="29"/>
  <c r="DB106" i="29"/>
  <c r="CW105" i="29"/>
  <c r="CW101" i="29"/>
  <c r="CY150" i="29"/>
  <c r="CY106" i="29"/>
  <c r="CU105" i="29"/>
  <c r="CU101" i="29"/>
  <c r="BG94" i="29"/>
  <c r="BG96" i="29"/>
  <c r="BC100" i="29"/>
  <c r="BC97" i="29"/>
  <c r="BB45" i="29"/>
  <c r="BB44" i="29" s="1"/>
  <c r="BB43" i="29" s="1"/>
  <c r="BB56" i="29"/>
  <c r="BB55" i="29" s="1"/>
  <c r="BC55" i="29"/>
  <c r="BC45" i="29"/>
  <c r="BC44" i="29" s="1"/>
  <c r="BC54" i="29" s="1"/>
  <c r="CK67" i="29"/>
  <c r="CK66" i="29"/>
  <c r="CN66" i="29"/>
  <c r="CN67" i="29"/>
  <c r="AW55" i="29"/>
  <c r="AW45" i="29"/>
  <c r="AV56" i="29"/>
  <c r="AV55" i="29" s="1"/>
  <c r="AV45" i="29"/>
  <c r="CD66" i="29"/>
  <c r="CD67" i="29"/>
  <c r="BZ67" i="29"/>
  <c r="BZ66" i="29"/>
  <c r="CK124" i="29"/>
  <c r="CK123" i="29" s="1"/>
  <c r="CK121" i="29" s="1"/>
  <c r="CK122" i="29" s="1"/>
  <c r="CK79" i="29" s="1"/>
  <c r="CB67" i="29"/>
  <c r="CB66" i="29"/>
  <c r="BP8" i="29"/>
  <c r="BQ118" i="29"/>
  <c r="BQ119" i="29" s="1"/>
  <c r="BQ115" i="29"/>
  <c r="BQ116" i="29" s="1"/>
  <c r="BQ63" i="29"/>
  <c r="AR56" i="29"/>
  <c r="AR55" i="29" s="1"/>
  <c r="AS45" i="29"/>
  <c r="AS44" i="29" s="1"/>
  <c r="AS55" i="29"/>
  <c r="AR45" i="29"/>
  <c r="AR44" i="29" s="1"/>
  <c r="AR43" i="29" s="1"/>
  <c r="AW41" i="29"/>
  <c r="AV41" i="29"/>
  <c r="BZ124" i="29"/>
  <c r="BZ123" i="29" s="1"/>
  <c r="BZ121" i="29" s="1"/>
  <c r="BZ122" i="29" s="1"/>
  <c r="BZ79" i="29" s="1"/>
  <c r="CF8" i="29"/>
  <c r="CG118" i="29"/>
  <c r="CG119" i="29" s="1"/>
  <c r="CG115" i="29"/>
  <c r="CG116" i="29" s="1"/>
  <c r="CF69" i="29"/>
  <c r="CG63" i="29"/>
  <c r="CB124" i="29"/>
  <c r="CB123" i="29" s="1"/>
  <c r="CB121" i="29" s="1"/>
  <c r="CB122" i="29" s="1"/>
  <c r="CB79" i="29" s="1"/>
  <c r="BW63" i="29"/>
  <c r="BW118" i="29"/>
  <c r="BW119" i="29" s="1"/>
  <c r="BV69" i="29"/>
  <c r="BV8" i="29"/>
  <c r="BW115" i="29"/>
  <c r="BW116" i="29" s="1"/>
  <c r="BG61" i="29"/>
  <c r="BG56" i="29" s="1"/>
  <c r="BQ78" i="29"/>
  <c r="BQ93" i="29"/>
  <c r="BW78" i="29"/>
  <c r="BW93" i="29"/>
  <c r="BR63" i="29"/>
  <c r="BM75" i="29"/>
  <c r="BM57" i="29"/>
  <c r="BM60" i="29"/>
  <c r="CD124" i="29"/>
  <c r="CD123" i="29" s="1"/>
  <c r="CD121" i="29" s="1"/>
  <c r="CD122" i="29" s="1"/>
  <c r="CD79" i="29" s="1"/>
  <c r="BM94" i="29"/>
  <c r="BM96" i="29"/>
  <c r="CR129" i="29"/>
  <c r="CR72" i="29"/>
  <c r="CR59" i="29"/>
  <c r="CR113" i="29"/>
  <c r="CR103" i="29"/>
  <c r="CR128" i="29"/>
  <c r="CR126" i="29"/>
  <c r="CR134" i="29"/>
  <c r="CR130" i="29"/>
  <c r="CR137" i="29"/>
  <c r="CR127" i="29"/>
  <c r="CR112" i="29"/>
  <c r="CR140" i="29"/>
  <c r="CR148" i="29" s="1"/>
  <c r="CG78" i="29"/>
  <c r="CG93" i="29"/>
  <c r="AE41" i="29"/>
  <c r="AD41" i="29"/>
  <c r="AU45" i="29"/>
  <c r="AU44" i="29" s="1"/>
  <c r="AT45" i="29"/>
  <c r="AT44" i="29" s="1"/>
  <c r="AT43" i="29" s="1"/>
  <c r="AU55" i="29"/>
  <c r="AT56" i="29"/>
  <c r="AT55" i="29" s="1"/>
  <c r="CI124" i="29"/>
  <c r="CI123" i="29" s="1"/>
  <c r="CI121" i="29" s="1"/>
  <c r="CI122" i="29" s="1"/>
  <c r="CI79" i="29" s="1"/>
  <c r="Q150" i="29"/>
  <c r="Q106" i="29"/>
  <c r="AM43" i="29"/>
  <c r="AW133" i="29"/>
  <c r="AW134" i="29" s="1"/>
  <c r="BC132" i="29"/>
  <c r="AK54" i="29"/>
  <c r="AO44" i="29"/>
  <c r="AK43" i="29"/>
  <c r="BE138" i="29"/>
  <c r="BC139" i="29"/>
  <c r="BC140" i="29" s="1"/>
  <c r="BC148" i="29" s="1"/>
  <c r="AI150" i="29"/>
  <c r="AI106" i="29"/>
  <c r="AN105" i="29"/>
  <c r="CI67" i="29"/>
  <c r="CI66" i="29"/>
  <c r="AE150" i="29"/>
  <c r="AE106" i="29"/>
  <c r="Y150" i="29"/>
  <c r="Y106" i="29"/>
  <c r="BO78" i="29"/>
  <c r="BO93" i="29"/>
  <c r="CP129" i="29"/>
  <c r="CP128" i="29"/>
  <c r="CP113" i="29"/>
  <c r="CP127" i="29"/>
  <c r="CP103" i="29"/>
  <c r="CP130" i="29"/>
  <c r="CP72" i="29"/>
  <c r="CP59" i="29"/>
  <c r="CP126" i="29"/>
  <c r="CP112" i="29"/>
  <c r="BE96" i="29"/>
  <c r="BE94" i="29"/>
  <c r="AI43" i="29"/>
  <c r="AI54" i="29"/>
  <c r="AN44" i="29"/>
  <c r="S105" i="29"/>
  <c r="S101" i="29"/>
  <c r="AW105" i="29"/>
  <c r="AW101" i="29"/>
  <c r="X56" i="29"/>
  <c r="X55" i="29" s="1"/>
  <c r="X45" i="29"/>
  <c r="X44" i="29" s="1"/>
  <c r="X43" i="29" s="1"/>
  <c r="Y45" i="29"/>
  <c r="Y44" i="29" s="1"/>
  <c r="Y43" i="29" s="1"/>
  <c r="Y55" i="29"/>
  <c r="S41" i="29"/>
  <c r="R41" i="29"/>
  <c r="BE61" i="29"/>
  <c r="AE56" i="29"/>
  <c r="BC136" i="29"/>
  <c r="BC137" i="29" s="1"/>
  <c r="BE135" i="29"/>
  <c r="AK101" i="29"/>
  <c r="AK105" i="29"/>
  <c r="BO118" i="29"/>
  <c r="BO119" i="29" s="1"/>
  <c r="BO115" i="29"/>
  <c r="BO116" i="29" s="1"/>
  <c r="BO63" i="29"/>
  <c r="BN8" i="29"/>
  <c r="AU97" i="29"/>
  <c r="AU100" i="29"/>
  <c r="AC150" i="29"/>
  <c r="AC106" i="29"/>
  <c r="S56" i="29"/>
  <c r="BH44" i="29" l="1"/>
  <c r="BC43" i="29"/>
  <c r="CN93" i="29"/>
  <c r="CN78" i="29"/>
  <c r="CW106" i="29"/>
  <c r="CW150" i="29"/>
  <c r="CU106" i="29"/>
  <c r="CU150" i="29"/>
  <c r="CR67" i="29"/>
  <c r="CR66" i="29"/>
  <c r="BM61" i="29"/>
  <c r="BM56" i="29" s="1"/>
  <c r="CC8" i="29"/>
  <c r="CC69" i="29"/>
  <c r="CD115" i="29"/>
  <c r="CD116" i="29" s="1"/>
  <c r="CD118" i="29"/>
  <c r="CD119" i="29" s="1"/>
  <c r="CD63" i="29"/>
  <c r="CN118" i="29"/>
  <c r="CN119" i="29" s="1"/>
  <c r="CN63" i="29"/>
  <c r="CM69" i="29"/>
  <c r="CM8" i="29"/>
  <c r="CN115" i="29"/>
  <c r="CN116" i="29" s="1"/>
  <c r="CR124" i="29"/>
  <c r="CR123" i="29" s="1"/>
  <c r="CR121" i="29" s="1"/>
  <c r="CR122" i="29" s="1"/>
  <c r="CR79" i="29" s="1"/>
  <c r="BG41" i="29"/>
  <c r="BF41" i="29"/>
  <c r="BW75" i="29"/>
  <c r="BW57" i="29"/>
  <c r="BW60" i="29"/>
  <c r="AS43" i="29"/>
  <c r="AS54" i="29"/>
  <c r="AX44" i="29"/>
  <c r="BM100" i="29"/>
  <c r="BM97" i="29"/>
  <c r="BF56" i="29"/>
  <c r="BF55" i="29" s="1"/>
  <c r="BF45" i="29"/>
  <c r="BF44" i="29" s="1"/>
  <c r="BF43" i="29" s="1"/>
  <c r="BG45" i="29"/>
  <c r="BG55" i="29"/>
  <c r="CB78" i="29"/>
  <c r="CB93" i="29"/>
  <c r="BZ93" i="29"/>
  <c r="BZ78" i="29"/>
  <c r="CB115" i="29"/>
  <c r="CB116" i="29" s="1"/>
  <c r="CB63" i="29"/>
  <c r="CA69" i="29"/>
  <c r="CA8" i="29"/>
  <c r="CB118" i="29"/>
  <c r="CB119" i="29" s="1"/>
  <c r="AV44" i="29"/>
  <c r="AV43" i="29" s="1"/>
  <c r="BW96" i="29"/>
  <c r="BW94" i="29"/>
  <c r="CG60" i="29"/>
  <c r="CG75" i="29"/>
  <c r="CG57" i="29"/>
  <c r="CG61" i="29" s="1"/>
  <c r="BQ60" i="29"/>
  <c r="BQ57" i="29"/>
  <c r="BQ75" i="29"/>
  <c r="BT63" i="29"/>
  <c r="CK78" i="29"/>
  <c r="CK93" i="29"/>
  <c r="CK63" i="29"/>
  <c r="CJ69" i="29"/>
  <c r="CJ8" i="29"/>
  <c r="CK118" i="29"/>
  <c r="CK119" i="29" s="1"/>
  <c r="CK115" i="29"/>
  <c r="CK116" i="29" s="1"/>
  <c r="BC101" i="29"/>
  <c r="BC105" i="29"/>
  <c r="BC150" i="29" s="1"/>
  <c r="CD78" i="29"/>
  <c r="CD93" i="29"/>
  <c r="AW44" i="29"/>
  <c r="AW43" i="29" s="1"/>
  <c r="BG97" i="29"/>
  <c r="BG100" i="29"/>
  <c r="CG96" i="29"/>
  <c r="CG94" i="29"/>
  <c r="BQ96" i="29"/>
  <c r="BQ94" i="29"/>
  <c r="BY69" i="29"/>
  <c r="BY8" i="29"/>
  <c r="BZ118" i="29"/>
  <c r="BZ119" i="29" s="1"/>
  <c r="BZ63" i="29"/>
  <c r="BZ115" i="29"/>
  <c r="BZ116" i="29" s="1"/>
  <c r="BE41" i="29"/>
  <c r="BD41" i="29"/>
  <c r="BE97" i="29"/>
  <c r="BE100" i="29"/>
  <c r="CP66" i="29"/>
  <c r="CP67" i="29"/>
  <c r="AU101" i="29"/>
  <c r="AU105" i="29"/>
  <c r="AD56" i="29"/>
  <c r="AD55" i="29" s="1"/>
  <c r="AD45" i="29"/>
  <c r="AD44" i="29" s="1"/>
  <c r="AD43" i="29" s="1"/>
  <c r="AE55" i="29"/>
  <c r="AE45" i="29"/>
  <c r="AE44" i="29" s="1"/>
  <c r="AE43" i="29" s="1"/>
  <c r="S106" i="29"/>
  <c r="S150" i="29"/>
  <c r="AP105" i="29"/>
  <c r="BO96" i="29"/>
  <c r="BO94" i="29"/>
  <c r="BE132" i="29"/>
  <c r="BC133" i="29"/>
  <c r="BC134" i="29" s="1"/>
  <c r="BE136" i="29"/>
  <c r="BE137" i="29" s="1"/>
  <c r="BG135" i="29"/>
  <c r="BE56" i="29"/>
  <c r="CI78" i="29"/>
  <c r="CI93" i="29"/>
  <c r="AK150" i="29"/>
  <c r="AO105" i="29"/>
  <c r="AK106" i="29"/>
  <c r="CI115" i="29"/>
  <c r="CI116" i="29" s="1"/>
  <c r="CH69" i="29"/>
  <c r="CI118" i="29"/>
  <c r="CI119" i="29" s="1"/>
  <c r="CI63" i="29"/>
  <c r="CH8" i="29"/>
  <c r="AU54" i="29"/>
  <c r="AU43" i="29"/>
  <c r="AY44" i="29"/>
  <c r="AW150" i="29"/>
  <c r="AZ105" i="29"/>
  <c r="AW106" i="29"/>
  <c r="R56" i="29"/>
  <c r="R55" i="29" s="1"/>
  <c r="R45" i="29"/>
  <c r="R44" i="29" s="1"/>
  <c r="R43" i="29" s="1"/>
  <c r="S45" i="29"/>
  <c r="S44" i="29" s="1"/>
  <c r="S55" i="29"/>
  <c r="BS63" i="29"/>
  <c r="BO75" i="29"/>
  <c r="BO57" i="29"/>
  <c r="BO61" i="29" s="1"/>
  <c r="BO60" i="29"/>
  <c r="CP124" i="29"/>
  <c r="CP123" i="29" s="1"/>
  <c r="CP121" i="29" s="1"/>
  <c r="CP122" i="29" s="1"/>
  <c r="CP79" i="29" s="1"/>
  <c r="BG138" i="29"/>
  <c r="BE139" i="29"/>
  <c r="BE140" i="29" s="1"/>
  <c r="BE148" i="29" s="1"/>
  <c r="CN96" i="29" l="1"/>
  <c r="CN94" i="29"/>
  <c r="BM45" i="29"/>
  <c r="BL45" i="29"/>
  <c r="BM55" i="29"/>
  <c r="BL56" i="29"/>
  <c r="BL55" i="29" s="1"/>
  <c r="BZ75" i="29"/>
  <c r="BY63" i="29"/>
  <c r="BZ60" i="29"/>
  <c r="BZ57" i="29"/>
  <c r="BZ61" i="29" s="1"/>
  <c r="BQ61" i="29"/>
  <c r="BQ56" i="29"/>
  <c r="CA63" i="29"/>
  <c r="CB60" i="29"/>
  <c r="CB75" i="29"/>
  <c r="CB57" i="29"/>
  <c r="CB61" i="29" s="1"/>
  <c r="CG97" i="29"/>
  <c r="CG100" i="29"/>
  <c r="BC106" i="29"/>
  <c r="BH105" i="29"/>
  <c r="CK75" i="29"/>
  <c r="CK57" i="29"/>
  <c r="CK61" i="29"/>
  <c r="CK60" i="29"/>
  <c r="BW97" i="29"/>
  <c r="BW100" i="29"/>
  <c r="BG44" i="29"/>
  <c r="BG43" i="29" s="1"/>
  <c r="CN75" i="29"/>
  <c r="CN57" i="29"/>
  <c r="CN60" i="29"/>
  <c r="BG101" i="29"/>
  <c r="BG105" i="29"/>
  <c r="CK94" i="29"/>
  <c r="CK96" i="29"/>
  <c r="CG56" i="29"/>
  <c r="CF41" i="29"/>
  <c r="CG41" i="29"/>
  <c r="BZ96" i="29"/>
  <c r="BZ94" i="29"/>
  <c r="CR93" i="29"/>
  <c r="CR78" i="29"/>
  <c r="CD75" i="29"/>
  <c r="CD57" i="29"/>
  <c r="CD61" i="29" s="1"/>
  <c r="CC41" i="29" s="1"/>
  <c r="CD60" i="29"/>
  <c r="CC63" i="29"/>
  <c r="BM41" i="29"/>
  <c r="BL41" i="29"/>
  <c r="CB94" i="29"/>
  <c r="CB96" i="29"/>
  <c r="BQ97" i="29"/>
  <c r="BQ100" i="29"/>
  <c r="CD94" i="29"/>
  <c r="CD96" i="29"/>
  <c r="BM105" i="29"/>
  <c r="BM101" i="29"/>
  <c r="BW61" i="29"/>
  <c r="CR115" i="29"/>
  <c r="CR116" i="29" s="1"/>
  <c r="CQ8" i="29"/>
  <c r="CQ69" i="29"/>
  <c r="CR118" i="29"/>
  <c r="CR119" i="29" s="1"/>
  <c r="CR63" i="29"/>
  <c r="BO41" i="29"/>
  <c r="BN41" i="29"/>
  <c r="CI96" i="29"/>
  <c r="CI94" i="29"/>
  <c r="BO100" i="29"/>
  <c r="BO97" i="29"/>
  <c r="BO56" i="29"/>
  <c r="CP78" i="29"/>
  <c r="CP93" i="29"/>
  <c r="BE101" i="29"/>
  <c r="BE105" i="29"/>
  <c r="CP115" i="29"/>
  <c r="CP116" i="29" s="1"/>
  <c r="CP118" i="29"/>
  <c r="CP119" i="29" s="1"/>
  <c r="CO69" i="29"/>
  <c r="CP63" i="29"/>
  <c r="CO8" i="29"/>
  <c r="CI57" i="29"/>
  <c r="CI61" i="29" s="1"/>
  <c r="CI75" i="29"/>
  <c r="CI60" i="29"/>
  <c r="BE45" i="29"/>
  <c r="BE44" i="29" s="1"/>
  <c r="BD45" i="29"/>
  <c r="BD44" i="29" s="1"/>
  <c r="BD43" i="29" s="1"/>
  <c r="BD56" i="29"/>
  <c r="BD55" i="29" s="1"/>
  <c r="BE55" i="29"/>
  <c r="BE133" i="29"/>
  <c r="BE134" i="29" s="1"/>
  <c r="BG132" i="29"/>
  <c r="BG139" i="29"/>
  <c r="BM138" i="29"/>
  <c r="S43" i="29"/>
  <c r="AW54" i="29"/>
  <c r="AZ44" i="29"/>
  <c r="BG54" i="29"/>
  <c r="AM54" i="29"/>
  <c r="AP44" i="29"/>
  <c r="BM135" i="29"/>
  <c r="BG136" i="29"/>
  <c r="BG137" i="29" s="1"/>
  <c r="AU150" i="29"/>
  <c r="AY105" i="29"/>
  <c r="AU106" i="29"/>
  <c r="CD56" i="29" l="1"/>
  <c r="CD41" i="29"/>
  <c r="CB41" i="29"/>
  <c r="CA41" i="29"/>
  <c r="BZ41" i="29"/>
  <c r="BZ56" i="29"/>
  <c r="BY41" i="29"/>
  <c r="CB56" i="29"/>
  <c r="CA56" i="29" s="1"/>
  <c r="CA55" i="29" s="1"/>
  <c r="BJ44" i="29"/>
  <c r="CN100" i="29"/>
  <c r="CN97" i="29"/>
  <c r="CD100" i="29"/>
  <c r="CD97" i="29"/>
  <c r="CG105" i="29"/>
  <c r="CG106" i="29" s="1"/>
  <c r="CG101" i="29"/>
  <c r="BQ105" i="29"/>
  <c r="BQ101" i="29"/>
  <c r="CR96" i="29"/>
  <c r="CR94" i="29"/>
  <c r="CG55" i="29"/>
  <c r="CF56" i="29"/>
  <c r="CF55" i="29" s="1"/>
  <c r="CG45" i="29"/>
  <c r="CG44" i="29" s="1"/>
  <c r="CF45" i="29"/>
  <c r="CF44" i="29" s="1"/>
  <c r="CF43" i="29" s="1"/>
  <c r="CN61" i="29"/>
  <c r="CN56" i="29" s="1"/>
  <c r="CJ41" i="29"/>
  <c r="CK41" i="29"/>
  <c r="BQ55" i="29"/>
  <c r="BP56" i="29"/>
  <c r="BP55" i="29" s="1"/>
  <c r="BP45" i="29"/>
  <c r="BQ45" i="29"/>
  <c r="BW41" i="29"/>
  <c r="BV41" i="29"/>
  <c r="CK97" i="29"/>
  <c r="CK100" i="29"/>
  <c r="CK56" i="29"/>
  <c r="BQ41" i="29"/>
  <c r="BP41" i="29"/>
  <c r="CR60" i="29"/>
  <c r="CR75" i="29"/>
  <c r="CR57" i="29"/>
  <c r="BW56" i="29"/>
  <c r="BZ97" i="29"/>
  <c r="BZ100" i="29"/>
  <c r="BL44" i="29"/>
  <c r="BL43" i="29" s="1"/>
  <c r="BR105" i="29"/>
  <c r="BM106" i="29"/>
  <c r="CB100" i="29"/>
  <c r="CB97" i="29"/>
  <c r="BJ105" i="29"/>
  <c r="BG106" i="29"/>
  <c r="BW101" i="29"/>
  <c r="BW105" i="29"/>
  <c r="BW106" i="29" s="1"/>
  <c r="BM44" i="29"/>
  <c r="BM139" i="29"/>
  <c r="BO138" i="29"/>
  <c r="BY56" i="29"/>
  <c r="BY55" i="29" s="1"/>
  <c r="BZ55" i="29"/>
  <c r="BZ45" i="29"/>
  <c r="BZ44" i="29" s="1"/>
  <c r="BY45" i="29"/>
  <c r="BY44" i="29" s="1"/>
  <c r="BY43" i="29" s="1"/>
  <c r="CI41" i="29"/>
  <c r="CH41" i="29"/>
  <c r="BG140" i="29"/>
  <c r="BG148" i="29" s="1"/>
  <c r="BG150" i="29"/>
  <c r="BE150" i="29"/>
  <c r="BI105" i="29"/>
  <c r="BE106" i="29"/>
  <c r="CI97" i="29"/>
  <c r="CI100" i="29"/>
  <c r="BM136" i="29"/>
  <c r="BM137" i="29" s="1"/>
  <c r="BO135" i="29"/>
  <c r="CI56" i="29"/>
  <c r="CP57" i="29"/>
  <c r="CP75" i="29"/>
  <c r="CP60" i="29"/>
  <c r="BG133" i="29"/>
  <c r="BG134" i="29" s="1"/>
  <c r="BM132" i="29"/>
  <c r="BE54" i="29"/>
  <c r="BI44" i="29"/>
  <c r="BE43" i="29"/>
  <c r="CD45" i="29"/>
  <c r="CD44" i="29" s="1"/>
  <c r="CD55" i="29"/>
  <c r="CC45" i="29"/>
  <c r="CC44" i="29" s="1"/>
  <c r="CC43" i="29" s="1"/>
  <c r="CC56" i="29"/>
  <c r="CC55" i="29" s="1"/>
  <c r="CP96" i="29"/>
  <c r="CP94" i="29"/>
  <c r="BN56" i="29"/>
  <c r="BN55" i="29" s="1"/>
  <c r="BO45" i="29"/>
  <c r="BO44" i="29" s="1"/>
  <c r="BO55" i="29"/>
  <c r="BN45" i="29"/>
  <c r="BN44" i="29" s="1"/>
  <c r="BN43" i="29" s="1"/>
  <c r="BO101" i="29"/>
  <c r="BO105" i="29"/>
  <c r="CB55" i="29" l="1"/>
  <c r="CB45" i="29"/>
  <c r="CB44" i="29" s="1"/>
  <c r="CA45" i="29"/>
  <c r="CA44" i="29" s="1"/>
  <c r="CA43" i="29" s="1"/>
  <c r="CN101" i="29"/>
  <c r="CN105" i="29"/>
  <c r="CK105" i="29"/>
  <c r="CK101" i="29"/>
  <c r="CG54" i="29"/>
  <c r="CG43" i="29"/>
  <c r="BT105" i="29"/>
  <c r="BQ106" i="29"/>
  <c r="BZ101" i="29"/>
  <c r="BZ105" i="29"/>
  <c r="BZ106" i="29" s="1"/>
  <c r="BQ44" i="29"/>
  <c r="CN55" i="29"/>
  <c r="CM56" i="29"/>
  <c r="CM55" i="29" s="1"/>
  <c r="CN45" i="29"/>
  <c r="CM45" i="29"/>
  <c r="CR61" i="29"/>
  <c r="CR56" i="29"/>
  <c r="BM43" i="29"/>
  <c r="BR44" i="29"/>
  <c r="BM54" i="29"/>
  <c r="CB105" i="29"/>
  <c r="CB101" i="29"/>
  <c r="BW55" i="29"/>
  <c r="BV45" i="29"/>
  <c r="BV44" i="29" s="1"/>
  <c r="BV43" i="29" s="1"/>
  <c r="BV56" i="29"/>
  <c r="BV55" i="29" s="1"/>
  <c r="BW45" i="29"/>
  <c r="BW44" i="29" s="1"/>
  <c r="CK45" i="29"/>
  <c r="CK44" i="29" s="1"/>
  <c r="CK55" i="29"/>
  <c r="CJ45" i="29"/>
  <c r="CJ44" i="29" s="1"/>
  <c r="CJ43" i="29" s="1"/>
  <c r="CJ56" i="29"/>
  <c r="CJ55" i="29" s="1"/>
  <c r="BP44" i="29"/>
  <c r="BP43" i="29" s="1"/>
  <c r="CM41" i="29"/>
  <c r="CN41" i="29"/>
  <c r="CR97" i="29"/>
  <c r="CR100" i="29"/>
  <c r="CD101" i="29"/>
  <c r="CD105" i="29"/>
  <c r="CD43" i="29"/>
  <c r="CD54" i="29"/>
  <c r="BW135" i="29"/>
  <c r="BQ135" i="29"/>
  <c r="BO136" i="29"/>
  <c r="BO137" i="29" s="1"/>
  <c r="BZ54" i="29"/>
  <c r="BZ43" i="29"/>
  <c r="CP100" i="29"/>
  <c r="CP97" i="29"/>
  <c r="CI105" i="29"/>
  <c r="CI101" i="29"/>
  <c r="BO132" i="29"/>
  <c r="BM133" i="29"/>
  <c r="BM134" i="29" s="1"/>
  <c r="CH56" i="29"/>
  <c r="CH55" i="29" s="1"/>
  <c r="CH45" i="29"/>
  <c r="CH44" i="29" s="1"/>
  <c r="CH43" i="29" s="1"/>
  <c r="CI55" i="29"/>
  <c r="CI45" i="29"/>
  <c r="CI44" i="29" s="1"/>
  <c r="BO43" i="29"/>
  <c r="BS44" i="29"/>
  <c r="BO54" i="29"/>
  <c r="BW138" i="29"/>
  <c r="BQ138" i="29"/>
  <c r="BO139" i="29"/>
  <c r="BO140" i="29" s="1"/>
  <c r="BO148" i="29" s="1"/>
  <c r="BS105" i="29"/>
  <c r="BO106" i="29"/>
  <c r="CP61" i="29"/>
  <c r="CB54" i="29"/>
  <c r="CB43" i="29"/>
  <c r="BM140" i="29"/>
  <c r="BM148" i="29" s="1"/>
  <c r="BM150" i="29"/>
  <c r="CN44" i="29" l="1"/>
  <c r="CN106" i="29"/>
  <c r="CN150" i="29"/>
  <c r="CN54" i="29"/>
  <c r="CN43" i="29"/>
  <c r="CD106" i="29"/>
  <c r="CD150" i="29"/>
  <c r="CR101" i="29"/>
  <c r="CR105" i="29"/>
  <c r="CR45" i="29"/>
  <c r="CQ56" i="29"/>
  <c r="CQ55" i="29" s="1"/>
  <c r="CR55" i="29"/>
  <c r="CQ45" i="29"/>
  <c r="BQ43" i="29"/>
  <c r="BT44" i="29"/>
  <c r="BQ54" i="29"/>
  <c r="BW43" i="29"/>
  <c r="BW54" i="29"/>
  <c r="CQ41" i="29"/>
  <c r="CR41" i="29"/>
  <c r="CK43" i="29"/>
  <c r="CK54" i="29"/>
  <c r="CB150" i="29"/>
  <c r="CB106" i="29"/>
  <c r="CM44" i="29"/>
  <c r="CM43" i="29" s="1"/>
  <c r="CK150" i="29"/>
  <c r="CK106" i="29"/>
  <c r="BO150" i="29"/>
  <c r="CI150" i="29"/>
  <c r="CI106" i="29"/>
  <c r="BW139" i="29"/>
  <c r="BZ138" i="29"/>
  <c r="BW136" i="29"/>
  <c r="BW137" i="29" s="1"/>
  <c r="BZ135" i="29"/>
  <c r="BQ136" i="29"/>
  <c r="BQ137" i="29" s="1"/>
  <c r="CG135" i="29"/>
  <c r="CG136" i="29" s="1"/>
  <c r="CG137" i="29" s="1"/>
  <c r="CP101" i="29"/>
  <c r="CP105" i="29"/>
  <c r="CP41" i="29"/>
  <c r="CO41" i="29"/>
  <c r="CG138" i="29"/>
  <c r="CG139" i="29" s="1"/>
  <c r="BQ139" i="29"/>
  <c r="CP56" i="29"/>
  <c r="BO133" i="29"/>
  <c r="BO134" i="29" s="1"/>
  <c r="BQ132" i="29"/>
  <c r="BW132" i="29"/>
  <c r="CI43" i="29"/>
  <c r="CI54" i="29"/>
  <c r="CR150" i="29" l="1"/>
  <c r="CR106" i="29"/>
  <c r="CQ44" i="29"/>
  <c r="CQ43" i="29" s="1"/>
  <c r="CR44" i="29"/>
  <c r="CG132" i="29"/>
  <c r="CG133" i="29" s="1"/>
  <c r="CG134" i="29" s="1"/>
  <c r="BQ133" i="29"/>
  <c r="BQ134" i="29" s="1"/>
  <c r="CP106" i="29"/>
  <c r="BZ139" i="29"/>
  <c r="CP138" i="29"/>
  <c r="CP139" i="29" s="1"/>
  <c r="CP140" i="29" s="1"/>
  <c r="CP148" i="29" s="1"/>
  <c r="CO56" i="29"/>
  <c r="CO55" i="29" s="1"/>
  <c r="CO45" i="29"/>
  <c r="CO44" i="29" s="1"/>
  <c r="CO43" i="29" s="1"/>
  <c r="CP55" i="29"/>
  <c r="CP45" i="29"/>
  <c r="CP44" i="29" s="1"/>
  <c r="BW140" i="29"/>
  <c r="BW148" i="29" s="1"/>
  <c r="BW150" i="29"/>
  <c r="BZ136" i="29"/>
  <c r="BZ137" i="29" s="1"/>
  <c r="CP135" i="29"/>
  <c r="BQ140" i="29"/>
  <c r="BQ148" i="29" s="1"/>
  <c r="BQ150" i="29"/>
  <c r="BW133" i="29"/>
  <c r="BW134" i="29" s="1"/>
  <c r="BZ132" i="29"/>
  <c r="CG140" i="29"/>
  <c r="CG148" i="29" s="1"/>
  <c r="CG150" i="29"/>
  <c r="CP136" i="29" l="1"/>
  <c r="CP137" i="29" s="1"/>
  <c r="DI135" i="29"/>
  <c r="DI136" i="29" s="1"/>
  <c r="DI137" i="29" s="1"/>
  <c r="CR43" i="29"/>
  <c r="CR54" i="29"/>
  <c r="BZ140" i="29"/>
  <c r="BZ148" i="29" s="1"/>
  <c r="BZ150" i="29"/>
  <c r="CP54" i="29"/>
  <c r="CP43" i="29"/>
  <c r="BZ133" i="29"/>
  <c r="BZ134" i="29" s="1"/>
  <c r="CP132" i="29"/>
  <c r="CP133" i="29" s="1"/>
  <c r="CP134" i="29" s="1"/>
  <c r="CP150" i="29"/>
  <c r="CE49" i="28" l="1"/>
  <c r="BO49" i="28" l="1"/>
  <c r="BR86" i="28"/>
  <c r="BT86" i="28" s="1"/>
  <c r="BT130" i="28" s="1"/>
  <c r="BJ86" i="28"/>
  <c r="BL86" i="28" s="1"/>
  <c r="BL130" i="28" s="1"/>
  <c r="W147" i="28"/>
  <c r="U147" i="28"/>
  <c r="S147" i="28"/>
  <c r="Q147" i="28"/>
  <c r="O147" i="28"/>
  <c r="CD144" i="28"/>
  <c r="CB144" i="28"/>
  <c r="BZ144" i="28"/>
  <c r="BW144" i="28"/>
  <c r="BT144" i="28"/>
  <c r="BR144" i="28"/>
  <c r="BP144" i="28"/>
  <c r="BL144" i="28"/>
  <c r="BJ144" i="28"/>
  <c r="BH144" i="28"/>
  <c r="BE144" i="28"/>
  <c r="AY144" i="28"/>
  <c r="AW144" i="28"/>
  <c r="AU144" i="28"/>
  <c r="AO144" i="28"/>
  <c r="AM144" i="28"/>
  <c r="AK144" i="28"/>
  <c r="AE144" i="28"/>
  <c r="AC144" i="28"/>
  <c r="AA144" i="28"/>
  <c r="Y144" i="28"/>
  <c r="W144" i="28"/>
  <c r="U144" i="28"/>
  <c r="S144" i="28"/>
  <c r="Q144" i="28"/>
  <c r="O144" i="28"/>
  <c r="I144" i="28"/>
  <c r="K144" i="28" s="1"/>
  <c r="BR143" i="28"/>
  <c r="BJ143" i="28"/>
  <c r="BJ147" i="28" s="1"/>
  <c r="I143" i="28"/>
  <c r="K143" i="28" s="1"/>
  <c r="M143" i="28" s="1"/>
  <c r="CD142" i="28"/>
  <c r="CD147" i="28" s="1"/>
  <c r="CB142" i="28"/>
  <c r="CB147" i="28" s="1"/>
  <c r="BZ142" i="28"/>
  <c r="BZ147" i="28" s="1"/>
  <c r="BW142" i="28"/>
  <c r="BW147" i="28" s="1"/>
  <c r="BT142" i="28"/>
  <c r="BR142" i="28"/>
  <c r="BP142" i="28"/>
  <c r="BP147" i="28" s="1"/>
  <c r="BL142" i="28"/>
  <c r="BJ142" i="28"/>
  <c r="BH142" i="28"/>
  <c r="BH147" i="28" s="1"/>
  <c r="BE142" i="28"/>
  <c r="BE147" i="28" s="1"/>
  <c r="AY142" i="28"/>
  <c r="AW142" i="28"/>
  <c r="AU142" i="28"/>
  <c r="AU147" i="28" s="1"/>
  <c r="AO142" i="28"/>
  <c r="AO147" i="28" s="1"/>
  <c r="AM142" i="28"/>
  <c r="AM147" i="28" s="1"/>
  <c r="AK142" i="28"/>
  <c r="AK147" i="28" s="1"/>
  <c r="AE142" i="28"/>
  <c r="AC142" i="28"/>
  <c r="AA142" i="28"/>
  <c r="AA147" i="28" s="1"/>
  <c r="Y142" i="28"/>
  <c r="Y147" i="28" s="1"/>
  <c r="M142" i="28"/>
  <c r="K142" i="28"/>
  <c r="I142" i="28"/>
  <c r="G142" i="28"/>
  <c r="CD135" i="28"/>
  <c r="CB135" i="28"/>
  <c r="BT135" i="28"/>
  <c r="BR135" i="28"/>
  <c r="BP135" i="28"/>
  <c r="BL135" i="28"/>
  <c r="BJ135" i="28"/>
  <c r="BE135" i="28"/>
  <c r="Y135" i="28"/>
  <c r="Q135" i="28"/>
  <c r="S135" i="28" s="1"/>
  <c r="AA135" i="28" s="1"/>
  <c r="I135" i="28"/>
  <c r="CD130" i="28"/>
  <c r="CD124" i="28" s="1"/>
  <c r="CD123" i="28" s="1"/>
  <c r="CD121" i="28" s="1"/>
  <c r="CD122" i="28" s="1"/>
  <c r="CD79" i="28" s="1"/>
  <c r="CB130" i="28"/>
  <c r="BZ130" i="28"/>
  <c r="BW130" i="28"/>
  <c r="BP130" i="28"/>
  <c r="BH130" i="28"/>
  <c r="BE130" i="28"/>
  <c r="AY130" i="28"/>
  <c r="AW130" i="28"/>
  <c r="AU130" i="28"/>
  <c r="AO130" i="28"/>
  <c r="AM130" i="28"/>
  <c r="AK130" i="28"/>
  <c r="AE130" i="28"/>
  <c r="AC130" i="28"/>
  <c r="AA130" i="28"/>
  <c r="Y130" i="28"/>
  <c r="W130" i="28"/>
  <c r="U130" i="28"/>
  <c r="S130" i="28"/>
  <c r="Q130" i="28"/>
  <c r="O130" i="28"/>
  <c r="M130" i="28"/>
  <c r="K130" i="28"/>
  <c r="I130" i="28"/>
  <c r="G130" i="28"/>
  <c r="CD129" i="28"/>
  <c r="CB129" i="28"/>
  <c r="BZ129" i="28"/>
  <c r="BW129" i="28"/>
  <c r="BT129" i="28"/>
  <c r="BR129" i="28"/>
  <c r="BP129" i="28"/>
  <c r="BL129" i="28"/>
  <c r="BJ129" i="28"/>
  <c r="BH129" i="28"/>
  <c r="BE129" i="28"/>
  <c r="AY129" i="28"/>
  <c r="AW129" i="28"/>
  <c r="AU129" i="28"/>
  <c r="AO129" i="28"/>
  <c r="AM129" i="28"/>
  <c r="AK129" i="28"/>
  <c r="AE129" i="28"/>
  <c r="AE124" i="28" s="1"/>
  <c r="AE123" i="28" s="1"/>
  <c r="AE121" i="28" s="1"/>
  <c r="AE122" i="28" s="1"/>
  <c r="AE79" i="28" s="1"/>
  <c r="AC129" i="28"/>
  <c r="AA129" i="28"/>
  <c r="Y129" i="28"/>
  <c r="W129" i="28"/>
  <c r="U129" i="28"/>
  <c r="S129" i="28"/>
  <c r="Q129" i="28"/>
  <c r="O129" i="28"/>
  <c r="M129" i="28"/>
  <c r="K129" i="28"/>
  <c r="I129" i="28"/>
  <c r="G129" i="28"/>
  <c r="CD128" i="28"/>
  <c r="CB128" i="28"/>
  <c r="BZ128" i="28"/>
  <c r="BW128" i="28"/>
  <c r="BT128" i="28"/>
  <c r="BR128" i="28"/>
  <c r="BP128" i="28"/>
  <c r="BL128" i="28"/>
  <c r="BJ128" i="28"/>
  <c r="BH128" i="28"/>
  <c r="BE128" i="28"/>
  <c r="AY128" i="28"/>
  <c r="AW128" i="28"/>
  <c r="AU128" i="28"/>
  <c r="AO128" i="28"/>
  <c r="AM128" i="28"/>
  <c r="AK128" i="28"/>
  <c r="AE128" i="28"/>
  <c r="AC128" i="28"/>
  <c r="AA128" i="28"/>
  <c r="Y128" i="28"/>
  <c r="W128" i="28"/>
  <c r="U128" i="28"/>
  <c r="S128" i="28"/>
  <c r="Q128" i="28"/>
  <c r="O128" i="28"/>
  <c r="M128" i="28"/>
  <c r="K128" i="28"/>
  <c r="I128" i="28"/>
  <c r="G128" i="28"/>
  <c r="CD127" i="28"/>
  <c r="CB127" i="28"/>
  <c r="BZ127" i="28"/>
  <c r="BW127" i="28"/>
  <c r="BT127" i="28"/>
  <c r="BR127" i="28"/>
  <c r="BP127" i="28"/>
  <c r="BL127" i="28"/>
  <c r="BJ127" i="28"/>
  <c r="BH127" i="28"/>
  <c r="BE127" i="28"/>
  <c r="AY127" i="28"/>
  <c r="AW127" i="28"/>
  <c r="AU127" i="28"/>
  <c r="AO127" i="28"/>
  <c r="AM127" i="28"/>
  <c r="AK127" i="28"/>
  <c r="AE127" i="28"/>
  <c r="AC127" i="28"/>
  <c r="AA127" i="28"/>
  <c r="Y127" i="28"/>
  <c r="W127" i="28"/>
  <c r="U127" i="28"/>
  <c r="S127" i="28"/>
  <c r="Q127" i="28"/>
  <c r="O127" i="28"/>
  <c r="M127" i="28"/>
  <c r="K127" i="28"/>
  <c r="I127" i="28"/>
  <c r="G127" i="28"/>
  <c r="CD126" i="28"/>
  <c r="CB126" i="28"/>
  <c r="CB124" i="28" s="1"/>
  <c r="CB123" i="28" s="1"/>
  <c r="CB121" i="28" s="1"/>
  <c r="CB122" i="28" s="1"/>
  <c r="CB79" i="28" s="1"/>
  <c r="BZ126" i="28"/>
  <c r="BW126" i="28"/>
  <c r="BT126" i="28"/>
  <c r="BR126" i="28"/>
  <c r="BP126" i="28"/>
  <c r="BL126" i="28"/>
  <c r="BJ126" i="28"/>
  <c r="BH126" i="28"/>
  <c r="BE126" i="28"/>
  <c r="AY126" i="28"/>
  <c r="AW126" i="28"/>
  <c r="AU126" i="28"/>
  <c r="AO126" i="28"/>
  <c r="AM126" i="28"/>
  <c r="AK126" i="28"/>
  <c r="AE126" i="28"/>
  <c r="AC126" i="28"/>
  <c r="AC124" i="28" s="1"/>
  <c r="AC123" i="28" s="1"/>
  <c r="AC121" i="28" s="1"/>
  <c r="AC122" i="28" s="1"/>
  <c r="AC79" i="28" s="1"/>
  <c r="AA126" i="28"/>
  <c r="Y126" i="28"/>
  <c r="W126" i="28"/>
  <c r="W124" i="28" s="1"/>
  <c r="W123" i="28" s="1"/>
  <c r="W121" i="28" s="1"/>
  <c r="W122" i="28" s="1"/>
  <c r="W79" i="28" s="1"/>
  <c r="U126" i="28"/>
  <c r="S126" i="28"/>
  <c r="S124" i="28" s="1"/>
  <c r="S123" i="28" s="1"/>
  <c r="S121" i="28" s="1"/>
  <c r="S122" i="28" s="1"/>
  <c r="S79" i="28" s="1"/>
  <c r="Q126" i="28"/>
  <c r="O126" i="28"/>
  <c r="O124" i="28" s="1"/>
  <c r="O123" i="28" s="1"/>
  <c r="O121" i="28" s="1"/>
  <c r="O122" i="28" s="1"/>
  <c r="O79" i="28" s="1"/>
  <c r="M126" i="28"/>
  <c r="M124" i="28" s="1"/>
  <c r="M123" i="28" s="1"/>
  <c r="M121" i="28" s="1"/>
  <c r="M122" i="28" s="1"/>
  <c r="M79" i="28" s="1"/>
  <c r="M78" i="28" s="1"/>
  <c r="K126" i="28"/>
  <c r="K124" i="28" s="1"/>
  <c r="K123" i="28" s="1"/>
  <c r="K121" i="28" s="1"/>
  <c r="K122" i="28" s="1"/>
  <c r="K79" i="28" s="1"/>
  <c r="K78" i="28" s="1"/>
  <c r="I126" i="28"/>
  <c r="G126" i="28"/>
  <c r="G124" i="28" s="1"/>
  <c r="G123" i="28" s="1"/>
  <c r="G121" i="28" s="1"/>
  <c r="G122" i="28" s="1"/>
  <c r="G79" i="28" s="1"/>
  <c r="G78" i="28" s="1"/>
  <c r="M118" i="28"/>
  <c r="K118" i="28"/>
  <c r="I118" i="28"/>
  <c r="G118" i="28"/>
  <c r="M115" i="28"/>
  <c r="K115" i="28"/>
  <c r="I115" i="28"/>
  <c r="G115" i="28"/>
  <c r="CD113" i="28"/>
  <c r="CB113" i="28"/>
  <c r="BZ113" i="28"/>
  <c r="BW113" i="28"/>
  <c r="BT113" i="28"/>
  <c r="BR113" i="28"/>
  <c r="BP113" i="28"/>
  <c r="BL113" i="28"/>
  <c r="BJ113" i="28"/>
  <c r="BH113" i="28"/>
  <c r="BE113" i="28"/>
  <c r="AY113" i="28"/>
  <c r="AW113" i="28"/>
  <c r="AU113" i="28"/>
  <c r="AO113" i="28"/>
  <c r="AM113" i="28"/>
  <c r="AK113" i="28"/>
  <c r="AE113" i="28"/>
  <c r="AC113" i="28"/>
  <c r="AA113" i="28"/>
  <c r="Y113" i="28"/>
  <c r="W113" i="28"/>
  <c r="U113" i="28"/>
  <c r="S113" i="28"/>
  <c r="Q113" i="28"/>
  <c r="O113" i="28"/>
  <c r="M113" i="28"/>
  <c r="K113" i="28"/>
  <c r="I113" i="28"/>
  <c r="G113" i="28"/>
  <c r="CD107" i="28"/>
  <c r="CD111" i="28" s="1"/>
  <c r="CD112" i="28" s="1"/>
  <c r="CB107" i="28"/>
  <c r="CB111" i="28" s="1"/>
  <c r="CB112" i="28" s="1"/>
  <c r="BZ107" i="28"/>
  <c r="BZ111" i="28" s="1"/>
  <c r="BZ112" i="28" s="1"/>
  <c r="BW107" i="28"/>
  <c r="BW111" i="28" s="1"/>
  <c r="BW112" i="28" s="1"/>
  <c r="BT107" i="28"/>
  <c r="BT111" i="28" s="1"/>
  <c r="BT112" i="28" s="1"/>
  <c r="BR107" i="28"/>
  <c r="BR111" i="28" s="1"/>
  <c r="BR112" i="28" s="1"/>
  <c r="BP107" i="28"/>
  <c r="BP111" i="28" s="1"/>
  <c r="BP112" i="28" s="1"/>
  <c r="BL107" i="28"/>
  <c r="BL111" i="28" s="1"/>
  <c r="BL112" i="28" s="1"/>
  <c r="BJ107" i="28"/>
  <c r="BJ111" i="28" s="1"/>
  <c r="BJ112" i="28" s="1"/>
  <c r="BH107" i="28"/>
  <c r="BH111" i="28" s="1"/>
  <c r="BH112" i="28" s="1"/>
  <c r="BE107" i="28"/>
  <c r="BE111" i="28" s="1"/>
  <c r="BE112" i="28" s="1"/>
  <c r="AY107" i="28"/>
  <c r="AY111" i="28" s="1"/>
  <c r="AY112" i="28" s="1"/>
  <c r="AW107" i="28"/>
  <c r="AW111" i="28" s="1"/>
  <c r="AW112" i="28" s="1"/>
  <c r="AU107" i="28"/>
  <c r="AU111" i="28" s="1"/>
  <c r="AU112" i="28" s="1"/>
  <c r="AO107" i="28"/>
  <c r="AO111" i="28" s="1"/>
  <c r="AO112" i="28" s="1"/>
  <c r="AM107" i="28"/>
  <c r="AM111" i="28" s="1"/>
  <c r="AM112" i="28" s="1"/>
  <c r="AK107" i="28"/>
  <c r="AK111" i="28" s="1"/>
  <c r="AK112" i="28" s="1"/>
  <c r="AE107" i="28"/>
  <c r="AE111" i="28" s="1"/>
  <c r="AE112" i="28" s="1"/>
  <c r="AC107" i="28"/>
  <c r="AC111" i="28" s="1"/>
  <c r="AC112" i="28" s="1"/>
  <c r="AA107" i="28"/>
  <c r="AA111" i="28" s="1"/>
  <c r="AA112" i="28" s="1"/>
  <c r="Y107" i="28"/>
  <c r="Y111" i="28" s="1"/>
  <c r="Y112" i="28" s="1"/>
  <c r="W107" i="28"/>
  <c r="W111" i="28" s="1"/>
  <c r="W112" i="28" s="1"/>
  <c r="U107" i="28"/>
  <c r="U111" i="28" s="1"/>
  <c r="U112" i="28" s="1"/>
  <c r="S107" i="28"/>
  <c r="S111" i="28" s="1"/>
  <c r="S112" i="28" s="1"/>
  <c r="Q107" i="28"/>
  <c r="Q111" i="28" s="1"/>
  <c r="Q112" i="28" s="1"/>
  <c r="O107" i="28"/>
  <c r="O111" i="28" s="1"/>
  <c r="O112" i="28" s="1"/>
  <c r="M107" i="28"/>
  <c r="M111" i="28" s="1"/>
  <c r="M112" i="28" s="1"/>
  <c r="K107" i="28"/>
  <c r="K111" i="28" s="1"/>
  <c r="K112" i="28" s="1"/>
  <c r="I107" i="28"/>
  <c r="I111" i="28" s="1"/>
  <c r="I112" i="28" s="1"/>
  <c r="G107" i="28"/>
  <c r="G111" i="28" s="1"/>
  <c r="G112" i="28" s="1"/>
  <c r="BH103" i="28"/>
  <c r="AU103" i="28"/>
  <c r="AO103" i="28"/>
  <c r="W103" i="28"/>
  <c r="U103" i="28"/>
  <c r="S103" i="28"/>
  <c r="Q103" i="28"/>
  <c r="O103" i="28"/>
  <c r="BR99" i="28"/>
  <c r="BT99" i="28" s="1"/>
  <c r="BJ99" i="28"/>
  <c r="BL99" i="28" s="1"/>
  <c r="BB99" i="28"/>
  <c r="BA99" i="28"/>
  <c r="AZ99" i="28"/>
  <c r="AR99" i="28"/>
  <c r="AQ99" i="28"/>
  <c r="AP99" i="28"/>
  <c r="AH99" i="28"/>
  <c r="AG99" i="28"/>
  <c r="AF99" i="28"/>
  <c r="CC84" i="28"/>
  <c r="CA84" i="28"/>
  <c r="BW84" i="28"/>
  <c r="BV84" i="28" s="1"/>
  <c r="BR84" i="28"/>
  <c r="BT84" i="28" s="1"/>
  <c r="BJ84" i="28"/>
  <c r="BE84" i="28"/>
  <c r="BB84" i="28"/>
  <c r="BA84" i="28"/>
  <c r="AZ84" i="28"/>
  <c r="AV84" i="28"/>
  <c r="AT84" i="28"/>
  <c r="AR84" i="28"/>
  <c r="AQ84" i="28"/>
  <c r="AP84" i="28"/>
  <c r="AL84" i="28"/>
  <c r="AH84" i="28"/>
  <c r="AG84" i="28"/>
  <c r="AF84" i="28"/>
  <c r="AB84" i="28"/>
  <c r="AJ84" i="28" s="1"/>
  <c r="U84" i="28"/>
  <c r="M83" i="28"/>
  <c r="K83" i="28"/>
  <c r="I83" i="28"/>
  <c r="G83" i="28"/>
  <c r="E82" i="28"/>
  <c r="E88" i="28" s="1"/>
  <c r="E81" i="28"/>
  <c r="E87" i="28" s="1"/>
  <c r="E90" i="28" s="1"/>
  <c r="E93" i="28" s="1"/>
  <c r="E96" i="28" s="1"/>
  <c r="BW74" i="28"/>
  <c r="AA74" i="28"/>
  <c r="W74" i="28"/>
  <c r="U74" i="28"/>
  <c r="S74" i="28"/>
  <c r="Q74" i="28"/>
  <c r="O74" i="28"/>
  <c r="CD72" i="28"/>
  <c r="CD66" i="28" s="1"/>
  <c r="CB72" i="28"/>
  <c r="CB66" i="28" s="1"/>
  <c r="BZ72" i="28"/>
  <c r="BZ66" i="28" s="1"/>
  <c r="BW72" i="28"/>
  <c r="BT72" i="28"/>
  <c r="BR72" i="28"/>
  <c r="BP72" i="28"/>
  <c r="BL72" i="28"/>
  <c r="BJ72" i="28"/>
  <c r="BH72" i="28"/>
  <c r="BE72" i="28"/>
  <c r="AY72" i="28"/>
  <c r="AW72" i="28"/>
  <c r="AU72" i="28"/>
  <c r="AO72" i="28"/>
  <c r="AM72" i="28"/>
  <c r="AK72" i="28"/>
  <c r="AE72" i="28"/>
  <c r="AC72" i="28"/>
  <c r="AA72" i="28"/>
  <c r="Y72" i="28"/>
  <c r="W72" i="28"/>
  <c r="U72" i="28"/>
  <c r="S72" i="28"/>
  <c r="S67" i="28" s="1"/>
  <c r="R8" i="28" s="1"/>
  <c r="Q72" i="28"/>
  <c r="Q66" i="28" s="1"/>
  <c r="O72" i="28"/>
  <c r="O66" i="28" s="1"/>
  <c r="M72" i="28"/>
  <c r="M74" i="28" s="1"/>
  <c r="L68" i="28" s="1"/>
  <c r="K72" i="28"/>
  <c r="K74" i="28" s="1"/>
  <c r="I72" i="28"/>
  <c r="I74" i="28" s="1"/>
  <c r="G72" i="28"/>
  <c r="G74" i="28" s="1"/>
  <c r="E72" i="28"/>
  <c r="C72" i="28"/>
  <c r="BW70" i="28"/>
  <c r="BP70" i="28"/>
  <c r="BE70" i="28"/>
  <c r="Y70" i="28"/>
  <c r="AC69" i="28"/>
  <c r="CD64" i="28"/>
  <c r="CB64" i="28"/>
  <c r="CB70" i="28" s="1"/>
  <c r="BZ64" i="28"/>
  <c r="BZ70" i="28" s="1"/>
  <c r="BR64" i="28"/>
  <c r="BR70" i="28" s="1"/>
  <c r="BH64" i="28"/>
  <c r="AY64" i="28"/>
  <c r="AW64" i="28"/>
  <c r="AW70" i="28" s="1"/>
  <c r="AU64" i="28"/>
  <c r="AU70" i="28" s="1"/>
  <c r="AO64" i="28"/>
  <c r="AO70" i="28" s="1"/>
  <c r="AM64" i="28"/>
  <c r="AL9" i="28" s="1"/>
  <c r="AK64" i="28"/>
  <c r="AE64" i="28"/>
  <c r="AC64" i="28"/>
  <c r="AC70" i="28" s="1"/>
  <c r="AA64" i="28"/>
  <c r="AA70" i="28" s="1"/>
  <c r="W64" i="28"/>
  <c r="W70" i="28" s="1"/>
  <c r="U64" i="28"/>
  <c r="T9" i="28" s="1"/>
  <c r="S64" i="28"/>
  <c r="Q64" i="28"/>
  <c r="Q70" i="28" s="1"/>
  <c r="O64" i="28"/>
  <c r="O70" i="28" s="1"/>
  <c r="E64" i="28"/>
  <c r="E65" i="28" s="1"/>
  <c r="M63" i="28"/>
  <c r="M57" i="28" s="1"/>
  <c r="M61" i="28" s="1"/>
  <c r="K63" i="28"/>
  <c r="K57" i="28" s="1"/>
  <c r="K61" i="28" s="1"/>
  <c r="I63" i="28"/>
  <c r="G63" i="28"/>
  <c r="CD59" i="28"/>
  <c r="CB59" i="28"/>
  <c r="BZ59" i="28"/>
  <c r="BW59" i="28"/>
  <c r="BT59" i="28"/>
  <c r="BR59" i="28"/>
  <c r="BL59" i="28"/>
  <c r="BJ59" i="28"/>
  <c r="BH59" i="28"/>
  <c r="BE59" i="28"/>
  <c r="AY59" i="28"/>
  <c r="AW59" i="28"/>
  <c r="AU59" i="28"/>
  <c r="AO59" i="28"/>
  <c r="AM59" i="28"/>
  <c r="AK59" i="28"/>
  <c r="AE59" i="28"/>
  <c r="AC59" i="28"/>
  <c r="AA59" i="28"/>
  <c r="Y59" i="28"/>
  <c r="W59" i="28"/>
  <c r="U59" i="28"/>
  <c r="S59" i="28"/>
  <c r="Q59" i="28"/>
  <c r="O59" i="28"/>
  <c r="M59" i="28"/>
  <c r="K59" i="28"/>
  <c r="I59" i="28"/>
  <c r="G59" i="28"/>
  <c r="AW49" i="28"/>
  <c r="AW48" i="28" s="1"/>
  <c r="AV49" i="28"/>
  <c r="AU49" i="28"/>
  <c r="AU48" i="28" s="1"/>
  <c r="AT49" i="28"/>
  <c r="AM49" i="28"/>
  <c r="AM48" i="28" s="1"/>
  <c r="AL49" i="28"/>
  <c r="AK49" i="28"/>
  <c r="AK48" i="28" s="1"/>
  <c r="AJ49" i="28"/>
  <c r="AC49" i="28"/>
  <c r="AC48" i="28" s="1"/>
  <c r="AB49" i="28"/>
  <c r="AA49" i="28"/>
  <c r="AA48" i="28" s="1"/>
  <c r="Z49" i="28"/>
  <c r="CD48" i="28"/>
  <c r="CB48" i="28"/>
  <c r="BZ48" i="28"/>
  <c r="CD45" i="28"/>
  <c r="CB45" i="28"/>
  <c r="BZ45" i="28"/>
  <c r="CC44" i="28"/>
  <c r="CC43" i="28" s="1"/>
  <c r="CA44" i="28"/>
  <c r="CA43" i="28" s="1"/>
  <c r="BY44" i="28"/>
  <c r="BY43" i="28" s="1"/>
  <c r="BW42" i="28"/>
  <c r="BT42" i="28"/>
  <c r="BR42" i="28"/>
  <c r="BL42" i="28"/>
  <c r="BJ42" i="28"/>
  <c r="AY42" i="28"/>
  <c r="AW42" i="28"/>
  <c r="AU42" i="28"/>
  <c r="AM42" i="28"/>
  <c r="AE42" i="28"/>
  <c r="AC42" i="28"/>
  <c r="AA42" i="28"/>
  <c r="W42" i="28"/>
  <c r="U42" i="28"/>
  <c r="S42" i="28"/>
  <c r="Q42" i="28"/>
  <c r="O42" i="28"/>
  <c r="M42" i="28"/>
  <c r="K42" i="28"/>
  <c r="I42" i="28"/>
  <c r="W39" i="28"/>
  <c r="U39" i="28"/>
  <c r="O39" i="28"/>
  <c r="BS38" i="28"/>
  <c r="BK38" i="28"/>
  <c r="BK42" i="28" s="1"/>
  <c r="AX38" i="28"/>
  <c r="AX37" i="28" s="1"/>
  <c r="AO38" i="28"/>
  <c r="AN38" i="28" s="1"/>
  <c r="AN42" i="28" s="1"/>
  <c r="AD38" i="28"/>
  <c r="R38" i="28"/>
  <c r="R42" i="28" s="1"/>
  <c r="L38" i="28"/>
  <c r="L37" i="28" s="1"/>
  <c r="BT37" i="28"/>
  <c r="BL37" i="28"/>
  <c r="AY37" i="28"/>
  <c r="AE37" i="28"/>
  <c r="S37" i="28"/>
  <c r="M37" i="28"/>
  <c r="BT36" i="28"/>
  <c r="BT35" i="28" s="1"/>
  <c r="BL36" i="28"/>
  <c r="BL35" i="28" s="1"/>
  <c r="BB36" i="28"/>
  <c r="BA36" i="28"/>
  <c r="AZ36" i="28"/>
  <c r="AR36" i="28"/>
  <c r="AQ36" i="28"/>
  <c r="AP36" i="28"/>
  <c r="AH36" i="28"/>
  <c r="AG36" i="28"/>
  <c r="AF36" i="28"/>
  <c r="BQ35" i="28"/>
  <c r="BI35" i="28"/>
  <c r="CC32" i="28"/>
  <c r="CD32" i="28" s="1"/>
  <c r="CA32" i="28"/>
  <c r="CB32" i="28" s="1"/>
  <c r="BY32" i="28"/>
  <c r="BZ32" i="28" s="1"/>
  <c r="BV32" i="28"/>
  <c r="BV42" i="28" s="1"/>
  <c r="BS32" i="28"/>
  <c r="BQ32" i="28"/>
  <c r="BQ31" i="28" s="1"/>
  <c r="BP32" i="28"/>
  <c r="BP42" i="28" s="1"/>
  <c r="BK32" i="28"/>
  <c r="BI32" i="28"/>
  <c r="BI31" i="28" s="1"/>
  <c r="BH32" i="28"/>
  <c r="BH31" i="28" s="1"/>
  <c r="BE32" i="28"/>
  <c r="BA32" i="28"/>
  <c r="AZ32" i="28"/>
  <c r="AY32" i="28"/>
  <c r="AV32" i="28"/>
  <c r="AT32" i="28"/>
  <c r="AT31" i="28" s="1"/>
  <c r="AQ32" i="28"/>
  <c r="AO32" i="28"/>
  <c r="AL32" i="28"/>
  <c r="AL31" i="28" s="1"/>
  <c r="AG32" i="28"/>
  <c r="AF32" i="28"/>
  <c r="AE32" i="28"/>
  <c r="AE36" i="28" s="1"/>
  <c r="AE35" i="28" s="1"/>
  <c r="AB32" i="28"/>
  <c r="AB42" i="28" s="1"/>
  <c r="Z32" i="28"/>
  <c r="V32" i="28"/>
  <c r="V42" i="28" s="1"/>
  <c r="T32" i="28"/>
  <c r="T31" i="28" s="1"/>
  <c r="S32" i="28"/>
  <c r="AH32" i="28" s="1"/>
  <c r="P32" i="28"/>
  <c r="P42" i="28" s="1"/>
  <c r="N32" i="28"/>
  <c r="L32" i="28"/>
  <c r="M32" i="28" s="1"/>
  <c r="J32" i="28"/>
  <c r="J42" i="28" s="1"/>
  <c r="H32" i="28"/>
  <c r="F32" i="28"/>
  <c r="F42" i="28" s="1"/>
  <c r="CD31" i="28"/>
  <c r="CB31" i="28"/>
  <c r="BZ31" i="28"/>
  <c r="BW31" i="28"/>
  <c r="BT31" i="28"/>
  <c r="BR31" i="28"/>
  <c r="BL31" i="28"/>
  <c r="BJ31" i="28"/>
  <c r="AW31" i="28"/>
  <c r="AU31" i="28"/>
  <c r="AM31" i="28"/>
  <c r="AC31" i="28"/>
  <c r="AA31" i="28"/>
  <c r="W31" i="28"/>
  <c r="U31" i="28"/>
  <c r="Q31" i="28"/>
  <c r="O31" i="28"/>
  <c r="K31" i="28"/>
  <c r="I31" i="28"/>
  <c r="CC30" i="28"/>
  <c r="CC29" i="28" s="1"/>
  <c r="CA30" i="28"/>
  <c r="CA29" i="28" s="1"/>
  <c r="BY30" i="28"/>
  <c r="BY29" i="28" s="1"/>
  <c r="BW30" i="28"/>
  <c r="BW29" i="28" s="1"/>
  <c r="BR30" i="28"/>
  <c r="BR29" i="28" s="1"/>
  <c r="BJ30" i="28"/>
  <c r="BJ29" i="28" s="1"/>
  <c r="BK27" i="28"/>
  <c r="CC26" i="28"/>
  <c r="CD26" i="28" s="1"/>
  <c r="CA26" i="28"/>
  <c r="CB26" i="28" s="1"/>
  <c r="BY26" i="28"/>
  <c r="BZ26" i="28" s="1"/>
  <c r="BV26" i="28"/>
  <c r="BV25" i="28" s="1"/>
  <c r="BT26" i="28"/>
  <c r="BT25" i="28" s="1"/>
  <c r="BQ26" i="28"/>
  <c r="BL26" i="28"/>
  <c r="BI26" i="28"/>
  <c r="BI25" i="28" s="1"/>
  <c r="BH26" i="28"/>
  <c r="AY26" i="28"/>
  <c r="AV26" i="28"/>
  <c r="AT26" i="28"/>
  <c r="AO26" i="28"/>
  <c r="AO25" i="28" s="1"/>
  <c r="AL26" i="28"/>
  <c r="AJ26" i="28" s="1"/>
  <c r="AE26" i="28"/>
  <c r="AE25" i="28" s="1"/>
  <c r="AB26" i="28"/>
  <c r="AC26" i="28" s="1"/>
  <c r="S26" i="28"/>
  <c r="S30" i="28" s="1"/>
  <c r="S29" i="28" s="1"/>
  <c r="P26" i="28"/>
  <c r="Q26" i="28" s="1"/>
  <c r="M26" i="28"/>
  <c r="M25" i="28" s="1"/>
  <c r="J26" i="28"/>
  <c r="H26" i="28"/>
  <c r="F26" i="28"/>
  <c r="F25" i="28" s="1"/>
  <c r="CD25" i="28"/>
  <c r="CB25" i="28"/>
  <c r="BZ25" i="28"/>
  <c r="BW25" i="28"/>
  <c r="BS25" i="28"/>
  <c r="BR25" i="28"/>
  <c r="BK25" i="28"/>
  <c r="BJ25" i="28"/>
  <c r="AX25" i="28"/>
  <c r="AN25" i="28"/>
  <c r="AD25" i="28"/>
  <c r="R25" i="28"/>
  <c r="L25" i="28"/>
  <c r="BV19" i="28"/>
  <c r="BS19" i="28"/>
  <c r="BQ19" i="28"/>
  <c r="BO19" i="28"/>
  <c r="BK19" i="28"/>
  <c r="BI19" i="28"/>
  <c r="BG19" i="28"/>
  <c r="BD19" i="28"/>
  <c r="AX19" i="28"/>
  <c r="AV19" i="28"/>
  <c r="AT19" i="28"/>
  <c r="AN19" i="28"/>
  <c r="AL19" i="28"/>
  <c r="AL48" i="28" s="1"/>
  <c r="AJ19" i="28"/>
  <c r="AD19" i="28"/>
  <c r="AB19" i="28"/>
  <c r="AB48" i="28" s="1"/>
  <c r="Z19" i="28"/>
  <c r="X19" i="28"/>
  <c r="V19" i="28"/>
  <c r="T19" i="28"/>
  <c r="R19" i="28"/>
  <c r="P19" i="28"/>
  <c r="N19" i="28"/>
  <c r="L19" i="28"/>
  <c r="J19" i="28"/>
  <c r="H19" i="28"/>
  <c r="F19" i="28"/>
  <c r="CC17" i="28"/>
  <c r="CC19" i="28" s="1"/>
  <c r="CC48" i="28" s="1"/>
  <c r="CA17" i="28"/>
  <c r="CA19" i="28" s="1"/>
  <c r="CA48" i="28" s="1"/>
  <c r="BY17" i="28"/>
  <c r="BY19" i="28" s="1"/>
  <c r="BY48" i="28" s="1"/>
  <c r="CD15" i="28"/>
  <c r="CB15" i="28"/>
  <c r="CB17" i="28" s="1"/>
  <c r="CB19" i="28" s="1"/>
  <c r="BZ15" i="28"/>
  <c r="BZ17" i="28" s="1"/>
  <c r="BZ19" i="28" s="1"/>
  <c r="BW15" i="28"/>
  <c r="BW19" i="28" s="1"/>
  <c r="BT15" i="28"/>
  <c r="BR15" i="28"/>
  <c r="BR19" i="28" s="1"/>
  <c r="BP15" i="28"/>
  <c r="BP19" i="28" s="1"/>
  <c r="BL15" i="28"/>
  <c r="BL19" i="28" s="1"/>
  <c r="BJ15" i="28"/>
  <c r="BJ19" i="28" s="1"/>
  <c r="BH15" i="28"/>
  <c r="BH19" i="28" s="1"/>
  <c r="BE15" i="28"/>
  <c r="AY15" i="28"/>
  <c r="AY19" i="28" s="1"/>
  <c r="AW15" i="28"/>
  <c r="AW19" i="28" s="1"/>
  <c r="AU15" i="28"/>
  <c r="AU19" i="28" s="1"/>
  <c r="AO15" i="28"/>
  <c r="AO19" i="28" s="1"/>
  <c r="AM15" i="28"/>
  <c r="AM19" i="28" s="1"/>
  <c r="AK15" i="28"/>
  <c r="AE15" i="28"/>
  <c r="AE19" i="28" s="1"/>
  <c r="AC15" i="28"/>
  <c r="AA15" i="28"/>
  <c r="AA19" i="28" s="1"/>
  <c r="Y15" i="28"/>
  <c r="Y19" i="28" s="1"/>
  <c r="W15" i="28"/>
  <c r="W19" i="28" s="1"/>
  <c r="U15" i="28"/>
  <c r="S15" i="28"/>
  <c r="S19" i="28" s="1"/>
  <c r="Q15" i="28"/>
  <c r="O15" i="28"/>
  <c r="O19" i="28" s="1"/>
  <c r="M15" i="28"/>
  <c r="M19" i="28" s="1"/>
  <c r="K15" i="28"/>
  <c r="K19" i="28" s="1"/>
  <c r="I15" i="28"/>
  <c r="G15" i="28"/>
  <c r="G19" i="28" s="1"/>
  <c r="BV9" i="28"/>
  <c r="BO9" i="28"/>
  <c r="BD9" i="28"/>
  <c r="AN9" i="28"/>
  <c r="Z9" i="28"/>
  <c r="X9" i="28"/>
  <c r="P9" i="28"/>
  <c r="L9" i="28"/>
  <c r="J9" i="28"/>
  <c r="H9" i="28"/>
  <c r="F9" i="28"/>
  <c r="L8" i="28"/>
  <c r="J8" i="28"/>
  <c r="H8" i="28"/>
  <c r="F8" i="28"/>
  <c r="CC2" i="28"/>
  <c r="CC10" i="28" s="1"/>
  <c r="CC16" i="28" s="1"/>
  <c r="CA2" i="28"/>
  <c r="CA10" i="28" s="1"/>
  <c r="BY2" i="28"/>
  <c r="BY10" i="28" s="1"/>
  <c r="BV2" i="28"/>
  <c r="BV10" i="28" s="1"/>
  <c r="BS2" i="28"/>
  <c r="BS10" i="28" s="1"/>
  <c r="BQ2" i="28"/>
  <c r="BQ10" i="28" s="1"/>
  <c r="BO2" i="28"/>
  <c r="BO10" i="28" s="1"/>
  <c r="BO16" i="28" s="1"/>
  <c r="BO20" i="28" s="1"/>
  <c r="BK2" i="28"/>
  <c r="BK10" i="28" s="1"/>
  <c r="BI2" i="28"/>
  <c r="BI10" i="28" s="1"/>
  <c r="BG2" i="28"/>
  <c r="BG10" i="28" s="1"/>
  <c r="BG16" i="28" s="1"/>
  <c r="BG20" i="28" s="1"/>
  <c r="BD2" i="28"/>
  <c r="BD10" i="28" s="1"/>
  <c r="AX2" i="28"/>
  <c r="AX10" i="28" s="1"/>
  <c r="AV2" i="28"/>
  <c r="AV10" i="28" s="1"/>
  <c r="AV16" i="28" s="1"/>
  <c r="AV20" i="28" s="1"/>
  <c r="AT2" i="28"/>
  <c r="AT10" i="28" s="1"/>
  <c r="AN2" i="28"/>
  <c r="AN10" i="28" s="1"/>
  <c r="AL2" i="28"/>
  <c r="AL10" i="28" s="1"/>
  <c r="AL16" i="28" s="1"/>
  <c r="AL20" i="28" s="1"/>
  <c r="AL24" i="28" s="1"/>
  <c r="AL23" i="28" s="1"/>
  <c r="AJ2" i="28"/>
  <c r="AJ10" i="28" s="1"/>
  <c r="AD2" i="28"/>
  <c r="AD10" i="28" s="1"/>
  <c r="AB2" i="28"/>
  <c r="AB10" i="28" s="1"/>
  <c r="AB16" i="28" s="1"/>
  <c r="AB20" i="28" s="1"/>
  <c r="Z2" i="28"/>
  <c r="Z10" i="28" s="1"/>
  <c r="X2" i="28"/>
  <c r="X10" i="28" s="1"/>
  <c r="V2" i="28"/>
  <c r="V10" i="28" s="1"/>
  <c r="V16" i="28" s="1"/>
  <c r="V20" i="28" s="1"/>
  <c r="T2" i="28"/>
  <c r="T10" i="28" s="1"/>
  <c r="R2" i="28"/>
  <c r="R10" i="28" s="1"/>
  <c r="P2" i="28"/>
  <c r="P10" i="28" s="1"/>
  <c r="P16" i="28" s="1"/>
  <c r="P20" i="28" s="1"/>
  <c r="P24" i="28" s="1"/>
  <c r="P23" i="28" s="1"/>
  <c r="N2" i="28"/>
  <c r="N10" i="28" s="1"/>
  <c r="L2" i="28"/>
  <c r="L10" i="28" s="1"/>
  <c r="J2" i="28"/>
  <c r="J10" i="28" s="1"/>
  <c r="H2" i="28"/>
  <c r="H10" i="28" s="1"/>
  <c r="F2" i="28"/>
  <c r="F10" i="28" s="1"/>
  <c r="BW124" i="28" l="1"/>
  <c r="BW123" i="28" s="1"/>
  <c r="BW121" i="28" s="1"/>
  <c r="BW122" i="28" s="1"/>
  <c r="BW79" i="28" s="1"/>
  <c r="BZ124" i="28"/>
  <c r="BZ123" i="28" s="1"/>
  <c r="BZ121" i="28" s="1"/>
  <c r="BZ122" i="28" s="1"/>
  <c r="BZ79" i="28" s="1"/>
  <c r="AA124" i="28"/>
  <c r="AA123" i="28" s="1"/>
  <c r="AA121" i="28" s="1"/>
  <c r="AA122" i="28" s="1"/>
  <c r="AA79" i="28" s="1"/>
  <c r="AT9" i="28"/>
  <c r="S25" i="28"/>
  <c r="I103" i="28"/>
  <c r="Y124" i="28"/>
  <c r="Y123" i="28" s="1"/>
  <c r="Y121" i="28" s="1"/>
  <c r="Y122" i="28" s="1"/>
  <c r="Y79" i="28" s="1"/>
  <c r="X79" i="28" s="1"/>
  <c r="CB30" i="28"/>
  <c r="CB29" i="28" s="1"/>
  <c r="AA66" i="28"/>
  <c r="CD103" i="28"/>
  <c r="BQ9" i="28"/>
  <c r="Y32" i="28"/>
  <c r="X32" i="28" s="1"/>
  <c r="R37" i="28"/>
  <c r="AM124" i="28"/>
  <c r="AM123" i="28" s="1"/>
  <c r="AM121" i="28" s="1"/>
  <c r="AM122" i="28" s="1"/>
  <c r="AM79" i="28" s="1"/>
  <c r="AO124" i="28"/>
  <c r="AO123" i="28" s="1"/>
  <c r="AO121" i="28" s="1"/>
  <c r="AO122" i="28" s="1"/>
  <c r="AO79" i="28" s="1"/>
  <c r="Q124" i="28"/>
  <c r="Q123" i="28" s="1"/>
  <c r="Q121" i="28" s="1"/>
  <c r="Q122" i="28" s="1"/>
  <c r="Q79" i="28" s="1"/>
  <c r="BY9" i="28"/>
  <c r="AU124" i="28"/>
  <c r="AU123" i="28" s="1"/>
  <c r="AU121" i="28" s="1"/>
  <c r="AU122" i="28" s="1"/>
  <c r="AU79" i="28" s="1"/>
  <c r="Q67" i="28"/>
  <c r="P8" i="28" s="1"/>
  <c r="K60" i="28"/>
  <c r="AW124" i="28"/>
  <c r="AW123" i="28" s="1"/>
  <c r="AW121" i="28" s="1"/>
  <c r="AW122" i="28" s="1"/>
  <c r="AW79" i="28" s="1"/>
  <c r="M60" i="28"/>
  <c r="Y103" i="28"/>
  <c r="AY124" i="28"/>
  <c r="AY123" i="28" s="1"/>
  <c r="AY121" i="28" s="1"/>
  <c r="AY122" i="28" s="1"/>
  <c r="AY79" i="28" s="1"/>
  <c r="AM103" i="28"/>
  <c r="BV30" i="28"/>
  <c r="BV29" i="28" s="1"/>
  <c r="AO36" i="28"/>
  <c r="AO35" i="28" s="1"/>
  <c r="I124" i="28"/>
  <c r="I123" i="28" s="1"/>
  <c r="I121" i="28" s="1"/>
  <c r="I122" i="28" s="1"/>
  <c r="I79" i="28" s="1"/>
  <c r="I78" i="28" s="1"/>
  <c r="AL42" i="28"/>
  <c r="R32" i="28"/>
  <c r="R31" i="28" s="1"/>
  <c r="BE124" i="28"/>
  <c r="BE123" i="28" s="1"/>
  <c r="BE121" i="28" s="1"/>
  <c r="BE122" i="28" s="1"/>
  <c r="BE79" i="28" s="1"/>
  <c r="V9" i="28"/>
  <c r="M75" i="28"/>
  <c r="M70" i="28" s="1"/>
  <c r="AO37" i="28"/>
  <c r="AH26" i="28"/>
  <c r="L31" i="28"/>
  <c r="K41" i="28"/>
  <c r="AM70" i="28"/>
  <c r="AA103" i="28"/>
  <c r="U124" i="28"/>
  <c r="U123" i="28" s="1"/>
  <c r="U121" i="28" s="1"/>
  <c r="U122" i="28" s="1"/>
  <c r="U79" i="28" s="1"/>
  <c r="BV31" i="28"/>
  <c r="BG32" i="28"/>
  <c r="BK37" i="28"/>
  <c r="I60" i="28"/>
  <c r="K103" i="28"/>
  <c r="AR26" i="28"/>
  <c r="CL27" i="28" s="1"/>
  <c r="L30" i="28"/>
  <c r="L29" i="28" s="1"/>
  <c r="AD32" i="28"/>
  <c r="AD30" i="28" s="1"/>
  <c r="AD29" i="28" s="1"/>
  <c r="V31" i="28"/>
  <c r="BT124" i="28"/>
  <c r="BT123" i="28" s="1"/>
  <c r="BT121" i="28" s="1"/>
  <c r="BT122" i="28" s="1"/>
  <c r="BT79" i="28" s="1"/>
  <c r="CD44" i="28"/>
  <c r="CD43" i="28" s="1"/>
  <c r="BJ103" i="28"/>
  <c r="AL30" i="28"/>
  <c r="AL29" i="28" s="1"/>
  <c r="BZ103" i="28"/>
  <c r="AK124" i="28"/>
  <c r="AK123" i="28" s="1"/>
  <c r="AK121" i="28" s="1"/>
  <c r="AK122" i="28" s="1"/>
  <c r="AK79" i="28" s="1"/>
  <c r="BP124" i="28"/>
  <c r="BP123" i="28" s="1"/>
  <c r="BP121" i="28" s="1"/>
  <c r="BP122" i="28" s="1"/>
  <c r="BP79" i="28" s="1"/>
  <c r="CB103" i="28"/>
  <c r="BR103" i="28"/>
  <c r="BG84" i="28"/>
  <c r="AB9" i="28"/>
  <c r="Y26" i="28"/>
  <c r="BG26" i="28"/>
  <c r="BG25" i="28" s="1"/>
  <c r="N42" i="28"/>
  <c r="N31" i="28"/>
  <c r="AV42" i="28"/>
  <c r="AV31" i="28"/>
  <c r="AD42" i="28"/>
  <c r="AD37" i="28"/>
  <c r="BI42" i="28"/>
  <c r="CD70" i="28"/>
  <c r="CD67" i="28" s="1"/>
  <c r="CC8" i="28" s="1"/>
  <c r="CC9" i="28"/>
  <c r="N68" i="28"/>
  <c r="J16" i="28"/>
  <c r="J20" i="28" s="1"/>
  <c r="J24" i="28" s="1"/>
  <c r="J23" i="28" s="1"/>
  <c r="K10" i="28"/>
  <c r="K16" i="28" s="1"/>
  <c r="K20" i="28" s="1"/>
  <c r="BV16" i="28"/>
  <c r="BV20" i="28" s="1"/>
  <c r="BV24" i="28" s="1"/>
  <c r="BV23" i="28" s="1"/>
  <c r="BW10" i="28"/>
  <c r="AV9" i="28"/>
  <c r="W10" i="28"/>
  <c r="W16" i="28" s="1"/>
  <c r="W20" i="28" s="1"/>
  <c r="BI30" i="28"/>
  <c r="BI29" i="28" s="1"/>
  <c r="AX32" i="28"/>
  <c r="AX31" i="28" s="1"/>
  <c r="AY30" i="28"/>
  <c r="BB30" i="28" s="1"/>
  <c r="BK36" i="28"/>
  <c r="BK35" i="28" s="1"/>
  <c r="BK30" i="28"/>
  <c r="BK29" i="28" s="1"/>
  <c r="BK31" i="28"/>
  <c r="AE70" i="28"/>
  <c r="AD9" i="28"/>
  <c r="AY70" i="28"/>
  <c r="AX9" i="28"/>
  <c r="AM10" i="28"/>
  <c r="AM16" i="28" s="1"/>
  <c r="AM20" i="28" s="1"/>
  <c r="BL30" i="28"/>
  <c r="BL29" i="28" s="1"/>
  <c r="BL25" i="28"/>
  <c r="CD30" i="28"/>
  <c r="CD29" i="28" s="1"/>
  <c r="P31" i="28"/>
  <c r="G32" i="28"/>
  <c r="G42" i="28" s="1"/>
  <c r="S70" i="28"/>
  <c r="R9" i="28"/>
  <c r="AK70" i="28"/>
  <c r="AJ9" i="28"/>
  <c r="BH70" i="28"/>
  <c r="BG9" i="28"/>
  <c r="BH10" i="28"/>
  <c r="BH16" i="28" s="1"/>
  <c r="BH20" i="28" s="1"/>
  <c r="BH24" i="28" s="1"/>
  <c r="BH23" i="28" s="1"/>
  <c r="BH25" i="28"/>
  <c r="F31" i="28"/>
  <c r="I57" i="28"/>
  <c r="I61" i="28" s="1"/>
  <c r="U66" i="28"/>
  <c r="U67" i="28"/>
  <c r="T8" i="28" s="1"/>
  <c r="N79" i="28"/>
  <c r="AV30" i="28"/>
  <c r="AV29" i="28" s="1"/>
  <c r="AW26" i="28"/>
  <c r="BA26" i="28" s="1"/>
  <c r="AV25" i="28"/>
  <c r="L42" i="28"/>
  <c r="L41" i="28" s="1"/>
  <c r="L36" i="28"/>
  <c r="L35" i="28" s="1"/>
  <c r="G147" i="28"/>
  <c r="G103" i="28"/>
  <c r="AC147" i="28"/>
  <c r="AC103" i="28"/>
  <c r="AW147" i="28"/>
  <c r="AW103" i="28"/>
  <c r="N9" i="28"/>
  <c r="AV48" i="28"/>
  <c r="BS42" i="28"/>
  <c r="BS37" i="28"/>
  <c r="BH124" i="28"/>
  <c r="BH123" i="28" s="1"/>
  <c r="BH121" i="28" s="1"/>
  <c r="BH122" i="28" s="1"/>
  <c r="BH79" i="28" s="1"/>
  <c r="AE147" i="28"/>
  <c r="AE103" i="28"/>
  <c r="AY147" i="28"/>
  <c r="AY103" i="28"/>
  <c r="K75" i="28"/>
  <c r="K70" i="28" s="1"/>
  <c r="AA67" i="28"/>
  <c r="Z8" i="28" s="1"/>
  <c r="AD31" i="28"/>
  <c r="BZ44" i="28"/>
  <c r="BZ43" i="28" s="1"/>
  <c r="AT48" i="28"/>
  <c r="M41" i="28"/>
  <c r="BW103" i="28"/>
  <c r="BL143" i="28"/>
  <c r="AB24" i="28"/>
  <c r="AB23" i="28" s="1"/>
  <c r="AV24" i="28"/>
  <c r="AV23" i="28" s="1"/>
  <c r="O67" i="28"/>
  <c r="N8" i="28" s="1"/>
  <c r="AO30" i="28"/>
  <c r="AR30" i="28" s="1"/>
  <c r="AE31" i="28"/>
  <c r="CB44" i="28"/>
  <c r="CB43" i="28" s="1"/>
  <c r="AX42" i="28"/>
  <c r="G60" i="28"/>
  <c r="CB67" i="28"/>
  <c r="CA8" i="28" s="1"/>
  <c r="S66" i="28"/>
  <c r="AK103" i="28"/>
  <c r="BE103" i="28"/>
  <c r="BL124" i="28"/>
  <c r="BL123" i="28" s="1"/>
  <c r="BL121" i="28" s="1"/>
  <c r="BL122" i="28" s="1"/>
  <c r="BL79" i="28" s="1"/>
  <c r="AJ48" i="28"/>
  <c r="BR130" i="28"/>
  <c r="BR124" i="28" s="1"/>
  <c r="BR123" i="28" s="1"/>
  <c r="BR121" i="28" s="1"/>
  <c r="BR122" i="28" s="1"/>
  <c r="BR79" i="28" s="1"/>
  <c r="BJ130" i="28"/>
  <c r="BJ124" i="28" s="1"/>
  <c r="BJ123" i="28" s="1"/>
  <c r="BJ121" i="28" s="1"/>
  <c r="BJ122" i="28" s="1"/>
  <c r="BJ79" i="28" s="1"/>
  <c r="BT64" i="28"/>
  <c r="BP103" i="28"/>
  <c r="Q30" i="28"/>
  <c r="Q29" i="28" s="1"/>
  <c r="Q25" i="28"/>
  <c r="BJ10" i="28"/>
  <c r="BJ83" i="28" s="1"/>
  <c r="BJ81" i="28" s="1"/>
  <c r="BI16" i="28"/>
  <c r="BI20" i="28" s="1"/>
  <c r="BI24" i="28" s="1"/>
  <c r="BI23" i="28" s="1"/>
  <c r="M10" i="28"/>
  <c r="M84" i="28" s="1"/>
  <c r="L16" i="28"/>
  <c r="L20" i="28" s="1"/>
  <c r="L24" i="28" s="1"/>
  <c r="L23" i="28" s="1"/>
  <c r="Y10" i="28"/>
  <c r="Y136" i="28" s="1"/>
  <c r="Y137" i="28" s="1"/>
  <c r="X16" i="28"/>
  <c r="X20" i="28" s="1"/>
  <c r="AO10" i="28"/>
  <c r="AN16" i="28"/>
  <c r="AN20" i="28" s="1"/>
  <c r="AN24" i="28" s="1"/>
  <c r="AN23" i="28" s="1"/>
  <c r="BZ10" i="28"/>
  <c r="BY16" i="28"/>
  <c r="F16" i="28"/>
  <c r="F20" i="28" s="1"/>
  <c r="F24" i="28" s="1"/>
  <c r="F23" i="28" s="1"/>
  <c r="G10" i="28"/>
  <c r="R16" i="28"/>
  <c r="R20" i="28" s="1"/>
  <c r="R24" i="28" s="1"/>
  <c r="R23" i="28" s="1"/>
  <c r="S10" i="28"/>
  <c r="S76" i="28" s="1"/>
  <c r="AD16" i="28"/>
  <c r="AD20" i="28" s="1"/>
  <c r="AD24" i="28" s="1"/>
  <c r="AD23" i="28" s="1"/>
  <c r="AE10" i="28"/>
  <c r="AX16" i="28"/>
  <c r="AX20" i="28" s="1"/>
  <c r="AX24" i="28" s="1"/>
  <c r="AX23" i="28" s="1"/>
  <c r="AY10" i="28"/>
  <c r="BQ16" i="28"/>
  <c r="BQ20" i="28" s="1"/>
  <c r="BQ24" i="28" s="1"/>
  <c r="BQ23" i="28" s="1"/>
  <c r="BR10" i="28"/>
  <c r="BR136" i="28" s="1"/>
  <c r="BR137" i="28" s="1"/>
  <c r="AW16" i="28"/>
  <c r="AW20" i="28" s="1"/>
  <c r="BW139" i="28"/>
  <c r="BW140" i="28" s="1"/>
  <c r="BW148" i="28" s="1"/>
  <c r="BW133" i="28"/>
  <c r="BW134" i="28" s="1"/>
  <c r="BW83" i="28"/>
  <c r="BW81" i="28" s="1"/>
  <c r="BW87" i="28" s="1"/>
  <c r="BW16" i="28"/>
  <c r="BW20" i="28" s="1"/>
  <c r="BW24" i="28" s="1"/>
  <c r="BW23" i="28" s="1"/>
  <c r="AJ25" i="28"/>
  <c r="AK26" i="28"/>
  <c r="AE69" i="28"/>
  <c r="G84" i="28"/>
  <c r="AC19" i="28"/>
  <c r="F30" i="28"/>
  <c r="F29" i="28" s="1"/>
  <c r="G26" i="28"/>
  <c r="BB26" i="28"/>
  <c r="AY25" i="28"/>
  <c r="BQ30" i="28"/>
  <c r="BQ29" i="28" s="1"/>
  <c r="BQ25" i="28"/>
  <c r="J41" i="28"/>
  <c r="BO32" i="28"/>
  <c r="BO42" i="28" s="1"/>
  <c r="BO41" i="28" s="1"/>
  <c r="BP31" i="28"/>
  <c r="G75" i="28"/>
  <c r="G70" i="28" s="1"/>
  <c r="G57" i="28"/>
  <c r="G61" i="28" s="1"/>
  <c r="F41" i="28" s="1"/>
  <c r="S63" i="28"/>
  <c r="CC24" i="28"/>
  <c r="CC23" i="28" s="1"/>
  <c r="CC20" i="28"/>
  <c r="U19" i="28"/>
  <c r="BT19" i="28"/>
  <c r="AM139" i="28"/>
  <c r="AM140" i="28" s="1"/>
  <c r="AM148" i="28" s="1"/>
  <c r="AM133" i="28"/>
  <c r="AM134" i="28" s="1"/>
  <c r="AM83" i="28"/>
  <c r="AM81" i="28" s="1"/>
  <c r="I10" i="28"/>
  <c r="I82" i="28" s="1"/>
  <c r="H16" i="28"/>
  <c r="H20" i="28" s="1"/>
  <c r="H24" i="28" s="1"/>
  <c r="H23" i="28" s="1"/>
  <c r="AK10" i="28"/>
  <c r="AK16" i="28" s="1"/>
  <c r="AK20" i="28" s="1"/>
  <c r="AK24" i="28" s="1"/>
  <c r="AJ16" i="28"/>
  <c r="AJ20" i="28" s="1"/>
  <c r="AJ24" i="28" s="1"/>
  <c r="AJ23" i="28" s="1"/>
  <c r="BE10" i="28"/>
  <c r="BE16" i="28" s="1"/>
  <c r="BE20" i="28" s="1"/>
  <c r="BD16" i="28"/>
  <c r="BD20" i="28" s="1"/>
  <c r="BT10" i="28"/>
  <c r="BT136" i="28" s="1"/>
  <c r="BT137" i="28" s="1"/>
  <c r="BS16" i="28"/>
  <c r="BS20" i="28" s="1"/>
  <c r="BS24" i="28" s="1"/>
  <c r="BS23" i="28" s="1"/>
  <c r="Q19" i="28"/>
  <c r="H25" i="28"/>
  <c r="H30" i="28"/>
  <c r="H29" i="28" s="1"/>
  <c r="I26" i="28"/>
  <c r="M36" i="28"/>
  <c r="M35" i="28" s="1"/>
  <c r="M31" i="28"/>
  <c r="M30" i="28"/>
  <c r="M29" i="28" s="1"/>
  <c r="AK19" i="28"/>
  <c r="K84" i="28"/>
  <c r="U10" i="28"/>
  <c r="U76" i="28" s="1"/>
  <c r="T16" i="28"/>
  <c r="T20" i="28" s="1"/>
  <c r="Q10" i="28"/>
  <c r="Q16" i="28" s="1"/>
  <c r="Q20" i="28" s="1"/>
  <c r="Q24" i="28" s="1"/>
  <c r="Q23" i="28" s="1"/>
  <c r="AC10" i="28"/>
  <c r="AC16" i="28" s="1"/>
  <c r="AC20" i="28" s="1"/>
  <c r="AC24" i="28" s="1"/>
  <c r="AW10" i="28"/>
  <c r="BP10" i="28"/>
  <c r="CD10" i="28"/>
  <c r="BP16" i="28"/>
  <c r="BP20" i="28" s="1"/>
  <c r="BP24" i="28" s="1"/>
  <c r="BP23" i="28" s="1"/>
  <c r="CD17" i="28"/>
  <c r="CD19" i="28" s="1"/>
  <c r="AB25" i="28"/>
  <c r="Z26" i="28"/>
  <c r="AB30" i="28"/>
  <c r="AB29" i="28" s="1"/>
  <c r="I19" i="28"/>
  <c r="BE19" i="28"/>
  <c r="N26" i="28"/>
  <c r="P25" i="28"/>
  <c r="P30" i="28"/>
  <c r="P29" i="28" s="1"/>
  <c r="O10" i="28"/>
  <c r="N16" i="28"/>
  <c r="N20" i="28" s="1"/>
  <c r="AA10" i="28"/>
  <c r="AA136" i="28" s="1"/>
  <c r="AA137" i="28" s="1"/>
  <c r="Z16" i="28"/>
  <c r="Z20" i="28" s="1"/>
  <c r="AU10" i="28"/>
  <c r="AT16" i="28"/>
  <c r="AT20" i="28" s="1"/>
  <c r="AT24" i="28" s="1"/>
  <c r="AT23" i="28" s="1"/>
  <c r="BL10" i="28"/>
  <c r="BL136" i="28" s="1"/>
  <c r="BL137" i="28" s="1"/>
  <c r="BK16" i="28"/>
  <c r="BK20" i="28" s="1"/>
  <c r="BK24" i="28" s="1"/>
  <c r="BK23" i="28" s="1"/>
  <c r="CB10" i="28"/>
  <c r="CA16" i="28"/>
  <c r="AC30" i="28"/>
  <c r="AG26" i="28"/>
  <c r="AC25" i="28"/>
  <c r="BT30" i="28"/>
  <c r="BT29" i="28" s="1"/>
  <c r="BP26" i="28"/>
  <c r="J31" i="28"/>
  <c r="Z42" i="28"/>
  <c r="Z31" i="28"/>
  <c r="BD32" i="28"/>
  <c r="BE31" i="28"/>
  <c r="BE42" i="28"/>
  <c r="BQ42" i="28"/>
  <c r="Z48" i="28"/>
  <c r="G116" i="28"/>
  <c r="G87" i="28"/>
  <c r="G76" i="28"/>
  <c r="G69" i="28"/>
  <c r="G66" i="28" s="1"/>
  <c r="I87" i="28"/>
  <c r="I69" i="28"/>
  <c r="I66" i="28" s="1"/>
  <c r="W76" i="28"/>
  <c r="BZ30" i="28"/>
  <c r="BZ29" i="28" s="1"/>
  <c r="J25" i="28"/>
  <c r="J30" i="28"/>
  <c r="J29" i="28" s="1"/>
  <c r="K26" i="28"/>
  <c r="AU26" i="28"/>
  <c r="AT25" i="28"/>
  <c r="AE30" i="28"/>
  <c r="BG30" i="28"/>
  <c r="BG29" i="28" s="1"/>
  <c r="G31" i="28"/>
  <c r="R30" i="28"/>
  <c r="R29" i="28" s="1"/>
  <c r="R36" i="28"/>
  <c r="R35" i="28" s="1"/>
  <c r="BG42" i="28"/>
  <c r="BS36" i="28"/>
  <c r="BS35" i="28" s="1"/>
  <c r="BS31" i="28"/>
  <c r="BS30" i="28"/>
  <c r="BS29" i="28" s="1"/>
  <c r="AO42" i="28"/>
  <c r="AK32" i="28"/>
  <c r="M56" i="28"/>
  <c r="K87" i="28"/>
  <c r="K69" i="28"/>
  <c r="K66" i="28" s="1"/>
  <c r="CA9" i="28"/>
  <c r="AT30" i="28"/>
  <c r="AT29" i="28" s="1"/>
  <c r="BH30" i="28"/>
  <c r="BH29" i="28" s="1"/>
  <c r="AB31" i="28"/>
  <c r="BG31" i="28"/>
  <c r="H42" i="28"/>
  <c r="H31" i="28"/>
  <c r="S36" i="28"/>
  <c r="S35" i="28" s="1"/>
  <c r="S31" i="28"/>
  <c r="BH42" i="28"/>
  <c r="BM44" i="28" s="1"/>
  <c r="AN37" i="28"/>
  <c r="AL25" i="28"/>
  <c r="AM26" i="28"/>
  <c r="AM24" i="28" s="1"/>
  <c r="AN32" i="28"/>
  <c r="AR32" i="28"/>
  <c r="AO31" i="28"/>
  <c r="AY36" i="28"/>
  <c r="AY35" i="28" s="1"/>
  <c r="BB32" i="28"/>
  <c r="AY31" i="28"/>
  <c r="CB63" i="28"/>
  <c r="CB60" i="28" s="1"/>
  <c r="BW76" i="28"/>
  <c r="I75" i="28"/>
  <c r="I70" i="28" s="1"/>
  <c r="W67" i="28"/>
  <c r="BL84" i="28"/>
  <c r="AT42" i="28"/>
  <c r="T42" i="28"/>
  <c r="U70" i="28"/>
  <c r="T68" i="28"/>
  <c r="BJ64" i="28"/>
  <c r="W66" i="28"/>
  <c r="M116" i="28"/>
  <c r="M69" i="28"/>
  <c r="M66" i="28" s="1"/>
  <c r="BZ67" i="28"/>
  <c r="T84" i="28"/>
  <c r="U83" i="28"/>
  <c r="U81" i="28" s="1"/>
  <c r="U118" i="28" s="1"/>
  <c r="U119" i="28" s="1"/>
  <c r="V84" i="28"/>
  <c r="M87" i="28"/>
  <c r="V68" i="28"/>
  <c r="K56" i="28"/>
  <c r="Q63" i="28"/>
  <c r="T79" i="28"/>
  <c r="AC74" i="28"/>
  <c r="AC66" i="28" s="1"/>
  <c r="V79" i="28"/>
  <c r="K119" i="28"/>
  <c r="M119" i="28"/>
  <c r="M144" i="28"/>
  <c r="K147" i="28"/>
  <c r="I116" i="28"/>
  <c r="G119" i="28"/>
  <c r="AC135" i="28"/>
  <c r="AE135" i="28"/>
  <c r="K116" i="28"/>
  <c r="CD136" i="28"/>
  <c r="CD137" i="28" s="1"/>
  <c r="I119" i="28"/>
  <c r="K135" i="28"/>
  <c r="BP136" i="28"/>
  <c r="BP137" i="28" s="1"/>
  <c r="BR147" i="28"/>
  <c r="BT143" i="28"/>
  <c r="I147" i="28"/>
  <c r="AT3" i="3"/>
  <c r="BJ136" i="28" l="1"/>
  <c r="BJ137" i="28" s="1"/>
  <c r="AO29" i="28"/>
  <c r="W139" i="28"/>
  <c r="W140" i="28" s="1"/>
  <c r="W148" i="28" s="1"/>
  <c r="W133" i="28"/>
  <c r="W134" i="28" s="1"/>
  <c r="W136" i="28"/>
  <c r="W137" i="28" s="1"/>
  <c r="AX30" i="28"/>
  <c r="AX29" i="28" s="1"/>
  <c r="W83" i="28"/>
  <c r="W81" i="28" s="1"/>
  <c r="W87" i="28" s="1"/>
  <c r="Y31" i="28"/>
  <c r="BT16" i="28"/>
  <c r="BT20" i="28" s="1"/>
  <c r="BT24" i="28" s="1"/>
  <c r="BT23" i="28" s="1"/>
  <c r="Y42" i="28"/>
  <c r="Y30" i="28"/>
  <c r="Y29" i="28" s="1"/>
  <c r="CD63" i="28"/>
  <c r="CD60" i="28" s="1"/>
  <c r="I84" i="28"/>
  <c r="Z84" i="28" s="1"/>
  <c r="AA63" i="28"/>
  <c r="AA60" i="28" s="1"/>
  <c r="Z69" i="28"/>
  <c r="BL83" i="28"/>
  <c r="BL81" i="28" s="1"/>
  <c r="BL82" i="28" s="1"/>
  <c r="AY29" i="28"/>
  <c r="Z24" i="28"/>
  <c r="Z23" i="28" s="1"/>
  <c r="BH133" i="28"/>
  <c r="BH134" i="28" s="1"/>
  <c r="AD36" i="28"/>
  <c r="AD35" i="28" s="1"/>
  <c r="I41" i="28"/>
  <c r="I56" i="28"/>
  <c r="I55" i="28" s="1"/>
  <c r="AW30" i="28"/>
  <c r="AW25" i="28"/>
  <c r="N24" i="28"/>
  <c r="N23" i="28" s="1"/>
  <c r="BT83" i="28"/>
  <c r="BT81" i="28" s="1"/>
  <c r="BT82" i="28" s="1"/>
  <c r="M76" i="28"/>
  <c r="K76" i="28"/>
  <c r="BH139" i="28"/>
  <c r="BH140" i="28" s="1"/>
  <c r="BH148" i="28" s="1"/>
  <c r="U63" i="28"/>
  <c r="U57" i="28" s="1"/>
  <c r="U61" i="28" s="1"/>
  <c r="U41" i="28" s="1"/>
  <c r="AX36" i="28"/>
  <c r="AX35" i="28" s="1"/>
  <c r="AW24" i="28"/>
  <c r="AW23" i="28" s="1"/>
  <c r="O63" i="28"/>
  <c r="O57" i="28" s="1"/>
  <c r="K82" i="28"/>
  <c r="BS27" i="28"/>
  <c r="Y25" i="28"/>
  <c r="X26" i="28"/>
  <c r="X24" i="28" s="1"/>
  <c r="X23" i="28" s="1"/>
  <c r="H41" i="28"/>
  <c r="U87" i="28"/>
  <c r="U89" i="28" s="1"/>
  <c r="BH83" i="28"/>
  <c r="BH81" i="28" s="1"/>
  <c r="BH82" i="28" s="1"/>
  <c r="BL147" i="28"/>
  <c r="BL103" i="28"/>
  <c r="BG24" i="28"/>
  <c r="BG23" i="28" s="1"/>
  <c r="BT70" i="28"/>
  <c r="BS9" i="28"/>
  <c r="BW90" i="28"/>
  <c r="BW89" i="28"/>
  <c r="BW88" i="28"/>
  <c r="AM23" i="28"/>
  <c r="AQ24" i="28"/>
  <c r="CD75" i="28"/>
  <c r="S75" i="28"/>
  <c r="S57" i="28"/>
  <c r="S61" i="28"/>
  <c r="AO139" i="28"/>
  <c r="AO140" i="28" s="1"/>
  <c r="AO148" i="28" s="1"/>
  <c r="AO133" i="28"/>
  <c r="AO134" i="28" s="1"/>
  <c r="AO83" i="28"/>
  <c r="AO81" i="28" s="1"/>
  <c r="AO16" i="28"/>
  <c r="AO20" i="28" s="1"/>
  <c r="AO24" i="28" s="1"/>
  <c r="BT147" i="28"/>
  <c r="BT103" i="28"/>
  <c r="AE136" i="28"/>
  <c r="AE137" i="28" s="1"/>
  <c r="AU135" i="28"/>
  <c r="AU136" i="28" s="1"/>
  <c r="AU137" i="28" s="1"/>
  <c r="M147" i="28"/>
  <c r="M103" i="28"/>
  <c r="M90" i="28"/>
  <c r="M89" i="28"/>
  <c r="M88" i="28"/>
  <c r="BL64" i="28"/>
  <c r="BJ70" i="28"/>
  <c r="BI9" i="28"/>
  <c r="AN36" i="28"/>
  <c r="AN35" i="28" s="1"/>
  <c r="AN31" i="28"/>
  <c r="AN30" i="28"/>
  <c r="AN29" i="28" s="1"/>
  <c r="L45" i="28"/>
  <c r="L44" i="28" s="1"/>
  <c r="L43" i="28" s="1"/>
  <c r="M45" i="28"/>
  <c r="M44" i="28" s="1"/>
  <c r="M55" i="28"/>
  <c r="L56" i="28"/>
  <c r="L55" i="28" s="1"/>
  <c r="BE26" i="28"/>
  <c r="AU30" i="28"/>
  <c r="AU25" i="28"/>
  <c r="S60" i="28"/>
  <c r="CA24" i="28"/>
  <c r="CA23" i="28" s="1"/>
  <c r="CA20" i="28"/>
  <c r="T26" i="28"/>
  <c r="T24" i="28" s="1"/>
  <c r="T23" i="28" s="1"/>
  <c r="N25" i="28"/>
  <c r="O26" i="28"/>
  <c r="AP26" i="28" s="1"/>
  <c r="N30" i="28"/>
  <c r="N29" i="28" s="1"/>
  <c r="U115" i="28"/>
  <c r="U116" i="28" s="1"/>
  <c r="BT139" i="28"/>
  <c r="BT140" i="28" s="1"/>
  <c r="BT133" i="28"/>
  <c r="BT134" i="28" s="1"/>
  <c r="G30" i="28"/>
  <c r="G29" i="28" s="1"/>
  <c r="G25" i="28"/>
  <c r="AC23" i="28"/>
  <c r="AG24" i="28"/>
  <c r="AE139" i="28"/>
  <c r="AE140" i="28" s="1"/>
  <c r="AE148" i="28" s="1"/>
  <c r="AE133" i="28"/>
  <c r="AE134" i="28" s="1"/>
  <c r="AE83" i="28"/>
  <c r="AE81" i="28" s="1"/>
  <c r="AE16" i="28"/>
  <c r="AE20" i="28" s="1"/>
  <c r="AE24" i="28" s="1"/>
  <c r="W115" i="28"/>
  <c r="W116" i="28" s="1"/>
  <c r="W63" i="28"/>
  <c r="V8" i="28"/>
  <c r="K88" i="28"/>
  <c r="K89" i="28"/>
  <c r="K90" i="28"/>
  <c r="G41" i="28"/>
  <c r="K30" i="28"/>
  <c r="K29" i="28" s="1"/>
  <c r="K25" i="28"/>
  <c r="W89" i="28"/>
  <c r="W88" i="28"/>
  <c r="W90" i="28"/>
  <c r="BD42" i="28"/>
  <c r="BD31" i="28"/>
  <c r="BO26" i="28"/>
  <c r="BP30" i="28"/>
  <c r="BP29" i="28" s="1"/>
  <c r="BP25" i="28"/>
  <c r="CB139" i="28"/>
  <c r="CB140" i="28" s="1"/>
  <c r="CB148" i="28" s="1"/>
  <c r="CB133" i="28"/>
  <c r="CB134" i="28" s="1"/>
  <c r="CB83" i="28"/>
  <c r="CB81" i="28" s="1"/>
  <c r="CB136" i="28"/>
  <c r="CB137" i="28" s="1"/>
  <c r="CB76" i="28"/>
  <c r="CB16" i="28"/>
  <c r="AA139" i="28"/>
  <c r="AA140" i="28" s="1"/>
  <c r="AA148" i="28" s="1"/>
  <c r="AA133" i="28"/>
  <c r="AA134" i="28" s="1"/>
  <c r="AA83" i="28"/>
  <c r="AA81" i="28" s="1"/>
  <c r="AA76" i="28"/>
  <c r="AA16" i="28"/>
  <c r="AA20" i="28" s="1"/>
  <c r="AA26" i="28"/>
  <c r="Z25" i="28"/>
  <c r="Z30" i="28"/>
  <c r="Z29" i="28" s="1"/>
  <c r="CD139" i="28"/>
  <c r="CD140" i="28" s="1"/>
  <c r="CD148" i="28" s="1"/>
  <c r="CD133" i="28"/>
  <c r="CD134" i="28" s="1"/>
  <c r="CD83" i="28"/>
  <c r="CD81" i="28" s="1"/>
  <c r="CD76" i="28"/>
  <c r="U136" i="28"/>
  <c r="U137" i="28" s="1"/>
  <c r="U133" i="28"/>
  <c r="U134" i="28" s="1"/>
  <c r="U139" i="28"/>
  <c r="U140" i="28" s="1"/>
  <c r="U148" i="28" s="1"/>
  <c r="I30" i="28"/>
  <c r="I29" i="28" s="1"/>
  <c r="I25" i="28"/>
  <c r="AM82" i="28"/>
  <c r="AM78" i="28"/>
  <c r="U16" i="28"/>
  <c r="U20" i="28" s="1"/>
  <c r="Y139" i="28"/>
  <c r="Y140" i="28" s="1"/>
  <c r="Y148" i="28" s="1"/>
  <c r="Y133" i="28"/>
  <c r="Y134" i="28" s="1"/>
  <c r="Y83" i="28"/>
  <c r="Y81" i="28" s="1"/>
  <c r="Y76" i="28"/>
  <c r="Y16" i="28"/>
  <c r="Y20" i="28" s="1"/>
  <c r="Y24" i="28" s="1"/>
  <c r="Y23" i="28" s="1"/>
  <c r="BJ139" i="28"/>
  <c r="BJ140" i="28" s="1"/>
  <c r="BJ148" i="28" s="1"/>
  <c r="BJ133" i="28"/>
  <c r="BJ134" i="28" s="1"/>
  <c r="BJ16" i="28"/>
  <c r="BJ20" i="28" s="1"/>
  <c r="BJ24" i="28" s="1"/>
  <c r="BJ23" i="28" s="1"/>
  <c r="AC29" i="28"/>
  <c r="AG30" i="28"/>
  <c r="U75" i="28"/>
  <c r="U60" i="28"/>
  <c r="U78" i="28"/>
  <c r="U82" i="28"/>
  <c r="G89" i="28"/>
  <c r="G88" i="28"/>
  <c r="G90" i="28"/>
  <c r="S139" i="28"/>
  <c r="S140" i="28" s="1"/>
  <c r="S148" i="28" s="1"/>
  <c r="S133" i="28"/>
  <c r="S134" i="28" s="1"/>
  <c r="S83" i="28"/>
  <c r="S81" i="28" s="1"/>
  <c r="S16" i="28"/>
  <c r="S20" i="28" s="1"/>
  <c r="S24" i="28" s="1"/>
  <c r="S23" i="28" s="1"/>
  <c r="K55" i="28"/>
  <c r="J56" i="28"/>
  <c r="J55" i="28" s="1"/>
  <c r="K45" i="28"/>
  <c r="K44" i="28" s="1"/>
  <c r="J45" i="28"/>
  <c r="J44" i="28" s="1"/>
  <c r="J43" i="28" s="1"/>
  <c r="AU139" i="28"/>
  <c r="AU140" i="28" s="1"/>
  <c r="AU148" i="28" s="1"/>
  <c r="AU133" i="28"/>
  <c r="AU134" i="28" s="1"/>
  <c r="AU83" i="28"/>
  <c r="AU81" i="28" s="1"/>
  <c r="AU16" i="28"/>
  <c r="AU20" i="28" s="1"/>
  <c r="AU24" i="28" s="1"/>
  <c r="Q139" i="28"/>
  <c r="Q140" i="28" s="1"/>
  <c r="Q148" i="28" s="1"/>
  <c r="Q133" i="28"/>
  <c r="Q134" i="28" s="1"/>
  <c r="Q83" i="28"/>
  <c r="Q81" i="28" s="1"/>
  <c r="BJ80" i="28" s="1"/>
  <c r="Q76" i="28"/>
  <c r="CB57" i="28"/>
  <c r="CB75" i="28"/>
  <c r="AM30" i="28"/>
  <c r="AQ26" i="28"/>
  <c r="AM25" i="28"/>
  <c r="AK42" i="28"/>
  <c r="AK31" i="28"/>
  <c r="AJ32" i="28"/>
  <c r="AP32" i="28"/>
  <c r="BP139" i="28"/>
  <c r="BP140" i="28" s="1"/>
  <c r="BP148" i="28" s="1"/>
  <c r="BP133" i="28"/>
  <c r="BP134" i="28" s="1"/>
  <c r="AK23" i="28"/>
  <c r="BE139" i="28"/>
  <c r="BE140" i="28" s="1"/>
  <c r="BE148" i="28" s="1"/>
  <c r="BE133" i="28"/>
  <c r="BE134" i="28" s="1"/>
  <c r="BE83" i="28"/>
  <c r="BE81" i="28" s="1"/>
  <c r="BR139" i="28"/>
  <c r="BR140" i="28" s="1"/>
  <c r="BR148" i="28" s="1"/>
  <c r="BR133" i="28"/>
  <c r="BR134" i="28" s="1"/>
  <c r="BR83" i="28"/>
  <c r="BR81" i="28" s="1"/>
  <c r="BR16" i="28"/>
  <c r="BR20" i="28" s="1"/>
  <c r="BR24" i="28" s="1"/>
  <c r="BR23" i="28" s="1"/>
  <c r="BE136" i="28"/>
  <c r="BE137" i="28" s="1"/>
  <c r="I76" i="28"/>
  <c r="BL139" i="28"/>
  <c r="BL140" i="28" s="1"/>
  <c r="BL148" i="28" s="1"/>
  <c r="BL133" i="28"/>
  <c r="BL134" i="28" s="1"/>
  <c r="BL16" i="28"/>
  <c r="BL20" i="28" s="1"/>
  <c r="BL24" i="28" s="1"/>
  <c r="BL23" i="28" s="1"/>
  <c r="O139" i="28"/>
  <c r="O140" i="28" s="1"/>
  <c r="O148" i="28" s="1"/>
  <c r="O133" i="28"/>
  <c r="O134" i="28" s="1"/>
  <c r="O83" i="28"/>
  <c r="O81" i="28" s="1"/>
  <c r="O136" i="28"/>
  <c r="O137" i="28" s="1"/>
  <c r="O76" i="28"/>
  <c r="O16" i="28"/>
  <c r="O20" i="28" s="1"/>
  <c r="I16" i="28"/>
  <c r="I20" i="28" s="1"/>
  <c r="I24" i="28" s="1"/>
  <c r="I23" i="28" s="1"/>
  <c r="AW139" i="28"/>
  <c r="AW140" i="28" s="1"/>
  <c r="AW148" i="28" s="1"/>
  <c r="AW133" i="28"/>
  <c r="AW134" i="28" s="1"/>
  <c r="AW83" i="28"/>
  <c r="AW81" i="28" s="1"/>
  <c r="BO31" i="28"/>
  <c r="BZ139" i="28"/>
  <c r="BZ140" i="28" s="1"/>
  <c r="BZ148" i="28" s="1"/>
  <c r="BZ133" i="28"/>
  <c r="BZ134" i="28" s="1"/>
  <c r="BZ83" i="28"/>
  <c r="BZ81" i="28" s="1"/>
  <c r="BZ118" i="28" s="1"/>
  <c r="BZ119" i="28" s="1"/>
  <c r="BZ76" i="28"/>
  <c r="BZ16" i="28"/>
  <c r="M82" i="28"/>
  <c r="M16" i="28"/>
  <c r="M20" i="28" s="1"/>
  <c r="M24" i="28" s="1"/>
  <c r="M23" i="28" s="1"/>
  <c r="AC136" i="28"/>
  <c r="AC137" i="28" s="1"/>
  <c r="AW135" i="28"/>
  <c r="AY135" i="28"/>
  <c r="BJ82" i="28"/>
  <c r="BJ78" i="28"/>
  <c r="G56" i="28"/>
  <c r="BW82" i="28"/>
  <c r="BW78" i="28"/>
  <c r="BW80" i="28"/>
  <c r="BY24" i="28"/>
  <c r="BY23" i="28" s="1"/>
  <c r="BY20" i="28"/>
  <c r="K136" i="28"/>
  <c r="K137" i="28" s="1"/>
  <c r="K148" i="28" s="1"/>
  <c r="M135" i="28"/>
  <c r="M136" i="28" s="1"/>
  <c r="M137" i="28" s="1"/>
  <c r="BP83" i="28"/>
  <c r="BP81" i="28" s="1"/>
  <c r="Q57" i="28"/>
  <c r="Q61" i="28" s="1"/>
  <c r="Q75" i="28"/>
  <c r="Q136" i="28"/>
  <c r="Q137" i="28" s="1"/>
  <c r="I136" i="28"/>
  <c r="I137" i="28" s="1"/>
  <c r="I148" i="28" s="1"/>
  <c r="S136" i="28"/>
  <c r="S137" i="28" s="1"/>
  <c r="AE74" i="28"/>
  <c r="AE66" i="28" s="1"/>
  <c r="AC76" i="28"/>
  <c r="AC67" i="28"/>
  <c r="BZ115" i="28"/>
  <c r="BZ116" i="28" s="1"/>
  <c r="BZ63" i="28"/>
  <c r="BY8" i="28"/>
  <c r="AH30" i="28"/>
  <c r="AE29" i="28"/>
  <c r="I89" i="28"/>
  <c r="I88" i="28"/>
  <c r="I90" i="28"/>
  <c r="Q60" i="28"/>
  <c r="X42" i="28"/>
  <c r="X31" i="28"/>
  <c r="CD16" i="28"/>
  <c r="AC139" i="28"/>
  <c r="AC140" i="28" s="1"/>
  <c r="AC148" i="28" s="1"/>
  <c r="AC133" i="28"/>
  <c r="AC134" i="28" s="1"/>
  <c r="AC83" i="28"/>
  <c r="AC81" i="28" s="1"/>
  <c r="AC87" i="28" s="1"/>
  <c r="AK139" i="28"/>
  <c r="AK140" i="28" s="1"/>
  <c r="AK148" i="28" s="1"/>
  <c r="AK133" i="28"/>
  <c r="AK134" i="28" s="1"/>
  <c r="AK83" i="28"/>
  <c r="AK81" i="28" s="1"/>
  <c r="W78" i="28"/>
  <c r="W82" i="28"/>
  <c r="AK69" i="28"/>
  <c r="AK30" i="28"/>
  <c r="AK25" i="28"/>
  <c r="AY139" i="28"/>
  <c r="AY140" i="28" s="1"/>
  <c r="AY148" i="28" s="1"/>
  <c r="AY133" i="28"/>
  <c r="AY134" i="28" s="1"/>
  <c r="AY83" i="28"/>
  <c r="AY81" i="28" s="1"/>
  <c r="AY16" i="28"/>
  <c r="AY20" i="28" s="1"/>
  <c r="AY24" i="28" s="1"/>
  <c r="G136" i="28"/>
  <c r="G137" i="28" s="1"/>
  <c r="G148" i="28" s="1"/>
  <c r="G82" i="28"/>
  <c r="G16" i="28"/>
  <c r="G20" i="28" s="1"/>
  <c r="G24" i="28" s="1"/>
  <c r="G23" i="28" s="1"/>
  <c r="K24" i="28"/>
  <c r="K23" i="28" s="1"/>
  <c r="CH135" i="3"/>
  <c r="CH140" i="3" s="1"/>
  <c r="BZ135" i="3"/>
  <c r="BZ140" i="3" s="1"/>
  <c r="BH135" i="3"/>
  <c r="BH140" i="3" s="1"/>
  <c r="AU62" i="3"/>
  <c r="AU92" i="3"/>
  <c r="AU79" i="3"/>
  <c r="AU77" i="3"/>
  <c r="AU64" i="3"/>
  <c r="AU135" i="3" s="1"/>
  <c r="AU140" i="3" s="1"/>
  <c r="AU58" i="3"/>
  <c r="AU57" i="3"/>
  <c r="AU55" i="3"/>
  <c r="AU51" i="3"/>
  <c r="AU18" i="3"/>
  <c r="AU17" i="3"/>
  <c r="AT46" i="3"/>
  <c r="AT18" i="3"/>
  <c r="AT17" i="3"/>
  <c r="AT15" i="3"/>
  <c r="CD57" i="28" l="1"/>
  <c r="O60" i="28"/>
  <c r="N84" i="28"/>
  <c r="BL78" i="28"/>
  <c r="Z52" i="28"/>
  <c r="Z51" i="28" s="1"/>
  <c r="Z50" i="28" s="1"/>
  <c r="AA52" i="28"/>
  <c r="AA51" i="28" s="1"/>
  <c r="AA75" i="28"/>
  <c r="W118" i="28"/>
  <c r="W119" i="28" s="1"/>
  <c r="AA57" i="28"/>
  <c r="AA61" i="28" s="1"/>
  <c r="O75" i="28"/>
  <c r="H45" i="28"/>
  <c r="H44" i="28" s="1"/>
  <c r="H43" i="28" s="1"/>
  <c r="I45" i="28"/>
  <c r="I44" i="28" s="1"/>
  <c r="H56" i="28"/>
  <c r="H55" i="28" s="1"/>
  <c r="AM80" i="28"/>
  <c r="AF63" i="28"/>
  <c r="BA24" i="28"/>
  <c r="BL80" i="28"/>
  <c r="BT80" i="28"/>
  <c r="AQ81" i="28"/>
  <c r="CK80" i="28" s="1"/>
  <c r="BG81" i="28"/>
  <c r="AA24" i="28"/>
  <c r="BH78" i="28"/>
  <c r="U88" i="28"/>
  <c r="O61" i="28"/>
  <c r="N41" i="28" s="1"/>
  <c r="BT78" i="28"/>
  <c r="X25" i="28"/>
  <c r="X30" i="28"/>
  <c r="X29" i="28" s="1"/>
  <c r="U90" i="28"/>
  <c r="AW29" i="28"/>
  <c r="BA30" i="28"/>
  <c r="O24" i="28"/>
  <c r="O23" i="28" s="1"/>
  <c r="AP24" i="28"/>
  <c r="AA41" i="28"/>
  <c r="Z41" i="28"/>
  <c r="Q41" i="28"/>
  <c r="P41" i="28"/>
  <c r="CD24" i="28"/>
  <c r="CD23" i="28" s="1"/>
  <c r="CD20" i="28"/>
  <c r="I43" i="28"/>
  <c r="I54" i="28"/>
  <c r="AQ30" i="28"/>
  <c r="AM29" i="28"/>
  <c r="AK29" i="28"/>
  <c r="BB81" i="28"/>
  <c r="AY78" i="28"/>
  <c r="AY82" i="28"/>
  <c r="AM69" i="28"/>
  <c r="AC90" i="28"/>
  <c r="AC89" i="28"/>
  <c r="AC88" i="28"/>
  <c r="AK135" i="28"/>
  <c r="AK136" i="28" s="1"/>
  <c r="AK137" i="28" s="1"/>
  <c r="AY136" i="28"/>
  <c r="AY137" i="28" s="1"/>
  <c r="BZ135" i="28"/>
  <c r="BZ136" i="28" s="1"/>
  <c r="BZ137" i="28" s="1"/>
  <c r="BE78" i="28"/>
  <c r="BE82" i="28"/>
  <c r="AU23" i="28"/>
  <c r="AZ24" i="28"/>
  <c r="W75" i="28"/>
  <c r="W57" i="28"/>
  <c r="W61" i="28" s="1"/>
  <c r="W60" i="28"/>
  <c r="BE30" i="28"/>
  <c r="BE29" i="28" s="1"/>
  <c r="BD26" i="28"/>
  <c r="BE25" i="28"/>
  <c r="M148" i="28"/>
  <c r="AR81" i="28"/>
  <c r="BE80" i="28" s="1"/>
  <c r="AO82" i="28"/>
  <c r="AO78" i="28"/>
  <c r="S56" i="28"/>
  <c r="AC82" i="28"/>
  <c r="AC80" i="28"/>
  <c r="AC78" i="28"/>
  <c r="AG81" i="28"/>
  <c r="BP82" i="28"/>
  <c r="BP78" i="28"/>
  <c r="AM135" i="28"/>
  <c r="AM136" i="28" s="1"/>
  <c r="AM137" i="28" s="1"/>
  <c r="AW136" i="28"/>
  <c r="AW137" i="28" s="1"/>
  <c r="AO135" i="28"/>
  <c r="BZ82" i="28"/>
  <c r="BZ78" i="28"/>
  <c r="BZ80" i="28"/>
  <c r="BZ87" i="28"/>
  <c r="AW82" i="28"/>
  <c r="AW80" i="28"/>
  <c r="BA81" i="28"/>
  <c r="AW78" i="28"/>
  <c r="CB61" i="28"/>
  <c r="CB56" i="28" s="1"/>
  <c r="AU82" i="28"/>
  <c r="AZ81" i="28"/>
  <c r="AU80" i="28"/>
  <c r="AU78" i="28"/>
  <c r="S78" i="28"/>
  <c r="S82" i="28"/>
  <c r="S118" i="28"/>
  <c r="S119" i="28" s="1"/>
  <c r="S115" i="28"/>
  <c r="S116" i="28" s="1"/>
  <c r="S87" i="28"/>
  <c r="U93" i="28"/>
  <c r="U91" i="28"/>
  <c r="AF26" i="28"/>
  <c r="AA25" i="28"/>
  <c r="AA30" i="28"/>
  <c r="CB24" i="28"/>
  <c r="CB23" i="28" s="1"/>
  <c r="CB20" i="28"/>
  <c r="W93" i="28"/>
  <c r="W91" i="28"/>
  <c r="AH24" i="28"/>
  <c r="AE23" i="28"/>
  <c r="M91" i="28"/>
  <c r="M93" i="28"/>
  <c r="AK82" i="28"/>
  <c r="AK80" i="28"/>
  <c r="AP81" i="28"/>
  <c r="AK78" i="28"/>
  <c r="I93" i="28"/>
  <c r="I91" i="28"/>
  <c r="AJ42" i="28"/>
  <c r="AJ31" i="28"/>
  <c r="AJ30" i="28"/>
  <c r="AJ29" i="28" s="1"/>
  <c r="G91" i="28"/>
  <c r="G93" i="28"/>
  <c r="BB24" i="28"/>
  <c r="AY23" i="28"/>
  <c r="Q56" i="28"/>
  <c r="BZ24" i="28"/>
  <c r="BZ23" i="28" s="1"/>
  <c r="BZ20" i="28"/>
  <c r="AA56" i="28"/>
  <c r="Y80" i="28"/>
  <c r="Y82" i="28"/>
  <c r="Y78" i="28"/>
  <c r="Y87" i="28"/>
  <c r="T25" i="28"/>
  <c r="T30" i="28"/>
  <c r="T29" i="28" s="1"/>
  <c r="V26" i="28"/>
  <c r="AU29" i="28"/>
  <c r="AR24" i="28"/>
  <c r="AO23" i="28"/>
  <c r="S41" i="28"/>
  <c r="R41" i="28"/>
  <c r="O82" i="28"/>
  <c r="O78" i="28"/>
  <c r="O115" i="28"/>
  <c r="O116" i="28" s="1"/>
  <c r="O118" i="28"/>
  <c r="O119" i="28" s="1"/>
  <c r="O87" i="28"/>
  <c r="AA50" i="28"/>
  <c r="AF51" i="28"/>
  <c r="K54" i="28"/>
  <c r="K43" i="28"/>
  <c r="CD87" i="28"/>
  <c r="CD82" i="28"/>
  <c r="CD80" i="28"/>
  <c r="CD78" i="28"/>
  <c r="CD118" i="28"/>
  <c r="CD119" i="28" s="1"/>
  <c r="CD115" i="28"/>
  <c r="CD116" i="28" s="1"/>
  <c r="AA23" i="28"/>
  <c r="AF24" i="28"/>
  <c r="K91" i="28"/>
  <c r="K93" i="28"/>
  <c r="AH81" i="28"/>
  <c r="AE82" i="28"/>
  <c r="AE78" i="28"/>
  <c r="BZ75" i="28"/>
  <c r="BZ57" i="28"/>
  <c r="BZ61" i="28" s="1"/>
  <c r="BZ60" i="28"/>
  <c r="AE87" i="28"/>
  <c r="AK74" i="28"/>
  <c r="AK66" i="28" s="1"/>
  <c r="AE76" i="28"/>
  <c r="AE67" i="28"/>
  <c r="F45" i="28"/>
  <c r="F44" i="28" s="1"/>
  <c r="F43" i="28" s="1"/>
  <c r="G55" i="28"/>
  <c r="F56" i="28"/>
  <c r="F55" i="28" s="1"/>
  <c r="G45" i="28"/>
  <c r="G44" i="28" s="1"/>
  <c r="T41" i="28"/>
  <c r="AC118" i="28"/>
  <c r="AC119" i="28" s="1"/>
  <c r="AC115" i="28"/>
  <c r="AC116" i="28" s="1"/>
  <c r="AC63" i="28"/>
  <c r="AB8" i="28"/>
  <c r="BR80" i="28"/>
  <c r="BR82" i="28"/>
  <c r="BR78" i="28"/>
  <c r="Q82" i="28"/>
  <c r="Q78" i="28"/>
  <c r="Q115" i="28"/>
  <c r="Q116" i="28" s="1"/>
  <c r="Q87" i="28"/>
  <c r="AG87" i="28" s="1"/>
  <c r="Q118" i="28"/>
  <c r="Q119" i="28" s="1"/>
  <c r="U56" i="28"/>
  <c r="BO25" i="28"/>
  <c r="BO30" i="28"/>
  <c r="BO29" i="28" s="1"/>
  <c r="BO24" i="28"/>
  <c r="BO23" i="28" s="1"/>
  <c r="U26" i="28"/>
  <c r="O30" i="28"/>
  <c r="O29" i="28" s="1"/>
  <c r="O25" i="28"/>
  <c r="AZ26" i="28"/>
  <c r="M54" i="28"/>
  <c r="M43" i="28"/>
  <c r="BW93" i="28"/>
  <c r="BW91" i="28"/>
  <c r="AA82" i="28"/>
  <c r="AF81" i="28"/>
  <c r="AA80" i="28"/>
  <c r="AA78" i="28"/>
  <c r="AA87" i="28"/>
  <c r="AA115" i="28"/>
  <c r="AA116" i="28" s="1"/>
  <c r="AA118" i="28"/>
  <c r="AA119" i="28" s="1"/>
  <c r="CB82" i="28"/>
  <c r="CB87" i="28"/>
  <c r="CB80" i="28"/>
  <c r="CB78" i="28"/>
  <c r="CB118" i="28"/>
  <c r="CB119" i="28" s="1"/>
  <c r="CB115" i="28"/>
  <c r="CB116" i="28" s="1"/>
  <c r="BL70" i="28"/>
  <c r="BK9" i="28"/>
  <c r="BT148" i="28"/>
  <c r="CD61" i="28"/>
  <c r="CD56" i="28" s="1"/>
  <c r="BE24" i="28"/>
  <c r="BE23" i="28" s="1"/>
  <c r="O41" i="28" l="1"/>
  <c r="O56" i="28"/>
  <c r="O55" i="28" s="1"/>
  <c r="CB55" i="28"/>
  <c r="CB52" i="28"/>
  <c r="CB51" i="28" s="1"/>
  <c r="CB50" i="28" s="1"/>
  <c r="CA52" i="28"/>
  <c r="CA51" i="28" s="1"/>
  <c r="CA50" i="28" s="1"/>
  <c r="CA56" i="28"/>
  <c r="CA55" i="28" s="1"/>
  <c r="Y90" i="28"/>
  <c r="Y88" i="28"/>
  <c r="Y89" i="28"/>
  <c r="CD55" i="28"/>
  <c r="CD52" i="28"/>
  <c r="CD51" i="28" s="1"/>
  <c r="CD50" i="28" s="1"/>
  <c r="CC56" i="28"/>
  <c r="CC55" i="28" s="1"/>
  <c r="CC52" i="28"/>
  <c r="CC51" i="28" s="1"/>
  <c r="CC50" i="28" s="1"/>
  <c r="V25" i="28"/>
  <c r="V30" i="28"/>
  <c r="V29" i="28" s="1"/>
  <c r="W26" i="28"/>
  <c r="V24" i="28"/>
  <c r="V23" i="28" s="1"/>
  <c r="CB89" i="28"/>
  <c r="CB88" i="28"/>
  <c r="CB90" i="28"/>
  <c r="G43" i="28"/>
  <c r="G54" i="28"/>
  <c r="AK87" i="28"/>
  <c r="AK76" i="28"/>
  <c r="AM74" i="28"/>
  <c r="AM66" i="28" s="1"/>
  <c r="AK67" i="28"/>
  <c r="CD89" i="28"/>
  <c r="CD88" i="28"/>
  <c r="CD90" i="28"/>
  <c r="O89" i="28"/>
  <c r="O88" i="28"/>
  <c r="O90" i="28"/>
  <c r="BZ89" i="28"/>
  <c r="BZ88" i="28"/>
  <c r="BZ90" i="28"/>
  <c r="W56" i="28"/>
  <c r="AO69" i="28"/>
  <c r="AA89" i="28"/>
  <c r="AA88" i="28"/>
  <c r="AF87" i="28"/>
  <c r="AA90" i="28"/>
  <c r="U30" i="28"/>
  <c r="U29" i="28" s="1"/>
  <c r="U25" i="28"/>
  <c r="O45" i="28"/>
  <c r="O44" i="28" s="1"/>
  <c r="N45" i="28"/>
  <c r="N44" i="28" s="1"/>
  <c r="N43" i="28" s="1"/>
  <c r="AC57" i="28"/>
  <c r="AG63" i="28"/>
  <c r="AC52" i="28"/>
  <c r="AC51" i="28" s="1"/>
  <c r="AB52" i="28"/>
  <c r="AB51" i="28" s="1"/>
  <c r="AB50" i="28" s="1"/>
  <c r="AC75" i="28"/>
  <c r="AC60" i="28"/>
  <c r="AE90" i="28"/>
  <c r="AH87" i="28"/>
  <c r="AE89" i="28"/>
  <c r="AE88" i="28"/>
  <c r="U24" i="28"/>
  <c r="U23" i="28" s="1"/>
  <c r="W96" i="28"/>
  <c r="W94" i="28"/>
  <c r="W41" i="28"/>
  <c r="V41" i="28"/>
  <c r="AA29" i="28"/>
  <c r="AF30" i="28"/>
  <c r="BW135" i="28"/>
  <c r="BW136" i="28" s="1"/>
  <c r="BW137" i="28" s="1"/>
  <c r="BH135" i="28"/>
  <c r="BH136" i="28" s="1"/>
  <c r="BH137" i="28" s="1"/>
  <c r="AO136" i="28"/>
  <c r="AO137" i="28" s="1"/>
  <c r="Q55" i="28"/>
  <c r="P56" i="28"/>
  <c r="P55" i="28" s="1"/>
  <c r="Q45" i="28"/>
  <c r="Q44" i="28" s="1"/>
  <c r="P45" i="28"/>
  <c r="P44" i="28" s="1"/>
  <c r="P43" i="28" s="1"/>
  <c r="AA55" i="28"/>
  <c r="Z56" i="28"/>
  <c r="Z55" i="28" s="1"/>
  <c r="AA45" i="28"/>
  <c r="AA44" i="28" s="1"/>
  <c r="Z45" i="28"/>
  <c r="Z44" i="28" s="1"/>
  <c r="Z43" i="28" s="1"/>
  <c r="G94" i="28"/>
  <c r="G96" i="28"/>
  <c r="M94" i="28"/>
  <c r="M96" i="28"/>
  <c r="U96" i="28"/>
  <c r="U94" i="28"/>
  <c r="BW96" i="28"/>
  <c r="BW94" i="28"/>
  <c r="AE115" i="28"/>
  <c r="AE116" i="28" s="1"/>
  <c r="AE118" i="28"/>
  <c r="AE119" i="28" s="1"/>
  <c r="AE63" i="28"/>
  <c r="AD8" i="28"/>
  <c r="Q90" i="28"/>
  <c r="AG90" i="28" s="1"/>
  <c r="Q88" i="28"/>
  <c r="Q89" i="28"/>
  <c r="AP30" i="28"/>
  <c r="U55" i="28"/>
  <c r="T56" i="28"/>
  <c r="T55" i="28" s="1"/>
  <c r="U45" i="28"/>
  <c r="U44" i="28" s="1"/>
  <c r="T45" i="28"/>
  <c r="T44" i="28" s="1"/>
  <c r="T43" i="28" s="1"/>
  <c r="BZ56" i="28"/>
  <c r="K94" i="28"/>
  <c r="K96" i="28"/>
  <c r="AZ30" i="28"/>
  <c r="I96" i="28"/>
  <c r="I94" i="28"/>
  <c r="S90" i="28"/>
  <c r="S89" i="28"/>
  <c r="S88" i="28"/>
  <c r="R45" i="28"/>
  <c r="R44" i="28" s="1"/>
  <c r="R43" i="28" s="1"/>
  <c r="S55" i="28"/>
  <c r="R56" i="28"/>
  <c r="R55" i="28" s="1"/>
  <c r="S45" i="28"/>
  <c r="S44" i="28" s="1"/>
  <c r="BD30" i="28"/>
  <c r="BD29" i="28" s="1"/>
  <c r="BD25" i="28"/>
  <c r="BD24" i="28"/>
  <c r="BD23" i="28" s="1"/>
  <c r="AC93" i="28"/>
  <c r="AC91" i="28"/>
  <c r="N56" i="28" l="1"/>
  <c r="N55" i="28" s="1"/>
  <c r="U43" i="28"/>
  <c r="U54" i="28"/>
  <c r="AM76" i="28"/>
  <c r="AM87" i="28"/>
  <c r="AO74" i="28"/>
  <c r="AM67" i="28"/>
  <c r="AA91" i="28"/>
  <c r="AF90" i="28"/>
  <c r="AA93" i="28"/>
  <c r="W55" i="28"/>
  <c r="V56" i="28"/>
  <c r="V55" i="28" s="1"/>
  <c r="W45" i="28"/>
  <c r="W44" i="28" s="1"/>
  <c r="V45" i="28"/>
  <c r="V44" i="28" s="1"/>
  <c r="V43" i="28" s="1"/>
  <c r="CB91" i="28"/>
  <c r="CB93" i="28"/>
  <c r="AC96" i="28"/>
  <c r="AC94" i="28"/>
  <c r="Q93" i="28"/>
  <c r="Q91" i="28"/>
  <c r="AU69" i="28"/>
  <c r="Y91" i="28"/>
  <c r="Y93" i="28"/>
  <c r="K100" i="28"/>
  <c r="K97" i="28"/>
  <c r="U97" i="28"/>
  <c r="U100" i="28"/>
  <c r="O43" i="28"/>
  <c r="O54" i="28"/>
  <c r="BZ91" i="28"/>
  <c r="BZ93" i="28"/>
  <c r="CD93" i="28"/>
  <c r="CD91" i="28"/>
  <c r="AP87" i="28"/>
  <c r="AK89" i="28"/>
  <c r="AK90" i="28"/>
  <c r="AK88" i="28"/>
  <c r="G97" i="28"/>
  <c r="G100" i="28"/>
  <c r="W97" i="28"/>
  <c r="W100" i="28"/>
  <c r="AK118" i="28"/>
  <c r="AK119" i="28" s="1"/>
  <c r="AK115" i="28"/>
  <c r="AK116" i="28" s="1"/>
  <c r="AK63" i="28"/>
  <c r="AJ8" i="28"/>
  <c r="Q54" i="28"/>
  <c r="Q43" i="28"/>
  <c r="AC61" i="28"/>
  <c r="AA43" i="28"/>
  <c r="AF44" i="28"/>
  <c r="AA54" i="28"/>
  <c r="M100" i="28"/>
  <c r="M97" i="28"/>
  <c r="AG51" i="28"/>
  <c r="AC50" i="28"/>
  <c r="W30" i="28"/>
  <c r="W29" i="28" s="1"/>
  <c r="W25" i="28"/>
  <c r="W24" i="28"/>
  <c r="W23" i="28" s="1"/>
  <c r="AE93" i="28"/>
  <c r="AE91" i="28"/>
  <c r="AH90" i="28"/>
  <c r="O91" i="28"/>
  <c r="O93" i="28"/>
  <c r="I100" i="28"/>
  <c r="I97" i="28"/>
  <c r="BW97" i="28"/>
  <c r="BW100" i="28"/>
  <c r="AE52" i="28"/>
  <c r="AD52" i="28"/>
  <c r="AE75" i="28"/>
  <c r="AH63" i="28"/>
  <c r="AE57" i="28"/>
  <c r="AE61" i="28" s="1"/>
  <c r="AE60" i="28"/>
  <c r="S54" i="28"/>
  <c r="S43" i="28"/>
  <c r="S91" i="28"/>
  <c r="S93" i="28"/>
  <c r="BZ52" i="28"/>
  <c r="BZ51" i="28" s="1"/>
  <c r="BZ50" i="28" s="1"/>
  <c r="BY56" i="28"/>
  <c r="BY55" i="28" s="1"/>
  <c r="BZ55" i="28"/>
  <c r="BY52" i="28"/>
  <c r="BY51" i="28" s="1"/>
  <c r="BY50" i="28" s="1"/>
  <c r="AW14" i="26"/>
  <c r="AW15" i="26" s="1"/>
  <c r="AT14" i="26"/>
  <c r="AQ14" i="26"/>
  <c r="AQ15" i="26" s="1"/>
  <c r="AO14" i="26"/>
  <c r="AO15" i="26" s="1"/>
  <c r="AX12" i="26"/>
  <c r="AP14" i="26"/>
  <c r="AP15" i="26" s="1"/>
  <c r="AR14" i="26"/>
  <c r="AR15" i="26" s="1"/>
  <c r="AS14" i="26"/>
  <c r="AS15" i="26" s="1"/>
  <c r="AU14" i="26"/>
  <c r="AU15" i="26" s="1"/>
  <c r="AV14" i="26"/>
  <c r="AV15" i="26" s="1"/>
  <c r="AT15" i="26"/>
  <c r="AE41" i="28" l="1"/>
  <c r="AD41" i="28"/>
  <c r="W43" i="28"/>
  <c r="W54" i="28"/>
  <c r="AO87" i="28"/>
  <c r="AO76" i="28"/>
  <c r="AU74" i="28"/>
  <c r="AU66" i="28" s="1"/>
  <c r="AO67" i="28"/>
  <c r="G105" i="28"/>
  <c r="G101" i="28"/>
  <c r="U105" i="28"/>
  <c r="U101" i="28"/>
  <c r="AO66" i="28"/>
  <c r="CB96" i="28"/>
  <c r="CB94" i="28"/>
  <c r="AQ87" i="28"/>
  <c r="AM89" i="28"/>
  <c r="AM88" i="28"/>
  <c r="AM90" i="28"/>
  <c r="I101" i="28"/>
  <c r="I105" i="28"/>
  <c r="AM118" i="28"/>
  <c r="AM119" i="28" s="1"/>
  <c r="AM115" i="28"/>
  <c r="AM116" i="28" s="1"/>
  <c r="AM63" i="28"/>
  <c r="AL8" i="28"/>
  <c r="O96" i="28"/>
  <c r="O94" i="28"/>
  <c r="BW105" i="28"/>
  <c r="BW101" i="28"/>
  <c r="AK75" i="28"/>
  <c r="AK57" i="28"/>
  <c r="AK52" i="28"/>
  <c r="AK51" i="28" s="1"/>
  <c r="AP63" i="28"/>
  <c r="AJ52" i="28"/>
  <c r="AJ51" i="28" s="1"/>
  <c r="AJ50" i="28" s="1"/>
  <c r="AK60" i="28"/>
  <c r="CD96" i="28"/>
  <c r="CD94" i="28"/>
  <c r="BE69" i="28"/>
  <c r="AW69" i="28"/>
  <c r="AA96" i="28"/>
  <c r="AA94" i="28"/>
  <c r="W105" i="28"/>
  <c r="W101" i="28"/>
  <c r="Y96" i="28"/>
  <c r="Y94" i="28"/>
  <c r="AC41" i="28"/>
  <c r="AB41" i="28"/>
  <c r="BZ96" i="28"/>
  <c r="BZ94" i="28"/>
  <c r="AC56" i="28"/>
  <c r="M105" i="28"/>
  <c r="M101" i="28"/>
  <c r="AC97" i="28"/>
  <c r="AC100" i="28"/>
  <c r="AE56" i="28"/>
  <c r="S94" i="28"/>
  <c r="S96" i="28"/>
  <c r="AE94" i="28"/>
  <c r="AE96" i="28"/>
  <c r="AP90" i="28"/>
  <c r="AK93" i="28"/>
  <c r="AK91" i="28"/>
  <c r="K105" i="28"/>
  <c r="K101" i="28"/>
  <c r="Q96" i="28"/>
  <c r="Q94" i="28"/>
  <c r="AU67" i="3"/>
  <c r="AU63" i="3"/>
  <c r="AT19" i="3"/>
  <c r="AU15" i="3"/>
  <c r="AU19" i="3" l="1"/>
  <c r="AU25" i="3"/>
  <c r="AU26" i="3"/>
  <c r="AM75" i="28"/>
  <c r="AM52" i="28"/>
  <c r="AM51" i="28" s="1"/>
  <c r="AM57" i="28"/>
  <c r="AM61" i="28" s="1"/>
  <c r="AL52" i="28"/>
  <c r="AL51" i="28" s="1"/>
  <c r="AL50" i="28" s="1"/>
  <c r="AQ63" i="28"/>
  <c r="AM60" i="28"/>
  <c r="AO89" i="28"/>
  <c r="AR87" i="28"/>
  <c r="AO88" i="28"/>
  <c r="AO90" i="28"/>
  <c r="AC55" i="28"/>
  <c r="AB56" i="28"/>
  <c r="AB55" i="28" s="1"/>
  <c r="AC45" i="28"/>
  <c r="AC44" i="28" s="1"/>
  <c r="AB45" i="28"/>
  <c r="AB44" i="28" s="1"/>
  <c r="AB43" i="28" s="1"/>
  <c r="Y100" i="28"/>
  <c r="Y97" i="28"/>
  <c r="BW106" i="28"/>
  <c r="BW150" i="28"/>
  <c r="AA100" i="28"/>
  <c r="AA97" i="28"/>
  <c r="S97" i="28"/>
  <c r="S100" i="28"/>
  <c r="AK94" i="28"/>
  <c r="AK96" i="28"/>
  <c r="AD45" i="28"/>
  <c r="AE55" i="28"/>
  <c r="AE45" i="28"/>
  <c r="AD56" i="28"/>
  <c r="AD55" i="28" s="1"/>
  <c r="AK50" i="28"/>
  <c r="AP51" i="28"/>
  <c r="I150" i="28"/>
  <c r="I106" i="28"/>
  <c r="G150" i="28"/>
  <c r="G106" i="28"/>
  <c r="AC101" i="28"/>
  <c r="AC105" i="28"/>
  <c r="BZ100" i="28"/>
  <c r="BZ97" i="28"/>
  <c r="W106" i="28"/>
  <c r="W150" i="28"/>
  <c r="O100" i="28"/>
  <c r="O97" i="28"/>
  <c r="CB100" i="28"/>
  <c r="CB97" i="28"/>
  <c r="AO115" i="28"/>
  <c r="AO116" i="28" s="1"/>
  <c r="AO118" i="28"/>
  <c r="AO119" i="28" s="1"/>
  <c r="AO63" i="28"/>
  <c r="AN8" i="28"/>
  <c r="K150" i="28"/>
  <c r="K106" i="28"/>
  <c r="M150" i="28"/>
  <c r="M106" i="28"/>
  <c r="AY69" i="28"/>
  <c r="U150" i="28"/>
  <c r="U106" i="28"/>
  <c r="Q97" i="28"/>
  <c r="Q100" i="28"/>
  <c r="AE100" i="28"/>
  <c r="AE97" i="28"/>
  <c r="CD97" i="28"/>
  <c r="CD100" i="28"/>
  <c r="AK61" i="28"/>
  <c r="AK56" i="28" s="1"/>
  <c r="AQ90" i="28"/>
  <c r="AM93" i="28"/>
  <c r="AM91" i="28"/>
  <c r="BE74" i="28"/>
  <c r="AW74" i="28"/>
  <c r="AW66" i="28" s="1"/>
  <c r="AU76" i="28"/>
  <c r="AU87" i="28"/>
  <c r="AU67" i="28"/>
  <c r="AT26" i="3"/>
  <c r="AU69" i="3"/>
  <c r="BZ26" i="3"/>
  <c r="CH26" i="3"/>
  <c r="CD26" i="3"/>
  <c r="BV32" i="3"/>
  <c r="BU32" i="3" s="1"/>
  <c r="CH32" i="3"/>
  <c r="CG32" i="3" s="1"/>
  <c r="CD32" i="3"/>
  <c r="CC32" i="3" s="1"/>
  <c r="AU32" i="3" l="1"/>
  <c r="AT20" i="3"/>
  <c r="AT16" i="3"/>
  <c r="AL41" i="28"/>
  <c r="AM41" i="28"/>
  <c r="AE44" i="28"/>
  <c r="AE49" i="28"/>
  <c r="AE48" i="28" s="1"/>
  <c r="AE51" i="28" s="1"/>
  <c r="BE87" i="28"/>
  <c r="BE76" i="28"/>
  <c r="BE67" i="28"/>
  <c r="CB101" i="28"/>
  <c r="CB105" i="28"/>
  <c r="BW69" i="28"/>
  <c r="BZ101" i="28"/>
  <c r="BZ105" i="28"/>
  <c r="AD49" i="28"/>
  <c r="AD48" i="28" s="1"/>
  <c r="AD44" i="28"/>
  <c r="AD43" i="28" s="1"/>
  <c r="AD51" i="28"/>
  <c r="AD50" i="28" s="1"/>
  <c r="AA105" i="28"/>
  <c r="AA101" i="28"/>
  <c r="Y105" i="28"/>
  <c r="Y101" i="28"/>
  <c r="CD101" i="28"/>
  <c r="CD105" i="28"/>
  <c r="BJ69" i="28"/>
  <c r="Y69" i="28"/>
  <c r="AU115" i="28"/>
  <c r="AU116" i="28" s="1"/>
  <c r="AU118" i="28"/>
  <c r="AU119" i="28" s="1"/>
  <c r="AU63" i="28"/>
  <c r="AT8" i="28"/>
  <c r="AE101" i="28"/>
  <c r="AE105" i="28"/>
  <c r="AO75" i="28"/>
  <c r="AO52" i="28"/>
  <c r="AN52" i="28"/>
  <c r="AR63" i="28"/>
  <c r="AO57" i="28"/>
  <c r="AO60" i="28"/>
  <c r="O105" i="28"/>
  <c r="O101" i="28"/>
  <c r="AC150" i="28"/>
  <c r="AC106" i="28"/>
  <c r="AK100" i="28"/>
  <c r="AK97" i="28"/>
  <c r="AM56" i="28"/>
  <c r="AY74" i="28"/>
  <c r="BH74" i="28" s="1"/>
  <c r="AW87" i="28"/>
  <c r="AW67" i="28"/>
  <c r="AW76" i="28"/>
  <c r="AU89" i="28"/>
  <c r="AU88" i="28"/>
  <c r="AZ87" i="28"/>
  <c r="AU90" i="28"/>
  <c r="AK55" i="28"/>
  <c r="AJ56" i="28"/>
  <c r="AJ55" i="28" s="1"/>
  <c r="AK45" i="28"/>
  <c r="AK44" i="28" s="1"/>
  <c r="AJ45" i="28"/>
  <c r="AJ44" i="28" s="1"/>
  <c r="AJ43" i="28" s="1"/>
  <c r="AG44" i="28"/>
  <c r="AC54" i="28"/>
  <c r="AC43" i="28"/>
  <c r="Q46" i="28"/>
  <c r="AQ51" i="28"/>
  <c r="AM50" i="28"/>
  <c r="AR90" i="28"/>
  <c r="AO93" i="28"/>
  <c r="AO91" i="28"/>
  <c r="AM94" i="28"/>
  <c r="AM96" i="28"/>
  <c r="Q105" i="28"/>
  <c r="Q101" i="28"/>
  <c r="AK41" i="28"/>
  <c r="AJ41" i="28"/>
  <c r="S105" i="28"/>
  <c r="S101" i="28"/>
  <c r="BE66" i="28"/>
  <c r="AT25" i="3"/>
  <c r="AU42" i="3"/>
  <c r="AU31" i="3"/>
  <c r="AT32" i="3"/>
  <c r="U137" i="15"/>
  <c r="O137" i="15"/>
  <c r="U137" i="14"/>
  <c r="O137" i="14"/>
  <c r="AU16" i="3" l="1"/>
  <c r="AU29" i="3"/>
  <c r="AU30" i="3"/>
  <c r="AU74" i="3"/>
  <c r="AU76" i="3"/>
  <c r="AH51" i="28"/>
  <c r="AE50" i="28"/>
  <c r="AA150" i="28"/>
  <c r="AF105" i="28"/>
  <c r="AA106" i="28"/>
  <c r="AM55" i="28"/>
  <c r="AL56" i="28"/>
  <c r="AL55" i="28" s="1"/>
  <c r="AM45" i="28"/>
  <c r="AM44" i="28" s="1"/>
  <c r="AL45" i="28"/>
  <c r="AL44" i="28" s="1"/>
  <c r="AL43" i="28" s="1"/>
  <c r="AU57" i="28"/>
  <c r="AU61" i="28" s="1"/>
  <c r="AU52" i="28"/>
  <c r="AU51" i="28" s="1"/>
  <c r="AZ63" i="28"/>
  <c r="AT52" i="28"/>
  <c r="AT51" i="28" s="1"/>
  <c r="AT50" i="28" s="1"/>
  <c r="AU75" i="28"/>
  <c r="AU60" i="28"/>
  <c r="CD150" i="28"/>
  <c r="CD106" i="28"/>
  <c r="AK43" i="28"/>
  <c r="AK54" i="28"/>
  <c r="AP44" i="28"/>
  <c r="O106" i="28"/>
  <c r="O150" i="28"/>
  <c r="CB150" i="28"/>
  <c r="CB106" i="28"/>
  <c r="BL69" i="28"/>
  <c r="AK105" i="28"/>
  <c r="AK101" i="28"/>
  <c r="AE54" i="28"/>
  <c r="AE43" i="28"/>
  <c r="AH44" i="28"/>
  <c r="AY87" i="28"/>
  <c r="AY76" i="28"/>
  <c r="AY67" i="28"/>
  <c r="BW66" i="28"/>
  <c r="BW67" i="28"/>
  <c r="Q150" i="28"/>
  <c r="Q106" i="28"/>
  <c r="AY66" i="28"/>
  <c r="AW118" i="28"/>
  <c r="AW119" i="28" s="1"/>
  <c r="AW115" i="28"/>
  <c r="AW116" i="28" s="1"/>
  <c r="AW63" i="28"/>
  <c r="AV8" i="28"/>
  <c r="AE150" i="28"/>
  <c r="AH105" i="28"/>
  <c r="AE106" i="28"/>
  <c r="Y150" i="28"/>
  <c r="Y106" i="28"/>
  <c r="BZ150" i="28"/>
  <c r="BZ106" i="28"/>
  <c r="BE118" i="28"/>
  <c r="BE119" i="28" s="1"/>
  <c r="BE115" i="28"/>
  <c r="BE116" i="28" s="1"/>
  <c r="BE63" i="28"/>
  <c r="BD8" i="28"/>
  <c r="BE90" i="28"/>
  <c r="BE88" i="28"/>
  <c r="BE89" i="28"/>
  <c r="AM97" i="28"/>
  <c r="AM100" i="28"/>
  <c r="S150" i="28"/>
  <c r="S106" i="28"/>
  <c r="AO96" i="28"/>
  <c r="AO94" i="28"/>
  <c r="AU93" i="28"/>
  <c r="AU91" i="28"/>
  <c r="AZ90" i="28"/>
  <c r="BA87" i="28"/>
  <c r="AW88" i="28"/>
  <c r="AW89" i="28"/>
  <c r="AW90" i="28"/>
  <c r="AG105" i="28"/>
  <c r="AO61" i="28"/>
  <c r="AO56" i="28" s="1"/>
  <c r="Y66" i="28"/>
  <c r="Y67" i="28"/>
  <c r="AT42" i="3"/>
  <c r="AT31" i="3"/>
  <c r="AU75" i="3"/>
  <c r="AU80" i="3"/>
  <c r="AW10" i="22"/>
  <c r="AV10" i="22"/>
  <c r="AU10" i="22"/>
  <c r="AT10" i="22"/>
  <c r="AS10" i="22"/>
  <c r="AR10" i="22"/>
  <c r="AQ10" i="22"/>
  <c r="T181" i="15"/>
  <c r="U135" i="15"/>
  <c r="U141" i="15" s="1"/>
  <c r="U104" i="15"/>
  <c r="U67" i="15"/>
  <c r="DE67" i="15" s="1"/>
  <c r="U57" i="15"/>
  <c r="U42" i="15"/>
  <c r="T32" i="15"/>
  <c r="T31" i="15" s="1"/>
  <c r="U31" i="15"/>
  <c r="U26" i="15"/>
  <c r="U30" i="15" s="1"/>
  <c r="U29" i="15" s="1"/>
  <c r="T19" i="15"/>
  <c r="U15" i="15"/>
  <c r="U19" i="15" s="1"/>
  <c r="T2" i="15"/>
  <c r="T10" i="15" s="1"/>
  <c r="AM67" i="3" l="1"/>
  <c r="DE69" i="15"/>
  <c r="DD72" i="15"/>
  <c r="CW57" i="15"/>
  <c r="CW63" i="15" s="1"/>
  <c r="DE57" i="15"/>
  <c r="T72" i="15"/>
  <c r="CW67" i="15"/>
  <c r="AA76" i="14"/>
  <c r="AU20" i="3"/>
  <c r="AT29" i="3"/>
  <c r="AT30" i="3"/>
  <c r="AT23" i="3"/>
  <c r="AT24" i="3"/>
  <c r="AN45" i="28"/>
  <c r="AO45" i="28"/>
  <c r="AO55" i="28"/>
  <c r="AN56" i="28"/>
  <c r="AN55" i="28" s="1"/>
  <c r="AU41" i="28"/>
  <c r="AT41" i="28"/>
  <c r="BE93" i="28"/>
  <c r="BE91" i="28"/>
  <c r="AK150" i="28"/>
  <c r="AK106" i="28"/>
  <c r="AP105" i="28"/>
  <c r="Y118" i="28"/>
  <c r="Y119" i="28" s="1"/>
  <c r="Y115" i="28"/>
  <c r="Y116" i="28" s="1"/>
  <c r="Y63" i="28"/>
  <c r="X8" i="28"/>
  <c r="AO100" i="28"/>
  <c r="AO97" i="28"/>
  <c r="BH87" i="28"/>
  <c r="BH76" i="28"/>
  <c r="BJ74" i="28"/>
  <c r="BG74" i="28"/>
  <c r="BH67" i="28"/>
  <c r="BH66" i="28"/>
  <c r="AN41" i="28"/>
  <c r="AO41" i="28"/>
  <c r="BB87" i="28"/>
  <c r="AY89" i="28"/>
  <c r="AY88" i="28"/>
  <c r="AY90" i="28"/>
  <c r="AU50" i="28"/>
  <c r="AZ51" i="28"/>
  <c r="AM105" i="28"/>
  <c r="AM101" i="28"/>
  <c r="BE75" i="28"/>
  <c r="BE60" i="28"/>
  <c r="BE57" i="28"/>
  <c r="BE61" i="28" s="1"/>
  <c r="AW57" i="28"/>
  <c r="BA63" i="28"/>
  <c r="AW75" i="28"/>
  <c r="AW52" i="28"/>
  <c r="AW51" i="28" s="1"/>
  <c r="AV52" i="28"/>
  <c r="AV51" i="28" s="1"/>
  <c r="AV50" i="28" s="1"/>
  <c r="AW60" i="28"/>
  <c r="BW118" i="28"/>
  <c r="BW119" i="28" s="1"/>
  <c r="BW115" i="28"/>
  <c r="BW116" i="28" s="1"/>
  <c r="BW63" i="28"/>
  <c r="BV8" i="28"/>
  <c r="AM43" i="28"/>
  <c r="AQ44" i="28"/>
  <c r="AM54" i="28"/>
  <c r="AY118" i="28"/>
  <c r="AY119" i="28" s="1"/>
  <c r="AY115" i="28"/>
  <c r="AY116" i="28" s="1"/>
  <c r="AY63" i="28"/>
  <c r="AX8" i="28"/>
  <c r="AU56" i="28"/>
  <c r="AW93" i="28"/>
  <c r="AW91" i="28"/>
  <c r="BA90" i="28"/>
  <c r="AU96" i="28"/>
  <c r="AU94" i="28"/>
  <c r="AU82" i="3"/>
  <c r="AU81" i="3"/>
  <c r="AU83" i="3"/>
  <c r="T42" i="15"/>
  <c r="T9" i="15"/>
  <c r="U63" i="15"/>
  <c r="T16" i="15"/>
  <c r="T20" i="15" s="1"/>
  <c r="T24" i="15" s="1"/>
  <c r="T23" i="15" s="1"/>
  <c r="U10" i="15"/>
  <c r="U77" i="15" s="1"/>
  <c r="T25" i="15"/>
  <c r="T30" i="15"/>
  <c r="T29" i="15" s="1"/>
  <c r="U25" i="15"/>
  <c r="CV9" i="15" l="1"/>
  <c r="AM57" i="3"/>
  <c r="AL9" i="3" s="1"/>
  <c r="DD9" i="15"/>
  <c r="DE63" i="15"/>
  <c r="AM62" i="3"/>
  <c r="AM59" i="3" s="1"/>
  <c r="E197" i="3"/>
  <c r="E165" i="3" s="1"/>
  <c r="G165" i="3" s="1"/>
  <c r="AM60" i="3"/>
  <c r="CW69" i="15"/>
  <c r="CV72" i="15"/>
  <c r="AC76" i="14"/>
  <c r="AA80" i="14"/>
  <c r="AA71" i="14"/>
  <c r="AA111" i="14"/>
  <c r="AA112" i="14" s="1"/>
  <c r="AA108" i="14"/>
  <c r="AA109" i="14" s="1"/>
  <c r="AA75" i="14"/>
  <c r="AU23" i="3"/>
  <c r="AU24" i="3"/>
  <c r="BG69" i="28"/>
  <c r="BG67" i="28"/>
  <c r="BH89" i="28"/>
  <c r="BH90" i="28"/>
  <c r="BH88" i="28"/>
  <c r="AO101" i="28"/>
  <c r="AO105" i="28"/>
  <c r="AW96" i="28"/>
  <c r="AW94" i="28"/>
  <c r="AY93" i="28"/>
  <c r="AY91" i="28"/>
  <c r="BB90" i="28"/>
  <c r="AU55" i="28"/>
  <c r="AU45" i="28"/>
  <c r="AU44" i="28" s="1"/>
  <c r="AT45" i="28"/>
  <c r="AT44" i="28" s="1"/>
  <c r="AT43" i="28" s="1"/>
  <c r="AT56" i="28"/>
  <c r="AT55" i="28" s="1"/>
  <c r="AU100" i="28"/>
  <c r="AU97" i="28"/>
  <c r="AY52" i="28"/>
  <c r="AX52" i="28"/>
  <c r="AY75" i="28"/>
  <c r="BB63" i="28"/>
  <c r="AY57" i="28"/>
  <c r="AY61" i="28" s="1"/>
  <c r="AY60" i="28"/>
  <c r="BP66" i="28"/>
  <c r="BR69" i="28"/>
  <c r="AW61" i="28"/>
  <c r="AW56" i="28" s="1"/>
  <c r="AM106" i="28"/>
  <c r="AM150" i="28"/>
  <c r="AQ105" i="28"/>
  <c r="BJ87" i="28"/>
  <c r="BJ76" i="28"/>
  <c r="BL74" i="28"/>
  <c r="BJ67" i="28"/>
  <c r="BJ66" i="28"/>
  <c r="BW75" i="28"/>
  <c r="BW57" i="28"/>
  <c r="BW60" i="28"/>
  <c r="BH118" i="28"/>
  <c r="BH119" i="28" s="1"/>
  <c r="BH115" i="28"/>
  <c r="BH116" i="28" s="1"/>
  <c r="BH63" i="28"/>
  <c r="BG63" i="28" s="1"/>
  <c r="BG8" i="28"/>
  <c r="BE56" i="28"/>
  <c r="BP87" i="28"/>
  <c r="BR74" i="28"/>
  <c r="BP67" i="28"/>
  <c r="BO69" i="28" s="1"/>
  <c r="BP76" i="28"/>
  <c r="Y75" i="28"/>
  <c r="Y57" i="28"/>
  <c r="Y61" i="28" s="1"/>
  <c r="Y60" i="28"/>
  <c r="AO49" i="28"/>
  <c r="AO48" i="28" s="1"/>
  <c r="AO51" i="28" s="1"/>
  <c r="AO44" i="28"/>
  <c r="BA51" i="28"/>
  <c r="AW50" i="28"/>
  <c r="BE41" i="28"/>
  <c r="BD41" i="28"/>
  <c r="BE96" i="28"/>
  <c r="BE94" i="28"/>
  <c r="AN49" i="28"/>
  <c r="AN48" i="28" s="1"/>
  <c r="AN51" i="28" s="1"/>
  <c r="AN50" i="28" s="1"/>
  <c r="AN44" i="28"/>
  <c r="AN43" i="28" s="1"/>
  <c r="AU84" i="3"/>
  <c r="U76" i="15"/>
  <c r="U129" i="15"/>
  <c r="U126" i="15"/>
  <c r="U132" i="15"/>
  <c r="U69" i="15"/>
  <c r="U16" i="15"/>
  <c r="U20" i="15" s="1"/>
  <c r="U24" i="15" s="1"/>
  <c r="U23" i="15" s="1"/>
  <c r="AL8" i="3" l="1"/>
  <c r="AM56" i="3"/>
  <c r="AA83" i="14"/>
  <c r="AA82" i="14"/>
  <c r="AA81" i="14"/>
  <c r="AC75" i="14"/>
  <c r="AC80" i="14"/>
  <c r="AC111" i="14"/>
  <c r="AC112" i="14" s="1"/>
  <c r="AC71" i="14"/>
  <c r="AC108" i="14"/>
  <c r="AC109" i="14" s="1"/>
  <c r="AE76" i="14"/>
  <c r="AG76" i="14"/>
  <c r="AW55" i="28"/>
  <c r="AV56" i="28"/>
  <c r="AV55" i="28" s="1"/>
  <c r="AW45" i="28"/>
  <c r="AV45" i="28"/>
  <c r="BP118" i="28"/>
  <c r="BP119" i="28" s="1"/>
  <c r="BP115" i="28"/>
  <c r="BP116" i="28" s="1"/>
  <c r="BP63" i="28"/>
  <c r="CE63" i="28" s="1"/>
  <c r="BO8" i="28"/>
  <c r="AY41" i="28"/>
  <c r="AX41" i="28"/>
  <c r="Y56" i="28"/>
  <c r="BP89" i="28"/>
  <c r="BP88" i="28"/>
  <c r="BP90" i="28"/>
  <c r="BJ118" i="28"/>
  <c r="BJ119" i="28" s="1"/>
  <c r="BJ115" i="28"/>
  <c r="BJ116" i="28" s="1"/>
  <c r="BJ63" i="28"/>
  <c r="BI8" i="28"/>
  <c r="AY56" i="28"/>
  <c r="AU105" i="28"/>
  <c r="AU101" i="28"/>
  <c r="AO150" i="28"/>
  <c r="AO106" i="28"/>
  <c r="AR105" i="28"/>
  <c r="BL67" i="28"/>
  <c r="BL87" i="28"/>
  <c r="BL76" i="28"/>
  <c r="BL66" i="28"/>
  <c r="AV41" i="28"/>
  <c r="AW41" i="28"/>
  <c r="AY94" i="28"/>
  <c r="AY96" i="28"/>
  <c r="BR87" i="28"/>
  <c r="BR76" i="28"/>
  <c r="BR67" i="28"/>
  <c r="BT74" i="28"/>
  <c r="Y41" i="28"/>
  <c r="X41" i="28"/>
  <c r="AO54" i="28"/>
  <c r="AR44" i="28"/>
  <c r="AO43" i="28"/>
  <c r="BR66" i="28"/>
  <c r="BT69" i="28"/>
  <c r="BH93" i="28"/>
  <c r="BH91" i="28"/>
  <c r="AR51" i="28"/>
  <c r="AO50" i="28"/>
  <c r="BE55" i="28"/>
  <c r="BD56" i="28"/>
  <c r="BD55" i="28" s="1"/>
  <c r="BE45" i="28"/>
  <c r="BE44" i="28" s="1"/>
  <c r="BE43" i="28" s="1"/>
  <c r="BD45" i="28"/>
  <c r="BD44" i="28" s="1"/>
  <c r="BD43" i="28" s="1"/>
  <c r="BE100" i="28"/>
  <c r="BE97" i="28"/>
  <c r="BH75" i="28"/>
  <c r="BH57" i="28"/>
  <c r="BH60" i="28"/>
  <c r="BW61" i="28"/>
  <c r="BJ89" i="28"/>
  <c r="BJ88" i="28"/>
  <c r="BJ90" i="28"/>
  <c r="AU43" i="28"/>
  <c r="AZ44" i="28"/>
  <c r="AU54" i="28"/>
  <c r="AW97" i="28"/>
  <c r="AW100" i="28"/>
  <c r="U75" i="15"/>
  <c r="U80" i="15"/>
  <c r="AM68" i="3" l="1"/>
  <c r="AM63" i="3" s="1"/>
  <c r="AM50" i="3"/>
  <c r="AM53" i="3"/>
  <c r="AE75" i="14"/>
  <c r="AE108" i="14"/>
  <c r="AE109" i="14" s="1"/>
  <c r="AE111" i="14"/>
  <c r="AE112" i="14" s="1"/>
  <c r="AE71" i="14"/>
  <c r="AE80" i="14"/>
  <c r="AC82" i="14"/>
  <c r="AC81" i="14"/>
  <c r="AC83" i="14"/>
  <c r="AG108" i="14"/>
  <c r="AG109" i="14" s="1"/>
  <c r="AG80" i="14"/>
  <c r="AG75" i="14"/>
  <c r="AG111" i="14"/>
  <c r="AG112" i="14" s="1"/>
  <c r="AG71" i="14"/>
  <c r="AA86" i="14"/>
  <c r="AA84" i="14"/>
  <c r="CF63" i="28"/>
  <c r="BJ75" i="28"/>
  <c r="BJ57" i="28"/>
  <c r="BJ61" i="28" s="1"/>
  <c r="BJ60" i="28"/>
  <c r="AV44" i="28"/>
  <c r="AV43" i="28" s="1"/>
  <c r="BH94" i="28"/>
  <c r="BH96" i="28"/>
  <c r="AW44" i="28"/>
  <c r="BV41" i="28"/>
  <c r="BW41" i="28"/>
  <c r="BW56" i="28"/>
  <c r="BJ91" i="28"/>
  <c r="BJ93" i="28"/>
  <c r="BH61" i="28"/>
  <c r="BH56" i="28" s="1"/>
  <c r="AW101" i="28"/>
  <c r="AW105" i="28"/>
  <c r="BT66" i="28"/>
  <c r="AY97" i="28"/>
  <c r="AY100" i="28"/>
  <c r="BL89" i="28"/>
  <c r="BL88" i="28"/>
  <c r="BL90" i="28"/>
  <c r="AU150" i="28"/>
  <c r="AU106" i="28"/>
  <c r="AZ105" i="28"/>
  <c r="BP93" i="28"/>
  <c r="BP91" i="28"/>
  <c r="BT87" i="28"/>
  <c r="BT76" i="28"/>
  <c r="BT67" i="28"/>
  <c r="BE105" i="28"/>
  <c r="BE101" i="28"/>
  <c r="BR115" i="28"/>
  <c r="BR116" i="28" s="1"/>
  <c r="BR118" i="28"/>
  <c r="BR119" i="28" s="1"/>
  <c r="BR63" i="28"/>
  <c r="BQ8" i="28"/>
  <c r="X45" i="28"/>
  <c r="X44" i="28" s="1"/>
  <c r="X43" i="28" s="1"/>
  <c r="X56" i="28"/>
  <c r="X55" i="28" s="1"/>
  <c r="Y45" i="28"/>
  <c r="Y44" i="28" s="1"/>
  <c r="Y43" i="28" s="1"/>
  <c r="Y55" i="28"/>
  <c r="BR90" i="28"/>
  <c r="BR88" i="28"/>
  <c r="BR89" i="28"/>
  <c r="BL118" i="28"/>
  <c r="BL119" i="28" s="1"/>
  <c r="BL115" i="28"/>
  <c r="BL116" i="28" s="1"/>
  <c r="BL63" i="28"/>
  <c r="BK8" i="28"/>
  <c r="AX45" i="28"/>
  <c r="AY55" i="28"/>
  <c r="AX56" i="28"/>
  <c r="AX55" i="28" s="1"/>
  <c r="AY45" i="28"/>
  <c r="BP57" i="28"/>
  <c r="BP61" i="28" s="1"/>
  <c r="BP75" i="28"/>
  <c r="BP60" i="28"/>
  <c r="U81" i="15"/>
  <c r="U83" i="15"/>
  <c r="U82" i="15"/>
  <c r="AM54" i="3" l="1"/>
  <c r="AM49" i="3" s="1"/>
  <c r="AG83" i="14"/>
  <c r="AG82" i="14"/>
  <c r="AG81" i="14"/>
  <c r="AE83" i="14"/>
  <c r="AE82" i="14"/>
  <c r="AE81" i="14"/>
  <c r="AA89" i="14"/>
  <c r="AA87" i="14"/>
  <c r="AC86" i="14"/>
  <c r="AC84" i="14"/>
  <c r="BO48" i="28"/>
  <c r="BI41" i="28"/>
  <c r="BJ41" i="28"/>
  <c r="BR75" i="28"/>
  <c r="BR57" i="28"/>
  <c r="BR61" i="28" s="1"/>
  <c r="BR60" i="28"/>
  <c r="BL57" i="28"/>
  <c r="BL61" i="28" s="1"/>
  <c r="BL75" i="28"/>
  <c r="BL60" i="28"/>
  <c r="BT90" i="28"/>
  <c r="BT89" i="28"/>
  <c r="BT88" i="28"/>
  <c r="AW150" i="28"/>
  <c r="AW106" i="28"/>
  <c r="BA105" i="28"/>
  <c r="BH55" i="28"/>
  <c r="BG56" i="28"/>
  <c r="BG55" i="28" s="1"/>
  <c r="BH45" i="28"/>
  <c r="BM45" i="28" s="1"/>
  <c r="BN44" i="28" s="1"/>
  <c r="BM42" i="28" s="1"/>
  <c r="BG45" i="28"/>
  <c r="AY49" i="28"/>
  <c r="AY48" i="28" s="1"/>
  <c r="AY51" i="28" s="1"/>
  <c r="AY44" i="28"/>
  <c r="BP56" i="28"/>
  <c r="BP52" i="28" s="1"/>
  <c r="BR93" i="28"/>
  <c r="BR91" i="28"/>
  <c r="BL93" i="28"/>
  <c r="BL91" i="28"/>
  <c r="BP96" i="28"/>
  <c r="BP94" i="28"/>
  <c r="BA44" i="28"/>
  <c r="AW54" i="28"/>
  <c r="AW43" i="28"/>
  <c r="BE150" i="28"/>
  <c r="BE106" i="28"/>
  <c r="AY101" i="28"/>
  <c r="AY105" i="28"/>
  <c r="BJ94" i="28"/>
  <c r="BJ96" i="28"/>
  <c r="BH100" i="28"/>
  <c r="BH97" i="28"/>
  <c r="BW55" i="28"/>
  <c r="BV56" i="28"/>
  <c r="BV55" i="28" s="1"/>
  <c r="BW45" i="28"/>
  <c r="BW44" i="28" s="1"/>
  <c r="BW43" i="28" s="1"/>
  <c r="BV45" i="28"/>
  <c r="BV44" i="28" s="1"/>
  <c r="BV43" i="28" s="1"/>
  <c r="BH41" i="28"/>
  <c r="BG41" i="28"/>
  <c r="BJ56" i="28"/>
  <c r="AX49" i="28"/>
  <c r="AX48" i="28" s="1"/>
  <c r="AX44" i="28"/>
  <c r="AX43" i="28" s="1"/>
  <c r="AX51" i="28"/>
  <c r="AX50" i="28" s="1"/>
  <c r="BT118" i="28"/>
  <c r="BT119" i="28" s="1"/>
  <c r="BT115" i="28"/>
  <c r="BT116" i="28" s="1"/>
  <c r="BT63" i="28"/>
  <c r="BS8" i="28"/>
  <c r="U84" i="15"/>
  <c r="AL45" i="3" l="1"/>
  <c r="AL49" i="3"/>
  <c r="AL48" i="3" s="1"/>
  <c r="AM45" i="3"/>
  <c r="AM41" i="3"/>
  <c r="AL41" i="3"/>
  <c r="AA90" i="14"/>
  <c r="AA93" i="14"/>
  <c r="AC87" i="14"/>
  <c r="AC89" i="14"/>
  <c r="AE86" i="14"/>
  <c r="AE84" i="14"/>
  <c r="AG86" i="14"/>
  <c r="AG84" i="14"/>
  <c r="BO52" i="28"/>
  <c r="BO51" i="28" s="1"/>
  <c r="BO50" i="28" s="1"/>
  <c r="BB51" i="28"/>
  <c r="AY50" i="28"/>
  <c r="BL96" i="28"/>
  <c r="BL94" i="28"/>
  <c r="BG44" i="28"/>
  <c r="BG43" i="28" s="1"/>
  <c r="BL56" i="28"/>
  <c r="BH101" i="28"/>
  <c r="BH105" i="28"/>
  <c r="BR41" i="28"/>
  <c r="BQ41" i="28"/>
  <c r="BJ100" i="28"/>
  <c r="BJ97" i="28"/>
  <c r="AY150" i="28"/>
  <c r="BB105" i="28"/>
  <c r="AY106" i="28"/>
  <c r="BR94" i="28"/>
  <c r="BR96" i="28"/>
  <c r="BL41" i="28"/>
  <c r="BK41" i="28"/>
  <c r="BT75" i="28"/>
  <c r="BT57" i="28"/>
  <c r="BT60" i="28"/>
  <c r="BP55" i="28"/>
  <c r="BO56" i="28"/>
  <c r="BO55" i="28" s="1"/>
  <c r="AY54" i="28"/>
  <c r="AY43" i="28"/>
  <c r="BB44" i="28"/>
  <c r="BH44" i="28"/>
  <c r="BH43" i="28" s="1"/>
  <c r="BI45" i="28"/>
  <c r="BI44" i="28" s="1"/>
  <c r="BI43" i="28" s="1"/>
  <c r="BJ45" i="28"/>
  <c r="BJ44" i="28" s="1"/>
  <c r="BJ43" i="28" s="1"/>
  <c r="BJ55" i="28"/>
  <c r="BI56" i="28"/>
  <c r="BI55" i="28" s="1"/>
  <c r="BP97" i="28"/>
  <c r="BP100" i="28"/>
  <c r="BT91" i="28"/>
  <c r="BT93" i="28"/>
  <c r="BR56" i="28"/>
  <c r="AL44" i="3" l="1"/>
  <c r="AL43" i="3" s="1"/>
  <c r="AM44" i="3"/>
  <c r="AA94" i="14"/>
  <c r="AG89" i="14"/>
  <c r="AG87" i="14"/>
  <c r="AE87" i="14"/>
  <c r="AE89" i="14"/>
  <c r="AC93" i="14"/>
  <c r="AC90" i="14"/>
  <c r="BO44" i="28"/>
  <c r="BL55" i="28"/>
  <c r="BK56" i="28"/>
  <c r="BK55" i="28" s="1"/>
  <c r="BL45" i="28"/>
  <c r="BL44" i="28" s="1"/>
  <c r="BL43" i="28" s="1"/>
  <c r="BK45" i="28"/>
  <c r="BK44" i="28" s="1"/>
  <c r="BK43" i="28" s="1"/>
  <c r="BR97" i="28"/>
  <c r="BR100" i="28"/>
  <c r="BJ101" i="28"/>
  <c r="BJ105" i="28"/>
  <c r="BQ45" i="28"/>
  <c r="BQ44" i="28" s="1"/>
  <c r="BQ43" i="28" s="1"/>
  <c r="BR55" i="28"/>
  <c r="BQ56" i="28"/>
  <c r="BQ55" i="28" s="1"/>
  <c r="BR45" i="28"/>
  <c r="BR44" i="28" s="1"/>
  <c r="BR43" i="28" s="1"/>
  <c r="BT96" i="28"/>
  <c r="BT94" i="28"/>
  <c r="BT61" i="28"/>
  <c r="BL100" i="28"/>
  <c r="BL97" i="28"/>
  <c r="BH106" i="28"/>
  <c r="BH150" i="28"/>
  <c r="BP105" i="28"/>
  <c r="BP101" i="28"/>
  <c r="W137" i="14"/>
  <c r="Y135" i="14"/>
  <c r="W135" i="14"/>
  <c r="U135" i="14"/>
  <c r="W128" i="14"/>
  <c r="Y128" i="14" s="1"/>
  <c r="AA128" i="14" s="1"/>
  <c r="W125" i="14"/>
  <c r="Y125" i="14" s="1"/>
  <c r="AA125" i="14" s="1"/>
  <c r="Y123" i="14"/>
  <c r="W123" i="14"/>
  <c r="U123" i="14"/>
  <c r="Y122" i="14"/>
  <c r="W122" i="14"/>
  <c r="U122" i="14"/>
  <c r="Y121" i="14"/>
  <c r="W121" i="14"/>
  <c r="U121" i="14"/>
  <c r="Y120" i="14"/>
  <c r="W120" i="14"/>
  <c r="U120" i="14"/>
  <c r="Y119" i="14"/>
  <c r="W119" i="14"/>
  <c r="U119" i="14"/>
  <c r="Y106" i="14"/>
  <c r="W106" i="14"/>
  <c r="U106" i="14"/>
  <c r="Y104" i="14"/>
  <c r="Y105" i="14" s="1"/>
  <c r="W104" i="14"/>
  <c r="W105" i="14" s="1"/>
  <c r="U104" i="14"/>
  <c r="U105" i="14" s="1"/>
  <c r="Y67" i="14"/>
  <c r="CS67" i="14" s="1"/>
  <c r="W67" i="14"/>
  <c r="U67" i="14"/>
  <c r="Y65" i="14"/>
  <c r="W65" i="14"/>
  <c r="U65" i="14"/>
  <c r="Y57" i="14"/>
  <c r="W57" i="14"/>
  <c r="V9" i="14" s="1"/>
  <c r="U57" i="14"/>
  <c r="Y52" i="14"/>
  <c r="W52" i="14"/>
  <c r="U52" i="14"/>
  <c r="W42" i="14"/>
  <c r="U42" i="14"/>
  <c r="Y31" i="14"/>
  <c r="T32" i="14"/>
  <c r="W31" i="14"/>
  <c r="U31" i="14"/>
  <c r="X19" i="14"/>
  <c r="V19" i="14"/>
  <c r="T19" i="14"/>
  <c r="Y15" i="14"/>
  <c r="Y19" i="14" s="1"/>
  <c r="W15" i="14"/>
  <c r="W19" i="14" s="1"/>
  <c r="U15" i="14"/>
  <c r="U19" i="14" s="1"/>
  <c r="X2" i="14"/>
  <c r="X10" i="14" s="1"/>
  <c r="V2" i="14"/>
  <c r="V10" i="14" s="1"/>
  <c r="V16" i="14" s="1"/>
  <c r="V20" i="14" s="1"/>
  <c r="T2" i="14"/>
  <c r="T10" i="14" s="1"/>
  <c r="U10" i="14" s="1"/>
  <c r="U77" i="14" s="1"/>
  <c r="T1" i="14"/>
  <c r="I16" i="26"/>
  <c r="H16" i="26"/>
  <c r="CR15" i="27" s="1"/>
  <c r="CR16" i="27" s="1"/>
  <c r="G16" i="26"/>
  <c r="CQ15" i="27" s="1"/>
  <c r="CQ16" i="27" s="1"/>
  <c r="F16" i="26"/>
  <c r="CP15" i="27" s="1"/>
  <c r="CP16" i="27" s="1"/>
  <c r="E16" i="26"/>
  <c r="CO15" i="27" s="1"/>
  <c r="CO16" i="27" s="1"/>
  <c r="D16" i="26"/>
  <c r="CN15" i="27" s="1"/>
  <c r="CN16" i="27" s="1"/>
  <c r="C16" i="26"/>
  <c r="CM15" i="27" s="1"/>
  <c r="CM16" i="27" s="1"/>
  <c r="I15" i="26"/>
  <c r="CK15" i="27" s="1"/>
  <c r="CK16" i="27" s="1"/>
  <c r="H15" i="26"/>
  <c r="H30" i="26" s="1"/>
  <c r="G15" i="26"/>
  <c r="CI15" i="27" s="1"/>
  <c r="CI16" i="27" s="1"/>
  <c r="F15" i="26"/>
  <c r="CH15" i="27" s="1"/>
  <c r="CH16" i="27" s="1"/>
  <c r="E15" i="26"/>
  <c r="E30" i="26" s="1"/>
  <c r="D15" i="26"/>
  <c r="CF15" i="27" s="1"/>
  <c r="CF16" i="27" s="1"/>
  <c r="C15" i="26"/>
  <c r="CE15" i="27" s="1"/>
  <c r="CE16" i="27" s="1"/>
  <c r="I14" i="26"/>
  <c r="CC15" i="27" s="1"/>
  <c r="CC16" i="27" s="1"/>
  <c r="H14" i="26"/>
  <c r="CB15" i="27" s="1"/>
  <c r="CB16" i="27" s="1"/>
  <c r="G14" i="26"/>
  <c r="G29" i="26" s="1"/>
  <c r="F14" i="26"/>
  <c r="BZ15" i="27" s="1"/>
  <c r="BZ16" i="27" s="1"/>
  <c r="E14" i="26"/>
  <c r="BY15" i="27" s="1"/>
  <c r="BY16" i="27" s="1"/>
  <c r="D14" i="26"/>
  <c r="BX15" i="27" s="1"/>
  <c r="BX16" i="27" s="1"/>
  <c r="C14" i="26"/>
  <c r="C29" i="26" s="1"/>
  <c r="I13" i="26"/>
  <c r="BU15" i="27" s="1"/>
  <c r="BU16" i="27" s="1"/>
  <c r="H13" i="26"/>
  <c r="H28" i="26" s="1"/>
  <c r="G13" i="26"/>
  <c r="BS15" i="27" s="1"/>
  <c r="BS16" i="27" s="1"/>
  <c r="F13" i="26"/>
  <c r="BR15" i="27" s="1"/>
  <c r="BR16" i="27" s="1"/>
  <c r="E13" i="26"/>
  <c r="BQ15" i="27" s="1"/>
  <c r="BQ16" i="27" s="1"/>
  <c r="D13" i="26"/>
  <c r="BP15" i="27" s="1"/>
  <c r="BP16" i="27" s="1"/>
  <c r="C13" i="26"/>
  <c r="BO15" i="27" s="1"/>
  <c r="BO16" i="27" s="1"/>
  <c r="I12" i="26"/>
  <c r="BM15" i="27" s="1"/>
  <c r="BM16" i="27" s="1"/>
  <c r="H12" i="26"/>
  <c r="BL15" i="27" s="1"/>
  <c r="BL16" i="27" s="1"/>
  <c r="G12" i="26"/>
  <c r="BK15" i="27" s="1"/>
  <c r="BK16" i="27" s="1"/>
  <c r="F12" i="26"/>
  <c r="BJ15" i="27" s="1"/>
  <c r="BJ16" i="27" s="1"/>
  <c r="E12" i="26"/>
  <c r="BI15" i="27" s="1"/>
  <c r="BI16" i="27" s="1"/>
  <c r="D12" i="26"/>
  <c r="BH15" i="27" s="1"/>
  <c r="BH16" i="27" s="1"/>
  <c r="C12" i="26"/>
  <c r="C27" i="26" s="1"/>
  <c r="I11" i="26"/>
  <c r="I26" i="26" s="1"/>
  <c r="H11" i="26"/>
  <c r="BD15" i="27" s="1"/>
  <c r="BD16" i="27" s="1"/>
  <c r="G11" i="26"/>
  <c r="BC15" i="27" s="1"/>
  <c r="BC16" i="27" s="1"/>
  <c r="F11" i="26"/>
  <c r="BB15" i="27" s="1"/>
  <c r="BB16" i="27" s="1"/>
  <c r="E11" i="26"/>
  <c r="BA15" i="27" s="1"/>
  <c r="BA16" i="27" s="1"/>
  <c r="D11" i="26"/>
  <c r="AZ15" i="27" s="1"/>
  <c r="AZ16" i="27" s="1"/>
  <c r="C11" i="26"/>
  <c r="C26" i="26" s="1"/>
  <c r="CS15" i="27"/>
  <c r="CS16" i="27" s="1"/>
  <c r="AW15" i="27"/>
  <c r="AV15" i="27"/>
  <c r="AV16" i="27" s="1"/>
  <c r="AU15" i="27"/>
  <c r="AU16" i="27" s="1"/>
  <c r="AT15" i="27"/>
  <c r="AT16" i="27" s="1"/>
  <c r="AS15" i="27"/>
  <c r="AS16" i="27" s="1"/>
  <c r="AR15" i="27"/>
  <c r="AR16" i="27" s="1"/>
  <c r="AQ15" i="27"/>
  <c r="AQ16" i="27" s="1"/>
  <c r="AO15" i="27"/>
  <c r="AO16" i="27" s="1"/>
  <c r="AN15" i="27"/>
  <c r="AN16" i="27" s="1"/>
  <c r="AM15" i="27"/>
  <c r="AM16" i="27" s="1"/>
  <c r="AL15" i="27"/>
  <c r="AL16" i="27" s="1"/>
  <c r="AK15" i="27"/>
  <c r="AK16" i="27" s="1"/>
  <c r="AK24" i="27" s="1"/>
  <c r="AJ15" i="27"/>
  <c r="AJ16" i="27" s="1"/>
  <c r="AI15" i="27"/>
  <c r="AI16" i="27" s="1"/>
  <c r="AG15" i="27"/>
  <c r="AG16" i="27" s="1"/>
  <c r="AF15" i="27"/>
  <c r="AF16" i="27" s="1"/>
  <c r="AE15" i="27"/>
  <c r="AE16" i="27" s="1"/>
  <c r="AD15" i="27"/>
  <c r="AD16" i="27" s="1"/>
  <c r="AC15" i="27"/>
  <c r="AC16" i="27" s="1"/>
  <c r="AB15" i="27"/>
  <c r="AA15" i="27"/>
  <c r="AA16" i="27" s="1"/>
  <c r="Y15" i="27"/>
  <c r="Y16" i="27" s="1"/>
  <c r="X15" i="27"/>
  <c r="X16" i="27" s="1"/>
  <c r="W15" i="27"/>
  <c r="W16" i="27" s="1"/>
  <c r="V15" i="27"/>
  <c r="V16" i="27" s="1"/>
  <c r="V36" i="27" s="1"/>
  <c r="U15" i="27"/>
  <c r="U16" i="27" s="1"/>
  <c r="T15" i="27"/>
  <c r="S15" i="27"/>
  <c r="Q15" i="27"/>
  <c r="Q16" i="27" s="1"/>
  <c r="P15" i="27"/>
  <c r="P16" i="27" s="1"/>
  <c r="O15" i="27"/>
  <c r="N15" i="27"/>
  <c r="N16" i="27" s="1"/>
  <c r="M15" i="27"/>
  <c r="M16" i="27" s="1"/>
  <c r="L15" i="27"/>
  <c r="L16" i="27" s="1"/>
  <c r="K15" i="27"/>
  <c r="K16" i="27" s="1"/>
  <c r="I15" i="27"/>
  <c r="I16" i="27" s="1"/>
  <c r="H15" i="27"/>
  <c r="H16" i="27" s="1"/>
  <c r="H19" i="27" s="1"/>
  <c r="G15" i="27"/>
  <c r="G16" i="27" s="1"/>
  <c r="F15" i="27"/>
  <c r="F16" i="27" s="1"/>
  <c r="E15" i="27"/>
  <c r="E16" i="27" s="1"/>
  <c r="D15" i="27"/>
  <c r="C15" i="27"/>
  <c r="AB16" i="27"/>
  <c r="O16" i="27"/>
  <c r="D16" i="27"/>
  <c r="C16" i="27"/>
  <c r="AW16" i="27"/>
  <c r="T16" i="27"/>
  <c r="CM11" i="27"/>
  <c r="CE11" i="27"/>
  <c r="BW11" i="27"/>
  <c r="BO11" i="27"/>
  <c r="BG11" i="27"/>
  <c r="AY11" i="27"/>
  <c r="AQ11" i="27"/>
  <c r="AI11" i="27"/>
  <c r="AA11" i="27"/>
  <c r="CS10" i="27"/>
  <c r="CR10" i="27"/>
  <c r="CQ10" i="27"/>
  <c r="CP10" i="27"/>
  <c r="CO10" i="27"/>
  <c r="CN10" i="27"/>
  <c r="CM10" i="27"/>
  <c r="CK10" i="27"/>
  <c r="CJ10" i="27"/>
  <c r="CI10" i="27"/>
  <c r="CH10" i="27"/>
  <c r="CG10" i="27"/>
  <c r="CF10" i="27"/>
  <c r="CE10" i="27"/>
  <c r="CC10" i="27"/>
  <c r="CB10" i="27"/>
  <c r="CA10" i="27"/>
  <c r="BZ10" i="27"/>
  <c r="BY10" i="27"/>
  <c r="BX10" i="27"/>
  <c r="BW10" i="27"/>
  <c r="BU10" i="27"/>
  <c r="BT10" i="27"/>
  <c r="BS10" i="27"/>
  <c r="BR10" i="27"/>
  <c r="BQ10" i="27"/>
  <c r="BP10" i="27"/>
  <c r="BO10" i="27"/>
  <c r="BM10" i="27"/>
  <c r="BL10" i="27"/>
  <c r="BK10" i="27"/>
  <c r="BJ10" i="27"/>
  <c r="BI10" i="27"/>
  <c r="BH10" i="27"/>
  <c r="BG10" i="27"/>
  <c r="BE10" i="27"/>
  <c r="BD10" i="27"/>
  <c r="BC10" i="27"/>
  <c r="BB10" i="27"/>
  <c r="BA10" i="27"/>
  <c r="AZ10" i="27"/>
  <c r="AY10" i="27"/>
  <c r="AW10" i="27"/>
  <c r="AV10" i="27"/>
  <c r="AU10" i="27"/>
  <c r="AT10" i="27"/>
  <c r="AS10" i="27"/>
  <c r="AR10" i="27"/>
  <c r="AQ10" i="27"/>
  <c r="AO10" i="27"/>
  <c r="AN10" i="27"/>
  <c r="AM10" i="27"/>
  <c r="AL10" i="27"/>
  <c r="AK10" i="27"/>
  <c r="AJ10" i="27"/>
  <c r="AI10" i="27"/>
  <c r="AG10" i="27"/>
  <c r="AF10" i="27"/>
  <c r="AE10" i="27"/>
  <c r="AD10" i="27"/>
  <c r="AC10" i="27"/>
  <c r="AB10" i="27"/>
  <c r="AA10" i="27"/>
  <c r="Y10" i="27"/>
  <c r="X10" i="27"/>
  <c r="W10" i="27"/>
  <c r="V10" i="27"/>
  <c r="U10" i="27"/>
  <c r="T10" i="27"/>
  <c r="S10" i="27"/>
  <c r="Q10" i="27"/>
  <c r="P10" i="27"/>
  <c r="O10" i="27"/>
  <c r="N10" i="27"/>
  <c r="M10" i="27"/>
  <c r="L10" i="27"/>
  <c r="K10" i="27"/>
  <c r="I10" i="27"/>
  <c r="H10" i="27"/>
  <c r="G10" i="27"/>
  <c r="F10" i="27"/>
  <c r="E10" i="27"/>
  <c r="D10" i="27"/>
  <c r="C10" i="27"/>
  <c r="E29" i="26"/>
  <c r="I30" i="26"/>
  <c r="C31" i="26"/>
  <c r="G26" i="26"/>
  <c r="H26" i="26"/>
  <c r="I87" i="26"/>
  <c r="I88" i="26" s="1"/>
  <c r="I31" i="26"/>
  <c r="D29" i="26"/>
  <c r="I107" i="26"/>
  <c r="H107" i="26"/>
  <c r="G107" i="26"/>
  <c r="F107" i="26"/>
  <c r="E107" i="26"/>
  <c r="D107" i="26"/>
  <c r="C107" i="26"/>
  <c r="J106" i="26"/>
  <c r="C82" i="26"/>
  <c r="I81" i="26"/>
  <c r="I82" i="26" s="1"/>
  <c r="H81" i="26"/>
  <c r="H82" i="26" s="1"/>
  <c r="G81" i="26"/>
  <c r="G82" i="26" s="1"/>
  <c r="F81" i="26"/>
  <c r="F82" i="26" s="1"/>
  <c r="E81" i="26"/>
  <c r="E82" i="26" s="1"/>
  <c r="D81" i="26"/>
  <c r="D82" i="26" s="1"/>
  <c r="C81" i="26"/>
  <c r="G79" i="26"/>
  <c r="I78" i="26"/>
  <c r="I79" i="26" s="1"/>
  <c r="H78" i="26"/>
  <c r="H79" i="26" s="1"/>
  <c r="G78" i="26"/>
  <c r="F78" i="26"/>
  <c r="F79" i="26" s="1"/>
  <c r="E78" i="26"/>
  <c r="E79" i="26" s="1"/>
  <c r="D78" i="26"/>
  <c r="D79" i="26" s="1"/>
  <c r="C78" i="26"/>
  <c r="C79" i="26" s="1"/>
  <c r="I72" i="26"/>
  <c r="I73" i="26" s="1"/>
  <c r="H72" i="26"/>
  <c r="H73" i="26" s="1"/>
  <c r="G72" i="26"/>
  <c r="G73" i="26" s="1"/>
  <c r="F72" i="26"/>
  <c r="F73" i="26" s="1"/>
  <c r="E72" i="26"/>
  <c r="E73" i="26" s="1"/>
  <c r="D72" i="26"/>
  <c r="D73" i="26" s="1"/>
  <c r="C72" i="26"/>
  <c r="C73" i="26" s="1"/>
  <c r="I70" i="26"/>
  <c r="H70" i="26"/>
  <c r="G70" i="26"/>
  <c r="F70" i="26"/>
  <c r="E70" i="26"/>
  <c r="D70" i="26"/>
  <c r="C70" i="26"/>
  <c r="J69" i="26"/>
  <c r="H51" i="26"/>
  <c r="V51" i="26" s="1"/>
  <c r="G51" i="26"/>
  <c r="F51" i="26"/>
  <c r="I25" i="26"/>
  <c r="H25" i="26"/>
  <c r="G25" i="26"/>
  <c r="F25" i="26"/>
  <c r="E25" i="26"/>
  <c r="D25" i="26"/>
  <c r="C25" i="26"/>
  <c r="I24" i="26"/>
  <c r="H24" i="26"/>
  <c r="G24" i="26"/>
  <c r="F24" i="26"/>
  <c r="E24" i="26"/>
  <c r="D24" i="26"/>
  <c r="C24" i="26"/>
  <c r="I23" i="26"/>
  <c r="H23" i="26"/>
  <c r="G23" i="26"/>
  <c r="F23" i="26"/>
  <c r="E23" i="26"/>
  <c r="D23" i="26"/>
  <c r="C23" i="26"/>
  <c r="I22" i="26"/>
  <c r="H22" i="26"/>
  <c r="G22" i="26"/>
  <c r="F22" i="26"/>
  <c r="E22" i="26"/>
  <c r="D22" i="26"/>
  <c r="C22" i="26"/>
  <c r="I21" i="26"/>
  <c r="H21" i="26"/>
  <c r="G21" i="26"/>
  <c r="F21" i="26"/>
  <c r="E21" i="26"/>
  <c r="D21" i="26"/>
  <c r="C21" i="26"/>
  <c r="I20" i="26"/>
  <c r="H20" i="26"/>
  <c r="G20" i="26"/>
  <c r="F20" i="26"/>
  <c r="E20" i="26"/>
  <c r="D20" i="26"/>
  <c r="C20" i="26"/>
  <c r="Q12" i="26"/>
  <c r="R11" i="26"/>
  <c r="J10" i="26"/>
  <c r="Q9" i="26"/>
  <c r="R9" i="26" s="1"/>
  <c r="J9" i="26"/>
  <c r="J8" i="26"/>
  <c r="J7" i="26"/>
  <c r="J6" i="26"/>
  <c r="J5" i="26"/>
  <c r="Q16" i="25"/>
  <c r="Q13" i="25"/>
  <c r="Q10" i="25"/>
  <c r="Q7" i="25"/>
  <c r="T9" i="25"/>
  <c r="T14" i="25"/>
  <c r="T11" i="25"/>
  <c r="S15" i="25"/>
  <c r="S7" i="25"/>
  <c r="S9" i="25"/>
  <c r="S8" i="25"/>
  <c r="S10" i="25"/>
  <c r="S14" i="25"/>
  <c r="R14" i="25"/>
  <c r="R11" i="25"/>
  <c r="R7" i="25"/>
  <c r="R8" i="25"/>
  <c r="Q14" i="25"/>
  <c r="Q11" i="25"/>
  <c r="P7" i="25"/>
  <c r="P10" i="25"/>
  <c r="P13" i="25"/>
  <c r="P16" i="25"/>
  <c r="P14" i="25"/>
  <c r="P9" i="25"/>
  <c r="P8" i="25"/>
  <c r="O15" i="25"/>
  <c r="O10" i="25"/>
  <c r="O8" i="25"/>
  <c r="O14" i="25"/>
  <c r="O13" i="25"/>
  <c r="O12" i="25"/>
  <c r="O11" i="25"/>
  <c r="O16" i="25"/>
  <c r="N15" i="25"/>
  <c r="N16" i="25"/>
  <c r="N14" i="25"/>
  <c r="N13" i="25"/>
  <c r="M14" i="25"/>
  <c r="M15" i="25"/>
  <c r="M13" i="25"/>
  <c r="M10" i="25"/>
  <c r="M7" i="25"/>
  <c r="M11" i="25"/>
  <c r="M9" i="25"/>
  <c r="L9" i="25"/>
  <c r="L16" i="25"/>
  <c r="L15" i="25"/>
  <c r="L14" i="25"/>
  <c r="L13" i="25"/>
  <c r="L11" i="25"/>
  <c r="K16" i="25"/>
  <c r="K10" i="25"/>
  <c r="K11" i="25"/>
  <c r="K12" i="25"/>
  <c r="K15" i="25"/>
  <c r="K14" i="25"/>
  <c r="K13" i="25"/>
  <c r="K8" i="25"/>
  <c r="J9" i="25"/>
  <c r="J14" i="25"/>
  <c r="J10" i="25"/>
  <c r="J11" i="25"/>
  <c r="J16" i="25"/>
  <c r="I15" i="25"/>
  <c r="I10" i="25"/>
  <c r="I11" i="25"/>
  <c r="I9" i="25"/>
  <c r="I16" i="25"/>
  <c r="I13" i="25"/>
  <c r="H13" i="25"/>
  <c r="H9" i="25"/>
  <c r="H16" i="25"/>
  <c r="H12" i="25"/>
  <c r="H15" i="25"/>
  <c r="H14" i="25"/>
  <c r="H10" i="25"/>
  <c r="H7" i="25"/>
  <c r="F10" i="25"/>
  <c r="F8" i="25"/>
  <c r="F16" i="25"/>
  <c r="F14" i="25"/>
  <c r="F12" i="25"/>
  <c r="F11" i="25"/>
  <c r="C13" i="25"/>
  <c r="C9" i="25"/>
  <c r="C10" i="25"/>
  <c r="C12" i="25"/>
  <c r="C11" i="25"/>
  <c r="C14" i="25"/>
  <c r="C16" i="25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5" i="25"/>
  <c r="U6" i="25"/>
  <c r="Z91" i="23"/>
  <c r="G27" i="26" l="1"/>
  <c r="D30" i="26"/>
  <c r="J24" i="26"/>
  <c r="F28" i="26"/>
  <c r="U8" i="25"/>
  <c r="H31" i="26"/>
  <c r="C30" i="26"/>
  <c r="E27" i="26"/>
  <c r="CY67" i="14"/>
  <c r="X67" i="3" s="1"/>
  <c r="T31" i="14"/>
  <c r="V32" i="14"/>
  <c r="X32" i="14" s="1"/>
  <c r="X31" i="14" s="1"/>
  <c r="CY57" i="14"/>
  <c r="AM47" i="3"/>
  <c r="AM43" i="3"/>
  <c r="CS62" i="14"/>
  <c r="CS59" i="14" s="1"/>
  <c r="CR72" i="14"/>
  <c r="CS69" i="14"/>
  <c r="CS60" i="14"/>
  <c r="T9" i="14"/>
  <c r="CQ57" i="14"/>
  <c r="CP9" i="14" s="1"/>
  <c r="U141" i="14"/>
  <c r="U96" i="14"/>
  <c r="W141" i="14"/>
  <c r="W96" i="14"/>
  <c r="X9" i="14"/>
  <c r="CS57" i="14"/>
  <c r="CR9" i="14" s="1"/>
  <c r="Y141" i="14"/>
  <c r="Y96" i="14"/>
  <c r="U62" i="14"/>
  <c r="U59" i="14" s="1"/>
  <c r="T72" i="14"/>
  <c r="W62" i="14"/>
  <c r="W59" i="14" s="1"/>
  <c r="V72" i="14"/>
  <c r="Y62" i="14"/>
  <c r="Y59" i="14" s="1"/>
  <c r="X72" i="14"/>
  <c r="AC125" i="14"/>
  <c r="AA126" i="14"/>
  <c r="AA127" i="14" s="1"/>
  <c r="AC94" i="14"/>
  <c r="AC128" i="14"/>
  <c r="AA129" i="14"/>
  <c r="AA130" i="14" s="1"/>
  <c r="AE93" i="14"/>
  <c r="AE90" i="14"/>
  <c r="AA132" i="14"/>
  <c r="AG93" i="14"/>
  <c r="AG90" i="14"/>
  <c r="T16" i="14"/>
  <c r="T20" i="14" s="1"/>
  <c r="U10" i="25"/>
  <c r="U15" i="25"/>
  <c r="U11" i="25"/>
  <c r="U12" i="25"/>
  <c r="U13" i="25"/>
  <c r="J25" i="26"/>
  <c r="U14" i="25"/>
  <c r="U16" i="25"/>
  <c r="U60" i="14"/>
  <c r="U56" i="14" s="1"/>
  <c r="CE105" i="28"/>
  <c r="CE62" i="28"/>
  <c r="CE65" i="28" s="1"/>
  <c r="CE67" i="28" s="1"/>
  <c r="CE68" i="28" s="1"/>
  <c r="BO43" i="28"/>
  <c r="BR105" i="28"/>
  <c r="BR101" i="28"/>
  <c r="BL101" i="28"/>
  <c r="BL105" i="28"/>
  <c r="BT41" i="28"/>
  <c r="BS41" i="28"/>
  <c r="BP150" i="28"/>
  <c r="BP106" i="28"/>
  <c r="BT97" i="28"/>
  <c r="BT100" i="28"/>
  <c r="BJ150" i="28"/>
  <c r="BJ106" i="28"/>
  <c r="BT56" i="28"/>
  <c r="J73" i="26"/>
  <c r="J23" i="26"/>
  <c r="W60" i="14"/>
  <c r="W56" i="14" s="1"/>
  <c r="J82" i="26"/>
  <c r="U9" i="25"/>
  <c r="J81" i="26"/>
  <c r="Y60" i="14"/>
  <c r="X8" i="14" s="1"/>
  <c r="C17" i="25"/>
  <c r="J21" i="26"/>
  <c r="J70" i="26"/>
  <c r="U117" i="14"/>
  <c r="U116" i="14" s="1"/>
  <c r="U114" i="14" s="1"/>
  <c r="U115" i="14" s="1"/>
  <c r="W10" i="14"/>
  <c r="W117" i="14"/>
  <c r="W116" i="14" s="1"/>
  <c r="W114" i="14" s="1"/>
  <c r="W115" i="14" s="1"/>
  <c r="X24" i="27"/>
  <c r="Y137" i="14"/>
  <c r="AA137" i="14" s="1"/>
  <c r="Y117" i="14"/>
  <c r="Y116" i="14" s="1"/>
  <c r="Y114" i="14" s="1"/>
  <c r="Y115" i="14" s="1"/>
  <c r="U129" i="14"/>
  <c r="U130" i="14" s="1"/>
  <c r="U76" i="14"/>
  <c r="U80" i="14" s="1"/>
  <c r="U126" i="14"/>
  <c r="U127" i="14" s="1"/>
  <c r="U132" i="14"/>
  <c r="X16" i="14"/>
  <c r="X20" i="14" s="1"/>
  <c r="Y10" i="14"/>
  <c r="U16" i="14"/>
  <c r="U20" i="14" s="1"/>
  <c r="U69" i="14"/>
  <c r="T42" i="14"/>
  <c r="E26" i="26"/>
  <c r="I28" i="26"/>
  <c r="CJ15" i="27"/>
  <c r="CJ16" i="27" s="1"/>
  <c r="AY15" i="27"/>
  <c r="AY16" i="27" s="1"/>
  <c r="BW15" i="27"/>
  <c r="BW16" i="27" s="1"/>
  <c r="BT15" i="27"/>
  <c r="BT16" i="27" s="1"/>
  <c r="D26" i="26"/>
  <c r="F29" i="26"/>
  <c r="D28" i="26"/>
  <c r="G31" i="26"/>
  <c r="CR36" i="27"/>
  <c r="BK37" i="27"/>
  <c r="D31" i="26"/>
  <c r="I27" i="26"/>
  <c r="G28" i="26"/>
  <c r="D27" i="26"/>
  <c r="F30" i="26"/>
  <c r="C84" i="26"/>
  <c r="C85" i="26" s="1"/>
  <c r="F31" i="26"/>
  <c r="H27" i="26"/>
  <c r="H32" i="26" s="1"/>
  <c r="BE15" i="27"/>
  <c r="BE16" i="27" s="1"/>
  <c r="BE38" i="27" s="1"/>
  <c r="CG15" i="27"/>
  <c r="CG16" i="27" s="1"/>
  <c r="E31" i="26"/>
  <c r="G87" i="26"/>
  <c r="G88" i="26" s="1"/>
  <c r="G30" i="26"/>
  <c r="CV15" i="27"/>
  <c r="BG15" i="27"/>
  <c r="BG16" i="27" s="1"/>
  <c r="BG37" i="27" s="1"/>
  <c r="CA15" i="27"/>
  <c r="CA16" i="27" s="1"/>
  <c r="C28" i="26"/>
  <c r="C32" i="26" s="1"/>
  <c r="H29" i="26"/>
  <c r="E75" i="26"/>
  <c r="E76" i="26" s="1"/>
  <c r="BS24" i="27"/>
  <c r="BP29" i="27"/>
  <c r="AV38" i="27"/>
  <c r="AV37" i="27"/>
  <c r="AV36" i="27"/>
  <c r="AV24" i="27"/>
  <c r="BO37" i="27"/>
  <c r="BO29" i="27"/>
  <c r="BO38" i="27"/>
  <c r="BO36" i="27"/>
  <c r="E19" i="27"/>
  <c r="AO37" i="27"/>
  <c r="AO38" i="27"/>
  <c r="AO39" i="27" s="1"/>
  <c r="AO36" i="27"/>
  <c r="AO29" i="27"/>
  <c r="AO24" i="27"/>
  <c r="BM37" i="27"/>
  <c r="BM36" i="27"/>
  <c r="BM29" i="27"/>
  <c r="BM24" i="27"/>
  <c r="CK37" i="27"/>
  <c r="CK36" i="27"/>
  <c r="CK29" i="27"/>
  <c r="CK38" i="27"/>
  <c r="Q29" i="27"/>
  <c r="AQ38" i="27"/>
  <c r="AQ37" i="27"/>
  <c r="AQ36" i="27"/>
  <c r="AX16" i="27"/>
  <c r="AQ24" i="27"/>
  <c r="CX15" i="27"/>
  <c r="AG36" i="27"/>
  <c r="AG38" i="27"/>
  <c r="AG37" i="27"/>
  <c r="AG24" i="27"/>
  <c r="AG29" i="27"/>
  <c r="CO38" i="27"/>
  <c r="CO36" i="27"/>
  <c r="CO29" i="27"/>
  <c r="F29" i="27"/>
  <c r="CX16" i="27"/>
  <c r="S16" i="27"/>
  <c r="AE37" i="27"/>
  <c r="AE29" i="27"/>
  <c r="AE38" i="27"/>
  <c r="AE24" i="27"/>
  <c r="AR38" i="27"/>
  <c r="AR36" i="27"/>
  <c r="AR37" i="27"/>
  <c r="AR24" i="27"/>
  <c r="AX15" i="27"/>
  <c r="AT37" i="27"/>
  <c r="AT38" i="27"/>
  <c r="AT36" i="27"/>
  <c r="AT29" i="27"/>
  <c r="CN37" i="27"/>
  <c r="Z15" i="27"/>
  <c r="CE37" i="27"/>
  <c r="CE36" i="27"/>
  <c r="CE38" i="27"/>
  <c r="CE29" i="27"/>
  <c r="T19" i="27"/>
  <c r="F24" i="27"/>
  <c r="CH29" i="27"/>
  <c r="CO37" i="27"/>
  <c r="BB37" i="27"/>
  <c r="BB38" i="27"/>
  <c r="BB24" i="27"/>
  <c r="BU36" i="27"/>
  <c r="BU29" i="27"/>
  <c r="BU38" i="27"/>
  <c r="BU37" i="27"/>
  <c r="BU24" i="27"/>
  <c r="CN38" i="27"/>
  <c r="CN36" i="27"/>
  <c r="CN29" i="27"/>
  <c r="AC37" i="27"/>
  <c r="AC36" i="27"/>
  <c r="AC38" i="27"/>
  <c r="BB36" i="27"/>
  <c r="BM38" i="27"/>
  <c r="X37" i="27"/>
  <c r="X36" i="27"/>
  <c r="X38" i="27"/>
  <c r="X29" i="27"/>
  <c r="AK38" i="27"/>
  <c r="AK36" i="27"/>
  <c r="AK37" i="27"/>
  <c r="BC38" i="27"/>
  <c r="BC36" i="27"/>
  <c r="BC29" i="27"/>
  <c r="BC37" i="27"/>
  <c r="BC24" i="27"/>
  <c r="BP38" i="27"/>
  <c r="BP37" i="27"/>
  <c r="BP36" i="27"/>
  <c r="U19" i="27"/>
  <c r="BQ29" i="27"/>
  <c r="J16" i="27"/>
  <c r="AH16" i="27"/>
  <c r="CP36" i="27"/>
  <c r="CP29" i="27"/>
  <c r="CP37" i="27"/>
  <c r="CP38" i="27"/>
  <c r="CP24" i="27"/>
  <c r="AJ24" i="27"/>
  <c r="G29" i="27"/>
  <c r="G24" i="27"/>
  <c r="W37" i="27"/>
  <c r="W29" i="27"/>
  <c r="W36" i="27"/>
  <c r="W24" i="27"/>
  <c r="W19" i="27"/>
  <c r="AU37" i="27"/>
  <c r="AU38" i="27"/>
  <c r="AU36" i="27"/>
  <c r="AU24" i="27"/>
  <c r="AU29" i="27"/>
  <c r="BS37" i="27"/>
  <c r="BS38" i="27"/>
  <c r="BS36" i="27"/>
  <c r="BS29" i="27"/>
  <c r="H24" i="27"/>
  <c r="H29" i="27"/>
  <c r="AH15" i="27"/>
  <c r="CF38" i="27"/>
  <c r="CF36" i="27"/>
  <c r="CF37" i="27"/>
  <c r="CF29" i="27"/>
  <c r="CR37" i="27"/>
  <c r="CR38" i="27"/>
  <c r="CR29" i="27"/>
  <c r="CR24" i="27"/>
  <c r="C19" i="27"/>
  <c r="O36" i="27"/>
  <c r="O29" i="27"/>
  <c r="O38" i="27"/>
  <c r="O19" i="27"/>
  <c r="AM37" i="27"/>
  <c r="AM36" i="27"/>
  <c r="AM38" i="27"/>
  <c r="AM29" i="27"/>
  <c r="AM24" i="27"/>
  <c r="BK36" i="27"/>
  <c r="BK38" i="27"/>
  <c r="BK29" i="27"/>
  <c r="BK24" i="27"/>
  <c r="CI36" i="27"/>
  <c r="CI37" i="27"/>
  <c r="CI38" i="27"/>
  <c r="CI29" i="27"/>
  <c r="CI24" i="27"/>
  <c r="L19" i="27"/>
  <c r="X19" i="27"/>
  <c r="O24" i="27"/>
  <c r="AT24" i="27"/>
  <c r="AV29" i="27"/>
  <c r="O37" i="27"/>
  <c r="W38" i="27"/>
  <c r="AJ37" i="27"/>
  <c r="AJ36" i="27"/>
  <c r="AP15" i="27"/>
  <c r="BI37" i="27"/>
  <c r="BI29" i="27"/>
  <c r="BI36" i="27"/>
  <c r="BI38" i="27"/>
  <c r="CH38" i="27"/>
  <c r="CH36" i="27"/>
  <c r="CH37" i="27"/>
  <c r="CH24" i="27"/>
  <c r="CT15" i="27"/>
  <c r="Q37" i="27"/>
  <c r="Q36" i="27"/>
  <c r="Q38" i="27"/>
  <c r="Q24" i="27"/>
  <c r="BA37" i="27"/>
  <c r="BA38" i="27"/>
  <c r="BA29" i="27"/>
  <c r="BA36" i="27"/>
  <c r="BY37" i="27"/>
  <c r="BY38" i="27"/>
  <c r="BY36" i="27"/>
  <c r="BY29" i="27"/>
  <c r="CK24" i="27"/>
  <c r="R15" i="27"/>
  <c r="AD36" i="27"/>
  <c r="AD29" i="27"/>
  <c r="AD38" i="27"/>
  <c r="AD37" i="27"/>
  <c r="AD24" i="27"/>
  <c r="AW38" i="27"/>
  <c r="AW29" i="27"/>
  <c r="AW37" i="27"/>
  <c r="AW36" i="27"/>
  <c r="BJ38" i="27"/>
  <c r="BJ36" i="27"/>
  <c r="BJ37" i="27"/>
  <c r="BJ24" i="27"/>
  <c r="BJ29" i="27"/>
  <c r="CB38" i="27"/>
  <c r="CB36" i="27"/>
  <c r="CB24" i="27"/>
  <c r="CB29" i="27"/>
  <c r="CB37" i="27"/>
  <c r="I29" i="27"/>
  <c r="I24" i="27"/>
  <c r="I19" i="27"/>
  <c r="AS36" i="27"/>
  <c r="AS37" i="27"/>
  <c r="AS38" i="27"/>
  <c r="AS24" i="27"/>
  <c r="BQ36" i="27"/>
  <c r="BQ38" i="27"/>
  <c r="BQ37" i="27"/>
  <c r="CC36" i="27"/>
  <c r="CC37" i="27"/>
  <c r="CC38" i="27"/>
  <c r="CC29" i="27"/>
  <c r="Y37" i="27"/>
  <c r="Y38" i="27"/>
  <c r="Y29" i="27"/>
  <c r="Y36" i="27"/>
  <c r="Y24" i="27"/>
  <c r="AL38" i="27"/>
  <c r="AL37" i="27"/>
  <c r="AL36" i="27"/>
  <c r="AL29" i="27"/>
  <c r="AL24" i="27"/>
  <c r="BD38" i="27"/>
  <c r="BD36" i="27"/>
  <c r="BD37" i="27"/>
  <c r="BD24" i="27"/>
  <c r="BD29" i="27"/>
  <c r="V37" i="27"/>
  <c r="V38" i="27"/>
  <c r="V29" i="27"/>
  <c r="V24" i="27"/>
  <c r="BR38" i="27"/>
  <c r="BR37" i="27"/>
  <c r="BR36" i="27"/>
  <c r="BR24" i="27"/>
  <c r="BR29" i="27"/>
  <c r="N24" i="27"/>
  <c r="N29" i="27"/>
  <c r="AF38" i="27"/>
  <c r="AF37" i="27"/>
  <c r="AF36" i="27"/>
  <c r="AF24" i="27"/>
  <c r="AF29" i="27"/>
  <c r="K19" i="27"/>
  <c r="R16" i="27"/>
  <c r="AI37" i="27"/>
  <c r="AI38" i="27"/>
  <c r="AI24" i="27"/>
  <c r="AP16" i="27"/>
  <c r="AI36" i="27"/>
  <c r="CQ37" i="27"/>
  <c r="CQ36" i="27"/>
  <c r="CQ29" i="27"/>
  <c r="CQ38" i="27"/>
  <c r="CQ24" i="27"/>
  <c r="J15" i="27"/>
  <c r="BH37" i="27"/>
  <c r="BH38" i="27"/>
  <c r="BH36" i="27"/>
  <c r="BH29" i="27"/>
  <c r="BZ38" i="27"/>
  <c r="BZ37" i="27"/>
  <c r="BZ36" i="27"/>
  <c r="BZ29" i="27"/>
  <c r="BZ24" i="27"/>
  <c r="CM38" i="27"/>
  <c r="CM36" i="27"/>
  <c r="CM29" i="27"/>
  <c r="CM37" i="27"/>
  <c r="CT16" i="27"/>
  <c r="CS37" i="27"/>
  <c r="CS29" i="27"/>
  <c r="CS38" i="27"/>
  <c r="CS24" i="27"/>
  <c r="CS36" i="27"/>
  <c r="D19" i="27"/>
  <c r="P38" i="27"/>
  <c r="P29" i="27"/>
  <c r="P36" i="27"/>
  <c r="P19" i="27"/>
  <c r="AB38" i="27"/>
  <c r="AB36" i="27"/>
  <c r="AB37" i="27"/>
  <c r="AN36" i="27"/>
  <c r="AN29" i="27"/>
  <c r="AN24" i="27"/>
  <c r="AN37" i="27"/>
  <c r="AN38" i="27"/>
  <c r="AZ37" i="27"/>
  <c r="AZ36" i="27"/>
  <c r="AZ29" i="27"/>
  <c r="AZ38" i="27"/>
  <c r="BL38" i="27"/>
  <c r="BL29" i="27"/>
  <c r="BL37" i="27"/>
  <c r="BL36" i="27"/>
  <c r="BL24" i="27"/>
  <c r="BX38" i="27"/>
  <c r="BX29" i="27"/>
  <c r="BX37" i="27"/>
  <c r="BX36" i="27"/>
  <c r="CV16" i="27"/>
  <c r="M19" i="27"/>
  <c r="P24" i="27"/>
  <c r="AW24" i="27"/>
  <c r="CC24" i="27"/>
  <c r="BB29" i="27"/>
  <c r="AE36" i="27"/>
  <c r="P37" i="27"/>
  <c r="AJ38" i="27"/>
  <c r="F84" i="26"/>
  <c r="F85" i="26" s="1"/>
  <c r="F26" i="26"/>
  <c r="J13" i="26"/>
  <c r="C87" i="26"/>
  <c r="C88" i="26" s="1"/>
  <c r="E28" i="26"/>
  <c r="E17" i="26"/>
  <c r="I29" i="26"/>
  <c r="F27" i="26"/>
  <c r="D75" i="26"/>
  <c r="D76" i="26" s="1"/>
  <c r="C75" i="26"/>
  <c r="C76" i="26" s="1"/>
  <c r="H87" i="26"/>
  <c r="H88" i="26" s="1"/>
  <c r="E84" i="26"/>
  <c r="E85" i="26" s="1"/>
  <c r="F17" i="26"/>
  <c r="F75" i="26"/>
  <c r="F76" i="26" s="1"/>
  <c r="D87" i="26"/>
  <c r="D88" i="26" s="1"/>
  <c r="J15" i="26"/>
  <c r="G75" i="26"/>
  <c r="G76" i="26" s="1"/>
  <c r="H17" i="26"/>
  <c r="J12" i="26"/>
  <c r="C17" i="26"/>
  <c r="I17" i="26"/>
  <c r="I75" i="26"/>
  <c r="I76" i="26" s="1"/>
  <c r="D84" i="26"/>
  <c r="D85" i="26" s="1"/>
  <c r="J14" i="26"/>
  <c r="G84" i="26"/>
  <c r="G85" i="26" s="1"/>
  <c r="J11" i="26"/>
  <c r="G17" i="26"/>
  <c r="H84" i="26"/>
  <c r="H85" i="26" s="1"/>
  <c r="E87" i="26"/>
  <c r="E88" i="26" s="1"/>
  <c r="J16" i="26"/>
  <c r="H75" i="26"/>
  <c r="H76" i="26" s="1"/>
  <c r="I84" i="26"/>
  <c r="I85" i="26" s="1"/>
  <c r="F87" i="26"/>
  <c r="F88" i="26" s="1"/>
  <c r="D17" i="26"/>
  <c r="F93" i="26"/>
  <c r="F94" i="26" s="1"/>
  <c r="F52" i="26"/>
  <c r="T52" i="26" s="1"/>
  <c r="G52" i="26"/>
  <c r="U52" i="26" s="1"/>
  <c r="I52" i="26"/>
  <c r="W52" i="26" s="1"/>
  <c r="I51" i="26"/>
  <c r="W51" i="26" s="1"/>
  <c r="H52" i="26"/>
  <c r="V52" i="26" s="1"/>
  <c r="J78" i="26"/>
  <c r="J22" i="26"/>
  <c r="T51" i="26"/>
  <c r="S12" i="26"/>
  <c r="R12" i="26"/>
  <c r="J20" i="26"/>
  <c r="J72" i="26"/>
  <c r="U51" i="26"/>
  <c r="J79" i="26"/>
  <c r="J107" i="26"/>
  <c r="U7" i="25"/>
  <c r="T33" i="25"/>
  <c r="T54" i="25" s="1"/>
  <c r="AO54" i="25" s="1"/>
  <c r="S33" i="25"/>
  <c r="S54" i="25" s="1"/>
  <c r="AN54" i="25" s="1"/>
  <c r="R33" i="25"/>
  <c r="R54" i="25" s="1"/>
  <c r="AM54" i="25" s="1"/>
  <c r="Q33" i="25"/>
  <c r="Q54" i="25" s="1"/>
  <c r="AL54" i="25" s="1"/>
  <c r="P33" i="25"/>
  <c r="P54" i="25" s="1"/>
  <c r="AK54" i="25" s="1"/>
  <c r="O33" i="25"/>
  <c r="O54" i="25" s="1"/>
  <c r="AJ54" i="25" s="1"/>
  <c r="N33" i="25"/>
  <c r="N54" i="25" s="1"/>
  <c r="AI54" i="25" s="1"/>
  <c r="M33" i="25"/>
  <c r="M54" i="25" s="1"/>
  <c r="AH54" i="25" s="1"/>
  <c r="L33" i="25"/>
  <c r="L54" i="25" s="1"/>
  <c r="AG54" i="25" s="1"/>
  <c r="K33" i="25"/>
  <c r="K54" i="25" s="1"/>
  <c r="AF54" i="25" s="1"/>
  <c r="J33" i="25"/>
  <c r="J54" i="25" s="1"/>
  <c r="AE54" i="25" s="1"/>
  <c r="I33" i="25"/>
  <c r="I54" i="25" s="1"/>
  <c r="AD54" i="25" s="1"/>
  <c r="H33" i="25"/>
  <c r="H54" i="25" s="1"/>
  <c r="AC54" i="25" s="1"/>
  <c r="G33" i="25"/>
  <c r="G54" i="25" s="1"/>
  <c r="AB54" i="25" s="1"/>
  <c r="F33" i="25"/>
  <c r="F54" i="25" s="1"/>
  <c r="AA54" i="25" s="1"/>
  <c r="E33" i="25"/>
  <c r="E54" i="25" s="1"/>
  <c r="Z54" i="25" s="1"/>
  <c r="D33" i="25"/>
  <c r="D54" i="25" s="1"/>
  <c r="Y54" i="25" s="1"/>
  <c r="C33" i="25"/>
  <c r="C54" i="25" s="1"/>
  <c r="T32" i="25"/>
  <c r="T53" i="25" s="1"/>
  <c r="AO53" i="25" s="1"/>
  <c r="S32" i="25"/>
  <c r="S53" i="25" s="1"/>
  <c r="AN53" i="25" s="1"/>
  <c r="R32" i="25"/>
  <c r="R53" i="25" s="1"/>
  <c r="AM53" i="25" s="1"/>
  <c r="Q32" i="25"/>
  <c r="Q53" i="25" s="1"/>
  <c r="AL53" i="25" s="1"/>
  <c r="P32" i="25"/>
  <c r="P53" i="25" s="1"/>
  <c r="AK53" i="25" s="1"/>
  <c r="O32" i="25"/>
  <c r="O53" i="25" s="1"/>
  <c r="AJ53" i="25" s="1"/>
  <c r="N32" i="25"/>
  <c r="N53" i="25" s="1"/>
  <c r="AI53" i="25" s="1"/>
  <c r="M32" i="25"/>
  <c r="M53" i="25" s="1"/>
  <c r="AH53" i="25" s="1"/>
  <c r="L32" i="25"/>
  <c r="L53" i="25" s="1"/>
  <c r="AG53" i="25" s="1"/>
  <c r="K32" i="25"/>
  <c r="K53" i="25" s="1"/>
  <c r="AF53" i="25" s="1"/>
  <c r="J32" i="25"/>
  <c r="J53" i="25" s="1"/>
  <c r="AE53" i="25" s="1"/>
  <c r="I32" i="25"/>
  <c r="I53" i="25" s="1"/>
  <c r="AD53" i="25" s="1"/>
  <c r="H32" i="25"/>
  <c r="H53" i="25" s="1"/>
  <c r="G32" i="25"/>
  <c r="G53" i="25" s="1"/>
  <c r="AB53" i="25" s="1"/>
  <c r="F32" i="25"/>
  <c r="F53" i="25" s="1"/>
  <c r="AA53" i="25" s="1"/>
  <c r="E32" i="25"/>
  <c r="E53" i="25" s="1"/>
  <c r="Z53" i="25" s="1"/>
  <c r="D32" i="25"/>
  <c r="D53" i="25" s="1"/>
  <c r="Y53" i="25" s="1"/>
  <c r="C32" i="25"/>
  <c r="C53" i="25" s="1"/>
  <c r="X53" i="25" s="1"/>
  <c r="T31" i="25"/>
  <c r="T52" i="25" s="1"/>
  <c r="AO52" i="25" s="1"/>
  <c r="S31" i="25"/>
  <c r="S52" i="25" s="1"/>
  <c r="AN52" i="25" s="1"/>
  <c r="R31" i="25"/>
  <c r="R52" i="25" s="1"/>
  <c r="AM52" i="25" s="1"/>
  <c r="Q31" i="25"/>
  <c r="Q52" i="25" s="1"/>
  <c r="AL52" i="25" s="1"/>
  <c r="P31" i="25"/>
  <c r="P52" i="25" s="1"/>
  <c r="AK52" i="25" s="1"/>
  <c r="O31" i="25"/>
  <c r="O52" i="25" s="1"/>
  <c r="AJ52" i="25" s="1"/>
  <c r="N31" i="25"/>
  <c r="N52" i="25" s="1"/>
  <c r="AI52" i="25" s="1"/>
  <c r="M31" i="25"/>
  <c r="M52" i="25" s="1"/>
  <c r="AH52" i="25" s="1"/>
  <c r="L31" i="25"/>
  <c r="L52" i="25" s="1"/>
  <c r="AG52" i="25" s="1"/>
  <c r="K31" i="25"/>
  <c r="K52" i="25" s="1"/>
  <c r="AF52" i="25" s="1"/>
  <c r="J31" i="25"/>
  <c r="J52" i="25" s="1"/>
  <c r="AE52" i="25" s="1"/>
  <c r="I31" i="25"/>
  <c r="I52" i="25" s="1"/>
  <c r="AD52" i="25" s="1"/>
  <c r="H31" i="25"/>
  <c r="H52" i="25" s="1"/>
  <c r="AC52" i="25" s="1"/>
  <c r="G31" i="25"/>
  <c r="G52" i="25" s="1"/>
  <c r="AB52" i="25" s="1"/>
  <c r="F31" i="25"/>
  <c r="F52" i="25" s="1"/>
  <c r="AA52" i="25" s="1"/>
  <c r="E31" i="25"/>
  <c r="E52" i="25" s="1"/>
  <c r="Z52" i="25" s="1"/>
  <c r="D31" i="25"/>
  <c r="D52" i="25" s="1"/>
  <c r="Y52" i="25" s="1"/>
  <c r="C31" i="25"/>
  <c r="C52" i="25" s="1"/>
  <c r="T30" i="25"/>
  <c r="T51" i="25" s="1"/>
  <c r="AO51" i="25" s="1"/>
  <c r="S30" i="25"/>
  <c r="S51" i="25" s="1"/>
  <c r="AN51" i="25" s="1"/>
  <c r="R30" i="25"/>
  <c r="R51" i="25" s="1"/>
  <c r="AM51" i="25" s="1"/>
  <c r="Q30" i="25"/>
  <c r="Q51" i="25" s="1"/>
  <c r="AL51" i="25" s="1"/>
  <c r="P30" i="25"/>
  <c r="P51" i="25" s="1"/>
  <c r="AK51" i="25" s="1"/>
  <c r="O30" i="25"/>
  <c r="O51" i="25" s="1"/>
  <c r="AJ51" i="25" s="1"/>
  <c r="N30" i="25"/>
  <c r="N51" i="25" s="1"/>
  <c r="AI51" i="25" s="1"/>
  <c r="M30" i="25"/>
  <c r="M51" i="25" s="1"/>
  <c r="AH51" i="25" s="1"/>
  <c r="L30" i="25"/>
  <c r="L51" i="25" s="1"/>
  <c r="AG51" i="25" s="1"/>
  <c r="K30" i="25"/>
  <c r="K51" i="25" s="1"/>
  <c r="AF51" i="25" s="1"/>
  <c r="J30" i="25"/>
  <c r="J51" i="25" s="1"/>
  <c r="AE51" i="25" s="1"/>
  <c r="I30" i="25"/>
  <c r="I51" i="25" s="1"/>
  <c r="AD51" i="25" s="1"/>
  <c r="H30" i="25"/>
  <c r="H51" i="25" s="1"/>
  <c r="AC51" i="25" s="1"/>
  <c r="G30" i="25"/>
  <c r="G51" i="25" s="1"/>
  <c r="AB51" i="25" s="1"/>
  <c r="F30" i="25"/>
  <c r="F51" i="25" s="1"/>
  <c r="AA51" i="25" s="1"/>
  <c r="E30" i="25"/>
  <c r="E51" i="25" s="1"/>
  <c r="Z51" i="25" s="1"/>
  <c r="D30" i="25"/>
  <c r="D51" i="25" s="1"/>
  <c r="Y51" i="25" s="1"/>
  <c r="C30" i="25"/>
  <c r="C51" i="25" s="1"/>
  <c r="T29" i="25"/>
  <c r="T50" i="25" s="1"/>
  <c r="AO50" i="25" s="1"/>
  <c r="S29" i="25"/>
  <c r="S50" i="25" s="1"/>
  <c r="AN50" i="25" s="1"/>
  <c r="R29" i="25"/>
  <c r="R50" i="25" s="1"/>
  <c r="AM50" i="25" s="1"/>
  <c r="Q29" i="25"/>
  <c r="Q50" i="25" s="1"/>
  <c r="AL50" i="25" s="1"/>
  <c r="P29" i="25"/>
  <c r="P50" i="25" s="1"/>
  <c r="AK50" i="25" s="1"/>
  <c r="O29" i="25"/>
  <c r="O50" i="25" s="1"/>
  <c r="AJ50" i="25" s="1"/>
  <c r="N29" i="25"/>
  <c r="N50" i="25" s="1"/>
  <c r="AI50" i="25" s="1"/>
  <c r="M29" i="25"/>
  <c r="M50" i="25" s="1"/>
  <c r="AH50" i="25" s="1"/>
  <c r="L29" i="25"/>
  <c r="L50" i="25" s="1"/>
  <c r="AG50" i="25" s="1"/>
  <c r="K29" i="25"/>
  <c r="K50" i="25" s="1"/>
  <c r="AF50" i="25" s="1"/>
  <c r="J29" i="25"/>
  <c r="J50" i="25" s="1"/>
  <c r="AE50" i="25" s="1"/>
  <c r="I29" i="25"/>
  <c r="I50" i="25" s="1"/>
  <c r="AD50" i="25" s="1"/>
  <c r="H29" i="25"/>
  <c r="H50" i="25" s="1"/>
  <c r="AC50" i="25" s="1"/>
  <c r="G29" i="25"/>
  <c r="G50" i="25" s="1"/>
  <c r="AB50" i="25" s="1"/>
  <c r="F29" i="25"/>
  <c r="F50" i="25" s="1"/>
  <c r="AA50" i="25" s="1"/>
  <c r="E29" i="25"/>
  <c r="E50" i="25" s="1"/>
  <c r="Z50" i="25" s="1"/>
  <c r="D29" i="25"/>
  <c r="D50" i="25" s="1"/>
  <c r="Y50" i="25" s="1"/>
  <c r="C29" i="25"/>
  <c r="C50" i="25" s="1"/>
  <c r="T28" i="25"/>
  <c r="T49" i="25" s="1"/>
  <c r="S28" i="25"/>
  <c r="S49" i="25" s="1"/>
  <c r="R28" i="25"/>
  <c r="R49" i="25" s="1"/>
  <c r="Q28" i="25"/>
  <c r="Q49" i="25" s="1"/>
  <c r="P28" i="25"/>
  <c r="P49" i="25" s="1"/>
  <c r="O28" i="25"/>
  <c r="O49" i="25" s="1"/>
  <c r="N28" i="25"/>
  <c r="N49" i="25" s="1"/>
  <c r="M28" i="25"/>
  <c r="M49" i="25" s="1"/>
  <c r="L28" i="25"/>
  <c r="L49" i="25" s="1"/>
  <c r="K28" i="25"/>
  <c r="K49" i="25" s="1"/>
  <c r="J28" i="25"/>
  <c r="J49" i="25" s="1"/>
  <c r="I28" i="25"/>
  <c r="I49" i="25" s="1"/>
  <c r="H28" i="25"/>
  <c r="H49" i="25" s="1"/>
  <c r="G28" i="25"/>
  <c r="G49" i="25" s="1"/>
  <c r="F28" i="25"/>
  <c r="F49" i="25" s="1"/>
  <c r="E28" i="25"/>
  <c r="E49" i="25" s="1"/>
  <c r="D28" i="25"/>
  <c r="D49" i="25" s="1"/>
  <c r="C28" i="25"/>
  <c r="C49" i="25" s="1"/>
  <c r="T27" i="25"/>
  <c r="T48" i="25" s="1"/>
  <c r="AO48" i="25" s="1"/>
  <c r="S27" i="25"/>
  <c r="S48" i="25" s="1"/>
  <c r="AN48" i="25" s="1"/>
  <c r="R27" i="25"/>
  <c r="R48" i="25" s="1"/>
  <c r="AM48" i="25" s="1"/>
  <c r="Q27" i="25"/>
  <c r="Q48" i="25" s="1"/>
  <c r="AL48" i="25" s="1"/>
  <c r="P27" i="25"/>
  <c r="P48" i="25" s="1"/>
  <c r="AK48" i="25" s="1"/>
  <c r="O27" i="25"/>
  <c r="O48" i="25" s="1"/>
  <c r="AJ48" i="25" s="1"/>
  <c r="N27" i="25"/>
  <c r="N48" i="25" s="1"/>
  <c r="AI48" i="25" s="1"/>
  <c r="M27" i="25"/>
  <c r="M48" i="25" s="1"/>
  <c r="AH48" i="25" s="1"/>
  <c r="L27" i="25"/>
  <c r="L48" i="25" s="1"/>
  <c r="AG48" i="25" s="1"/>
  <c r="K27" i="25"/>
  <c r="K48" i="25" s="1"/>
  <c r="AF48" i="25" s="1"/>
  <c r="J27" i="25"/>
  <c r="J48" i="25" s="1"/>
  <c r="AE48" i="25" s="1"/>
  <c r="I27" i="25"/>
  <c r="I48" i="25" s="1"/>
  <c r="AD48" i="25" s="1"/>
  <c r="H27" i="25"/>
  <c r="H48" i="25" s="1"/>
  <c r="AC48" i="25" s="1"/>
  <c r="G27" i="25"/>
  <c r="G48" i="25" s="1"/>
  <c r="AB48" i="25" s="1"/>
  <c r="F27" i="25"/>
  <c r="F48" i="25" s="1"/>
  <c r="AA48" i="25" s="1"/>
  <c r="E27" i="25"/>
  <c r="E48" i="25" s="1"/>
  <c r="Z48" i="25" s="1"/>
  <c r="D27" i="25"/>
  <c r="D48" i="25" s="1"/>
  <c r="Y48" i="25" s="1"/>
  <c r="C27" i="25"/>
  <c r="C48" i="25" s="1"/>
  <c r="T26" i="25"/>
  <c r="T47" i="25" s="1"/>
  <c r="AO47" i="25" s="1"/>
  <c r="S26" i="25"/>
  <c r="S47" i="25" s="1"/>
  <c r="AN47" i="25" s="1"/>
  <c r="R26" i="25"/>
  <c r="R47" i="25" s="1"/>
  <c r="AM47" i="25" s="1"/>
  <c r="Q26" i="25"/>
  <c r="Q47" i="25" s="1"/>
  <c r="AL47" i="25" s="1"/>
  <c r="P26" i="25"/>
  <c r="P47" i="25" s="1"/>
  <c r="AK47" i="25" s="1"/>
  <c r="O26" i="25"/>
  <c r="O47" i="25" s="1"/>
  <c r="AJ47" i="25" s="1"/>
  <c r="N26" i="25"/>
  <c r="N47" i="25" s="1"/>
  <c r="AI47" i="25" s="1"/>
  <c r="M26" i="25"/>
  <c r="M47" i="25" s="1"/>
  <c r="AH47" i="25" s="1"/>
  <c r="L26" i="25"/>
  <c r="L47" i="25" s="1"/>
  <c r="AG47" i="25" s="1"/>
  <c r="K26" i="25"/>
  <c r="K47" i="25" s="1"/>
  <c r="AF47" i="25" s="1"/>
  <c r="J26" i="25"/>
  <c r="J47" i="25" s="1"/>
  <c r="AE47" i="25" s="1"/>
  <c r="I26" i="25"/>
  <c r="I47" i="25" s="1"/>
  <c r="AD47" i="25" s="1"/>
  <c r="H26" i="25"/>
  <c r="H47" i="25" s="1"/>
  <c r="AC47" i="25" s="1"/>
  <c r="G26" i="25"/>
  <c r="G47" i="25" s="1"/>
  <c r="AB47" i="25" s="1"/>
  <c r="F26" i="25"/>
  <c r="F47" i="25" s="1"/>
  <c r="AA47" i="25" s="1"/>
  <c r="E26" i="25"/>
  <c r="E47" i="25" s="1"/>
  <c r="Z47" i="25" s="1"/>
  <c r="E40" i="26" s="1"/>
  <c r="D26" i="25"/>
  <c r="D47" i="25" s="1"/>
  <c r="Y47" i="25" s="1"/>
  <c r="C26" i="25"/>
  <c r="C47" i="25" s="1"/>
  <c r="T25" i="25"/>
  <c r="T46" i="25" s="1"/>
  <c r="AO46" i="25" s="1"/>
  <c r="S25" i="25"/>
  <c r="S46" i="25" s="1"/>
  <c r="AN46" i="25" s="1"/>
  <c r="R25" i="25"/>
  <c r="R46" i="25" s="1"/>
  <c r="AM46" i="25" s="1"/>
  <c r="Q25" i="25"/>
  <c r="Q46" i="25" s="1"/>
  <c r="AL46" i="25" s="1"/>
  <c r="P25" i="25"/>
  <c r="P46" i="25" s="1"/>
  <c r="AK46" i="25" s="1"/>
  <c r="O25" i="25"/>
  <c r="O46" i="25" s="1"/>
  <c r="AJ46" i="25" s="1"/>
  <c r="N25" i="25"/>
  <c r="N46" i="25" s="1"/>
  <c r="AI46" i="25" s="1"/>
  <c r="M25" i="25"/>
  <c r="M46" i="25" s="1"/>
  <c r="AH46" i="25" s="1"/>
  <c r="L25" i="25"/>
  <c r="L46" i="25" s="1"/>
  <c r="AG46" i="25" s="1"/>
  <c r="K25" i="25"/>
  <c r="K46" i="25" s="1"/>
  <c r="AF46" i="25" s="1"/>
  <c r="J25" i="25"/>
  <c r="J46" i="25" s="1"/>
  <c r="AE46" i="25" s="1"/>
  <c r="I25" i="25"/>
  <c r="I46" i="25" s="1"/>
  <c r="AD46" i="25" s="1"/>
  <c r="H25" i="25"/>
  <c r="H46" i="25" s="1"/>
  <c r="AC46" i="25" s="1"/>
  <c r="G25" i="25"/>
  <c r="G46" i="25" s="1"/>
  <c r="AB46" i="25" s="1"/>
  <c r="F25" i="25"/>
  <c r="F46" i="25" s="1"/>
  <c r="AA46" i="25" s="1"/>
  <c r="E25" i="25"/>
  <c r="E46" i="25" s="1"/>
  <c r="Z46" i="25" s="1"/>
  <c r="D25" i="25"/>
  <c r="D46" i="25" s="1"/>
  <c r="Y46" i="25" s="1"/>
  <c r="C25" i="25"/>
  <c r="C46" i="25" s="1"/>
  <c r="T24" i="25"/>
  <c r="T45" i="25" s="1"/>
  <c r="AO45" i="25" s="1"/>
  <c r="S24" i="25"/>
  <c r="S45" i="25" s="1"/>
  <c r="AN45" i="25" s="1"/>
  <c r="R24" i="25"/>
  <c r="R45" i="25" s="1"/>
  <c r="AM45" i="25" s="1"/>
  <c r="Q24" i="25"/>
  <c r="Q45" i="25" s="1"/>
  <c r="AL45" i="25" s="1"/>
  <c r="P24" i="25"/>
  <c r="P45" i="25" s="1"/>
  <c r="AK45" i="25" s="1"/>
  <c r="O24" i="25"/>
  <c r="O45" i="25" s="1"/>
  <c r="AJ45" i="25" s="1"/>
  <c r="N24" i="25"/>
  <c r="N45" i="25" s="1"/>
  <c r="AI45" i="25" s="1"/>
  <c r="M24" i="25"/>
  <c r="M45" i="25" s="1"/>
  <c r="AH45" i="25" s="1"/>
  <c r="L24" i="25"/>
  <c r="L45" i="25" s="1"/>
  <c r="AG45" i="25" s="1"/>
  <c r="K24" i="25"/>
  <c r="K45" i="25" s="1"/>
  <c r="AF45" i="25" s="1"/>
  <c r="J24" i="25"/>
  <c r="J45" i="25" s="1"/>
  <c r="AE45" i="25" s="1"/>
  <c r="I24" i="25"/>
  <c r="I45" i="25" s="1"/>
  <c r="AD45" i="25" s="1"/>
  <c r="H24" i="25"/>
  <c r="H45" i="25" s="1"/>
  <c r="AC45" i="25" s="1"/>
  <c r="G24" i="25"/>
  <c r="G45" i="25" s="1"/>
  <c r="AB45" i="25" s="1"/>
  <c r="F24" i="25"/>
  <c r="F45" i="25" s="1"/>
  <c r="AA45" i="25" s="1"/>
  <c r="E24" i="25"/>
  <c r="E45" i="25" s="1"/>
  <c r="D24" i="25"/>
  <c r="D45" i="25" s="1"/>
  <c r="Y45" i="25" s="1"/>
  <c r="C24" i="25"/>
  <c r="C45" i="25" s="1"/>
  <c r="T44" i="25"/>
  <c r="AO44" i="25" s="1"/>
  <c r="S44" i="25"/>
  <c r="AN44" i="25" s="1"/>
  <c r="R44" i="25"/>
  <c r="AM44" i="25" s="1"/>
  <c r="Q44" i="25"/>
  <c r="AL44" i="25" s="1"/>
  <c r="P44" i="25"/>
  <c r="AK44" i="25" s="1"/>
  <c r="O44" i="25"/>
  <c r="AJ44" i="25" s="1"/>
  <c r="N44" i="25"/>
  <c r="AI44" i="25" s="1"/>
  <c r="M44" i="25"/>
  <c r="AH44" i="25" s="1"/>
  <c r="L44" i="25"/>
  <c r="AG44" i="25" s="1"/>
  <c r="K44" i="25"/>
  <c r="AF44" i="25" s="1"/>
  <c r="J44" i="25"/>
  <c r="AE44" i="25" s="1"/>
  <c r="I44" i="25"/>
  <c r="AD44" i="25" s="1"/>
  <c r="H44" i="25"/>
  <c r="AC44" i="25" s="1"/>
  <c r="G44" i="25"/>
  <c r="AB44" i="25" s="1"/>
  <c r="F44" i="25"/>
  <c r="AA44" i="25" s="1"/>
  <c r="E44" i="25"/>
  <c r="Z44" i="25" s="1"/>
  <c r="D44" i="25"/>
  <c r="Y44" i="25" s="1"/>
  <c r="C44" i="25"/>
  <c r="T43" i="25"/>
  <c r="R43" i="25"/>
  <c r="Q43" i="25"/>
  <c r="P43" i="25"/>
  <c r="O43" i="25"/>
  <c r="N43" i="25"/>
  <c r="L43" i="25"/>
  <c r="K43" i="25"/>
  <c r="I43" i="25"/>
  <c r="H43" i="25"/>
  <c r="F43" i="25"/>
  <c r="D43" i="25"/>
  <c r="C43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C77" i="23"/>
  <c r="D77" i="23"/>
  <c r="E77" i="23"/>
  <c r="F77" i="23"/>
  <c r="G77" i="23"/>
  <c r="C78" i="23"/>
  <c r="D78" i="23"/>
  <c r="E78" i="23"/>
  <c r="F78" i="23"/>
  <c r="G78" i="23"/>
  <c r="C79" i="23"/>
  <c r="D79" i="23"/>
  <c r="E79" i="23"/>
  <c r="F79" i="23"/>
  <c r="G79" i="23"/>
  <c r="C80" i="23"/>
  <c r="D80" i="23"/>
  <c r="E80" i="23"/>
  <c r="F80" i="23"/>
  <c r="G80" i="23"/>
  <c r="S57" i="20"/>
  <c r="Q54" i="20"/>
  <c r="E62" i="20"/>
  <c r="S62" i="20" s="1"/>
  <c r="C62" i="20"/>
  <c r="Q62" i="20" s="1"/>
  <c r="D61" i="20"/>
  <c r="R61" i="20" s="1"/>
  <c r="E60" i="20"/>
  <c r="S60" i="20" s="1"/>
  <c r="C60" i="20"/>
  <c r="Q60" i="20" s="1"/>
  <c r="C57" i="20"/>
  <c r="Q57" i="20" s="1"/>
  <c r="E57" i="20"/>
  <c r="C59" i="20"/>
  <c r="Q59" i="20" s="1"/>
  <c r="D59" i="20"/>
  <c r="R59" i="20" s="1"/>
  <c r="E59" i="20"/>
  <c r="S59" i="20" s="1"/>
  <c r="D58" i="20"/>
  <c r="R58" i="20" s="1"/>
  <c r="C58" i="20"/>
  <c r="Q58" i="20" s="1"/>
  <c r="D57" i="20"/>
  <c r="R57" i="20" s="1"/>
  <c r="E56" i="20"/>
  <c r="S56" i="20" s="1"/>
  <c r="D56" i="20"/>
  <c r="R56" i="20" s="1"/>
  <c r="C56" i="20"/>
  <c r="Q56" i="20" s="1"/>
  <c r="C55" i="20"/>
  <c r="Q55" i="20" s="1"/>
  <c r="D55" i="20"/>
  <c r="R55" i="20" s="1"/>
  <c r="E55" i="20"/>
  <c r="S55" i="20" s="1"/>
  <c r="C54" i="20"/>
  <c r="D54" i="20"/>
  <c r="R54" i="20" s="1"/>
  <c r="E54" i="20"/>
  <c r="S54" i="20" s="1"/>
  <c r="C53" i="20"/>
  <c r="Q53" i="20" s="1"/>
  <c r="E44" i="26" l="1"/>
  <c r="Q39" i="27"/>
  <c r="CY60" i="14"/>
  <c r="CY56" i="14" s="1"/>
  <c r="CX72" i="14"/>
  <c r="V31" i="14"/>
  <c r="CY69" i="14"/>
  <c r="CY62" i="14"/>
  <c r="CY59" i="14" s="1"/>
  <c r="X57" i="3"/>
  <c r="W9" i="3" s="1"/>
  <c r="CX9" i="14"/>
  <c r="X42" i="14"/>
  <c r="Z32" i="14"/>
  <c r="V42" i="14"/>
  <c r="W16" i="14"/>
  <c r="W20" i="14" s="1"/>
  <c r="W77" i="14"/>
  <c r="Y77" i="14"/>
  <c r="CS77" i="14" s="1"/>
  <c r="CS76" i="14" s="1"/>
  <c r="CS74" i="14" s="1"/>
  <c r="X62" i="3"/>
  <c r="X59" i="3" s="1"/>
  <c r="X60" i="3"/>
  <c r="CR8" i="14"/>
  <c r="CS56" i="14"/>
  <c r="AC137" i="14"/>
  <c r="AA98" i="14"/>
  <c r="AG94" i="14"/>
  <c r="AA133" i="14"/>
  <c r="AA142" i="14" s="1"/>
  <c r="AC132" i="14"/>
  <c r="AE94" i="14"/>
  <c r="AE128" i="14"/>
  <c r="AC129" i="14"/>
  <c r="AC130" i="14" s="1"/>
  <c r="V8" i="14"/>
  <c r="AE125" i="14"/>
  <c r="AC126" i="14"/>
  <c r="AC127" i="14" s="1"/>
  <c r="T8" i="14"/>
  <c r="AM39" i="27"/>
  <c r="AE39" i="27"/>
  <c r="Y39" i="27"/>
  <c r="W132" i="14"/>
  <c r="W133" i="14" s="1"/>
  <c r="W142" i="14" s="1"/>
  <c r="AT39" i="27"/>
  <c r="W126" i="14"/>
  <c r="W127" i="14" s="1"/>
  <c r="BT105" i="28"/>
  <c r="BT101" i="28"/>
  <c r="BL106" i="28"/>
  <c r="BL150" i="28"/>
  <c r="BT55" i="28"/>
  <c r="BS56" i="28"/>
  <c r="BS55" i="28" s="1"/>
  <c r="BT45" i="28"/>
  <c r="BT44" i="28" s="1"/>
  <c r="BT43" i="28" s="1"/>
  <c r="BS45" i="28"/>
  <c r="BS44" i="28" s="1"/>
  <c r="BS43" i="28" s="1"/>
  <c r="BR150" i="28"/>
  <c r="BR106" i="28"/>
  <c r="D45" i="26"/>
  <c r="E37" i="26"/>
  <c r="E41" i="26"/>
  <c r="D41" i="26"/>
  <c r="E45" i="26"/>
  <c r="D39" i="26"/>
  <c r="D43" i="26"/>
  <c r="D47" i="26"/>
  <c r="E39" i="26"/>
  <c r="E43" i="26"/>
  <c r="E47" i="26"/>
  <c r="Y56" i="14"/>
  <c r="Y50" i="14" s="1"/>
  <c r="U111" i="14"/>
  <c r="U112" i="14" s="1"/>
  <c r="D37" i="26"/>
  <c r="D52" i="26" s="1"/>
  <c r="C46" i="26"/>
  <c r="T55" i="25"/>
  <c r="D40" i="26"/>
  <c r="D44" i="26"/>
  <c r="W129" i="14"/>
  <c r="W130" i="14" s="1"/>
  <c r="D38" i="26"/>
  <c r="D46" i="26"/>
  <c r="W69" i="14"/>
  <c r="AJ39" i="27"/>
  <c r="AW39" i="27"/>
  <c r="Y126" i="14"/>
  <c r="Y127" i="14" s="1"/>
  <c r="Y129" i="14"/>
  <c r="Y130" i="14" s="1"/>
  <c r="Y16" i="14"/>
  <c r="Y20" i="14" s="1"/>
  <c r="Y69" i="14"/>
  <c r="Y132" i="14"/>
  <c r="U108" i="14"/>
  <c r="U109" i="14" s="1"/>
  <c r="U83" i="14"/>
  <c r="U81" i="14"/>
  <c r="U82" i="14"/>
  <c r="U71" i="14"/>
  <c r="U75" i="14"/>
  <c r="U68" i="14"/>
  <c r="U63" i="14" s="1"/>
  <c r="U50" i="14"/>
  <c r="U54" i="14" s="1"/>
  <c r="W68" i="14"/>
  <c r="W63" i="14" s="1"/>
  <c r="W50" i="14"/>
  <c r="W54" i="14" s="1"/>
  <c r="W41" i="14" s="1"/>
  <c r="W53" i="14"/>
  <c r="U133" i="14"/>
  <c r="U142" i="14" s="1"/>
  <c r="U53" i="14"/>
  <c r="Y75" i="14"/>
  <c r="Y111" i="14"/>
  <c r="Y112" i="14" s="1"/>
  <c r="Y71" i="14"/>
  <c r="Y108" i="14"/>
  <c r="Y109" i="14" s="1"/>
  <c r="CJ36" i="27"/>
  <c r="CJ29" i="27"/>
  <c r="AY38" i="27"/>
  <c r="BF38" i="27" s="1"/>
  <c r="CA24" i="27"/>
  <c r="CY24" i="27" s="1"/>
  <c r="AY29" i="27"/>
  <c r="CJ38" i="27"/>
  <c r="CJ37" i="27"/>
  <c r="AY36" i="27"/>
  <c r="BW29" i="27"/>
  <c r="BT38" i="27"/>
  <c r="BW37" i="27"/>
  <c r="BV16" i="27"/>
  <c r="AY37" i="27"/>
  <c r="BV15" i="27"/>
  <c r="BT36" i="27"/>
  <c r="BV36" i="27" s="1"/>
  <c r="CJ24" i="27"/>
  <c r="BT24" i="27"/>
  <c r="CW15" i="27"/>
  <c r="CU16" i="27"/>
  <c r="CU36" i="27" s="1"/>
  <c r="CZ15" i="27"/>
  <c r="BT29" i="27"/>
  <c r="BW38" i="27"/>
  <c r="BW39" i="27" s="1"/>
  <c r="CG37" i="27"/>
  <c r="CZ16" i="27"/>
  <c r="CZ38" i="27" s="1"/>
  <c r="BT37" i="27"/>
  <c r="BV37" i="27" s="1"/>
  <c r="BW36" i="27"/>
  <c r="J30" i="26"/>
  <c r="BF15" i="27"/>
  <c r="J27" i="26"/>
  <c r="J26" i="26"/>
  <c r="BG36" i="27"/>
  <c r="BN36" i="27" s="1"/>
  <c r="CD16" i="27"/>
  <c r="J29" i="26"/>
  <c r="BG29" i="27"/>
  <c r="BN29" i="27" s="1"/>
  <c r="BK39" i="27"/>
  <c r="CL15" i="27"/>
  <c r="CY15" i="27"/>
  <c r="CW16" i="27"/>
  <c r="CW36" i="27" s="1"/>
  <c r="CD15" i="27"/>
  <c r="CU15" i="27"/>
  <c r="CA38" i="27"/>
  <c r="BB39" i="27"/>
  <c r="BY39" i="27"/>
  <c r="BI39" i="27"/>
  <c r="G32" i="26"/>
  <c r="BE24" i="27"/>
  <c r="DA24" i="27" s="1"/>
  <c r="CN39" i="27"/>
  <c r="BE37" i="27"/>
  <c r="BE36" i="27"/>
  <c r="BF16" i="27"/>
  <c r="J31" i="26"/>
  <c r="CS39" i="27"/>
  <c r="DA15" i="27"/>
  <c r="CF39" i="27"/>
  <c r="DA16" i="27"/>
  <c r="DA38" i="27" s="1"/>
  <c r="BE29" i="27"/>
  <c r="DA29" i="27" s="1"/>
  <c r="D32" i="26"/>
  <c r="CA36" i="27"/>
  <c r="J28" i="26"/>
  <c r="BN15" i="27"/>
  <c r="BQ39" i="27"/>
  <c r="CL16" i="27"/>
  <c r="CA37" i="27"/>
  <c r="CG36" i="27"/>
  <c r="CL36" i="27" s="1"/>
  <c r="AZ39" i="27"/>
  <c r="CG29" i="27"/>
  <c r="BN16" i="27"/>
  <c r="BG38" i="27"/>
  <c r="BN38" i="27" s="1"/>
  <c r="CA29" i="27"/>
  <c r="CY29" i="27" s="1"/>
  <c r="CG38" i="27"/>
  <c r="CY16" i="27"/>
  <c r="CY37" i="27" s="1"/>
  <c r="AK39" i="27"/>
  <c r="BU39" i="27"/>
  <c r="BR39" i="27"/>
  <c r="V39" i="27"/>
  <c r="AL39" i="27"/>
  <c r="AC39" i="27"/>
  <c r="AP37" i="27"/>
  <c r="AV39" i="27"/>
  <c r="AN39" i="27"/>
  <c r="CT29" i="27"/>
  <c r="BZ39" i="27"/>
  <c r="BH39" i="27"/>
  <c r="AP36" i="27"/>
  <c r="CC39" i="27"/>
  <c r="AD39" i="27"/>
  <c r="CH39" i="27"/>
  <c r="W39" i="27"/>
  <c r="BS39" i="27"/>
  <c r="CK39" i="27"/>
  <c r="P39" i="27"/>
  <c r="CB39" i="27"/>
  <c r="AG12" i="27"/>
  <c r="AX37" i="27"/>
  <c r="CX24" i="27"/>
  <c r="CX38" i="27"/>
  <c r="CX36" i="27"/>
  <c r="CX37" i="27"/>
  <c r="BP39" i="27"/>
  <c r="BL39" i="27"/>
  <c r="DC15" i="27"/>
  <c r="BJ39" i="27"/>
  <c r="CR39" i="27"/>
  <c r="BM39" i="27"/>
  <c r="AR39" i="27"/>
  <c r="AX24" i="27"/>
  <c r="CV38" i="27"/>
  <c r="CV37" i="27"/>
  <c r="CV36" i="27"/>
  <c r="AF12" i="27"/>
  <c r="BD12" i="27"/>
  <c r="AD12" i="27"/>
  <c r="BO39" i="27"/>
  <c r="BX39" i="27"/>
  <c r="CQ39" i="27"/>
  <c r="BN37" i="27"/>
  <c r="BA39" i="27"/>
  <c r="BC39" i="27"/>
  <c r="X39" i="27"/>
  <c r="BB12" i="27"/>
  <c r="CX29" i="27"/>
  <c r="AG39" i="27"/>
  <c r="BC12" i="27"/>
  <c r="Z16" i="27"/>
  <c r="S19" i="27"/>
  <c r="CT36" i="27"/>
  <c r="AI39" i="27"/>
  <c r="AP38" i="27"/>
  <c r="CE39" i="27"/>
  <c r="AX38" i="27"/>
  <c r="AQ39" i="27"/>
  <c r="CT37" i="27"/>
  <c r="CT38" i="27"/>
  <c r="CM39" i="27"/>
  <c r="BD39" i="27"/>
  <c r="AS39" i="27"/>
  <c r="AB39" i="27"/>
  <c r="AP24" i="27"/>
  <c r="AF39" i="27"/>
  <c r="CI39" i="27"/>
  <c r="O39" i="27"/>
  <c r="AU39" i="27"/>
  <c r="CP39" i="27"/>
  <c r="DC16" i="27"/>
  <c r="AE12" i="27"/>
  <c r="CO39" i="27"/>
  <c r="AX36" i="27"/>
  <c r="E32" i="26"/>
  <c r="I32" i="26"/>
  <c r="F32" i="26"/>
  <c r="J85" i="26"/>
  <c r="J76" i="26"/>
  <c r="J88" i="26"/>
  <c r="J17" i="26"/>
  <c r="J84" i="26"/>
  <c r="J75" i="26"/>
  <c r="J87" i="26"/>
  <c r="H53" i="26"/>
  <c r="H93" i="26"/>
  <c r="H94" i="26" s="1"/>
  <c r="G53" i="26"/>
  <c r="G93" i="26"/>
  <c r="G94" i="26" s="1"/>
  <c r="E52" i="26"/>
  <c r="I53" i="26"/>
  <c r="W53" i="26" s="1"/>
  <c r="I93" i="26"/>
  <c r="I94" i="26" s="1"/>
  <c r="F53" i="26"/>
  <c r="U47" i="25"/>
  <c r="AC53" i="25"/>
  <c r="E46" i="26" s="1"/>
  <c r="U53" i="25"/>
  <c r="H34" i="25"/>
  <c r="H58" i="25" s="1"/>
  <c r="H55" i="25"/>
  <c r="U46" i="25"/>
  <c r="F55" i="25"/>
  <c r="U49" i="25"/>
  <c r="U48" i="25"/>
  <c r="Z45" i="25"/>
  <c r="E38" i="26" s="1"/>
  <c r="U45" i="25"/>
  <c r="I55" i="25"/>
  <c r="O55" i="25"/>
  <c r="R55" i="25"/>
  <c r="L55" i="25"/>
  <c r="N55" i="25"/>
  <c r="X44" i="25"/>
  <c r="U44" i="25"/>
  <c r="P55" i="25"/>
  <c r="Q55" i="25"/>
  <c r="K55" i="25"/>
  <c r="X50" i="25"/>
  <c r="C43" i="26" s="1"/>
  <c r="U50" i="25"/>
  <c r="X52" i="25"/>
  <c r="U52" i="25"/>
  <c r="X54" i="25"/>
  <c r="C47" i="26" s="1"/>
  <c r="U54" i="25"/>
  <c r="X51" i="25"/>
  <c r="C44" i="26" s="1"/>
  <c r="U51" i="25"/>
  <c r="AA49" i="25"/>
  <c r="F56" i="25"/>
  <c r="AM49" i="25"/>
  <c r="AM56" i="25" s="1"/>
  <c r="R56" i="25"/>
  <c r="AH49" i="25"/>
  <c r="M56" i="25"/>
  <c r="H56" i="25"/>
  <c r="AC49" i="25"/>
  <c r="T56" i="25"/>
  <c r="AO49" i="25"/>
  <c r="X43" i="25"/>
  <c r="C57" i="25"/>
  <c r="C55" i="25"/>
  <c r="C56" i="25"/>
  <c r="X49" i="25"/>
  <c r="O56" i="25"/>
  <c r="AJ49" i="25"/>
  <c r="Y43" i="25"/>
  <c r="D55" i="25"/>
  <c r="D56" i="25"/>
  <c r="Y49" i="25"/>
  <c r="J56" i="25"/>
  <c r="AE49" i="25"/>
  <c r="AE56" i="25" s="1"/>
  <c r="AK49" i="25"/>
  <c r="AK56" i="25" s="1"/>
  <c r="P56" i="25"/>
  <c r="AG49" i="25"/>
  <c r="L56" i="25"/>
  <c r="AB49" i="25"/>
  <c r="G56" i="25"/>
  <c r="AN49" i="25"/>
  <c r="S56" i="25"/>
  <c r="N56" i="25"/>
  <c r="AI49" i="25"/>
  <c r="AI56" i="25" s="1"/>
  <c r="I56" i="25"/>
  <c r="AD49" i="25"/>
  <c r="Z49" i="25"/>
  <c r="E56" i="25"/>
  <c r="AF49" i="25"/>
  <c r="AF56" i="25" s="1"/>
  <c r="K56" i="25"/>
  <c r="AL49" i="25"/>
  <c r="AL56" i="25" s="1"/>
  <c r="Q56" i="25"/>
  <c r="Q57" i="25"/>
  <c r="AL43" i="25"/>
  <c r="F57" i="25"/>
  <c r="AA43" i="25"/>
  <c r="R57" i="25"/>
  <c r="AM43" i="25"/>
  <c r="F34" i="25"/>
  <c r="F58" i="25" s="1"/>
  <c r="L57" i="25"/>
  <c r="AG43" i="25"/>
  <c r="H57" i="25"/>
  <c r="AC43" i="25"/>
  <c r="N57" i="25"/>
  <c r="AI43" i="25"/>
  <c r="T57" i="25"/>
  <c r="AO43" i="25"/>
  <c r="P57" i="25"/>
  <c r="AK43" i="25"/>
  <c r="K57" i="25"/>
  <c r="AF43" i="25"/>
  <c r="I57" i="25"/>
  <c r="AD43" i="25"/>
  <c r="O57" i="25"/>
  <c r="AJ43" i="25"/>
  <c r="D57" i="25"/>
  <c r="J34" i="25"/>
  <c r="J58" i="25" s="1"/>
  <c r="J43" i="25"/>
  <c r="J55" i="25" s="1"/>
  <c r="K34" i="25"/>
  <c r="K58" i="25" s="1"/>
  <c r="L34" i="25"/>
  <c r="L58" i="25" s="1"/>
  <c r="G34" i="25"/>
  <c r="G58" i="25" s="1"/>
  <c r="G43" i="25"/>
  <c r="G55" i="25" s="1"/>
  <c r="M34" i="25"/>
  <c r="M58" i="25" s="1"/>
  <c r="M43" i="25"/>
  <c r="M55" i="25" s="1"/>
  <c r="S34" i="25"/>
  <c r="S58" i="25" s="1"/>
  <c r="S43" i="25"/>
  <c r="S55" i="25" s="1"/>
  <c r="R34" i="25"/>
  <c r="R58" i="25" s="1"/>
  <c r="T34" i="25"/>
  <c r="T58" i="25" s="1"/>
  <c r="N34" i="25"/>
  <c r="N58" i="25" s="1"/>
  <c r="E34" i="25"/>
  <c r="E58" i="25" s="1"/>
  <c r="E43" i="25"/>
  <c r="X47" i="25"/>
  <c r="D34" i="25"/>
  <c r="D58" i="25" s="1"/>
  <c r="O34" i="25"/>
  <c r="O58" i="25" s="1"/>
  <c r="P34" i="25"/>
  <c r="P58" i="25" s="1"/>
  <c r="Q34" i="25"/>
  <c r="Q58" i="25" s="1"/>
  <c r="U22" i="25"/>
  <c r="U23" i="25"/>
  <c r="U25" i="25"/>
  <c r="U27" i="25"/>
  <c r="U31" i="25"/>
  <c r="U32" i="25"/>
  <c r="U17" i="25"/>
  <c r="U24" i="25"/>
  <c r="U26" i="25"/>
  <c r="U28" i="25"/>
  <c r="U30" i="25"/>
  <c r="U33" i="25"/>
  <c r="I34" i="25"/>
  <c r="I58" i="25" s="1"/>
  <c r="U29" i="25"/>
  <c r="X45" i="25"/>
  <c r="X46" i="25"/>
  <c r="J36" i="20"/>
  <c r="C55" i="23"/>
  <c r="C57" i="23"/>
  <c r="C56" i="23"/>
  <c r="C60" i="23"/>
  <c r="C62" i="23"/>
  <c r="C61" i="23"/>
  <c r="C54" i="23"/>
  <c r="C63" i="23"/>
  <c r="C59" i="23"/>
  <c r="C58" i="23"/>
  <c r="E56" i="23"/>
  <c r="E57" i="23"/>
  <c r="E63" i="23"/>
  <c r="Q70" i="23"/>
  <c r="P70" i="23"/>
  <c r="O70" i="23"/>
  <c r="N70" i="23"/>
  <c r="M70" i="23"/>
  <c r="L70" i="23"/>
  <c r="Q69" i="23"/>
  <c r="P69" i="23"/>
  <c r="O69" i="23"/>
  <c r="N69" i="23"/>
  <c r="M69" i="23"/>
  <c r="L69" i="23"/>
  <c r="D56" i="23"/>
  <c r="D55" i="23"/>
  <c r="D54" i="23"/>
  <c r="G55" i="23"/>
  <c r="G56" i="23"/>
  <c r="P71" i="23"/>
  <c r="F56" i="23"/>
  <c r="F55" i="23"/>
  <c r="F54" i="23"/>
  <c r="H53" i="23"/>
  <c r="G53" i="23"/>
  <c r="F53" i="23"/>
  <c r="E53" i="23"/>
  <c r="D53" i="23"/>
  <c r="C53" i="23"/>
  <c r="H52" i="23"/>
  <c r="G52" i="23"/>
  <c r="F52" i="23"/>
  <c r="E52" i="23"/>
  <c r="D52" i="23"/>
  <c r="C52" i="23"/>
  <c r="G58" i="23"/>
  <c r="F58" i="23"/>
  <c r="E58" i="23"/>
  <c r="D58" i="23"/>
  <c r="D57" i="23"/>
  <c r="D59" i="23"/>
  <c r="D60" i="23"/>
  <c r="D61" i="23"/>
  <c r="G36" i="23"/>
  <c r="C37" i="23"/>
  <c r="F36" i="23"/>
  <c r="G37" i="23"/>
  <c r="G63" i="23"/>
  <c r="F63" i="23"/>
  <c r="D63" i="23"/>
  <c r="G62" i="23"/>
  <c r="F62" i="23"/>
  <c r="E62" i="23"/>
  <c r="D62" i="23"/>
  <c r="G61" i="23"/>
  <c r="F61" i="23"/>
  <c r="E61" i="23"/>
  <c r="G60" i="23"/>
  <c r="F60" i="23"/>
  <c r="E60" i="23"/>
  <c r="G59" i="23"/>
  <c r="F59" i="23"/>
  <c r="E59" i="23"/>
  <c r="G57" i="23"/>
  <c r="F57" i="23"/>
  <c r="E55" i="23"/>
  <c r="E54" i="23"/>
  <c r="I38" i="23"/>
  <c r="I39" i="23"/>
  <c r="I40" i="23"/>
  <c r="I41" i="23"/>
  <c r="I42" i="23"/>
  <c r="I43" i="23"/>
  <c r="I44" i="23"/>
  <c r="I45" i="23"/>
  <c r="I46" i="23"/>
  <c r="I47" i="23"/>
  <c r="H82" i="23"/>
  <c r="F37" i="23"/>
  <c r="E37" i="23"/>
  <c r="D37" i="23"/>
  <c r="E36" i="23"/>
  <c r="D36" i="23"/>
  <c r="CX8" i="14" l="1"/>
  <c r="CS75" i="14"/>
  <c r="CS71" i="14"/>
  <c r="CS80" i="14"/>
  <c r="Y76" i="14"/>
  <c r="Y80" i="14" s="1"/>
  <c r="W76" i="14"/>
  <c r="W108" i="14" s="1"/>
  <c r="W109" i="14" s="1"/>
  <c r="CS108" i="14"/>
  <c r="CS109" i="14" s="1"/>
  <c r="CS111" i="14"/>
  <c r="CS112" i="14" s="1"/>
  <c r="CY53" i="14"/>
  <c r="CY68" i="14"/>
  <c r="CY63" i="14" s="1"/>
  <c r="CY50" i="14"/>
  <c r="AB32" i="14"/>
  <c r="Z31" i="14"/>
  <c r="Z42" i="14"/>
  <c r="Z41" i="14" s="1"/>
  <c r="Z44" i="14" s="1"/>
  <c r="Z43" i="14" s="1"/>
  <c r="X56" i="3"/>
  <c r="W8" i="3"/>
  <c r="CS68" i="14"/>
  <c r="CS63" i="14" s="1"/>
  <c r="CS53" i="14"/>
  <c r="CS50" i="14"/>
  <c r="CS54" i="14" s="1"/>
  <c r="CS41" i="14" s="1"/>
  <c r="AG125" i="14"/>
  <c r="AE126" i="14"/>
  <c r="AE127" i="14" s="1"/>
  <c r="AG128" i="14"/>
  <c r="AE129" i="14"/>
  <c r="AE130" i="14" s="1"/>
  <c r="AC133" i="14"/>
  <c r="W80" i="14"/>
  <c r="W83" i="14" s="1"/>
  <c r="AE132" i="14"/>
  <c r="AA99" i="14"/>
  <c r="AA124" i="14" s="1"/>
  <c r="AA144" i="14"/>
  <c r="AE137" i="14"/>
  <c r="AC98" i="14"/>
  <c r="W75" i="14"/>
  <c r="W71" i="14"/>
  <c r="W111" i="14"/>
  <c r="W112" i="14" s="1"/>
  <c r="Y53" i="14"/>
  <c r="Y68" i="14"/>
  <c r="Y63" i="14" s="1"/>
  <c r="BT150" i="28"/>
  <c r="BT106" i="28"/>
  <c r="C42" i="26"/>
  <c r="AP47" i="25"/>
  <c r="C40" i="26"/>
  <c r="AP46" i="25"/>
  <c r="C39" i="26"/>
  <c r="J39" i="26" s="1"/>
  <c r="AP45" i="25"/>
  <c r="C38" i="26"/>
  <c r="C53" i="26" s="1"/>
  <c r="Q53" i="26" s="1"/>
  <c r="AP44" i="25"/>
  <c r="C37" i="26"/>
  <c r="C36" i="26"/>
  <c r="U41" i="14"/>
  <c r="T41" i="14"/>
  <c r="Y133" i="14"/>
  <c r="Y142" i="14" s="1"/>
  <c r="W49" i="14"/>
  <c r="Y54" i="14"/>
  <c r="Y49" i="14" s="1"/>
  <c r="Y45" i="14" s="1"/>
  <c r="U86" i="14"/>
  <c r="U84" i="14"/>
  <c r="U49" i="14"/>
  <c r="V41" i="14"/>
  <c r="CZ24" i="27"/>
  <c r="DA37" i="27"/>
  <c r="DA39" i="27" s="1"/>
  <c r="CZ29" i="27"/>
  <c r="CJ39" i="27"/>
  <c r="AY39" i="27"/>
  <c r="BF36" i="27"/>
  <c r="CU37" i="27"/>
  <c r="CD37" i="27"/>
  <c r="CL37" i="27"/>
  <c r="CG39" i="27"/>
  <c r="CU38" i="27"/>
  <c r="CZ37" i="27"/>
  <c r="CZ39" i="27" s="1"/>
  <c r="BT39" i="27"/>
  <c r="CW38" i="27"/>
  <c r="BV38" i="27"/>
  <c r="BV39" i="27" s="1"/>
  <c r="CD36" i="27"/>
  <c r="CL29" i="27"/>
  <c r="BV29" i="27"/>
  <c r="BF37" i="27"/>
  <c r="BF39" i="27" s="1"/>
  <c r="CZ36" i="27"/>
  <c r="DA36" i="27"/>
  <c r="BF29" i="27"/>
  <c r="CW37" i="27"/>
  <c r="DB15" i="27"/>
  <c r="BE39" i="27"/>
  <c r="CD38" i="27"/>
  <c r="CA39" i="27"/>
  <c r="BG39" i="27"/>
  <c r="DB16" i="27"/>
  <c r="CY38" i="27"/>
  <c r="CY39" i="27" s="1"/>
  <c r="BE12" i="27"/>
  <c r="CY36" i="27"/>
  <c r="J32" i="26"/>
  <c r="CD29" i="27"/>
  <c r="CX39" i="27"/>
  <c r="CL38" i="27"/>
  <c r="AP39" i="27"/>
  <c r="BN39" i="27"/>
  <c r="CV39" i="27"/>
  <c r="AP12" i="27"/>
  <c r="AX12" i="27"/>
  <c r="AX39" i="27"/>
  <c r="CT39" i="27"/>
  <c r="Y56" i="25"/>
  <c r="D42" i="26"/>
  <c r="AP52" i="25"/>
  <c r="C45" i="26"/>
  <c r="Z56" i="25"/>
  <c r="E42" i="26"/>
  <c r="E53" i="26"/>
  <c r="S53" i="26" s="1"/>
  <c r="T53" i="26"/>
  <c r="R52" i="26"/>
  <c r="F54" i="26"/>
  <c r="T54" i="26" s="1"/>
  <c r="D53" i="26"/>
  <c r="R53" i="26" s="1"/>
  <c r="G54" i="26"/>
  <c r="U54" i="26" s="1"/>
  <c r="V53" i="26"/>
  <c r="I54" i="26"/>
  <c r="W54" i="26" s="1"/>
  <c r="S52" i="26"/>
  <c r="U53" i="26"/>
  <c r="H54" i="26"/>
  <c r="V54" i="26" s="1"/>
  <c r="AC56" i="25"/>
  <c r="U43" i="25"/>
  <c r="C62" i="25"/>
  <c r="C65" i="25" s="1"/>
  <c r="K62" i="25"/>
  <c r="K65" i="25" s="1"/>
  <c r="AN56" i="25"/>
  <c r="Y55" i="25"/>
  <c r="Y57" i="25"/>
  <c r="Y58" i="25" s="1"/>
  <c r="AJ55" i="25"/>
  <c r="AJ57" i="25"/>
  <c r="AJ58" i="25" s="1"/>
  <c r="AC57" i="25"/>
  <c r="AC58" i="25" s="1"/>
  <c r="AC55" i="25"/>
  <c r="AJ56" i="25"/>
  <c r="AJ39" i="25"/>
  <c r="AH56" i="25"/>
  <c r="AP49" i="25"/>
  <c r="AA57" i="25"/>
  <c r="AA58" i="25" s="1"/>
  <c r="AA55" i="25"/>
  <c r="AD55" i="25"/>
  <c r="AD57" i="25"/>
  <c r="AD58" i="25" s="1"/>
  <c r="AO57" i="25"/>
  <c r="AO58" i="25" s="1"/>
  <c r="AO55" i="25"/>
  <c r="AG57" i="25"/>
  <c r="AG58" i="25" s="1"/>
  <c r="AG55" i="25"/>
  <c r="X56" i="25"/>
  <c r="X39" i="25"/>
  <c r="AL57" i="25"/>
  <c r="AL58" i="25" s="1"/>
  <c r="AL55" i="25"/>
  <c r="AG56" i="25"/>
  <c r="AG39" i="25"/>
  <c r="G63" i="25"/>
  <c r="G66" i="25" s="1"/>
  <c r="G62" i="25"/>
  <c r="G65" i="25" s="1"/>
  <c r="AM57" i="25"/>
  <c r="AM58" i="25" s="1"/>
  <c r="AM55" i="25"/>
  <c r="Z43" i="25"/>
  <c r="E36" i="26" s="1"/>
  <c r="E51" i="26" s="1"/>
  <c r="S51" i="26" s="1"/>
  <c r="E55" i="25"/>
  <c r="C64" i="25" s="1"/>
  <c r="C67" i="25" s="1"/>
  <c r="AK55" i="25"/>
  <c r="AK57" i="25"/>
  <c r="AK58" i="25" s="1"/>
  <c r="AD56" i="25"/>
  <c r="AD39" i="25"/>
  <c r="AB56" i="25"/>
  <c r="AM39" i="25"/>
  <c r="AO56" i="25"/>
  <c r="AF57" i="25"/>
  <c r="AF58" i="25" s="1"/>
  <c r="AF55" i="25"/>
  <c r="AI57" i="25"/>
  <c r="AI58" i="25" s="1"/>
  <c r="AI55" i="25"/>
  <c r="G64" i="25"/>
  <c r="G67" i="25" s="1"/>
  <c r="C63" i="25"/>
  <c r="C66" i="25" s="1"/>
  <c r="AA56" i="25"/>
  <c r="AA39" i="25"/>
  <c r="M57" i="25"/>
  <c r="AH43" i="25"/>
  <c r="G57" i="25"/>
  <c r="AB43" i="25"/>
  <c r="J57" i="25"/>
  <c r="AE43" i="25"/>
  <c r="S57" i="25"/>
  <c r="AN43" i="25"/>
  <c r="E57" i="25"/>
  <c r="K64" i="25" s="1"/>
  <c r="K67" i="25" s="1"/>
  <c r="C37" i="25"/>
  <c r="D37" i="25" s="1"/>
  <c r="C38" i="25"/>
  <c r="D38" i="25" s="1"/>
  <c r="AP50" i="25"/>
  <c r="X48" i="25"/>
  <c r="C34" i="25"/>
  <c r="H71" i="23"/>
  <c r="Q71" i="23" s="1"/>
  <c r="H72" i="23"/>
  <c r="H73" i="23"/>
  <c r="Q73" i="23" s="1"/>
  <c r="H74" i="23"/>
  <c r="Q74" i="23" s="1"/>
  <c r="H75" i="23"/>
  <c r="Q75" i="23" s="1"/>
  <c r="H76" i="23"/>
  <c r="Q76" i="23" s="1"/>
  <c r="H77" i="23"/>
  <c r="H78" i="23"/>
  <c r="Q78" i="23" s="1"/>
  <c r="H80" i="23"/>
  <c r="H63" i="23" s="1"/>
  <c r="I63" i="23" s="1"/>
  <c r="H79" i="23"/>
  <c r="Q79" i="23" s="1"/>
  <c r="Q77" i="23"/>
  <c r="G54" i="23"/>
  <c r="R69" i="23"/>
  <c r="R70" i="23"/>
  <c r="L72" i="23"/>
  <c r="L71" i="23"/>
  <c r="L73" i="23"/>
  <c r="M74" i="23"/>
  <c r="M71" i="23"/>
  <c r="M72" i="23"/>
  <c r="M73" i="23"/>
  <c r="N74" i="23"/>
  <c r="N71" i="23"/>
  <c r="N72" i="23"/>
  <c r="N73" i="23"/>
  <c r="O74" i="23"/>
  <c r="O71" i="23"/>
  <c r="O72" i="23"/>
  <c r="O73" i="23"/>
  <c r="P74" i="23"/>
  <c r="P72" i="23"/>
  <c r="P73" i="23"/>
  <c r="L74" i="23"/>
  <c r="Q72" i="23"/>
  <c r="L76" i="23"/>
  <c r="L77" i="23"/>
  <c r="L78" i="23"/>
  <c r="L79" i="23"/>
  <c r="L80" i="23"/>
  <c r="M75" i="23"/>
  <c r="M76" i="23"/>
  <c r="M77" i="23"/>
  <c r="M78" i="23"/>
  <c r="M79" i="23"/>
  <c r="M80" i="23"/>
  <c r="N75" i="23"/>
  <c r="N76" i="23"/>
  <c r="N77" i="23"/>
  <c r="N78" i="23"/>
  <c r="N79" i="23"/>
  <c r="N80" i="23"/>
  <c r="O75" i="23"/>
  <c r="O76" i="23"/>
  <c r="O77" i="23"/>
  <c r="O78" i="23"/>
  <c r="O79" i="23"/>
  <c r="O80" i="23"/>
  <c r="P75" i="23"/>
  <c r="P76" i="23"/>
  <c r="P77" i="23"/>
  <c r="P78" i="23"/>
  <c r="P79" i="23"/>
  <c r="P80" i="23"/>
  <c r="L75" i="23"/>
  <c r="E81" i="23"/>
  <c r="E83" i="23" s="1"/>
  <c r="D81" i="23"/>
  <c r="D83" i="23" s="1"/>
  <c r="C81" i="23"/>
  <c r="C83" i="23" s="1"/>
  <c r="F64" i="23"/>
  <c r="E64" i="23"/>
  <c r="D64" i="23"/>
  <c r="C64" i="23"/>
  <c r="H37" i="23"/>
  <c r="I37" i="23" s="1"/>
  <c r="E48" i="23"/>
  <c r="M47" i="23" s="1"/>
  <c r="D48" i="23"/>
  <c r="L47" i="23" s="1"/>
  <c r="H36" i="23"/>
  <c r="F48" i="23"/>
  <c r="N47" i="23" s="1"/>
  <c r="G48" i="23"/>
  <c r="O47" i="23" s="1"/>
  <c r="I82" i="23"/>
  <c r="I80" i="23"/>
  <c r="I70" i="23"/>
  <c r="G81" i="23"/>
  <c r="G83" i="23" s="1"/>
  <c r="F81" i="23"/>
  <c r="F83" i="23" s="1"/>
  <c r="I53" i="23"/>
  <c r="I31" i="23"/>
  <c r="I30" i="23"/>
  <c r="I29" i="23"/>
  <c r="I28" i="23"/>
  <c r="I27" i="23"/>
  <c r="I26" i="23"/>
  <c r="I25" i="23"/>
  <c r="I24" i="23"/>
  <c r="I23" i="23"/>
  <c r="I22" i="23"/>
  <c r="I21" i="23"/>
  <c r="H32" i="23"/>
  <c r="G32" i="23"/>
  <c r="F32" i="23"/>
  <c r="E32" i="23"/>
  <c r="D32" i="23"/>
  <c r="I20" i="23"/>
  <c r="H17" i="23"/>
  <c r="G17" i="23"/>
  <c r="F17" i="23"/>
  <c r="E17" i="23"/>
  <c r="D17" i="23"/>
  <c r="C17" i="23"/>
  <c r="I16" i="23"/>
  <c r="I15" i="23"/>
  <c r="I14" i="23"/>
  <c r="I13" i="23"/>
  <c r="P12" i="23"/>
  <c r="R12" i="23" s="1"/>
  <c r="I12" i="23"/>
  <c r="Q11" i="23"/>
  <c r="I11" i="23"/>
  <c r="I10" i="23"/>
  <c r="P9" i="23"/>
  <c r="Q9" i="23" s="1"/>
  <c r="I9" i="23"/>
  <c r="I8" i="23"/>
  <c r="I7" i="23"/>
  <c r="I6" i="23"/>
  <c r="I5" i="23"/>
  <c r="CM11" i="22"/>
  <c r="CE11" i="22"/>
  <c r="BW11" i="22"/>
  <c r="BO11" i="22"/>
  <c r="BG11" i="22"/>
  <c r="AY11" i="22"/>
  <c r="AQ11" i="22"/>
  <c r="AI11" i="22"/>
  <c r="AA11" i="22"/>
  <c r="F14" i="19"/>
  <c r="F13" i="19"/>
  <c r="F12" i="19"/>
  <c r="F11" i="19"/>
  <c r="F10" i="19"/>
  <c r="F9" i="19"/>
  <c r="F8" i="19"/>
  <c r="D9" i="19"/>
  <c r="D10" i="19"/>
  <c r="D11" i="19"/>
  <c r="D12" i="19"/>
  <c r="D13" i="19"/>
  <c r="D14" i="19"/>
  <c r="D8" i="19"/>
  <c r="Q80" i="23" l="1"/>
  <c r="AB42" i="14"/>
  <c r="AB41" i="14" s="1"/>
  <c r="AB44" i="14" s="1"/>
  <c r="AB43" i="14" s="1"/>
  <c r="AD32" i="14"/>
  <c r="AB31" i="14"/>
  <c r="CY54" i="14"/>
  <c r="CY49" i="14" s="1"/>
  <c r="W82" i="14"/>
  <c r="Y81" i="14"/>
  <c r="Y82" i="14"/>
  <c r="Y83" i="14"/>
  <c r="CS82" i="14"/>
  <c r="CS81" i="14"/>
  <c r="CS83" i="14"/>
  <c r="X68" i="3"/>
  <c r="X63" i="3" s="1"/>
  <c r="X53" i="3"/>
  <c r="X50" i="3"/>
  <c r="X54" i="3" s="1"/>
  <c r="W81" i="14"/>
  <c r="CS49" i="14"/>
  <c r="AI132" i="14"/>
  <c r="AG129" i="14"/>
  <c r="AG130" i="14" s="1"/>
  <c r="AI128" i="14"/>
  <c r="AK128" i="14" s="1"/>
  <c r="AG126" i="14"/>
  <c r="AG127" i="14" s="1"/>
  <c r="AI125" i="14"/>
  <c r="AK125" i="14" s="1"/>
  <c r="AE133" i="14"/>
  <c r="AG132" i="14"/>
  <c r="AC99" i="14"/>
  <c r="AC124" i="14" s="1"/>
  <c r="AC144" i="14"/>
  <c r="AC142" i="14"/>
  <c r="AE98" i="14"/>
  <c r="AG137" i="14"/>
  <c r="AI137" i="14" s="1"/>
  <c r="C54" i="26"/>
  <c r="D36" i="26"/>
  <c r="D51" i="26" s="1"/>
  <c r="R51" i="26" s="1"/>
  <c r="N51" i="20"/>
  <c r="N51" i="26"/>
  <c r="BD19" i="27"/>
  <c r="CR19" i="27"/>
  <c r="CB19" i="27"/>
  <c r="BL19" i="27"/>
  <c r="BT19" i="27"/>
  <c r="CJ19" i="27"/>
  <c r="M52" i="20"/>
  <c r="M52" i="26"/>
  <c r="AC19" i="27"/>
  <c r="AS19" i="27"/>
  <c r="AK19" i="27"/>
  <c r="AC64" i="25"/>
  <c r="AC67" i="25" s="1"/>
  <c r="N52" i="20"/>
  <c r="N52" i="26"/>
  <c r="AU19" i="27"/>
  <c r="AM19" i="27"/>
  <c r="AE19" i="27"/>
  <c r="BU19" i="27"/>
  <c r="BM19" i="27"/>
  <c r="CS19" i="27"/>
  <c r="CC19" i="27"/>
  <c r="CK19" i="27"/>
  <c r="BE19" i="27"/>
  <c r="AB19" i="27"/>
  <c r="AJ19" i="27"/>
  <c r="AR19" i="27"/>
  <c r="CM19" i="27"/>
  <c r="CE19" i="27"/>
  <c r="BO19" i="27"/>
  <c r="BG19" i="27"/>
  <c r="AY19" i="27"/>
  <c r="BW19" i="27"/>
  <c r="J38" i="26"/>
  <c r="C51" i="26"/>
  <c r="C93" i="26"/>
  <c r="C94" i="26" s="1"/>
  <c r="AF19" i="27"/>
  <c r="AN19" i="27"/>
  <c r="AV19" i="27"/>
  <c r="CI19" i="27"/>
  <c r="CQ19" i="27"/>
  <c r="BC19" i="27"/>
  <c r="BK19" i="27"/>
  <c r="BS19" i="27"/>
  <c r="CA19" i="27"/>
  <c r="M62" i="20"/>
  <c r="M62" i="26"/>
  <c r="AI19" i="27"/>
  <c r="AQ19" i="27"/>
  <c r="AA19" i="27"/>
  <c r="CN19" i="27"/>
  <c r="BP19" i="27"/>
  <c r="CF19" i="27"/>
  <c r="BX19" i="27"/>
  <c r="BH19" i="27"/>
  <c r="AZ19" i="27"/>
  <c r="E93" i="26"/>
  <c r="E94" i="26" s="1"/>
  <c r="C52" i="26"/>
  <c r="J37" i="26"/>
  <c r="BZ19" i="27"/>
  <c r="BB19" i="27"/>
  <c r="CH19" i="27"/>
  <c r="BR19" i="27"/>
  <c r="CP19" i="27"/>
  <c r="BJ19" i="27"/>
  <c r="AT19" i="27"/>
  <c r="AL19" i="27"/>
  <c r="AD19" i="27"/>
  <c r="AW19" i="27"/>
  <c r="AG19" i="27"/>
  <c r="AO19" i="27"/>
  <c r="CO19" i="27"/>
  <c r="BI19" i="27"/>
  <c r="BQ19" i="27"/>
  <c r="BA19" i="27"/>
  <c r="BY19" i="27"/>
  <c r="CG19" i="27"/>
  <c r="AP48" i="25"/>
  <c r="C41" i="26"/>
  <c r="X49" i="14"/>
  <c r="X48" i="14" s="1"/>
  <c r="Y48" i="14"/>
  <c r="X45" i="14"/>
  <c r="U48" i="14"/>
  <c r="U45" i="14"/>
  <c r="U44" i="14" s="1"/>
  <c r="U43" i="14" s="1"/>
  <c r="T49" i="14"/>
  <c r="T48" i="14" s="1"/>
  <c r="T45" i="14"/>
  <c r="T44" i="14" s="1"/>
  <c r="T43" i="14" s="1"/>
  <c r="U89" i="14"/>
  <c r="U87" i="14"/>
  <c r="W86" i="14"/>
  <c r="W84" i="14"/>
  <c r="Y41" i="14"/>
  <c r="Y44" i="14" s="1"/>
  <c r="Y43" i="14" s="1"/>
  <c r="X41" i="14"/>
  <c r="V49" i="14"/>
  <c r="V48" i="14" s="1"/>
  <c r="W45" i="14"/>
  <c r="W44" i="14" s="1"/>
  <c r="W43" i="14" s="1"/>
  <c r="V45" i="14"/>
  <c r="V44" i="14" s="1"/>
  <c r="V43" i="14" s="1"/>
  <c r="W48" i="14"/>
  <c r="CU39" i="27"/>
  <c r="CL39" i="27"/>
  <c r="CD39" i="27"/>
  <c r="DB37" i="27"/>
  <c r="DC37" i="27" s="1"/>
  <c r="CW39" i="27"/>
  <c r="DB38" i="27"/>
  <c r="DC38" i="27" s="1"/>
  <c r="DB36" i="27"/>
  <c r="DC36" i="27" s="1"/>
  <c r="G55" i="26"/>
  <c r="D54" i="26"/>
  <c r="R54" i="26" s="1"/>
  <c r="J53" i="26"/>
  <c r="I55" i="26"/>
  <c r="W55" i="26" s="1"/>
  <c r="F55" i="26"/>
  <c r="T55" i="26" s="1"/>
  <c r="X53" i="26"/>
  <c r="E54" i="26"/>
  <c r="S54" i="26" s="1"/>
  <c r="Q54" i="26"/>
  <c r="H55" i="26"/>
  <c r="J40" i="26"/>
  <c r="C55" i="26"/>
  <c r="AC63" i="25"/>
  <c r="AC62" i="25"/>
  <c r="AJ38" i="25"/>
  <c r="AE64" i="25"/>
  <c r="U57" i="25"/>
  <c r="K63" i="25"/>
  <c r="C68" i="25"/>
  <c r="G68" i="25"/>
  <c r="X57" i="25"/>
  <c r="AN57" i="25"/>
  <c r="AN58" i="25" s="1"/>
  <c r="AN55" i="25"/>
  <c r="AH57" i="25"/>
  <c r="AH55" i="25"/>
  <c r="X55" i="25"/>
  <c r="X62" i="25" s="1"/>
  <c r="X65" i="25" s="1"/>
  <c r="Z57" i="25"/>
  <c r="Z58" i="25" s="1"/>
  <c r="Z55" i="25"/>
  <c r="X64" i="25" s="1"/>
  <c r="X67" i="25" s="1"/>
  <c r="AE55" i="25"/>
  <c r="AE57" i="25"/>
  <c r="AP43" i="25"/>
  <c r="AB57" i="25"/>
  <c r="AB55" i="25"/>
  <c r="U34" i="25"/>
  <c r="U58" i="25" s="1"/>
  <c r="C58" i="25"/>
  <c r="C36" i="25"/>
  <c r="D36" i="25" s="1"/>
  <c r="AP51" i="25"/>
  <c r="AP53" i="25"/>
  <c r="G64" i="23"/>
  <c r="R74" i="23"/>
  <c r="R72" i="23"/>
  <c r="R73" i="23"/>
  <c r="R71" i="23"/>
  <c r="N53" i="26" s="1"/>
  <c r="L81" i="23"/>
  <c r="L83" i="23" s="1"/>
  <c r="R80" i="23"/>
  <c r="R76" i="23"/>
  <c r="R79" i="23"/>
  <c r="R77" i="23"/>
  <c r="R78" i="23"/>
  <c r="P81" i="23"/>
  <c r="P83" i="23" s="1"/>
  <c r="O81" i="23"/>
  <c r="O83" i="23" s="1"/>
  <c r="M81" i="23"/>
  <c r="M83" i="23" s="1"/>
  <c r="N81" i="23"/>
  <c r="N83" i="23" s="1"/>
  <c r="H58" i="23"/>
  <c r="I58" i="23" s="1"/>
  <c r="Q81" i="23"/>
  <c r="Q83" i="23" s="1"/>
  <c r="I75" i="23"/>
  <c r="I79" i="23"/>
  <c r="H62" i="23"/>
  <c r="I62" i="23" s="1"/>
  <c r="I73" i="23"/>
  <c r="H56" i="23"/>
  <c r="I56" i="23" s="1"/>
  <c r="I78" i="23"/>
  <c r="H61" i="23"/>
  <c r="I72" i="23"/>
  <c r="H55" i="23"/>
  <c r="I74" i="23"/>
  <c r="H57" i="23"/>
  <c r="I57" i="23" s="1"/>
  <c r="I77" i="23"/>
  <c r="H60" i="23"/>
  <c r="I60" i="23" s="1"/>
  <c r="I71" i="23"/>
  <c r="H54" i="23"/>
  <c r="I76" i="23"/>
  <c r="H59" i="23"/>
  <c r="H48" i="23"/>
  <c r="P47" i="23" s="1"/>
  <c r="H81" i="23"/>
  <c r="H83" i="23" s="1"/>
  <c r="I83" i="23" s="1"/>
  <c r="I17" i="23"/>
  <c r="Q12" i="23"/>
  <c r="C32" i="23"/>
  <c r="I32" i="23" s="1"/>
  <c r="J5" i="20"/>
  <c r="J36" i="26" l="1"/>
  <c r="AP55" i="25"/>
  <c r="AK126" i="14"/>
  <c r="AK127" i="14" s="1"/>
  <c r="AM125" i="14"/>
  <c r="AK129" i="14"/>
  <c r="AK130" i="14" s="1"/>
  <c r="AM128" i="14"/>
  <c r="CQ137" i="14"/>
  <c r="CS137" i="14" s="1"/>
  <c r="CU137" i="14" s="1"/>
  <c r="CW137" i="14" s="1"/>
  <c r="CY137" i="14" s="1"/>
  <c r="AK137" i="14"/>
  <c r="AM137" i="14" s="1"/>
  <c r="AO137" i="14" s="1"/>
  <c r="AQ137" i="14" s="1"/>
  <c r="AS137" i="14" s="1"/>
  <c r="AU137" i="14" s="1"/>
  <c r="AW137" i="14" s="1"/>
  <c r="AY137" i="14" s="1"/>
  <c r="BA137" i="14" s="1"/>
  <c r="BC137" i="14" s="1"/>
  <c r="X44" i="14"/>
  <c r="X43" i="14" s="1"/>
  <c r="X49" i="3"/>
  <c r="X41" i="3"/>
  <c r="Y84" i="14"/>
  <c r="Y86" i="14"/>
  <c r="CS86" i="14"/>
  <c r="CS84" i="14"/>
  <c r="CS45" i="14"/>
  <c r="CS44" i="14" s="1"/>
  <c r="CS43" i="14" s="1"/>
  <c r="CR45" i="14"/>
  <c r="CX49" i="14"/>
  <c r="CX48" i="14" s="1"/>
  <c r="CY45" i="14"/>
  <c r="CY48" i="14"/>
  <c r="CX45" i="14"/>
  <c r="CX41" i="14"/>
  <c r="CY41" i="14"/>
  <c r="AF32" i="14"/>
  <c r="AD31" i="14"/>
  <c r="AD42" i="14"/>
  <c r="AD41" i="14" s="1"/>
  <c r="AD44" i="14" s="1"/>
  <c r="AD43" i="14" s="1"/>
  <c r="AI126" i="14"/>
  <c r="AI127" i="14" s="1"/>
  <c r="CQ125" i="14"/>
  <c r="AI129" i="14"/>
  <c r="AI130" i="14" s="1"/>
  <c r="CQ128" i="14"/>
  <c r="CS48" i="14"/>
  <c r="CR49" i="14"/>
  <c r="CR48" i="14" s="1"/>
  <c r="AI133" i="14"/>
  <c r="AI142" i="14" s="1"/>
  <c r="AI144" i="14"/>
  <c r="AE99" i="14"/>
  <c r="AE124" i="14" s="1"/>
  <c r="AE144" i="14"/>
  <c r="AG98" i="14"/>
  <c r="AG133" i="14"/>
  <c r="AE142" i="14"/>
  <c r="D93" i="26"/>
  <c r="D94" i="26" s="1"/>
  <c r="BV19" i="27"/>
  <c r="AH62" i="25"/>
  <c r="X58" i="25"/>
  <c r="M56" i="20"/>
  <c r="M56" i="26"/>
  <c r="M61" i="20"/>
  <c r="M61" i="26"/>
  <c r="N60" i="20"/>
  <c r="N60" i="26"/>
  <c r="N54" i="20"/>
  <c r="N54" i="26"/>
  <c r="AX19" i="27"/>
  <c r="Q51" i="26"/>
  <c r="X51" i="26" s="1"/>
  <c r="Z51" i="26" s="1"/>
  <c r="AA51" i="26" s="1"/>
  <c r="J51" i="26"/>
  <c r="AD49" i="26" s="1"/>
  <c r="AD50" i="26" s="1"/>
  <c r="CT19" i="27"/>
  <c r="AH19" i="27"/>
  <c r="CU19" i="27"/>
  <c r="K68" i="25"/>
  <c r="K66" i="25"/>
  <c r="CL19" i="27"/>
  <c r="AP19" i="27"/>
  <c r="M55" i="20"/>
  <c r="M55" i="26"/>
  <c r="M57" i="20"/>
  <c r="M57" i="26"/>
  <c r="N59" i="20"/>
  <c r="N59" i="26"/>
  <c r="N56" i="20"/>
  <c r="N56" i="26"/>
  <c r="M58" i="20"/>
  <c r="M58" i="26"/>
  <c r="M54" i="20"/>
  <c r="M54" i="26"/>
  <c r="N61" i="20"/>
  <c r="N61" i="26"/>
  <c r="N58" i="20"/>
  <c r="N58" i="26"/>
  <c r="AB58" i="25"/>
  <c r="CD19" i="27"/>
  <c r="CV19" i="27"/>
  <c r="M53" i="20"/>
  <c r="M53" i="26"/>
  <c r="M60" i="20"/>
  <c r="M60" i="26"/>
  <c r="N62" i="20"/>
  <c r="N62" i="26"/>
  <c r="J93" i="26"/>
  <c r="Q52" i="26"/>
  <c r="X52" i="26" s="1"/>
  <c r="Z52" i="26" s="1"/>
  <c r="AA52" i="26" s="1"/>
  <c r="J52" i="26"/>
  <c r="BF19" i="27"/>
  <c r="CW19" i="27"/>
  <c r="M59" i="20"/>
  <c r="M59" i="26"/>
  <c r="N55" i="20"/>
  <c r="N55" i="26"/>
  <c r="Z53" i="26"/>
  <c r="AA53" i="26" s="1"/>
  <c r="J94" i="26"/>
  <c r="CZ19" i="27"/>
  <c r="BN19" i="27"/>
  <c r="U93" i="14"/>
  <c r="U90" i="14"/>
  <c r="W89" i="14"/>
  <c r="W87" i="14"/>
  <c r="DC39" i="27"/>
  <c r="DB39" i="27"/>
  <c r="AH58" i="25"/>
  <c r="AE58" i="25"/>
  <c r="AJ62" i="25"/>
  <c r="AH65" i="25"/>
  <c r="AE62" i="25"/>
  <c r="AC65" i="25"/>
  <c r="AE63" i="25"/>
  <c r="AC66" i="25"/>
  <c r="Q55" i="26"/>
  <c r="H56" i="26"/>
  <c r="V56" i="26" s="1"/>
  <c r="H96" i="26"/>
  <c r="H97" i="26" s="1"/>
  <c r="G56" i="26"/>
  <c r="U56" i="26" s="1"/>
  <c r="V55" i="26"/>
  <c r="D55" i="26"/>
  <c r="U55" i="26"/>
  <c r="C56" i="26"/>
  <c r="I56" i="26"/>
  <c r="W56" i="26" s="1"/>
  <c r="I96" i="26"/>
  <c r="I97" i="26" s="1"/>
  <c r="G96" i="26"/>
  <c r="G97" i="26" s="1"/>
  <c r="J54" i="26"/>
  <c r="F56" i="26"/>
  <c r="T56" i="26" s="1"/>
  <c r="F96" i="26"/>
  <c r="F97" i="26" s="1"/>
  <c r="E55" i="26"/>
  <c r="X54" i="26"/>
  <c r="C96" i="26"/>
  <c r="X63" i="25"/>
  <c r="AC68" i="25"/>
  <c r="AE68" i="25" s="1"/>
  <c r="AH63" i="25"/>
  <c r="AH66" i="25" s="1"/>
  <c r="Z64" i="25"/>
  <c r="Y64" i="25"/>
  <c r="AH64" i="25"/>
  <c r="AH67" i="25" s="1"/>
  <c r="Y62" i="25"/>
  <c r="Z62" i="25"/>
  <c r="U59" i="25"/>
  <c r="H59" i="25"/>
  <c r="M59" i="25"/>
  <c r="G59" i="25"/>
  <c r="F59" i="25"/>
  <c r="D59" i="25"/>
  <c r="T59" i="25"/>
  <c r="I59" i="25"/>
  <c r="K59" i="25"/>
  <c r="J59" i="25"/>
  <c r="P59" i="25"/>
  <c r="O59" i="25"/>
  <c r="N59" i="25"/>
  <c r="R59" i="25"/>
  <c r="L59" i="25"/>
  <c r="S59" i="25"/>
  <c r="Q59" i="25"/>
  <c r="E59" i="25"/>
  <c r="Z65" i="23"/>
  <c r="Z66" i="23" s="1"/>
  <c r="Z67" i="23" s="1"/>
  <c r="N53" i="20"/>
  <c r="C84" i="23"/>
  <c r="D84" i="23"/>
  <c r="E84" i="23"/>
  <c r="F84" i="23"/>
  <c r="G84" i="23"/>
  <c r="H84" i="23"/>
  <c r="Z71" i="23"/>
  <c r="Z72" i="23" s="1"/>
  <c r="Z84" i="23"/>
  <c r="R83" i="23"/>
  <c r="R75" i="23"/>
  <c r="N57" i="26" s="1"/>
  <c r="I81" i="23"/>
  <c r="I86" i="23" s="1"/>
  <c r="U84" i="23"/>
  <c r="H64" i="23"/>
  <c r="I64" i="23" s="1"/>
  <c r="U77" i="23"/>
  <c r="U71" i="23"/>
  <c r="V71" i="23" s="1"/>
  <c r="I54" i="23"/>
  <c r="I55" i="23"/>
  <c r="I61" i="23"/>
  <c r="I59" i="23"/>
  <c r="AM126" i="14" l="1"/>
  <c r="AM127" i="14" s="1"/>
  <c r="AO125" i="14"/>
  <c r="AO128" i="14"/>
  <c r="AM129" i="14"/>
  <c r="AM130" i="14" s="1"/>
  <c r="DC137" i="14"/>
  <c r="DA137" i="14"/>
  <c r="DG137" i="14" s="1"/>
  <c r="DE137" i="14"/>
  <c r="CX44" i="14"/>
  <c r="CX43" i="14" s="1"/>
  <c r="AH32" i="14"/>
  <c r="AJ32" i="14" s="1"/>
  <c r="AL32" i="14" s="1"/>
  <c r="AF42" i="14"/>
  <c r="AF41" i="14" s="1"/>
  <c r="AF44" i="14" s="1"/>
  <c r="AF43" i="14" s="1"/>
  <c r="AF31" i="14"/>
  <c r="CY44" i="14"/>
  <c r="CY43" i="14" s="1"/>
  <c r="CS89" i="14"/>
  <c r="CS87" i="14"/>
  <c r="Y87" i="14"/>
  <c r="Y89" i="14"/>
  <c r="W49" i="3"/>
  <c r="X45" i="3"/>
  <c r="X44" i="3" s="1"/>
  <c r="W45" i="3"/>
  <c r="CS128" i="14"/>
  <c r="CQ129" i="14"/>
  <c r="CQ130" i="14" s="1"/>
  <c r="CS125" i="14"/>
  <c r="CQ126" i="14"/>
  <c r="CQ127" i="14" s="1"/>
  <c r="AG142" i="14"/>
  <c r="AG99" i="14"/>
  <c r="AG124" i="14" s="1"/>
  <c r="AG144" i="14"/>
  <c r="AH49" i="26"/>
  <c r="N63" i="26"/>
  <c r="AG38" i="25"/>
  <c r="AA38" i="25"/>
  <c r="AD38" i="25"/>
  <c r="W93" i="14"/>
  <c r="W90" i="14"/>
  <c r="U98" i="14"/>
  <c r="U94" i="14"/>
  <c r="X68" i="25"/>
  <c r="Z68" i="25" s="1"/>
  <c r="X66" i="25"/>
  <c r="J55" i="26"/>
  <c r="C57" i="26"/>
  <c r="Z54" i="26"/>
  <c r="AA54" i="26" s="1"/>
  <c r="I57" i="26"/>
  <c r="W57" i="26" s="1"/>
  <c r="G57" i="26"/>
  <c r="F57" i="26"/>
  <c r="D56" i="26"/>
  <c r="R56" i="26" s="1"/>
  <c r="D96" i="26"/>
  <c r="D97" i="26" s="1"/>
  <c r="E96" i="26"/>
  <c r="E97" i="26" s="1"/>
  <c r="AD52" i="26"/>
  <c r="AD53" i="26"/>
  <c r="AD51" i="26"/>
  <c r="Q56" i="26"/>
  <c r="R55" i="26"/>
  <c r="S55" i="26"/>
  <c r="C97" i="26"/>
  <c r="E56" i="26"/>
  <c r="S56" i="26" s="1"/>
  <c r="AH50" i="26"/>
  <c r="J41" i="26"/>
  <c r="H57" i="26"/>
  <c r="Z63" i="25"/>
  <c r="Y63" i="25"/>
  <c r="Y68" i="25" s="1"/>
  <c r="AH68" i="25"/>
  <c r="AJ68" i="25" s="1"/>
  <c r="AJ63" i="25"/>
  <c r="AJ64" i="25"/>
  <c r="AP54" i="25"/>
  <c r="AP56" i="25" s="1"/>
  <c r="Z68" i="23"/>
  <c r="Y63" i="23"/>
  <c r="Z69" i="23"/>
  <c r="Z77" i="23"/>
  <c r="Z78" i="23" s="1"/>
  <c r="N57" i="20"/>
  <c r="L84" i="23"/>
  <c r="O84" i="23"/>
  <c r="N84" i="23"/>
  <c r="Q84" i="23"/>
  <c r="P84" i="23"/>
  <c r="M84" i="23"/>
  <c r="Z75" i="23"/>
  <c r="Z74" i="23"/>
  <c r="Z73" i="23"/>
  <c r="Z85" i="23"/>
  <c r="Z87" i="23" s="1"/>
  <c r="V84" i="23"/>
  <c r="U85" i="23"/>
  <c r="U86" i="23" s="1"/>
  <c r="V77" i="23"/>
  <c r="U78" i="23"/>
  <c r="U79" i="23" s="1"/>
  <c r="U72" i="23"/>
  <c r="U73" i="23" s="1"/>
  <c r="R81" i="23"/>
  <c r="R86" i="23" s="1"/>
  <c r="N64" i="26" l="1"/>
  <c r="AO129" i="14"/>
  <c r="AO130" i="14" s="1"/>
  <c r="AQ128" i="14"/>
  <c r="AO126" i="14"/>
  <c r="AO127" i="14" s="1"/>
  <c r="AQ125" i="14"/>
  <c r="AN32" i="14"/>
  <c r="AP32" i="14" s="1"/>
  <c r="AL42" i="14"/>
  <c r="AL41" i="14" s="1"/>
  <c r="AL44" i="14" s="1"/>
  <c r="AL43" i="14" s="1"/>
  <c r="AL31" i="14"/>
  <c r="AJ31" i="14"/>
  <c r="AJ42" i="14"/>
  <c r="AJ41" i="14" s="1"/>
  <c r="AJ44" i="14" s="1"/>
  <c r="AJ43" i="14" s="1"/>
  <c r="Y90" i="14"/>
  <c r="Y93" i="14"/>
  <c r="CS93" i="14"/>
  <c r="CS90" i="14"/>
  <c r="X43" i="3"/>
  <c r="X47" i="3"/>
  <c r="AH42" i="14"/>
  <c r="AH41" i="14" s="1"/>
  <c r="AH44" i="14" s="1"/>
  <c r="AH43" i="14" s="1"/>
  <c r="CP32" i="14"/>
  <c r="AH31" i="14"/>
  <c r="CU128" i="14"/>
  <c r="CS129" i="14"/>
  <c r="CS130" i="14" s="1"/>
  <c r="CU125" i="14"/>
  <c r="CS126" i="14"/>
  <c r="CS127" i="14" s="1"/>
  <c r="U99" i="14"/>
  <c r="U124" i="14" s="1"/>
  <c r="U144" i="14"/>
  <c r="W94" i="14"/>
  <c r="W98" i="14"/>
  <c r="X55" i="26"/>
  <c r="Z55" i="26" s="1"/>
  <c r="AA55" i="26" s="1"/>
  <c r="J96" i="26"/>
  <c r="I58" i="26"/>
  <c r="W58" i="26" s="1"/>
  <c r="D57" i="26"/>
  <c r="E57" i="26"/>
  <c r="S57" i="26" s="1"/>
  <c r="H58" i="26"/>
  <c r="V58" i="26" s="1"/>
  <c r="T57" i="26"/>
  <c r="Q57" i="26"/>
  <c r="V57" i="26"/>
  <c r="J56" i="26"/>
  <c r="AD55" i="26" s="1"/>
  <c r="U57" i="26"/>
  <c r="I99" i="26"/>
  <c r="I100" i="26" s="1"/>
  <c r="C58" i="26"/>
  <c r="J97" i="26"/>
  <c r="X56" i="26"/>
  <c r="Z56" i="26" s="1"/>
  <c r="AA56" i="26" s="1"/>
  <c r="F58" i="26"/>
  <c r="T58" i="26" s="1"/>
  <c r="J42" i="26"/>
  <c r="AH53" i="26"/>
  <c r="AH51" i="26"/>
  <c r="AH52" i="26"/>
  <c r="G58" i="26"/>
  <c r="U58" i="26" s="1"/>
  <c r="AD63" i="25"/>
  <c r="AD64" i="25"/>
  <c r="AD62" i="25"/>
  <c r="X38" i="25"/>
  <c r="U56" i="25"/>
  <c r="N63" i="20"/>
  <c r="AA77" i="23"/>
  <c r="Z88" i="23"/>
  <c r="Z86" i="23"/>
  <c r="AA84" i="23"/>
  <c r="AA65" i="23"/>
  <c r="AA71" i="23"/>
  <c r="Z81" i="23"/>
  <c r="Z80" i="23"/>
  <c r="Z79" i="23"/>
  <c r="U88" i="23"/>
  <c r="U87" i="23"/>
  <c r="U81" i="23"/>
  <c r="U80" i="23"/>
  <c r="U75" i="23"/>
  <c r="U74" i="23"/>
  <c r="C10" i="22"/>
  <c r="CS10" i="22"/>
  <c r="CR10" i="22"/>
  <c r="CQ10" i="22"/>
  <c r="CP10" i="22"/>
  <c r="CO10" i="22"/>
  <c r="CN10" i="22"/>
  <c r="CM10" i="22"/>
  <c r="CK10" i="22"/>
  <c r="CJ10" i="22"/>
  <c r="CI10" i="22"/>
  <c r="CH10" i="22"/>
  <c r="CG10" i="22"/>
  <c r="CF10" i="22"/>
  <c r="CE10" i="22"/>
  <c r="CC10" i="22"/>
  <c r="CB10" i="22"/>
  <c r="CA10" i="22"/>
  <c r="BZ10" i="22"/>
  <c r="BY10" i="22"/>
  <c r="BX10" i="22"/>
  <c r="BW10" i="22"/>
  <c r="BU10" i="22"/>
  <c r="BT10" i="22"/>
  <c r="BS10" i="22"/>
  <c r="BR10" i="22"/>
  <c r="BQ10" i="22"/>
  <c r="BP10" i="22"/>
  <c r="BO10" i="22"/>
  <c r="BM10" i="22"/>
  <c r="BL10" i="22"/>
  <c r="BK10" i="22"/>
  <c r="BJ10" i="22"/>
  <c r="BI10" i="22"/>
  <c r="BH10" i="22"/>
  <c r="BG10" i="22"/>
  <c r="BE10" i="22"/>
  <c r="BD10" i="22"/>
  <c r="BC10" i="22"/>
  <c r="BB10" i="22"/>
  <c r="BA10" i="22"/>
  <c r="AZ10" i="22"/>
  <c r="AY10" i="22"/>
  <c r="AO10" i="22"/>
  <c r="AN10" i="22"/>
  <c r="AM10" i="22"/>
  <c r="AL10" i="22"/>
  <c r="AK10" i="22"/>
  <c r="AJ10" i="22"/>
  <c r="AI10" i="22"/>
  <c r="AG10" i="22"/>
  <c r="AF10" i="22"/>
  <c r="AE10" i="22"/>
  <c r="AD10" i="22"/>
  <c r="AC10" i="22"/>
  <c r="AB10" i="22"/>
  <c r="AA10" i="22"/>
  <c r="Y10" i="22"/>
  <c r="X10" i="22"/>
  <c r="W10" i="22"/>
  <c r="V10" i="22"/>
  <c r="U10" i="22"/>
  <c r="T10" i="22"/>
  <c r="S10" i="22"/>
  <c r="Q10" i="22"/>
  <c r="L10" i="22"/>
  <c r="M10" i="22"/>
  <c r="N10" i="22"/>
  <c r="O10" i="22"/>
  <c r="P10" i="22"/>
  <c r="K10" i="22"/>
  <c r="I10" i="22"/>
  <c r="H10" i="22"/>
  <c r="G10" i="22"/>
  <c r="F10" i="22"/>
  <c r="E10" i="22"/>
  <c r="D10" i="22"/>
  <c r="CS15" i="22"/>
  <c r="CS16" i="22" s="1"/>
  <c r="CR15" i="22"/>
  <c r="CR16" i="22" s="1"/>
  <c r="CR19" i="22" s="1"/>
  <c r="CQ15" i="22"/>
  <c r="CQ16" i="22" s="1"/>
  <c r="CP15" i="22"/>
  <c r="CP16" i="22" s="1"/>
  <c r="CP19" i="22" s="1"/>
  <c r="CO15" i="22"/>
  <c r="CO16" i="22" s="1"/>
  <c r="CO19" i="22" s="1"/>
  <c r="CN15" i="22"/>
  <c r="CN16" i="22" s="1"/>
  <c r="CN19" i="22" s="1"/>
  <c r="CM15" i="22"/>
  <c r="CK15" i="22"/>
  <c r="CK16" i="22" s="1"/>
  <c r="CK19" i="22" s="1"/>
  <c r="CJ15" i="22"/>
  <c r="CJ16" i="22" s="1"/>
  <c r="CJ19" i="22" s="1"/>
  <c r="CI15" i="22"/>
  <c r="CI16" i="22" s="1"/>
  <c r="CI19" i="22" s="1"/>
  <c r="CH15" i="22"/>
  <c r="CH16" i="22" s="1"/>
  <c r="CH19" i="22" s="1"/>
  <c r="CG15" i="22"/>
  <c r="CG16" i="22" s="1"/>
  <c r="CG19" i="22" s="1"/>
  <c r="CF15" i="22"/>
  <c r="CF16" i="22" s="1"/>
  <c r="CF19" i="22" s="1"/>
  <c r="CE15" i="22"/>
  <c r="CE16" i="22" s="1"/>
  <c r="CE19" i="22" s="1"/>
  <c r="CC15" i="22"/>
  <c r="CC16" i="22" s="1"/>
  <c r="CC19" i="22" s="1"/>
  <c r="CB15" i="22"/>
  <c r="CB16" i="22" s="1"/>
  <c r="CB19" i="22" s="1"/>
  <c r="CA15" i="22"/>
  <c r="BZ15" i="22"/>
  <c r="BZ16" i="22" s="1"/>
  <c r="BZ19" i="22" s="1"/>
  <c r="BY15" i="22"/>
  <c r="BY16" i="22" s="1"/>
  <c r="BY19" i="22" s="1"/>
  <c r="BX15" i="22"/>
  <c r="BX16" i="22" s="1"/>
  <c r="BX19" i="22" s="1"/>
  <c r="BW15" i="22"/>
  <c r="BW16" i="22" s="1"/>
  <c r="BW19" i="22" s="1"/>
  <c r="BU15" i="22"/>
  <c r="BU16" i="22" s="1"/>
  <c r="BU19" i="22" s="1"/>
  <c r="BT15" i="22"/>
  <c r="BT16" i="22" s="1"/>
  <c r="BT19" i="22" s="1"/>
  <c r="BS15" i="22"/>
  <c r="BS16" i="22" s="1"/>
  <c r="BS19" i="22" s="1"/>
  <c r="BR15" i="22"/>
  <c r="BR16" i="22" s="1"/>
  <c r="BR19" i="22" s="1"/>
  <c r="BQ15" i="22"/>
  <c r="BQ16" i="22" s="1"/>
  <c r="BP15" i="22"/>
  <c r="BP16" i="22" s="1"/>
  <c r="BP19" i="22" s="1"/>
  <c r="BO15" i="22"/>
  <c r="BO16" i="22" s="1"/>
  <c r="BO19" i="22" s="1"/>
  <c r="BM15" i="22"/>
  <c r="BM16" i="22" s="1"/>
  <c r="BM19" i="22" s="1"/>
  <c r="BL15" i="22"/>
  <c r="BL16" i="22" s="1"/>
  <c r="BL19" i="22" s="1"/>
  <c r="BK15" i="22"/>
  <c r="BK16" i="22" s="1"/>
  <c r="BK19" i="22" s="1"/>
  <c r="BJ15" i="22"/>
  <c r="BJ16" i="22" s="1"/>
  <c r="BJ19" i="22" s="1"/>
  <c r="BI15" i="22"/>
  <c r="BI16" i="22" s="1"/>
  <c r="BI19" i="22" s="1"/>
  <c r="BH15" i="22"/>
  <c r="BH16" i="22" s="1"/>
  <c r="BH19" i="22" s="1"/>
  <c r="BG15" i="22"/>
  <c r="BG16" i="22" s="1"/>
  <c r="BG19" i="22" s="1"/>
  <c r="BE15" i="22"/>
  <c r="BE16" i="22" s="1"/>
  <c r="BE19" i="22" s="1"/>
  <c r="BD15" i="22"/>
  <c r="BD16" i="22" s="1"/>
  <c r="BD19" i="22" s="1"/>
  <c r="BC15" i="22"/>
  <c r="BC16" i="22" s="1"/>
  <c r="BC19" i="22" s="1"/>
  <c r="BB15" i="22"/>
  <c r="BB16" i="22" s="1"/>
  <c r="BB19" i="22" s="1"/>
  <c r="BA15" i="22"/>
  <c r="BA16" i="22" s="1"/>
  <c r="BA19" i="22" s="1"/>
  <c r="AZ15" i="22"/>
  <c r="AZ16" i="22" s="1"/>
  <c r="AZ19" i="22" s="1"/>
  <c r="AY15" i="22"/>
  <c r="AY16" i="22" s="1"/>
  <c r="AY19" i="22" s="1"/>
  <c r="AW15" i="22"/>
  <c r="AW16" i="22" s="1"/>
  <c r="AW19" i="22" s="1"/>
  <c r="AV15" i="22"/>
  <c r="AV16" i="22" s="1"/>
  <c r="AV19" i="22" s="1"/>
  <c r="AU15" i="22"/>
  <c r="AU16" i="22" s="1"/>
  <c r="AU19" i="22" s="1"/>
  <c r="AT15" i="22"/>
  <c r="AT16" i="22" s="1"/>
  <c r="AT19" i="22" s="1"/>
  <c r="AS15" i="22"/>
  <c r="AS16" i="22" s="1"/>
  <c r="AS19" i="22" s="1"/>
  <c r="AR15" i="22"/>
  <c r="AR16" i="22" s="1"/>
  <c r="AR19" i="22" s="1"/>
  <c r="AQ15" i="22"/>
  <c r="AO15" i="22"/>
  <c r="AO16" i="22" s="1"/>
  <c r="AO19" i="22" s="1"/>
  <c r="AN15" i="22"/>
  <c r="AN16" i="22" s="1"/>
  <c r="AN19" i="22" s="1"/>
  <c r="AM15" i="22"/>
  <c r="AL15" i="22"/>
  <c r="AL16" i="22" s="1"/>
  <c r="AL19" i="22" s="1"/>
  <c r="AK15" i="22"/>
  <c r="AK16" i="22" s="1"/>
  <c r="AK19" i="22" s="1"/>
  <c r="AJ15" i="22"/>
  <c r="AJ16" i="22" s="1"/>
  <c r="AI15" i="22"/>
  <c r="AI16" i="22" s="1"/>
  <c r="AI19" i="22" s="1"/>
  <c r="AG15" i="22"/>
  <c r="AG16" i="22" s="1"/>
  <c r="AG19" i="22" s="1"/>
  <c r="AF15" i="22"/>
  <c r="AF16" i="22" s="1"/>
  <c r="AF19" i="22" s="1"/>
  <c r="AE15" i="22"/>
  <c r="AE16" i="22" s="1"/>
  <c r="AE19" i="22" s="1"/>
  <c r="AD15" i="22"/>
  <c r="AD16" i="22" s="1"/>
  <c r="AD19" i="22" s="1"/>
  <c r="AC15" i="22"/>
  <c r="AC16" i="22" s="1"/>
  <c r="AC19" i="22" s="1"/>
  <c r="AB15" i="22"/>
  <c r="AB16" i="22" s="1"/>
  <c r="AB19" i="22" s="1"/>
  <c r="AA15" i="22"/>
  <c r="AA16" i="22" s="1"/>
  <c r="AA19" i="22" s="1"/>
  <c r="Y15" i="22"/>
  <c r="Y16" i="22" s="1"/>
  <c r="X15" i="22"/>
  <c r="X16" i="22" s="1"/>
  <c r="W15" i="22"/>
  <c r="W16" i="22" s="1"/>
  <c r="W19" i="22" s="1"/>
  <c r="V15" i="22"/>
  <c r="V16" i="22" s="1"/>
  <c r="U15" i="22"/>
  <c r="U16" i="22" s="1"/>
  <c r="U19" i="22" s="1"/>
  <c r="T15" i="22"/>
  <c r="S15" i="22"/>
  <c r="S16" i="22" s="1"/>
  <c r="S19" i="22" s="1"/>
  <c r="Q15" i="22"/>
  <c r="Q16" i="22" s="1"/>
  <c r="P15" i="22"/>
  <c r="P16" i="22" s="1"/>
  <c r="O15" i="22"/>
  <c r="O16" i="22" s="1"/>
  <c r="N15" i="22"/>
  <c r="N16" i="22" s="1"/>
  <c r="M15" i="22"/>
  <c r="M16" i="22" s="1"/>
  <c r="L15" i="22"/>
  <c r="L16" i="22" s="1"/>
  <c r="K15" i="22"/>
  <c r="I15" i="22"/>
  <c r="I16" i="22" s="1"/>
  <c r="H15" i="22"/>
  <c r="H16" i="22" s="1"/>
  <c r="G15" i="22"/>
  <c r="F15" i="22"/>
  <c r="F16" i="22" s="1"/>
  <c r="E15" i="22"/>
  <c r="E16" i="22" s="1"/>
  <c r="D15" i="22"/>
  <c r="D16" i="22" s="1"/>
  <c r="C15" i="22"/>
  <c r="C16" i="22" s="1"/>
  <c r="I118" i="21"/>
  <c r="S118" i="21" s="1"/>
  <c r="H118" i="21"/>
  <c r="R118" i="21" s="1"/>
  <c r="G118" i="21"/>
  <c r="Q118" i="21" s="1"/>
  <c r="F118" i="21"/>
  <c r="P118" i="21" s="1"/>
  <c r="E118" i="21"/>
  <c r="O118" i="21" s="1"/>
  <c r="D118" i="21"/>
  <c r="N118" i="21" s="1"/>
  <c r="C118" i="21"/>
  <c r="M118" i="21" s="1"/>
  <c r="S35" i="21"/>
  <c r="S36" i="21" s="1"/>
  <c r="R35" i="21"/>
  <c r="R36" i="21" s="1"/>
  <c r="Q35" i="21"/>
  <c r="Q36" i="21" s="1"/>
  <c r="P35" i="21"/>
  <c r="P36" i="21" s="1"/>
  <c r="O35" i="21"/>
  <c r="O36" i="21" s="1"/>
  <c r="N35" i="21"/>
  <c r="N36" i="21" s="1"/>
  <c r="M35" i="21"/>
  <c r="M36" i="21" s="1"/>
  <c r="I35" i="21"/>
  <c r="I36" i="21" s="1"/>
  <c r="S49" i="21" s="1"/>
  <c r="H35" i="21"/>
  <c r="H36" i="21" s="1"/>
  <c r="G35" i="21"/>
  <c r="F35" i="21"/>
  <c r="F36" i="21" s="1"/>
  <c r="P49" i="21" s="1"/>
  <c r="E35" i="21"/>
  <c r="E36" i="21" s="1"/>
  <c r="D35" i="21"/>
  <c r="D36" i="21" s="1"/>
  <c r="C35" i="21"/>
  <c r="C36" i="21" s="1"/>
  <c r="I62" i="20"/>
  <c r="W62" i="20" s="1"/>
  <c r="H62" i="20"/>
  <c r="V62" i="20" s="1"/>
  <c r="G62" i="20"/>
  <c r="U62" i="20" s="1"/>
  <c r="F62" i="20"/>
  <c r="T62" i="20" s="1"/>
  <c r="D62" i="20"/>
  <c r="R62" i="20" s="1"/>
  <c r="I61" i="20"/>
  <c r="W61" i="20" s="1"/>
  <c r="H61" i="20"/>
  <c r="V61" i="20" s="1"/>
  <c r="G61" i="20"/>
  <c r="U61" i="20" s="1"/>
  <c r="F61" i="20"/>
  <c r="T61" i="20" s="1"/>
  <c r="E61" i="20"/>
  <c r="S61" i="20" s="1"/>
  <c r="C61" i="20"/>
  <c r="Q61" i="20" s="1"/>
  <c r="I60" i="20"/>
  <c r="W60" i="20" s="1"/>
  <c r="H60" i="20"/>
  <c r="V60" i="20" s="1"/>
  <c r="G60" i="20"/>
  <c r="U60" i="20" s="1"/>
  <c r="F60" i="20"/>
  <c r="T60" i="20" s="1"/>
  <c r="D60" i="20"/>
  <c r="R60" i="20" s="1"/>
  <c r="I59" i="20"/>
  <c r="W59" i="20" s="1"/>
  <c r="H59" i="20"/>
  <c r="V59" i="20" s="1"/>
  <c r="G59" i="20"/>
  <c r="U59" i="20" s="1"/>
  <c r="F59" i="20"/>
  <c r="T59" i="20" s="1"/>
  <c r="I58" i="20"/>
  <c r="W58" i="20" s="1"/>
  <c r="H58" i="20"/>
  <c r="V58" i="20" s="1"/>
  <c r="G58" i="20"/>
  <c r="U58" i="20" s="1"/>
  <c r="F58" i="20"/>
  <c r="T58" i="20" s="1"/>
  <c r="E58" i="20"/>
  <c r="S58" i="20" s="1"/>
  <c r="I57" i="20"/>
  <c r="W57" i="20" s="1"/>
  <c r="H57" i="20"/>
  <c r="V57" i="20" s="1"/>
  <c r="G57" i="20"/>
  <c r="U57" i="20" s="1"/>
  <c r="F57" i="20"/>
  <c r="T57" i="20" s="1"/>
  <c r="I56" i="20"/>
  <c r="W56" i="20" s="1"/>
  <c r="H56" i="20"/>
  <c r="V56" i="20" s="1"/>
  <c r="G56" i="20"/>
  <c r="U56" i="20" s="1"/>
  <c r="F56" i="20"/>
  <c r="T56" i="20" s="1"/>
  <c r="I55" i="20"/>
  <c r="W55" i="20" s="1"/>
  <c r="H55" i="20"/>
  <c r="V55" i="20" s="1"/>
  <c r="G55" i="20"/>
  <c r="U55" i="20" s="1"/>
  <c r="F55" i="20"/>
  <c r="T55" i="20" s="1"/>
  <c r="X55" i="20" s="1"/>
  <c r="Z55" i="20" s="1"/>
  <c r="AA55" i="20" s="1"/>
  <c r="I54" i="20"/>
  <c r="W54" i="20" s="1"/>
  <c r="H54" i="20"/>
  <c r="V54" i="20" s="1"/>
  <c r="G54" i="20"/>
  <c r="U54" i="20" s="1"/>
  <c r="F54" i="20"/>
  <c r="T54" i="20" s="1"/>
  <c r="I53" i="20"/>
  <c r="W53" i="20" s="1"/>
  <c r="H53" i="20"/>
  <c r="V53" i="20" s="1"/>
  <c r="G53" i="20"/>
  <c r="U53" i="20" s="1"/>
  <c r="F53" i="20"/>
  <c r="T53" i="20" s="1"/>
  <c r="E53" i="20"/>
  <c r="S53" i="20" s="1"/>
  <c r="D53" i="20"/>
  <c r="R53" i="20" s="1"/>
  <c r="I52" i="20"/>
  <c r="W52" i="20" s="1"/>
  <c r="H52" i="20"/>
  <c r="V52" i="20" s="1"/>
  <c r="G52" i="20"/>
  <c r="U52" i="20" s="1"/>
  <c r="F52" i="20"/>
  <c r="T52" i="20" s="1"/>
  <c r="E52" i="20"/>
  <c r="S52" i="20" s="1"/>
  <c r="D52" i="20"/>
  <c r="R52" i="20" s="1"/>
  <c r="C52" i="20"/>
  <c r="Q52" i="20" s="1"/>
  <c r="I51" i="20"/>
  <c r="W51" i="20" s="1"/>
  <c r="H51" i="20"/>
  <c r="V51" i="20" s="1"/>
  <c r="G51" i="20"/>
  <c r="U51" i="20" s="1"/>
  <c r="F51" i="20"/>
  <c r="T51" i="20" s="1"/>
  <c r="E51" i="20"/>
  <c r="S51" i="20" s="1"/>
  <c r="D51" i="20"/>
  <c r="R51" i="20" s="1"/>
  <c r="C51" i="20"/>
  <c r="Q51" i="20" s="1"/>
  <c r="I48" i="20"/>
  <c r="I90" i="20" s="1"/>
  <c r="H48" i="20"/>
  <c r="H90" i="20" s="1"/>
  <c r="H91" i="20" s="1"/>
  <c r="G48" i="20"/>
  <c r="G90" i="20" s="1"/>
  <c r="G91" i="20" s="1"/>
  <c r="F48" i="20"/>
  <c r="F90" i="20" s="1"/>
  <c r="E48" i="20"/>
  <c r="E90" i="20" s="1"/>
  <c r="E91" i="20" s="1"/>
  <c r="D48" i="20"/>
  <c r="C48" i="20"/>
  <c r="C90" i="20" s="1"/>
  <c r="J47" i="20"/>
  <c r="J46" i="20"/>
  <c r="J45" i="20"/>
  <c r="J44" i="20"/>
  <c r="J43" i="20"/>
  <c r="J42" i="20"/>
  <c r="J41" i="20"/>
  <c r="J40" i="20"/>
  <c r="J39" i="20"/>
  <c r="J38" i="20"/>
  <c r="J37" i="20"/>
  <c r="I31" i="20"/>
  <c r="H31" i="20"/>
  <c r="G31" i="20"/>
  <c r="F31" i="20"/>
  <c r="E31" i="20"/>
  <c r="D31" i="20"/>
  <c r="C31" i="20"/>
  <c r="I30" i="20"/>
  <c r="H30" i="20"/>
  <c r="G30" i="20"/>
  <c r="F30" i="20"/>
  <c r="E30" i="20"/>
  <c r="D30" i="20"/>
  <c r="C30" i="20"/>
  <c r="I29" i="20"/>
  <c r="H29" i="20"/>
  <c r="G29" i="20"/>
  <c r="F29" i="20"/>
  <c r="E29" i="20"/>
  <c r="D29" i="20"/>
  <c r="C29" i="20"/>
  <c r="I28" i="20"/>
  <c r="H28" i="20"/>
  <c r="G28" i="20"/>
  <c r="F28" i="20"/>
  <c r="E28" i="20"/>
  <c r="D28" i="20"/>
  <c r="C28" i="20"/>
  <c r="I27" i="20"/>
  <c r="H27" i="20"/>
  <c r="G27" i="20"/>
  <c r="F27" i="20"/>
  <c r="E27" i="20"/>
  <c r="D27" i="20"/>
  <c r="C27" i="20"/>
  <c r="I26" i="20"/>
  <c r="H26" i="20"/>
  <c r="G26" i="20"/>
  <c r="F26" i="20"/>
  <c r="E26" i="20"/>
  <c r="D26" i="20"/>
  <c r="C26" i="20"/>
  <c r="I25" i="20"/>
  <c r="H25" i="20"/>
  <c r="G25" i="20"/>
  <c r="F25" i="20"/>
  <c r="E25" i="20"/>
  <c r="D25" i="20"/>
  <c r="C25" i="20"/>
  <c r="I24" i="20"/>
  <c r="H24" i="20"/>
  <c r="G24" i="20"/>
  <c r="F24" i="20"/>
  <c r="E24" i="20"/>
  <c r="D24" i="20"/>
  <c r="C24" i="20"/>
  <c r="I23" i="20"/>
  <c r="H23" i="20"/>
  <c r="G23" i="20"/>
  <c r="F23" i="20"/>
  <c r="E23" i="20"/>
  <c r="D23" i="20"/>
  <c r="C23" i="20"/>
  <c r="I22" i="20"/>
  <c r="H22" i="20"/>
  <c r="G22" i="20"/>
  <c r="F22" i="20"/>
  <c r="E22" i="20"/>
  <c r="D22" i="20"/>
  <c r="C22" i="20"/>
  <c r="I21" i="20"/>
  <c r="H21" i="20"/>
  <c r="G21" i="20"/>
  <c r="F21" i="20"/>
  <c r="E21" i="20"/>
  <c r="D21" i="20"/>
  <c r="C21" i="20"/>
  <c r="I20" i="20"/>
  <c r="H20" i="20"/>
  <c r="G20" i="20"/>
  <c r="F20" i="20"/>
  <c r="E20" i="20"/>
  <c r="D20" i="20"/>
  <c r="C20" i="20"/>
  <c r="I17" i="20"/>
  <c r="H17" i="20"/>
  <c r="G17" i="20"/>
  <c r="F17" i="20"/>
  <c r="E17" i="20"/>
  <c r="D17" i="20"/>
  <c r="C17" i="20"/>
  <c r="J16" i="20"/>
  <c r="J15" i="20"/>
  <c r="J14" i="20"/>
  <c r="J13" i="20"/>
  <c r="J12" i="20"/>
  <c r="J11" i="20"/>
  <c r="J10" i="20"/>
  <c r="J9" i="20"/>
  <c r="J8" i="20"/>
  <c r="J7" i="20"/>
  <c r="J6" i="20"/>
  <c r="I107" i="20"/>
  <c r="H107" i="20"/>
  <c r="G107" i="20"/>
  <c r="F107" i="20"/>
  <c r="E107" i="20"/>
  <c r="D107" i="20"/>
  <c r="C107" i="20"/>
  <c r="J106" i="20"/>
  <c r="J118" i="21" s="1"/>
  <c r="T118" i="21" s="1"/>
  <c r="I102" i="20"/>
  <c r="I103" i="20" s="1"/>
  <c r="H102" i="20"/>
  <c r="H103" i="20" s="1"/>
  <c r="G102" i="20"/>
  <c r="G103" i="20" s="1"/>
  <c r="F102" i="20"/>
  <c r="F103" i="20" s="1"/>
  <c r="E102" i="20"/>
  <c r="E103" i="20" s="1"/>
  <c r="D102" i="20"/>
  <c r="D103" i="20" s="1"/>
  <c r="C102" i="20"/>
  <c r="C103" i="20" s="1"/>
  <c r="I99" i="20"/>
  <c r="I100" i="20" s="1"/>
  <c r="H99" i="20"/>
  <c r="H100" i="20" s="1"/>
  <c r="G99" i="20"/>
  <c r="G100" i="20" s="1"/>
  <c r="F99" i="20"/>
  <c r="F100" i="20" s="1"/>
  <c r="E99" i="20"/>
  <c r="E100" i="20" s="1"/>
  <c r="D99" i="20"/>
  <c r="C99" i="20"/>
  <c r="C100" i="20" s="1"/>
  <c r="I96" i="20"/>
  <c r="I97" i="20" s="1"/>
  <c r="H96" i="20"/>
  <c r="H97" i="20" s="1"/>
  <c r="G96" i="20"/>
  <c r="G97" i="20" s="1"/>
  <c r="F96" i="20"/>
  <c r="F97" i="20" s="1"/>
  <c r="E96" i="20"/>
  <c r="E97" i="20" s="1"/>
  <c r="D96" i="20"/>
  <c r="D97" i="20" s="1"/>
  <c r="C96" i="20"/>
  <c r="C97" i="20" s="1"/>
  <c r="I93" i="20"/>
  <c r="I94" i="20" s="1"/>
  <c r="H93" i="20"/>
  <c r="H94" i="20" s="1"/>
  <c r="G93" i="20"/>
  <c r="G94" i="20" s="1"/>
  <c r="F93" i="20"/>
  <c r="F94" i="20" s="1"/>
  <c r="E93" i="20"/>
  <c r="E94" i="20" s="1"/>
  <c r="D93" i="20"/>
  <c r="C93" i="20"/>
  <c r="C94" i="20" s="1"/>
  <c r="I87" i="20"/>
  <c r="I88" i="20" s="1"/>
  <c r="H87" i="20"/>
  <c r="H88" i="20" s="1"/>
  <c r="G87" i="20"/>
  <c r="G88" i="20" s="1"/>
  <c r="F87" i="20"/>
  <c r="F88" i="20" s="1"/>
  <c r="E87" i="20"/>
  <c r="E88" i="20" s="1"/>
  <c r="D87" i="20"/>
  <c r="D88" i="20" s="1"/>
  <c r="C87" i="20"/>
  <c r="C88" i="20" s="1"/>
  <c r="Q12" i="20"/>
  <c r="R12" i="20" s="1"/>
  <c r="R11" i="20"/>
  <c r="I84" i="20"/>
  <c r="I85" i="20" s="1"/>
  <c r="H84" i="20"/>
  <c r="H85" i="20" s="1"/>
  <c r="G84" i="20"/>
  <c r="G85" i="20" s="1"/>
  <c r="F84" i="20"/>
  <c r="F85" i="20" s="1"/>
  <c r="E84" i="20"/>
  <c r="E85" i="20" s="1"/>
  <c r="D84" i="20"/>
  <c r="D85" i="20" s="1"/>
  <c r="C84" i="20"/>
  <c r="C85" i="20" s="1"/>
  <c r="Q9" i="20"/>
  <c r="R9" i="20" s="1"/>
  <c r="I81" i="20"/>
  <c r="I82" i="20" s="1"/>
  <c r="H81" i="20"/>
  <c r="H82" i="20" s="1"/>
  <c r="G81" i="20"/>
  <c r="G82" i="20" s="1"/>
  <c r="F81" i="20"/>
  <c r="F82" i="20" s="1"/>
  <c r="E81" i="20"/>
  <c r="E82" i="20" s="1"/>
  <c r="D81" i="20"/>
  <c r="C81" i="20"/>
  <c r="C82" i="20" s="1"/>
  <c r="I78" i="20"/>
  <c r="I79" i="20" s="1"/>
  <c r="H78" i="20"/>
  <c r="H79" i="20" s="1"/>
  <c r="G78" i="20"/>
  <c r="G79" i="20" s="1"/>
  <c r="F78" i="20"/>
  <c r="F4" i="21" s="1"/>
  <c r="F5" i="21" s="1"/>
  <c r="E78" i="20"/>
  <c r="E79" i="20" s="1"/>
  <c r="D78" i="20"/>
  <c r="D79" i="20" s="1"/>
  <c r="C78" i="20"/>
  <c r="C79" i="20" s="1"/>
  <c r="I75" i="20"/>
  <c r="I76" i="20" s="1"/>
  <c r="H75" i="20"/>
  <c r="H76" i="20" s="1"/>
  <c r="G75" i="20"/>
  <c r="G76" i="20" s="1"/>
  <c r="F75" i="20"/>
  <c r="F76" i="20" s="1"/>
  <c r="E75" i="20"/>
  <c r="E76" i="20" s="1"/>
  <c r="D75" i="20"/>
  <c r="D76" i="20" s="1"/>
  <c r="C75" i="20"/>
  <c r="C76" i="20" s="1"/>
  <c r="I72" i="20"/>
  <c r="I73" i="20" s="1"/>
  <c r="H72" i="20"/>
  <c r="H73" i="20" s="1"/>
  <c r="G72" i="20"/>
  <c r="G73" i="20" s="1"/>
  <c r="F72" i="20"/>
  <c r="F73" i="20" s="1"/>
  <c r="E72" i="20"/>
  <c r="E73" i="20" s="1"/>
  <c r="D72" i="20"/>
  <c r="D73" i="20" s="1"/>
  <c r="C72" i="20"/>
  <c r="C73" i="20" s="1"/>
  <c r="I70" i="20"/>
  <c r="H70" i="20"/>
  <c r="G70" i="20"/>
  <c r="F70" i="20"/>
  <c r="E70" i="20"/>
  <c r="D70" i="20"/>
  <c r="C70" i="20"/>
  <c r="J69" i="20"/>
  <c r="AP31" i="14" l="1"/>
  <c r="AR32" i="14"/>
  <c r="AP42" i="14"/>
  <c r="AP41" i="14" s="1"/>
  <c r="AP44" i="14" s="1"/>
  <c r="AP43" i="14" s="1"/>
  <c r="AS125" i="14"/>
  <c r="AQ126" i="14"/>
  <c r="AQ127" i="14" s="1"/>
  <c r="AS128" i="14"/>
  <c r="AQ129" i="14"/>
  <c r="AQ130" i="14" s="1"/>
  <c r="AN42" i="14"/>
  <c r="AN41" i="14" s="1"/>
  <c r="AN44" i="14" s="1"/>
  <c r="AN43" i="14" s="1"/>
  <c r="AN31" i="14"/>
  <c r="CR32" i="14"/>
  <c r="CP31" i="14"/>
  <c r="CP42" i="14"/>
  <c r="CS94" i="14"/>
  <c r="CS98" i="14"/>
  <c r="Y98" i="14"/>
  <c r="Y94" i="14"/>
  <c r="CW125" i="14"/>
  <c r="CY125" i="14" s="1"/>
  <c r="CU126" i="14"/>
  <c r="CU127" i="14" s="1"/>
  <c r="CW128" i="14"/>
  <c r="CY128" i="14" s="1"/>
  <c r="CU129" i="14"/>
  <c r="CU130" i="14" s="1"/>
  <c r="X62" i="20"/>
  <c r="Z62" i="20" s="1"/>
  <c r="AA62" i="20" s="1"/>
  <c r="X59" i="20"/>
  <c r="Z59" i="20" s="1"/>
  <c r="AA59" i="20" s="1"/>
  <c r="Q63" i="20"/>
  <c r="Q64" i="20" s="1"/>
  <c r="X57" i="20"/>
  <c r="Z57" i="20" s="1"/>
  <c r="AA57" i="20" s="1"/>
  <c r="S63" i="20"/>
  <c r="S64" i="20" s="1"/>
  <c r="X61" i="20"/>
  <c r="Z61" i="20" s="1"/>
  <c r="AA61" i="20" s="1"/>
  <c r="C19" i="22"/>
  <c r="L19" i="22"/>
  <c r="D19" i="22"/>
  <c r="M19" i="22"/>
  <c r="CQ37" i="22"/>
  <c r="CQ38" i="22"/>
  <c r="CQ36" i="22"/>
  <c r="CQ19" i="22"/>
  <c r="U63" i="20"/>
  <c r="U64" i="20" s="1"/>
  <c r="T63" i="20"/>
  <c r="T64" i="20" s="1"/>
  <c r="X54" i="20"/>
  <c r="X56" i="20"/>
  <c r="Z56" i="20" s="1"/>
  <c r="AA56" i="20" s="1"/>
  <c r="X58" i="20"/>
  <c r="Z58" i="20" s="1"/>
  <c r="AA58" i="20" s="1"/>
  <c r="E19" i="22"/>
  <c r="BQ37" i="22"/>
  <c r="BQ38" i="22"/>
  <c r="BQ39" i="22" s="1"/>
  <c r="BQ36" i="22"/>
  <c r="BQ19" i="22"/>
  <c r="BV19" i="22" s="1"/>
  <c r="I19" i="22"/>
  <c r="I38" i="22"/>
  <c r="I37" i="22"/>
  <c r="I36" i="22"/>
  <c r="R63" i="20"/>
  <c r="R64" i="20" s="1"/>
  <c r="V63" i="20"/>
  <c r="V64" i="20" s="1"/>
  <c r="X60" i="20"/>
  <c r="O19" i="22"/>
  <c r="X37" i="22"/>
  <c r="X38" i="22"/>
  <c r="X36" i="22"/>
  <c r="AQ16" i="22"/>
  <c r="AX15" i="22"/>
  <c r="CS38" i="22"/>
  <c r="CS36" i="22"/>
  <c r="CS37" i="22"/>
  <c r="CS19" i="22"/>
  <c r="X51" i="20"/>
  <c r="W63" i="20"/>
  <c r="W64" i="20" s="1"/>
  <c r="X53" i="20"/>
  <c r="P19" i="22"/>
  <c r="K16" i="22"/>
  <c r="R15" i="22"/>
  <c r="X52" i="20"/>
  <c r="Z52" i="20" s="1"/>
  <c r="AA52" i="20" s="1"/>
  <c r="H19" i="22"/>
  <c r="Q37" i="22"/>
  <c r="Q36" i="22"/>
  <c r="Q38" i="22"/>
  <c r="AJ37" i="22"/>
  <c r="AJ38" i="22"/>
  <c r="AJ36" i="22"/>
  <c r="AJ19" i="22"/>
  <c r="BQ29" i="22"/>
  <c r="Q24" i="22"/>
  <c r="Q29" i="22"/>
  <c r="CQ29" i="22"/>
  <c r="CQ24" i="22"/>
  <c r="W99" i="14"/>
  <c r="W124" i="14" s="1"/>
  <c r="W144" i="14"/>
  <c r="J57" i="26"/>
  <c r="C59" i="26"/>
  <c r="AD56" i="26"/>
  <c r="AH55" i="26"/>
  <c r="AH56" i="26" s="1"/>
  <c r="Q58" i="26"/>
  <c r="F59" i="26"/>
  <c r="T59" i="26" s="1"/>
  <c r="F99" i="26"/>
  <c r="F100" i="26" s="1"/>
  <c r="R57" i="26"/>
  <c r="X57" i="26" s="1"/>
  <c r="H59" i="26"/>
  <c r="V59" i="26" s="1"/>
  <c r="H99" i="26"/>
  <c r="H100" i="26" s="1"/>
  <c r="D58" i="26"/>
  <c r="R58" i="26" s="1"/>
  <c r="G59" i="26"/>
  <c r="G99" i="26"/>
  <c r="G100" i="26" s="1"/>
  <c r="I59" i="26"/>
  <c r="W59" i="26" s="1"/>
  <c r="J43" i="26"/>
  <c r="E58" i="26"/>
  <c r="S58" i="26" s="1"/>
  <c r="C99" i="26"/>
  <c r="C100" i="26" s="1"/>
  <c r="AD68" i="25"/>
  <c r="H62" i="25"/>
  <c r="H63" i="25"/>
  <c r="H64" i="25"/>
  <c r="AS37" i="25"/>
  <c r="U55" i="25"/>
  <c r="AS44" i="25"/>
  <c r="AT44" i="25" s="1"/>
  <c r="AS50" i="25"/>
  <c r="AT50" i="25" s="1"/>
  <c r="AX50" i="25"/>
  <c r="AS57" i="25"/>
  <c r="AX57" i="25"/>
  <c r="AX44" i="25"/>
  <c r="AX45" i="25" s="1"/>
  <c r="C59" i="25"/>
  <c r="N64" i="20"/>
  <c r="G124" i="21"/>
  <c r="R124" i="21"/>
  <c r="J99" i="20"/>
  <c r="O66" i="21"/>
  <c r="O67" i="21" s="1"/>
  <c r="F91" i="20"/>
  <c r="P124" i="21"/>
  <c r="F124" i="21"/>
  <c r="M124" i="21"/>
  <c r="C124" i="21"/>
  <c r="C91" i="20"/>
  <c r="I91" i="20"/>
  <c r="S124" i="21"/>
  <c r="I124" i="21"/>
  <c r="J48" i="20"/>
  <c r="J51" i="20"/>
  <c r="I63" i="20"/>
  <c r="I64" i="20" s="1"/>
  <c r="J56" i="20"/>
  <c r="J57" i="20"/>
  <c r="C4" i="21"/>
  <c r="C5" i="21" s="1"/>
  <c r="O124" i="21"/>
  <c r="D4" i="21"/>
  <c r="D5" i="21" s="1"/>
  <c r="F44" i="21"/>
  <c r="H124" i="21"/>
  <c r="E4" i="21"/>
  <c r="E5" i="21" s="1"/>
  <c r="F66" i="21"/>
  <c r="F97" i="21" s="1"/>
  <c r="F98" i="21" s="1"/>
  <c r="Q124" i="21"/>
  <c r="BF19" i="22"/>
  <c r="P66" i="21"/>
  <c r="P67" i="21" s="1"/>
  <c r="E124" i="21"/>
  <c r="E66" i="21"/>
  <c r="E67" i="21" s="1"/>
  <c r="D66" i="21"/>
  <c r="D67" i="21" s="1"/>
  <c r="D80" i="21" s="1"/>
  <c r="N66" i="21"/>
  <c r="CN36" i="22"/>
  <c r="X19" i="22"/>
  <c r="CH37" i="22"/>
  <c r="CL19" i="22"/>
  <c r="AN24" i="22"/>
  <c r="AU24" i="22"/>
  <c r="AO24" i="22"/>
  <c r="AV24" i="22"/>
  <c r="AK24" i="22"/>
  <c r="AR24" i="22"/>
  <c r="AL37" i="22"/>
  <c r="AL24" i="22"/>
  <c r="AS37" i="22"/>
  <c r="AS24" i="22"/>
  <c r="BG36" i="22"/>
  <c r="BN19" i="22"/>
  <c r="CO38" i="22"/>
  <c r="AT24" i="22"/>
  <c r="AI24" i="22"/>
  <c r="AJ24" i="22"/>
  <c r="AW24" i="22"/>
  <c r="CG29" i="22"/>
  <c r="BM29" i="22"/>
  <c r="Q66" i="21"/>
  <c r="Q67" i="21" s="1"/>
  <c r="G4" i="21"/>
  <c r="G5" i="21" s="1"/>
  <c r="G18" i="21" s="1"/>
  <c r="G66" i="21"/>
  <c r="G67" i="21" s="1"/>
  <c r="G75" i="21" s="1"/>
  <c r="R66" i="21"/>
  <c r="R67" i="21" s="1"/>
  <c r="H66" i="21"/>
  <c r="H67" i="21" s="1"/>
  <c r="H80" i="21" s="1"/>
  <c r="I66" i="21"/>
  <c r="I67" i="21" s="1"/>
  <c r="S66" i="21"/>
  <c r="S67" i="21" s="1"/>
  <c r="D32" i="20"/>
  <c r="C66" i="21"/>
  <c r="M66" i="21"/>
  <c r="F79" i="20"/>
  <c r="J79" i="20" s="1"/>
  <c r="H4" i="21"/>
  <c r="H5" i="21" s="1"/>
  <c r="H13" i="21" s="1"/>
  <c r="I4" i="21"/>
  <c r="I5" i="21" s="1"/>
  <c r="I18" i="21" s="1"/>
  <c r="I29" i="22"/>
  <c r="CK29" i="22"/>
  <c r="CK24" i="22"/>
  <c r="CR29" i="22"/>
  <c r="CR24" i="22"/>
  <c r="BC29" i="22"/>
  <c r="BC24" i="22"/>
  <c r="BC12" i="22" s="1"/>
  <c r="P29" i="22"/>
  <c r="P24" i="22"/>
  <c r="AV29" i="22"/>
  <c r="BJ37" i="22"/>
  <c r="BJ29" i="22"/>
  <c r="BJ24" i="22"/>
  <c r="F29" i="22"/>
  <c r="F24" i="22"/>
  <c r="W29" i="22"/>
  <c r="W24" i="22"/>
  <c r="AD37" i="22"/>
  <c r="AD24" i="22"/>
  <c r="AD12" i="22" s="1"/>
  <c r="AD29" i="22"/>
  <c r="AK37" i="22"/>
  <c r="BE29" i="22"/>
  <c r="BE24" i="22"/>
  <c r="BE12" i="22" s="1"/>
  <c r="BL29" i="22"/>
  <c r="BL24" i="22"/>
  <c r="BS29" i="22"/>
  <c r="BS24" i="22"/>
  <c r="BZ37" i="22"/>
  <c r="BZ29" i="22"/>
  <c r="BZ24" i="22"/>
  <c r="AY29" i="22"/>
  <c r="CN29" i="22"/>
  <c r="CP29" i="22"/>
  <c r="CP24" i="22"/>
  <c r="AE29" i="22"/>
  <c r="AZ29" i="22"/>
  <c r="BT29" i="22"/>
  <c r="CO29" i="22"/>
  <c r="H29" i="22"/>
  <c r="H24" i="22"/>
  <c r="AF29" i="22"/>
  <c r="AF24" i="22"/>
  <c r="AF12" i="22" s="1"/>
  <c r="AT37" i="22"/>
  <c r="AT29" i="22"/>
  <c r="BA29" i="22"/>
  <c r="BH29" i="22"/>
  <c r="BO29" i="22"/>
  <c r="BU29" i="22"/>
  <c r="BU24" i="22"/>
  <c r="CB29" i="22"/>
  <c r="CB24" i="22"/>
  <c r="CI29" i="22"/>
  <c r="CI24" i="22"/>
  <c r="BD29" i="22"/>
  <c r="BD24" i="22"/>
  <c r="BD12" i="22" s="1"/>
  <c r="CC29" i="22"/>
  <c r="CC24" i="22"/>
  <c r="AG29" i="22"/>
  <c r="AG24" i="22"/>
  <c r="AG12" i="22" s="1"/>
  <c r="AN29" i="22"/>
  <c r="AU29" i="22"/>
  <c r="BB37" i="22"/>
  <c r="BB29" i="22"/>
  <c r="BB24" i="22"/>
  <c r="BB12" i="22" s="1"/>
  <c r="BI29" i="22"/>
  <c r="BP29" i="22"/>
  <c r="BW29" i="22"/>
  <c r="CJ29" i="22"/>
  <c r="CJ24" i="22"/>
  <c r="X24" i="22"/>
  <c r="BM24" i="22"/>
  <c r="CH24" i="22"/>
  <c r="AL29" i="22"/>
  <c r="BG29" i="22"/>
  <c r="AO29" i="22"/>
  <c r="N29" i="22"/>
  <c r="N24" i="22"/>
  <c r="BX29" i="22"/>
  <c r="I24" i="22"/>
  <c r="Y29" i="22"/>
  <c r="Y24" i="22"/>
  <c r="CE29" i="22"/>
  <c r="O29" i="22"/>
  <c r="O24" i="22"/>
  <c r="V29" i="22"/>
  <c r="V24" i="22"/>
  <c r="AW38" i="22"/>
  <c r="AW29" i="22"/>
  <c r="BK29" i="22"/>
  <c r="BK24" i="22"/>
  <c r="BR37" i="22"/>
  <c r="BR29" i="22"/>
  <c r="BR24" i="22"/>
  <c r="BY29" i="22"/>
  <c r="CF29" i="22"/>
  <c r="CS29" i="22"/>
  <c r="CS24" i="22"/>
  <c r="AE24" i="22"/>
  <c r="AE12" i="22" s="1"/>
  <c r="BT24" i="22"/>
  <c r="X29" i="22"/>
  <c r="CH29" i="22"/>
  <c r="CY15" i="22"/>
  <c r="CW16" i="22"/>
  <c r="CZ15" i="22"/>
  <c r="G16" i="22"/>
  <c r="CU15" i="22"/>
  <c r="DA16" i="22"/>
  <c r="DA38" i="22" s="1"/>
  <c r="CV15" i="22"/>
  <c r="CZ16" i="22"/>
  <c r="CZ37" i="22" s="1"/>
  <c r="CD15" i="22"/>
  <c r="CX15" i="22"/>
  <c r="DA15" i="22"/>
  <c r="CW15" i="22"/>
  <c r="CX16" i="22"/>
  <c r="CX36" i="22" s="1"/>
  <c r="CA16" i="22"/>
  <c r="CA19" i="22" s="1"/>
  <c r="Z15" i="22"/>
  <c r="AH15" i="22"/>
  <c r="CT15" i="22"/>
  <c r="CL15" i="22"/>
  <c r="BV15" i="22"/>
  <c r="BN15" i="22"/>
  <c r="BF15" i="22"/>
  <c r="AW36" i="22"/>
  <c r="AP15" i="22"/>
  <c r="T16" i="22"/>
  <c r="T19" i="22" s="1"/>
  <c r="CR36" i="22"/>
  <c r="CR38" i="22"/>
  <c r="CM16" i="22"/>
  <c r="CM19" i="22" s="1"/>
  <c r="CR37" i="22"/>
  <c r="CP37" i="22"/>
  <c r="CP36" i="22"/>
  <c r="CP38" i="22"/>
  <c r="CN38" i="22"/>
  <c r="CN37" i="22"/>
  <c r="CO37" i="22"/>
  <c r="CO36" i="22"/>
  <c r="CI37" i="22"/>
  <c r="CI36" i="22"/>
  <c r="CI38" i="22"/>
  <c r="CJ36" i="22"/>
  <c r="CJ38" i="22"/>
  <c r="CJ37" i="22"/>
  <c r="CL16" i="22"/>
  <c r="CE38" i="22"/>
  <c r="CE37" i="22"/>
  <c r="CE36" i="22"/>
  <c r="CF38" i="22"/>
  <c r="CF37" i="22"/>
  <c r="CF36" i="22"/>
  <c r="CK38" i="22"/>
  <c r="CK37" i="22"/>
  <c r="CK36" i="22"/>
  <c r="CH36" i="22"/>
  <c r="CG38" i="22"/>
  <c r="CG36" i="22"/>
  <c r="CG37" i="22"/>
  <c r="CH38" i="22"/>
  <c r="CB36" i="22"/>
  <c r="CB38" i="22"/>
  <c r="CB37" i="22"/>
  <c r="CC38" i="22"/>
  <c r="CC37" i="22"/>
  <c r="CC36" i="22"/>
  <c r="BW38" i="22"/>
  <c r="BW36" i="22"/>
  <c r="BW37" i="22"/>
  <c r="BX38" i="22"/>
  <c r="BX36" i="22"/>
  <c r="BX37" i="22"/>
  <c r="BZ38" i="22"/>
  <c r="BY36" i="22"/>
  <c r="BZ36" i="22"/>
  <c r="BY38" i="22"/>
  <c r="BY37" i="22"/>
  <c r="BS37" i="22"/>
  <c r="BS36" i="22"/>
  <c r="BS38" i="22"/>
  <c r="BT36" i="22"/>
  <c r="BT37" i="22"/>
  <c r="BT38" i="22"/>
  <c r="BU38" i="22"/>
  <c r="BU37" i="22"/>
  <c r="BU36" i="22"/>
  <c r="BP38" i="22"/>
  <c r="BP37" i="22"/>
  <c r="BP36" i="22"/>
  <c r="BV16" i="22"/>
  <c r="BO38" i="22"/>
  <c r="BO36" i="22"/>
  <c r="BO37" i="22"/>
  <c r="BR36" i="22"/>
  <c r="BR38" i="22"/>
  <c r="BL36" i="22"/>
  <c r="BL38" i="22"/>
  <c r="BL37" i="22"/>
  <c r="BM38" i="22"/>
  <c r="BM37" i="22"/>
  <c r="BM36" i="22"/>
  <c r="BH38" i="22"/>
  <c r="BH37" i="22"/>
  <c r="BH36" i="22"/>
  <c r="BN16" i="22"/>
  <c r="BG38" i="22"/>
  <c r="BG37" i="22"/>
  <c r="BI37" i="22"/>
  <c r="BI36" i="22"/>
  <c r="BI38" i="22"/>
  <c r="BK38" i="22"/>
  <c r="BK36" i="22"/>
  <c r="BK37" i="22"/>
  <c r="BJ38" i="22"/>
  <c r="BJ36" i="22"/>
  <c r="BF16" i="22"/>
  <c r="AY38" i="22"/>
  <c r="AY37" i="22"/>
  <c r="AY36" i="22"/>
  <c r="BA36" i="22"/>
  <c r="BA37" i="22"/>
  <c r="BA38" i="22"/>
  <c r="AZ38" i="22"/>
  <c r="AZ36" i="22"/>
  <c r="AZ37" i="22"/>
  <c r="BD36" i="22"/>
  <c r="BD37" i="22"/>
  <c r="BD38" i="22"/>
  <c r="BE37" i="22"/>
  <c r="BE38" i="22"/>
  <c r="BE36" i="22"/>
  <c r="BC36" i="22"/>
  <c r="BC38" i="22"/>
  <c r="BC37" i="22"/>
  <c r="BB36" i="22"/>
  <c r="BB38" i="22"/>
  <c r="AU36" i="22"/>
  <c r="AU37" i="22"/>
  <c r="AU38" i="22"/>
  <c r="AV36" i="22"/>
  <c r="AV38" i="22"/>
  <c r="AV37" i="22"/>
  <c r="AR38" i="22"/>
  <c r="AR37" i="22"/>
  <c r="AR36" i="22"/>
  <c r="AT38" i="22"/>
  <c r="AS36" i="22"/>
  <c r="AW37" i="22"/>
  <c r="AS38" i="22"/>
  <c r="AT36" i="22"/>
  <c r="AN36" i="22"/>
  <c r="AN38" i="22"/>
  <c r="AN37" i="22"/>
  <c r="AI38" i="22"/>
  <c r="AI36" i="22"/>
  <c r="AI37" i="22"/>
  <c r="AO38" i="22"/>
  <c r="AO37" i="22"/>
  <c r="AO36" i="22"/>
  <c r="AK38" i="22"/>
  <c r="AL38" i="22"/>
  <c r="AM16" i="22"/>
  <c r="AM19" i="22" s="1"/>
  <c r="AK36" i="22"/>
  <c r="AL36" i="22"/>
  <c r="AE38" i="22"/>
  <c r="AE36" i="22"/>
  <c r="AE37" i="22"/>
  <c r="AF36" i="22"/>
  <c r="AF37" i="22"/>
  <c r="AF38" i="22"/>
  <c r="AH16" i="22"/>
  <c r="AG37" i="22"/>
  <c r="AG36" i="22"/>
  <c r="AG38" i="22"/>
  <c r="AB38" i="22"/>
  <c r="AB37" i="22"/>
  <c r="AB36" i="22"/>
  <c r="AD38" i="22"/>
  <c r="AC36" i="22"/>
  <c r="AD36" i="22"/>
  <c r="AC37" i="22"/>
  <c r="AC38" i="22"/>
  <c r="W36" i="22"/>
  <c r="W38" i="22"/>
  <c r="W37" i="22"/>
  <c r="V37" i="22"/>
  <c r="V36" i="22"/>
  <c r="V38" i="22"/>
  <c r="Y38" i="22"/>
  <c r="Y37" i="22"/>
  <c r="Y36" i="22"/>
  <c r="O36" i="22"/>
  <c r="O38" i="22"/>
  <c r="O37" i="22"/>
  <c r="P36" i="22"/>
  <c r="P38" i="22"/>
  <c r="P37" i="22"/>
  <c r="J15" i="22"/>
  <c r="G36" i="21"/>
  <c r="J36" i="21" s="1"/>
  <c r="H49" i="21"/>
  <c r="R44" i="21"/>
  <c r="R49" i="21"/>
  <c r="H44" i="21"/>
  <c r="F18" i="21"/>
  <c r="F13" i="21"/>
  <c r="J35" i="21"/>
  <c r="I49" i="21"/>
  <c r="S44" i="21"/>
  <c r="I44" i="21"/>
  <c r="T36" i="21"/>
  <c r="T35" i="21"/>
  <c r="P44" i="21"/>
  <c r="F49" i="21"/>
  <c r="E32" i="20"/>
  <c r="J21" i="20"/>
  <c r="J22" i="20"/>
  <c r="J27" i="20"/>
  <c r="J28" i="20"/>
  <c r="D63" i="20"/>
  <c r="D64" i="20" s="1"/>
  <c r="J52" i="20"/>
  <c r="J58" i="20"/>
  <c r="J76" i="20"/>
  <c r="S12" i="20"/>
  <c r="D90" i="20"/>
  <c r="F32" i="20"/>
  <c r="J23" i="20"/>
  <c r="J29" i="20"/>
  <c r="E63" i="20"/>
  <c r="E64" i="20" s="1"/>
  <c r="G32" i="20"/>
  <c r="F63" i="20"/>
  <c r="F64" i="20" s="1"/>
  <c r="J53" i="20"/>
  <c r="J54" i="20"/>
  <c r="J59" i="20"/>
  <c r="J60" i="20"/>
  <c r="J93" i="20"/>
  <c r="D94" i="20"/>
  <c r="J94" i="20" s="1"/>
  <c r="J17" i="20"/>
  <c r="H32" i="20"/>
  <c r="J24" i="20"/>
  <c r="J25" i="20"/>
  <c r="J30" i="20"/>
  <c r="J31" i="20"/>
  <c r="G63" i="20"/>
  <c r="G64" i="20" s="1"/>
  <c r="J55" i="20"/>
  <c r="J61" i="20"/>
  <c r="J81" i="20"/>
  <c r="C32" i="20"/>
  <c r="I32" i="20"/>
  <c r="J26" i="20"/>
  <c r="H63" i="20"/>
  <c r="H64" i="20" s="1"/>
  <c r="J62" i="20"/>
  <c r="J88" i="20"/>
  <c r="J70" i="20"/>
  <c r="J107" i="20"/>
  <c r="J97" i="20"/>
  <c r="J73" i="20"/>
  <c r="J103" i="20"/>
  <c r="J85" i="20"/>
  <c r="J72" i="20"/>
  <c r="J84" i="20"/>
  <c r="J78" i="20"/>
  <c r="D82" i="20"/>
  <c r="J82" i="20" s="1"/>
  <c r="J87" i="20"/>
  <c r="J96" i="20"/>
  <c r="D100" i="20"/>
  <c r="J100" i="20" s="1"/>
  <c r="J20" i="20"/>
  <c r="J102" i="20"/>
  <c r="C63" i="20"/>
  <c r="C64" i="20" s="1"/>
  <c r="J75" i="20"/>
  <c r="E4" i="19"/>
  <c r="E5" i="19"/>
  <c r="E3" i="19"/>
  <c r="F67" i="21" l="1"/>
  <c r="AR31" i="14"/>
  <c r="AT32" i="14"/>
  <c r="AV32" i="14" s="1"/>
  <c r="AR42" i="14"/>
  <c r="AR41" i="14" s="1"/>
  <c r="AR44" i="14" s="1"/>
  <c r="AR43" i="14" s="1"/>
  <c r="AU128" i="14"/>
  <c r="AS129" i="14"/>
  <c r="AS130" i="14" s="1"/>
  <c r="AU125" i="14"/>
  <c r="AS126" i="14"/>
  <c r="AS127" i="14" s="1"/>
  <c r="CY129" i="14"/>
  <c r="CY130" i="14" s="1"/>
  <c r="DA128" i="14"/>
  <c r="DE128" i="14"/>
  <c r="DE129" i="14" s="1"/>
  <c r="DE130" i="14" s="1"/>
  <c r="CY126" i="14"/>
  <c r="CY127" i="14" s="1"/>
  <c r="DA125" i="14"/>
  <c r="DE125" i="14"/>
  <c r="DE126" i="14" s="1"/>
  <c r="DE127" i="14" s="1"/>
  <c r="Y144" i="14"/>
  <c r="Y99" i="14"/>
  <c r="Y124" i="14" s="1"/>
  <c r="CS144" i="14"/>
  <c r="CS99" i="14"/>
  <c r="CS124" i="14" s="1"/>
  <c r="CR42" i="14"/>
  <c r="CR41" i="14" s="1"/>
  <c r="CR44" i="14" s="1"/>
  <c r="CR43" i="14" s="1"/>
  <c r="CT32" i="14"/>
  <c r="CR31" i="14"/>
  <c r="DC128" i="14"/>
  <c r="DC129" i="14" s="1"/>
  <c r="DC130" i="14" s="1"/>
  <c r="CW129" i="14"/>
  <c r="CW130" i="14" s="1"/>
  <c r="DC125" i="14"/>
  <c r="DC126" i="14" s="1"/>
  <c r="DC127" i="14" s="1"/>
  <c r="CW126" i="14"/>
  <c r="CW127" i="14" s="1"/>
  <c r="N80" i="21"/>
  <c r="CH39" i="22"/>
  <c r="M97" i="21"/>
  <c r="M98" i="21" s="1"/>
  <c r="AH49" i="20"/>
  <c r="Z53" i="20"/>
  <c r="AA53" i="20" s="1"/>
  <c r="AQ36" i="22"/>
  <c r="AX36" i="22" s="1"/>
  <c r="AQ38" i="22"/>
  <c r="AQ37" i="22"/>
  <c r="AX37" i="22" s="1"/>
  <c r="AQ24" i="22"/>
  <c r="AX16" i="22"/>
  <c r="AQ19" i="22"/>
  <c r="AX19" i="22" s="1"/>
  <c r="AH68" i="20"/>
  <c r="Z60" i="20"/>
  <c r="AA60" i="20" s="1"/>
  <c r="X64" i="20"/>
  <c r="S65" i="20" s="1"/>
  <c r="X63" i="20"/>
  <c r="Z51" i="20"/>
  <c r="AA51" i="20" s="1"/>
  <c r="CQ39" i="22"/>
  <c r="AH55" i="20"/>
  <c r="Z54" i="20"/>
  <c r="AA54" i="20" s="1"/>
  <c r="AH61" i="20"/>
  <c r="Q39" i="22"/>
  <c r="K19" i="22"/>
  <c r="R16" i="22"/>
  <c r="AX24" i="22"/>
  <c r="CW36" i="22"/>
  <c r="J58" i="26"/>
  <c r="Z57" i="26"/>
  <c r="AA57" i="26" s="1"/>
  <c r="Y57" i="26"/>
  <c r="D59" i="26"/>
  <c r="D99" i="26"/>
  <c r="J44" i="26"/>
  <c r="X58" i="26"/>
  <c r="Z58" i="26" s="1"/>
  <c r="AA58" i="26" s="1"/>
  <c r="AH59" i="26"/>
  <c r="AH57" i="26"/>
  <c r="AH58" i="26"/>
  <c r="F60" i="26"/>
  <c r="T60" i="26" s="1"/>
  <c r="G60" i="26"/>
  <c r="U60" i="26" s="1"/>
  <c r="I60" i="26"/>
  <c r="W60" i="26" s="1"/>
  <c r="Q59" i="26"/>
  <c r="C60" i="26"/>
  <c r="E59" i="26"/>
  <c r="S59" i="26" s="1"/>
  <c r="U59" i="26"/>
  <c r="H60" i="26"/>
  <c r="AD59" i="26"/>
  <c r="AD57" i="26"/>
  <c r="AD58" i="26"/>
  <c r="E99" i="26"/>
  <c r="E100" i="26" s="1"/>
  <c r="AS38" i="25"/>
  <c r="AS40" i="25" s="1"/>
  <c r="AT37" i="25"/>
  <c r="AS58" i="25"/>
  <c r="AS61" i="25" s="1"/>
  <c r="AT57" i="25"/>
  <c r="AX51" i="25"/>
  <c r="AX52" i="25" s="1"/>
  <c r="H68" i="25"/>
  <c r="L62" i="25"/>
  <c r="L63" i="25"/>
  <c r="L64" i="25"/>
  <c r="AS45" i="25"/>
  <c r="AS46" i="25" s="1"/>
  <c r="D62" i="25"/>
  <c r="D64" i="25"/>
  <c r="D63" i="25"/>
  <c r="AS51" i="25"/>
  <c r="AS53" i="25" s="1"/>
  <c r="AP57" i="25"/>
  <c r="AY50" i="25" s="1"/>
  <c r="AX58" i="25"/>
  <c r="AX60" i="25" s="1"/>
  <c r="AX37" i="25"/>
  <c r="AX38" i="25" s="1"/>
  <c r="AX48" i="25"/>
  <c r="AX47" i="25"/>
  <c r="AX46" i="25"/>
  <c r="U61" i="25"/>
  <c r="AD68" i="20"/>
  <c r="AD69" i="20" s="1"/>
  <c r="AD70" i="20" s="1"/>
  <c r="J64" i="20"/>
  <c r="AD55" i="20"/>
  <c r="AD56" i="20" s="1"/>
  <c r="AD49" i="20"/>
  <c r="AD50" i="20" s="1"/>
  <c r="AD61" i="20"/>
  <c r="AD62" i="20" s="1"/>
  <c r="Y57" i="20"/>
  <c r="M67" i="21"/>
  <c r="AK39" i="22"/>
  <c r="D97" i="21"/>
  <c r="D98" i="21" s="1"/>
  <c r="R80" i="21"/>
  <c r="G13" i="21"/>
  <c r="E97" i="21"/>
  <c r="E98" i="21" s="1"/>
  <c r="Q97" i="21"/>
  <c r="Q98" i="21" s="1"/>
  <c r="N97" i="21"/>
  <c r="N98" i="21" s="1"/>
  <c r="O97" i="21"/>
  <c r="O98" i="21" s="1"/>
  <c r="H97" i="21"/>
  <c r="H98" i="21" s="1"/>
  <c r="J66" i="21"/>
  <c r="H75" i="21"/>
  <c r="H106" i="21" s="1"/>
  <c r="H18" i="21"/>
  <c r="H111" i="21" s="1"/>
  <c r="R75" i="21"/>
  <c r="R106" i="21" s="1"/>
  <c r="N67" i="21"/>
  <c r="AS39" i="22"/>
  <c r="CT19" i="22"/>
  <c r="G97" i="21"/>
  <c r="G98" i="21" s="1"/>
  <c r="P97" i="21"/>
  <c r="P98" i="21" s="1"/>
  <c r="Q75" i="21"/>
  <c r="T66" i="21"/>
  <c r="D91" i="20"/>
  <c r="J91" i="20" s="1"/>
  <c r="D124" i="21"/>
  <c r="N124" i="21"/>
  <c r="G80" i="21"/>
  <c r="C97" i="21"/>
  <c r="H140" i="21" s="1"/>
  <c r="Q80" i="21"/>
  <c r="C67" i="21"/>
  <c r="C80" i="21" s="1"/>
  <c r="CO39" i="22"/>
  <c r="AM24" i="22"/>
  <c r="AP19" i="22"/>
  <c r="CA36" i="22"/>
  <c r="CD36" i="22" s="1"/>
  <c r="CD19" i="22"/>
  <c r="AL39" i="22"/>
  <c r="J5" i="21"/>
  <c r="BB39" i="22"/>
  <c r="BZ39" i="22"/>
  <c r="I13" i="21"/>
  <c r="S97" i="21"/>
  <c r="S98" i="21" s="1"/>
  <c r="J32" i="20"/>
  <c r="I97" i="21"/>
  <c r="I98" i="21" s="1"/>
  <c r="J4" i="21"/>
  <c r="R97" i="21"/>
  <c r="R98" i="21" s="1"/>
  <c r="CW38" i="22"/>
  <c r="CZ36" i="22"/>
  <c r="AT39" i="22"/>
  <c r="AW39" i="22"/>
  <c r="BJ39" i="22"/>
  <c r="CZ29" i="22"/>
  <c r="CL29" i="22"/>
  <c r="DA29" i="22"/>
  <c r="BN29" i="22"/>
  <c r="BV29" i="22"/>
  <c r="BS39" i="22"/>
  <c r="CW37" i="22"/>
  <c r="G29" i="22"/>
  <c r="G24" i="22"/>
  <c r="AD39" i="22"/>
  <c r="CA24" i="22"/>
  <c r="CA29" i="22"/>
  <c r="CD29" i="22" s="1"/>
  <c r="CX29" i="22"/>
  <c r="DA24" i="22"/>
  <c r="W39" i="22"/>
  <c r="CD16" i="22"/>
  <c r="CU16" i="22"/>
  <c r="CU36" i="22" s="1"/>
  <c r="CM29" i="22"/>
  <c r="CT29" i="22" s="1"/>
  <c r="AP16" i="22"/>
  <c r="AM29" i="22"/>
  <c r="BR39" i="22"/>
  <c r="CA38" i="22"/>
  <c r="CD38" i="22" s="1"/>
  <c r="CZ38" i="22"/>
  <c r="CZ39" i="22" s="1"/>
  <c r="CZ24" i="22"/>
  <c r="CX24" i="22"/>
  <c r="J16" i="22"/>
  <c r="CA37" i="22"/>
  <c r="CD37" i="22" s="1"/>
  <c r="BF29" i="22"/>
  <c r="CY16" i="22"/>
  <c r="CY37" i="22" s="1"/>
  <c r="BI39" i="22"/>
  <c r="BT39" i="22"/>
  <c r="CX37" i="22"/>
  <c r="CV16" i="22"/>
  <c r="CX38" i="22"/>
  <c r="AZ39" i="22"/>
  <c r="DA37" i="22"/>
  <c r="DA36" i="22"/>
  <c r="Z16" i="22"/>
  <c r="CG39" i="22"/>
  <c r="DB15" i="22"/>
  <c r="CI39" i="22"/>
  <c r="AC39" i="22"/>
  <c r="X39" i="22"/>
  <c r="BN36" i="22"/>
  <c r="BN37" i="22"/>
  <c r="CR39" i="22"/>
  <c r="CL37" i="22"/>
  <c r="CB39" i="22"/>
  <c r="BY39" i="22"/>
  <c r="CC39" i="22"/>
  <c r="BF37" i="22"/>
  <c r="AV39" i="22"/>
  <c r="AB39" i="22"/>
  <c r="O39" i="22"/>
  <c r="CN39" i="22"/>
  <c r="CT16" i="22"/>
  <c r="CM38" i="22"/>
  <c r="CM37" i="22"/>
  <c r="CM36" i="22"/>
  <c r="CT36" i="22" s="1"/>
  <c r="CP39" i="22"/>
  <c r="CS39" i="22"/>
  <c r="CF39" i="22"/>
  <c r="CL38" i="22"/>
  <c r="CE39" i="22"/>
  <c r="CK39" i="22"/>
  <c r="CL36" i="22"/>
  <c r="CJ39" i="22"/>
  <c r="BX39" i="22"/>
  <c r="BW39" i="22"/>
  <c r="BV37" i="22"/>
  <c r="BP39" i="22"/>
  <c r="BV38" i="22"/>
  <c r="BO39" i="22"/>
  <c r="BV36" i="22"/>
  <c r="BU39" i="22"/>
  <c r="BN38" i="22"/>
  <c r="BG39" i="22"/>
  <c r="BM39" i="22"/>
  <c r="BH39" i="22"/>
  <c r="BK39" i="22"/>
  <c r="BL39" i="22"/>
  <c r="BA39" i="22"/>
  <c r="BF36" i="22"/>
  <c r="BF38" i="22"/>
  <c r="AY39" i="22"/>
  <c r="BC39" i="22"/>
  <c r="BE39" i="22"/>
  <c r="BD39" i="22"/>
  <c r="AU39" i="22"/>
  <c r="AR39" i="22"/>
  <c r="AM36" i="22"/>
  <c r="AP36" i="22" s="1"/>
  <c r="AM37" i="22"/>
  <c r="AP37" i="22" s="1"/>
  <c r="AM38" i="22"/>
  <c r="AJ39" i="22"/>
  <c r="AN39" i="22"/>
  <c r="AO39" i="22"/>
  <c r="AI39" i="22"/>
  <c r="AG39" i="22"/>
  <c r="AF39" i="22"/>
  <c r="AE39" i="22"/>
  <c r="Y39" i="22"/>
  <c r="V39" i="22"/>
  <c r="P39" i="22"/>
  <c r="E80" i="21"/>
  <c r="O80" i="21"/>
  <c r="Q49" i="21"/>
  <c r="G49" i="21"/>
  <c r="Q44" i="21"/>
  <c r="G44" i="21"/>
  <c r="S80" i="21"/>
  <c r="S111" i="21" s="1"/>
  <c r="S75" i="21"/>
  <c r="I75" i="21"/>
  <c r="I80" i="21"/>
  <c r="I111" i="21" s="1"/>
  <c r="P80" i="21"/>
  <c r="P111" i="21" s="1"/>
  <c r="F80" i="21"/>
  <c r="F111" i="21" s="1"/>
  <c r="P75" i="21"/>
  <c r="F75" i="21"/>
  <c r="J63" i="20"/>
  <c r="J90" i="20"/>
  <c r="W147" i="17"/>
  <c r="U147" i="17"/>
  <c r="S147" i="17"/>
  <c r="Q147" i="17"/>
  <c r="O147" i="17"/>
  <c r="BV144" i="17"/>
  <c r="BT144" i="17"/>
  <c r="BR144" i="17"/>
  <c r="BO144" i="17"/>
  <c r="BL144" i="17"/>
  <c r="BJ144" i="17"/>
  <c r="BH144" i="17"/>
  <c r="BE144" i="17"/>
  <c r="AY144" i="17"/>
  <c r="AW144" i="17"/>
  <c r="AU144" i="17"/>
  <c r="AO144" i="17"/>
  <c r="AM144" i="17"/>
  <c r="AK144" i="17"/>
  <c r="AE144" i="17"/>
  <c r="AC144" i="17"/>
  <c r="AA144" i="17"/>
  <c r="Y144" i="17"/>
  <c r="W144" i="17"/>
  <c r="U144" i="17"/>
  <c r="S144" i="17"/>
  <c r="Q144" i="17"/>
  <c r="O144" i="17"/>
  <c r="I144" i="17"/>
  <c r="I143" i="17"/>
  <c r="K143" i="17" s="1"/>
  <c r="M143" i="17" s="1"/>
  <c r="BV142" i="17"/>
  <c r="BV147" i="17" s="1"/>
  <c r="BT142" i="17"/>
  <c r="BT147" i="17" s="1"/>
  <c r="BR142" i="17"/>
  <c r="BR147" i="17" s="1"/>
  <c r="BO142" i="17"/>
  <c r="BL142" i="17"/>
  <c r="BL103" i="17" s="1"/>
  <c r="BJ142" i="17"/>
  <c r="BJ147" i="17" s="1"/>
  <c r="BH142" i="17"/>
  <c r="BH147" i="17" s="1"/>
  <c r="BE142" i="17"/>
  <c r="BE147" i="17" s="1"/>
  <c r="AY142" i="17"/>
  <c r="AY147" i="17" s="1"/>
  <c r="AW142" i="17"/>
  <c r="AU142" i="17"/>
  <c r="AU147" i="17" s="1"/>
  <c r="AO142" i="17"/>
  <c r="AO103" i="17" s="1"/>
  <c r="AM142" i="17"/>
  <c r="AM147" i="17" s="1"/>
  <c r="AK142" i="17"/>
  <c r="AK147" i="17" s="1"/>
  <c r="AE142" i="17"/>
  <c r="AE147" i="17" s="1"/>
  <c r="AC142" i="17"/>
  <c r="AA142" i="17"/>
  <c r="AA147" i="17" s="1"/>
  <c r="Y142" i="17"/>
  <c r="Y147" i="17" s="1"/>
  <c r="M142" i="17"/>
  <c r="K142" i="17"/>
  <c r="I142" i="17"/>
  <c r="G142" i="17"/>
  <c r="G147" i="17" s="1"/>
  <c r="BV135" i="17"/>
  <c r="BT135" i="17"/>
  <c r="BL135" i="17"/>
  <c r="BJ135" i="17"/>
  <c r="BE135" i="17"/>
  <c r="Y135" i="17"/>
  <c r="Q135" i="17"/>
  <c r="I135" i="17"/>
  <c r="K135" i="17" s="1"/>
  <c r="BV130" i="17"/>
  <c r="BT130" i="17"/>
  <c r="BR130" i="17"/>
  <c r="BO130" i="17"/>
  <c r="BL130" i="17"/>
  <c r="BJ130" i="17"/>
  <c r="BH130" i="17"/>
  <c r="BE130" i="17"/>
  <c r="AY130" i="17"/>
  <c r="AW130" i="17"/>
  <c r="AU130" i="17"/>
  <c r="AO130" i="17"/>
  <c r="AM130" i="17"/>
  <c r="AK130" i="17"/>
  <c r="AE130" i="17"/>
  <c r="AC130" i="17"/>
  <c r="AA130" i="17"/>
  <c r="Y130" i="17"/>
  <c r="W130" i="17"/>
  <c r="U130" i="17"/>
  <c r="S130" i="17"/>
  <c r="Q130" i="17"/>
  <c r="O130" i="17"/>
  <c r="M130" i="17"/>
  <c r="K130" i="17"/>
  <c r="I130" i="17"/>
  <c r="G130" i="17"/>
  <c r="BV129" i="17"/>
  <c r="BT129" i="17"/>
  <c r="BR129" i="17"/>
  <c r="BO129" i="17"/>
  <c r="BL129" i="17"/>
  <c r="BJ129" i="17"/>
  <c r="BH129" i="17"/>
  <c r="BE129" i="17"/>
  <c r="AY129" i="17"/>
  <c r="AW129" i="17"/>
  <c r="AU129" i="17"/>
  <c r="AO129" i="17"/>
  <c r="AM129" i="17"/>
  <c r="AK129" i="17"/>
  <c r="AE129" i="17"/>
  <c r="AC129" i="17"/>
  <c r="AA129" i="17"/>
  <c r="Y129" i="17"/>
  <c r="W129" i="17"/>
  <c r="U129" i="17"/>
  <c r="S129" i="17"/>
  <c r="Q129" i="17"/>
  <c r="O129" i="17"/>
  <c r="M129" i="17"/>
  <c r="K129" i="17"/>
  <c r="I129" i="17"/>
  <c r="G129" i="17"/>
  <c r="BV128" i="17"/>
  <c r="BT128" i="17"/>
  <c r="BR128" i="17"/>
  <c r="BO128" i="17"/>
  <c r="BL128" i="17"/>
  <c r="BJ128" i="17"/>
  <c r="BH128" i="17"/>
  <c r="BE128" i="17"/>
  <c r="AY128" i="17"/>
  <c r="AW128" i="17"/>
  <c r="AU128" i="17"/>
  <c r="AO128" i="17"/>
  <c r="AM128" i="17"/>
  <c r="AK128" i="17"/>
  <c r="AE128" i="17"/>
  <c r="AC128" i="17"/>
  <c r="AA128" i="17"/>
  <c r="Y128" i="17"/>
  <c r="W128" i="17"/>
  <c r="U128" i="17"/>
  <c r="S128" i="17"/>
  <c r="Q128" i="17"/>
  <c r="O128" i="17"/>
  <c r="M128" i="17"/>
  <c r="K128" i="17"/>
  <c r="I128" i="17"/>
  <c r="G128" i="17"/>
  <c r="BV127" i="17"/>
  <c r="BT127" i="17"/>
  <c r="BR127" i="17"/>
  <c r="BO127" i="17"/>
  <c r="BL127" i="17"/>
  <c r="BJ127" i="17"/>
  <c r="BH127" i="17"/>
  <c r="BE127" i="17"/>
  <c r="AY127" i="17"/>
  <c r="AW127" i="17"/>
  <c r="AU127" i="17"/>
  <c r="AO127" i="17"/>
  <c r="AM127" i="17"/>
  <c r="AK127" i="17"/>
  <c r="AE127" i="17"/>
  <c r="AC127" i="17"/>
  <c r="AA127" i="17"/>
  <c r="Y127" i="17"/>
  <c r="W127" i="17"/>
  <c r="U127" i="17"/>
  <c r="S127" i="17"/>
  <c r="Q127" i="17"/>
  <c r="O127" i="17"/>
  <c r="M127" i="17"/>
  <c r="K127" i="17"/>
  <c r="I127" i="17"/>
  <c r="G127" i="17"/>
  <c r="BV126" i="17"/>
  <c r="BT126" i="17"/>
  <c r="BR126" i="17"/>
  <c r="BO126" i="17"/>
  <c r="BL126" i="17"/>
  <c r="BJ126" i="17"/>
  <c r="BH126" i="17"/>
  <c r="BE126" i="17"/>
  <c r="AY126" i="17"/>
  <c r="AW126" i="17"/>
  <c r="AU126" i="17"/>
  <c r="AO126" i="17"/>
  <c r="AM126" i="17"/>
  <c r="AK126" i="17"/>
  <c r="AE126" i="17"/>
  <c r="AC126" i="17"/>
  <c r="AA126" i="17"/>
  <c r="Y126" i="17"/>
  <c r="W126" i="17"/>
  <c r="U126" i="17"/>
  <c r="S126" i="17"/>
  <c r="Q126" i="17"/>
  <c r="O126" i="17"/>
  <c r="M126" i="17"/>
  <c r="K126" i="17"/>
  <c r="I126" i="17"/>
  <c r="G126" i="17"/>
  <c r="M118" i="17"/>
  <c r="K118" i="17"/>
  <c r="I118" i="17"/>
  <c r="G118" i="17"/>
  <c r="M115" i="17"/>
  <c r="K115" i="17"/>
  <c r="I115" i="17"/>
  <c r="G115" i="17"/>
  <c r="BV113" i="17"/>
  <c r="BT113" i="17"/>
  <c r="BR113" i="17"/>
  <c r="BO113" i="17"/>
  <c r="BL113" i="17"/>
  <c r="BJ113" i="17"/>
  <c r="BH113" i="17"/>
  <c r="BE113" i="17"/>
  <c r="AY113" i="17"/>
  <c r="AW113" i="17"/>
  <c r="AU113" i="17"/>
  <c r="AO113" i="17"/>
  <c r="AM113" i="17"/>
  <c r="AK113" i="17"/>
  <c r="AE113" i="17"/>
  <c r="AC113" i="17"/>
  <c r="AA113" i="17"/>
  <c r="Y113" i="17"/>
  <c r="W113" i="17"/>
  <c r="U113" i="17"/>
  <c r="S113" i="17"/>
  <c r="Q113" i="17"/>
  <c r="O113" i="17"/>
  <c r="M113" i="17"/>
  <c r="K113" i="17"/>
  <c r="I113" i="17"/>
  <c r="G113" i="17"/>
  <c r="BV107" i="17"/>
  <c r="BV111" i="17" s="1"/>
  <c r="BV112" i="17" s="1"/>
  <c r="BT107" i="17"/>
  <c r="BT111" i="17" s="1"/>
  <c r="BT112" i="17" s="1"/>
  <c r="BR107" i="17"/>
  <c r="BR111" i="17" s="1"/>
  <c r="BR112" i="17" s="1"/>
  <c r="BO107" i="17"/>
  <c r="BO111" i="17" s="1"/>
  <c r="BO112" i="17" s="1"/>
  <c r="BL107" i="17"/>
  <c r="BL111" i="17" s="1"/>
  <c r="BL112" i="17" s="1"/>
  <c r="BJ107" i="17"/>
  <c r="BJ111" i="17" s="1"/>
  <c r="BJ112" i="17" s="1"/>
  <c r="BH107" i="17"/>
  <c r="BH111" i="17" s="1"/>
  <c r="BH112" i="17" s="1"/>
  <c r="BE107" i="17"/>
  <c r="BE111" i="17" s="1"/>
  <c r="BE112" i="17" s="1"/>
  <c r="AY107" i="17"/>
  <c r="AY111" i="17" s="1"/>
  <c r="AY112" i="17" s="1"/>
  <c r="AW107" i="17"/>
  <c r="AW111" i="17" s="1"/>
  <c r="AW112" i="17" s="1"/>
  <c r="AU107" i="17"/>
  <c r="AU111" i="17" s="1"/>
  <c r="AU112" i="17" s="1"/>
  <c r="AO107" i="17"/>
  <c r="AO111" i="17" s="1"/>
  <c r="AO112" i="17" s="1"/>
  <c r="AM107" i="17"/>
  <c r="AM111" i="17" s="1"/>
  <c r="AM112" i="17" s="1"/>
  <c r="AK107" i="17"/>
  <c r="AK111" i="17" s="1"/>
  <c r="AK112" i="17" s="1"/>
  <c r="AE107" i="17"/>
  <c r="AE111" i="17" s="1"/>
  <c r="AE112" i="17" s="1"/>
  <c r="AC107" i="17"/>
  <c r="AC111" i="17" s="1"/>
  <c r="AC112" i="17" s="1"/>
  <c r="AA107" i="17"/>
  <c r="AA111" i="17" s="1"/>
  <c r="AA112" i="17" s="1"/>
  <c r="Y107" i="17"/>
  <c r="Y111" i="17" s="1"/>
  <c r="Y112" i="17" s="1"/>
  <c r="W107" i="17"/>
  <c r="W111" i="17" s="1"/>
  <c r="W112" i="17" s="1"/>
  <c r="U107" i="17"/>
  <c r="U111" i="17" s="1"/>
  <c r="U112" i="17" s="1"/>
  <c r="S107" i="17"/>
  <c r="S111" i="17" s="1"/>
  <c r="S112" i="17" s="1"/>
  <c r="Q107" i="17"/>
  <c r="Q111" i="17" s="1"/>
  <c r="Q112" i="17" s="1"/>
  <c r="O107" i="17"/>
  <c r="O111" i="17" s="1"/>
  <c r="O112" i="17" s="1"/>
  <c r="M107" i="17"/>
  <c r="M111" i="17" s="1"/>
  <c r="M112" i="17" s="1"/>
  <c r="K107" i="17"/>
  <c r="K111" i="17" s="1"/>
  <c r="K112" i="17" s="1"/>
  <c r="I107" i="17"/>
  <c r="I111" i="17" s="1"/>
  <c r="I112" i="17" s="1"/>
  <c r="G107" i="17"/>
  <c r="G111" i="17" s="1"/>
  <c r="G112" i="17" s="1"/>
  <c r="W103" i="17"/>
  <c r="U103" i="17"/>
  <c r="S103" i="17"/>
  <c r="Q103" i="17"/>
  <c r="O103" i="17"/>
  <c r="BJ99" i="17"/>
  <c r="BL99" i="17" s="1"/>
  <c r="BB99" i="17"/>
  <c r="BA99" i="17"/>
  <c r="AZ99" i="17"/>
  <c r="AR99" i="17"/>
  <c r="AQ99" i="17"/>
  <c r="AP99" i="17"/>
  <c r="AH99" i="17"/>
  <c r="AG99" i="17"/>
  <c r="AF99" i="17"/>
  <c r="BW84" i="17"/>
  <c r="BU84" i="17"/>
  <c r="BS84" i="17"/>
  <c r="BO84" i="17"/>
  <c r="BN84" i="17" s="1"/>
  <c r="BJ84" i="17"/>
  <c r="BE84" i="17"/>
  <c r="BB84" i="17"/>
  <c r="BA84" i="17"/>
  <c r="AZ84" i="17"/>
  <c r="AV84" i="17"/>
  <c r="AT84" i="17"/>
  <c r="AR84" i="17"/>
  <c r="AQ84" i="17"/>
  <c r="AP84" i="17"/>
  <c r="AL84" i="17"/>
  <c r="AH84" i="17"/>
  <c r="AG84" i="17"/>
  <c r="AF84" i="17"/>
  <c r="AB84" i="17"/>
  <c r="AJ84" i="17" s="1"/>
  <c r="V84" i="17"/>
  <c r="T84" i="17"/>
  <c r="M83" i="17"/>
  <c r="K83" i="17"/>
  <c r="I83" i="17"/>
  <c r="G83" i="17"/>
  <c r="E82" i="17"/>
  <c r="E88" i="17" s="1"/>
  <c r="E81" i="17"/>
  <c r="E87" i="17" s="1"/>
  <c r="E90" i="17" s="1"/>
  <c r="E93" i="17" s="1"/>
  <c r="E96" i="17" s="1"/>
  <c r="BO74" i="17"/>
  <c r="AA74" i="17"/>
  <c r="W74" i="17"/>
  <c r="U74" i="17"/>
  <c r="S74" i="17"/>
  <c r="Q74" i="17"/>
  <c r="O74" i="17"/>
  <c r="BV72" i="17"/>
  <c r="BT72" i="17"/>
  <c r="BR72" i="17"/>
  <c r="BO72" i="17"/>
  <c r="BL72" i="17"/>
  <c r="BJ72" i="17"/>
  <c r="BH72" i="17"/>
  <c r="BE72" i="17"/>
  <c r="AY72" i="17"/>
  <c r="AW72" i="17"/>
  <c r="AU72" i="17"/>
  <c r="AO72" i="17"/>
  <c r="AM72" i="17"/>
  <c r="AK72" i="17"/>
  <c r="AE72" i="17"/>
  <c r="AC72" i="17"/>
  <c r="AA72" i="17"/>
  <c r="Y72" i="17"/>
  <c r="W72" i="17"/>
  <c r="U72" i="17"/>
  <c r="S72" i="17"/>
  <c r="Q72" i="17"/>
  <c r="O72" i="17"/>
  <c r="M72" i="17"/>
  <c r="M74" i="17" s="1"/>
  <c r="K72" i="17"/>
  <c r="K74" i="17" s="1"/>
  <c r="I72" i="17"/>
  <c r="G72" i="17"/>
  <c r="G74" i="17" s="1"/>
  <c r="G69" i="17" s="1"/>
  <c r="G66" i="17" s="1"/>
  <c r="E72" i="17"/>
  <c r="C72" i="17"/>
  <c r="BO70" i="17"/>
  <c r="BH70" i="17"/>
  <c r="BE70" i="17"/>
  <c r="Y70" i="17"/>
  <c r="AC69" i="17"/>
  <c r="AE69" i="17" s="1"/>
  <c r="BV64" i="17"/>
  <c r="BV70" i="17" s="1"/>
  <c r="BT64" i="17"/>
  <c r="BT70" i="17" s="1"/>
  <c r="BR64" i="17"/>
  <c r="BQ9" i="17" s="1"/>
  <c r="BJ64" i="17"/>
  <c r="BJ70" i="17" s="1"/>
  <c r="AY64" i="17"/>
  <c r="AY70" i="17" s="1"/>
  <c r="AW64" i="17"/>
  <c r="AV9" i="17" s="1"/>
  <c r="AU64" i="17"/>
  <c r="AU70" i="17" s="1"/>
  <c r="AO64" i="17"/>
  <c r="AO70" i="17" s="1"/>
  <c r="AM64" i="17"/>
  <c r="AM70" i="17" s="1"/>
  <c r="AK64" i="17"/>
  <c r="AJ9" i="17" s="1"/>
  <c r="AE64" i="17"/>
  <c r="AD9" i="17" s="1"/>
  <c r="AC64" i="17"/>
  <c r="AC70" i="17" s="1"/>
  <c r="AA64" i="17"/>
  <c r="AA70" i="17" s="1"/>
  <c r="W64" i="17"/>
  <c r="W70" i="17" s="1"/>
  <c r="U64" i="17"/>
  <c r="S64" i="17"/>
  <c r="S70" i="17" s="1"/>
  <c r="Q64" i="17"/>
  <c r="Q70" i="17" s="1"/>
  <c r="O64" i="17"/>
  <c r="O70" i="17" s="1"/>
  <c r="E64" i="17"/>
  <c r="E65" i="17" s="1"/>
  <c r="M63" i="17"/>
  <c r="M57" i="17" s="1"/>
  <c r="K63" i="17"/>
  <c r="K57" i="17" s="1"/>
  <c r="I63" i="17"/>
  <c r="I57" i="17" s="1"/>
  <c r="G63" i="17"/>
  <c r="BV59" i="17"/>
  <c r="BT59" i="17"/>
  <c r="BR59" i="17"/>
  <c r="BO59" i="17"/>
  <c r="BL59" i="17"/>
  <c r="BJ59" i="17"/>
  <c r="BH59" i="17"/>
  <c r="BE59" i="17"/>
  <c r="AY59" i="17"/>
  <c r="AW59" i="17"/>
  <c r="AU59" i="17"/>
  <c r="AO59" i="17"/>
  <c r="AM59" i="17"/>
  <c r="AK59" i="17"/>
  <c r="AE59" i="17"/>
  <c r="AC59" i="17"/>
  <c r="AA59" i="17"/>
  <c r="Y59" i="17"/>
  <c r="W59" i="17"/>
  <c r="U59" i="17"/>
  <c r="S59" i="17"/>
  <c r="Q59" i="17"/>
  <c r="O59" i="17"/>
  <c r="M59" i="17"/>
  <c r="K59" i="17"/>
  <c r="I59" i="17"/>
  <c r="G59" i="17"/>
  <c r="AW49" i="17"/>
  <c r="AW48" i="17" s="1"/>
  <c r="AV49" i="17"/>
  <c r="AU49" i="17"/>
  <c r="AU48" i="17" s="1"/>
  <c r="AT49" i="17"/>
  <c r="AM49" i="17"/>
  <c r="AM48" i="17" s="1"/>
  <c r="AL49" i="17"/>
  <c r="AK49" i="17"/>
  <c r="AK48" i="17" s="1"/>
  <c r="AJ49" i="17"/>
  <c r="AC49" i="17"/>
  <c r="AC48" i="17" s="1"/>
  <c r="AB49" i="17"/>
  <c r="AA49" i="17"/>
  <c r="AA48" i="17" s="1"/>
  <c r="Z49" i="17"/>
  <c r="BV48" i="17"/>
  <c r="BT48" i="17"/>
  <c r="BR48" i="17"/>
  <c r="BV45" i="17"/>
  <c r="BT45" i="17"/>
  <c r="BR45" i="17"/>
  <c r="BU44" i="17"/>
  <c r="BU43" i="17" s="1"/>
  <c r="BS44" i="17"/>
  <c r="BS43" i="17" s="1"/>
  <c r="BQ44" i="17"/>
  <c r="BQ43" i="17" s="1"/>
  <c r="BO42" i="17"/>
  <c r="BL42" i="17"/>
  <c r="BJ42" i="17"/>
  <c r="AY42" i="17"/>
  <c r="AW42" i="17"/>
  <c r="AU42" i="17"/>
  <c r="AM42" i="17"/>
  <c r="AE42" i="17"/>
  <c r="AC42" i="17"/>
  <c r="AA42" i="17"/>
  <c r="W42" i="17"/>
  <c r="U42" i="17"/>
  <c r="S42" i="17"/>
  <c r="Q42" i="17"/>
  <c r="O42" i="17"/>
  <c r="M42" i="17"/>
  <c r="K42" i="17"/>
  <c r="I42" i="17"/>
  <c r="W39" i="17"/>
  <c r="U39" i="17"/>
  <c r="O39" i="17"/>
  <c r="BK38" i="17"/>
  <c r="BK42" i="17" s="1"/>
  <c r="AX38" i="17"/>
  <c r="AX37" i="17" s="1"/>
  <c r="AO38" i="17"/>
  <c r="AD38" i="17"/>
  <c r="AD42" i="17" s="1"/>
  <c r="R38" i="17"/>
  <c r="R37" i="17" s="1"/>
  <c r="L38" i="17"/>
  <c r="L37" i="17" s="1"/>
  <c r="BL37" i="17"/>
  <c r="AY37" i="17"/>
  <c r="AE37" i="17"/>
  <c r="S37" i="17"/>
  <c r="M37" i="17"/>
  <c r="BL36" i="17"/>
  <c r="BL35" i="17" s="1"/>
  <c r="BB36" i="17"/>
  <c r="BA36" i="17"/>
  <c r="AZ36" i="17"/>
  <c r="AR36" i="17"/>
  <c r="AQ36" i="17"/>
  <c r="AP36" i="17"/>
  <c r="AH36" i="17"/>
  <c r="AG36" i="17"/>
  <c r="AF36" i="17"/>
  <c r="BI35" i="17"/>
  <c r="BU32" i="17"/>
  <c r="BV32" i="17" s="1"/>
  <c r="BS32" i="17"/>
  <c r="BT32" i="17" s="1"/>
  <c r="BQ32" i="17"/>
  <c r="BR32" i="17" s="1"/>
  <c r="BN32" i="17"/>
  <c r="BN42" i="17" s="1"/>
  <c r="BK32" i="17"/>
  <c r="BK30" i="17" s="1"/>
  <c r="BK29" i="17" s="1"/>
  <c r="BI32" i="17"/>
  <c r="BI42" i="17" s="1"/>
  <c r="BH32" i="17"/>
  <c r="BE32" i="17"/>
  <c r="BE42" i="17" s="1"/>
  <c r="BA32" i="17"/>
  <c r="AZ32" i="17"/>
  <c r="AY32" i="17"/>
  <c r="AV32" i="17"/>
  <c r="AT32" i="17"/>
  <c r="AQ32" i="17"/>
  <c r="AO32" i="17"/>
  <c r="AL32" i="17"/>
  <c r="AG32" i="17"/>
  <c r="AF32" i="17"/>
  <c r="AE32" i="17"/>
  <c r="AE31" i="17" s="1"/>
  <c r="AB32" i="17"/>
  <c r="AB31" i="17" s="1"/>
  <c r="Z32" i="17"/>
  <c r="Z31" i="17" s="1"/>
  <c r="V32" i="17"/>
  <c r="V31" i="17" s="1"/>
  <c r="T32" i="17"/>
  <c r="T31" i="17" s="1"/>
  <c r="S32" i="17"/>
  <c r="R32" i="17" s="1"/>
  <c r="P32" i="17"/>
  <c r="P31" i="17" s="1"/>
  <c r="N32" i="17"/>
  <c r="N42" i="17" s="1"/>
  <c r="L32" i="17"/>
  <c r="M32" i="17" s="1"/>
  <c r="M31" i="17" s="1"/>
  <c r="J32" i="17"/>
  <c r="H32" i="17"/>
  <c r="H31" i="17" s="1"/>
  <c r="F32" i="17"/>
  <c r="F31" i="17" s="1"/>
  <c r="BV31" i="17"/>
  <c r="BT31" i="17"/>
  <c r="BR31" i="17"/>
  <c r="BO31" i="17"/>
  <c r="BL31" i="17"/>
  <c r="BJ31" i="17"/>
  <c r="AW31" i="17"/>
  <c r="AU31" i="17"/>
  <c r="AM31" i="17"/>
  <c r="AC31" i="17"/>
  <c r="AA31" i="17"/>
  <c r="W31" i="17"/>
  <c r="U31" i="17"/>
  <c r="Q31" i="17"/>
  <c r="O31" i="17"/>
  <c r="K31" i="17"/>
  <c r="I31" i="17"/>
  <c r="BU30" i="17"/>
  <c r="BU29" i="17" s="1"/>
  <c r="BS30" i="17"/>
  <c r="BS29" i="17" s="1"/>
  <c r="BQ30" i="17"/>
  <c r="BQ29" i="17" s="1"/>
  <c r="BO30" i="17"/>
  <c r="BO29" i="17" s="1"/>
  <c r="BJ30" i="17"/>
  <c r="BJ29" i="17" s="1"/>
  <c r="BK27" i="17"/>
  <c r="BU26" i="17"/>
  <c r="BV26" i="17" s="1"/>
  <c r="BS26" i="17"/>
  <c r="BT26" i="17" s="1"/>
  <c r="BQ26" i="17"/>
  <c r="BR26" i="17" s="1"/>
  <c r="BN26" i="17"/>
  <c r="BN25" i="17" s="1"/>
  <c r="BL26" i="17"/>
  <c r="BH26" i="17" s="1"/>
  <c r="BI26" i="17"/>
  <c r="BI25" i="17" s="1"/>
  <c r="AY26" i="17"/>
  <c r="AV26" i="17"/>
  <c r="AT26" i="17" s="1"/>
  <c r="AO26" i="17"/>
  <c r="AL26" i="17"/>
  <c r="AM26" i="17" s="1"/>
  <c r="AM30" i="17" s="1"/>
  <c r="AM29" i="17" s="1"/>
  <c r="AE26" i="17"/>
  <c r="AE25" i="17" s="1"/>
  <c r="AB26" i="17"/>
  <c r="AC26" i="17" s="1"/>
  <c r="S26" i="17"/>
  <c r="P26" i="17"/>
  <c r="Q26" i="17" s="1"/>
  <c r="Q25" i="17" s="1"/>
  <c r="M26" i="17"/>
  <c r="J26" i="17"/>
  <c r="H26" i="17" s="1"/>
  <c r="F26" i="17"/>
  <c r="F25" i="17" s="1"/>
  <c r="BV25" i="17"/>
  <c r="BT25" i="17"/>
  <c r="BR25" i="17"/>
  <c r="BO25" i="17"/>
  <c r="BK25" i="17"/>
  <c r="BJ25" i="17"/>
  <c r="AX25" i="17"/>
  <c r="AN25" i="17"/>
  <c r="AD25" i="17"/>
  <c r="R25" i="17"/>
  <c r="L25" i="17"/>
  <c r="BN19" i="17"/>
  <c r="BK19" i="17"/>
  <c r="BI19" i="17"/>
  <c r="BG19" i="17"/>
  <c r="BD19" i="17"/>
  <c r="AX19" i="17"/>
  <c r="AV19" i="17"/>
  <c r="AT19" i="17"/>
  <c r="AN19" i="17"/>
  <c r="AL19" i="17"/>
  <c r="AJ19" i="17"/>
  <c r="AD19" i="17"/>
  <c r="AB19" i="17"/>
  <c r="Z19" i="17"/>
  <c r="X19" i="17"/>
  <c r="V19" i="17"/>
  <c r="T19" i="17"/>
  <c r="R19" i="17"/>
  <c r="P19" i="17"/>
  <c r="N19" i="17"/>
  <c r="L19" i="17"/>
  <c r="J19" i="17"/>
  <c r="H19" i="17"/>
  <c r="F19" i="17"/>
  <c r="BU17" i="17"/>
  <c r="BU19" i="17" s="1"/>
  <c r="BU48" i="17" s="1"/>
  <c r="BS17" i="17"/>
  <c r="BS19" i="17" s="1"/>
  <c r="BS48" i="17" s="1"/>
  <c r="BQ17" i="17"/>
  <c r="BQ19" i="17" s="1"/>
  <c r="BQ48" i="17" s="1"/>
  <c r="BV15" i="17"/>
  <c r="BT15" i="17"/>
  <c r="BT17" i="17" s="1"/>
  <c r="BT19" i="17" s="1"/>
  <c r="BR15" i="17"/>
  <c r="BR17" i="17" s="1"/>
  <c r="BR19" i="17" s="1"/>
  <c r="BO15" i="17"/>
  <c r="BO19" i="17" s="1"/>
  <c r="BL15" i="17"/>
  <c r="BL19" i="17" s="1"/>
  <c r="BJ15" i="17"/>
  <c r="BH15" i="17"/>
  <c r="BH19" i="17" s="1"/>
  <c r="BE15" i="17"/>
  <c r="BE19" i="17" s="1"/>
  <c r="AY15" i="17"/>
  <c r="AY19" i="17" s="1"/>
  <c r="AW15" i="17"/>
  <c r="AW19" i="17" s="1"/>
  <c r="AU15" i="17"/>
  <c r="AU19" i="17" s="1"/>
  <c r="AO15" i="17"/>
  <c r="AM15" i="17"/>
  <c r="AM19" i="17" s="1"/>
  <c r="AK15" i="17"/>
  <c r="AK19" i="17" s="1"/>
  <c r="AE15" i="17"/>
  <c r="AE19" i="17" s="1"/>
  <c r="AC15" i="17"/>
  <c r="AC19" i="17" s="1"/>
  <c r="AA15" i="17"/>
  <c r="AA19" i="17" s="1"/>
  <c r="Y15" i="17"/>
  <c r="W15" i="17"/>
  <c r="W19" i="17" s="1"/>
  <c r="U15" i="17"/>
  <c r="U19" i="17" s="1"/>
  <c r="S15" i="17"/>
  <c r="S19" i="17" s="1"/>
  <c r="Q15" i="17"/>
  <c r="Q19" i="17" s="1"/>
  <c r="O15" i="17"/>
  <c r="O19" i="17" s="1"/>
  <c r="M15" i="17"/>
  <c r="K15" i="17"/>
  <c r="K19" i="17" s="1"/>
  <c r="I15" i="17"/>
  <c r="I19" i="17" s="1"/>
  <c r="G15" i="17"/>
  <c r="G19" i="17" s="1"/>
  <c r="BN9" i="17"/>
  <c r="BG9" i="17"/>
  <c r="BD9" i="17"/>
  <c r="X9" i="17"/>
  <c r="L9" i="17"/>
  <c r="J9" i="17"/>
  <c r="H9" i="17"/>
  <c r="F9" i="17"/>
  <c r="L8" i="17"/>
  <c r="J8" i="17"/>
  <c r="H8" i="17"/>
  <c r="F8" i="17"/>
  <c r="BU2" i="17"/>
  <c r="BU10" i="17" s="1"/>
  <c r="BV10" i="17" s="1"/>
  <c r="BS2" i="17"/>
  <c r="BS10" i="17" s="1"/>
  <c r="BS16" i="17" s="1"/>
  <c r="BQ2" i="17"/>
  <c r="BQ10" i="17" s="1"/>
  <c r="BR10" i="17" s="1"/>
  <c r="BN2" i="17"/>
  <c r="BN10" i="17" s="1"/>
  <c r="BN16" i="17" s="1"/>
  <c r="BN20" i="17" s="1"/>
  <c r="BK2" i="17"/>
  <c r="BK10" i="17" s="1"/>
  <c r="BK16" i="17" s="1"/>
  <c r="BK20" i="17" s="1"/>
  <c r="BK24" i="17" s="1"/>
  <c r="BK23" i="17" s="1"/>
  <c r="BI2" i="17"/>
  <c r="BI10" i="17" s="1"/>
  <c r="BJ10" i="17" s="1"/>
  <c r="BG2" i="17"/>
  <c r="BG10" i="17" s="1"/>
  <c r="BH10" i="17" s="1"/>
  <c r="BD2" i="17"/>
  <c r="BD10" i="17" s="1"/>
  <c r="BD16" i="17" s="1"/>
  <c r="BD20" i="17" s="1"/>
  <c r="AX2" i="17"/>
  <c r="AX10" i="17" s="1"/>
  <c r="AY10" i="17" s="1"/>
  <c r="AV2" i="17"/>
  <c r="AV10" i="17" s="1"/>
  <c r="AV16" i="17" s="1"/>
  <c r="AV20" i="17" s="1"/>
  <c r="AT2" i="17"/>
  <c r="AT10" i="17" s="1"/>
  <c r="AT16" i="17" s="1"/>
  <c r="AT20" i="17" s="1"/>
  <c r="AN2" i="17"/>
  <c r="AN10" i="17" s="1"/>
  <c r="AO10" i="17" s="1"/>
  <c r="AL2" i="17"/>
  <c r="AL10" i="17" s="1"/>
  <c r="AM10" i="17" s="1"/>
  <c r="AJ2" i="17"/>
  <c r="AJ10" i="17" s="1"/>
  <c r="AJ16" i="17" s="1"/>
  <c r="AJ20" i="17" s="1"/>
  <c r="AD2" i="17"/>
  <c r="AD10" i="17" s="1"/>
  <c r="AE10" i="17" s="1"/>
  <c r="AB2" i="17"/>
  <c r="AB10" i="17" s="1"/>
  <c r="AB16" i="17" s="1"/>
  <c r="AB20" i="17" s="1"/>
  <c r="Z2" i="17"/>
  <c r="Z10" i="17" s="1"/>
  <c r="Z16" i="17" s="1"/>
  <c r="Z20" i="17" s="1"/>
  <c r="X2" i="17"/>
  <c r="X10" i="17" s="1"/>
  <c r="Y10" i="17" s="1"/>
  <c r="V2" i="17"/>
  <c r="V10" i="17" s="1"/>
  <c r="W10" i="17" s="1"/>
  <c r="T2" i="17"/>
  <c r="T10" i="17" s="1"/>
  <c r="T16" i="17" s="1"/>
  <c r="T20" i="17" s="1"/>
  <c r="R2" i="17"/>
  <c r="R10" i="17" s="1"/>
  <c r="S10" i="17" s="1"/>
  <c r="P2" i="17"/>
  <c r="P10" i="17" s="1"/>
  <c r="P16" i="17" s="1"/>
  <c r="P20" i="17" s="1"/>
  <c r="N2" i="17"/>
  <c r="N10" i="17" s="1"/>
  <c r="N16" i="17" s="1"/>
  <c r="N20" i="17" s="1"/>
  <c r="L2" i="17"/>
  <c r="L10" i="17" s="1"/>
  <c r="M10" i="17" s="1"/>
  <c r="J2" i="17"/>
  <c r="J10" i="17" s="1"/>
  <c r="K10" i="17" s="1"/>
  <c r="H2" i="17"/>
  <c r="H10" i="17" s="1"/>
  <c r="H16" i="17" s="1"/>
  <c r="H20" i="17" s="1"/>
  <c r="F2" i="17"/>
  <c r="F10" i="17" s="1"/>
  <c r="G10" i="17" s="1"/>
  <c r="V65" i="20" l="1"/>
  <c r="W65" i="20"/>
  <c r="AU126" i="14"/>
  <c r="AU127" i="14" s="1"/>
  <c r="AW125" i="14"/>
  <c r="AU129" i="14"/>
  <c r="AU130" i="14" s="1"/>
  <c r="AW128" i="14"/>
  <c r="AV42" i="14"/>
  <c r="AV41" i="14" s="1"/>
  <c r="AV44" i="14" s="1"/>
  <c r="AV43" i="14" s="1"/>
  <c r="AX32" i="14"/>
  <c r="AV31" i="14"/>
  <c r="AT31" i="14"/>
  <c r="AT42" i="14"/>
  <c r="AT41" i="14" s="1"/>
  <c r="AT44" i="14" s="1"/>
  <c r="AT43" i="14" s="1"/>
  <c r="DA126" i="14"/>
  <c r="DA127" i="14" s="1"/>
  <c r="DG125" i="14"/>
  <c r="DG126" i="14" s="1"/>
  <c r="DG127" i="14" s="1"/>
  <c r="DA129" i="14"/>
  <c r="DA130" i="14" s="1"/>
  <c r="DG128" i="14"/>
  <c r="DG129" i="14" s="1"/>
  <c r="DG130" i="14" s="1"/>
  <c r="CV32" i="14"/>
  <c r="CT42" i="14"/>
  <c r="CT41" i="14" s="1"/>
  <c r="CT44" i="14" s="1"/>
  <c r="CT43" i="14" s="1"/>
  <c r="Y32" i="3"/>
  <c r="CT31" i="14"/>
  <c r="Y31" i="3" s="1"/>
  <c r="AX38" i="22"/>
  <c r="AQ39" i="22"/>
  <c r="AH62" i="20"/>
  <c r="AI61" i="20"/>
  <c r="AH56" i="20"/>
  <c r="AI55" i="20"/>
  <c r="AG47" i="20"/>
  <c r="Q65" i="20"/>
  <c r="AH50" i="20"/>
  <c r="AI49" i="20"/>
  <c r="T65" i="20"/>
  <c r="U65" i="20"/>
  <c r="AH69" i="20"/>
  <c r="AI68" i="20"/>
  <c r="AS39" i="25"/>
  <c r="R65" i="20"/>
  <c r="AS41" i="25"/>
  <c r="CT37" i="22"/>
  <c r="J59" i="26"/>
  <c r="AD61" i="26" s="1"/>
  <c r="AD62" i="26" s="1"/>
  <c r="G102" i="26"/>
  <c r="G103" i="26" s="1"/>
  <c r="F102" i="26"/>
  <c r="F103" i="26" s="1"/>
  <c r="C48" i="26"/>
  <c r="C61" i="26"/>
  <c r="I61" i="26"/>
  <c r="W61" i="26" s="1"/>
  <c r="H61" i="26"/>
  <c r="V61" i="26" s="1"/>
  <c r="E60" i="26"/>
  <c r="S60" i="26" s="1"/>
  <c r="J99" i="26"/>
  <c r="D100" i="26"/>
  <c r="J100" i="26" s="1"/>
  <c r="D60" i="26"/>
  <c r="R60" i="26" s="1"/>
  <c r="F61" i="26"/>
  <c r="T61" i="26" s="1"/>
  <c r="J45" i="26"/>
  <c r="G61" i="26"/>
  <c r="V60" i="26"/>
  <c r="Q60" i="26"/>
  <c r="R59" i="26"/>
  <c r="X59" i="26" s="1"/>
  <c r="AS60" i="25"/>
  <c r="AX53" i="25"/>
  <c r="AX54" i="25"/>
  <c r="AS59" i="25"/>
  <c r="L68" i="25"/>
  <c r="AS54" i="25"/>
  <c r="AY57" i="25"/>
  <c r="AY44" i="25"/>
  <c r="AS52" i="25"/>
  <c r="D68" i="25"/>
  <c r="AI62" i="25"/>
  <c r="AI63" i="25"/>
  <c r="AI64" i="25"/>
  <c r="AS47" i="25"/>
  <c r="AS48" i="25"/>
  <c r="AP58" i="25"/>
  <c r="AM38" i="25"/>
  <c r="AX61" i="25"/>
  <c r="AX59" i="25"/>
  <c r="AY37" i="25"/>
  <c r="AX41" i="25"/>
  <c r="AX39" i="25"/>
  <c r="AX40" i="25"/>
  <c r="AD71" i="20"/>
  <c r="AD72" i="20"/>
  <c r="H65" i="20"/>
  <c r="D65" i="20"/>
  <c r="G65" i="20"/>
  <c r="I65" i="20"/>
  <c r="F65" i="20"/>
  <c r="E65" i="20"/>
  <c r="C65" i="20"/>
  <c r="AD57" i="20"/>
  <c r="AD59" i="20"/>
  <c r="AD58" i="20"/>
  <c r="AD63" i="20"/>
  <c r="AD64" i="20"/>
  <c r="AD65" i="20"/>
  <c r="AE61" i="20"/>
  <c r="AE55" i="20"/>
  <c r="AE68" i="20"/>
  <c r="AE49" i="20"/>
  <c r="AD53" i="20"/>
  <c r="AD52" i="20"/>
  <c r="AD51" i="20"/>
  <c r="AT30" i="17"/>
  <c r="AT29" i="17" s="1"/>
  <c r="T67" i="21"/>
  <c r="R111" i="21"/>
  <c r="J67" i="21"/>
  <c r="M80" i="21"/>
  <c r="T80" i="21" s="1"/>
  <c r="Z48" i="17"/>
  <c r="Y124" i="17"/>
  <c r="Y123" i="17" s="1"/>
  <c r="Y121" i="17" s="1"/>
  <c r="Y122" i="17" s="1"/>
  <c r="Y79" i="17" s="1"/>
  <c r="X79" i="17" s="1"/>
  <c r="BS9" i="17"/>
  <c r="AT24" i="17"/>
  <c r="AT23" i="17" s="1"/>
  <c r="Z9" i="17"/>
  <c r="AD37" i="17"/>
  <c r="BE31" i="17"/>
  <c r="BD32" i="17"/>
  <c r="BD31" i="17" s="1"/>
  <c r="BT124" i="17"/>
  <c r="BT123" i="17" s="1"/>
  <c r="BT121" i="17" s="1"/>
  <c r="BT122" i="17" s="1"/>
  <c r="BT79" i="17" s="1"/>
  <c r="R36" i="17"/>
  <c r="R35" i="17" s="1"/>
  <c r="AJ26" i="17"/>
  <c r="AK26" i="17" s="1"/>
  <c r="AK25" i="17" s="1"/>
  <c r="AB24" i="17"/>
  <c r="AB23" i="17" s="1"/>
  <c r="K124" i="17"/>
  <c r="K123" i="17" s="1"/>
  <c r="K121" i="17" s="1"/>
  <c r="K122" i="17" s="1"/>
  <c r="K79" i="17" s="1"/>
  <c r="K78" i="17" s="1"/>
  <c r="W124" i="17"/>
  <c r="W123" i="17" s="1"/>
  <c r="W121" i="17" s="1"/>
  <c r="W122" i="17" s="1"/>
  <c r="W79" i="17" s="1"/>
  <c r="V79" i="17" s="1"/>
  <c r="AM124" i="17"/>
  <c r="AM123" i="17" s="1"/>
  <c r="AM121" i="17" s="1"/>
  <c r="AM122" i="17" s="1"/>
  <c r="AM79" i="17" s="1"/>
  <c r="BH124" i="17"/>
  <c r="BH123" i="17" s="1"/>
  <c r="BH121" i="17" s="1"/>
  <c r="BH122" i="17" s="1"/>
  <c r="BH79" i="17" s="1"/>
  <c r="BV124" i="17"/>
  <c r="BV123" i="17" s="1"/>
  <c r="BV121" i="17" s="1"/>
  <c r="BV122" i="17" s="1"/>
  <c r="BV79" i="17" s="1"/>
  <c r="Q124" i="17"/>
  <c r="Q123" i="17" s="1"/>
  <c r="Q121" i="17" s="1"/>
  <c r="Q122" i="17" s="1"/>
  <c r="Q79" i="17" s="1"/>
  <c r="BO124" i="17"/>
  <c r="BO123" i="17" s="1"/>
  <c r="BO121" i="17" s="1"/>
  <c r="BO122" i="17" s="1"/>
  <c r="BO79" i="17" s="1"/>
  <c r="AV24" i="17"/>
  <c r="AV23" i="17" s="1"/>
  <c r="AL25" i="17"/>
  <c r="BR30" i="17"/>
  <c r="BR29" i="17" s="1"/>
  <c r="G60" i="17"/>
  <c r="CW39" i="22"/>
  <c r="AM103" i="17"/>
  <c r="BR103" i="17"/>
  <c r="L30" i="17"/>
  <c r="L29" i="17" s="1"/>
  <c r="BV44" i="17"/>
  <c r="BV43" i="17" s="1"/>
  <c r="BT103" i="17"/>
  <c r="AC124" i="17"/>
  <c r="AC123" i="17" s="1"/>
  <c r="AC121" i="17" s="1"/>
  <c r="AC122" i="17" s="1"/>
  <c r="AC79" i="17" s="1"/>
  <c r="AW124" i="17"/>
  <c r="AW123" i="17" s="1"/>
  <c r="AW121" i="17" s="1"/>
  <c r="AW122" i="17" s="1"/>
  <c r="AW79" i="17" s="1"/>
  <c r="AE70" i="17"/>
  <c r="AE103" i="17"/>
  <c r="J25" i="17"/>
  <c r="AK103" i="17"/>
  <c r="K26" i="17"/>
  <c r="K30" i="17" s="1"/>
  <c r="K29" i="17" s="1"/>
  <c r="AX9" i="17"/>
  <c r="M124" i="17"/>
  <c r="M123" i="17" s="1"/>
  <c r="M121" i="17" s="1"/>
  <c r="M122" i="17" s="1"/>
  <c r="M79" i="17" s="1"/>
  <c r="M78" i="17" s="1"/>
  <c r="AO124" i="17"/>
  <c r="AO123" i="17" s="1"/>
  <c r="AO121" i="17" s="1"/>
  <c r="AO122" i="17" s="1"/>
  <c r="AO79" i="17" s="1"/>
  <c r="BJ124" i="17"/>
  <c r="BJ123" i="17" s="1"/>
  <c r="BJ121" i="17" s="1"/>
  <c r="BJ122" i="17" s="1"/>
  <c r="BJ79" i="17" s="1"/>
  <c r="G124" i="17"/>
  <c r="G123" i="17" s="1"/>
  <c r="G121" i="17" s="1"/>
  <c r="G122" i="17" s="1"/>
  <c r="G79" i="17" s="1"/>
  <c r="G78" i="17" s="1"/>
  <c r="S124" i="17"/>
  <c r="S123" i="17" s="1"/>
  <c r="S121" i="17" s="1"/>
  <c r="S122" i="17" s="1"/>
  <c r="S79" i="17" s="1"/>
  <c r="AE124" i="17"/>
  <c r="AE123" i="17" s="1"/>
  <c r="AE121" i="17" s="1"/>
  <c r="AE122" i="17" s="1"/>
  <c r="AE79" i="17" s="1"/>
  <c r="AY124" i="17"/>
  <c r="AY123" i="17" s="1"/>
  <c r="AY121" i="17" s="1"/>
  <c r="AY122" i="17" s="1"/>
  <c r="AY79" i="17" s="1"/>
  <c r="BR124" i="17"/>
  <c r="BR123" i="17" s="1"/>
  <c r="BR121" i="17" s="1"/>
  <c r="BR122" i="17" s="1"/>
  <c r="BR79" i="17" s="1"/>
  <c r="T74" i="17"/>
  <c r="AY103" i="17"/>
  <c r="O124" i="17"/>
  <c r="O123" i="17" s="1"/>
  <c r="O121" i="17" s="1"/>
  <c r="O122" i="17" s="1"/>
  <c r="O79" i="17" s="1"/>
  <c r="N79" i="17" s="1"/>
  <c r="AA124" i="17"/>
  <c r="AA123" i="17" s="1"/>
  <c r="AA121" i="17" s="1"/>
  <c r="AA122" i="17" s="1"/>
  <c r="AA79" i="17" s="1"/>
  <c r="AU124" i="17"/>
  <c r="AU123" i="17" s="1"/>
  <c r="AU121" i="17" s="1"/>
  <c r="AU122" i="17" s="1"/>
  <c r="AU79" i="17" s="1"/>
  <c r="BL124" i="17"/>
  <c r="BL123" i="17" s="1"/>
  <c r="BL121" i="17" s="1"/>
  <c r="BL122" i="17" s="1"/>
  <c r="BL79" i="17" s="1"/>
  <c r="I124" i="17"/>
  <c r="I123" i="17" s="1"/>
  <c r="I121" i="17" s="1"/>
  <c r="I122" i="17" s="1"/>
  <c r="I79" i="17" s="1"/>
  <c r="I78" i="17" s="1"/>
  <c r="P9" i="17"/>
  <c r="AH26" i="17"/>
  <c r="R9" i="17"/>
  <c r="BL30" i="17"/>
  <c r="BL29" i="17" s="1"/>
  <c r="Q67" i="17"/>
  <c r="Q63" i="17" s="1"/>
  <c r="Q75" i="17" s="1"/>
  <c r="BE103" i="17"/>
  <c r="BB32" i="17"/>
  <c r="M60" i="17"/>
  <c r="BL147" i="17"/>
  <c r="C98" i="21"/>
  <c r="J98" i="21" s="1"/>
  <c r="L16" i="17"/>
  <c r="L20" i="17" s="1"/>
  <c r="L24" i="17" s="1"/>
  <c r="L23" i="17" s="1"/>
  <c r="AT48" i="17"/>
  <c r="AG26" i="17"/>
  <c r="BR44" i="17"/>
  <c r="BR43" i="17" s="1"/>
  <c r="M61" i="17"/>
  <c r="M41" i="17" s="1"/>
  <c r="AK70" i="17"/>
  <c r="O67" i="17"/>
  <c r="O63" i="17" s="1"/>
  <c r="O60" i="17" s="1"/>
  <c r="AA66" i="17"/>
  <c r="M75" i="17"/>
  <c r="M70" i="17" s="1"/>
  <c r="AO147" i="17"/>
  <c r="S31" i="17"/>
  <c r="BR70" i="17"/>
  <c r="BR67" i="17" s="1"/>
  <c r="P24" i="17"/>
  <c r="P23" i="17" s="1"/>
  <c r="BN24" i="17"/>
  <c r="BN23" i="17" s="1"/>
  <c r="BI9" i="17"/>
  <c r="AN16" i="17"/>
  <c r="AN20" i="17" s="1"/>
  <c r="AN24" i="17" s="1"/>
  <c r="AN23" i="17" s="1"/>
  <c r="AV48" i="17"/>
  <c r="AB25" i="17"/>
  <c r="AV25" i="17"/>
  <c r="J30" i="17"/>
  <c r="J29" i="17" s="1"/>
  <c r="L31" i="17"/>
  <c r="BT30" i="17"/>
  <c r="BT29" i="17" s="1"/>
  <c r="AO36" i="17"/>
  <c r="AO35" i="17" s="1"/>
  <c r="S36" i="17"/>
  <c r="S35" i="17" s="1"/>
  <c r="AM25" i="17"/>
  <c r="AN9" i="17"/>
  <c r="I103" i="17"/>
  <c r="Y103" i="17"/>
  <c r="AU103" i="17"/>
  <c r="M119" i="17"/>
  <c r="H42" i="17"/>
  <c r="P25" i="17"/>
  <c r="BJ103" i="17"/>
  <c r="AY36" i="17"/>
  <c r="AY35" i="17" s="1"/>
  <c r="V9" i="17"/>
  <c r="AT9" i="17"/>
  <c r="AJ48" i="17"/>
  <c r="BH30" i="17"/>
  <c r="BH29" i="17" s="1"/>
  <c r="I60" i="17"/>
  <c r="T68" i="17"/>
  <c r="BL64" i="17"/>
  <c r="BL70" i="17" s="1"/>
  <c r="V74" i="17"/>
  <c r="AA103" i="17"/>
  <c r="G111" i="21"/>
  <c r="X16" i="17"/>
  <c r="X20" i="17" s="1"/>
  <c r="BH25" i="17"/>
  <c r="AL30" i="17"/>
  <c r="AL29" i="17" s="1"/>
  <c r="BG26" i="17"/>
  <c r="BG25" i="17" s="1"/>
  <c r="P30" i="17"/>
  <c r="P29" i="17" s="1"/>
  <c r="AO31" i="17"/>
  <c r="BI31" i="17"/>
  <c r="AN32" i="17"/>
  <c r="AX32" i="17"/>
  <c r="AX36" i="17" s="1"/>
  <c r="AX35" i="17" s="1"/>
  <c r="BK37" i="17"/>
  <c r="R42" i="17"/>
  <c r="AB42" i="17"/>
  <c r="G103" i="17"/>
  <c r="J124" i="21"/>
  <c r="T124" i="21"/>
  <c r="K61" i="17"/>
  <c r="K41" i="17" s="1"/>
  <c r="U70" i="17"/>
  <c r="BU9" i="17"/>
  <c r="AK10" i="17"/>
  <c r="AK16" i="17" s="1"/>
  <c r="AK20" i="17" s="1"/>
  <c r="AD16" i="17"/>
  <c r="AD20" i="17" s="1"/>
  <c r="AD24" i="17" s="1"/>
  <c r="AD23" i="17" s="1"/>
  <c r="Z26" i="17"/>
  <c r="Z30" i="17" s="1"/>
  <c r="Z29" i="17" s="1"/>
  <c r="R30" i="17"/>
  <c r="R29" i="17" s="1"/>
  <c r="R31" i="17"/>
  <c r="AD32" i="17"/>
  <c r="AD30" i="17" s="1"/>
  <c r="AD29" i="17" s="1"/>
  <c r="AB48" i="17"/>
  <c r="K60" i="17"/>
  <c r="U124" i="17"/>
  <c r="U123" i="17" s="1"/>
  <c r="U121" i="17" s="1"/>
  <c r="U122" i="17" s="1"/>
  <c r="U79" i="17" s="1"/>
  <c r="T79" i="17" s="1"/>
  <c r="AK124" i="17"/>
  <c r="AK123" i="17" s="1"/>
  <c r="AK121" i="17" s="1"/>
  <c r="AK122" i="17" s="1"/>
  <c r="AK79" i="17" s="1"/>
  <c r="BE124" i="17"/>
  <c r="BE123" i="17" s="1"/>
  <c r="BE121" i="17" s="1"/>
  <c r="BE122" i="17" s="1"/>
  <c r="BE79" i="17" s="1"/>
  <c r="I147" i="17"/>
  <c r="AL48" i="17"/>
  <c r="H24" i="17"/>
  <c r="H23" i="17" s="1"/>
  <c r="T9" i="17"/>
  <c r="AL9" i="17"/>
  <c r="L42" i="17"/>
  <c r="BI16" i="17"/>
  <c r="BI20" i="17" s="1"/>
  <c r="BI24" i="17" s="1"/>
  <c r="BI23" i="17" s="1"/>
  <c r="AC25" i="17"/>
  <c r="N26" i="17"/>
  <c r="O26" i="17" s="1"/>
  <c r="AE30" i="17"/>
  <c r="AE29" i="17" s="1"/>
  <c r="AU26" i="17"/>
  <c r="BE26" i="17" s="1"/>
  <c r="BE25" i="17" s="1"/>
  <c r="F30" i="17"/>
  <c r="F29" i="17" s="1"/>
  <c r="AR32" i="17"/>
  <c r="V42" i="17"/>
  <c r="W67" i="17"/>
  <c r="V8" i="17" s="1"/>
  <c r="BV67" i="17"/>
  <c r="BV63" i="17" s="1"/>
  <c r="BV60" i="17" s="1"/>
  <c r="BV103" i="17"/>
  <c r="I10" i="17"/>
  <c r="I16" i="17" s="1"/>
  <c r="I20" i="17" s="1"/>
  <c r="BE10" i="17"/>
  <c r="BE16" i="17" s="1"/>
  <c r="BE20" i="17" s="1"/>
  <c r="BL25" i="17"/>
  <c r="AY31" i="17"/>
  <c r="BH103" i="17"/>
  <c r="Q111" i="21"/>
  <c r="J97" i="21"/>
  <c r="T98" i="21"/>
  <c r="T97" i="21"/>
  <c r="CU37" i="22"/>
  <c r="CY24" i="22"/>
  <c r="CU38" i="22"/>
  <c r="CA39" i="22"/>
  <c r="CY29" i="22"/>
  <c r="DB16" i="22"/>
  <c r="CY38" i="22"/>
  <c r="CY39" i="22" s="1"/>
  <c r="CX39" i="22"/>
  <c r="CY36" i="22"/>
  <c r="CV38" i="22"/>
  <c r="CV36" i="22"/>
  <c r="CV37" i="22"/>
  <c r="DA39" i="22"/>
  <c r="AM39" i="22"/>
  <c r="BV39" i="22"/>
  <c r="BN39" i="22"/>
  <c r="CL39" i="22"/>
  <c r="BF39" i="22"/>
  <c r="AX39" i="22"/>
  <c r="CT38" i="22"/>
  <c r="CM39" i="22"/>
  <c r="CD39" i="22"/>
  <c r="AP38" i="22"/>
  <c r="AP39" i="22" s="1"/>
  <c r="J80" i="21"/>
  <c r="F106" i="21"/>
  <c r="P106" i="21"/>
  <c r="I106" i="21"/>
  <c r="Q106" i="21"/>
  <c r="S106" i="21"/>
  <c r="G106" i="21"/>
  <c r="AA10" i="17"/>
  <c r="S139" i="17"/>
  <c r="S140" i="17" s="1"/>
  <c r="S148" i="17" s="1"/>
  <c r="S133" i="17"/>
  <c r="S134" i="17" s="1"/>
  <c r="S83" i="17"/>
  <c r="S81" i="17" s="1"/>
  <c r="S76" i="17"/>
  <c r="S16" i="17"/>
  <c r="S20" i="17" s="1"/>
  <c r="S24" i="17" s="1"/>
  <c r="S23" i="17" s="1"/>
  <c r="AY139" i="17"/>
  <c r="AY140" i="17" s="1"/>
  <c r="AY148" i="17" s="1"/>
  <c r="AY133" i="17"/>
  <c r="AY134" i="17" s="1"/>
  <c r="AY83" i="17"/>
  <c r="AY81" i="17" s="1"/>
  <c r="AY16" i="17"/>
  <c r="AY20" i="17" s="1"/>
  <c r="AY24" i="17" s="1"/>
  <c r="AM133" i="17"/>
  <c r="AM134" i="17" s="1"/>
  <c r="AM139" i="17"/>
  <c r="AM140" i="17" s="1"/>
  <c r="AM148" i="17" s="1"/>
  <c r="AM83" i="17"/>
  <c r="AM81" i="17" s="1"/>
  <c r="M19" i="17"/>
  <c r="M16" i="17"/>
  <c r="M20" i="17" s="1"/>
  <c r="M24" i="17" s="1"/>
  <c r="M23" i="17" s="1"/>
  <c r="Y19" i="17"/>
  <c r="Y16" i="17"/>
  <c r="Y20" i="17" s="1"/>
  <c r="AO19" i="17"/>
  <c r="AO16" i="17"/>
  <c r="AO20" i="17" s="1"/>
  <c r="AO24" i="17" s="1"/>
  <c r="BJ16" i="17"/>
  <c r="BJ20" i="17" s="1"/>
  <c r="BJ24" i="17" s="1"/>
  <c r="BJ23" i="17" s="1"/>
  <c r="BJ19" i="17"/>
  <c r="F16" i="17"/>
  <c r="F20" i="17" s="1"/>
  <c r="F24" i="17" s="1"/>
  <c r="F23" i="17" s="1"/>
  <c r="AX16" i="17"/>
  <c r="AX20" i="17" s="1"/>
  <c r="AX24" i="17" s="1"/>
  <c r="AX23" i="17" s="1"/>
  <c r="AE139" i="17"/>
  <c r="AE140" i="17" s="1"/>
  <c r="AE148" i="17" s="1"/>
  <c r="AE133" i="17"/>
  <c r="AE134" i="17" s="1"/>
  <c r="AE83" i="17"/>
  <c r="AE81" i="17" s="1"/>
  <c r="AE16" i="17"/>
  <c r="AE20" i="17" s="1"/>
  <c r="AE24" i="17" s="1"/>
  <c r="BS24" i="17"/>
  <c r="BS23" i="17" s="1"/>
  <c r="BS20" i="17"/>
  <c r="K84" i="17"/>
  <c r="K82" i="17"/>
  <c r="BH133" i="17"/>
  <c r="BH134" i="17" s="1"/>
  <c r="BH139" i="17"/>
  <c r="BH140" i="17" s="1"/>
  <c r="BH148" i="17" s="1"/>
  <c r="G136" i="17"/>
  <c r="G137" i="17" s="1"/>
  <c r="G148" i="17" s="1"/>
  <c r="G82" i="17"/>
  <c r="G16" i="17"/>
  <c r="G20" i="17" s="1"/>
  <c r="BR139" i="17"/>
  <c r="BR140" i="17" s="1"/>
  <c r="BR148" i="17" s="1"/>
  <c r="BR133" i="17"/>
  <c r="BR134" i="17" s="1"/>
  <c r="BR76" i="17"/>
  <c r="BR16" i="17"/>
  <c r="BR83" i="17"/>
  <c r="BR81" i="17" s="1"/>
  <c r="O10" i="17"/>
  <c r="O76" i="17" s="1"/>
  <c r="BL10" i="17"/>
  <c r="BL16" i="17" s="1"/>
  <c r="BL20" i="17" s="1"/>
  <c r="BL24" i="17" s="1"/>
  <c r="BL23" i="17" s="1"/>
  <c r="U10" i="17"/>
  <c r="U76" i="17" s="1"/>
  <c r="AU10" i="17"/>
  <c r="AU16" i="17" s="1"/>
  <c r="AU20" i="17" s="1"/>
  <c r="BT10" i="17"/>
  <c r="M84" i="17"/>
  <c r="N84" i="17" s="1"/>
  <c r="M82" i="17"/>
  <c r="Y133" i="17"/>
  <c r="Y134" i="17" s="1"/>
  <c r="Y139" i="17"/>
  <c r="Y140" i="17" s="1"/>
  <c r="Y148" i="17" s="1"/>
  <c r="Y83" i="17"/>
  <c r="Y81" i="17" s="1"/>
  <c r="Y76" i="17"/>
  <c r="AO133" i="17"/>
  <c r="AO134" i="17" s="1"/>
  <c r="AO139" i="17"/>
  <c r="AO140" i="17" s="1"/>
  <c r="AO83" i="17"/>
  <c r="AO81" i="17" s="1"/>
  <c r="BJ133" i="17"/>
  <c r="BJ134" i="17" s="1"/>
  <c r="BJ139" i="17"/>
  <c r="BJ140" i="17" s="1"/>
  <c r="BJ148" i="17" s="1"/>
  <c r="W136" i="17"/>
  <c r="W137" i="17" s="1"/>
  <c r="W133" i="17"/>
  <c r="W134" i="17" s="1"/>
  <c r="W139" i="17"/>
  <c r="W140" i="17" s="1"/>
  <c r="W148" i="17" s="1"/>
  <c r="W83" i="17"/>
  <c r="W81" i="17" s="1"/>
  <c r="BV133" i="17"/>
  <c r="BV134" i="17" s="1"/>
  <c r="BV139" i="17"/>
  <c r="BV140" i="17" s="1"/>
  <c r="BV148" i="17" s="1"/>
  <c r="BV83" i="17"/>
  <c r="BV81" i="17" s="1"/>
  <c r="BV76" i="17"/>
  <c r="R16" i="17"/>
  <c r="R20" i="17" s="1"/>
  <c r="R24" i="17" s="1"/>
  <c r="R23" i="17" s="1"/>
  <c r="BQ16" i="17"/>
  <c r="H30" i="17"/>
  <c r="H29" i="17" s="1"/>
  <c r="I26" i="17"/>
  <c r="H25" i="17"/>
  <c r="BV30" i="17"/>
  <c r="BV29" i="17" s="1"/>
  <c r="M25" i="17"/>
  <c r="M30" i="17"/>
  <c r="M29" i="17" s="1"/>
  <c r="AW26" i="17"/>
  <c r="AC30" i="17"/>
  <c r="BI30" i="17"/>
  <c r="BI29" i="17" s="1"/>
  <c r="AL31" i="17"/>
  <c r="AV42" i="17"/>
  <c r="AV31" i="17"/>
  <c r="BK36" i="17"/>
  <c r="BK35" i="17" s="1"/>
  <c r="AX42" i="17"/>
  <c r="Q66" i="17"/>
  <c r="AQ26" i="17"/>
  <c r="U67" i="17"/>
  <c r="U66" i="17"/>
  <c r="BT66" i="17"/>
  <c r="BT67" i="17"/>
  <c r="BJ83" i="17"/>
  <c r="BJ81" i="17" s="1"/>
  <c r="Q30" i="17"/>
  <c r="G84" i="17"/>
  <c r="BL84" i="17"/>
  <c r="Q10" i="17"/>
  <c r="AC10" i="17"/>
  <c r="AC16" i="17" s="1"/>
  <c r="AC20" i="17" s="1"/>
  <c r="AC24" i="17" s="1"/>
  <c r="AW10" i="17"/>
  <c r="BO10" i="17"/>
  <c r="BO16" i="17" s="1"/>
  <c r="BO20" i="17" s="1"/>
  <c r="BO24" i="17" s="1"/>
  <c r="BO23" i="17" s="1"/>
  <c r="AB30" i="17"/>
  <c r="AB29" i="17" s="1"/>
  <c r="N31" i="17"/>
  <c r="BK31" i="17"/>
  <c r="G32" i="17"/>
  <c r="AT42" i="17"/>
  <c r="BN31" i="17"/>
  <c r="F42" i="17"/>
  <c r="N68" i="17"/>
  <c r="AW70" i="17"/>
  <c r="M87" i="17"/>
  <c r="L68" i="17"/>
  <c r="M69" i="17"/>
  <c r="M66" i="17" s="1"/>
  <c r="N74" i="17"/>
  <c r="O66" i="17"/>
  <c r="BJ136" i="17"/>
  <c r="BJ137" i="17" s="1"/>
  <c r="N9" i="17"/>
  <c r="J16" i="17"/>
  <c r="J20" i="17" s="1"/>
  <c r="J24" i="17" s="1"/>
  <c r="J23" i="17" s="1"/>
  <c r="V16" i="17"/>
  <c r="V20" i="17" s="1"/>
  <c r="AL16" i="17"/>
  <c r="AL20" i="17" s="1"/>
  <c r="AL24" i="17" s="1"/>
  <c r="AL23" i="17" s="1"/>
  <c r="BG16" i="17"/>
  <c r="BG20" i="17" s="1"/>
  <c r="BU16" i="17"/>
  <c r="AT25" i="17"/>
  <c r="AO25" i="17"/>
  <c r="AR26" i="17"/>
  <c r="AY25" i="17"/>
  <c r="AY30" i="17"/>
  <c r="AO30" i="17"/>
  <c r="J42" i="17"/>
  <c r="J31" i="17"/>
  <c r="T42" i="17"/>
  <c r="AH32" i="17"/>
  <c r="AE36" i="17"/>
  <c r="AE35" i="17" s="1"/>
  <c r="M36" i="17"/>
  <c r="M35" i="17" s="1"/>
  <c r="AL42" i="17"/>
  <c r="AO42" i="17"/>
  <c r="AN38" i="17"/>
  <c r="I74" i="17"/>
  <c r="I75" i="17"/>
  <c r="S25" i="17"/>
  <c r="S30" i="17"/>
  <c r="AK69" i="17"/>
  <c r="K119" i="17"/>
  <c r="K87" i="17"/>
  <c r="K116" i="17"/>
  <c r="K76" i="17"/>
  <c r="K69" i="17"/>
  <c r="K66" i="17" s="1"/>
  <c r="AC74" i="17"/>
  <c r="AC66" i="17" s="1"/>
  <c r="AA67" i="17"/>
  <c r="AV30" i="17"/>
  <c r="AV29" i="17" s="1"/>
  <c r="AK32" i="17"/>
  <c r="BT44" i="17"/>
  <c r="BT43" i="17" s="1"/>
  <c r="K75" i="17"/>
  <c r="K70" i="17" s="1"/>
  <c r="AB9" i="17"/>
  <c r="K16" i="17"/>
  <c r="K20" i="17" s="1"/>
  <c r="W16" i="17"/>
  <c r="W20" i="17" s="1"/>
  <c r="AM16" i="17"/>
  <c r="AM20" i="17" s="1"/>
  <c r="AM24" i="17" s="1"/>
  <c r="BH16" i="17"/>
  <c r="BH20" i="17" s="1"/>
  <c r="BH24" i="17" s="1"/>
  <c r="BH23" i="17" s="1"/>
  <c r="BV16" i="17"/>
  <c r="BV17" i="17"/>
  <c r="BV19" i="17" s="1"/>
  <c r="G26" i="17"/>
  <c r="Y26" i="17"/>
  <c r="BB26" i="17"/>
  <c r="BN30" i="17"/>
  <c r="BN29" i="17" s="1"/>
  <c r="AT31" i="17"/>
  <c r="L36" i="17"/>
  <c r="L35" i="17" s="1"/>
  <c r="BG32" i="17"/>
  <c r="BH31" i="17"/>
  <c r="BH42" i="17"/>
  <c r="Y32" i="17"/>
  <c r="AO37" i="17"/>
  <c r="W66" i="17"/>
  <c r="BV66" i="17"/>
  <c r="G87" i="17"/>
  <c r="G76" i="17"/>
  <c r="S66" i="17"/>
  <c r="S67" i="17"/>
  <c r="BR66" i="17"/>
  <c r="M76" i="17"/>
  <c r="P42" i="17"/>
  <c r="M135" i="17"/>
  <c r="M136" i="17" s="1"/>
  <c r="M137" i="17" s="1"/>
  <c r="K136" i="17"/>
  <c r="K137" i="17" s="1"/>
  <c r="Z42" i="17"/>
  <c r="G57" i="17"/>
  <c r="G61" i="17" s="1"/>
  <c r="I61" i="17"/>
  <c r="I56" i="17" s="1"/>
  <c r="V68" i="17"/>
  <c r="G75" i="17"/>
  <c r="G70" i="17" s="1"/>
  <c r="W76" i="17"/>
  <c r="BG84" i="17"/>
  <c r="BH83" i="17"/>
  <c r="BH81" i="17" s="1"/>
  <c r="S135" i="17"/>
  <c r="AC147" i="17"/>
  <c r="AC103" i="17"/>
  <c r="AW147" i="17"/>
  <c r="AW103" i="17"/>
  <c r="BO147" i="17"/>
  <c r="BO103" i="17"/>
  <c r="M116" i="17"/>
  <c r="G119" i="17"/>
  <c r="Y136" i="17"/>
  <c r="Y137" i="17" s="1"/>
  <c r="BV136" i="17"/>
  <c r="BV137" i="17" s="1"/>
  <c r="G116" i="17"/>
  <c r="K144" i="17"/>
  <c r="CT39" i="22" l="1"/>
  <c r="AZ32" i="14"/>
  <c r="AX42" i="14"/>
  <c r="AX41" i="14" s="1"/>
  <c r="AX44" i="14" s="1"/>
  <c r="AX43" i="14" s="1"/>
  <c r="AX31" i="14"/>
  <c r="AY128" i="14"/>
  <c r="AW129" i="14"/>
  <c r="AW130" i="14" s="1"/>
  <c r="AY125" i="14"/>
  <c r="AW126" i="14"/>
  <c r="AW127" i="14" s="1"/>
  <c r="Y42" i="3"/>
  <c r="Y41" i="3" s="1"/>
  <c r="Y44" i="3" s="1"/>
  <c r="Y43" i="3" s="1"/>
  <c r="CV42" i="14"/>
  <c r="CV41" i="14" s="1"/>
  <c r="CV44" i="14" s="1"/>
  <c r="CV43" i="14" s="1"/>
  <c r="CX32" i="14"/>
  <c r="CZ32" i="14" s="1"/>
  <c r="AA32" i="3"/>
  <c r="CV31" i="14"/>
  <c r="AA31" i="3" s="1"/>
  <c r="AH72" i="20"/>
  <c r="AH71" i="20"/>
  <c r="AH70" i="20"/>
  <c r="AH57" i="20"/>
  <c r="AH59" i="20"/>
  <c r="AH58" i="20"/>
  <c r="AD59" i="25"/>
  <c r="AF59" i="25"/>
  <c r="AI59" i="25"/>
  <c r="AM59" i="25"/>
  <c r="AO59" i="25"/>
  <c r="AJ59" i="25"/>
  <c r="AG59" i="25"/>
  <c r="AA59" i="25"/>
  <c r="Y59" i="25"/>
  <c r="AL59" i="25"/>
  <c r="AK59" i="25"/>
  <c r="AC59" i="25"/>
  <c r="Z59" i="25"/>
  <c r="AN59" i="25"/>
  <c r="AB59" i="25"/>
  <c r="AH59" i="25"/>
  <c r="AE59" i="25"/>
  <c r="AH65" i="20"/>
  <c r="AH64" i="20"/>
  <c r="AH63" i="20"/>
  <c r="AH52" i="20"/>
  <c r="AH51" i="20"/>
  <c r="AH53" i="20"/>
  <c r="J60" i="26"/>
  <c r="Z59" i="26"/>
  <c r="AA59" i="26" s="1"/>
  <c r="AH61" i="26"/>
  <c r="C90" i="26"/>
  <c r="X60" i="26"/>
  <c r="U61" i="26"/>
  <c r="H62" i="26"/>
  <c r="H48" i="26"/>
  <c r="H90" i="26" s="1"/>
  <c r="H91" i="26" s="1"/>
  <c r="H102" i="26"/>
  <c r="H103" i="26" s="1"/>
  <c r="F62" i="26"/>
  <c r="F48" i="26"/>
  <c r="F90" i="26" s="1"/>
  <c r="F91" i="26" s="1"/>
  <c r="E61" i="26"/>
  <c r="S61" i="26" s="1"/>
  <c r="J47" i="26"/>
  <c r="D61" i="26"/>
  <c r="R61" i="26" s="1"/>
  <c r="J46" i="26"/>
  <c r="C62" i="26"/>
  <c r="C102" i="26"/>
  <c r="I62" i="26"/>
  <c r="I48" i="26"/>
  <c r="I90" i="26" s="1"/>
  <c r="I91" i="26" s="1"/>
  <c r="I102" i="26"/>
  <c r="I103" i="26" s="1"/>
  <c r="G62" i="26"/>
  <c r="U62" i="26" s="1"/>
  <c r="G48" i="26"/>
  <c r="G90" i="26" s="1"/>
  <c r="G91" i="26" s="1"/>
  <c r="Q61" i="26"/>
  <c r="AD64" i="26"/>
  <c r="AD63" i="26"/>
  <c r="AD65" i="26"/>
  <c r="AI68" i="25"/>
  <c r="AW35" i="25"/>
  <c r="AP61" i="25"/>
  <c r="X59" i="25"/>
  <c r="AK133" i="17"/>
  <c r="AK134" i="17" s="1"/>
  <c r="BD42" i="17"/>
  <c r="W63" i="17"/>
  <c r="W60" i="17" s="1"/>
  <c r="AO148" i="17"/>
  <c r="Z25" i="17"/>
  <c r="BV115" i="17"/>
  <c r="BV116" i="17" s="1"/>
  <c r="AJ24" i="17"/>
  <c r="AJ23" i="17" s="1"/>
  <c r="AK30" i="17"/>
  <c r="AK29" i="17" s="1"/>
  <c r="AJ25" i="17"/>
  <c r="AK24" i="17"/>
  <c r="AK23" i="17" s="1"/>
  <c r="BE136" i="17"/>
  <c r="BE137" i="17" s="1"/>
  <c r="BE83" i="17"/>
  <c r="BE81" i="17" s="1"/>
  <c r="BE78" i="17" s="1"/>
  <c r="BE133" i="17"/>
  <c r="BE134" i="17" s="1"/>
  <c r="BE139" i="17"/>
  <c r="BE140" i="17" s="1"/>
  <c r="BE148" i="17" s="1"/>
  <c r="AN36" i="17"/>
  <c r="AN35" i="17" s="1"/>
  <c r="I136" i="17"/>
  <c r="I137" i="17" s="1"/>
  <c r="I148" i="17" s="1"/>
  <c r="I82" i="17"/>
  <c r="N8" i="17"/>
  <c r="P8" i="17"/>
  <c r="BU8" i="17"/>
  <c r="AU24" i="17"/>
  <c r="AU23" i="17" s="1"/>
  <c r="Q60" i="17"/>
  <c r="Q57" i="17"/>
  <c r="Q61" i="17" s="1"/>
  <c r="Q41" i="17" s="1"/>
  <c r="AA26" i="17"/>
  <c r="AA30" i="17" s="1"/>
  <c r="W118" i="17"/>
  <c r="W119" i="17" s="1"/>
  <c r="BK9" i="17"/>
  <c r="AU25" i="17"/>
  <c r="K25" i="17"/>
  <c r="L41" i="17"/>
  <c r="K24" i="17"/>
  <c r="K23" i="17" s="1"/>
  <c r="BD26" i="17"/>
  <c r="BD25" i="17" s="1"/>
  <c r="M56" i="17"/>
  <c r="L45" i="17" s="1"/>
  <c r="BE30" i="17"/>
  <c r="BE29" i="17" s="1"/>
  <c r="AK83" i="17"/>
  <c r="AK81" i="17" s="1"/>
  <c r="AK82" i="17" s="1"/>
  <c r="BG24" i="17"/>
  <c r="BG23" i="17" s="1"/>
  <c r="I84" i="17"/>
  <c r="Z84" i="17" s="1"/>
  <c r="AK139" i="17"/>
  <c r="AK140" i="17" s="1"/>
  <c r="AK148" i="17" s="1"/>
  <c r="Z24" i="17"/>
  <c r="Z23" i="17" s="1"/>
  <c r="J41" i="17"/>
  <c r="AU30" i="17"/>
  <c r="AU29" i="17" s="1"/>
  <c r="BE24" i="17"/>
  <c r="BE23" i="17" s="1"/>
  <c r="N25" i="17"/>
  <c r="T26" i="17"/>
  <c r="BV118" i="17"/>
  <c r="BV119" i="17" s="1"/>
  <c r="AX31" i="17"/>
  <c r="AX30" i="17"/>
  <c r="AX29" i="17" s="1"/>
  <c r="AN31" i="17"/>
  <c r="AN30" i="17"/>
  <c r="AN29" i="17" s="1"/>
  <c r="F41" i="17"/>
  <c r="AD31" i="17"/>
  <c r="AD36" i="17"/>
  <c r="AD35" i="17" s="1"/>
  <c r="N24" i="17"/>
  <c r="N23" i="17" s="1"/>
  <c r="N30" i="17"/>
  <c r="N29" i="17" s="1"/>
  <c r="K56" i="17"/>
  <c r="CU39" i="22"/>
  <c r="DB37" i="22"/>
  <c r="DC37" i="22" s="1"/>
  <c r="DB36" i="22"/>
  <c r="DC36" i="22" s="1"/>
  <c r="DB38" i="22"/>
  <c r="DC38" i="22" s="1"/>
  <c r="CV39" i="22"/>
  <c r="W87" i="17"/>
  <c r="W90" i="17" s="1"/>
  <c r="I55" i="17"/>
  <c r="I45" i="17"/>
  <c r="H45" i="17"/>
  <c r="H56" i="17"/>
  <c r="H55" i="17" s="1"/>
  <c r="AM23" i="17"/>
  <c r="I116" i="17"/>
  <c r="I87" i="17"/>
  <c r="I76" i="17"/>
  <c r="I119" i="17"/>
  <c r="I69" i="17"/>
  <c r="I66" i="17" s="1"/>
  <c r="AM78" i="17"/>
  <c r="AM82" i="17"/>
  <c r="AG30" i="17"/>
  <c r="AC29" i="17"/>
  <c r="S82" i="17"/>
  <c r="S78" i="17"/>
  <c r="S87" i="17"/>
  <c r="Z69" i="17"/>
  <c r="AA63" i="17"/>
  <c r="Z8" i="17"/>
  <c r="AN42" i="17"/>
  <c r="AN37" i="17"/>
  <c r="BU24" i="17"/>
  <c r="BU23" i="17" s="1"/>
  <c r="BU20" i="17"/>
  <c r="Q139" i="17"/>
  <c r="Q140" i="17" s="1"/>
  <c r="Q148" i="17" s="1"/>
  <c r="Q83" i="17"/>
  <c r="Q81" i="17" s="1"/>
  <c r="BJ80" i="17" s="1"/>
  <c r="Q133" i="17"/>
  <c r="Q134" i="17" s="1"/>
  <c r="Q76" i="17"/>
  <c r="Q29" i="17"/>
  <c r="AQ30" i="17"/>
  <c r="BT139" i="17"/>
  <c r="BT140" i="17" s="1"/>
  <c r="BT148" i="17" s="1"/>
  <c r="BT133" i="17"/>
  <c r="BT134" i="17" s="1"/>
  <c r="BT76" i="17"/>
  <c r="BT83" i="17"/>
  <c r="BT81" i="17" s="1"/>
  <c r="BT16" i="17"/>
  <c r="BL133" i="17"/>
  <c r="BL134" i="17" s="1"/>
  <c r="BL139" i="17"/>
  <c r="BL140" i="17" s="1"/>
  <c r="BL148" i="17" s="1"/>
  <c r="BL136" i="17"/>
  <c r="BL137" i="17" s="1"/>
  <c r="AY82" i="17"/>
  <c r="AY78" i="17"/>
  <c r="BB81" i="17"/>
  <c r="AA133" i="17"/>
  <c r="AA134" i="17" s="1"/>
  <c r="AA139" i="17"/>
  <c r="AA140" i="17" s="1"/>
  <c r="AA148" i="17" s="1"/>
  <c r="AA83" i="17"/>
  <c r="AA81" i="17" s="1"/>
  <c r="AA115" i="17" s="1"/>
  <c r="AA116" i="17" s="1"/>
  <c r="BR118" i="17"/>
  <c r="BR119" i="17" s="1"/>
  <c r="BR115" i="17"/>
  <c r="BR116" i="17" s="1"/>
  <c r="BR63" i="17"/>
  <c r="BQ8" i="17"/>
  <c r="Y42" i="17"/>
  <c r="X32" i="17"/>
  <c r="Y31" i="17"/>
  <c r="Q16" i="17"/>
  <c r="Q20" i="17" s="1"/>
  <c r="Q24" i="17" s="1"/>
  <c r="Q23" i="17" s="1"/>
  <c r="AK42" i="17"/>
  <c r="AP32" i="17"/>
  <c r="AJ32" i="17"/>
  <c r="AK31" i="17"/>
  <c r="AC76" i="17"/>
  <c r="AE74" i="17"/>
  <c r="AC67" i="17"/>
  <c r="K90" i="17"/>
  <c r="K88" i="17"/>
  <c r="K89" i="17"/>
  <c r="M88" i="17"/>
  <c r="M90" i="17"/>
  <c r="M89" i="17"/>
  <c r="BL83" i="17"/>
  <c r="BL81" i="17" s="1"/>
  <c r="W115" i="17"/>
  <c r="W116" i="17" s="1"/>
  <c r="BJ82" i="17"/>
  <c r="BJ78" i="17"/>
  <c r="AA16" i="17"/>
  <c r="AA20" i="17" s="1"/>
  <c r="Y87" i="17"/>
  <c r="Y78" i="17"/>
  <c r="Y82" i="17"/>
  <c r="Y80" i="17"/>
  <c r="AU133" i="17"/>
  <c r="AU134" i="17" s="1"/>
  <c r="AU139" i="17"/>
  <c r="AU140" i="17" s="1"/>
  <c r="AU148" i="17" s="1"/>
  <c r="AU83" i="17"/>
  <c r="AU81" i="17" s="1"/>
  <c r="O133" i="17"/>
  <c r="O134" i="17" s="1"/>
  <c r="O139" i="17"/>
  <c r="O140" i="17" s="1"/>
  <c r="O148" i="17" s="1"/>
  <c r="O136" i="17"/>
  <c r="O137" i="17" s="1"/>
  <c r="O83" i="17"/>
  <c r="O81" i="17" s="1"/>
  <c r="G24" i="17"/>
  <c r="G23" i="17" s="1"/>
  <c r="I24" i="17"/>
  <c r="I23" i="17" s="1"/>
  <c r="K147" i="17"/>
  <c r="K148" i="17" s="1"/>
  <c r="M144" i="17"/>
  <c r="K103" i="17"/>
  <c r="S118" i="17"/>
  <c r="S119" i="17" s="1"/>
  <c r="S115" i="17"/>
  <c r="S116" i="17" s="1"/>
  <c r="R8" i="17"/>
  <c r="S63" i="17"/>
  <c r="BG31" i="17"/>
  <c r="BG42" i="17"/>
  <c r="X26" i="17"/>
  <c r="Y25" i="17"/>
  <c r="Y30" i="17"/>
  <c r="Y29" i="17" s="1"/>
  <c r="AW139" i="17"/>
  <c r="AW140" i="17" s="1"/>
  <c r="AW148" i="17" s="1"/>
  <c r="AW133" i="17"/>
  <c r="AW134" i="17" s="1"/>
  <c r="AW83" i="17"/>
  <c r="AW81" i="17" s="1"/>
  <c r="AO23" i="17"/>
  <c r="AR24" i="17"/>
  <c r="O30" i="17"/>
  <c r="O29" i="17" s="1"/>
  <c r="U26" i="17"/>
  <c r="O25" i="17"/>
  <c r="AC23" i="17"/>
  <c r="S29" i="17"/>
  <c r="AH30" i="17"/>
  <c r="AY29" i="17"/>
  <c r="BB30" i="17"/>
  <c r="AC139" i="17"/>
  <c r="AC140" i="17" s="1"/>
  <c r="AC148" i="17" s="1"/>
  <c r="AC133" i="17"/>
  <c r="AC134" i="17" s="1"/>
  <c r="AC83" i="17"/>
  <c r="AC81" i="17" s="1"/>
  <c r="AP26" i="17"/>
  <c r="BB24" i="17"/>
  <c r="AY23" i="17"/>
  <c r="BH78" i="17"/>
  <c r="BH82" i="17"/>
  <c r="G25" i="17"/>
  <c r="G30" i="17"/>
  <c r="G29" i="17" s="1"/>
  <c r="BV20" i="17"/>
  <c r="BV24" i="17"/>
  <c r="BV23" i="17" s="1"/>
  <c r="U63" i="17"/>
  <c r="T8" i="17"/>
  <c r="BA26" i="17"/>
  <c r="AW25" i="17"/>
  <c r="AW30" i="17"/>
  <c r="BV80" i="17"/>
  <c r="BV82" i="17"/>
  <c r="BV78" i="17"/>
  <c r="BV87" i="17"/>
  <c r="Y24" i="17"/>
  <c r="Y23" i="17" s="1"/>
  <c r="AA135" i="17"/>
  <c r="S136" i="17"/>
  <c r="S137" i="17" s="1"/>
  <c r="BT136" i="17"/>
  <c r="BT137" i="17" s="1"/>
  <c r="G89" i="17"/>
  <c r="G88" i="17"/>
  <c r="G90" i="17"/>
  <c r="Q136" i="17"/>
  <c r="Q137" i="17" s="1"/>
  <c r="G56" i="17"/>
  <c r="AA76" i="17"/>
  <c r="BG30" i="17"/>
  <c r="BG29" i="17" s="1"/>
  <c r="BT63" i="17"/>
  <c r="BS8" i="17"/>
  <c r="O16" i="17"/>
  <c r="O20" i="17" s="1"/>
  <c r="O24" i="17" s="1"/>
  <c r="O23" i="17" s="1"/>
  <c r="U139" i="17"/>
  <c r="U140" i="17" s="1"/>
  <c r="U148" i="17" s="1"/>
  <c r="U136" i="17"/>
  <c r="U137" i="17" s="1"/>
  <c r="U133" i="17"/>
  <c r="U134" i="17" s="1"/>
  <c r="U83" i="17"/>
  <c r="U81" i="17" s="1"/>
  <c r="U115" i="17" s="1"/>
  <c r="U116" i="17" s="1"/>
  <c r="U16" i="17"/>
  <c r="U20" i="17" s="1"/>
  <c r="BR87" i="17"/>
  <c r="BR82" i="17"/>
  <c r="BR78" i="17"/>
  <c r="BR80" i="17"/>
  <c r="AH24" i="17"/>
  <c r="AE23" i="17"/>
  <c r="H41" i="17"/>
  <c r="I41" i="17"/>
  <c r="AW16" i="17"/>
  <c r="AW20" i="17" s="1"/>
  <c r="AW24" i="17" s="1"/>
  <c r="AM69" i="17"/>
  <c r="AZ26" i="17"/>
  <c r="I70" i="17"/>
  <c r="AR30" i="17"/>
  <c r="AO29" i="17"/>
  <c r="G31" i="17"/>
  <c r="G42" i="17"/>
  <c r="G41" i="17" s="1"/>
  <c r="BO139" i="17"/>
  <c r="BO140" i="17" s="1"/>
  <c r="BO148" i="17" s="1"/>
  <c r="BO133" i="17"/>
  <c r="BO134" i="17" s="1"/>
  <c r="BO83" i="17"/>
  <c r="BO81" i="17" s="1"/>
  <c r="BO76" i="17"/>
  <c r="BV75" i="17"/>
  <c r="BV57" i="17"/>
  <c r="BV61" i="17" s="1"/>
  <c r="O57" i="17"/>
  <c r="O75" i="17"/>
  <c r="I30" i="17"/>
  <c r="I29" i="17" s="1"/>
  <c r="I25" i="17"/>
  <c r="BQ24" i="17"/>
  <c r="BQ23" i="17" s="1"/>
  <c r="BQ20" i="17"/>
  <c r="W82" i="17"/>
  <c r="W78" i="17"/>
  <c r="AR81" i="17"/>
  <c r="AO82" i="17"/>
  <c r="AO78" i="17"/>
  <c r="BR24" i="17"/>
  <c r="BR23" i="17" s="1"/>
  <c r="BR20" i="17"/>
  <c r="AE82" i="17"/>
  <c r="AE78" i="17"/>
  <c r="AH81" i="17"/>
  <c r="BA128" i="14" l="1"/>
  <c r="AY129" i="14"/>
  <c r="AY130" i="14" s="1"/>
  <c r="AY126" i="14"/>
  <c r="AY127" i="14" s="1"/>
  <c r="BA125" i="14"/>
  <c r="BB32" i="14"/>
  <c r="BD32" i="14" s="1"/>
  <c r="AZ31" i="14"/>
  <c r="AZ42" i="14"/>
  <c r="AZ41" i="14" s="1"/>
  <c r="AZ44" i="14" s="1"/>
  <c r="AZ43" i="14" s="1"/>
  <c r="CZ30" i="14"/>
  <c r="CZ29" i="14" s="1"/>
  <c r="CZ31" i="14"/>
  <c r="CZ42" i="14"/>
  <c r="CZ41" i="14" s="1"/>
  <c r="CZ44" i="14" s="1"/>
  <c r="CZ43" i="14" s="1"/>
  <c r="AA42" i="3"/>
  <c r="AA41" i="3" s="1"/>
  <c r="AA44" i="3" s="1"/>
  <c r="AA43" i="3" s="1"/>
  <c r="W32" i="3"/>
  <c r="CX30" i="14"/>
  <c r="CX31" i="14"/>
  <c r="W31" i="3" s="1"/>
  <c r="U63" i="26"/>
  <c r="U64" i="26" s="1"/>
  <c r="X61" i="26"/>
  <c r="Z61" i="26" s="1"/>
  <c r="AA61" i="26" s="1"/>
  <c r="D102" i="26"/>
  <c r="D103" i="26" s="1"/>
  <c r="E62" i="26"/>
  <c r="E48" i="26"/>
  <c r="E90" i="26" s="1"/>
  <c r="E91" i="26" s="1"/>
  <c r="E102" i="26"/>
  <c r="E103" i="26" s="1"/>
  <c r="C91" i="26"/>
  <c r="Q62" i="26"/>
  <c r="Q63" i="26" s="1"/>
  <c r="Q64" i="26" s="1"/>
  <c r="C63" i="26"/>
  <c r="G63" i="26"/>
  <c r="G64" i="26" s="1"/>
  <c r="AH62" i="26"/>
  <c r="W62" i="26"/>
  <c r="I63" i="26"/>
  <c r="I64" i="26" s="1"/>
  <c r="D62" i="26"/>
  <c r="D48" i="26"/>
  <c r="Z60" i="26"/>
  <c r="AA60" i="26" s="1"/>
  <c r="C103" i="26"/>
  <c r="V62" i="26"/>
  <c r="V63" i="26" s="1"/>
  <c r="V64" i="26" s="1"/>
  <c r="H63" i="26"/>
  <c r="H64" i="26" s="1"/>
  <c r="J61" i="26"/>
  <c r="T62" i="26"/>
  <c r="T63" i="26" s="1"/>
  <c r="T64" i="26" s="1"/>
  <c r="F63" i="26"/>
  <c r="F64" i="26" s="1"/>
  <c r="W75" i="17"/>
  <c r="W57" i="17"/>
  <c r="W61" i="17" s="1"/>
  <c r="W41" i="17" s="1"/>
  <c r="U24" i="17"/>
  <c r="U23" i="17" s="1"/>
  <c r="AG24" i="17"/>
  <c r="P41" i="17"/>
  <c r="AK78" i="17"/>
  <c r="BE80" i="17"/>
  <c r="Q56" i="17"/>
  <c r="P56" i="17" s="1"/>
  <c r="P55" i="17" s="1"/>
  <c r="BE82" i="17"/>
  <c r="DC39" i="22"/>
  <c r="W89" i="17"/>
  <c r="AF26" i="17"/>
  <c r="AZ30" i="17"/>
  <c r="AA25" i="17"/>
  <c r="AK80" i="17"/>
  <c r="BD30" i="17"/>
  <c r="BD29" i="17" s="1"/>
  <c r="AA24" i="17"/>
  <c r="AA23" i="17" s="1"/>
  <c r="L44" i="17"/>
  <c r="L43" i="17" s="1"/>
  <c r="BD24" i="17"/>
  <c r="BD23" i="17" s="1"/>
  <c r="AP24" i="17"/>
  <c r="L56" i="17"/>
  <c r="L55" i="17" s="1"/>
  <c r="M55" i="17"/>
  <c r="M45" i="17"/>
  <c r="M44" i="17" s="1"/>
  <c r="W88" i="17"/>
  <c r="K55" i="17"/>
  <c r="J56" i="17"/>
  <c r="J55" i="17" s="1"/>
  <c r="K45" i="17"/>
  <c r="K44" i="17" s="1"/>
  <c r="J45" i="17"/>
  <c r="J44" i="17" s="1"/>
  <c r="J43" i="17" s="1"/>
  <c r="T30" i="17"/>
  <c r="T29" i="17" s="1"/>
  <c r="T25" i="17"/>
  <c r="V26" i="17"/>
  <c r="T24" i="17"/>
  <c r="T23" i="17" s="1"/>
  <c r="DB39" i="22"/>
  <c r="AG81" i="17"/>
  <c r="AC82" i="17"/>
  <c r="AC80" i="17"/>
  <c r="AC78" i="17"/>
  <c r="O82" i="17"/>
  <c r="O78" i="17"/>
  <c r="O118" i="17"/>
  <c r="O119" i="17" s="1"/>
  <c r="O115" i="17"/>
  <c r="O116" i="17" s="1"/>
  <c r="O87" i="17"/>
  <c r="AE87" i="17"/>
  <c r="AE76" i="17"/>
  <c r="AK74" i="17"/>
  <c r="AE67" i="17"/>
  <c r="AE66" i="17"/>
  <c r="BG81" i="17"/>
  <c r="AZ24" i="17"/>
  <c r="G93" i="17"/>
  <c r="G91" i="17"/>
  <c r="AF30" i="17"/>
  <c r="AA29" i="17"/>
  <c r="M103" i="17"/>
  <c r="M147" i="17"/>
  <c r="M148" i="17" s="1"/>
  <c r="BT24" i="17"/>
  <c r="BT23" i="17" s="1"/>
  <c r="BT20" i="17"/>
  <c r="AQ81" i="17"/>
  <c r="W91" i="17"/>
  <c r="W93" i="17"/>
  <c r="U78" i="17"/>
  <c r="U82" i="17"/>
  <c r="U87" i="17"/>
  <c r="M93" i="17"/>
  <c r="M91" i="17"/>
  <c r="BT87" i="17"/>
  <c r="BT78" i="17"/>
  <c r="BT80" i="17"/>
  <c r="BT82" i="17"/>
  <c r="AA57" i="17"/>
  <c r="AA61" i="17" s="1"/>
  <c r="AA75" i="17"/>
  <c r="AF63" i="17"/>
  <c r="AA52" i="17"/>
  <c r="AA51" i="17" s="1"/>
  <c r="Z52" i="17"/>
  <c r="Z51" i="17" s="1"/>
  <c r="Z50" i="17" s="1"/>
  <c r="AA60" i="17"/>
  <c r="H44" i="17"/>
  <c r="H43" i="17" s="1"/>
  <c r="O61" i="17"/>
  <c r="O56" i="17" s="1"/>
  <c r="BT115" i="17"/>
  <c r="BT116" i="17" s="1"/>
  <c r="U30" i="17"/>
  <c r="U29" i="17" s="1"/>
  <c r="U25" i="17"/>
  <c r="AZ81" i="17"/>
  <c r="AU82" i="17"/>
  <c r="AU80" i="17"/>
  <c r="AU78" i="17"/>
  <c r="Y88" i="17"/>
  <c r="Y90" i="17"/>
  <c r="Y89" i="17"/>
  <c r="K91" i="17"/>
  <c r="K93" i="17"/>
  <c r="AJ42" i="17"/>
  <c r="AJ31" i="17"/>
  <c r="AJ30" i="17"/>
  <c r="AJ29" i="17" s="1"/>
  <c r="X42" i="17"/>
  <c r="X31" i="17"/>
  <c r="AP30" i="17"/>
  <c r="I44" i="17"/>
  <c r="BL78" i="17"/>
  <c r="BL82" i="17"/>
  <c r="BL80" i="17"/>
  <c r="AO69" i="17"/>
  <c r="BR89" i="17"/>
  <c r="BR90" i="17"/>
  <c r="BR88" i="17"/>
  <c r="AE135" i="17"/>
  <c r="AC135" i="17"/>
  <c r="AA136" i="17"/>
  <c r="AA137" i="17" s="1"/>
  <c r="U57" i="17"/>
  <c r="U61" i="17" s="1"/>
  <c r="U75" i="17"/>
  <c r="U60" i="17"/>
  <c r="Q82" i="17"/>
  <c r="Q78" i="17"/>
  <c r="Q115" i="17"/>
  <c r="Q116" i="17" s="1"/>
  <c r="Q87" i="17"/>
  <c r="Q118" i="17"/>
  <c r="Q119" i="17" s="1"/>
  <c r="I90" i="17"/>
  <c r="I89" i="17"/>
  <c r="I88" i="17"/>
  <c r="BV56" i="17"/>
  <c r="BH80" i="17"/>
  <c r="BG80" i="17" s="1"/>
  <c r="BA81" i="17"/>
  <c r="AW82" i="17"/>
  <c r="AW80" i="17"/>
  <c r="AW78" i="17"/>
  <c r="AC87" i="17"/>
  <c r="BR57" i="17"/>
  <c r="BR75" i="17"/>
  <c r="BR60" i="17"/>
  <c r="BA24" i="17"/>
  <c r="AW23" i="17"/>
  <c r="BT57" i="17"/>
  <c r="BT75" i="17"/>
  <c r="BT60" i="17"/>
  <c r="BA30" i="17"/>
  <c r="AW29" i="17"/>
  <c r="U118" i="17"/>
  <c r="U119" i="17" s="1"/>
  <c r="S57" i="17"/>
  <c r="S75" i="17"/>
  <c r="S60" i="17"/>
  <c r="S89" i="17"/>
  <c r="S90" i="17"/>
  <c r="S88" i="17"/>
  <c r="BO82" i="17"/>
  <c r="BO78" i="17"/>
  <c r="BO87" i="17"/>
  <c r="BO80" i="17"/>
  <c r="AP81" i="17"/>
  <c r="BT118" i="17"/>
  <c r="BT119" i="17" s="1"/>
  <c r="F56" i="17"/>
  <c r="F55" i="17" s="1"/>
  <c r="G45" i="17"/>
  <c r="G44" i="17" s="1"/>
  <c r="F45" i="17"/>
  <c r="F44" i="17" s="1"/>
  <c r="F43" i="17" s="1"/>
  <c r="G55" i="17"/>
  <c r="BV88" i="17"/>
  <c r="BV90" i="17"/>
  <c r="BV89" i="17"/>
  <c r="X25" i="17"/>
  <c r="X30" i="17"/>
  <c r="X29" i="17" s="1"/>
  <c r="X24" i="17"/>
  <c r="X23" i="17" s="1"/>
  <c r="AC118" i="17"/>
  <c r="AC119" i="17" s="1"/>
  <c r="AC63" i="17"/>
  <c r="AB8" i="17"/>
  <c r="AC115" i="17"/>
  <c r="AC116" i="17" s="1"/>
  <c r="AF81" i="17"/>
  <c r="AA78" i="17"/>
  <c r="AA80" i="17"/>
  <c r="AA82" i="17"/>
  <c r="AA87" i="17"/>
  <c r="AA118" i="17"/>
  <c r="AA119" i="17" s="1"/>
  <c r="AM80" i="17"/>
  <c r="AQ24" i="17"/>
  <c r="V41" i="17" l="1"/>
  <c r="BF32" i="14"/>
  <c r="BD31" i="14"/>
  <c r="BD42" i="14"/>
  <c r="BD41" i="14" s="1"/>
  <c r="BD44" i="14" s="1"/>
  <c r="BD43" i="14" s="1"/>
  <c r="BA126" i="14"/>
  <c r="BA127" i="14" s="1"/>
  <c r="BC125" i="14"/>
  <c r="BB31" i="14"/>
  <c r="BB42" i="14"/>
  <c r="BB41" i="14" s="1"/>
  <c r="BB44" i="14" s="1"/>
  <c r="BB43" i="14" s="1"/>
  <c r="BA129" i="14"/>
  <c r="BA130" i="14" s="1"/>
  <c r="BC128" i="14"/>
  <c r="CX29" i="14"/>
  <c r="W29" i="3" s="1"/>
  <c r="W30" i="3"/>
  <c r="W42" i="3"/>
  <c r="W41" i="3" s="1"/>
  <c r="W44" i="3" s="1"/>
  <c r="W43" i="3" s="1"/>
  <c r="W56" i="17"/>
  <c r="D90" i="26"/>
  <c r="J48" i="26"/>
  <c r="R62" i="26"/>
  <c r="R63" i="26" s="1"/>
  <c r="R64" i="26" s="1"/>
  <c r="D63" i="26"/>
  <c r="D64" i="26" s="1"/>
  <c r="C64" i="26"/>
  <c r="J62" i="26"/>
  <c r="AD68" i="26" s="1"/>
  <c r="AD69" i="26" s="1"/>
  <c r="W63" i="26"/>
  <c r="W64" i="26" s="1"/>
  <c r="S62" i="26"/>
  <c r="S63" i="26" s="1"/>
  <c r="S64" i="26" s="1"/>
  <c r="E63" i="26"/>
  <c r="E64" i="26" s="1"/>
  <c r="AH63" i="26"/>
  <c r="AH64" i="26"/>
  <c r="AH65" i="26"/>
  <c r="J102" i="26"/>
  <c r="J103" i="26"/>
  <c r="AF24" i="17"/>
  <c r="Q55" i="17"/>
  <c r="P45" i="17"/>
  <c r="P44" i="17" s="1"/>
  <c r="P43" i="17" s="1"/>
  <c r="Q45" i="17"/>
  <c r="Q44" i="17" s="1"/>
  <c r="Q54" i="17" s="1"/>
  <c r="M54" i="17"/>
  <c r="M43" i="17"/>
  <c r="K54" i="17"/>
  <c r="K43" i="17"/>
  <c r="V25" i="17"/>
  <c r="W26" i="17"/>
  <c r="V30" i="17"/>
  <c r="V29" i="17" s="1"/>
  <c r="V24" i="17"/>
  <c r="V23" i="17" s="1"/>
  <c r="U41" i="17"/>
  <c r="T41" i="17"/>
  <c r="O55" i="17"/>
  <c r="N56" i="17"/>
  <c r="N55" i="17" s="1"/>
  <c r="O45" i="17"/>
  <c r="N45" i="17"/>
  <c r="AA41" i="17"/>
  <c r="Z41" i="17"/>
  <c r="AC75" i="17"/>
  <c r="AC52" i="17"/>
  <c r="AC51" i="17" s="1"/>
  <c r="AC57" i="17"/>
  <c r="AG63" i="17"/>
  <c r="AB52" i="17"/>
  <c r="AB51" i="17" s="1"/>
  <c r="AB50" i="17" s="1"/>
  <c r="AC60" i="17"/>
  <c r="BR93" i="17"/>
  <c r="BR91" i="17"/>
  <c r="V56" i="17"/>
  <c r="V55" i="17" s="1"/>
  <c r="W45" i="17"/>
  <c r="W44" i="17" s="1"/>
  <c r="V45" i="17"/>
  <c r="V44" i="17" s="1"/>
  <c r="V43" i="17" s="1"/>
  <c r="W55" i="17"/>
  <c r="M96" i="17"/>
  <c r="M94" i="17"/>
  <c r="AE118" i="17"/>
  <c r="AE119" i="17" s="1"/>
  <c r="AE115" i="17"/>
  <c r="AE116" i="17" s="1"/>
  <c r="AE63" i="17"/>
  <c r="AD8" i="17"/>
  <c r="I43" i="17"/>
  <c r="I54" i="17"/>
  <c r="Y93" i="17"/>
  <c r="Y91" i="17"/>
  <c r="U90" i="17"/>
  <c r="U88" i="17"/>
  <c r="U89" i="17"/>
  <c r="AK87" i="17"/>
  <c r="AK76" i="17"/>
  <c r="AM74" i="17"/>
  <c r="AK67" i="17"/>
  <c r="AK66" i="17"/>
  <c r="AC89" i="17"/>
  <c r="AG87" i="17"/>
  <c r="AC88" i="17"/>
  <c r="AC90" i="17"/>
  <c r="K96" i="17"/>
  <c r="K94" i="17"/>
  <c r="BT90" i="17"/>
  <c r="BT88" i="17"/>
  <c r="BT89" i="17"/>
  <c r="O90" i="17"/>
  <c r="O89" i="17"/>
  <c r="O88" i="17"/>
  <c r="BO90" i="17"/>
  <c r="BO89" i="17"/>
  <c r="BO88" i="17"/>
  <c r="Q89" i="17"/>
  <c r="Q90" i="17"/>
  <c r="Q88" i="17"/>
  <c r="AA56" i="17"/>
  <c r="BV91" i="17"/>
  <c r="BV93" i="17"/>
  <c r="S61" i="17"/>
  <c r="AY135" i="17"/>
  <c r="AW135" i="17"/>
  <c r="AC136" i="17"/>
  <c r="AC137" i="17" s="1"/>
  <c r="AU69" i="17"/>
  <c r="AA50" i="17"/>
  <c r="AF51" i="17"/>
  <c r="G94" i="17"/>
  <c r="G96" i="17"/>
  <c r="O41" i="17"/>
  <c r="N41" i="17"/>
  <c r="W96" i="17"/>
  <c r="W94" i="17"/>
  <c r="U56" i="17"/>
  <c r="G43" i="17"/>
  <c r="G54" i="17"/>
  <c r="BU56" i="17"/>
  <c r="BU55" i="17" s="1"/>
  <c r="BU52" i="17"/>
  <c r="BU51" i="17" s="1"/>
  <c r="BU50" i="17" s="1"/>
  <c r="BV55" i="17"/>
  <c r="BV52" i="17"/>
  <c r="BV51" i="17" s="1"/>
  <c r="BV50" i="17" s="1"/>
  <c r="AA88" i="17"/>
  <c r="AF87" i="17"/>
  <c r="AA90" i="17"/>
  <c r="AA89" i="17"/>
  <c r="S93" i="17"/>
  <c r="S91" i="17"/>
  <c r="BT61" i="17"/>
  <c r="BT56" i="17" s="1"/>
  <c r="BR61" i="17"/>
  <c r="BR56" i="17" s="1"/>
  <c r="I91" i="17"/>
  <c r="I93" i="17"/>
  <c r="AU135" i="17"/>
  <c r="AU136" i="17" s="1"/>
  <c r="AU137" i="17" s="1"/>
  <c r="AE136" i="17"/>
  <c r="AE137" i="17" s="1"/>
  <c r="AE89" i="17"/>
  <c r="AH87" i="17"/>
  <c r="AE90" i="17"/>
  <c r="AE88" i="17"/>
  <c r="BH32" i="14" l="1"/>
  <c r="BF42" i="14"/>
  <c r="BF41" i="14" s="1"/>
  <c r="BF31" i="14"/>
  <c r="BF44" i="14"/>
  <c r="BF43" i="14" s="1"/>
  <c r="BC129" i="14"/>
  <c r="BC130" i="14" s="1"/>
  <c r="BC126" i="14"/>
  <c r="BC127" i="14" s="1"/>
  <c r="X64" i="26"/>
  <c r="S65" i="26" s="1"/>
  <c r="X62" i="26"/>
  <c r="AH68" i="26" s="1"/>
  <c r="J63" i="26"/>
  <c r="D91" i="26"/>
  <c r="J91" i="26" s="1"/>
  <c r="J90" i="26"/>
  <c r="AD71" i="26"/>
  <c r="AD70" i="26"/>
  <c r="AD72" i="26"/>
  <c r="X63" i="26"/>
  <c r="J64" i="26"/>
  <c r="E65" i="26" s="1"/>
  <c r="Q43" i="17"/>
  <c r="N44" i="17"/>
  <c r="N43" i="17" s="1"/>
  <c r="W24" i="17"/>
  <c r="W23" i="17" s="1"/>
  <c r="W25" i="17"/>
  <c r="W30" i="17"/>
  <c r="W29" i="17" s="1"/>
  <c r="BT55" i="17"/>
  <c r="BT52" i="17"/>
  <c r="BT51" i="17" s="1"/>
  <c r="BT50" i="17" s="1"/>
  <c r="BS52" i="17"/>
  <c r="BS51" i="17" s="1"/>
  <c r="BS50" i="17" s="1"/>
  <c r="BS56" i="17"/>
  <c r="BS55" i="17" s="1"/>
  <c r="BQ56" i="17"/>
  <c r="BQ55" i="17" s="1"/>
  <c r="BR52" i="17"/>
  <c r="BR51" i="17" s="1"/>
  <c r="BR50" i="17" s="1"/>
  <c r="BR55" i="17"/>
  <c r="BQ52" i="17"/>
  <c r="BQ51" i="17" s="1"/>
  <c r="BQ50" i="17" s="1"/>
  <c r="R41" i="17"/>
  <c r="S41" i="17"/>
  <c r="AK118" i="17"/>
  <c r="AK119" i="17" s="1"/>
  <c r="AK115" i="17"/>
  <c r="AK116" i="17" s="1"/>
  <c r="AK63" i="17"/>
  <c r="AJ8" i="17"/>
  <c r="O93" i="17"/>
  <c r="O91" i="17"/>
  <c r="M100" i="17"/>
  <c r="M97" i="17"/>
  <c r="AG51" i="17"/>
  <c r="AC50" i="17"/>
  <c r="S94" i="17"/>
  <c r="S96" i="17"/>
  <c r="AA55" i="17"/>
  <c r="Z56" i="17"/>
  <c r="Z55" i="17" s="1"/>
  <c r="Z45" i="17"/>
  <c r="Z44" i="17" s="1"/>
  <c r="Z43" i="17" s="1"/>
  <c r="AA45" i="17"/>
  <c r="AA44" i="17" s="1"/>
  <c r="AP87" i="17"/>
  <c r="AK90" i="17"/>
  <c r="AK88" i="17"/>
  <c r="AK89" i="17"/>
  <c r="U91" i="17"/>
  <c r="U93" i="17"/>
  <c r="BE69" i="17"/>
  <c r="AW69" i="17"/>
  <c r="Q93" i="17"/>
  <c r="Q91" i="17"/>
  <c r="K97" i="17"/>
  <c r="K100" i="17"/>
  <c r="BV96" i="17"/>
  <c r="BV94" i="17"/>
  <c r="AG90" i="17"/>
  <c r="AC93" i="17"/>
  <c r="AC91" i="17"/>
  <c r="O44" i="17"/>
  <c r="U55" i="17"/>
  <c r="U45" i="17"/>
  <c r="U44" i="17" s="1"/>
  <c r="T45" i="17"/>
  <c r="T44" i="17" s="1"/>
  <c r="T43" i="17" s="1"/>
  <c r="T56" i="17"/>
  <c r="T55" i="17" s="1"/>
  <c r="AO135" i="17"/>
  <c r="AW136" i="17"/>
  <c r="AW137" i="17" s="1"/>
  <c r="AM135" i="17"/>
  <c r="AM136" i="17" s="1"/>
  <c r="AM137" i="17" s="1"/>
  <c r="BR135" i="17"/>
  <c r="BR136" i="17" s="1"/>
  <c r="BR137" i="17" s="1"/>
  <c r="AY136" i="17"/>
  <c r="AY137" i="17" s="1"/>
  <c r="AK135" i="17"/>
  <c r="AK136" i="17" s="1"/>
  <c r="AK137" i="17" s="1"/>
  <c r="AH90" i="17"/>
  <c r="AE91" i="17"/>
  <c r="AE93" i="17"/>
  <c r="I94" i="17"/>
  <c r="I96" i="17"/>
  <c r="W100" i="17"/>
  <c r="W97" i="17"/>
  <c r="BO93" i="17"/>
  <c r="BO91" i="17"/>
  <c r="BT91" i="17"/>
  <c r="BT93" i="17"/>
  <c r="AD52" i="17"/>
  <c r="AH63" i="17"/>
  <c r="AE60" i="17"/>
  <c r="AE52" i="17"/>
  <c r="AE75" i="17"/>
  <c r="AE57" i="17"/>
  <c r="AE61" i="17" s="1"/>
  <c r="G97" i="17"/>
  <c r="G100" i="17"/>
  <c r="AM87" i="17"/>
  <c r="AO74" i="17"/>
  <c r="AM76" i="17"/>
  <c r="AM67" i="17"/>
  <c r="AM66" i="17"/>
  <c r="AC61" i="17"/>
  <c r="AC56" i="17" s="1"/>
  <c r="S56" i="17"/>
  <c r="BR94" i="17"/>
  <c r="BR96" i="17"/>
  <c r="AA93" i="17"/>
  <c r="AF90" i="17"/>
  <c r="AA91" i="17"/>
  <c r="Y96" i="17"/>
  <c r="Y94" i="17"/>
  <c r="W54" i="17"/>
  <c r="W43" i="17"/>
  <c r="BH42" i="14" l="1"/>
  <c r="BH41" i="14" s="1"/>
  <c r="BH44" i="14" s="1"/>
  <c r="BH43" i="14" s="1"/>
  <c r="BH31" i="14"/>
  <c r="BJ32" i="14"/>
  <c r="Z62" i="26"/>
  <c r="AA62" i="26" s="1"/>
  <c r="W65" i="26"/>
  <c r="R65" i="26"/>
  <c r="U65" i="26"/>
  <c r="V65" i="26"/>
  <c r="Q65" i="26"/>
  <c r="T65" i="26"/>
  <c r="AG47" i="26"/>
  <c r="C65" i="26"/>
  <c r="D65" i="26"/>
  <c r="AH69" i="26"/>
  <c r="AI68" i="26"/>
  <c r="AI55" i="26"/>
  <c r="AI49" i="26"/>
  <c r="AI61" i="26"/>
  <c r="H65" i="26"/>
  <c r="I65" i="26"/>
  <c r="G65" i="26"/>
  <c r="F65" i="26"/>
  <c r="AE68" i="26"/>
  <c r="AE49" i="26"/>
  <c r="AE55" i="26"/>
  <c r="AE61" i="26"/>
  <c r="AE41" i="17"/>
  <c r="AD41" i="17"/>
  <c r="AB56" i="17"/>
  <c r="AB55" i="17" s="1"/>
  <c r="AC45" i="17"/>
  <c r="AB45" i="17"/>
  <c r="AC55" i="17"/>
  <c r="BT94" i="17"/>
  <c r="BT96" i="17"/>
  <c r="I100" i="17"/>
  <c r="I97" i="17"/>
  <c r="AM88" i="17"/>
  <c r="AM90" i="17"/>
  <c r="AQ87" i="17"/>
  <c r="AM89" i="17"/>
  <c r="U54" i="17"/>
  <c r="U43" i="17"/>
  <c r="M105" i="17"/>
  <c r="M101" i="17"/>
  <c r="BV100" i="17"/>
  <c r="BV97" i="17"/>
  <c r="AK91" i="17"/>
  <c r="AP90" i="17"/>
  <c r="AK93" i="17"/>
  <c r="O54" i="17"/>
  <c r="O43" i="17"/>
  <c r="K105" i="17"/>
  <c r="K101" i="17"/>
  <c r="BH69" i="17"/>
  <c r="O96" i="17"/>
  <c r="O94" i="17"/>
  <c r="AO87" i="17"/>
  <c r="AO76" i="17"/>
  <c r="AU74" i="17"/>
  <c r="AO67" i="17"/>
  <c r="AO66" i="17"/>
  <c r="Q96" i="17"/>
  <c r="Q94" i="17"/>
  <c r="Y100" i="17"/>
  <c r="Y97" i="17"/>
  <c r="S55" i="17"/>
  <c r="R45" i="17"/>
  <c r="R44" i="17" s="1"/>
  <c r="R43" i="17" s="1"/>
  <c r="R56" i="17"/>
  <c r="R55" i="17" s="1"/>
  <c r="S45" i="17"/>
  <c r="S44" i="17" s="1"/>
  <c r="G105" i="17"/>
  <c r="G101" i="17"/>
  <c r="AY69" i="17"/>
  <c r="S97" i="17"/>
  <c r="S100" i="17"/>
  <c r="BO96" i="17"/>
  <c r="BO94" i="17"/>
  <c r="AA96" i="17"/>
  <c r="AA94" i="17"/>
  <c r="AM118" i="17"/>
  <c r="AM119" i="17" s="1"/>
  <c r="AM115" i="17"/>
  <c r="AM116" i="17" s="1"/>
  <c r="AM63" i="17"/>
  <c r="AL8" i="17"/>
  <c r="AO136" i="17"/>
  <c r="AO137" i="17" s="1"/>
  <c r="BO135" i="17"/>
  <c r="BO136" i="17" s="1"/>
  <c r="BO137" i="17" s="1"/>
  <c r="BH135" i="17"/>
  <c r="BH136" i="17" s="1"/>
  <c r="BH137" i="17" s="1"/>
  <c r="U94" i="17"/>
  <c r="U96" i="17"/>
  <c r="AF44" i="17"/>
  <c r="AA54" i="17"/>
  <c r="AA43" i="17"/>
  <c r="AC41" i="17"/>
  <c r="AB41" i="17"/>
  <c r="AE94" i="17"/>
  <c r="AE96" i="17"/>
  <c r="BR97" i="17"/>
  <c r="BR100" i="17"/>
  <c r="AE56" i="17"/>
  <c r="W101" i="17"/>
  <c r="W105" i="17"/>
  <c r="AC94" i="17"/>
  <c r="AC96" i="17"/>
  <c r="AP63" i="17"/>
  <c r="AJ52" i="17"/>
  <c r="AJ51" i="17" s="1"/>
  <c r="AJ50" i="17" s="1"/>
  <c r="AK75" i="17"/>
  <c r="AK60" i="17"/>
  <c r="AK52" i="17"/>
  <c r="AK51" i="17" s="1"/>
  <c r="AK57" i="17"/>
  <c r="AK61" i="17" s="1"/>
  <c r="BJ42" i="14" l="1"/>
  <c r="BJ41" i="14" s="1"/>
  <c r="BJ31" i="14"/>
  <c r="BJ44" i="14"/>
  <c r="BJ43" i="14" s="1"/>
  <c r="AH70" i="26"/>
  <c r="AH71" i="26"/>
  <c r="AH72" i="26"/>
  <c r="AB44" i="17"/>
  <c r="AB43" i="17" s="1"/>
  <c r="AC44" i="17"/>
  <c r="AG44" i="17" s="1"/>
  <c r="AK41" i="17"/>
  <c r="AJ41" i="17"/>
  <c r="AU87" i="17"/>
  <c r="AU76" i="17"/>
  <c r="AW74" i="17"/>
  <c r="BE74" i="17"/>
  <c r="AU67" i="17"/>
  <c r="AU66" i="17"/>
  <c r="W150" i="17"/>
  <c r="W106" i="17"/>
  <c r="U100" i="17"/>
  <c r="U97" i="17"/>
  <c r="AM52" i="17"/>
  <c r="AM51" i="17" s="1"/>
  <c r="AM57" i="17"/>
  <c r="AM61" i="17" s="1"/>
  <c r="AL52" i="17"/>
  <c r="AL51" i="17" s="1"/>
  <c r="AL50" i="17" s="1"/>
  <c r="AM75" i="17"/>
  <c r="AQ63" i="17"/>
  <c r="AM60" i="17"/>
  <c r="BO97" i="17"/>
  <c r="BO100" i="17"/>
  <c r="G150" i="17"/>
  <c r="G106" i="17"/>
  <c r="Y101" i="17"/>
  <c r="Y105" i="17"/>
  <c r="I105" i="17"/>
  <c r="I101" i="17"/>
  <c r="AK56" i="17"/>
  <c r="M106" i="17"/>
  <c r="M150" i="17"/>
  <c r="AE97" i="17"/>
  <c r="AE100" i="17"/>
  <c r="BJ69" i="17"/>
  <c r="Y69" i="17"/>
  <c r="S105" i="17"/>
  <c r="S101" i="17"/>
  <c r="S43" i="17"/>
  <c r="S54" i="17"/>
  <c r="AO88" i="17"/>
  <c r="AR87" i="17"/>
  <c r="AO90" i="17"/>
  <c r="AO89" i="17"/>
  <c r="K150" i="17"/>
  <c r="K106" i="17"/>
  <c r="BT100" i="17"/>
  <c r="BT97" i="17"/>
  <c r="BR105" i="17"/>
  <c r="BR101" i="17"/>
  <c r="BO69" i="17"/>
  <c r="O100" i="17"/>
  <c r="O97" i="17"/>
  <c r="AM91" i="17"/>
  <c r="AQ90" i="17"/>
  <c r="AM93" i="17"/>
  <c r="AK50" i="17"/>
  <c r="AP51" i="17"/>
  <c r="AC97" i="17"/>
  <c r="AC100" i="17"/>
  <c r="AA100" i="17"/>
  <c r="AA97" i="17"/>
  <c r="AO118" i="17"/>
  <c r="AO119" i="17" s="1"/>
  <c r="AO115" i="17"/>
  <c r="AO116" i="17" s="1"/>
  <c r="AO63" i="17"/>
  <c r="AN8" i="17"/>
  <c r="AK94" i="17"/>
  <c r="AK96" i="17"/>
  <c r="AE55" i="17"/>
  <c r="AD45" i="17"/>
  <c r="AD56" i="17"/>
  <c r="AD55" i="17" s="1"/>
  <c r="AE45" i="17"/>
  <c r="Q97" i="17"/>
  <c r="Q100" i="17"/>
  <c r="BV105" i="17"/>
  <c r="BV101" i="17"/>
  <c r="AC43" i="17" l="1"/>
  <c r="AC54" i="17"/>
  <c r="Q46" i="17"/>
  <c r="AM41" i="17"/>
  <c r="AL41" i="17"/>
  <c r="AA101" i="17"/>
  <c r="AA105" i="17"/>
  <c r="Y106" i="17"/>
  <c r="Y150" i="17"/>
  <c r="AY74" i="17"/>
  <c r="AW67" i="17"/>
  <c r="AW87" i="17"/>
  <c r="AW76" i="17"/>
  <c r="AW66" i="17"/>
  <c r="U105" i="17"/>
  <c r="U101" i="17"/>
  <c r="AU89" i="17"/>
  <c r="AU88" i="17"/>
  <c r="AZ87" i="17"/>
  <c r="AU90" i="17"/>
  <c r="AM50" i="17"/>
  <c r="AQ51" i="17"/>
  <c r="AC105" i="17"/>
  <c r="AC101" i="17"/>
  <c r="BR150" i="17"/>
  <c r="BR106" i="17"/>
  <c r="S150" i="17"/>
  <c r="S106" i="17"/>
  <c r="AN52" i="17"/>
  <c r="AR63" i="17"/>
  <c r="AO57" i="17"/>
  <c r="AO61" i="17" s="1"/>
  <c r="AO75" i="17"/>
  <c r="AO52" i="17"/>
  <c r="AO60" i="17"/>
  <c r="AD49" i="17"/>
  <c r="AD48" i="17" s="1"/>
  <c r="AD51" i="17" s="1"/>
  <c r="AD50" i="17" s="1"/>
  <c r="AD44" i="17"/>
  <c r="AD43" i="17" s="1"/>
  <c r="O105" i="17"/>
  <c r="O101" i="17"/>
  <c r="BT101" i="17"/>
  <c r="BT105" i="17"/>
  <c r="Y66" i="17"/>
  <c r="Y67" i="17"/>
  <c r="AK55" i="17"/>
  <c r="AJ56" i="17"/>
  <c r="AJ55" i="17" s="1"/>
  <c r="AK45" i="17"/>
  <c r="AK44" i="17" s="1"/>
  <c r="AJ45" i="17"/>
  <c r="AJ44" i="17" s="1"/>
  <c r="AJ43" i="17" s="1"/>
  <c r="Q105" i="17"/>
  <c r="Q101" i="17"/>
  <c r="AK100" i="17"/>
  <c r="AK97" i="17"/>
  <c r="AM96" i="17"/>
  <c r="AM94" i="17"/>
  <c r="AE105" i="17"/>
  <c r="AE101" i="17"/>
  <c r="I150" i="17"/>
  <c r="I106" i="17"/>
  <c r="AM56" i="17"/>
  <c r="BE87" i="17"/>
  <c r="BE76" i="17"/>
  <c r="BE67" i="17"/>
  <c r="BE66" i="17"/>
  <c r="AE44" i="17"/>
  <c r="AE49" i="17"/>
  <c r="AE48" i="17" s="1"/>
  <c r="AE51" i="17" s="1"/>
  <c r="AO93" i="17"/>
  <c r="AR90" i="17"/>
  <c r="AO91" i="17"/>
  <c r="BV150" i="17"/>
  <c r="BV106" i="17"/>
  <c r="BO66" i="17"/>
  <c r="BO67" i="17"/>
  <c r="BL69" i="17"/>
  <c r="BO101" i="17"/>
  <c r="BO105" i="17"/>
  <c r="AU118" i="17"/>
  <c r="AU119" i="17" s="1"/>
  <c r="AU63" i="17"/>
  <c r="AU115" i="17"/>
  <c r="AU116" i="17" s="1"/>
  <c r="AT8" i="17"/>
  <c r="U138" i="13"/>
  <c r="U123" i="13"/>
  <c r="U122" i="13"/>
  <c r="U121" i="13"/>
  <c r="U120" i="13"/>
  <c r="U119" i="13"/>
  <c r="U106" i="13"/>
  <c r="U100" i="13"/>
  <c r="U104" i="13" s="1"/>
  <c r="U105" i="13" s="1"/>
  <c r="U67" i="13"/>
  <c r="U65" i="13"/>
  <c r="U57" i="13"/>
  <c r="U52" i="13"/>
  <c r="U42" i="13"/>
  <c r="U39" i="13"/>
  <c r="T32" i="13"/>
  <c r="T31" i="13" s="1"/>
  <c r="U31" i="13"/>
  <c r="T19" i="13"/>
  <c r="U15" i="13"/>
  <c r="U19" i="13" s="1"/>
  <c r="T2" i="13"/>
  <c r="T10" i="13" s="1"/>
  <c r="T16" i="13" s="1"/>
  <c r="T20" i="13" s="1"/>
  <c r="CW57" i="13" l="1"/>
  <c r="DE57" i="13"/>
  <c r="K57" i="3" s="1"/>
  <c r="T72" i="13"/>
  <c r="CW67" i="13"/>
  <c r="DE67" i="13"/>
  <c r="K67" i="3" s="1"/>
  <c r="T9" i="13"/>
  <c r="L32" i="22"/>
  <c r="L32" i="27" s="1"/>
  <c r="M32" i="22"/>
  <c r="M32" i="27" s="1"/>
  <c r="N32" i="22"/>
  <c r="N32" i="27" s="1"/>
  <c r="O32" i="22"/>
  <c r="O32" i="27" s="1"/>
  <c r="Q32" i="22"/>
  <c r="Q32" i="27" s="1"/>
  <c r="P32" i="22"/>
  <c r="P32" i="27" s="1"/>
  <c r="K32" i="22"/>
  <c r="K32" i="27" s="1"/>
  <c r="C32" i="22"/>
  <c r="C32" i="27" s="1"/>
  <c r="D32" i="22"/>
  <c r="D32" i="27" s="1"/>
  <c r="I32" i="22"/>
  <c r="I32" i="27" s="1"/>
  <c r="H32" i="22"/>
  <c r="H32" i="27" s="1"/>
  <c r="E32" i="22"/>
  <c r="E32" i="27" s="1"/>
  <c r="F32" i="22"/>
  <c r="F32" i="27" s="1"/>
  <c r="G32" i="22"/>
  <c r="G32" i="27" s="1"/>
  <c r="T61" i="13"/>
  <c r="U63" i="13"/>
  <c r="BO115" i="17"/>
  <c r="BO116" i="17" s="1"/>
  <c r="BO118" i="17"/>
  <c r="BO119" i="17" s="1"/>
  <c r="BO63" i="17"/>
  <c r="BN8" i="17"/>
  <c r="Q106" i="17"/>
  <c r="Q150" i="17"/>
  <c r="AH51" i="17"/>
  <c r="AE50" i="17"/>
  <c r="BT150" i="17"/>
  <c r="BT106" i="17"/>
  <c r="BO106" i="17"/>
  <c r="BO150" i="17"/>
  <c r="AL56" i="17"/>
  <c r="AL55" i="17" s="1"/>
  <c r="AM45" i="17"/>
  <c r="AM44" i="17" s="1"/>
  <c r="AL45" i="17"/>
  <c r="AL44" i="17" s="1"/>
  <c r="AL43" i="17" s="1"/>
  <c r="AM55" i="17"/>
  <c r="AM100" i="17"/>
  <c r="AM97" i="17"/>
  <c r="AK54" i="17"/>
  <c r="AP44" i="17"/>
  <c r="AK43" i="17"/>
  <c r="AC106" i="17"/>
  <c r="AC150" i="17"/>
  <c r="AG105" i="17"/>
  <c r="AW115" i="17"/>
  <c r="AW116" i="17" s="1"/>
  <c r="AW118" i="17"/>
  <c r="AW119" i="17" s="1"/>
  <c r="AW63" i="17"/>
  <c r="AV8" i="17"/>
  <c r="AK101" i="17"/>
  <c r="AK105" i="17"/>
  <c r="O150" i="17"/>
  <c r="O106" i="17"/>
  <c r="AO41" i="17"/>
  <c r="AN41" i="17"/>
  <c r="U150" i="17"/>
  <c r="U106" i="17"/>
  <c r="BE118" i="17"/>
  <c r="BE119" i="17" s="1"/>
  <c r="BE115" i="17"/>
  <c r="BE116" i="17" s="1"/>
  <c r="BE63" i="17"/>
  <c r="BD8" i="17"/>
  <c r="Y118" i="17"/>
  <c r="Y119" i="17" s="1"/>
  <c r="Y115" i="17"/>
  <c r="Y116" i="17" s="1"/>
  <c r="Y63" i="17"/>
  <c r="X8" i="17"/>
  <c r="AU93" i="17"/>
  <c r="AZ90" i="17"/>
  <c r="AU91" i="17"/>
  <c r="AU57" i="17"/>
  <c r="AU61" i="17" s="1"/>
  <c r="AU75" i="17"/>
  <c r="AZ63" i="17"/>
  <c r="AU52" i="17"/>
  <c r="AU51" i="17" s="1"/>
  <c r="AT52" i="17"/>
  <c r="AT51" i="17" s="1"/>
  <c r="AT50" i="17" s="1"/>
  <c r="AU60" i="17"/>
  <c r="AO96" i="17"/>
  <c r="AO94" i="17"/>
  <c r="AE150" i="17"/>
  <c r="AE106" i="17"/>
  <c r="AH105" i="17"/>
  <c r="AO56" i="17"/>
  <c r="AA150" i="17"/>
  <c r="AF105" i="17"/>
  <c r="AA106" i="17"/>
  <c r="BE89" i="17"/>
  <c r="BE88" i="17"/>
  <c r="BE90" i="17"/>
  <c r="AW89" i="17"/>
  <c r="AW88" i="17"/>
  <c r="BA87" i="17"/>
  <c r="AW90" i="17"/>
  <c r="AE43" i="17"/>
  <c r="AH44" i="17"/>
  <c r="AE54" i="17"/>
  <c r="AY76" i="17"/>
  <c r="BH74" i="17"/>
  <c r="AY87" i="17"/>
  <c r="AY67" i="17"/>
  <c r="AY66" i="17"/>
  <c r="T42" i="13"/>
  <c r="U60" i="13"/>
  <c r="U56" i="13" s="1"/>
  <c r="U117" i="13"/>
  <c r="U116" i="13" s="1"/>
  <c r="U114" i="13" s="1"/>
  <c r="U115" i="13" s="1"/>
  <c r="U10" i="13"/>
  <c r="U77" i="13" s="1"/>
  <c r="U59" i="13"/>
  <c r="V77" i="13" l="1"/>
  <c r="CV9" i="13"/>
  <c r="CW63" i="13"/>
  <c r="DE69" i="13"/>
  <c r="DD72" i="13"/>
  <c r="DE60" i="13"/>
  <c r="DE59" i="13"/>
  <c r="CW69" i="13"/>
  <c r="CV72" i="13"/>
  <c r="CW60" i="13"/>
  <c r="CW59" i="13"/>
  <c r="DD9" i="13"/>
  <c r="DE63" i="13"/>
  <c r="AY89" i="17"/>
  <c r="BB87" i="17"/>
  <c r="AY88" i="17"/>
  <c r="AY90" i="17"/>
  <c r="BA90" i="17"/>
  <c r="AW93" i="17"/>
  <c r="AW91" i="17"/>
  <c r="AU96" i="17"/>
  <c r="AU94" i="17"/>
  <c r="BO75" i="17"/>
  <c r="BO57" i="17"/>
  <c r="BO60" i="17"/>
  <c r="AO100" i="17"/>
  <c r="AO97" i="17"/>
  <c r="Y57" i="17"/>
  <c r="Y61" i="17" s="1"/>
  <c r="Y75" i="17"/>
  <c r="Y60" i="17"/>
  <c r="AM43" i="17"/>
  <c r="AQ44" i="17"/>
  <c r="AM54" i="17"/>
  <c r="AY118" i="17"/>
  <c r="AY119" i="17" s="1"/>
  <c r="AY115" i="17"/>
  <c r="AY116" i="17" s="1"/>
  <c r="AX8" i="17"/>
  <c r="AY63" i="17"/>
  <c r="AU41" i="17"/>
  <c r="AT41" i="17"/>
  <c r="AK150" i="17"/>
  <c r="AP105" i="17"/>
  <c r="AK106" i="17"/>
  <c r="AM105" i="17"/>
  <c r="AM101" i="17"/>
  <c r="BH87" i="17"/>
  <c r="BH76" i="17"/>
  <c r="BG74" i="17"/>
  <c r="BJ74" i="17"/>
  <c r="BH67" i="17"/>
  <c r="BH66" i="17"/>
  <c r="AU50" i="17"/>
  <c r="AZ51" i="17"/>
  <c r="BE75" i="17"/>
  <c r="BE60" i="17"/>
  <c r="BE57" i="17"/>
  <c r="BE61" i="17" s="1"/>
  <c r="AW75" i="17"/>
  <c r="AW52" i="17"/>
  <c r="AW51" i="17" s="1"/>
  <c r="BA63" i="17"/>
  <c r="AW57" i="17"/>
  <c r="AW61" i="17" s="1"/>
  <c r="AV52" i="17"/>
  <c r="AV51" i="17" s="1"/>
  <c r="AV50" i="17" s="1"/>
  <c r="AW60" i="17"/>
  <c r="BE91" i="17"/>
  <c r="BE93" i="17"/>
  <c r="AO45" i="17"/>
  <c r="AO55" i="17"/>
  <c r="AN45" i="17"/>
  <c r="AN56" i="17"/>
  <c r="AN55" i="17" s="1"/>
  <c r="AU56" i="17"/>
  <c r="T8" i="13"/>
  <c r="U68" i="13"/>
  <c r="U50" i="13"/>
  <c r="U54" i="13" s="1"/>
  <c r="U53" i="13"/>
  <c r="U126" i="13"/>
  <c r="U127" i="13" s="1"/>
  <c r="U132" i="13"/>
  <c r="U133" i="13" s="1"/>
  <c r="U142" i="13" s="1"/>
  <c r="U69" i="13"/>
  <c r="U129" i="13"/>
  <c r="U130" i="13" s="1"/>
  <c r="U16" i="13"/>
  <c r="U20" i="13" s="1"/>
  <c r="DD8" i="13" l="1"/>
  <c r="DE56" i="13"/>
  <c r="CV8" i="13"/>
  <c r="CW56" i="13"/>
  <c r="BE94" i="17"/>
  <c r="BE96" i="17"/>
  <c r="AW96" i="17"/>
  <c r="AW94" i="17"/>
  <c r="Y56" i="17"/>
  <c r="AW41" i="17"/>
  <c r="AV41" i="17"/>
  <c r="BE56" i="17"/>
  <c r="Y41" i="17"/>
  <c r="X41" i="17"/>
  <c r="AU55" i="17"/>
  <c r="AT56" i="17"/>
  <c r="AT55" i="17" s="1"/>
  <c r="AU45" i="17"/>
  <c r="AU44" i="17" s="1"/>
  <c r="AT45" i="17"/>
  <c r="AT44" i="17" s="1"/>
  <c r="AT43" i="17" s="1"/>
  <c r="BA51" i="17"/>
  <c r="AW50" i="17"/>
  <c r="BH88" i="17"/>
  <c r="BH89" i="17"/>
  <c r="BH90" i="17"/>
  <c r="BH118" i="17"/>
  <c r="BH119" i="17" s="1"/>
  <c r="BH115" i="17"/>
  <c r="BH116" i="17" s="1"/>
  <c r="BG67" i="17"/>
  <c r="BG8" i="17"/>
  <c r="BH63" i="17"/>
  <c r="AM150" i="17"/>
  <c r="AQ105" i="17"/>
  <c r="AM106" i="17"/>
  <c r="AX52" i="17"/>
  <c r="BB63" i="17"/>
  <c r="AY75" i="17"/>
  <c r="AY60" i="17"/>
  <c r="AY57" i="17"/>
  <c r="AY61" i="17" s="1"/>
  <c r="AY52" i="17"/>
  <c r="AO101" i="17"/>
  <c r="AO105" i="17"/>
  <c r="AU100" i="17"/>
  <c r="AU97" i="17"/>
  <c r="BE41" i="17"/>
  <c r="BD41" i="17"/>
  <c r="BO61" i="17"/>
  <c r="BO56" i="17" s="1"/>
  <c r="BB90" i="17"/>
  <c r="AY93" i="17"/>
  <c r="AY91" i="17"/>
  <c r="AN49" i="17"/>
  <c r="AN48" i="17" s="1"/>
  <c r="AN51" i="17" s="1"/>
  <c r="AN50" i="17" s="1"/>
  <c r="AN44" i="17"/>
  <c r="AN43" i="17" s="1"/>
  <c r="AO49" i="17"/>
  <c r="AO48" i="17" s="1"/>
  <c r="AO51" i="17" s="1"/>
  <c r="AO44" i="17"/>
  <c r="AW56" i="17"/>
  <c r="BJ76" i="17"/>
  <c r="BJ87" i="17"/>
  <c r="BL74" i="17"/>
  <c r="BJ67" i="17"/>
  <c r="BJ66" i="17"/>
  <c r="U49" i="13"/>
  <c r="U41" i="13"/>
  <c r="T41" i="13"/>
  <c r="CW53" i="13" l="1"/>
  <c r="CW50" i="13"/>
  <c r="CW54" i="13" s="1"/>
  <c r="CW68" i="13"/>
  <c r="DE50" i="13"/>
  <c r="DE53" i="13"/>
  <c r="DE68" i="13"/>
  <c r="BN56" i="17"/>
  <c r="BN55" i="17" s="1"/>
  <c r="BO45" i="17"/>
  <c r="BN45" i="17"/>
  <c r="BO55" i="17"/>
  <c r="AO50" i="17"/>
  <c r="AR51" i="17"/>
  <c r="X56" i="17"/>
  <c r="X55" i="17" s="1"/>
  <c r="Y45" i="17"/>
  <c r="Y44" i="17" s="1"/>
  <c r="Y43" i="17" s="1"/>
  <c r="X45" i="17"/>
  <c r="X44" i="17" s="1"/>
  <c r="X43" i="17" s="1"/>
  <c r="Y55" i="17"/>
  <c r="AV56" i="17"/>
  <c r="AV55" i="17" s="1"/>
  <c r="AW45" i="17"/>
  <c r="AW44" i="17" s="1"/>
  <c r="AV45" i="17"/>
  <c r="AV44" i="17" s="1"/>
  <c r="AV43" i="17" s="1"/>
  <c r="AW55" i="17"/>
  <c r="AR44" i="17"/>
  <c r="AO43" i="17"/>
  <c r="AO54" i="17"/>
  <c r="AY56" i="17"/>
  <c r="AW97" i="17"/>
  <c r="AW100" i="17"/>
  <c r="BJ88" i="17"/>
  <c r="BJ89" i="17"/>
  <c r="BJ90" i="17"/>
  <c r="AO106" i="17"/>
  <c r="AR105" i="17"/>
  <c r="AO150" i="17"/>
  <c r="BG63" i="17"/>
  <c r="BH75" i="17"/>
  <c r="BH57" i="17"/>
  <c r="BH60" i="17"/>
  <c r="BJ118" i="17"/>
  <c r="BJ119" i="17" s="1"/>
  <c r="BJ115" i="17"/>
  <c r="BJ116" i="17" s="1"/>
  <c r="BJ63" i="17"/>
  <c r="BI8" i="17"/>
  <c r="AY94" i="17"/>
  <c r="AY96" i="17"/>
  <c r="BE55" i="17"/>
  <c r="BD45" i="17"/>
  <c r="BD44" i="17" s="1"/>
  <c r="BD43" i="17" s="1"/>
  <c r="BD56" i="17"/>
  <c r="BD55" i="17" s="1"/>
  <c r="BE45" i="17"/>
  <c r="BE44" i="17" s="1"/>
  <c r="BE43" i="17" s="1"/>
  <c r="BE100" i="17"/>
  <c r="BE97" i="17"/>
  <c r="BO41" i="17"/>
  <c r="BN41" i="17"/>
  <c r="AY41" i="17"/>
  <c r="AX41" i="17"/>
  <c r="BL76" i="17"/>
  <c r="BL87" i="17"/>
  <c r="BL67" i="17"/>
  <c r="BL66" i="17"/>
  <c r="AU101" i="17"/>
  <c r="AU105" i="17"/>
  <c r="BH91" i="17"/>
  <c r="BH93" i="17"/>
  <c r="AZ44" i="17"/>
  <c r="AU54" i="17"/>
  <c r="AU43" i="17"/>
  <c r="T49" i="13"/>
  <c r="T48" i="13" s="1"/>
  <c r="U48" i="13"/>
  <c r="U45" i="13"/>
  <c r="U44" i="13" s="1"/>
  <c r="T45" i="13"/>
  <c r="T44" i="13" s="1"/>
  <c r="T43" i="13" s="1"/>
  <c r="CW41" i="13" l="1"/>
  <c r="CV41" i="13"/>
  <c r="DE54" i="13"/>
  <c r="CW49" i="13"/>
  <c r="AW54" i="17"/>
  <c r="AW43" i="17"/>
  <c r="BA44" i="17"/>
  <c r="BJ93" i="17"/>
  <c r="BJ91" i="17"/>
  <c r="BH61" i="17"/>
  <c r="BN44" i="17"/>
  <c r="BN43" i="17" s="1"/>
  <c r="BE101" i="17"/>
  <c r="BE105" i="17"/>
  <c r="AX56" i="17"/>
  <c r="AX55" i="17" s="1"/>
  <c r="AY45" i="17"/>
  <c r="AX45" i="17"/>
  <c r="AY55" i="17"/>
  <c r="AU106" i="17"/>
  <c r="AU150" i="17"/>
  <c r="AZ105" i="17"/>
  <c r="BJ57" i="17"/>
  <c r="BJ75" i="17"/>
  <c r="BJ60" i="17"/>
  <c r="BL115" i="17"/>
  <c r="BL116" i="17" s="1"/>
  <c r="BL118" i="17"/>
  <c r="BL119" i="17" s="1"/>
  <c r="BK8" i="17"/>
  <c r="BL63" i="17"/>
  <c r="AW105" i="17"/>
  <c r="AW101" i="17"/>
  <c r="BO44" i="17"/>
  <c r="BO43" i="17" s="1"/>
  <c r="BH96" i="17"/>
  <c r="BH94" i="17"/>
  <c r="BL90" i="17"/>
  <c r="BL88" i="17"/>
  <c r="BL89" i="17"/>
  <c r="AY97" i="17"/>
  <c r="AY100" i="17"/>
  <c r="U47" i="13"/>
  <c r="U43" i="13"/>
  <c r="CV45" i="13" l="1"/>
  <c r="CV44" i="13" s="1"/>
  <c r="CV43" i="13" s="1"/>
  <c r="CW45" i="13"/>
  <c r="CW44" i="13" s="1"/>
  <c r="CV49" i="13"/>
  <c r="CV48" i="13" s="1"/>
  <c r="CW48" i="13"/>
  <c r="DE41" i="13"/>
  <c r="DD41" i="13"/>
  <c r="DE49" i="13"/>
  <c r="AY101" i="17"/>
  <c r="AY105" i="17"/>
  <c r="AY44" i="17"/>
  <c r="AY49" i="17"/>
  <c r="AY48" i="17" s="1"/>
  <c r="AY51" i="17" s="1"/>
  <c r="BH100" i="17"/>
  <c r="BH97" i="17"/>
  <c r="AW106" i="17"/>
  <c r="AW150" i="17"/>
  <c r="BA105" i="17"/>
  <c r="BJ96" i="17"/>
  <c r="BJ94" i="17"/>
  <c r="BE150" i="17"/>
  <c r="BE106" i="17"/>
  <c r="BL93" i="17"/>
  <c r="BL91" i="17"/>
  <c r="BL57" i="17"/>
  <c r="BL75" i="17"/>
  <c r="BL60" i="17"/>
  <c r="BJ61" i="17"/>
  <c r="AX49" i="17"/>
  <c r="AX48" i="17" s="1"/>
  <c r="AX51" i="17" s="1"/>
  <c r="AX50" i="17" s="1"/>
  <c r="AX44" i="17"/>
  <c r="AX43" i="17" s="1"/>
  <c r="BH41" i="17"/>
  <c r="BG41" i="17"/>
  <c r="BH56" i="17"/>
  <c r="CW47" i="13" l="1"/>
  <c r="CW43" i="13"/>
  <c r="DD49" i="13"/>
  <c r="DD48" i="13" s="1"/>
  <c r="DE48" i="13"/>
  <c r="DD45" i="13"/>
  <c r="DD44" i="13" s="1"/>
  <c r="DD43" i="13" s="1"/>
  <c r="DE45" i="13"/>
  <c r="DE44" i="13" s="1"/>
  <c r="BJ100" i="17"/>
  <c r="BJ97" i="17"/>
  <c r="AY43" i="17"/>
  <c r="AY54" i="17"/>
  <c r="BB44" i="17"/>
  <c r="AY150" i="17"/>
  <c r="BB105" i="17"/>
  <c r="AY106" i="17"/>
  <c r="AY50" i="17"/>
  <c r="BB51" i="17"/>
  <c r="BJ41" i="17"/>
  <c r="BI41" i="17"/>
  <c r="BL61" i="17"/>
  <c r="BL56" i="17" s="1"/>
  <c r="BG56" i="17"/>
  <c r="BG55" i="17" s="1"/>
  <c r="BH45" i="17"/>
  <c r="BH44" i="17" s="1"/>
  <c r="BH43" i="17" s="1"/>
  <c r="BG45" i="17"/>
  <c r="BG44" i="17" s="1"/>
  <c r="BG43" i="17" s="1"/>
  <c r="BH55" i="17"/>
  <c r="BL96" i="17"/>
  <c r="BL94" i="17"/>
  <c r="BH105" i="17"/>
  <c r="BH101" i="17"/>
  <c r="BJ56" i="17"/>
  <c r="DE47" i="13" l="1"/>
  <c r="DE43" i="13"/>
  <c r="BH150" i="17"/>
  <c r="BH106" i="17"/>
  <c r="BL55" i="17"/>
  <c r="BK56" i="17"/>
  <c r="BK55" i="17" s="1"/>
  <c r="BL45" i="17"/>
  <c r="BK45" i="17"/>
  <c r="BL41" i="17"/>
  <c r="BK41" i="17"/>
  <c r="BJ55" i="17"/>
  <c r="BJ45" i="17"/>
  <c r="BJ44" i="17" s="1"/>
  <c r="BJ43" i="17" s="1"/>
  <c r="BI45" i="17"/>
  <c r="BI44" i="17" s="1"/>
  <c r="BI43" i="17" s="1"/>
  <c r="BI56" i="17"/>
  <c r="BI55" i="17" s="1"/>
  <c r="BL100" i="17"/>
  <c r="BL97" i="17"/>
  <c r="BJ105" i="17"/>
  <c r="BJ101" i="17"/>
  <c r="BK44" i="17" l="1"/>
  <c r="BK43" i="17" s="1"/>
  <c r="BL44" i="17"/>
  <c r="BL43" i="17" s="1"/>
  <c r="BJ106" i="17"/>
  <c r="BJ150" i="17"/>
  <c r="BL101" i="17"/>
  <c r="BL105" i="17"/>
  <c r="BL106" i="17" l="1"/>
  <c r="BL150" i="17"/>
  <c r="O51" i="11" l="1"/>
  <c r="O52" i="11" s="1"/>
  <c r="I51" i="11"/>
  <c r="I52" i="11" s="1"/>
  <c r="T48" i="11"/>
  <c r="T34" i="11" s="1"/>
  <c r="H46" i="11"/>
  <c r="G46" i="11"/>
  <c r="M46" i="11" s="1"/>
  <c r="T46" i="11" s="1"/>
  <c r="T20" i="11"/>
  <c r="T17" i="11"/>
  <c r="T13" i="11"/>
  <c r="M20" i="11"/>
  <c r="G20" i="11"/>
  <c r="G17" i="11"/>
  <c r="M9" i="11"/>
  <c r="T9" i="11" s="1"/>
  <c r="CE22" i="27" l="1"/>
  <c r="CM22" i="27"/>
  <c r="BO22" i="27"/>
  <c r="BW22" i="27"/>
  <c r="BG22" i="27"/>
  <c r="AY22" i="27"/>
  <c r="BO24" i="27"/>
  <c r="CE24" i="27"/>
  <c r="CM24" i="27"/>
  <c r="BG24" i="27"/>
  <c r="AY24" i="27"/>
  <c r="BW24" i="27"/>
  <c r="BH24" i="27"/>
  <c r="BP24" i="27"/>
  <c r="CN24" i="27"/>
  <c r="AZ24" i="27"/>
  <c r="CF24" i="27"/>
  <c r="BX24" i="27"/>
  <c r="BP24" i="22"/>
  <c r="CN24" i="22"/>
  <c r="BX24" i="22"/>
  <c r="CF24" i="22"/>
  <c r="BH24" i="22"/>
  <c r="AZ24" i="22"/>
  <c r="AZ12" i="22" s="1"/>
  <c r="BO22" i="22"/>
  <c r="CE22" i="22"/>
  <c r="BW22" i="22"/>
  <c r="BG22" i="22"/>
  <c r="AY22" i="22"/>
  <c r="CM22" i="22"/>
  <c r="BW24" i="22"/>
  <c r="AY24" i="22"/>
  <c r="AY12" i="22" s="1"/>
  <c r="BG24" i="22"/>
  <c r="CE24" i="22"/>
  <c r="BO24" i="22"/>
  <c r="CM24" i="22"/>
  <c r="T18" i="11"/>
  <c r="T21" i="11"/>
  <c r="AY12" i="27" l="1"/>
  <c r="AZ12" i="27"/>
  <c r="G48" i="11" l="1"/>
  <c r="G34" i="11" s="1"/>
  <c r="E34" i="11" l="1"/>
  <c r="C37" i="22" s="1"/>
  <c r="H48" i="11"/>
  <c r="U13" i="11"/>
  <c r="BQ18" i="22" s="1"/>
  <c r="BQ20" i="22" s="1"/>
  <c r="R20" i="11"/>
  <c r="U20" i="11"/>
  <c r="BQ24" i="22" s="1"/>
  <c r="N20" i="11"/>
  <c r="N75" i="21" s="1"/>
  <c r="N17" i="11"/>
  <c r="N73" i="21" s="1"/>
  <c r="N13" i="11"/>
  <c r="N69" i="21" s="1"/>
  <c r="U48" i="11"/>
  <c r="U34" i="11" s="1"/>
  <c r="N46" i="11"/>
  <c r="U46" i="11" s="1"/>
  <c r="H20" i="11"/>
  <c r="M75" i="21" s="1"/>
  <c r="H17" i="11"/>
  <c r="M73" i="21" s="1"/>
  <c r="H13" i="11"/>
  <c r="M69" i="21" s="1"/>
  <c r="N9" i="11"/>
  <c r="U9" i="11" s="1"/>
  <c r="N28" i="11"/>
  <c r="N83" i="21" s="1"/>
  <c r="AT184" i="3"/>
  <c r="AU137" i="3"/>
  <c r="AU128" i="3"/>
  <c r="AU104" i="3"/>
  <c r="AT2" i="3"/>
  <c r="AT10" i="3" s="1"/>
  <c r="AU10" i="3" s="1"/>
  <c r="AU126" i="3" s="1"/>
  <c r="BQ25" i="22" l="1"/>
  <c r="BQ21" i="22"/>
  <c r="BY24" i="27"/>
  <c r="BI24" i="27"/>
  <c r="CO24" i="27"/>
  <c r="BA24" i="27"/>
  <c r="BQ24" i="27"/>
  <c r="CG24" i="27"/>
  <c r="BY18" i="27"/>
  <c r="BY20" i="27" s="1"/>
  <c r="BI18" i="27"/>
  <c r="BI20" i="27" s="1"/>
  <c r="BQ18" i="27"/>
  <c r="BQ20" i="27" s="1"/>
  <c r="BA18" i="27"/>
  <c r="BA20" i="27" s="1"/>
  <c r="CO18" i="27"/>
  <c r="CO20" i="27" s="1"/>
  <c r="CG18" i="27"/>
  <c r="C37" i="27"/>
  <c r="AU129" i="3"/>
  <c r="O69" i="21"/>
  <c r="BA18" i="22"/>
  <c r="BI18" i="22"/>
  <c r="CO18" i="22"/>
  <c r="CG18" i="22"/>
  <c r="BY18" i="22"/>
  <c r="O75" i="21"/>
  <c r="BI24" i="22"/>
  <c r="CG24" i="22"/>
  <c r="BY24" i="22"/>
  <c r="CO24" i="22"/>
  <c r="BA24" i="22"/>
  <c r="BA12" i="22" s="1"/>
  <c r="M57" i="21"/>
  <c r="C57" i="21"/>
  <c r="C26" i="21"/>
  <c r="P74" i="21"/>
  <c r="N74" i="21"/>
  <c r="M74" i="21"/>
  <c r="S74" i="21"/>
  <c r="O74" i="21"/>
  <c r="R74" i="21"/>
  <c r="Q74" i="21"/>
  <c r="M76" i="21"/>
  <c r="N76" i="21"/>
  <c r="H28" i="11"/>
  <c r="M83" i="21" s="1"/>
  <c r="M48" i="11"/>
  <c r="M34" i="11" s="1"/>
  <c r="H34" i="11"/>
  <c r="M88" i="21" s="1"/>
  <c r="O88" i="21"/>
  <c r="M17" i="11"/>
  <c r="U17" i="11"/>
  <c r="BQ22" i="22" s="1"/>
  <c r="BQ23" i="22" s="1"/>
  <c r="H22" i="11"/>
  <c r="M77" i="21" s="1"/>
  <c r="G22" i="11"/>
  <c r="N48" i="11"/>
  <c r="N34" i="11" s="1"/>
  <c r="N22" i="11"/>
  <c r="N77" i="21" s="1"/>
  <c r="N18" i="11"/>
  <c r="H21" i="11"/>
  <c r="U21" i="11"/>
  <c r="N21" i="11"/>
  <c r="H18" i="11"/>
  <c r="AU132" i="3"/>
  <c r="M22" i="11" l="1"/>
  <c r="BH26" i="27" s="1"/>
  <c r="M28" i="11"/>
  <c r="AZ32" i="27" s="1"/>
  <c r="G28" i="11"/>
  <c r="BO32" i="22" s="1"/>
  <c r="BQ41" i="22"/>
  <c r="BQ42" i="22" s="1"/>
  <c r="CG25" i="27"/>
  <c r="CL24" i="27"/>
  <c r="CL12" i="27" s="1"/>
  <c r="BA25" i="27"/>
  <c r="BA12" i="27"/>
  <c r="BF24" i="27"/>
  <c r="BF12" i="27" s="1"/>
  <c r="BQ22" i="27"/>
  <c r="BQ23" i="27" s="1"/>
  <c r="BY22" i="27"/>
  <c r="BY23" i="27" s="1"/>
  <c r="CO22" i="27"/>
  <c r="CO23" i="27" s="1"/>
  <c r="BI22" i="27"/>
  <c r="BI23" i="27" s="1"/>
  <c r="BA22" i="27"/>
  <c r="BA23" i="27" s="1"/>
  <c r="CG22" i="27"/>
  <c r="CG23" i="27" s="1"/>
  <c r="S37" i="22"/>
  <c r="S37" i="27"/>
  <c r="BQ21" i="27"/>
  <c r="CO25" i="27"/>
  <c r="CT24" i="27"/>
  <c r="CT12" i="27" s="1"/>
  <c r="CO21" i="27"/>
  <c r="BA21" i="27"/>
  <c r="BI21" i="27"/>
  <c r="BI25" i="27"/>
  <c r="BN24" i="27"/>
  <c r="BN12" i="27" s="1"/>
  <c r="CG20" i="27"/>
  <c r="BQ25" i="27"/>
  <c r="BV24" i="27"/>
  <c r="BV12" i="27" s="1"/>
  <c r="BY21" i="27"/>
  <c r="BY25" i="27"/>
  <c r="CD24" i="27"/>
  <c r="CD12" i="27" s="1"/>
  <c r="BO26" i="27"/>
  <c r="CM26" i="27"/>
  <c r="CE26" i="27"/>
  <c r="BG26" i="27"/>
  <c r="AY26" i="27"/>
  <c r="BW26" i="27"/>
  <c r="CN22" i="27"/>
  <c r="BX22" i="27"/>
  <c r="AZ22" i="27"/>
  <c r="BP22" i="27"/>
  <c r="CF22" i="27"/>
  <c r="BH22" i="27"/>
  <c r="BP26" i="27"/>
  <c r="BX26" i="22"/>
  <c r="O76" i="21"/>
  <c r="T75" i="21"/>
  <c r="AY26" i="22"/>
  <c r="CE26" i="22"/>
  <c r="BG26" i="22"/>
  <c r="BW26" i="22"/>
  <c r="BO26" i="22"/>
  <c r="CM26" i="22"/>
  <c r="CG25" i="22"/>
  <c r="CL24" i="22"/>
  <c r="CL12" i="22" s="1"/>
  <c r="BY25" i="22"/>
  <c r="CD24" i="22"/>
  <c r="CD12" i="22" s="1"/>
  <c r="BV24" i="22"/>
  <c r="BV12" i="22" s="1"/>
  <c r="BA25" i="22"/>
  <c r="BF24" i="22"/>
  <c r="BF12" i="22" s="1"/>
  <c r="O73" i="21"/>
  <c r="BA22" i="22"/>
  <c r="BA23" i="22" s="1"/>
  <c r="BY22" i="22"/>
  <c r="BY23" i="22" s="1"/>
  <c r="BI22" i="22"/>
  <c r="BI23" i="22" s="1"/>
  <c r="CO22" i="22"/>
  <c r="CO23" i="22" s="1"/>
  <c r="CG22" i="22"/>
  <c r="CG23" i="22" s="1"/>
  <c r="BI25" i="22"/>
  <c r="BN24" i="22"/>
  <c r="BN12" i="22" s="1"/>
  <c r="AZ22" i="22"/>
  <c r="BH22" i="22"/>
  <c r="CF22" i="22"/>
  <c r="CN22" i="22"/>
  <c r="BP22" i="22"/>
  <c r="BX22" i="22"/>
  <c r="CO25" i="22"/>
  <c r="CT24" i="22"/>
  <c r="CT12" i="22" s="1"/>
  <c r="M126" i="21"/>
  <c r="N88" i="21"/>
  <c r="U18" i="11"/>
  <c r="N14" i="11"/>
  <c r="K42" i="3"/>
  <c r="CN26" i="27" l="1"/>
  <c r="AZ26" i="27"/>
  <c r="CF26" i="27"/>
  <c r="BP26" i="22"/>
  <c r="BX26" i="27"/>
  <c r="AY32" i="22"/>
  <c r="BH32" i="22"/>
  <c r="BX32" i="27"/>
  <c r="BX32" i="22"/>
  <c r="CF32" i="27"/>
  <c r="AZ32" i="22"/>
  <c r="CN32" i="27"/>
  <c r="AZ26" i="22"/>
  <c r="CF26" i="22"/>
  <c r="BH26" i="22"/>
  <c r="CN26" i="22"/>
  <c r="BP32" i="22"/>
  <c r="BH32" i="27"/>
  <c r="CF32" i="22"/>
  <c r="CN32" i="22"/>
  <c r="BP32" i="27"/>
  <c r="BW32" i="27"/>
  <c r="BG32" i="27"/>
  <c r="AY32" i="27"/>
  <c r="CM32" i="22"/>
  <c r="CM32" i="27"/>
  <c r="BG32" i="22"/>
  <c r="BO32" i="27"/>
  <c r="BW32" i="22"/>
  <c r="CE32" i="27"/>
  <c r="CE32" i="22"/>
  <c r="BY41" i="27"/>
  <c r="BY42" i="27" s="1"/>
  <c r="BQ41" i="27"/>
  <c r="BQ42" i="27" s="1"/>
  <c r="CO41" i="27"/>
  <c r="CO42" i="27" s="1"/>
  <c r="CG21" i="27"/>
  <c r="CG41" i="27"/>
  <c r="CG42" i="27" s="1"/>
  <c r="BI41" i="27"/>
  <c r="BI42" i="27" s="1"/>
  <c r="BA41" i="27"/>
  <c r="BA42" i="27" s="1"/>
  <c r="N15" i="11"/>
  <c r="N23" i="11" s="1"/>
  <c r="N26" i="11" s="1"/>
  <c r="N29" i="11" s="1"/>
  <c r="N70" i="21"/>
  <c r="N71" i="21" s="1"/>
  <c r="N39" i="21"/>
  <c r="G14" i="11"/>
  <c r="U14" i="11"/>
  <c r="H14" i="11"/>
  <c r="BZ63" i="3"/>
  <c r="CH63" i="3"/>
  <c r="AX67" i="3"/>
  <c r="CD63" i="3"/>
  <c r="CB63" i="3"/>
  <c r="BT63" i="3"/>
  <c r="BB63" i="3"/>
  <c r="AZ63" i="3"/>
  <c r="M14" i="11" l="1"/>
  <c r="N16" i="11"/>
  <c r="N78" i="21"/>
  <c r="N72" i="21"/>
  <c r="N92" i="21"/>
  <c r="N93" i="21" s="1"/>
  <c r="CG20" i="22"/>
  <c r="BA20" i="22"/>
  <c r="BI20" i="22"/>
  <c r="CO20" i="22"/>
  <c r="BY20" i="22"/>
  <c r="U15" i="11"/>
  <c r="U16" i="11" s="1"/>
  <c r="O70" i="21"/>
  <c r="O39" i="21"/>
  <c r="H15" i="11"/>
  <c r="H23" i="11" s="1"/>
  <c r="H26" i="11" s="1"/>
  <c r="H29" i="11" s="1"/>
  <c r="M70" i="21"/>
  <c r="M39" i="21"/>
  <c r="N79" i="21" l="1"/>
  <c r="N81" i="21"/>
  <c r="CO21" i="22"/>
  <c r="CO41" i="22"/>
  <c r="CO42" i="22" s="1"/>
  <c r="BI41" i="22"/>
  <c r="BI42" i="22" s="1"/>
  <c r="BI21" i="22"/>
  <c r="BA21" i="22"/>
  <c r="BA41" i="22"/>
  <c r="BA42" i="22" s="1"/>
  <c r="BY41" i="22"/>
  <c r="BY42" i="22" s="1"/>
  <c r="BY21" i="22"/>
  <c r="CG41" i="22"/>
  <c r="CG42" i="22" s="1"/>
  <c r="CG21" i="22"/>
  <c r="H16" i="11"/>
  <c r="M71" i="21"/>
  <c r="O71" i="21"/>
  <c r="G13" i="11"/>
  <c r="N24" i="11"/>
  <c r="H24" i="11"/>
  <c r="BO18" i="27" l="1"/>
  <c r="CE18" i="27"/>
  <c r="CM18" i="27"/>
  <c r="BW18" i="27"/>
  <c r="BG18" i="27"/>
  <c r="AY18" i="27"/>
  <c r="N84" i="21"/>
  <c r="N85" i="21" s="1"/>
  <c r="N82" i="21"/>
  <c r="AY18" i="22"/>
  <c r="CE18" i="22"/>
  <c r="BO18" i="22"/>
  <c r="BG18" i="22"/>
  <c r="BW18" i="22"/>
  <c r="CM18" i="22"/>
  <c r="O92" i="21"/>
  <c r="O93" i="21" s="1"/>
  <c r="O72" i="21"/>
  <c r="M78" i="21"/>
  <c r="M72" i="21"/>
  <c r="M13" i="11"/>
  <c r="G18" i="11"/>
  <c r="G21" i="11"/>
  <c r="G15" i="11"/>
  <c r="G23" i="11" s="1"/>
  <c r="G26" i="11" s="1"/>
  <c r="G29" i="11" s="1"/>
  <c r="G31" i="11" s="1"/>
  <c r="CM20" i="27" l="1"/>
  <c r="CM23" i="27"/>
  <c r="CM25" i="27"/>
  <c r="AY20" i="27"/>
  <c r="AY25" i="27"/>
  <c r="AY23" i="27"/>
  <c r="CE20" i="27"/>
  <c r="CE23" i="27"/>
  <c r="CE25" i="27"/>
  <c r="BG20" i="27"/>
  <c r="BG23" i="27"/>
  <c r="BG25" i="27"/>
  <c r="BW20" i="27"/>
  <c r="BW25" i="27"/>
  <c r="BW23" i="27"/>
  <c r="BO20" i="27"/>
  <c r="BO25" i="27"/>
  <c r="BO23" i="27"/>
  <c r="BH18" i="27"/>
  <c r="BX18" i="27"/>
  <c r="CF18" i="27"/>
  <c r="CN18" i="27"/>
  <c r="AZ18" i="27"/>
  <c r="BP18" i="27"/>
  <c r="N12" i="11"/>
  <c r="BG20" i="22"/>
  <c r="BG23" i="22"/>
  <c r="BG25" i="22"/>
  <c r="BO20" i="22"/>
  <c r="BO25" i="22"/>
  <c r="BO23" i="22"/>
  <c r="CM20" i="22"/>
  <c r="CM25" i="22"/>
  <c r="CM23" i="22"/>
  <c r="CE20" i="22"/>
  <c r="CE23" i="22"/>
  <c r="CE25" i="22"/>
  <c r="BW20" i="22"/>
  <c r="BW25" i="22"/>
  <c r="BW23" i="22"/>
  <c r="BH18" i="22"/>
  <c r="BP18" i="22"/>
  <c r="BX18" i="22"/>
  <c r="AZ18" i="22"/>
  <c r="CN18" i="22"/>
  <c r="CF18" i="22"/>
  <c r="AY20" i="22"/>
  <c r="AY25" i="22"/>
  <c r="AY23" i="22"/>
  <c r="M79" i="21"/>
  <c r="M81" i="21"/>
  <c r="G16" i="11"/>
  <c r="M15" i="11"/>
  <c r="M23" i="11" s="1"/>
  <c r="M26" i="11" s="1"/>
  <c r="M29" i="11" s="1"/>
  <c r="M21" i="11"/>
  <c r="M18" i="11"/>
  <c r="BO27" i="27" l="1"/>
  <c r="BO21" i="27"/>
  <c r="BO41" i="27"/>
  <c r="BO42" i="27" s="1"/>
  <c r="BW41" i="27"/>
  <c r="BW42" i="27" s="1"/>
  <c r="BW21" i="27"/>
  <c r="BW27" i="27"/>
  <c r="CE41" i="27"/>
  <c r="CE42" i="27" s="1"/>
  <c r="CE27" i="27"/>
  <c r="CE21" i="27"/>
  <c r="BG21" i="27"/>
  <c r="BG27" i="27"/>
  <c r="BG41" i="27"/>
  <c r="BG42" i="27" s="1"/>
  <c r="AY27" i="27"/>
  <c r="AY21" i="27"/>
  <c r="AY41" i="27"/>
  <c r="AY42" i="27" s="1"/>
  <c r="CM41" i="27"/>
  <c r="CM42" i="27" s="1"/>
  <c r="CM21" i="27"/>
  <c r="CM27" i="27"/>
  <c r="BP20" i="27"/>
  <c r="BP25" i="27"/>
  <c r="BP23" i="27"/>
  <c r="AZ20" i="27"/>
  <c r="AZ25" i="27"/>
  <c r="AZ23" i="27"/>
  <c r="CN20" i="27"/>
  <c r="CN25" i="27"/>
  <c r="CN23" i="27"/>
  <c r="CF20" i="27"/>
  <c r="CF25" i="27"/>
  <c r="CF23" i="27"/>
  <c r="BX20" i="27"/>
  <c r="BX25" i="27"/>
  <c r="BX23" i="27"/>
  <c r="BH20" i="27"/>
  <c r="BH25" i="27"/>
  <c r="BH23" i="27"/>
  <c r="N68" i="21"/>
  <c r="N19" i="11"/>
  <c r="AZ20" i="22"/>
  <c r="AZ25" i="22"/>
  <c r="AZ23" i="22"/>
  <c r="AY41" i="22"/>
  <c r="AY42" i="22" s="1"/>
  <c r="AY27" i="22"/>
  <c r="AY21" i="22"/>
  <c r="BP20" i="22"/>
  <c r="BP25" i="22"/>
  <c r="BP23" i="22"/>
  <c r="CM21" i="22"/>
  <c r="CM27" i="22"/>
  <c r="CM41" i="22"/>
  <c r="CM42" i="22" s="1"/>
  <c r="BX20" i="22"/>
  <c r="BX25" i="22"/>
  <c r="BX23" i="22"/>
  <c r="BH20" i="22"/>
  <c r="BH25" i="22"/>
  <c r="BH23" i="22"/>
  <c r="BW27" i="22"/>
  <c r="BW41" i="22"/>
  <c r="BW21" i="22"/>
  <c r="CF20" i="22"/>
  <c r="CF25" i="22"/>
  <c r="CF23" i="22"/>
  <c r="CE41" i="22"/>
  <c r="CE42" i="22" s="1"/>
  <c r="CE21" i="22"/>
  <c r="CE27" i="22"/>
  <c r="BG21" i="22"/>
  <c r="BG41" i="22"/>
  <c r="BG42" i="22" s="1"/>
  <c r="BG27" i="22"/>
  <c r="BO41" i="22"/>
  <c r="BO42" i="22" s="1"/>
  <c r="BO27" i="22"/>
  <c r="BO21" i="22"/>
  <c r="CN20" i="22"/>
  <c r="CN25" i="22"/>
  <c r="CN23" i="22"/>
  <c r="M82" i="21"/>
  <c r="M84" i="21"/>
  <c r="M16" i="11"/>
  <c r="H12" i="11"/>
  <c r="M68" i="21" s="1"/>
  <c r="N27" i="11"/>
  <c r="H27" i="11"/>
  <c r="M24" i="11" l="1"/>
  <c r="G24" i="11"/>
  <c r="BW42" i="22"/>
  <c r="CE30" i="27"/>
  <c r="CE28" i="27"/>
  <c r="AY30" i="27"/>
  <c r="AY28" i="27"/>
  <c r="CM28" i="27"/>
  <c r="CM30" i="27"/>
  <c r="BW30" i="27"/>
  <c r="BW28" i="27"/>
  <c r="BG30" i="27"/>
  <c r="BG28" i="27"/>
  <c r="BO30" i="27"/>
  <c r="BO28" i="27"/>
  <c r="BX41" i="27"/>
  <c r="BX42" i="27" s="1"/>
  <c r="BX21" i="27"/>
  <c r="BX27" i="27"/>
  <c r="AZ21" i="27"/>
  <c r="AZ41" i="27"/>
  <c r="AZ42" i="27" s="1"/>
  <c r="AZ27" i="27"/>
  <c r="BH41" i="27"/>
  <c r="BH42" i="27" s="1"/>
  <c r="BH21" i="27"/>
  <c r="BH27" i="27"/>
  <c r="CN41" i="27"/>
  <c r="CN42" i="27" s="1"/>
  <c r="CN21" i="27"/>
  <c r="CN27" i="27"/>
  <c r="CF41" i="27"/>
  <c r="CF42" i="27" s="1"/>
  <c r="CF21" i="27"/>
  <c r="CF27" i="27"/>
  <c r="BP21" i="27"/>
  <c r="BP41" i="27"/>
  <c r="BP42" i="27" s="1"/>
  <c r="BP27" i="27"/>
  <c r="CE28" i="22"/>
  <c r="CE30" i="22"/>
  <c r="CM28" i="22"/>
  <c r="CM30" i="22"/>
  <c r="BO30" i="22"/>
  <c r="BO28" i="22"/>
  <c r="AY30" i="22"/>
  <c r="AY28" i="22"/>
  <c r="BH41" i="22"/>
  <c r="BH42" i="22" s="1"/>
  <c r="BH27" i="22"/>
  <c r="BH21" i="22"/>
  <c r="BW28" i="22"/>
  <c r="BW30" i="22"/>
  <c r="BX41" i="22"/>
  <c r="BX42" i="22" s="1"/>
  <c r="BX27" i="22"/>
  <c r="BX21" i="22"/>
  <c r="BP27" i="22"/>
  <c r="BP21" i="22"/>
  <c r="BP41" i="22"/>
  <c r="BP42" i="22" s="1"/>
  <c r="AZ27" i="22"/>
  <c r="AZ41" i="22"/>
  <c r="AZ42" i="22" s="1"/>
  <c r="AZ21" i="22"/>
  <c r="CF41" i="22"/>
  <c r="CF42" i="22" s="1"/>
  <c r="CF21" i="22"/>
  <c r="CF27" i="22"/>
  <c r="CN41" i="22"/>
  <c r="CN42" i="22" s="1"/>
  <c r="CN27" i="22"/>
  <c r="CN21" i="22"/>
  <c r="BG30" i="22"/>
  <c r="BG28" i="22"/>
  <c r="M85" i="21"/>
  <c r="M30" i="11"/>
  <c r="M31" i="11"/>
  <c r="H19" i="11"/>
  <c r="N30" i="11"/>
  <c r="N31" i="11"/>
  <c r="H30" i="11"/>
  <c r="H31" i="11"/>
  <c r="AY33" i="27" l="1"/>
  <c r="AY34" i="27" s="1"/>
  <c r="AY31" i="27"/>
  <c r="BG31" i="27"/>
  <c r="BG33" i="27"/>
  <c r="BG34" i="27" s="1"/>
  <c r="BW31" i="27"/>
  <c r="BW33" i="27"/>
  <c r="BW34" i="27" s="1"/>
  <c r="BO31" i="27"/>
  <c r="BO33" i="27"/>
  <c r="BO34" i="27" s="1"/>
  <c r="CM31" i="27"/>
  <c r="CM33" i="27"/>
  <c r="CM34" i="27" s="1"/>
  <c r="CE31" i="27"/>
  <c r="CE33" i="27"/>
  <c r="CE34" i="27" s="1"/>
  <c r="CN28" i="27"/>
  <c r="CN30" i="27"/>
  <c r="CF30" i="27"/>
  <c r="CF28" i="27"/>
  <c r="AZ28" i="27"/>
  <c r="AZ30" i="27"/>
  <c r="BH28" i="27"/>
  <c r="BH30" i="27"/>
  <c r="BX30" i="27"/>
  <c r="BX28" i="27"/>
  <c r="BP30" i="27"/>
  <c r="BP28" i="27"/>
  <c r="BH30" i="22"/>
  <c r="BH28" i="22"/>
  <c r="CN28" i="22"/>
  <c r="CN30" i="22"/>
  <c r="BX28" i="22"/>
  <c r="BX30" i="22"/>
  <c r="CM31" i="22"/>
  <c r="CM33" i="22"/>
  <c r="CM34" i="22" s="1"/>
  <c r="AZ30" i="22"/>
  <c r="AZ28" i="22"/>
  <c r="BG33" i="22"/>
  <c r="BG34" i="22" s="1"/>
  <c r="BG31" i="22"/>
  <c r="BO33" i="22"/>
  <c r="BO34" i="22" s="1"/>
  <c r="BO31" i="22"/>
  <c r="CF28" i="22"/>
  <c r="CF30" i="22"/>
  <c r="BW33" i="22"/>
  <c r="BW31" i="22"/>
  <c r="AY33" i="22"/>
  <c r="AY34" i="22" s="1"/>
  <c r="AY31" i="22"/>
  <c r="CE31" i="22"/>
  <c r="CE33" i="22"/>
  <c r="CE34" i="22" s="1"/>
  <c r="BP28" i="22"/>
  <c r="BP30" i="22"/>
  <c r="BW34" i="22" l="1"/>
  <c r="BX31" i="27"/>
  <c r="BX33" i="27"/>
  <c r="BX34" i="27" s="1"/>
  <c r="AZ33" i="27"/>
  <c r="AZ34" i="27" s="1"/>
  <c r="AZ31" i="27"/>
  <c r="CF33" i="27"/>
  <c r="CF34" i="27" s="1"/>
  <c r="CF31" i="27"/>
  <c r="BP31" i="27"/>
  <c r="BP33" i="27"/>
  <c r="BP34" i="27" s="1"/>
  <c r="CN31" i="27"/>
  <c r="CN33" i="27"/>
  <c r="CN34" i="27" s="1"/>
  <c r="BH33" i="27"/>
  <c r="BH34" i="27" s="1"/>
  <c r="BH31" i="27"/>
  <c r="N47" i="11"/>
  <c r="N33" i="11" s="1"/>
  <c r="BX33" i="22"/>
  <c r="BX34" i="22" s="1"/>
  <c r="BX31" i="22"/>
  <c r="AZ33" i="22"/>
  <c r="AZ34" i="22" s="1"/>
  <c r="AZ31" i="22"/>
  <c r="CN33" i="22"/>
  <c r="CN34" i="22" s="1"/>
  <c r="CN31" i="22"/>
  <c r="BP31" i="22"/>
  <c r="BP33" i="22"/>
  <c r="BP34" i="22" s="1"/>
  <c r="CF31" i="22"/>
  <c r="CF33" i="22"/>
  <c r="CF34" i="22" s="1"/>
  <c r="BH31" i="22"/>
  <c r="BH33" i="22"/>
  <c r="BH34" i="22" s="1"/>
  <c r="G27" i="11" l="1"/>
  <c r="M27" i="11"/>
  <c r="N49" i="11"/>
  <c r="N35" i="11" s="1"/>
  <c r="N51" i="11"/>
  <c r="N87" i="21"/>
  <c r="G30" i="11"/>
  <c r="H47" i="11"/>
  <c r="S20" i="11"/>
  <c r="E75" i="21" s="1"/>
  <c r="S13" i="11"/>
  <c r="E69" i="21" s="1"/>
  <c r="AF17" i="11"/>
  <c r="Q22" i="22" s="1"/>
  <c r="AF13" i="11"/>
  <c r="Q18" i="22" s="1"/>
  <c r="AC13" i="11"/>
  <c r="Z13" i="11"/>
  <c r="W17" i="11"/>
  <c r="W13" i="11"/>
  <c r="CD135" i="3"/>
  <c r="CB135" i="3"/>
  <c r="BV135" i="3"/>
  <c r="BT135" i="3"/>
  <c r="AZ135" i="3"/>
  <c r="BB135" i="3"/>
  <c r="AG17" i="11"/>
  <c r="AG13" i="11"/>
  <c r="AD17" i="11"/>
  <c r="CQ22" i="22" s="1"/>
  <c r="AD13" i="11"/>
  <c r="CQ18" i="22" s="1"/>
  <c r="AA17" i="11"/>
  <c r="AA13" i="11"/>
  <c r="Q25" i="22" l="1"/>
  <c r="Q23" i="22"/>
  <c r="CQ20" i="22"/>
  <c r="CQ25" i="22"/>
  <c r="CQ23" i="22"/>
  <c r="AO18" i="27"/>
  <c r="AW18" i="27"/>
  <c r="Y18" i="27"/>
  <c r="Q18" i="27"/>
  <c r="Q25" i="27" s="1"/>
  <c r="AG18" i="27"/>
  <c r="BL22" i="27"/>
  <c r="CR22" i="27"/>
  <c r="CB22" i="27"/>
  <c r="BD22" i="27"/>
  <c r="CJ22" i="27"/>
  <c r="BT22" i="27"/>
  <c r="AD18" i="27"/>
  <c r="N18" i="27"/>
  <c r="V18" i="27"/>
  <c r="AT18" i="27"/>
  <c r="AL18" i="27"/>
  <c r="F18" i="27"/>
  <c r="AT22" i="27"/>
  <c r="AD22" i="27"/>
  <c r="N22" i="27"/>
  <c r="F22" i="27"/>
  <c r="V22" i="27"/>
  <c r="AL22" i="27"/>
  <c r="CQ18" i="27"/>
  <c r="BS18" i="27"/>
  <c r="BC18" i="27"/>
  <c r="CI18" i="27"/>
  <c r="BK18" i="27"/>
  <c r="CA18" i="27"/>
  <c r="CC22" i="27"/>
  <c r="CK22" i="27"/>
  <c r="BM22" i="27"/>
  <c r="CS22" i="27"/>
  <c r="BU22" i="27"/>
  <c r="BE22" i="27"/>
  <c r="CR18" i="27"/>
  <c r="BL18" i="27"/>
  <c r="CB18" i="27"/>
  <c r="BD18" i="27"/>
  <c r="BT18" i="27"/>
  <c r="CJ18" i="27"/>
  <c r="Q22" i="27"/>
  <c r="AW22" i="27"/>
  <c r="AG22" i="27"/>
  <c r="Y22" i="27"/>
  <c r="AO22" i="27"/>
  <c r="BK22" i="27"/>
  <c r="BC22" i="27"/>
  <c r="CQ22" i="27"/>
  <c r="CI22" i="27"/>
  <c r="BS22" i="27"/>
  <c r="CA22" i="27"/>
  <c r="H18" i="27"/>
  <c r="P18" i="27"/>
  <c r="X18" i="27"/>
  <c r="AF18" i="27"/>
  <c r="AN18" i="27"/>
  <c r="AV18" i="27"/>
  <c r="CC18" i="27"/>
  <c r="I18" i="27"/>
  <c r="BU18" i="27"/>
  <c r="CK18" i="27"/>
  <c r="CS18" i="27"/>
  <c r="BM18" i="27"/>
  <c r="BE18" i="27"/>
  <c r="AU18" i="27"/>
  <c r="O18" i="27"/>
  <c r="W18" i="27"/>
  <c r="AE18" i="27"/>
  <c r="G18" i="27"/>
  <c r="AM18" i="27"/>
  <c r="N52" i="11"/>
  <c r="N50" i="11"/>
  <c r="N89" i="21"/>
  <c r="N90" i="21" s="1"/>
  <c r="BL18" i="22"/>
  <c r="CR18" i="22"/>
  <c r="BD18" i="22"/>
  <c r="BT18" i="22"/>
  <c r="CB18" i="22"/>
  <c r="CJ18" i="22"/>
  <c r="BU22" i="22"/>
  <c r="CC22" i="22"/>
  <c r="CS22" i="22"/>
  <c r="CK22" i="22"/>
  <c r="BE22" i="22"/>
  <c r="BM22" i="22"/>
  <c r="F18" i="22"/>
  <c r="N18" i="22"/>
  <c r="AL18" i="22"/>
  <c r="AT18" i="22"/>
  <c r="V18" i="22"/>
  <c r="AD18" i="22"/>
  <c r="Y18" i="22"/>
  <c r="AG18" i="22"/>
  <c r="AO18" i="22"/>
  <c r="AW18" i="22"/>
  <c r="X18" i="22"/>
  <c r="P18" i="22"/>
  <c r="AV18" i="22"/>
  <c r="AN18" i="22"/>
  <c r="AF18" i="22"/>
  <c r="H18" i="22"/>
  <c r="AE18" i="22"/>
  <c r="W18" i="22"/>
  <c r="O18" i="22"/>
  <c r="AU18" i="22"/>
  <c r="AM18" i="22"/>
  <c r="G18" i="22"/>
  <c r="AG22" i="22"/>
  <c r="AO22" i="22"/>
  <c r="Y22" i="22"/>
  <c r="AW22" i="22"/>
  <c r="CK18" i="22"/>
  <c r="BE18" i="22"/>
  <c r="BM18" i="22"/>
  <c r="I18" i="22"/>
  <c r="BU18" i="22"/>
  <c r="CC18" i="22"/>
  <c r="CS18" i="22"/>
  <c r="AD22" i="22"/>
  <c r="AT22" i="22"/>
  <c r="N22" i="22"/>
  <c r="AL22" i="22"/>
  <c r="V22" i="22"/>
  <c r="F22" i="22"/>
  <c r="CR22" i="22"/>
  <c r="CB22" i="22"/>
  <c r="BT22" i="22"/>
  <c r="CJ22" i="22"/>
  <c r="BD22" i="22"/>
  <c r="BL22" i="22"/>
  <c r="BS18" i="22"/>
  <c r="BK18" i="22"/>
  <c r="BC18" i="22"/>
  <c r="CI18" i="22"/>
  <c r="CA18" i="22"/>
  <c r="CI22" i="22"/>
  <c r="BC22" i="22"/>
  <c r="BS22" i="22"/>
  <c r="BK22" i="22"/>
  <c r="CA22" i="22"/>
  <c r="R69" i="21"/>
  <c r="H69" i="21"/>
  <c r="R38" i="21"/>
  <c r="H38" i="21"/>
  <c r="H7" i="21"/>
  <c r="S38" i="21"/>
  <c r="I69" i="21"/>
  <c r="S69" i="21"/>
  <c r="I38" i="21"/>
  <c r="I7" i="21"/>
  <c r="R73" i="21"/>
  <c r="H73" i="21"/>
  <c r="R42" i="21"/>
  <c r="H42" i="21"/>
  <c r="H11" i="21"/>
  <c r="I73" i="21"/>
  <c r="S73" i="21"/>
  <c r="S42" i="21"/>
  <c r="I42" i="21"/>
  <c r="I11" i="21"/>
  <c r="E76" i="21"/>
  <c r="G69" i="21"/>
  <c r="Q38" i="21"/>
  <c r="G38" i="21"/>
  <c r="Q69" i="21"/>
  <c r="G7" i="21"/>
  <c r="G42" i="21"/>
  <c r="Q73" i="21"/>
  <c r="G73" i="21"/>
  <c r="Q42" i="21"/>
  <c r="G11" i="21"/>
  <c r="H33" i="11"/>
  <c r="M87" i="21" s="1"/>
  <c r="H51" i="11"/>
  <c r="H49" i="11"/>
  <c r="H35" i="11" s="1"/>
  <c r="M89" i="21" s="1"/>
  <c r="AF18" i="11"/>
  <c r="W18" i="11"/>
  <c r="Q23" i="27" l="1"/>
  <c r="BC23" i="27"/>
  <c r="CC23" i="27"/>
  <c r="AT23" i="27"/>
  <c r="BL23" i="27"/>
  <c r="CQ41" i="22"/>
  <c r="CQ42" i="22" s="1"/>
  <c r="CQ21" i="22"/>
  <c r="BK23" i="27"/>
  <c r="AL23" i="27"/>
  <c r="BT23" i="27"/>
  <c r="AO23" i="27"/>
  <c r="BS23" i="27"/>
  <c r="N23" i="27"/>
  <c r="Y23" i="27"/>
  <c r="CI23" i="27"/>
  <c r="AW23" i="27"/>
  <c r="P20" i="27"/>
  <c r="P25" i="27"/>
  <c r="CR25" i="27"/>
  <c r="CR20" i="27"/>
  <c r="CC20" i="27"/>
  <c r="CC25" i="27"/>
  <c r="DA22" i="27"/>
  <c r="BE23" i="27"/>
  <c r="F25" i="27"/>
  <c r="AG20" i="27"/>
  <c r="AG25" i="27"/>
  <c r="G25" i="27"/>
  <c r="CY18" i="27"/>
  <c r="BM25" i="27"/>
  <c r="BM20" i="27"/>
  <c r="AV20" i="27"/>
  <c r="AV25" i="27"/>
  <c r="BT20" i="27"/>
  <c r="BT25" i="27"/>
  <c r="BU23" i="27"/>
  <c r="BK20" i="27"/>
  <c r="BK25" i="27"/>
  <c r="V23" i="27"/>
  <c r="AL20" i="27"/>
  <c r="AL25" i="27"/>
  <c r="CJ23" i="27"/>
  <c r="AD25" i="27"/>
  <c r="AD20" i="27"/>
  <c r="AM20" i="27"/>
  <c r="AM25" i="27"/>
  <c r="H23" i="27"/>
  <c r="H20" i="27"/>
  <c r="H25" i="27"/>
  <c r="CZ18" i="27"/>
  <c r="CJ20" i="27"/>
  <c r="CJ25" i="27"/>
  <c r="CA23" i="27"/>
  <c r="CA25" i="27"/>
  <c r="CA20" i="27"/>
  <c r="AE20" i="27"/>
  <c r="AE25" i="27"/>
  <c r="CS20" i="27"/>
  <c r="CS25" i="27"/>
  <c r="AN25" i="27"/>
  <c r="AN20" i="27"/>
  <c r="BD20" i="27"/>
  <c r="BD25" i="27"/>
  <c r="CS23" i="27"/>
  <c r="CI25" i="27"/>
  <c r="CI20" i="27"/>
  <c r="F23" i="27"/>
  <c r="AT20" i="27"/>
  <c r="AT25" i="27"/>
  <c r="BD23" i="27"/>
  <c r="Y25" i="27"/>
  <c r="AU20" i="27"/>
  <c r="AU25" i="27"/>
  <c r="CQ25" i="27"/>
  <c r="CQ20" i="27"/>
  <c r="W20" i="27"/>
  <c r="W25" i="27"/>
  <c r="CK20" i="27"/>
  <c r="CK25" i="27"/>
  <c r="AF20" i="27"/>
  <c r="AF25" i="27"/>
  <c r="AG23" i="27"/>
  <c r="CB20" i="27"/>
  <c r="CB25" i="27"/>
  <c r="BM23" i="27"/>
  <c r="BC20" i="27"/>
  <c r="BC25" i="27"/>
  <c r="V25" i="27"/>
  <c r="CB23" i="27"/>
  <c r="AW25" i="27"/>
  <c r="AW20" i="27"/>
  <c r="I23" i="27"/>
  <c r="I20" i="27"/>
  <c r="I25" i="27"/>
  <c r="DA18" i="27"/>
  <c r="BE25" i="27"/>
  <c r="BE20" i="27"/>
  <c r="O25" i="27"/>
  <c r="O20" i="27"/>
  <c r="BU20" i="27"/>
  <c r="BU25" i="27"/>
  <c r="X20" i="27"/>
  <c r="X25" i="27"/>
  <c r="CQ23" i="27"/>
  <c r="BL25" i="27"/>
  <c r="BL20" i="27"/>
  <c r="CK23" i="27"/>
  <c r="BS20" i="27"/>
  <c r="BS25" i="27"/>
  <c r="AD23" i="27"/>
  <c r="N25" i="27"/>
  <c r="CR23" i="27"/>
  <c r="AO20" i="27"/>
  <c r="AO25" i="27"/>
  <c r="AL23" i="22"/>
  <c r="AD23" i="22"/>
  <c r="CA23" i="22"/>
  <c r="BD23" i="22"/>
  <c r="Q43" i="21"/>
  <c r="N23" i="22"/>
  <c r="BL23" i="22"/>
  <c r="CR23" i="22"/>
  <c r="BK23" i="22"/>
  <c r="BE23" i="22"/>
  <c r="Y23" i="22"/>
  <c r="CK23" i="22"/>
  <c r="BS23" i="22"/>
  <c r="AT23" i="22"/>
  <c r="AO23" i="22"/>
  <c r="BT23" i="22"/>
  <c r="AG23" i="22"/>
  <c r="V25" i="22"/>
  <c r="BC25" i="22"/>
  <c r="P25" i="22"/>
  <c r="P20" i="22"/>
  <c r="AO25" i="22"/>
  <c r="AT25" i="22"/>
  <c r="AT20" i="22"/>
  <c r="CB25" i="22"/>
  <c r="BC23" i="22"/>
  <c r="BK25" i="22"/>
  <c r="BE25" i="22"/>
  <c r="AE25" i="22"/>
  <c r="X20" i="22"/>
  <c r="X25" i="22"/>
  <c r="AG25" i="22"/>
  <c r="AL20" i="22"/>
  <c r="AL25" i="22"/>
  <c r="CS23" i="22"/>
  <c r="BT25" i="22"/>
  <c r="DA18" i="22"/>
  <c r="I20" i="22"/>
  <c r="I23" i="22"/>
  <c r="I25" i="22"/>
  <c r="AV25" i="22"/>
  <c r="CJ25" i="22"/>
  <c r="CJ23" i="22"/>
  <c r="BM25" i="22"/>
  <c r="W25" i="22"/>
  <c r="W20" i="22"/>
  <c r="CB23" i="22"/>
  <c r="F23" i="22"/>
  <c r="CS25" i="22"/>
  <c r="CK25" i="22"/>
  <c r="CY18" i="22"/>
  <c r="G25" i="22"/>
  <c r="CZ18" i="22"/>
  <c r="H20" i="22"/>
  <c r="H23" i="22"/>
  <c r="H25" i="22"/>
  <c r="N25" i="22"/>
  <c r="CC23" i="22"/>
  <c r="BD25" i="22"/>
  <c r="CI23" i="22"/>
  <c r="BS25" i="22"/>
  <c r="V23" i="22"/>
  <c r="CC25" i="22"/>
  <c r="AW23" i="22"/>
  <c r="AM25" i="22"/>
  <c r="AF25" i="22"/>
  <c r="Y25" i="22"/>
  <c r="F25" i="22"/>
  <c r="BU23" i="22"/>
  <c r="CR25" i="22"/>
  <c r="CI25" i="22"/>
  <c r="O25" i="22"/>
  <c r="O20" i="22"/>
  <c r="AW25" i="22"/>
  <c r="G43" i="21"/>
  <c r="I43" i="21"/>
  <c r="CA25" i="22"/>
  <c r="BU25" i="22"/>
  <c r="DA22" i="22"/>
  <c r="AU25" i="22"/>
  <c r="AN25" i="22"/>
  <c r="AD20" i="22"/>
  <c r="AD25" i="22"/>
  <c r="BM23" i="22"/>
  <c r="BL25" i="22"/>
  <c r="R43" i="21"/>
  <c r="S43" i="21"/>
  <c r="Q45" i="21"/>
  <c r="H14" i="21"/>
  <c r="R104" i="21"/>
  <c r="G14" i="21"/>
  <c r="I45" i="21"/>
  <c r="R45" i="21"/>
  <c r="G100" i="21"/>
  <c r="G76" i="21"/>
  <c r="Q104" i="21"/>
  <c r="M90" i="21"/>
  <c r="Q100" i="21"/>
  <c r="Q107" i="21" s="1"/>
  <c r="Q76" i="21"/>
  <c r="I12" i="21"/>
  <c r="H12" i="21"/>
  <c r="S100" i="21"/>
  <c r="S107" i="21" s="1"/>
  <c r="S76" i="21"/>
  <c r="H100" i="21"/>
  <c r="H76" i="21"/>
  <c r="S45" i="21"/>
  <c r="G104" i="21"/>
  <c r="G74" i="21"/>
  <c r="S104" i="21"/>
  <c r="H104" i="21"/>
  <c r="H74" i="21"/>
  <c r="I104" i="21"/>
  <c r="I74" i="21"/>
  <c r="I14" i="21"/>
  <c r="H45" i="21"/>
  <c r="G12" i="21"/>
  <c r="G45" i="21"/>
  <c r="H43" i="21"/>
  <c r="I100" i="21"/>
  <c r="I76" i="21"/>
  <c r="R100" i="21"/>
  <c r="R107" i="21" s="1"/>
  <c r="R76" i="21"/>
  <c r="H52" i="11"/>
  <c r="H50" i="11"/>
  <c r="DA23" i="27" l="1"/>
  <c r="BL41" i="27"/>
  <c r="BL42" i="27" s="1"/>
  <c r="BL21" i="27"/>
  <c r="CB41" i="27"/>
  <c r="CB42" i="27" s="1"/>
  <c r="CB21" i="27"/>
  <c r="AN21" i="27"/>
  <c r="BM41" i="27"/>
  <c r="BM42" i="27" s="1"/>
  <c r="BM21" i="27"/>
  <c r="AG41" i="27"/>
  <c r="AG42" i="27" s="1"/>
  <c r="AG21" i="27"/>
  <c r="O21" i="27"/>
  <c r="H41" i="27"/>
  <c r="H42" i="27" s="1"/>
  <c r="H21" i="27"/>
  <c r="CR21" i="27"/>
  <c r="CR41" i="27"/>
  <c r="CR42" i="27" s="1"/>
  <c r="CQ41" i="27"/>
  <c r="CQ42" i="27" s="1"/>
  <c r="CQ21" i="27"/>
  <c r="CY25" i="27"/>
  <c r="BU21" i="27"/>
  <c r="BU41" i="27"/>
  <c r="BU42" i="27" s="1"/>
  <c r="CA41" i="27"/>
  <c r="CA42" i="27" s="1"/>
  <c r="CA21" i="27"/>
  <c r="BK21" i="27"/>
  <c r="BK41" i="27"/>
  <c r="BK42" i="27" s="1"/>
  <c r="CC21" i="27"/>
  <c r="CC41" i="27"/>
  <c r="CC42" i="27" s="1"/>
  <c r="I41" i="27"/>
  <c r="I42" i="27" s="1"/>
  <c r="I21" i="27"/>
  <c r="W21" i="27"/>
  <c r="CI21" i="27"/>
  <c r="CI41" i="27"/>
  <c r="CI42" i="27" s="1"/>
  <c r="BE41" i="27"/>
  <c r="BE42" i="27" s="1"/>
  <c r="BE21" i="27"/>
  <c r="AW21" i="27"/>
  <c r="AW41" i="27"/>
  <c r="AW42" i="27" s="1"/>
  <c r="BC41" i="27"/>
  <c r="BC42" i="27" s="1"/>
  <c r="BC21" i="27"/>
  <c r="AF21" i="27"/>
  <c r="CS41" i="27"/>
  <c r="CS42" i="27" s="1"/>
  <c r="CS21" i="27"/>
  <c r="AL21" i="27"/>
  <c r="AL41" i="27"/>
  <c r="AL42" i="27" s="1"/>
  <c r="BT21" i="27"/>
  <c r="BT41" i="27"/>
  <c r="BT42" i="27" s="1"/>
  <c r="X21" i="27"/>
  <c r="AT41" i="27"/>
  <c r="AT42" i="27" s="1"/>
  <c r="AT21" i="27"/>
  <c r="CJ41" i="27"/>
  <c r="CJ42" i="27" s="1"/>
  <c r="CJ21" i="27"/>
  <c r="AM21" i="27"/>
  <c r="P21" i="27"/>
  <c r="AO41" i="27"/>
  <c r="AO42" i="27" s="1"/>
  <c r="AO21" i="27"/>
  <c r="BS41" i="27"/>
  <c r="BS42" i="27" s="1"/>
  <c r="BS21" i="27"/>
  <c r="DA25" i="27"/>
  <c r="CK21" i="27"/>
  <c r="CK41" i="27"/>
  <c r="CK42" i="27" s="1"/>
  <c r="AU21" i="27"/>
  <c r="BD41" i="27"/>
  <c r="BD42" i="27" s="1"/>
  <c r="BD21" i="27"/>
  <c r="AE21" i="27"/>
  <c r="CZ25" i="27"/>
  <c r="CZ20" i="27"/>
  <c r="AD41" i="27"/>
  <c r="AD42" i="27" s="1"/>
  <c r="AD21" i="27"/>
  <c r="AV21" i="27"/>
  <c r="DA23" i="22"/>
  <c r="H21" i="22"/>
  <c r="H41" i="22"/>
  <c r="H42" i="22" s="1"/>
  <c r="CZ25" i="22"/>
  <c r="W21" i="22"/>
  <c r="CY25" i="22"/>
  <c r="I21" i="22"/>
  <c r="I41" i="22"/>
  <c r="I42" i="22" s="1"/>
  <c r="X21" i="22"/>
  <c r="P21" i="22"/>
  <c r="AD41" i="22"/>
  <c r="AD42" i="22" s="1"/>
  <c r="AD21" i="22"/>
  <c r="O21" i="22"/>
  <c r="DA25" i="22"/>
  <c r="AL41" i="22"/>
  <c r="AL42" i="22" s="1"/>
  <c r="AL21" i="22"/>
  <c r="AT21" i="22"/>
  <c r="AT41" i="22"/>
  <c r="AT42" i="22" s="1"/>
  <c r="S105" i="21"/>
  <c r="I105" i="21"/>
  <c r="G107" i="21"/>
  <c r="G105" i="21"/>
  <c r="H107" i="21"/>
  <c r="Q105" i="21"/>
  <c r="R105" i="21"/>
  <c r="I107" i="21"/>
  <c r="H105" i="21"/>
  <c r="CZ21" i="27" l="1"/>
  <c r="AT9" i="3"/>
  <c r="S17" i="11"/>
  <c r="E73" i="21" s="1"/>
  <c r="E74" i="21" l="1"/>
  <c r="T14" i="11"/>
  <c r="T15" i="11" s="1"/>
  <c r="T16" i="11" l="1"/>
  <c r="S48" i="11"/>
  <c r="S34" i="11" l="1"/>
  <c r="L37" i="27" s="1"/>
  <c r="N1" i="14"/>
  <c r="G74" i="15"/>
  <c r="G74" i="14"/>
  <c r="E88" i="21" l="1"/>
  <c r="L37" i="22"/>
  <c r="I16" i="16"/>
  <c r="I15" i="16"/>
  <c r="I14" i="16"/>
  <c r="I12" i="16"/>
  <c r="H12" i="16"/>
  <c r="I11" i="16"/>
  <c r="H11" i="16"/>
  <c r="I10" i="16"/>
  <c r="H10" i="16"/>
  <c r="I9" i="16"/>
  <c r="I13" i="16"/>
  <c r="I5" i="16"/>
  <c r="I8" i="16"/>
  <c r="I7" i="16"/>
  <c r="I6" i="16"/>
  <c r="S14" i="11" l="1"/>
  <c r="L9" i="11"/>
  <c r="R9" i="11" s="1"/>
  <c r="Q48" i="11"/>
  <c r="P48" i="11"/>
  <c r="L48" i="11"/>
  <c r="J48" i="11"/>
  <c r="F48" i="11"/>
  <c r="F34" i="11" s="1"/>
  <c r="D48" i="11"/>
  <c r="S15" i="11" l="1"/>
  <c r="E39" i="21"/>
  <c r="E70" i="21"/>
  <c r="L34" i="11"/>
  <c r="K37" i="27" s="1"/>
  <c r="C88" i="21"/>
  <c r="J12" i="16"/>
  <c r="J10" i="16"/>
  <c r="J9" i="16"/>
  <c r="K12" i="16"/>
  <c r="K11" i="16"/>
  <c r="K10" i="16"/>
  <c r="K9" i="16"/>
  <c r="L12" i="16"/>
  <c r="L10" i="16"/>
  <c r="L9" i="16"/>
  <c r="L16" i="16"/>
  <c r="K16" i="16"/>
  <c r="L15" i="16"/>
  <c r="K15" i="16"/>
  <c r="L14" i="16"/>
  <c r="K14" i="16"/>
  <c r="L13" i="16"/>
  <c r="K13" i="16"/>
  <c r="K7" i="16"/>
  <c r="L8" i="16"/>
  <c r="K8" i="16"/>
  <c r="L6" i="16"/>
  <c r="K6" i="16"/>
  <c r="L5" i="16"/>
  <c r="K5" i="16"/>
  <c r="J15" i="16"/>
  <c r="J14" i="16"/>
  <c r="J13" i="16"/>
  <c r="J5" i="16"/>
  <c r="J8" i="16"/>
  <c r="J6" i="16"/>
  <c r="D88" i="21" l="1"/>
  <c r="K37" i="22"/>
  <c r="C126" i="21"/>
  <c r="E71" i="21"/>
  <c r="V17" i="11"/>
  <c r="Q34" i="11"/>
  <c r="E37" i="22" s="1"/>
  <c r="K34" i="11"/>
  <c r="D37" i="22" s="1"/>
  <c r="E37" i="27" l="1"/>
  <c r="D37" i="27"/>
  <c r="D57" i="21"/>
  <c r="N57" i="21"/>
  <c r="D26" i="21"/>
  <c r="E92" i="21"/>
  <c r="E93" i="21" s="1"/>
  <c r="E72" i="21"/>
  <c r="E57" i="21"/>
  <c r="O57" i="21"/>
  <c r="E26" i="21"/>
  <c r="R48" i="11"/>
  <c r="H15" i="16"/>
  <c r="H14" i="16"/>
  <c r="O39" i="13"/>
  <c r="O126" i="21" l="1"/>
  <c r="E126" i="21"/>
  <c r="N126" i="21"/>
  <c r="D126" i="21"/>
  <c r="R34" i="11"/>
  <c r="R17" i="11"/>
  <c r="H16" i="16"/>
  <c r="J16" i="16"/>
  <c r="L20" i="11"/>
  <c r="D75" i="21" s="1"/>
  <c r="L17" i="11"/>
  <c r="D73" i="21" s="1"/>
  <c r="F20" i="11"/>
  <c r="C75" i="21" s="1"/>
  <c r="R13" i="11"/>
  <c r="J32" i="14"/>
  <c r="L32" i="15"/>
  <c r="J32" i="15"/>
  <c r="J31" i="15" s="1"/>
  <c r="M42" i="15"/>
  <c r="M135" i="15"/>
  <c r="K135" i="15"/>
  <c r="M123" i="15"/>
  <c r="K123" i="15"/>
  <c r="M122" i="15"/>
  <c r="K122" i="15"/>
  <c r="M121" i="15"/>
  <c r="K121" i="15"/>
  <c r="M120" i="15"/>
  <c r="K120" i="15"/>
  <c r="M119" i="15"/>
  <c r="K119" i="15"/>
  <c r="M111" i="15"/>
  <c r="K111" i="15"/>
  <c r="M108" i="15"/>
  <c r="K108" i="15"/>
  <c r="M106" i="15"/>
  <c r="K106" i="15"/>
  <c r="M104" i="15"/>
  <c r="M105" i="15" s="1"/>
  <c r="K104" i="15"/>
  <c r="K105" i="15" s="1"/>
  <c r="M76" i="15"/>
  <c r="K76" i="15"/>
  <c r="M65" i="15"/>
  <c r="M67" i="15" s="1"/>
  <c r="M80" i="15" s="1"/>
  <c r="K65" i="15"/>
  <c r="K67" i="15" s="1"/>
  <c r="K80" i="15" s="1"/>
  <c r="M56" i="15"/>
  <c r="K56" i="15"/>
  <c r="M52" i="15"/>
  <c r="K52" i="15"/>
  <c r="K42" i="15"/>
  <c r="K31" i="15"/>
  <c r="M26" i="15"/>
  <c r="J26" i="15"/>
  <c r="H26" i="15" s="1"/>
  <c r="L19" i="15"/>
  <c r="J19" i="15"/>
  <c r="M15" i="15"/>
  <c r="M19" i="15" s="1"/>
  <c r="K15" i="15"/>
  <c r="K19" i="15" s="1"/>
  <c r="L9" i="15"/>
  <c r="J9" i="15"/>
  <c r="L8" i="15"/>
  <c r="J8" i="15"/>
  <c r="L2" i="15"/>
  <c r="L10" i="15" s="1"/>
  <c r="J2" i="15"/>
  <c r="J10" i="15" s="1"/>
  <c r="S42" i="14"/>
  <c r="L31" i="15" l="1"/>
  <c r="L36" i="15"/>
  <c r="L35" i="15" s="1"/>
  <c r="J75" i="21"/>
  <c r="R21" i="11"/>
  <c r="J25" i="15"/>
  <c r="M53" i="15"/>
  <c r="R18" i="11"/>
  <c r="K53" i="15"/>
  <c r="K112" i="15"/>
  <c r="J42" i="15"/>
  <c r="M112" i="15"/>
  <c r="M32" i="15"/>
  <c r="M68" i="15"/>
  <c r="M63" i="15" s="1"/>
  <c r="K109" i="15"/>
  <c r="M117" i="15"/>
  <c r="M116" i="15" s="1"/>
  <c r="M114" i="15" s="1"/>
  <c r="M115" i="15" s="1"/>
  <c r="M72" i="15" s="1"/>
  <c r="M71" i="15" s="1"/>
  <c r="R14" i="11"/>
  <c r="R15" i="11" s="1"/>
  <c r="K62" i="15"/>
  <c r="K59" i="15" s="1"/>
  <c r="M109" i="15"/>
  <c r="M50" i="15"/>
  <c r="M54" i="15" s="1"/>
  <c r="M41" i="15" s="1"/>
  <c r="O16" i="16"/>
  <c r="P16" i="16" s="1"/>
  <c r="O15" i="16"/>
  <c r="P15" i="16" s="1"/>
  <c r="O14" i="16"/>
  <c r="P14" i="16" s="1"/>
  <c r="S18" i="11"/>
  <c r="S16" i="11"/>
  <c r="S21" i="11"/>
  <c r="K117" i="15"/>
  <c r="K116" i="15" s="1"/>
  <c r="K114" i="15" s="1"/>
  <c r="K115" i="15" s="1"/>
  <c r="K72" i="15" s="1"/>
  <c r="K71" i="15" s="1"/>
  <c r="K26" i="15"/>
  <c r="K30" i="15" s="1"/>
  <c r="K29" i="15" s="1"/>
  <c r="J30" i="15"/>
  <c r="J29" i="15" s="1"/>
  <c r="L42" i="15"/>
  <c r="L16" i="15"/>
  <c r="L20" i="15" s="1"/>
  <c r="L24" i="15" s="1"/>
  <c r="L23" i="15" s="1"/>
  <c r="M10" i="15"/>
  <c r="M77" i="15" s="1"/>
  <c r="J16" i="15"/>
  <c r="J20" i="15" s="1"/>
  <c r="J24" i="15" s="1"/>
  <c r="J23" i="15" s="1"/>
  <c r="K10" i="15"/>
  <c r="K69" i="15" s="1"/>
  <c r="M25" i="15"/>
  <c r="M83" i="15"/>
  <c r="M82" i="15"/>
  <c r="K83" i="15"/>
  <c r="K82" i="15"/>
  <c r="M62" i="15"/>
  <c r="M59" i="15" s="1"/>
  <c r="K68" i="15"/>
  <c r="K63" i="15" s="1"/>
  <c r="L25" i="15"/>
  <c r="L30" i="15"/>
  <c r="L29" i="15" s="1"/>
  <c r="K50" i="15"/>
  <c r="K54" i="15" s="1"/>
  <c r="K41" i="15" s="1"/>
  <c r="M31" i="15" l="1"/>
  <c r="M36" i="15"/>
  <c r="M35" i="15" s="1"/>
  <c r="M81" i="15"/>
  <c r="K48" i="11"/>
  <c r="R16" i="11"/>
  <c r="K25" i="15"/>
  <c r="M69" i="15"/>
  <c r="K81" i="15"/>
  <c r="M30" i="15"/>
  <c r="M29" i="15" s="1"/>
  <c r="M49" i="15"/>
  <c r="M48" i="15" s="1"/>
  <c r="L41" i="15"/>
  <c r="K84" i="15"/>
  <c r="K86" i="15"/>
  <c r="J41" i="15"/>
  <c r="K49" i="15"/>
  <c r="M16" i="15"/>
  <c r="M20" i="15" s="1"/>
  <c r="M24" i="15" s="1"/>
  <c r="M23" i="15" s="1"/>
  <c r="M75" i="15"/>
  <c r="M86" i="15"/>
  <c r="M84" i="15"/>
  <c r="K16" i="15"/>
  <c r="K20" i="15" s="1"/>
  <c r="K24" i="15" s="1"/>
  <c r="K23" i="15" s="1"/>
  <c r="K75" i="15"/>
  <c r="K77" i="15"/>
  <c r="L49" i="15" l="1"/>
  <c r="L48" i="15" s="1"/>
  <c r="M45" i="15"/>
  <c r="M44" i="15" s="1"/>
  <c r="M43" i="15" s="1"/>
  <c r="L45" i="15"/>
  <c r="L44" i="15" s="1"/>
  <c r="L43" i="15" s="1"/>
  <c r="J45" i="15"/>
  <c r="J44" i="15" s="1"/>
  <c r="J43" i="15" s="1"/>
  <c r="K45" i="15"/>
  <c r="K44" i="15" s="1"/>
  <c r="K43" i="15" s="1"/>
  <c r="K48" i="15"/>
  <c r="J49" i="15"/>
  <c r="J48" i="15" s="1"/>
  <c r="K89" i="15"/>
  <c r="K87" i="15"/>
  <c r="M87" i="15"/>
  <c r="M89" i="15"/>
  <c r="K93" i="15" l="1"/>
  <c r="K90" i="15"/>
  <c r="M93" i="15"/>
  <c r="M90" i="15"/>
  <c r="M94" i="15" l="1"/>
  <c r="K94" i="15"/>
  <c r="L47" i="11" l="1"/>
  <c r="L51" i="11" s="1"/>
  <c r="K47" i="11"/>
  <c r="K51" i="11" s="1"/>
  <c r="L33" i="11" l="1"/>
  <c r="L49" i="11"/>
  <c r="L52" i="11" s="1"/>
  <c r="K49" i="11"/>
  <c r="K52" i="11" s="1"/>
  <c r="K36" i="22" l="1"/>
  <c r="K36" i="27"/>
  <c r="D87" i="21"/>
  <c r="L35" i="11"/>
  <c r="K38" i="22" l="1"/>
  <c r="K39" i="22" s="1"/>
  <c r="K38" i="27"/>
  <c r="D89" i="21"/>
  <c r="D90" i="21" s="1"/>
  <c r="L36" i="11"/>
  <c r="K39" i="27" l="1"/>
  <c r="L32" i="14"/>
  <c r="M42" i="14"/>
  <c r="L38" i="14"/>
  <c r="L37" i="14" s="1"/>
  <c r="M37" i="14"/>
  <c r="M135" i="14"/>
  <c r="M123" i="14"/>
  <c r="M122" i="14"/>
  <c r="M121" i="14"/>
  <c r="M120" i="14"/>
  <c r="M119" i="14"/>
  <c r="M111" i="14"/>
  <c r="M108" i="14"/>
  <c r="M106" i="14"/>
  <c r="M104" i="14"/>
  <c r="M105" i="14" s="1"/>
  <c r="M76" i="14"/>
  <c r="M65" i="14"/>
  <c r="M67" i="14" s="1"/>
  <c r="M56" i="14"/>
  <c r="M50" i="14" s="1"/>
  <c r="M52" i="14"/>
  <c r="M26" i="14"/>
  <c r="L19" i="14"/>
  <c r="M15" i="14"/>
  <c r="M19" i="14" s="1"/>
  <c r="L9" i="14"/>
  <c r="L8" i="14"/>
  <c r="L2" i="14"/>
  <c r="L10" i="14" s="1"/>
  <c r="L16" i="14" s="1"/>
  <c r="L20" i="14" s="1"/>
  <c r="L24" i="14" s="1"/>
  <c r="L23" i="14" s="1"/>
  <c r="K135" i="14"/>
  <c r="K123" i="14"/>
  <c r="K122" i="14"/>
  <c r="K121" i="14"/>
  <c r="K120" i="14"/>
  <c r="K119" i="14"/>
  <c r="K111" i="14"/>
  <c r="K108" i="14"/>
  <c r="K106" i="14"/>
  <c r="K104" i="14"/>
  <c r="K105" i="14" s="1"/>
  <c r="K76" i="14"/>
  <c r="K65" i="14"/>
  <c r="K67" i="14" s="1"/>
  <c r="K56" i="14"/>
  <c r="K50" i="14" s="1"/>
  <c r="K54" i="14" s="1"/>
  <c r="K52" i="14"/>
  <c r="J42" i="14"/>
  <c r="J26" i="14"/>
  <c r="J30" i="14" s="1"/>
  <c r="J29" i="14" s="1"/>
  <c r="J19" i="14"/>
  <c r="K15" i="14"/>
  <c r="K19" i="14" s="1"/>
  <c r="J9" i="14"/>
  <c r="J8" i="14"/>
  <c r="J2" i="14"/>
  <c r="J10" i="14" s="1"/>
  <c r="K53" i="14" l="1"/>
  <c r="K109" i="14"/>
  <c r="K68" i="14"/>
  <c r="K63" i="14" s="1"/>
  <c r="J41" i="14"/>
  <c r="M53" i="14"/>
  <c r="M109" i="14"/>
  <c r="L36" i="14"/>
  <c r="L35" i="14" s="1"/>
  <c r="K49" i="14"/>
  <c r="J45" i="14" s="1"/>
  <c r="M117" i="14"/>
  <c r="M116" i="14" s="1"/>
  <c r="M114" i="14" s="1"/>
  <c r="M115" i="14" s="1"/>
  <c r="M72" i="14" s="1"/>
  <c r="M71" i="14" s="1"/>
  <c r="L42" i="14"/>
  <c r="H26" i="14"/>
  <c r="K26" i="14"/>
  <c r="K30" i="14" s="1"/>
  <c r="K29" i="14" s="1"/>
  <c r="K117" i="14"/>
  <c r="K116" i="14" s="1"/>
  <c r="K114" i="14" s="1"/>
  <c r="K115" i="14" s="1"/>
  <c r="K72" i="14" s="1"/>
  <c r="K71" i="14" s="1"/>
  <c r="L30" i="14"/>
  <c r="L29" i="14" s="1"/>
  <c r="M54" i="14"/>
  <c r="M49" i="14" s="1"/>
  <c r="M112" i="14"/>
  <c r="M62" i="14"/>
  <c r="M59" i="14" s="1"/>
  <c r="M80" i="14"/>
  <c r="M10" i="14"/>
  <c r="L25" i="14"/>
  <c r="M68" i="14"/>
  <c r="M63" i="14" s="1"/>
  <c r="M32" i="14"/>
  <c r="M25" i="14"/>
  <c r="L31" i="14"/>
  <c r="J16" i="14"/>
  <c r="J20" i="14" s="1"/>
  <c r="J24" i="14" s="1"/>
  <c r="J23" i="14" s="1"/>
  <c r="K10" i="14"/>
  <c r="K62" i="14"/>
  <c r="K59" i="14" s="1"/>
  <c r="K80" i="14"/>
  <c r="K112" i="14"/>
  <c r="J25" i="14"/>
  <c r="J31" i="14"/>
  <c r="K45" i="14" l="1"/>
  <c r="J49" i="14"/>
  <c r="J48" i="14" s="1"/>
  <c r="J44" i="14"/>
  <c r="J43" i="14" s="1"/>
  <c r="K25" i="14"/>
  <c r="L41" i="14"/>
  <c r="K77" i="14"/>
  <c r="K132" i="14"/>
  <c r="K133" i="14" s="1"/>
  <c r="K126" i="14"/>
  <c r="K127" i="14" s="1"/>
  <c r="M126" i="14"/>
  <c r="M127" i="14" s="1"/>
  <c r="M132" i="14"/>
  <c r="M133" i="14" s="1"/>
  <c r="M41" i="14"/>
  <c r="K69" i="14"/>
  <c r="M45" i="14"/>
  <c r="L45" i="14"/>
  <c r="K48" i="14"/>
  <c r="M30" i="14"/>
  <c r="M29" i="14" s="1"/>
  <c r="M36" i="14"/>
  <c r="M35" i="14" s="1"/>
  <c r="M48" i="14"/>
  <c r="L49" i="14"/>
  <c r="L48" i="14" s="1"/>
  <c r="M16" i="14"/>
  <c r="M20" i="14" s="1"/>
  <c r="M24" i="14" s="1"/>
  <c r="M23" i="14" s="1"/>
  <c r="M75" i="14"/>
  <c r="M82" i="14"/>
  <c r="M81" i="14"/>
  <c r="M83" i="14"/>
  <c r="M31" i="14"/>
  <c r="M77" i="14"/>
  <c r="M69" i="14"/>
  <c r="K81" i="14"/>
  <c r="K82" i="14"/>
  <c r="K83" i="14"/>
  <c r="K31" i="14"/>
  <c r="K42" i="14"/>
  <c r="K41" i="14" s="1"/>
  <c r="K16" i="14"/>
  <c r="K20" i="14" s="1"/>
  <c r="K24" i="14" s="1"/>
  <c r="K23" i="14" s="1"/>
  <c r="K75" i="14"/>
  <c r="K44" i="14" l="1"/>
  <c r="K43" i="14" s="1"/>
  <c r="L44" i="14"/>
  <c r="L43" i="14" s="1"/>
  <c r="M44" i="14"/>
  <c r="M43" i="14" s="1"/>
  <c r="M84" i="14"/>
  <c r="M86" i="14"/>
  <c r="K84" i="14"/>
  <c r="K86" i="14"/>
  <c r="M89" i="14" l="1"/>
  <c r="M87" i="14"/>
  <c r="K89" i="14"/>
  <c r="K87" i="14"/>
  <c r="M90" i="14" l="1"/>
  <c r="M93" i="14"/>
  <c r="K93" i="14"/>
  <c r="K90" i="14"/>
  <c r="M94" i="14" l="1"/>
  <c r="K94" i="14"/>
  <c r="H7" i="16" l="1"/>
  <c r="H8" i="16"/>
  <c r="L7" i="16"/>
  <c r="L11" i="16"/>
  <c r="E48" i="11" l="1"/>
  <c r="J11" i="16"/>
  <c r="J7" i="16"/>
  <c r="M12" i="16" l="1"/>
  <c r="E47" i="11" l="1"/>
  <c r="M8" i="16" l="1"/>
  <c r="E49" i="11"/>
  <c r="E51" i="11"/>
  <c r="N8" i="16"/>
  <c r="N12" i="16"/>
  <c r="F47" i="11" l="1"/>
  <c r="M11" i="16"/>
  <c r="E52" i="11"/>
  <c r="F51" i="11" l="1"/>
  <c r="F33" i="11"/>
  <c r="F49" i="11"/>
  <c r="N7" i="16"/>
  <c r="M7" i="16"/>
  <c r="F35" i="11" l="1"/>
  <c r="F52" i="11"/>
  <c r="N11" i="16"/>
  <c r="J32" i="13" l="1"/>
  <c r="L32" i="13"/>
  <c r="L31" i="13" s="1"/>
  <c r="J26" i="13"/>
  <c r="H26" i="13" s="1"/>
  <c r="M42" i="13"/>
  <c r="L38" i="13"/>
  <c r="L37" i="13" s="1"/>
  <c r="M37" i="13"/>
  <c r="M135" i="13"/>
  <c r="M123" i="13"/>
  <c r="M122" i="13"/>
  <c r="M121" i="13"/>
  <c r="M120" i="13"/>
  <c r="M119" i="13"/>
  <c r="M111" i="13"/>
  <c r="M108" i="13"/>
  <c r="M106" i="13"/>
  <c r="M100" i="13"/>
  <c r="M104" i="13" s="1"/>
  <c r="M105" i="13" s="1"/>
  <c r="M76" i="13"/>
  <c r="M65" i="13"/>
  <c r="M67" i="13" s="1"/>
  <c r="M56" i="13"/>
  <c r="M52" i="13"/>
  <c r="M26" i="13"/>
  <c r="L25" i="13"/>
  <c r="L19" i="13"/>
  <c r="M15" i="13"/>
  <c r="M19" i="13" s="1"/>
  <c r="L9" i="13"/>
  <c r="L8" i="13"/>
  <c r="L2" i="13"/>
  <c r="L10" i="13" s="1"/>
  <c r="K135" i="13"/>
  <c r="K123" i="13"/>
  <c r="K122" i="13"/>
  <c r="K121" i="13"/>
  <c r="K120" i="13"/>
  <c r="K119" i="13"/>
  <c r="K111" i="13"/>
  <c r="K108" i="13"/>
  <c r="K106" i="13"/>
  <c r="K100" i="13"/>
  <c r="K104" i="13" s="1"/>
  <c r="K105" i="13" s="1"/>
  <c r="K76" i="13"/>
  <c r="K65" i="13"/>
  <c r="K67" i="13" s="1"/>
  <c r="K56" i="13"/>
  <c r="K52" i="13"/>
  <c r="K42" i="13"/>
  <c r="J19" i="13"/>
  <c r="K15" i="13"/>
  <c r="K19" i="13" s="1"/>
  <c r="J9" i="13"/>
  <c r="J8" i="13"/>
  <c r="J2" i="13"/>
  <c r="J10" i="13" s="1"/>
  <c r="Q128" i="15"/>
  <c r="S128" i="15" s="1"/>
  <c r="Q125" i="15"/>
  <c r="S125" i="15" s="1"/>
  <c r="Q125" i="14"/>
  <c r="S125" i="14" s="1"/>
  <c r="Q128" i="14"/>
  <c r="S128" i="14" s="1"/>
  <c r="S42" i="15"/>
  <c r="S32" i="15"/>
  <c r="S36" i="15" s="1"/>
  <c r="S35" i="15" s="1"/>
  <c r="R42" i="15"/>
  <c r="R181" i="15"/>
  <c r="S135" i="15"/>
  <c r="S104" i="15"/>
  <c r="S67" i="15"/>
  <c r="S57" i="15"/>
  <c r="S26" i="15"/>
  <c r="R25" i="15"/>
  <c r="R19" i="15"/>
  <c r="S15" i="15"/>
  <c r="S19" i="15" s="1"/>
  <c r="R2" i="15"/>
  <c r="R10" i="15" s="1"/>
  <c r="R16" i="15" s="1"/>
  <c r="R20" i="15" s="1"/>
  <c r="R24" i="15" s="1"/>
  <c r="R23" i="15" s="1"/>
  <c r="P181" i="15"/>
  <c r="Q138" i="15"/>
  <c r="Q137" i="15"/>
  <c r="Q135" i="15"/>
  <c r="Q104" i="15"/>
  <c r="Q67" i="15"/>
  <c r="Q57" i="15"/>
  <c r="Q42" i="15"/>
  <c r="P32" i="15"/>
  <c r="P31" i="15" s="1"/>
  <c r="Q31" i="15"/>
  <c r="P26" i="15"/>
  <c r="Q26" i="15" s="1"/>
  <c r="P19" i="15"/>
  <c r="Q15" i="15"/>
  <c r="Q19" i="15" s="1"/>
  <c r="P2" i="15"/>
  <c r="P10" i="15" s="1"/>
  <c r="P16" i="15" s="1"/>
  <c r="P20" i="15" s="1"/>
  <c r="L13" i="11"/>
  <c r="D69" i="21" s="1"/>
  <c r="S32" i="14"/>
  <c r="S31" i="14" s="1"/>
  <c r="S141" i="13"/>
  <c r="Q141" i="13"/>
  <c r="S135" i="14"/>
  <c r="Q135" i="14"/>
  <c r="O135" i="14"/>
  <c r="R38" i="14"/>
  <c r="S37" i="14"/>
  <c r="S123" i="14"/>
  <c r="S122" i="14"/>
  <c r="S121" i="14"/>
  <c r="S120" i="14"/>
  <c r="S119" i="14"/>
  <c r="S106" i="14"/>
  <c r="S104" i="14"/>
  <c r="S105" i="14" s="1"/>
  <c r="S67" i="14"/>
  <c r="S62" i="14" s="1"/>
  <c r="S65" i="14"/>
  <c r="S57" i="14"/>
  <c r="R9" i="14" s="1"/>
  <c r="S52" i="14"/>
  <c r="S26" i="14"/>
  <c r="R19" i="14"/>
  <c r="S15" i="14"/>
  <c r="S19" i="14" s="1"/>
  <c r="R2" i="14"/>
  <c r="R10" i="14" s="1"/>
  <c r="Q123" i="14"/>
  <c r="Q122" i="14"/>
  <c r="Q121" i="14"/>
  <c r="Q120" i="14"/>
  <c r="Q119" i="14"/>
  <c r="Q106" i="14"/>
  <c r="Q104" i="14"/>
  <c r="Q105" i="14" s="1"/>
  <c r="Q67" i="14"/>
  <c r="Q62" i="14" s="1"/>
  <c r="Q65" i="14"/>
  <c r="Q57" i="14"/>
  <c r="P9" i="14" s="1"/>
  <c r="Q52" i="14"/>
  <c r="Q42" i="14"/>
  <c r="P32" i="14"/>
  <c r="P31" i="14" s="1"/>
  <c r="Q31" i="14"/>
  <c r="P26" i="14"/>
  <c r="Q26" i="14" s="1"/>
  <c r="P19" i="14"/>
  <c r="Q15" i="14"/>
  <c r="Q19" i="14" s="1"/>
  <c r="P2" i="14"/>
  <c r="P10" i="14" s="1"/>
  <c r="P16" i="14" s="1"/>
  <c r="P20" i="14" s="1"/>
  <c r="S42" i="13"/>
  <c r="S26" i="13"/>
  <c r="P26" i="13"/>
  <c r="F28" i="11"/>
  <c r="C83" i="21" s="1"/>
  <c r="S32" i="13"/>
  <c r="R38" i="13"/>
  <c r="R42" i="13" s="1"/>
  <c r="S37" i="13"/>
  <c r="S138" i="13"/>
  <c r="S123" i="13"/>
  <c r="S122" i="13"/>
  <c r="S121" i="13"/>
  <c r="S120" i="13"/>
  <c r="S119" i="13"/>
  <c r="S106" i="13"/>
  <c r="S100" i="13"/>
  <c r="S104" i="13" s="1"/>
  <c r="S105" i="13" s="1"/>
  <c r="S96" i="13"/>
  <c r="S67" i="13"/>
  <c r="S65" i="13"/>
  <c r="S57" i="13"/>
  <c r="S52" i="13"/>
  <c r="R19" i="13"/>
  <c r="S15" i="13"/>
  <c r="S19" i="13" s="1"/>
  <c r="R2" i="13"/>
  <c r="R10" i="13" s="1"/>
  <c r="Q15" i="13"/>
  <c r="Q31" i="13"/>
  <c r="Q42" i="13"/>
  <c r="Q52" i="13"/>
  <c r="Q57" i="13"/>
  <c r="Q65" i="13"/>
  <c r="Q67" i="13"/>
  <c r="Q96" i="13"/>
  <c r="Q100" i="13"/>
  <c r="Q104" i="13" s="1"/>
  <c r="Q105" i="13" s="1"/>
  <c r="Q106" i="13"/>
  <c r="Q119" i="13"/>
  <c r="Q120" i="13"/>
  <c r="Q121" i="13"/>
  <c r="Q122" i="13"/>
  <c r="Q123" i="13"/>
  <c r="Q128" i="13"/>
  <c r="Q138" i="13"/>
  <c r="P32" i="13"/>
  <c r="P31" i="13" s="1"/>
  <c r="P19" i="13"/>
  <c r="P2" i="13"/>
  <c r="P10" i="13" s="1"/>
  <c r="Q10" i="13" s="1"/>
  <c r="I135" i="15"/>
  <c r="G135" i="15"/>
  <c r="G141" i="15" s="1"/>
  <c r="I128" i="15"/>
  <c r="K128" i="15" s="1"/>
  <c r="I122" i="15"/>
  <c r="G122" i="15"/>
  <c r="I121" i="15"/>
  <c r="G121" i="15"/>
  <c r="I120" i="15"/>
  <c r="G120" i="15"/>
  <c r="I119" i="15"/>
  <c r="G119" i="15"/>
  <c r="I111" i="15"/>
  <c r="G111" i="15"/>
  <c r="I108" i="15"/>
  <c r="G108" i="15"/>
  <c r="I106" i="15"/>
  <c r="G106" i="15"/>
  <c r="O104" i="15"/>
  <c r="I104" i="15"/>
  <c r="I105" i="15" s="1"/>
  <c r="G104" i="15"/>
  <c r="G105" i="15" s="1"/>
  <c r="E75" i="15"/>
  <c r="E81" i="15" s="1"/>
  <c r="E74" i="15"/>
  <c r="E80" i="15" s="1"/>
  <c r="E83" i="15" s="1"/>
  <c r="E86" i="15" s="1"/>
  <c r="E89" i="15" s="1"/>
  <c r="O66" i="15"/>
  <c r="O96" i="15" s="1"/>
  <c r="I65" i="15"/>
  <c r="I67" i="15" s="1"/>
  <c r="I80" i="15" s="1"/>
  <c r="G65" i="15"/>
  <c r="G67" i="15" s="1"/>
  <c r="E65" i="15"/>
  <c r="C65" i="15"/>
  <c r="N9" i="15"/>
  <c r="E57" i="15"/>
  <c r="E58" i="15" s="1"/>
  <c r="I56" i="15"/>
  <c r="I50" i="15" s="1"/>
  <c r="G56" i="15"/>
  <c r="G50" i="15" s="1"/>
  <c r="I52" i="15"/>
  <c r="G52" i="15"/>
  <c r="O42" i="15"/>
  <c r="N32" i="15"/>
  <c r="H32" i="15"/>
  <c r="H31" i="15" s="1"/>
  <c r="F32" i="15"/>
  <c r="F31" i="15" s="1"/>
  <c r="O31" i="15"/>
  <c r="I26" i="15"/>
  <c r="F26" i="15"/>
  <c r="G26" i="15" s="1"/>
  <c r="G25" i="15" s="1"/>
  <c r="N19" i="15"/>
  <c r="H19" i="15"/>
  <c r="F19" i="15"/>
  <c r="O15" i="15"/>
  <c r="I15" i="15"/>
  <c r="I19" i="15" s="1"/>
  <c r="G15" i="15"/>
  <c r="H9" i="15"/>
  <c r="F9" i="15"/>
  <c r="H8" i="15"/>
  <c r="F8" i="15"/>
  <c r="N2" i="15"/>
  <c r="N10" i="15" s="1"/>
  <c r="H2" i="15"/>
  <c r="H10" i="15" s="1"/>
  <c r="F2" i="15"/>
  <c r="F10" i="15" s="1"/>
  <c r="I137" i="14"/>
  <c r="I135" i="14"/>
  <c r="G135" i="14"/>
  <c r="I128" i="14"/>
  <c r="K128" i="14" s="1"/>
  <c r="O123" i="14"/>
  <c r="O122" i="14"/>
  <c r="I122" i="14"/>
  <c r="G122" i="14"/>
  <c r="O121" i="14"/>
  <c r="I121" i="14"/>
  <c r="G121" i="14"/>
  <c r="O120" i="14"/>
  <c r="I120" i="14"/>
  <c r="G120" i="14"/>
  <c r="O119" i="14"/>
  <c r="I119" i="14"/>
  <c r="G119" i="14"/>
  <c r="I111" i="14"/>
  <c r="G111" i="14"/>
  <c r="I108" i="14"/>
  <c r="G108" i="14"/>
  <c r="O106" i="14"/>
  <c r="I106" i="14"/>
  <c r="G106" i="14"/>
  <c r="O104" i="14"/>
  <c r="O105" i="14" s="1"/>
  <c r="I104" i="14"/>
  <c r="I105" i="14" s="1"/>
  <c r="G104" i="14"/>
  <c r="G105" i="14" s="1"/>
  <c r="I123" i="14"/>
  <c r="G123" i="14"/>
  <c r="E75" i="14"/>
  <c r="E81" i="14" s="1"/>
  <c r="E74" i="14"/>
  <c r="E80" i="14" s="1"/>
  <c r="E83" i="14" s="1"/>
  <c r="E86" i="14" s="1"/>
  <c r="E89" i="14" s="1"/>
  <c r="O65" i="14"/>
  <c r="I65" i="14"/>
  <c r="I67" i="14" s="1"/>
  <c r="G65" i="14"/>
  <c r="G67" i="14" s="1"/>
  <c r="E65" i="14"/>
  <c r="C65" i="14"/>
  <c r="E57" i="14"/>
  <c r="E58" i="14" s="1"/>
  <c r="I56" i="14"/>
  <c r="I50" i="14" s="1"/>
  <c r="G56" i="14"/>
  <c r="G50" i="14" s="1"/>
  <c r="O52" i="14"/>
  <c r="I52" i="14"/>
  <c r="G52" i="14"/>
  <c r="O42" i="14"/>
  <c r="N32" i="14"/>
  <c r="H32" i="14"/>
  <c r="F32" i="14"/>
  <c r="F42" i="14" s="1"/>
  <c r="O31" i="14"/>
  <c r="F26" i="14"/>
  <c r="N19" i="14"/>
  <c r="H19" i="14"/>
  <c r="F19" i="14"/>
  <c r="O15" i="14"/>
  <c r="I15" i="14"/>
  <c r="I19" i="14" s="1"/>
  <c r="G15" i="14"/>
  <c r="G19" i="14" s="1"/>
  <c r="H9" i="14"/>
  <c r="F9" i="14"/>
  <c r="H8" i="14"/>
  <c r="F8" i="14"/>
  <c r="N2" i="14"/>
  <c r="N10" i="14" s="1"/>
  <c r="O10" i="14" s="1"/>
  <c r="O77" i="14" s="1"/>
  <c r="H2" i="14"/>
  <c r="H10" i="14" s="1"/>
  <c r="F2" i="14"/>
  <c r="F10" i="14" s="1"/>
  <c r="O138" i="13"/>
  <c r="I138" i="13"/>
  <c r="K138" i="13" s="1"/>
  <c r="I137" i="13"/>
  <c r="I135" i="13"/>
  <c r="G135" i="13"/>
  <c r="I128" i="13"/>
  <c r="K128" i="13" s="1"/>
  <c r="M128" i="13" s="1"/>
  <c r="O123" i="13"/>
  <c r="I123" i="13"/>
  <c r="G123" i="13"/>
  <c r="O122" i="13"/>
  <c r="I122" i="13"/>
  <c r="G122" i="13"/>
  <c r="O121" i="13"/>
  <c r="I121" i="13"/>
  <c r="G121" i="13"/>
  <c r="O120" i="13"/>
  <c r="I120" i="13"/>
  <c r="G120" i="13"/>
  <c r="O119" i="13"/>
  <c r="I119" i="13"/>
  <c r="G119" i="13"/>
  <c r="I111" i="13"/>
  <c r="G111" i="13"/>
  <c r="I108" i="13"/>
  <c r="G108" i="13"/>
  <c r="O106" i="13"/>
  <c r="I106" i="13"/>
  <c r="G106" i="13"/>
  <c r="O100" i="13"/>
  <c r="O104" i="13" s="1"/>
  <c r="O105" i="13" s="1"/>
  <c r="I100" i="13"/>
  <c r="I104" i="13" s="1"/>
  <c r="I105" i="13" s="1"/>
  <c r="G100" i="13"/>
  <c r="G104" i="13" s="1"/>
  <c r="G105" i="13" s="1"/>
  <c r="I76" i="13"/>
  <c r="G76" i="13"/>
  <c r="E75" i="13"/>
  <c r="E81" i="13" s="1"/>
  <c r="E74" i="13"/>
  <c r="E80" i="13" s="1"/>
  <c r="E83" i="13" s="1"/>
  <c r="E86" i="13" s="1"/>
  <c r="E89" i="13" s="1"/>
  <c r="O65" i="13"/>
  <c r="I65" i="13"/>
  <c r="I67" i="13" s="1"/>
  <c r="G65" i="13"/>
  <c r="G67" i="13" s="1"/>
  <c r="E65" i="13"/>
  <c r="C65" i="13"/>
  <c r="E57" i="13"/>
  <c r="E58" i="13" s="1"/>
  <c r="I56" i="13"/>
  <c r="G56" i="13"/>
  <c r="O52" i="13"/>
  <c r="I52" i="13"/>
  <c r="G52" i="13"/>
  <c r="O42" i="13"/>
  <c r="N32" i="13"/>
  <c r="H32" i="13"/>
  <c r="H42" i="13" s="1"/>
  <c r="F32" i="13"/>
  <c r="O31" i="13"/>
  <c r="F26" i="13"/>
  <c r="F25" i="13" s="1"/>
  <c r="N19" i="13"/>
  <c r="H19" i="13"/>
  <c r="F19" i="13"/>
  <c r="O15" i="13"/>
  <c r="I15" i="13"/>
  <c r="I19" i="13" s="1"/>
  <c r="G15" i="13"/>
  <c r="G19" i="13" s="1"/>
  <c r="H9" i="13"/>
  <c r="F9" i="13"/>
  <c r="H8" i="13"/>
  <c r="F8" i="13"/>
  <c r="N2" i="13"/>
  <c r="N10" i="13" s="1"/>
  <c r="H2" i="13"/>
  <c r="H10" i="13" s="1"/>
  <c r="F2" i="13"/>
  <c r="F10" i="13" s="1"/>
  <c r="G10" i="13" s="1"/>
  <c r="CY77" i="14" l="1"/>
  <c r="T77" i="14"/>
  <c r="CQ77" i="14"/>
  <c r="CQ76" i="14" s="1"/>
  <c r="CQ74" i="14" s="1"/>
  <c r="O96" i="14"/>
  <c r="O141" i="14"/>
  <c r="CQ67" i="14" s="1"/>
  <c r="U66" i="15"/>
  <c r="U123" i="15" s="1"/>
  <c r="Q26" i="13"/>
  <c r="Q30" i="13" s="1"/>
  <c r="N67" i="14"/>
  <c r="Q59" i="14"/>
  <c r="S60" i="14"/>
  <c r="N42" i="14"/>
  <c r="O62" i="14"/>
  <c r="N9" i="14"/>
  <c r="H9" i="16"/>
  <c r="P24" i="14"/>
  <c r="P23" i="14" s="1"/>
  <c r="D76" i="21"/>
  <c r="D74" i="21"/>
  <c r="M53" i="13"/>
  <c r="L30" i="13"/>
  <c r="L29" i="13" s="1"/>
  <c r="M32" i="13"/>
  <c r="M36" i="13" s="1"/>
  <c r="M35" i="13" s="1"/>
  <c r="G141" i="13"/>
  <c r="G96" i="13"/>
  <c r="K137" i="13"/>
  <c r="M137" i="13" s="1"/>
  <c r="I96" i="13"/>
  <c r="M62" i="13"/>
  <c r="M59" i="13" s="1"/>
  <c r="L61" i="13"/>
  <c r="N61" i="13"/>
  <c r="P24" i="15"/>
  <c r="P23" i="15" s="1"/>
  <c r="S31" i="15"/>
  <c r="Q141" i="15"/>
  <c r="P25" i="15"/>
  <c r="P9" i="15"/>
  <c r="Q63" i="15"/>
  <c r="O63" i="15"/>
  <c r="H13" i="16"/>
  <c r="O19" i="15"/>
  <c r="R9" i="15"/>
  <c r="S63" i="15"/>
  <c r="N42" i="15"/>
  <c r="G53" i="15"/>
  <c r="O106" i="15"/>
  <c r="R32" i="15"/>
  <c r="G54" i="15"/>
  <c r="G49" i="15" s="1"/>
  <c r="K112" i="13"/>
  <c r="S59" i="13"/>
  <c r="P9" i="13"/>
  <c r="Q63" i="13"/>
  <c r="L42" i="13"/>
  <c r="N31" i="13"/>
  <c r="H6" i="16"/>
  <c r="N9" i="13"/>
  <c r="O63" i="13"/>
  <c r="H5" i="16"/>
  <c r="O19" i="13"/>
  <c r="R9" i="13"/>
  <c r="S63" i="13"/>
  <c r="S36" i="14"/>
  <c r="S35" i="14" s="1"/>
  <c r="S59" i="14"/>
  <c r="Q30" i="14"/>
  <c r="Q29" i="14" s="1"/>
  <c r="Q60" i="14"/>
  <c r="Q56" i="14" s="1"/>
  <c r="S60" i="13"/>
  <c r="R8" i="13" s="1"/>
  <c r="F30" i="14"/>
  <c r="F29" i="14" s="1"/>
  <c r="K137" i="14"/>
  <c r="M137" i="14" s="1"/>
  <c r="N26" i="14"/>
  <c r="T26" i="14" s="1"/>
  <c r="R32" i="14"/>
  <c r="P25" i="14"/>
  <c r="S117" i="14"/>
  <c r="S116" i="14" s="1"/>
  <c r="S114" i="14" s="1"/>
  <c r="S115" i="14" s="1"/>
  <c r="S72" i="14" s="1"/>
  <c r="R37" i="14"/>
  <c r="R42" i="14"/>
  <c r="L21" i="11"/>
  <c r="L18" i="11"/>
  <c r="M128" i="14"/>
  <c r="M129" i="14" s="1"/>
  <c r="M130" i="14" s="1"/>
  <c r="K129" i="14"/>
  <c r="K130" i="14" s="1"/>
  <c r="Q117" i="14"/>
  <c r="Q116" i="14" s="1"/>
  <c r="Q114" i="14" s="1"/>
  <c r="Q115" i="14" s="1"/>
  <c r="Q72" i="14" s="1"/>
  <c r="S30" i="14"/>
  <c r="S29" i="14" s="1"/>
  <c r="R32" i="13"/>
  <c r="R31" i="13" s="1"/>
  <c r="F17" i="11"/>
  <c r="C73" i="21" s="1"/>
  <c r="F13" i="11"/>
  <c r="C69" i="21" s="1"/>
  <c r="P25" i="13"/>
  <c r="L28" i="11"/>
  <c r="D83" i="21" s="1"/>
  <c r="G109" i="15"/>
  <c r="M128" i="15"/>
  <c r="M129" i="15" s="1"/>
  <c r="M130" i="15" s="1"/>
  <c r="K129" i="15"/>
  <c r="K130" i="15" s="1"/>
  <c r="Q66" i="15"/>
  <c r="W66" i="15" s="1"/>
  <c r="W96" i="15" s="1"/>
  <c r="N26" i="15"/>
  <c r="P42" i="15"/>
  <c r="P30" i="15"/>
  <c r="P29" i="15" s="1"/>
  <c r="Q76" i="13"/>
  <c r="Q74" i="13" s="1"/>
  <c r="Q126" i="13"/>
  <c r="Q127" i="13" s="1"/>
  <c r="Q60" i="13"/>
  <c r="Q16" i="13"/>
  <c r="Q20" i="13" s="1"/>
  <c r="S31" i="13"/>
  <c r="R37" i="13"/>
  <c r="K53" i="13"/>
  <c r="K109" i="13"/>
  <c r="S36" i="13"/>
  <c r="S35" i="13" s="1"/>
  <c r="Q117" i="13"/>
  <c r="Q116" i="13" s="1"/>
  <c r="Q114" i="13" s="1"/>
  <c r="Q115" i="13" s="1"/>
  <c r="Q72" i="13" s="1"/>
  <c r="F22" i="11"/>
  <c r="C77" i="21" s="1"/>
  <c r="N26" i="13"/>
  <c r="T26" i="13" s="1"/>
  <c r="V26" i="13" s="1"/>
  <c r="X26" i="13" s="1"/>
  <c r="J30" i="13"/>
  <c r="J29" i="13" s="1"/>
  <c r="K141" i="13"/>
  <c r="M138" i="13"/>
  <c r="M141" i="13" s="1"/>
  <c r="K96" i="13"/>
  <c r="I53" i="13"/>
  <c r="K117" i="13"/>
  <c r="K116" i="13" s="1"/>
  <c r="K114" i="13" s="1"/>
  <c r="K115" i="13" s="1"/>
  <c r="K72" i="13" s="1"/>
  <c r="K71" i="13" s="1"/>
  <c r="M68" i="13"/>
  <c r="M63" i="13" s="1"/>
  <c r="M109" i="13"/>
  <c r="S117" i="13"/>
  <c r="S116" i="13" s="1"/>
  <c r="S114" i="13" s="1"/>
  <c r="S115" i="13" s="1"/>
  <c r="S72" i="13" s="1"/>
  <c r="S30" i="13"/>
  <c r="M112" i="13"/>
  <c r="Q59" i="13"/>
  <c r="Q132" i="13"/>
  <c r="Q133" i="13" s="1"/>
  <c r="Q142" i="13" s="1"/>
  <c r="Q129" i="13"/>
  <c r="Q130" i="13" s="1"/>
  <c r="Q69" i="13"/>
  <c r="M117" i="13"/>
  <c r="M116" i="13" s="1"/>
  <c r="M114" i="13" s="1"/>
  <c r="M115" i="13" s="1"/>
  <c r="M72" i="13" s="1"/>
  <c r="M71" i="13" s="1"/>
  <c r="J31" i="13"/>
  <c r="J42" i="13"/>
  <c r="J25" i="13"/>
  <c r="K26" i="13"/>
  <c r="K30" i="13" s="1"/>
  <c r="K29" i="13" s="1"/>
  <c r="L36" i="13"/>
  <c r="L35" i="13" s="1"/>
  <c r="L16" i="13"/>
  <c r="L20" i="13" s="1"/>
  <c r="L24" i="13" s="1"/>
  <c r="L23" i="13" s="1"/>
  <c r="M10" i="13"/>
  <c r="M75" i="13" s="1"/>
  <c r="M25" i="13"/>
  <c r="M80" i="13"/>
  <c r="M50" i="13"/>
  <c r="K10" i="13"/>
  <c r="K75" i="13" s="1"/>
  <c r="J16" i="13"/>
  <c r="J20" i="13" s="1"/>
  <c r="J24" i="13" s="1"/>
  <c r="J23" i="13" s="1"/>
  <c r="K31" i="13"/>
  <c r="K50" i="13"/>
  <c r="K62" i="13"/>
  <c r="K59" i="13" s="1"/>
  <c r="K68" i="13"/>
  <c r="K63" i="13" s="1"/>
  <c r="K80" i="13"/>
  <c r="S128" i="13"/>
  <c r="S138" i="15"/>
  <c r="S137" i="15"/>
  <c r="S141" i="15" s="1"/>
  <c r="S30" i="15"/>
  <c r="S25" i="15"/>
  <c r="S10" i="15"/>
  <c r="S69" i="15" s="1"/>
  <c r="Q30" i="15"/>
  <c r="Q25" i="15"/>
  <c r="Q10" i="15"/>
  <c r="Q16" i="15" s="1"/>
  <c r="Q20" i="15" s="1"/>
  <c r="Q24" i="15" s="1"/>
  <c r="Q137" i="14"/>
  <c r="Q141" i="14" s="1"/>
  <c r="R16" i="14"/>
  <c r="R20" i="14" s="1"/>
  <c r="R24" i="14" s="1"/>
  <c r="R23" i="14" s="1"/>
  <c r="S10" i="14"/>
  <c r="S69" i="14" s="1"/>
  <c r="R25" i="14"/>
  <c r="S25" i="14"/>
  <c r="Q10" i="14"/>
  <c r="P30" i="14"/>
  <c r="P29" i="14" s="1"/>
  <c r="Q25" i="14"/>
  <c r="P42" i="14"/>
  <c r="R16" i="13"/>
  <c r="R20" i="13" s="1"/>
  <c r="R24" i="13" s="1"/>
  <c r="R23" i="13" s="1"/>
  <c r="S10" i="13"/>
  <c r="R25" i="13"/>
  <c r="S25" i="13"/>
  <c r="Q19" i="13"/>
  <c r="P16" i="13"/>
  <c r="P20" i="13" s="1"/>
  <c r="P24" i="13" s="1"/>
  <c r="P23" i="13" s="1"/>
  <c r="P30" i="13"/>
  <c r="P29" i="13" s="1"/>
  <c r="P42" i="13"/>
  <c r="H25" i="15"/>
  <c r="O105" i="15"/>
  <c r="N31" i="15"/>
  <c r="G68" i="15"/>
  <c r="G63" i="15" s="1"/>
  <c r="F25" i="15"/>
  <c r="I53" i="15"/>
  <c r="I109" i="15"/>
  <c r="O120" i="15"/>
  <c r="O52" i="15"/>
  <c r="O119" i="15"/>
  <c r="F30" i="15"/>
  <c r="F29" i="15" s="1"/>
  <c r="I62" i="15"/>
  <c r="I59" i="15" s="1"/>
  <c r="O123" i="15"/>
  <c r="G53" i="14"/>
  <c r="F25" i="14"/>
  <c r="O60" i="14"/>
  <c r="L22" i="11"/>
  <c r="D77" i="21" s="1"/>
  <c r="G26" i="14"/>
  <c r="G76" i="14"/>
  <c r="G68" i="14"/>
  <c r="G63" i="14" s="1"/>
  <c r="I76" i="14"/>
  <c r="G54" i="14"/>
  <c r="F41" i="14" s="1"/>
  <c r="I68" i="14"/>
  <c r="I63" i="14" s="1"/>
  <c r="O117" i="14"/>
  <c r="O116" i="14" s="1"/>
  <c r="O114" i="14" s="1"/>
  <c r="O115" i="14" s="1"/>
  <c r="I54" i="14"/>
  <c r="I49" i="14" s="1"/>
  <c r="N31" i="14"/>
  <c r="G32" i="14"/>
  <c r="I117" i="14"/>
  <c r="I116" i="14" s="1"/>
  <c r="I114" i="14" s="1"/>
  <c r="I115" i="14" s="1"/>
  <c r="I72" i="14" s="1"/>
  <c r="I71" i="14" s="1"/>
  <c r="O59" i="13"/>
  <c r="H30" i="13"/>
  <c r="H29" i="13" s="1"/>
  <c r="I117" i="13"/>
  <c r="I116" i="13" s="1"/>
  <c r="I114" i="13" s="1"/>
  <c r="I115" i="13" s="1"/>
  <c r="I72" i="13" s="1"/>
  <c r="I71" i="13" s="1"/>
  <c r="G117" i="13"/>
  <c r="G116" i="13" s="1"/>
  <c r="G114" i="13" s="1"/>
  <c r="G115" i="13" s="1"/>
  <c r="G72" i="13" s="1"/>
  <c r="G71" i="13" s="1"/>
  <c r="O60" i="13"/>
  <c r="G112" i="13"/>
  <c r="G80" i="13"/>
  <c r="G81" i="13" s="1"/>
  <c r="G62" i="13"/>
  <c r="G59" i="13" s="1"/>
  <c r="H31" i="13"/>
  <c r="O117" i="13"/>
  <c r="O116" i="13" s="1"/>
  <c r="O114" i="13" s="1"/>
  <c r="O115" i="13" s="1"/>
  <c r="N72" i="13" s="1"/>
  <c r="F16" i="15"/>
  <c r="F20" i="15" s="1"/>
  <c r="F24" i="15" s="1"/>
  <c r="F23" i="15" s="1"/>
  <c r="G10" i="15"/>
  <c r="G69" i="15" s="1"/>
  <c r="G19" i="15"/>
  <c r="I25" i="15"/>
  <c r="I10" i="15"/>
  <c r="I75" i="15" s="1"/>
  <c r="H16" i="15"/>
  <c r="H20" i="15" s="1"/>
  <c r="H24" i="15" s="1"/>
  <c r="H23" i="15" s="1"/>
  <c r="N16" i="15"/>
  <c r="O10" i="15"/>
  <c r="O77" i="15" s="1"/>
  <c r="G112" i="15"/>
  <c r="G80" i="15"/>
  <c r="G62" i="15"/>
  <c r="G59" i="15" s="1"/>
  <c r="F42" i="15"/>
  <c r="I83" i="15"/>
  <c r="I82" i="15"/>
  <c r="H30" i="15"/>
  <c r="H29" i="15" s="1"/>
  <c r="G32" i="15"/>
  <c r="O34" i="11" s="1"/>
  <c r="H42" i="15"/>
  <c r="I32" i="15"/>
  <c r="P34" i="11" s="1"/>
  <c r="E120" i="21" s="1"/>
  <c r="O120" i="21" s="1"/>
  <c r="I68" i="15"/>
  <c r="I63" i="15" s="1"/>
  <c r="I54" i="15"/>
  <c r="I49" i="15" s="1"/>
  <c r="I112" i="15"/>
  <c r="O65" i="15"/>
  <c r="O121" i="15"/>
  <c r="O122" i="15"/>
  <c r="O126" i="14"/>
  <c r="O127" i="14" s="1"/>
  <c r="O132" i="14"/>
  <c r="O76" i="14"/>
  <c r="O69" i="14"/>
  <c r="H42" i="14"/>
  <c r="H31" i="14"/>
  <c r="I26" i="14"/>
  <c r="H30" i="14"/>
  <c r="H29" i="14" s="1"/>
  <c r="H25" i="14"/>
  <c r="F16" i="14"/>
  <c r="F20" i="14" s="1"/>
  <c r="F24" i="14" s="1"/>
  <c r="F23" i="14" s="1"/>
  <c r="G10" i="14"/>
  <c r="G69" i="14" s="1"/>
  <c r="O19" i="14"/>
  <c r="O16" i="14"/>
  <c r="H16" i="14"/>
  <c r="H20" i="14" s="1"/>
  <c r="H24" i="14" s="1"/>
  <c r="H23" i="14" s="1"/>
  <c r="I10" i="14"/>
  <c r="N16" i="14"/>
  <c r="I32" i="14"/>
  <c r="J34" i="11" s="1"/>
  <c r="D120" i="21" s="1"/>
  <c r="I53" i="14"/>
  <c r="F31" i="14"/>
  <c r="I80" i="14"/>
  <c r="I109" i="14"/>
  <c r="I62" i="14"/>
  <c r="I59" i="14" s="1"/>
  <c r="G80" i="14"/>
  <c r="G109" i="14"/>
  <c r="G62" i="14"/>
  <c r="G59" i="14" s="1"/>
  <c r="G112" i="14"/>
  <c r="I112" i="14"/>
  <c r="G117" i="14"/>
  <c r="G116" i="14" s="1"/>
  <c r="G114" i="14" s="1"/>
  <c r="G115" i="14" s="1"/>
  <c r="G72" i="14" s="1"/>
  <c r="G71" i="14" s="1"/>
  <c r="O129" i="14"/>
  <c r="O130" i="14" s="1"/>
  <c r="I10" i="13"/>
  <c r="I16" i="13" s="1"/>
  <c r="I20" i="13" s="1"/>
  <c r="H16" i="13"/>
  <c r="H20" i="13" s="1"/>
  <c r="H24" i="13" s="1"/>
  <c r="H23" i="13" s="1"/>
  <c r="G129" i="13"/>
  <c r="G130" i="13" s="1"/>
  <c r="G75" i="13"/>
  <c r="G69" i="13"/>
  <c r="G77" i="13"/>
  <c r="G16" i="13"/>
  <c r="G20" i="13" s="1"/>
  <c r="F31" i="13"/>
  <c r="F42" i="13"/>
  <c r="G32" i="13"/>
  <c r="F16" i="13"/>
  <c r="F20" i="13" s="1"/>
  <c r="F24" i="13" s="1"/>
  <c r="F23" i="13" s="1"/>
  <c r="I112" i="13"/>
  <c r="I80" i="13"/>
  <c r="I62" i="13"/>
  <c r="I59" i="13" s="1"/>
  <c r="O10" i="13"/>
  <c r="N16" i="13"/>
  <c r="F30" i="13"/>
  <c r="F29" i="13" s="1"/>
  <c r="I26" i="13"/>
  <c r="H25" i="13"/>
  <c r="G50" i="13"/>
  <c r="G54" i="13" s="1"/>
  <c r="I68" i="13"/>
  <c r="I63" i="13" s="1"/>
  <c r="I50" i="13"/>
  <c r="G68" i="13"/>
  <c r="G63" i="13" s="1"/>
  <c r="G53" i="13"/>
  <c r="G26" i="13"/>
  <c r="N42" i="13"/>
  <c r="I109" i="13"/>
  <c r="I141" i="13"/>
  <c r="G109" i="13"/>
  <c r="F26" i="3"/>
  <c r="H26" i="3"/>
  <c r="R30" i="15" l="1"/>
  <c r="R29" i="15" s="1"/>
  <c r="R36" i="15"/>
  <c r="R35" i="15" s="1"/>
  <c r="U122" i="15"/>
  <c r="U65" i="15"/>
  <c r="U60" i="15" s="1"/>
  <c r="U52" i="15"/>
  <c r="U106" i="15"/>
  <c r="V26" i="14"/>
  <c r="T30" i="14"/>
  <c r="T29" i="14" s="1"/>
  <c r="T25" i="14"/>
  <c r="T24" i="14"/>
  <c r="T23" i="14" s="1"/>
  <c r="CQ71" i="14"/>
  <c r="CQ75" i="14"/>
  <c r="X77" i="3"/>
  <c r="CY76" i="14"/>
  <c r="CY74" i="14" s="1"/>
  <c r="Z26" i="13"/>
  <c r="AB26" i="13" s="1"/>
  <c r="AD26" i="13" s="1"/>
  <c r="CV26" i="13" s="1"/>
  <c r="X30" i="13"/>
  <c r="X29" i="13" s="1"/>
  <c r="X25" i="13"/>
  <c r="X24" i="13"/>
  <c r="X23" i="13" s="1"/>
  <c r="O129" i="13"/>
  <c r="O130" i="13" s="1"/>
  <c r="O77" i="13"/>
  <c r="Q24" i="13"/>
  <c r="Q23" i="13" s="1"/>
  <c r="DE77" i="15"/>
  <c r="CW77" i="15"/>
  <c r="CW76" i="15" s="1"/>
  <c r="CW74" i="15" s="1"/>
  <c r="AA66" i="15"/>
  <c r="AA96" i="15" s="1"/>
  <c r="U96" i="15"/>
  <c r="U121" i="15"/>
  <c r="U120" i="15"/>
  <c r="CP72" i="14"/>
  <c r="CQ69" i="14"/>
  <c r="CQ62" i="14"/>
  <c r="CQ59" i="14" s="1"/>
  <c r="CQ60" i="14"/>
  <c r="CQ80" i="14"/>
  <c r="Q25" i="13"/>
  <c r="W106" i="15"/>
  <c r="W123" i="15"/>
  <c r="AC66" i="15"/>
  <c r="W122" i="15"/>
  <c r="W121" i="15"/>
  <c r="W120" i="15"/>
  <c r="W65" i="15"/>
  <c r="W52" i="15"/>
  <c r="W119" i="15"/>
  <c r="W105" i="15"/>
  <c r="W127" i="15"/>
  <c r="W130" i="15"/>
  <c r="W133" i="15"/>
  <c r="W142" i="15" s="1"/>
  <c r="U127" i="15"/>
  <c r="Q106" i="15"/>
  <c r="U133" i="15"/>
  <c r="U142" i="15" s="1"/>
  <c r="U130" i="15"/>
  <c r="U119" i="15"/>
  <c r="U105" i="15"/>
  <c r="V30" i="13"/>
  <c r="V29" i="13" s="1"/>
  <c r="V25" i="13"/>
  <c r="V24" i="13"/>
  <c r="V23" i="13" s="1"/>
  <c r="U59" i="15"/>
  <c r="O59" i="14"/>
  <c r="P8" i="14"/>
  <c r="N20" i="14"/>
  <c r="N8" i="14"/>
  <c r="N30" i="14"/>
  <c r="O20" i="14"/>
  <c r="N120" i="21"/>
  <c r="C74" i="21"/>
  <c r="C76" i="21"/>
  <c r="M31" i="13"/>
  <c r="M30" i="13"/>
  <c r="M29" i="13" s="1"/>
  <c r="G142" i="13"/>
  <c r="S56" i="13"/>
  <c r="Q75" i="13"/>
  <c r="M96" i="13"/>
  <c r="N8" i="13"/>
  <c r="Q123" i="15"/>
  <c r="I16" i="15"/>
  <c r="I20" i="15" s="1"/>
  <c r="I24" i="15" s="1"/>
  <c r="I23" i="15" s="1"/>
  <c r="Q121" i="15"/>
  <c r="Q52" i="15"/>
  <c r="F41" i="15"/>
  <c r="Q122" i="15"/>
  <c r="R31" i="15"/>
  <c r="O26" i="15"/>
  <c r="O60" i="15"/>
  <c r="Q80" i="13"/>
  <c r="X17" i="11"/>
  <c r="BH63" i="3"/>
  <c r="R36" i="13"/>
  <c r="R35" i="13" s="1"/>
  <c r="N30" i="13"/>
  <c r="N29" i="13" s="1"/>
  <c r="F12" i="11"/>
  <c r="C68" i="21" s="1"/>
  <c r="J42" i="3"/>
  <c r="R30" i="13"/>
  <c r="R29" i="13" s="1"/>
  <c r="Q23" i="15"/>
  <c r="Q29" i="15"/>
  <c r="N20" i="15"/>
  <c r="S29" i="15"/>
  <c r="N20" i="13"/>
  <c r="G42" i="14"/>
  <c r="G41" i="14" s="1"/>
  <c r="I34" i="11"/>
  <c r="S29" i="13"/>
  <c r="O26" i="13"/>
  <c r="N25" i="13"/>
  <c r="Q29" i="13"/>
  <c r="Q111" i="13"/>
  <c r="Q112" i="13" s="1"/>
  <c r="N25" i="14"/>
  <c r="O26" i="14"/>
  <c r="U26" i="14" s="1"/>
  <c r="I129" i="14"/>
  <c r="I130" i="14" s="1"/>
  <c r="I132" i="14"/>
  <c r="I133" i="14" s="1"/>
  <c r="I126" i="14"/>
  <c r="I127" i="14" s="1"/>
  <c r="R31" i="14"/>
  <c r="R30" i="14"/>
  <c r="R29" i="14" s="1"/>
  <c r="R36" i="14"/>
  <c r="R35" i="14" s="1"/>
  <c r="G126" i="14"/>
  <c r="G127" i="14" s="1"/>
  <c r="G132" i="14"/>
  <c r="G133" i="14" s="1"/>
  <c r="O56" i="14"/>
  <c r="K25" i="13"/>
  <c r="F21" i="11"/>
  <c r="F18" i="11"/>
  <c r="Q56" i="13"/>
  <c r="O56" i="13"/>
  <c r="O50" i="13" s="1"/>
  <c r="Q71" i="13"/>
  <c r="L12" i="11"/>
  <c r="D68" i="21" s="1"/>
  <c r="O117" i="15"/>
  <c r="O116" i="15" s="1"/>
  <c r="O114" i="15" s="1"/>
  <c r="O115" i="15" s="1"/>
  <c r="N25" i="15"/>
  <c r="N30" i="15"/>
  <c r="G16" i="15"/>
  <c r="G20" i="15" s="1"/>
  <c r="G24" i="15" s="1"/>
  <c r="G23" i="15" s="1"/>
  <c r="Q119" i="15"/>
  <c r="Q120" i="15"/>
  <c r="S66" i="15"/>
  <c r="Q65" i="15"/>
  <c r="Q60" i="15" s="1"/>
  <c r="Q105" i="15"/>
  <c r="Q96" i="15"/>
  <c r="Q108" i="13"/>
  <c r="Q109" i="13" s="1"/>
  <c r="M129" i="13"/>
  <c r="M130" i="13" s="1"/>
  <c r="M142" i="13" s="1"/>
  <c r="P8" i="13"/>
  <c r="M69" i="13"/>
  <c r="M16" i="13"/>
  <c r="M20" i="13" s="1"/>
  <c r="M24" i="13" s="1"/>
  <c r="M23" i="13" s="1"/>
  <c r="O16" i="13"/>
  <c r="S129" i="13"/>
  <c r="S130" i="13" s="1"/>
  <c r="K129" i="13"/>
  <c r="K130" i="13" s="1"/>
  <c r="K142" i="13" s="1"/>
  <c r="K69" i="13"/>
  <c r="K16" i="13"/>
  <c r="K20" i="13" s="1"/>
  <c r="K24" i="13" s="1"/>
  <c r="K23" i="13" s="1"/>
  <c r="K77" i="13"/>
  <c r="M77" i="13"/>
  <c r="M54" i="13"/>
  <c r="M83" i="13"/>
  <c r="M82" i="13"/>
  <c r="M81" i="13"/>
  <c r="K54" i="13"/>
  <c r="K83" i="13"/>
  <c r="K82" i="13"/>
  <c r="K81" i="13"/>
  <c r="S126" i="15"/>
  <c r="S76" i="15"/>
  <c r="S132" i="15"/>
  <c r="S129" i="15"/>
  <c r="S16" i="15"/>
  <c r="S20" i="15" s="1"/>
  <c r="S24" i="15" s="1"/>
  <c r="Q126" i="15"/>
  <c r="Q127" i="15" s="1"/>
  <c r="Q132" i="15"/>
  <c r="Q133" i="15" s="1"/>
  <c r="Q142" i="15" s="1"/>
  <c r="Q76" i="15"/>
  <c r="Q69" i="15"/>
  <c r="Q129" i="15"/>
  <c r="Q130" i="15" s="1"/>
  <c r="Q96" i="14"/>
  <c r="S137" i="14"/>
  <c r="S126" i="14"/>
  <c r="S127" i="14" s="1"/>
  <c r="S132" i="14"/>
  <c r="S76" i="14"/>
  <c r="S16" i="14"/>
  <c r="S20" i="14" s="1"/>
  <c r="S24" i="14" s="1"/>
  <c r="S23" i="14" s="1"/>
  <c r="S129" i="14"/>
  <c r="S130" i="14" s="1"/>
  <c r="Q68" i="14"/>
  <c r="Q63" i="14" s="1"/>
  <c r="Q50" i="14"/>
  <c r="Q53" i="14"/>
  <c r="Q126" i="14"/>
  <c r="Q127" i="14" s="1"/>
  <c r="Q16" i="14"/>
  <c r="Q20" i="14" s="1"/>
  <c r="Q24" i="14" s="1"/>
  <c r="Q23" i="14" s="1"/>
  <c r="Q132" i="14"/>
  <c r="Q76" i="14"/>
  <c r="Q129" i="14"/>
  <c r="Q130" i="14" s="1"/>
  <c r="Q69" i="14"/>
  <c r="S76" i="13"/>
  <c r="S74" i="13" s="1"/>
  <c r="S126" i="13"/>
  <c r="S127" i="13" s="1"/>
  <c r="S132" i="13"/>
  <c r="S133" i="13" s="1"/>
  <c r="S142" i="13" s="1"/>
  <c r="S16" i="13"/>
  <c r="S20" i="13" s="1"/>
  <c r="S24" i="13" s="1"/>
  <c r="S69" i="13"/>
  <c r="I129" i="15"/>
  <c r="I130" i="15" s="1"/>
  <c r="I69" i="15"/>
  <c r="I81" i="15"/>
  <c r="H41" i="15"/>
  <c r="G30" i="14"/>
  <c r="G29" i="14" s="1"/>
  <c r="I69" i="14"/>
  <c r="H41" i="14"/>
  <c r="G31" i="14"/>
  <c r="G49" i="14"/>
  <c r="G48" i="14" s="1"/>
  <c r="G25" i="14"/>
  <c r="I129" i="13"/>
  <c r="I130" i="13" s="1"/>
  <c r="I142" i="13" s="1"/>
  <c r="G83" i="13"/>
  <c r="G84" i="13" s="1"/>
  <c r="G82" i="13"/>
  <c r="I69" i="13"/>
  <c r="I42" i="13"/>
  <c r="I31" i="13"/>
  <c r="I24" i="13"/>
  <c r="I23" i="13" s="1"/>
  <c r="I45" i="15"/>
  <c r="P33" i="11" s="1"/>
  <c r="E119" i="21" s="1"/>
  <c r="O119" i="21" s="1"/>
  <c r="H45" i="15"/>
  <c r="I48" i="15"/>
  <c r="H49" i="15"/>
  <c r="H48" i="15" s="1"/>
  <c r="I42" i="15"/>
  <c r="I41" i="15" s="1"/>
  <c r="I31" i="15"/>
  <c r="G82" i="15"/>
  <c r="G83" i="15"/>
  <c r="G81" i="15"/>
  <c r="O132" i="15"/>
  <c r="O126" i="15"/>
  <c r="O127" i="15" s="1"/>
  <c r="O69" i="15"/>
  <c r="O16" i="15"/>
  <c r="O76" i="15"/>
  <c r="I137" i="15"/>
  <c r="G96" i="15"/>
  <c r="O59" i="15"/>
  <c r="I123" i="15"/>
  <c r="I117" i="15" s="1"/>
  <c r="I116" i="15" s="1"/>
  <c r="I114" i="15" s="1"/>
  <c r="I115" i="15" s="1"/>
  <c r="I72" i="15" s="1"/>
  <c r="I71" i="15" s="1"/>
  <c r="I76" i="15"/>
  <c r="I77" i="15" s="1"/>
  <c r="I84" i="15"/>
  <c r="G129" i="15"/>
  <c r="G130" i="15" s="1"/>
  <c r="G75" i="15"/>
  <c r="G31" i="15"/>
  <c r="G42" i="15"/>
  <c r="G41" i="15" s="1"/>
  <c r="I138" i="15"/>
  <c r="K138" i="15" s="1"/>
  <c r="F49" i="15"/>
  <c r="F48" i="15" s="1"/>
  <c r="F45" i="15"/>
  <c r="G45" i="15"/>
  <c r="O33" i="11" s="1"/>
  <c r="G48" i="15"/>
  <c r="I30" i="15"/>
  <c r="I29" i="15" s="1"/>
  <c r="O129" i="15"/>
  <c r="O130" i="15" s="1"/>
  <c r="G123" i="15"/>
  <c r="G117" i="15" s="1"/>
  <c r="G116" i="15" s="1"/>
  <c r="G114" i="15" s="1"/>
  <c r="G115" i="15" s="1"/>
  <c r="G72" i="15" s="1"/>
  <c r="G71" i="15" s="1"/>
  <c r="G76" i="15"/>
  <c r="G77" i="15" s="1"/>
  <c r="G30" i="15"/>
  <c r="G29" i="15" s="1"/>
  <c r="I81" i="14"/>
  <c r="I82" i="14"/>
  <c r="I83" i="14"/>
  <c r="G141" i="14"/>
  <c r="I138" i="14"/>
  <c r="K138" i="14" s="1"/>
  <c r="G96" i="14"/>
  <c r="G81" i="14"/>
  <c r="G82" i="14"/>
  <c r="G83" i="14"/>
  <c r="I77" i="14"/>
  <c r="N77" i="14" s="1"/>
  <c r="I75" i="14"/>
  <c r="I16" i="14"/>
  <c r="I20" i="14" s="1"/>
  <c r="I24" i="14" s="1"/>
  <c r="I23" i="14" s="1"/>
  <c r="I30" i="14"/>
  <c r="I29" i="14" s="1"/>
  <c r="I25" i="14"/>
  <c r="I42" i="14"/>
  <c r="I41" i="14" s="1"/>
  <c r="I31" i="14"/>
  <c r="G77" i="14"/>
  <c r="G75" i="14"/>
  <c r="G129" i="14"/>
  <c r="G130" i="14" s="1"/>
  <c r="G16" i="14"/>
  <c r="G20" i="14" s="1"/>
  <c r="G24" i="14" s="1"/>
  <c r="G23" i="14" s="1"/>
  <c r="H49" i="14"/>
  <c r="H48" i="14" s="1"/>
  <c r="I48" i="14"/>
  <c r="I45" i="14"/>
  <c r="J33" i="11" s="1"/>
  <c r="D119" i="21" s="1"/>
  <c r="H45" i="14"/>
  <c r="O133" i="14"/>
  <c r="G25" i="13"/>
  <c r="G30" i="13"/>
  <c r="G29" i="13" s="1"/>
  <c r="I25" i="13"/>
  <c r="I30" i="13"/>
  <c r="I29" i="13" s="1"/>
  <c r="O132" i="13"/>
  <c r="O126" i="13"/>
  <c r="O127" i="13" s="1"/>
  <c r="O69" i="13"/>
  <c r="G49" i="13"/>
  <c r="F41" i="13"/>
  <c r="I54" i="13"/>
  <c r="I81" i="13"/>
  <c r="I83" i="13"/>
  <c r="I82" i="13"/>
  <c r="G42" i="13"/>
  <c r="G41" i="13" s="1"/>
  <c r="G31" i="13"/>
  <c r="G24" i="13"/>
  <c r="G23" i="13" s="1"/>
  <c r="I77" i="13"/>
  <c r="I75" i="13"/>
  <c r="AA127" i="15" l="1"/>
  <c r="AA119" i="15"/>
  <c r="N77" i="13"/>
  <c r="T77" i="13"/>
  <c r="O76" i="13"/>
  <c r="DE77" i="13"/>
  <c r="CW77" i="13"/>
  <c r="CV25" i="13"/>
  <c r="DB26" i="13"/>
  <c r="CV30" i="13"/>
  <c r="CV29" i="13" s="1"/>
  <c r="CV24" i="13"/>
  <c r="CV23" i="13" s="1"/>
  <c r="Z30" i="13"/>
  <c r="Z29" i="13" s="1"/>
  <c r="Z25" i="13"/>
  <c r="AA106" i="15"/>
  <c r="AA52" i="15"/>
  <c r="AA123" i="15"/>
  <c r="AA105" i="15"/>
  <c r="AA122" i="15"/>
  <c r="AA120" i="15"/>
  <c r="AG66" i="15"/>
  <c r="AM66" i="15" s="1"/>
  <c r="AS66" i="15" s="1"/>
  <c r="AY66" i="15" s="1"/>
  <c r="BE66" i="15" s="1"/>
  <c r="BK66" i="15" s="1"/>
  <c r="AA65" i="15"/>
  <c r="AA60" i="15" s="1"/>
  <c r="AA121" i="15"/>
  <c r="AA133" i="15"/>
  <c r="AA142" i="15" s="1"/>
  <c r="AA130" i="15"/>
  <c r="Z24" i="13"/>
  <c r="Z23" i="13" s="1"/>
  <c r="CY71" i="14"/>
  <c r="CY75" i="14"/>
  <c r="CY80" i="14"/>
  <c r="CY111" i="14"/>
  <c r="CY112" i="14" s="1"/>
  <c r="CY108" i="14"/>
  <c r="CY109" i="14" s="1"/>
  <c r="W26" i="14"/>
  <c r="U24" i="14"/>
  <c r="U23" i="14" s="1"/>
  <c r="U30" i="14"/>
  <c r="U29" i="14" s="1"/>
  <c r="U25" i="14"/>
  <c r="X26" i="14"/>
  <c r="V25" i="14"/>
  <c r="V30" i="14"/>
  <c r="V29" i="14" s="1"/>
  <c r="V24" i="14"/>
  <c r="V23" i="14" s="1"/>
  <c r="AF26" i="13"/>
  <c r="AF24" i="13" s="1"/>
  <c r="AF23" i="13" s="1"/>
  <c r="AD30" i="13"/>
  <c r="AD29" i="13" s="1"/>
  <c r="AD25" i="13"/>
  <c r="AD24" i="13"/>
  <c r="AD23" i="13" s="1"/>
  <c r="CW75" i="15"/>
  <c r="CW71" i="15"/>
  <c r="CW80" i="15"/>
  <c r="U117" i="15"/>
  <c r="U116" i="15" s="1"/>
  <c r="U114" i="15" s="1"/>
  <c r="U115" i="15" s="1"/>
  <c r="U71" i="15" s="1"/>
  <c r="AM77" i="3"/>
  <c r="DE76" i="15"/>
  <c r="DE74" i="15" s="1"/>
  <c r="AI66" i="15"/>
  <c r="AO66" i="15" s="1"/>
  <c r="AU66" i="15" s="1"/>
  <c r="BA66" i="15" s="1"/>
  <c r="BG66" i="15" s="1"/>
  <c r="AC96" i="15"/>
  <c r="CQ82" i="14"/>
  <c r="CQ81" i="14"/>
  <c r="CQ83" i="14"/>
  <c r="CQ111" i="14"/>
  <c r="CQ112" i="14" s="1"/>
  <c r="CQ108" i="14"/>
  <c r="CQ109" i="14" s="1"/>
  <c r="CQ56" i="14"/>
  <c r="CP8" i="14"/>
  <c r="W117" i="15"/>
  <c r="W116" i="15" s="1"/>
  <c r="W114" i="15" s="1"/>
  <c r="W115" i="15" s="1"/>
  <c r="AA71" i="15"/>
  <c r="AA86" i="15"/>
  <c r="W71" i="15"/>
  <c r="W86" i="15"/>
  <c r="W60" i="15"/>
  <c r="W59" i="15"/>
  <c r="AC119" i="15"/>
  <c r="AC123" i="15"/>
  <c r="AC122" i="15"/>
  <c r="AC120" i="15"/>
  <c r="AC106" i="15"/>
  <c r="AC65" i="15"/>
  <c r="AC52" i="15"/>
  <c r="AC105" i="15"/>
  <c r="AC121" i="15"/>
  <c r="AC127" i="15"/>
  <c r="AC133" i="15"/>
  <c r="AC142" i="15" s="1"/>
  <c r="AC130" i="15"/>
  <c r="S96" i="15"/>
  <c r="Y66" i="15"/>
  <c r="Y96" i="15" s="1"/>
  <c r="O30" i="15"/>
  <c r="U86" i="15"/>
  <c r="U87" i="15" s="1"/>
  <c r="AB30" i="13"/>
  <c r="AB29" i="13" s="1"/>
  <c r="AB25" i="13"/>
  <c r="AB24" i="13"/>
  <c r="AB23" i="13" s="1"/>
  <c r="T8" i="15"/>
  <c r="U56" i="15"/>
  <c r="U111" i="15"/>
  <c r="U112" i="15" s="1"/>
  <c r="U108" i="15"/>
  <c r="U109" i="15" s="1"/>
  <c r="BR22" i="27"/>
  <c r="CH22" i="27"/>
  <c r="BZ22" i="27"/>
  <c r="BB22" i="27"/>
  <c r="BJ22" i="27"/>
  <c r="CP22" i="27"/>
  <c r="O68" i="13"/>
  <c r="O50" i="14"/>
  <c r="N24" i="14"/>
  <c r="O80" i="14"/>
  <c r="O108" i="14"/>
  <c r="O109" i="14" s="1"/>
  <c r="O71" i="14"/>
  <c r="O75" i="14"/>
  <c r="O111" i="14"/>
  <c r="O112" i="14" s="1"/>
  <c r="S53" i="13"/>
  <c r="G45" i="14"/>
  <c r="I33" i="11" s="1"/>
  <c r="I35" i="11" s="1"/>
  <c r="I36" i="11" s="1"/>
  <c r="S50" i="13"/>
  <c r="S54" i="13" s="1"/>
  <c r="S41" i="13" s="1"/>
  <c r="S68" i="13"/>
  <c r="O24" i="14"/>
  <c r="O23" i="14" s="1"/>
  <c r="N29" i="14"/>
  <c r="U26" i="13"/>
  <c r="W26" i="13" s="1"/>
  <c r="BZ22" i="22"/>
  <c r="BB22" i="22"/>
  <c r="CP22" i="22"/>
  <c r="BJ22" i="22"/>
  <c r="CH22" i="22"/>
  <c r="BR22" i="22"/>
  <c r="N119" i="21"/>
  <c r="F73" i="21"/>
  <c r="F42" i="21"/>
  <c r="P73" i="21"/>
  <c r="P42" i="21"/>
  <c r="F11" i="21"/>
  <c r="T25" i="13"/>
  <c r="T24" i="13"/>
  <c r="T23" i="13" s="1"/>
  <c r="T30" i="13"/>
  <c r="T29" i="13" s="1"/>
  <c r="O53" i="13"/>
  <c r="Q82" i="13"/>
  <c r="Q81" i="13"/>
  <c r="Q83" i="13"/>
  <c r="Q84" i="13" s="1"/>
  <c r="O25" i="15"/>
  <c r="Q117" i="15"/>
  <c r="Q116" i="15" s="1"/>
  <c r="Q114" i="15" s="1"/>
  <c r="Q115" i="15" s="1"/>
  <c r="S130" i="15"/>
  <c r="F44" i="15"/>
  <c r="F43" i="15" s="1"/>
  <c r="S133" i="15"/>
  <c r="S142" i="15" s="1"/>
  <c r="K137" i="15"/>
  <c r="K141" i="15" s="1"/>
  <c r="K142" i="15" s="1"/>
  <c r="I141" i="15"/>
  <c r="I142" i="15" s="1"/>
  <c r="I86" i="15"/>
  <c r="I89" i="15" s="1"/>
  <c r="P35" i="11"/>
  <c r="E121" i="21" s="1"/>
  <c r="S127" i="15"/>
  <c r="O35" i="11"/>
  <c r="O36" i="11" s="1"/>
  <c r="F19" i="11"/>
  <c r="O30" i="13"/>
  <c r="N24" i="13"/>
  <c r="N23" i="13" s="1"/>
  <c r="N29" i="15"/>
  <c r="N24" i="15"/>
  <c r="S23" i="15"/>
  <c r="O20" i="15"/>
  <c r="O20" i="13"/>
  <c r="L19" i="11"/>
  <c r="J35" i="11"/>
  <c r="D121" i="21" s="1"/>
  <c r="O53" i="14"/>
  <c r="O25" i="13"/>
  <c r="S23" i="13"/>
  <c r="O68" i="14"/>
  <c r="L14" i="11"/>
  <c r="O25" i="14"/>
  <c r="O30" i="14"/>
  <c r="K141" i="14"/>
  <c r="K142" i="14" s="1"/>
  <c r="M138" i="14"/>
  <c r="K96" i="14"/>
  <c r="K98" i="14" s="1"/>
  <c r="S96" i="14"/>
  <c r="S141" i="14"/>
  <c r="Q53" i="13"/>
  <c r="F14" i="11"/>
  <c r="Q68" i="13"/>
  <c r="Q50" i="13"/>
  <c r="Q54" i="13" s="1"/>
  <c r="P41" i="13" s="1"/>
  <c r="S119" i="15"/>
  <c r="S120" i="15"/>
  <c r="S65" i="15"/>
  <c r="S60" i="15" s="1"/>
  <c r="S108" i="15" s="1"/>
  <c r="S109" i="15" s="1"/>
  <c r="S121" i="15"/>
  <c r="S122" i="15"/>
  <c r="S52" i="15"/>
  <c r="S105" i="15"/>
  <c r="S123" i="15"/>
  <c r="S106" i="15"/>
  <c r="M138" i="15"/>
  <c r="P8" i="15"/>
  <c r="Q56" i="15"/>
  <c r="Q59" i="15"/>
  <c r="H44" i="15"/>
  <c r="H43" i="15" s="1"/>
  <c r="G86" i="13"/>
  <c r="G87" i="13" s="1"/>
  <c r="M41" i="13"/>
  <c r="L41" i="13"/>
  <c r="M49" i="13"/>
  <c r="L49" i="13" s="1"/>
  <c r="L48" i="13" s="1"/>
  <c r="M84" i="13"/>
  <c r="M86" i="13"/>
  <c r="K86" i="13"/>
  <c r="K84" i="13"/>
  <c r="J41" i="13"/>
  <c r="K41" i="13"/>
  <c r="K49" i="13"/>
  <c r="S75" i="15"/>
  <c r="S80" i="15"/>
  <c r="Q75" i="15"/>
  <c r="Q108" i="15"/>
  <c r="Q109" i="15" s="1"/>
  <c r="Q111" i="15"/>
  <c r="Q112" i="15" s="1"/>
  <c r="Q80" i="15"/>
  <c r="S75" i="14"/>
  <c r="S71" i="14"/>
  <c r="S80" i="14"/>
  <c r="S133" i="14"/>
  <c r="Q75" i="14"/>
  <c r="Q71" i="14"/>
  <c r="Q80" i="14"/>
  <c r="Q111" i="14"/>
  <c r="Q112" i="14" s="1"/>
  <c r="Q108" i="14"/>
  <c r="Q109" i="14" s="1"/>
  <c r="Q133" i="14"/>
  <c r="Q142" i="14" s="1"/>
  <c r="Q54" i="14"/>
  <c r="Q49" i="14" s="1"/>
  <c r="S75" i="13"/>
  <c r="S80" i="13"/>
  <c r="S71" i="13"/>
  <c r="S108" i="13"/>
  <c r="S109" i="13" s="1"/>
  <c r="S111" i="13"/>
  <c r="S112" i="13" s="1"/>
  <c r="I44" i="15"/>
  <c r="I43" i="15" s="1"/>
  <c r="G44" i="15"/>
  <c r="G43" i="15" s="1"/>
  <c r="H44" i="14"/>
  <c r="H43" i="14" s="1"/>
  <c r="F45" i="14"/>
  <c r="F44" i="14" s="1"/>
  <c r="F43" i="14" s="1"/>
  <c r="F49" i="14"/>
  <c r="F48" i="14" s="1"/>
  <c r="I44" i="14"/>
  <c r="I43" i="14" s="1"/>
  <c r="G142" i="14"/>
  <c r="I96" i="15"/>
  <c r="G84" i="15"/>
  <c r="G86" i="15"/>
  <c r="O56" i="15"/>
  <c r="N8" i="15"/>
  <c r="G142" i="15"/>
  <c r="O133" i="15"/>
  <c r="I84" i="14"/>
  <c r="I86" i="14"/>
  <c r="I141" i="14"/>
  <c r="I142" i="14" s="1"/>
  <c r="I96" i="14"/>
  <c r="G86" i="14"/>
  <c r="G84" i="14"/>
  <c r="O142" i="14"/>
  <c r="I86" i="13"/>
  <c r="I84" i="13"/>
  <c r="O54" i="13"/>
  <c r="O49" i="13" s="1"/>
  <c r="H41" i="13"/>
  <c r="I41" i="13"/>
  <c r="G45" i="13"/>
  <c r="G44" i="13" s="1"/>
  <c r="G48" i="13"/>
  <c r="F49" i="13"/>
  <c r="F48" i="13" s="1"/>
  <c r="F45" i="13"/>
  <c r="F44" i="13" s="1"/>
  <c r="F43" i="13" s="1"/>
  <c r="O75" i="13"/>
  <c r="O71" i="13"/>
  <c r="O111" i="13"/>
  <c r="O112" i="13" s="1"/>
  <c r="O108" i="13"/>
  <c r="O109" i="13" s="1"/>
  <c r="O80" i="13"/>
  <c r="O148" i="13" s="1"/>
  <c r="I49" i="13"/>
  <c r="O133" i="13"/>
  <c r="O142" i="13" s="1"/>
  <c r="BQ52" i="15" l="1"/>
  <c r="BQ106" i="15"/>
  <c r="BQ105" i="15"/>
  <c r="BQ122" i="15"/>
  <c r="BQ65" i="15"/>
  <c r="BQ119" i="15"/>
  <c r="BQ120" i="15"/>
  <c r="BQ121" i="15"/>
  <c r="BQ123" i="15"/>
  <c r="BQ96" i="15"/>
  <c r="BQ98" i="15" s="1"/>
  <c r="BQ127" i="15"/>
  <c r="BQ130" i="15"/>
  <c r="BQ133" i="15"/>
  <c r="BQ142" i="15" s="1"/>
  <c r="BM65" i="15"/>
  <c r="BM52" i="15"/>
  <c r="BM122" i="15"/>
  <c r="BM119" i="15"/>
  <c r="BM106" i="15"/>
  <c r="BM105" i="15"/>
  <c r="BM123" i="15"/>
  <c r="BM120" i="15"/>
  <c r="BM121" i="15"/>
  <c r="BM96" i="15"/>
  <c r="BM98" i="15" s="1"/>
  <c r="BM133" i="15"/>
  <c r="BM142" i="15" s="1"/>
  <c r="BM127" i="15"/>
  <c r="BM130" i="15"/>
  <c r="BK119" i="15"/>
  <c r="BK122" i="15"/>
  <c r="BK121" i="15"/>
  <c r="BK120" i="15"/>
  <c r="BK96" i="15"/>
  <c r="BK98" i="15" s="1"/>
  <c r="BK52" i="15"/>
  <c r="BK123" i="15"/>
  <c r="BK105" i="15"/>
  <c r="BK106" i="15"/>
  <c r="BK65" i="15"/>
  <c r="BK133" i="15"/>
  <c r="BK142" i="15" s="1"/>
  <c r="BK127" i="15"/>
  <c r="BK130" i="15"/>
  <c r="BG96" i="15"/>
  <c r="BG98" i="15" s="1"/>
  <c r="BG52" i="15"/>
  <c r="BG65" i="15"/>
  <c r="BG106" i="15"/>
  <c r="BG122" i="15"/>
  <c r="BG121" i="15"/>
  <c r="BG119" i="15"/>
  <c r="BG120" i="15"/>
  <c r="BG123" i="15"/>
  <c r="BG105" i="15"/>
  <c r="BG130" i="15"/>
  <c r="BG133" i="15"/>
  <c r="BG142" i="15" s="1"/>
  <c r="BG127" i="15"/>
  <c r="BE121" i="15"/>
  <c r="BE123" i="15"/>
  <c r="BE119" i="15"/>
  <c r="BE122" i="15"/>
  <c r="BE106" i="15"/>
  <c r="BE105" i="15"/>
  <c r="BE52" i="15"/>
  <c r="BE96" i="15"/>
  <c r="BE98" i="15" s="1"/>
  <c r="BE120" i="15"/>
  <c r="BE65" i="15"/>
  <c r="BE133" i="15"/>
  <c r="BE142" i="15" s="1"/>
  <c r="BE127" i="15"/>
  <c r="BE130" i="15"/>
  <c r="AY120" i="15"/>
  <c r="AY122" i="15"/>
  <c r="AY65" i="15"/>
  <c r="AY121" i="15"/>
  <c r="AY52" i="15"/>
  <c r="AY106" i="15"/>
  <c r="AY123" i="15"/>
  <c r="AY96" i="15"/>
  <c r="AY98" i="15" s="1"/>
  <c r="AY105" i="15"/>
  <c r="AY119" i="15"/>
  <c r="AY127" i="15"/>
  <c r="AY133" i="15"/>
  <c r="AY142" i="15" s="1"/>
  <c r="AY130" i="15"/>
  <c r="AG105" i="15"/>
  <c r="AG123" i="15"/>
  <c r="BA121" i="15"/>
  <c r="BA122" i="15"/>
  <c r="BA123" i="15"/>
  <c r="BA52" i="15"/>
  <c r="BA96" i="15"/>
  <c r="BA98" i="15" s="1"/>
  <c r="BA106" i="15"/>
  <c r="BA120" i="15"/>
  <c r="BA105" i="15"/>
  <c r="BA119" i="15"/>
  <c r="BA65" i="15"/>
  <c r="BA133" i="15"/>
  <c r="BA142" i="15" s="1"/>
  <c r="BA130" i="15"/>
  <c r="BA127" i="15"/>
  <c r="AG120" i="15"/>
  <c r="AG119" i="15"/>
  <c r="AG96" i="15"/>
  <c r="AG133" i="15"/>
  <c r="AG142" i="15" s="1"/>
  <c r="AG52" i="15"/>
  <c r="AG122" i="15"/>
  <c r="AG65" i="15"/>
  <c r="AG59" i="15" s="1"/>
  <c r="AG106" i="15"/>
  <c r="AS119" i="15"/>
  <c r="AS106" i="15"/>
  <c r="AS96" i="15"/>
  <c r="AS98" i="15" s="1"/>
  <c r="AS65" i="15"/>
  <c r="AS123" i="15"/>
  <c r="AS121" i="15"/>
  <c r="AS120" i="15"/>
  <c r="AS122" i="15"/>
  <c r="AS105" i="15"/>
  <c r="AS52" i="15"/>
  <c r="AS133" i="15"/>
  <c r="AS142" i="15" s="1"/>
  <c r="AS130" i="15"/>
  <c r="AS127" i="15"/>
  <c r="AU121" i="15"/>
  <c r="AU123" i="15"/>
  <c r="AU105" i="15"/>
  <c r="AU96" i="15"/>
  <c r="AU98" i="15" s="1"/>
  <c r="AU65" i="15"/>
  <c r="AU52" i="15"/>
  <c r="AU120" i="15"/>
  <c r="AU122" i="15"/>
  <c r="AU106" i="15"/>
  <c r="AU119" i="15"/>
  <c r="AU133" i="15"/>
  <c r="AU142" i="15" s="1"/>
  <c r="AU130" i="15"/>
  <c r="AU127" i="15"/>
  <c r="CY66" i="15"/>
  <c r="DE66" i="15" s="1"/>
  <c r="DE105" i="15" s="1"/>
  <c r="AG130" i="15"/>
  <c r="AG127" i="15"/>
  <c r="AA59" i="15"/>
  <c r="AG121" i="15"/>
  <c r="AM121" i="15"/>
  <c r="AM65" i="15"/>
  <c r="AM123" i="15"/>
  <c r="AM122" i="15"/>
  <c r="AM119" i="15"/>
  <c r="AM106" i="15"/>
  <c r="AM52" i="15"/>
  <c r="AM120" i="15"/>
  <c r="AM105" i="15"/>
  <c r="AM96" i="15"/>
  <c r="AM98" i="15" s="1"/>
  <c r="AM133" i="15"/>
  <c r="AM142" i="15" s="1"/>
  <c r="AM127" i="15"/>
  <c r="AM130" i="15"/>
  <c r="AO122" i="15"/>
  <c r="AO65" i="15"/>
  <c r="AO120" i="15"/>
  <c r="AO123" i="15"/>
  <c r="AO52" i="15"/>
  <c r="AO121" i="15"/>
  <c r="AO119" i="15"/>
  <c r="AO106" i="15"/>
  <c r="AO105" i="15"/>
  <c r="AO96" i="15"/>
  <c r="AO98" i="15" s="1"/>
  <c r="AO133" i="15"/>
  <c r="AO142" i="15" s="1"/>
  <c r="AO130" i="15"/>
  <c r="AO127" i="15"/>
  <c r="AA117" i="15"/>
  <c r="AA116" i="15" s="1"/>
  <c r="AA114" i="15" s="1"/>
  <c r="AA115" i="15" s="1"/>
  <c r="DE76" i="13"/>
  <c r="DE74" i="13" s="1"/>
  <c r="DD77" i="13"/>
  <c r="DB30" i="13"/>
  <c r="DB29" i="13" s="1"/>
  <c r="DB24" i="13"/>
  <c r="DB23" i="13" s="1"/>
  <c r="DB25" i="13"/>
  <c r="AF30" i="13"/>
  <c r="AF29" i="13" s="1"/>
  <c r="CX26" i="13"/>
  <c r="DB77" i="13"/>
  <c r="CW76" i="13"/>
  <c r="CW74" i="13" s="1"/>
  <c r="CV77" i="13"/>
  <c r="AF25" i="13"/>
  <c r="Z26" i="14"/>
  <c r="X25" i="14"/>
  <c r="X30" i="14"/>
  <c r="X29" i="14" s="1"/>
  <c r="X24" i="14"/>
  <c r="X23" i="14" s="1"/>
  <c r="Y26" i="14"/>
  <c r="W25" i="14"/>
  <c r="W30" i="14"/>
  <c r="W29" i="14" s="1"/>
  <c r="W24" i="14"/>
  <c r="W23" i="14" s="1"/>
  <c r="CY81" i="14"/>
  <c r="CY83" i="14"/>
  <c r="CY82" i="14"/>
  <c r="Y26" i="13"/>
  <c r="W24" i="13"/>
  <c r="W23" i="13" s="1"/>
  <c r="W25" i="13"/>
  <c r="W30" i="13"/>
  <c r="W29" i="13" s="1"/>
  <c r="AH26" i="13"/>
  <c r="DE71" i="15"/>
  <c r="DE75" i="15"/>
  <c r="DE80" i="15"/>
  <c r="CW81" i="15"/>
  <c r="CW83" i="15"/>
  <c r="CW82" i="15"/>
  <c r="AI119" i="15"/>
  <c r="AI65" i="15"/>
  <c r="AI121" i="15"/>
  <c r="AI123" i="15"/>
  <c r="AI122" i="15"/>
  <c r="AI52" i="15"/>
  <c r="DA66" i="15"/>
  <c r="DG66" i="15" s="1"/>
  <c r="AI120" i="15"/>
  <c r="AI106" i="15"/>
  <c r="AI96" i="15"/>
  <c r="AI98" i="15" s="1"/>
  <c r="AI105" i="15"/>
  <c r="AI130" i="15"/>
  <c r="AI133" i="15"/>
  <c r="AI142" i="15" s="1"/>
  <c r="AI127" i="15"/>
  <c r="Q72" i="15"/>
  <c r="Q71" i="15" s="1"/>
  <c r="CQ68" i="14"/>
  <c r="CQ63" i="14" s="1"/>
  <c r="CQ50" i="14"/>
  <c r="CQ53" i="14"/>
  <c r="CQ86" i="14"/>
  <c r="CQ84" i="14"/>
  <c r="AC60" i="15"/>
  <c r="AC59" i="15"/>
  <c r="W56" i="15"/>
  <c r="V8" i="15"/>
  <c r="W111" i="15"/>
  <c r="W112" i="15" s="1"/>
  <c r="W108" i="15"/>
  <c r="W109" i="15" s="1"/>
  <c r="Y119" i="15"/>
  <c r="Y120" i="15"/>
  <c r="Y65" i="15"/>
  <c r="AE66" i="15"/>
  <c r="AK66" i="15" s="1"/>
  <c r="AQ66" i="15" s="1"/>
  <c r="AW66" i="15" s="1"/>
  <c r="Y52" i="15"/>
  <c r="Y121" i="15"/>
  <c r="Y122" i="15"/>
  <c r="Y106" i="15"/>
  <c r="Y105" i="15"/>
  <c r="Y123" i="15"/>
  <c r="Y127" i="15"/>
  <c r="Y130" i="15"/>
  <c r="Y133" i="15"/>
  <c r="Y142" i="15" s="1"/>
  <c r="W87" i="15"/>
  <c r="W89" i="15"/>
  <c r="AA87" i="15"/>
  <c r="AA89" i="15"/>
  <c r="AC117" i="15"/>
  <c r="AC116" i="15" s="1"/>
  <c r="AC114" i="15" s="1"/>
  <c r="AC115" i="15" s="1"/>
  <c r="Z8" i="15"/>
  <c r="AA111" i="15"/>
  <c r="AA112" i="15" s="1"/>
  <c r="AA108" i="15"/>
  <c r="AA109" i="15" s="1"/>
  <c r="AA56" i="15"/>
  <c r="O80" i="15"/>
  <c r="O83" i="15" s="1"/>
  <c r="O29" i="15"/>
  <c r="U89" i="15"/>
  <c r="U90" i="15" s="1"/>
  <c r="U68" i="15"/>
  <c r="U50" i="15"/>
  <c r="U53" i="15"/>
  <c r="CT22" i="27"/>
  <c r="BN22" i="27"/>
  <c r="CD22" i="27"/>
  <c r="CL22" i="27"/>
  <c r="CX22" i="27"/>
  <c r="BF22" i="27"/>
  <c r="BV22" i="27"/>
  <c r="N23" i="14"/>
  <c r="O54" i="14"/>
  <c r="O49" i="14" s="1"/>
  <c r="O82" i="14"/>
  <c r="O81" i="14"/>
  <c r="O83" i="14"/>
  <c r="G44" i="14"/>
  <c r="G43" i="14" s="1"/>
  <c r="R41" i="13"/>
  <c r="S49" i="13"/>
  <c r="R45" i="13" s="1"/>
  <c r="O63" i="14"/>
  <c r="O29" i="14"/>
  <c r="CL22" i="22"/>
  <c r="BN22" i="22"/>
  <c r="CT22" i="22"/>
  <c r="BF22" i="22"/>
  <c r="CX22" i="22"/>
  <c r="BV22" i="22"/>
  <c r="CD22" i="22"/>
  <c r="F104" i="21"/>
  <c r="J73" i="21"/>
  <c r="E122" i="21"/>
  <c r="O122" i="21" s="1"/>
  <c r="O121" i="21"/>
  <c r="F15" i="11"/>
  <c r="F23" i="11" s="1"/>
  <c r="F26" i="11" s="1"/>
  <c r="F29" i="11" s="1"/>
  <c r="C70" i="21"/>
  <c r="C39" i="21"/>
  <c r="N121" i="21"/>
  <c r="D122" i="21"/>
  <c r="N122" i="21" s="1"/>
  <c r="L15" i="11"/>
  <c r="L23" i="11" s="1"/>
  <c r="L26" i="11" s="1"/>
  <c r="L29" i="11" s="1"/>
  <c r="D70" i="21"/>
  <c r="D39" i="21"/>
  <c r="P104" i="21"/>
  <c r="T73" i="21"/>
  <c r="U30" i="13"/>
  <c r="U29" i="13" s="1"/>
  <c r="U25" i="13"/>
  <c r="U24" i="13"/>
  <c r="U23" i="13" s="1"/>
  <c r="Q86" i="13"/>
  <c r="Q87" i="13" s="1"/>
  <c r="M10" i="16"/>
  <c r="Q49" i="13"/>
  <c r="Q45" i="13" s="1"/>
  <c r="O29" i="13"/>
  <c r="P37" i="11"/>
  <c r="I87" i="15"/>
  <c r="S111" i="15"/>
  <c r="S112" i="15" s="1"/>
  <c r="M137" i="15"/>
  <c r="M141" i="15" s="1"/>
  <c r="M142" i="15" s="1"/>
  <c r="O111" i="15"/>
  <c r="O112" i="15" s="1"/>
  <c r="P36" i="11"/>
  <c r="O108" i="15"/>
  <c r="O109" i="15" s="1"/>
  <c r="O71" i="15"/>
  <c r="O75" i="15"/>
  <c r="S117" i="15"/>
  <c r="S116" i="15" s="1"/>
  <c r="S114" i="15" s="1"/>
  <c r="S115" i="15" s="1"/>
  <c r="K96" i="15"/>
  <c r="K98" i="15" s="1"/>
  <c r="K99" i="15" s="1"/>
  <c r="Q41" i="13"/>
  <c r="O24" i="13"/>
  <c r="N23" i="15"/>
  <c r="O24" i="15"/>
  <c r="J36" i="11"/>
  <c r="S142" i="14"/>
  <c r="J37" i="11"/>
  <c r="K144" i="14"/>
  <c r="K99" i="14"/>
  <c r="M141" i="14"/>
  <c r="M142" i="14" s="1"/>
  <c r="M96" i="14"/>
  <c r="M98" i="14" s="1"/>
  <c r="Q50" i="15"/>
  <c r="Q68" i="15"/>
  <c r="Q53" i="15"/>
  <c r="R8" i="15"/>
  <c r="S56" i="15"/>
  <c r="S59" i="15"/>
  <c r="R28" i="11"/>
  <c r="G89" i="13"/>
  <c r="G90" i="13" s="1"/>
  <c r="M48" i="13"/>
  <c r="L45" i="13"/>
  <c r="M45" i="13"/>
  <c r="M89" i="13"/>
  <c r="M87" i="13"/>
  <c r="J45" i="13"/>
  <c r="J44" i="13" s="1"/>
  <c r="J43" i="13" s="1"/>
  <c r="J49" i="13"/>
  <c r="J48" i="13" s="1"/>
  <c r="K45" i="13"/>
  <c r="K44" i="13" s="1"/>
  <c r="K48" i="13"/>
  <c r="K87" i="13"/>
  <c r="K89" i="13"/>
  <c r="S81" i="15"/>
  <c r="S83" i="15"/>
  <c r="S82" i="15"/>
  <c r="Q81" i="15"/>
  <c r="Q83" i="15"/>
  <c r="Q82" i="15"/>
  <c r="S82" i="14"/>
  <c r="S81" i="14"/>
  <c r="S83" i="14"/>
  <c r="Q45" i="14"/>
  <c r="P49" i="14"/>
  <c r="P48" i="14" s="1"/>
  <c r="P45" i="14"/>
  <c r="Q48" i="14"/>
  <c r="Q41" i="14"/>
  <c r="P41" i="14"/>
  <c r="Q81" i="14"/>
  <c r="Q83" i="14"/>
  <c r="Q82" i="14"/>
  <c r="S81" i="13"/>
  <c r="S83" i="13"/>
  <c r="S82" i="13"/>
  <c r="O68" i="15"/>
  <c r="O50" i="15"/>
  <c r="O53" i="15"/>
  <c r="G89" i="15"/>
  <c r="G87" i="15"/>
  <c r="O142" i="15"/>
  <c r="N181" i="15"/>
  <c r="I90" i="15"/>
  <c r="I93" i="15"/>
  <c r="G87" i="14"/>
  <c r="G89" i="14"/>
  <c r="J47" i="11"/>
  <c r="J51" i="11" s="1"/>
  <c r="I87" i="14"/>
  <c r="I89" i="14"/>
  <c r="O81" i="13"/>
  <c r="O83" i="13"/>
  <c r="O82" i="13"/>
  <c r="I87" i="13"/>
  <c r="I89" i="13"/>
  <c r="N49" i="13"/>
  <c r="N48" i="13" s="1"/>
  <c r="O48" i="13"/>
  <c r="M9" i="16" s="1"/>
  <c r="N45" i="13"/>
  <c r="O45" i="13"/>
  <c r="E33" i="11" s="1"/>
  <c r="C36" i="22" s="1"/>
  <c r="O41" i="13"/>
  <c r="N41" i="13"/>
  <c r="H49" i="13"/>
  <c r="H48" i="13" s="1"/>
  <c r="I48" i="13"/>
  <c r="H45" i="13"/>
  <c r="H44" i="13" s="1"/>
  <c r="H43" i="13" s="1"/>
  <c r="I45" i="13"/>
  <c r="G43" i="13"/>
  <c r="G47" i="13"/>
  <c r="BQ144" i="15" l="1"/>
  <c r="BQ99" i="15"/>
  <c r="BQ124" i="15" s="1"/>
  <c r="BQ60" i="15"/>
  <c r="BQ59" i="15"/>
  <c r="BQ117" i="15"/>
  <c r="BQ116" i="15" s="1"/>
  <c r="BQ114" i="15" s="1"/>
  <c r="BQ115" i="15" s="1"/>
  <c r="BM144" i="15"/>
  <c r="BM99" i="15"/>
  <c r="BM124" i="15" s="1"/>
  <c r="BM117" i="15"/>
  <c r="BM116" i="15" s="1"/>
  <c r="BM114" i="15" s="1"/>
  <c r="BM115" i="15" s="1"/>
  <c r="BM60" i="15"/>
  <c r="BM59" i="15"/>
  <c r="BK60" i="15"/>
  <c r="BK59" i="15"/>
  <c r="BK144" i="15"/>
  <c r="BK99" i="15"/>
  <c r="BK124" i="15" s="1"/>
  <c r="BK117" i="15"/>
  <c r="BK116" i="15" s="1"/>
  <c r="BK114" i="15" s="1"/>
  <c r="BK115" i="15" s="1"/>
  <c r="BG117" i="15"/>
  <c r="BG116" i="15" s="1"/>
  <c r="BG114" i="15" s="1"/>
  <c r="BG115" i="15" s="1"/>
  <c r="BG60" i="15"/>
  <c r="BG59" i="15"/>
  <c r="BG99" i="15"/>
  <c r="BG124" i="15" s="1"/>
  <c r="BG144" i="15"/>
  <c r="BE60" i="15"/>
  <c r="BE59" i="15"/>
  <c r="BE144" i="15"/>
  <c r="BE99" i="15"/>
  <c r="BE124" i="15" s="1"/>
  <c r="AY117" i="15"/>
  <c r="AY116" i="15" s="1"/>
  <c r="AY114" i="15" s="1"/>
  <c r="AY115" i="15" s="1"/>
  <c r="BE117" i="15"/>
  <c r="BE116" i="15" s="1"/>
  <c r="BE114" i="15" s="1"/>
  <c r="BE115" i="15" s="1"/>
  <c r="AG117" i="15"/>
  <c r="AG116" i="15" s="1"/>
  <c r="AG114" i="15" s="1"/>
  <c r="AG115" i="15" s="1"/>
  <c r="DE96" i="15"/>
  <c r="DE52" i="15"/>
  <c r="AW106" i="15"/>
  <c r="BC66" i="15"/>
  <c r="BI66" i="15" s="1"/>
  <c r="AW123" i="15"/>
  <c r="AW122" i="15"/>
  <c r="AW121" i="15"/>
  <c r="AW119" i="15"/>
  <c r="AW52" i="15"/>
  <c r="AW96" i="15"/>
  <c r="AW98" i="15" s="1"/>
  <c r="AW120" i="15"/>
  <c r="AW105" i="15"/>
  <c r="AW65" i="15"/>
  <c r="AW133" i="15"/>
  <c r="AW142" i="15" s="1"/>
  <c r="AW130" i="15"/>
  <c r="AW127" i="15"/>
  <c r="CY133" i="15"/>
  <c r="CY142" i="15" s="1"/>
  <c r="DE121" i="15"/>
  <c r="CY119" i="15"/>
  <c r="BA59" i="15"/>
  <c r="BA60" i="15"/>
  <c r="CY123" i="15"/>
  <c r="BA117" i="15"/>
  <c r="BA116" i="15" s="1"/>
  <c r="BA114" i="15" s="1"/>
  <c r="BA115" i="15" s="1"/>
  <c r="AY144" i="15"/>
  <c r="AY99" i="15"/>
  <c r="AY124" i="15" s="1"/>
  <c r="CY96" i="15"/>
  <c r="CY98" i="15" s="1"/>
  <c r="CY99" i="15" s="1"/>
  <c r="CY124" i="15" s="1"/>
  <c r="DI66" i="15"/>
  <c r="DI123" i="15" s="1"/>
  <c r="CY106" i="15"/>
  <c r="CY121" i="15"/>
  <c r="DE122" i="15"/>
  <c r="BA144" i="15"/>
  <c r="BA99" i="15"/>
  <c r="BA124" i="15" s="1"/>
  <c r="DE106" i="15"/>
  <c r="AY59" i="15"/>
  <c r="AY60" i="15"/>
  <c r="DE123" i="15"/>
  <c r="AG60" i="15"/>
  <c r="AG111" i="15" s="1"/>
  <c r="AG112" i="15" s="1"/>
  <c r="CY52" i="15"/>
  <c r="DE119" i="15"/>
  <c r="AS117" i="15"/>
  <c r="AS116" i="15" s="1"/>
  <c r="AS114" i="15" s="1"/>
  <c r="AS115" i="15" s="1"/>
  <c r="AQ121" i="15"/>
  <c r="AQ119" i="15"/>
  <c r="AQ122" i="15"/>
  <c r="AQ52" i="15"/>
  <c r="AQ105" i="15"/>
  <c r="AQ120" i="15"/>
  <c r="AQ106" i="15"/>
  <c r="AQ96" i="15"/>
  <c r="AQ98" i="15" s="1"/>
  <c r="AQ123" i="15"/>
  <c r="AQ65" i="15"/>
  <c r="AQ133" i="15"/>
  <c r="AQ142" i="15" s="1"/>
  <c r="AQ130" i="15"/>
  <c r="AQ127" i="15"/>
  <c r="AU117" i="15"/>
  <c r="AU116" i="15" s="1"/>
  <c r="AU114" i="15" s="1"/>
  <c r="AU115" i="15" s="1"/>
  <c r="DE120" i="15"/>
  <c r="CY130" i="15"/>
  <c r="AS60" i="15"/>
  <c r="AS59" i="15"/>
  <c r="CY127" i="15"/>
  <c r="AS99" i="15"/>
  <c r="AS124" i="15" s="1"/>
  <c r="AS144" i="15"/>
  <c r="CY65" i="15"/>
  <c r="CY59" i="15" s="1"/>
  <c r="DE133" i="15"/>
  <c r="DE142" i="15" s="1"/>
  <c r="AM141" i="3" s="1"/>
  <c r="AU60" i="15"/>
  <c r="AU59" i="15"/>
  <c r="AU144" i="15"/>
  <c r="AU99" i="15"/>
  <c r="AU124" i="15" s="1"/>
  <c r="DE65" i="15"/>
  <c r="DE60" i="15" s="1"/>
  <c r="CY120" i="15"/>
  <c r="DE130" i="15"/>
  <c r="CY122" i="15"/>
  <c r="DE127" i="15"/>
  <c r="CY105" i="15"/>
  <c r="AM144" i="15"/>
  <c r="AM99" i="15"/>
  <c r="AM124" i="15" s="1"/>
  <c r="AM117" i="15"/>
  <c r="AM116" i="15" s="1"/>
  <c r="AM114" i="15" s="1"/>
  <c r="AM115" i="15" s="1"/>
  <c r="AO144" i="15"/>
  <c r="AO99" i="15"/>
  <c r="AO124" i="15" s="1"/>
  <c r="AM60" i="15"/>
  <c r="AM59" i="15"/>
  <c r="AO117" i="15"/>
  <c r="AO116" i="15" s="1"/>
  <c r="AO114" i="15" s="1"/>
  <c r="AO115" i="15" s="1"/>
  <c r="AO60" i="15"/>
  <c r="AO59" i="15"/>
  <c r="AJ26" i="13"/>
  <c r="AL26" i="13" s="1"/>
  <c r="AL24" i="13" s="1"/>
  <c r="AL23" i="13" s="1"/>
  <c r="CZ26" i="13"/>
  <c r="DD26" i="13"/>
  <c r="CW71" i="13"/>
  <c r="CW75" i="13"/>
  <c r="CW80" i="13"/>
  <c r="CW111" i="13"/>
  <c r="CW112" i="13" s="1"/>
  <c r="CW108" i="13"/>
  <c r="CW109" i="13" s="1"/>
  <c r="CX30" i="13"/>
  <c r="CX29" i="13" s="1"/>
  <c r="CX25" i="13"/>
  <c r="CX24" i="13"/>
  <c r="CX23" i="13" s="1"/>
  <c r="DE71" i="13"/>
  <c r="DE75" i="13"/>
  <c r="DE80" i="13"/>
  <c r="DE111" i="13"/>
  <c r="DE112" i="13" s="1"/>
  <c r="DE108" i="13"/>
  <c r="DE109" i="13" s="1"/>
  <c r="AK121" i="15"/>
  <c r="AK123" i="15"/>
  <c r="AK122" i="15"/>
  <c r="AK52" i="15"/>
  <c r="AK119" i="15"/>
  <c r="AK120" i="15"/>
  <c r="AK105" i="15"/>
  <c r="AK96" i="15"/>
  <c r="AK98" i="15" s="1"/>
  <c r="AK106" i="15"/>
  <c r="AK65" i="15"/>
  <c r="AK133" i="15"/>
  <c r="AK142" i="15" s="1"/>
  <c r="AK127" i="15"/>
  <c r="AK130" i="15"/>
  <c r="N41" i="14"/>
  <c r="DG96" i="15"/>
  <c r="DG98" i="15" s="1"/>
  <c r="DG65" i="15"/>
  <c r="DG52" i="15"/>
  <c r="DG123" i="15"/>
  <c r="DG122" i="15"/>
  <c r="DG121" i="15"/>
  <c r="DG120" i="15"/>
  <c r="DG119" i="15"/>
  <c r="DG106" i="15"/>
  <c r="DG105" i="15"/>
  <c r="DG127" i="15"/>
  <c r="DG133" i="15"/>
  <c r="DG142" i="15" s="1"/>
  <c r="DG130" i="15"/>
  <c r="DM66" i="15"/>
  <c r="DM120" i="15" s="1"/>
  <c r="DK66" i="15"/>
  <c r="DQ66" i="15" s="1"/>
  <c r="CY84" i="14"/>
  <c r="CY86" i="14"/>
  <c r="AA26" i="14"/>
  <c r="Y30" i="14"/>
  <c r="Y29" i="14" s="1"/>
  <c r="Y25" i="14"/>
  <c r="Y24" i="14"/>
  <c r="Y23" i="14" s="1"/>
  <c r="AB26" i="14"/>
  <c r="Z25" i="14"/>
  <c r="Z30" i="14"/>
  <c r="Z29" i="14" s="1"/>
  <c r="Z24" i="14"/>
  <c r="Z23" i="14" s="1"/>
  <c r="AH25" i="13"/>
  <c r="AH30" i="13"/>
  <c r="AH29" i="13" s="1"/>
  <c r="AH24" i="13"/>
  <c r="AH23" i="13" s="1"/>
  <c r="N26" i="3"/>
  <c r="BG26" i="3" s="1"/>
  <c r="N25" i="3"/>
  <c r="AA26" i="13"/>
  <c r="Y25" i="13"/>
  <c r="Y30" i="13"/>
  <c r="Y29" i="13" s="1"/>
  <c r="Y24" i="13"/>
  <c r="Y23" i="13" s="1"/>
  <c r="DE81" i="15"/>
  <c r="DE82" i="15"/>
  <c r="DE83" i="15"/>
  <c r="CW86" i="15"/>
  <c r="CW84" i="15"/>
  <c r="O41" i="14"/>
  <c r="S72" i="15"/>
  <c r="S71" i="15" s="1"/>
  <c r="AI144" i="15"/>
  <c r="AI99" i="15"/>
  <c r="AI124" i="15" s="1"/>
  <c r="DA106" i="15"/>
  <c r="DA122" i="15"/>
  <c r="DA121" i="15"/>
  <c r="DA119" i="15"/>
  <c r="DA65" i="15"/>
  <c r="DA96" i="15"/>
  <c r="DA98" i="15" s="1"/>
  <c r="DA120" i="15"/>
  <c r="DA105" i="15"/>
  <c r="DA52" i="15"/>
  <c r="DA123" i="15"/>
  <c r="DA130" i="15"/>
  <c r="DA127" i="15"/>
  <c r="DA133" i="15"/>
  <c r="DA142" i="15" s="1"/>
  <c r="O81" i="15"/>
  <c r="CW66" i="15"/>
  <c r="DC66" i="15" s="1"/>
  <c r="AE96" i="15"/>
  <c r="O82" i="15"/>
  <c r="AI59" i="15"/>
  <c r="AI60" i="15"/>
  <c r="AI117" i="15"/>
  <c r="AI116" i="15" s="1"/>
  <c r="AI114" i="15" s="1"/>
  <c r="AI115" i="15" s="1"/>
  <c r="CQ89" i="14"/>
  <c r="CQ87" i="14"/>
  <c r="CQ54" i="14"/>
  <c r="CQ49" i="14" s="1"/>
  <c r="Y117" i="15"/>
  <c r="Y116" i="15" s="1"/>
  <c r="Y114" i="15" s="1"/>
  <c r="Y115" i="15" s="1"/>
  <c r="Y59" i="15"/>
  <c r="Y60" i="15"/>
  <c r="AA93" i="15"/>
  <c r="AA90" i="15"/>
  <c r="W90" i="15"/>
  <c r="W93" i="15"/>
  <c r="Y71" i="15"/>
  <c r="Y86" i="15"/>
  <c r="AE106" i="15"/>
  <c r="AE65" i="15"/>
  <c r="AE119" i="15"/>
  <c r="AE121" i="15"/>
  <c r="AE120" i="15"/>
  <c r="AE52" i="15"/>
  <c r="AE122" i="15"/>
  <c r="AE105" i="15"/>
  <c r="AE123" i="15"/>
  <c r="AE127" i="15"/>
  <c r="AE130" i="15"/>
  <c r="AE133" i="15"/>
  <c r="AE142" i="15" s="1"/>
  <c r="W68" i="15"/>
  <c r="W50" i="15"/>
  <c r="W53" i="15"/>
  <c r="AC71" i="15"/>
  <c r="AC86" i="15"/>
  <c r="AG71" i="15"/>
  <c r="AG86" i="15"/>
  <c r="AC56" i="15"/>
  <c r="AB8" i="15"/>
  <c r="AC111" i="15"/>
  <c r="AC112" i="15" s="1"/>
  <c r="AC108" i="15"/>
  <c r="AC109" i="15" s="1"/>
  <c r="AA50" i="15"/>
  <c r="AA68" i="15"/>
  <c r="AA53" i="15"/>
  <c r="U93" i="15"/>
  <c r="U98" i="15" s="1"/>
  <c r="S28" i="11"/>
  <c r="E83" i="21" s="1"/>
  <c r="R12" i="11"/>
  <c r="R19" i="11" s="1"/>
  <c r="U54" i="15"/>
  <c r="U49" i="15" s="1"/>
  <c r="C36" i="27"/>
  <c r="S45" i="13"/>
  <c r="S44" i="13" s="1"/>
  <c r="S43" i="13" s="1"/>
  <c r="Q89" i="13"/>
  <c r="Q93" i="13" s="1"/>
  <c r="O84" i="14"/>
  <c r="S48" i="13"/>
  <c r="R49" i="13"/>
  <c r="R48" i="13" s="1"/>
  <c r="O86" i="14"/>
  <c r="N45" i="14"/>
  <c r="O45" i="14"/>
  <c r="K33" i="11" s="1"/>
  <c r="O48" i="14"/>
  <c r="N49" i="14"/>
  <c r="L16" i="11"/>
  <c r="D71" i="21"/>
  <c r="C71" i="21"/>
  <c r="C56" i="21"/>
  <c r="M56" i="21"/>
  <c r="C25" i="21"/>
  <c r="Q48" i="13"/>
  <c r="L44" i="13"/>
  <c r="L43" i="13" s="1"/>
  <c r="D47" i="11"/>
  <c r="R44" i="13"/>
  <c r="R43" i="13" s="1"/>
  <c r="M44" i="13"/>
  <c r="M43" i="13" s="1"/>
  <c r="Q44" i="13"/>
  <c r="O23" i="13"/>
  <c r="M96" i="15"/>
  <c r="M98" i="15" s="1"/>
  <c r="M144" i="15" s="1"/>
  <c r="O54" i="15"/>
  <c r="K144" i="15"/>
  <c r="E35" i="11"/>
  <c r="O23" i="15"/>
  <c r="J49" i="11"/>
  <c r="J50" i="11" s="1"/>
  <c r="F50" i="11"/>
  <c r="F36" i="11" s="1"/>
  <c r="L50" i="11"/>
  <c r="K50" i="11"/>
  <c r="O12" i="16"/>
  <c r="P12" i="16" s="1"/>
  <c r="O11" i="16"/>
  <c r="P11" i="16" s="1"/>
  <c r="O10" i="16"/>
  <c r="P10" i="16" s="1"/>
  <c r="G93" i="13"/>
  <c r="G98" i="13" s="1"/>
  <c r="I44" i="13"/>
  <c r="I47" i="13" s="1"/>
  <c r="O7" i="16"/>
  <c r="P7" i="16" s="1"/>
  <c r="O6" i="16"/>
  <c r="P6" i="16" s="1"/>
  <c r="O8" i="16"/>
  <c r="P8" i="16" s="1"/>
  <c r="M144" i="14"/>
  <c r="M99" i="14"/>
  <c r="F16" i="11"/>
  <c r="R22" i="11"/>
  <c r="R23" i="11" s="1"/>
  <c r="S50" i="15"/>
  <c r="S68" i="15"/>
  <c r="Q54" i="15"/>
  <c r="Q49" i="15" s="1"/>
  <c r="S53" i="15"/>
  <c r="M93" i="13"/>
  <c r="M90" i="13"/>
  <c r="K93" i="13"/>
  <c r="K90" i="13"/>
  <c r="K43" i="13"/>
  <c r="K47" i="13"/>
  <c r="S84" i="15"/>
  <c r="Q86" i="15"/>
  <c r="Q84" i="15"/>
  <c r="S86" i="14"/>
  <c r="S84" i="14"/>
  <c r="P44" i="14"/>
  <c r="P43" i="14" s="1"/>
  <c r="Q86" i="14"/>
  <c r="Q84" i="14"/>
  <c r="Q44" i="14"/>
  <c r="S86" i="13"/>
  <c r="S84" i="13"/>
  <c r="P45" i="13"/>
  <c r="P44" i="13" s="1"/>
  <c r="P43" i="13" s="1"/>
  <c r="P49" i="13"/>
  <c r="P48" i="13" s="1"/>
  <c r="G90" i="15"/>
  <c r="G93" i="15"/>
  <c r="I94" i="15"/>
  <c r="I98" i="15"/>
  <c r="O84" i="15"/>
  <c r="O86" i="15"/>
  <c r="G93" i="14"/>
  <c r="G90" i="14"/>
  <c r="I93" i="14"/>
  <c r="I90" i="14"/>
  <c r="O84" i="13"/>
  <c r="O86" i="13"/>
  <c r="I93" i="13"/>
  <c r="I90" i="13"/>
  <c r="O44" i="13"/>
  <c r="N44" i="13"/>
  <c r="N43" i="13" s="1"/>
  <c r="K96" i="3"/>
  <c r="E28" i="11" s="1"/>
  <c r="AQ32" i="22" s="1"/>
  <c r="AN26" i="13" l="1"/>
  <c r="AP26" i="13" s="1"/>
  <c r="BQ111" i="15"/>
  <c r="BQ112" i="15" s="1"/>
  <c r="BQ108" i="15"/>
  <c r="BQ109" i="15" s="1"/>
  <c r="BP63" i="15"/>
  <c r="BQ56" i="15"/>
  <c r="BP8" i="15"/>
  <c r="BO65" i="15"/>
  <c r="BO52" i="15"/>
  <c r="BO122" i="15"/>
  <c r="BO120" i="15"/>
  <c r="BO106" i="15"/>
  <c r="BO105" i="15"/>
  <c r="BO119" i="15"/>
  <c r="BO121" i="15"/>
  <c r="BO123" i="15"/>
  <c r="BO96" i="15"/>
  <c r="BO98" i="15" s="1"/>
  <c r="BO133" i="15"/>
  <c r="BO142" i="15" s="1"/>
  <c r="BO127" i="15"/>
  <c r="BO130" i="15"/>
  <c r="BL8" i="15"/>
  <c r="BM111" i="15"/>
  <c r="BM112" i="15" s="1"/>
  <c r="BM108" i="15"/>
  <c r="BM109" i="15" s="1"/>
  <c r="BM56" i="15"/>
  <c r="BL63" i="15"/>
  <c r="BJ63" i="15"/>
  <c r="BJ8" i="15"/>
  <c r="BK56" i="15"/>
  <c r="BK111" i="15"/>
  <c r="BK112" i="15" s="1"/>
  <c r="BK108" i="15"/>
  <c r="BK109" i="15" s="1"/>
  <c r="BG108" i="15"/>
  <c r="BG109" i="15" s="1"/>
  <c r="BG56" i="15"/>
  <c r="BG111" i="15"/>
  <c r="BG112" i="15" s="1"/>
  <c r="BF8" i="15"/>
  <c r="BI106" i="15"/>
  <c r="BI120" i="15"/>
  <c r="BI119" i="15"/>
  <c r="BI65" i="15"/>
  <c r="BI96" i="15"/>
  <c r="BI98" i="15" s="1"/>
  <c r="BI122" i="15"/>
  <c r="BI123" i="15"/>
  <c r="BI105" i="15"/>
  <c r="BI121" i="15"/>
  <c r="BI52" i="15"/>
  <c r="BI130" i="15"/>
  <c r="BI133" i="15"/>
  <c r="BI142" i="15" s="1"/>
  <c r="BI127" i="15"/>
  <c r="CY144" i="15"/>
  <c r="AJ30" i="13"/>
  <c r="AJ29" i="13" s="1"/>
  <c r="AF8" i="15"/>
  <c r="AW117" i="15"/>
  <c r="AW116" i="15" s="1"/>
  <c r="AW114" i="15" s="1"/>
  <c r="AW115" i="15" s="1"/>
  <c r="BD8" i="15"/>
  <c r="BE56" i="15"/>
  <c r="BE111" i="15"/>
  <c r="BE112" i="15" s="1"/>
  <c r="BE108" i="15"/>
  <c r="BE109" i="15" s="1"/>
  <c r="DI133" i="15"/>
  <c r="DI142" i="15" s="1"/>
  <c r="DI127" i="15"/>
  <c r="AG56" i="15"/>
  <c r="AG50" i="15" s="1"/>
  <c r="DI96" i="15"/>
  <c r="DI98" i="15" s="1"/>
  <c r="DI144" i="15" s="1"/>
  <c r="DI130" i="15"/>
  <c r="AG108" i="15"/>
  <c r="AG109" i="15" s="1"/>
  <c r="DI120" i="15"/>
  <c r="AW59" i="15"/>
  <c r="AW60" i="15"/>
  <c r="DI105" i="15"/>
  <c r="AW144" i="15"/>
  <c r="AW99" i="15"/>
  <c r="AW124" i="15" s="1"/>
  <c r="DI65" i="15"/>
  <c r="DI60" i="15" s="1"/>
  <c r="DI119" i="15"/>
  <c r="BA111" i="15"/>
  <c r="BA112" i="15" s="1"/>
  <c r="BA56" i="15"/>
  <c r="BA108" i="15"/>
  <c r="BA109" i="15" s="1"/>
  <c r="AZ8" i="15"/>
  <c r="DI106" i="15"/>
  <c r="AY56" i="15"/>
  <c r="AX8" i="15"/>
  <c r="AY111" i="15"/>
  <c r="AY112" i="15" s="1"/>
  <c r="AY108" i="15"/>
  <c r="AY109" i="15" s="1"/>
  <c r="BC120" i="15"/>
  <c r="BC65" i="15"/>
  <c r="BC123" i="15"/>
  <c r="BC122" i="15"/>
  <c r="BC52" i="15"/>
  <c r="BC121" i="15"/>
  <c r="BC106" i="15"/>
  <c r="BC96" i="15"/>
  <c r="BC98" i="15" s="1"/>
  <c r="BC119" i="15"/>
  <c r="BC105" i="15"/>
  <c r="BC133" i="15"/>
  <c r="BC142" i="15" s="1"/>
  <c r="BC127" i="15"/>
  <c r="BC130" i="15"/>
  <c r="DI121" i="15"/>
  <c r="DI52" i="15"/>
  <c r="DI122" i="15"/>
  <c r="DE117" i="15"/>
  <c r="DE116" i="15" s="1"/>
  <c r="DE114" i="15" s="1"/>
  <c r="DE115" i="15" s="1"/>
  <c r="S86" i="15"/>
  <c r="S87" i="15" s="1"/>
  <c r="CY117" i="15"/>
  <c r="CY116" i="15" s="1"/>
  <c r="CY114" i="15" s="1"/>
  <c r="CY115" i="15" s="1"/>
  <c r="CY60" i="15"/>
  <c r="CY108" i="15" s="1"/>
  <c r="CY109" i="15" s="1"/>
  <c r="AP25" i="13"/>
  <c r="AR26" i="13"/>
  <c r="AP30" i="13"/>
  <c r="AP29" i="13" s="1"/>
  <c r="AP24" i="13"/>
  <c r="AP23" i="13" s="1"/>
  <c r="AL30" i="13"/>
  <c r="AL29" i="13" s="1"/>
  <c r="AL25" i="13"/>
  <c r="AQ59" i="15"/>
  <c r="AQ60" i="15"/>
  <c r="AQ99" i="15"/>
  <c r="AQ124" i="15" s="1"/>
  <c r="AQ144" i="15"/>
  <c r="AU56" i="15"/>
  <c r="AT8" i="15"/>
  <c r="AU108" i="15"/>
  <c r="AU109" i="15" s="1"/>
  <c r="AU111" i="15"/>
  <c r="AU112" i="15" s="1"/>
  <c r="AQ117" i="15"/>
  <c r="AQ116" i="15" s="1"/>
  <c r="AQ114" i="15" s="1"/>
  <c r="AQ115" i="15" s="1"/>
  <c r="DE59" i="15"/>
  <c r="AR8" i="15"/>
  <c r="AS111" i="15"/>
  <c r="AS112" i="15" s="1"/>
  <c r="AS108" i="15"/>
  <c r="AS109" i="15" s="1"/>
  <c r="AS56" i="15"/>
  <c r="AO56" i="15"/>
  <c r="AN8" i="15"/>
  <c r="AO108" i="15"/>
  <c r="AO109" i="15" s="1"/>
  <c r="AO111" i="15"/>
  <c r="AO112" i="15" s="1"/>
  <c r="AL8" i="15"/>
  <c r="AM56" i="15"/>
  <c r="AM108" i="15"/>
  <c r="AM109" i="15" s="1"/>
  <c r="AM111" i="15"/>
  <c r="AM112" i="15" s="1"/>
  <c r="DG117" i="15"/>
  <c r="DG116" i="15" s="1"/>
  <c r="DG114" i="15" s="1"/>
  <c r="DG115" i="15" s="1"/>
  <c r="DE81" i="13"/>
  <c r="DE83" i="13"/>
  <c r="DE82" i="13"/>
  <c r="CW81" i="13"/>
  <c r="CW83" i="13"/>
  <c r="CW82" i="13"/>
  <c r="AJ24" i="13"/>
  <c r="AJ23" i="13" s="1"/>
  <c r="AJ25" i="13"/>
  <c r="DD30" i="13"/>
  <c r="DD29" i="13" s="1"/>
  <c r="DD25" i="13"/>
  <c r="J25" i="3" s="1"/>
  <c r="DD24" i="13"/>
  <c r="DD23" i="13" s="1"/>
  <c r="CZ30" i="13"/>
  <c r="CZ29" i="13" s="1"/>
  <c r="CZ25" i="13"/>
  <c r="L25" i="3" s="1"/>
  <c r="CZ24" i="13"/>
  <c r="CZ23" i="13" s="1"/>
  <c r="AN30" i="13"/>
  <c r="AN29" i="13" s="1"/>
  <c r="AN25" i="13"/>
  <c r="AN24" i="13"/>
  <c r="AN23" i="13" s="1"/>
  <c r="DQ120" i="15"/>
  <c r="DQ122" i="15"/>
  <c r="DQ123" i="15"/>
  <c r="DQ106" i="15"/>
  <c r="DQ52" i="15"/>
  <c r="DQ121" i="15"/>
  <c r="DQ96" i="15"/>
  <c r="DQ98" i="15" s="1"/>
  <c r="DQ105" i="15"/>
  <c r="DQ65" i="15"/>
  <c r="DQ119" i="15"/>
  <c r="DQ130" i="15"/>
  <c r="DQ127" i="15"/>
  <c r="DQ133" i="15"/>
  <c r="DQ142" i="15" s="1"/>
  <c r="DM52" i="15"/>
  <c r="DS66" i="15"/>
  <c r="AK59" i="15"/>
  <c r="AK60" i="15"/>
  <c r="AK144" i="15"/>
  <c r="AK99" i="15"/>
  <c r="AK124" i="15" s="1"/>
  <c r="AK117" i="15"/>
  <c r="AK116" i="15" s="1"/>
  <c r="AK114" i="15" s="1"/>
  <c r="AK115" i="15" s="1"/>
  <c r="DC121" i="15"/>
  <c r="DC122" i="15"/>
  <c r="DC52" i="15"/>
  <c r="DC119" i="15"/>
  <c r="DC123" i="15"/>
  <c r="DC96" i="15"/>
  <c r="DC98" i="15" s="1"/>
  <c r="DC65" i="15"/>
  <c r="DC106" i="15"/>
  <c r="DC120" i="15"/>
  <c r="DC105" i="15"/>
  <c r="DC130" i="15"/>
  <c r="DC127" i="15"/>
  <c r="DC133" i="15"/>
  <c r="DC142" i="15" s="1"/>
  <c r="DM127" i="15"/>
  <c r="DM130" i="15"/>
  <c r="DM133" i="15"/>
  <c r="DM142" i="15" s="1"/>
  <c r="DM119" i="15"/>
  <c r="DM65" i="15"/>
  <c r="DM59" i="15" s="1"/>
  <c r="DM105" i="15"/>
  <c r="DM96" i="15"/>
  <c r="DM98" i="15" s="1"/>
  <c r="DM144" i="15" s="1"/>
  <c r="DM121" i="15"/>
  <c r="DM122" i="15"/>
  <c r="DM106" i="15"/>
  <c r="DM123" i="15"/>
  <c r="DG60" i="15"/>
  <c r="DG59" i="15"/>
  <c r="DG144" i="15"/>
  <c r="DG99" i="15"/>
  <c r="DG124" i="15" s="1"/>
  <c r="DK120" i="15"/>
  <c r="DK121" i="15"/>
  <c r="DK96" i="15"/>
  <c r="DK98" i="15" s="1"/>
  <c r="DK65" i="15"/>
  <c r="DK105" i="15"/>
  <c r="DK52" i="15"/>
  <c r="DK123" i="15"/>
  <c r="DK119" i="15"/>
  <c r="DK122" i="15"/>
  <c r="DK106" i="15"/>
  <c r="DK133" i="15"/>
  <c r="DK142" i="15" s="1"/>
  <c r="DK127" i="15"/>
  <c r="DK130" i="15"/>
  <c r="AD26" i="14"/>
  <c r="AB30" i="14"/>
  <c r="AB29" i="14" s="1"/>
  <c r="AB25" i="14"/>
  <c r="AB24" i="14"/>
  <c r="AB23" i="14" s="1"/>
  <c r="AC26" i="14"/>
  <c r="AA30" i="14"/>
  <c r="AA29" i="14" s="1"/>
  <c r="AA25" i="14"/>
  <c r="AA24" i="14"/>
  <c r="AA23" i="14" s="1"/>
  <c r="CY89" i="14"/>
  <c r="CY87" i="14"/>
  <c r="N23" i="3"/>
  <c r="N24" i="3"/>
  <c r="N30" i="3"/>
  <c r="N29" i="3"/>
  <c r="AC26" i="13"/>
  <c r="AA30" i="13"/>
  <c r="AA29" i="13" s="1"/>
  <c r="AA25" i="13"/>
  <c r="AA24" i="13"/>
  <c r="AA23" i="13" s="1"/>
  <c r="L26" i="3"/>
  <c r="BE26" i="3" s="1"/>
  <c r="J26" i="3"/>
  <c r="BC26" i="3" s="1"/>
  <c r="CW87" i="15"/>
  <c r="CW89" i="15"/>
  <c r="DE111" i="15"/>
  <c r="DE112" i="15" s="1"/>
  <c r="DE108" i="15"/>
  <c r="DE109" i="15" s="1"/>
  <c r="DD8" i="15"/>
  <c r="DE56" i="15"/>
  <c r="DE86" i="15"/>
  <c r="DE84" i="15"/>
  <c r="U94" i="15"/>
  <c r="DA144" i="15"/>
  <c r="DA99" i="15"/>
  <c r="DA124" i="15" s="1"/>
  <c r="DA60" i="15"/>
  <c r="DA59" i="15"/>
  <c r="DA117" i="15"/>
  <c r="DA116" i="15" s="1"/>
  <c r="DA114" i="15" s="1"/>
  <c r="DA115" i="15" s="1"/>
  <c r="AI56" i="15"/>
  <c r="AH8" i="15"/>
  <c r="AI108" i="15"/>
  <c r="AI109" i="15" s="1"/>
  <c r="AI111" i="15"/>
  <c r="AI112" i="15" s="1"/>
  <c r="CW65" i="15"/>
  <c r="DO66" i="15"/>
  <c r="CW119" i="15"/>
  <c r="CW52" i="15"/>
  <c r="CW122" i="15"/>
  <c r="CW120" i="15"/>
  <c r="CW121" i="15"/>
  <c r="CW105" i="15"/>
  <c r="CW106" i="15"/>
  <c r="CW96" i="15"/>
  <c r="CW130" i="15"/>
  <c r="CW133" i="15"/>
  <c r="CW142" i="15" s="1"/>
  <c r="CW123" i="15"/>
  <c r="CW127" i="15"/>
  <c r="CP45" i="14"/>
  <c r="CP49" i="14"/>
  <c r="CP48" i="14" s="1"/>
  <c r="CQ48" i="14"/>
  <c r="CQ45" i="14"/>
  <c r="CQ41" i="14"/>
  <c r="CP41" i="14"/>
  <c r="CQ93" i="14"/>
  <c r="CQ90" i="14"/>
  <c r="AE60" i="15"/>
  <c r="AE59" i="15"/>
  <c r="AE117" i="15"/>
  <c r="AE116" i="15" s="1"/>
  <c r="AE114" i="15" s="1"/>
  <c r="AE115" i="15" s="1"/>
  <c r="Y89" i="15"/>
  <c r="Y87" i="15"/>
  <c r="W54" i="15"/>
  <c r="W49" i="15" s="1"/>
  <c r="W94" i="15"/>
  <c r="W98" i="15"/>
  <c r="AG89" i="15"/>
  <c r="AG87" i="15"/>
  <c r="AA98" i="15"/>
  <c r="AA94" i="15"/>
  <c r="X8" i="15"/>
  <c r="Y111" i="15"/>
  <c r="Y112" i="15" s="1"/>
  <c r="Y108" i="15"/>
  <c r="Y109" i="15" s="1"/>
  <c r="Y56" i="15"/>
  <c r="AC87" i="15"/>
  <c r="AC89" i="15"/>
  <c r="AA54" i="15"/>
  <c r="AA49" i="15" s="1"/>
  <c r="AC50" i="15"/>
  <c r="AC54" i="15" s="1"/>
  <c r="AC68" i="15"/>
  <c r="AC53" i="15"/>
  <c r="U28" i="11"/>
  <c r="BQ32" i="22" s="1"/>
  <c r="Q90" i="13"/>
  <c r="D36" i="27"/>
  <c r="D36" i="22"/>
  <c r="F37" i="11"/>
  <c r="C38" i="22"/>
  <c r="C39" i="22" s="1"/>
  <c r="T45" i="15"/>
  <c r="T49" i="15"/>
  <c r="T48" i="15" s="1"/>
  <c r="U48" i="15"/>
  <c r="U45" i="15"/>
  <c r="T41" i="15"/>
  <c r="U41" i="15"/>
  <c r="U144" i="15"/>
  <c r="U99" i="15"/>
  <c r="U124" i="15" s="1"/>
  <c r="C38" i="27"/>
  <c r="C39" i="27" s="1"/>
  <c r="O89" i="14"/>
  <c r="K35" i="11"/>
  <c r="D38" i="22" s="1"/>
  <c r="S47" i="13"/>
  <c r="O44" i="14"/>
  <c r="N44" i="14"/>
  <c r="N43" i="14" s="1"/>
  <c r="O87" i="14"/>
  <c r="D25" i="21"/>
  <c r="N56" i="21"/>
  <c r="N10" i="16"/>
  <c r="D56" i="21"/>
  <c r="N48" i="14"/>
  <c r="O49" i="15"/>
  <c r="M58" i="21"/>
  <c r="C58" i="21"/>
  <c r="C27" i="21"/>
  <c r="C78" i="21"/>
  <c r="C92" i="21"/>
  <c r="C93" i="21" s="1"/>
  <c r="M92" i="21"/>
  <c r="M93" i="21" s="1"/>
  <c r="C72" i="21"/>
  <c r="D78" i="21"/>
  <c r="D72" i="21"/>
  <c r="D92" i="21"/>
  <c r="D93" i="21" s="1"/>
  <c r="M125" i="21"/>
  <c r="I43" i="13"/>
  <c r="M47" i="13"/>
  <c r="G94" i="13"/>
  <c r="Q43" i="13"/>
  <c r="Q47" i="13"/>
  <c r="J52" i="11"/>
  <c r="R26" i="11"/>
  <c r="R29" i="11" s="1"/>
  <c r="R24" i="11"/>
  <c r="M99" i="15"/>
  <c r="N41" i="15"/>
  <c r="O41" i="15"/>
  <c r="L41" i="11"/>
  <c r="G41" i="11"/>
  <c r="D49" i="11"/>
  <c r="D50" i="11" s="1"/>
  <c r="D51" i="11"/>
  <c r="N36" i="11"/>
  <c r="H36" i="11"/>
  <c r="H37" i="11"/>
  <c r="E50" i="11"/>
  <c r="M5" i="16"/>
  <c r="Q43" i="14"/>
  <c r="L24" i="11"/>
  <c r="F24" i="11"/>
  <c r="Q46" i="13"/>
  <c r="S54" i="15"/>
  <c r="S49" i="15" s="1"/>
  <c r="Q48" i="15"/>
  <c r="P45" i="15"/>
  <c r="P49" i="15"/>
  <c r="P48" i="15" s="1"/>
  <c r="Q45" i="15"/>
  <c r="P41" i="15"/>
  <c r="Q41" i="15"/>
  <c r="M98" i="13"/>
  <c r="M94" i="13"/>
  <c r="K98" i="13"/>
  <c r="K94" i="13"/>
  <c r="Q89" i="15"/>
  <c r="Q87" i="15"/>
  <c r="S87" i="14"/>
  <c r="S89" i="14"/>
  <c r="Q87" i="14"/>
  <c r="Q89" i="14"/>
  <c r="S87" i="13"/>
  <c r="S89" i="13"/>
  <c r="Q94" i="13"/>
  <c r="Q98" i="13"/>
  <c r="O87" i="15"/>
  <c r="O89" i="15"/>
  <c r="I144" i="15"/>
  <c r="I99" i="15"/>
  <c r="G94" i="15"/>
  <c r="G98" i="15"/>
  <c r="I98" i="14"/>
  <c r="I94" i="14"/>
  <c r="G94" i="14"/>
  <c r="G98" i="14"/>
  <c r="G144" i="13"/>
  <c r="G99" i="13"/>
  <c r="O87" i="13"/>
  <c r="O89" i="13"/>
  <c r="O43" i="13"/>
  <c r="O47" i="13"/>
  <c r="I98" i="13"/>
  <c r="I94" i="13"/>
  <c r="BQ50" i="15" l="1"/>
  <c r="BQ54" i="15" s="1"/>
  <c r="BQ68" i="15"/>
  <c r="BQ53" i="15"/>
  <c r="BI117" i="15"/>
  <c r="BI116" i="15" s="1"/>
  <c r="BI114" i="15" s="1"/>
  <c r="BI115" i="15" s="1"/>
  <c r="BM68" i="15"/>
  <c r="BM50" i="15"/>
  <c r="BM53" i="15"/>
  <c r="CY111" i="15"/>
  <c r="CY112" i="15" s="1"/>
  <c r="BO144" i="15"/>
  <c r="BO99" i="15"/>
  <c r="BO124" i="15" s="1"/>
  <c r="BO117" i="15"/>
  <c r="BO116" i="15" s="1"/>
  <c r="BO114" i="15" s="1"/>
  <c r="BO115" i="15" s="1"/>
  <c r="CX8" i="15"/>
  <c r="BO60" i="15"/>
  <c r="BO59" i="15"/>
  <c r="BK68" i="15"/>
  <c r="BK50" i="15"/>
  <c r="BK54" i="15" s="1"/>
  <c r="BK53" i="15"/>
  <c r="AG68" i="15"/>
  <c r="BI144" i="15"/>
  <c r="BI99" i="15"/>
  <c r="BI124" i="15" s="1"/>
  <c r="BI60" i="15"/>
  <c r="BI59" i="15"/>
  <c r="BG68" i="15"/>
  <c r="BG50" i="15"/>
  <c r="BG53" i="15"/>
  <c r="CY56" i="15"/>
  <c r="CY53" i="15" s="1"/>
  <c r="S89" i="15"/>
  <c r="S90" i="15" s="1"/>
  <c r="BC117" i="15"/>
  <c r="BC116" i="15" s="1"/>
  <c r="BC114" i="15" s="1"/>
  <c r="BC115" i="15" s="1"/>
  <c r="BE50" i="15"/>
  <c r="BE54" i="15" s="1"/>
  <c r="BE68" i="15"/>
  <c r="BE53" i="15"/>
  <c r="AG53" i="15"/>
  <c r="DI99" i="15"/>
  <c r="DI124" i="15" s="1"/>
  <c r="DI117" i="15"/>
  <c r="DI116" i="15" s="1"/>
  <c r="DI114" i="15" s="1"/>
  <c r="DI115" i="15" s="1"/>
  <c r="DM60" i="15"/>
  <c r="DL62" i="15" s="1"/>
  <c r="AY53" i="15"/>
  <c r="AY50" i="15"/>
  <c r="AY54" i="15" s="1"/>
  <c r="AY68" i="15"/>
  <c r="BA50" i="15"/>
  <c r="BA54" i="15" s="1"/>
  <c r="BA68" i="15"/>
  <c r="BA53" i="15"/>
  <c r="BC144" i="15"/>
  <c r="BC99" i="15"/>
  <c r="BC124" i="15" s="1"/>
  <c r="DI59" i="15"/>
  <c r="BC60" i="15"/>
  <c r="BC59" i="15"/>
  <c r="AW108" i="15"/>
  <c r="AW109" i="15" s="1"/>
  <c r="AV8" i="15"/>
  <c r="AW111" i="15"/>
  <c r="AW112" i="15" s="1"/>
  <c r="AW56" i="15"/>
  <c r="AR25" i="13"/>
  <c r="AT26" i="13"/>
  <c r="AR24" i="13"/>
  <c r="AR23" i="13" s="1"/>
  <c r="AR30" i="13"/>
  <c r="AR29" i="13" s="1"/>
  <c r="AS68" i="15"/>
  <c r="AS50" i="15"/>
  <c r="AS54" i="15" s="1"/>
  <c r="AS53" i="15"/>
  <c r="AU50" i="15"/>
  <c r="AU54" i="15" s="1"/>
  <c r="AU68" i="15"/>
  <c r="AU53" i="15"/>
  <c r="AQ108" i="15"/>
  <c r="AQ109" i="15" s="1"/>
  <c r="AQ56" i="15"/>
  <c r="AP8" i="15"/>
  <c r="AQ111" i="15"/>
  <c r="AQ112" i="15" s="1"/>
  <c r="AO50" i="15"/>
  <c r="AO54" i="15" s="1"/>
  <c r="AO68" i="15"/>
  <c r="AO53" i="15"/>
  <c r="DQ117" i="15"/>
  <c r="DQ116" i="15" s="1"/>
  <c r="DQ114" i="15" s="1"/>
  <c r="DQ115" i="15" s="1"/>
  <c r="AM68" i="15"/>
  <c r="AM50" i="15"/>
  <c r="AM53" i="15"/>
  <c r="CW86" i="13"/>
  <c r="CW84" i="13"/>
  <c r="DE86" i="13"/>
  <c r="DE84" i="13"/>
  <c r="DS123" i="15"/>
  <c r="DS106" i="15"/>
  <c r="DS65" i="15"/>
  <c r="DS52" i="15"/>
  <c r="DS105" i="15"/>
  <c r="DS96" i="15"/>
  <c r="DS98" i="15" s="1"/>
  <c r="DS120" i="15"/>
  <c r="DS121" i="15"/>
  <c r="DS119" i="15"/>
  <c r="DS122" i="15"/>
  <c r="DS127" i="15"/>
  <c r="DS130" i="15"/>
  <c r="DS133" i="15"/>
  <c r="DS142" i="15" s="1"/>
  <c r="DC117" i="15"/>
  <c r="DC116" i="15" s="1"/>
  <c r="DC114" i="15" s="1"/>
  <c r="DC115" i="15" s="1"/>
  <c r="DQ60" i="15"/>
  <c r="DQ59" i="15"/>
  <c r="DC59" i="15"/>
  <c r="DC60" i="15"/>
  <c r="DQ99" i="15"/>
  <c r="DQ124" i="15" s="1"/>
  <c r="DQ144" i="15"/>
  <c r="DC144" i="15"/>
  <c r="DC99" i="15"/>
  <c r="DC124" i="15" s="1"/>
  <c r="AJ8" i="15"/>
  <c r="AK111" i="15"/>
  <c r="AK112" i="15" s="1"/>
  <c r="AK108" i="15"/>
  <c r="AK109" i="15" s="1"/>
  <c r="AK56" i="15"/>
  <c r="DM99" i="15"/>
  <c r="DM124" i="15" s="1"/>
  <c r="DG108" i="15"/>
  <c r="DG109" i="15" s="1"/>
  <c r="DG56" i="15"/>
  <c r="DF8" i="15"/>
  <c r="DG111" i="15"/>
  <c r="DG112" i="15" s="1"/>
  <c r="DO120" i="15"/>
  <c r="DO106" i="15"/>
  <c r="DO96" i="15"/>
  <c r="DO98" i="15" s="1"/>
  <c r="DO52" i="15"/>
  <c r="DO121" i="15"/>
  <c r="DO123" i="15"/>
  <c r="DO122" i="15"/>
  <c r="DO65" i="15"/>
  <c r="DO105" i="15"/>
  <c r="DO119" i="15"/>
  <c r="DO133" i="15"/>
  <c r="DO142" i="15" s="1"/>
  <c r="DO127" i="15"/>
  <c r="DO130" i="15"/>
  <c r="DM117" i="15"/>
  <c r="DM116" i="15" s="1"/>
  <c r="DM114" i="15" s="1"/>
  <c r="DM115" i="15" s="1"/>
  <c r="BC25" i="3"/>
  <c r="BD26" i="3"/>
  <c r="BC30" i="3"/>
  <c r="BC29" i="3" s="1"/>
  <c r="BC24" i="3"/>
  <c r="BC23" i="3" s="1"/>
  <c r="BE30" i="3"/>
  <c r="BE29" i="3" s="1"/>
  <c r="BF26" i="3"/>
  <c r="BE25" i="3"/>
  <c r="BE24" i="3"/>
  <c r="BE23" i="3" s="1"/>
  <c r="DK117" i="15"/>
  <c r="DK116" i="15" s="1"/>
  <c r="DK114" i="15" s="1"/>
  <c r="DK115" i="15" s="1"/>
  <c r="CW117" i="15"/>
  <c r="CW116" i="15" s="1"/>
  <c r="CW114" i="15" s="1"/>
  <c r="CW115" i="15" s="1"/>
  <c r="DK60" i="15"/>
  <c r="DK59" i="15"/>
  <c r="DK144" i="15"/>
  <c r="DK99" i="15"/>
  <c r="DK124" i="15" s="1"/>
  <c r="AE26" i="14"/>
  <c r="AC25" i="14"/>
  <c r="AC30" i="14"/>
  <c r="AC29" i="14" s="1"/>
  <c r="AC24" i="14"/>
  <c r="AC23" i="14" s="1"/>
  <c r="CY90" i="14"/>
  <c r="CY93" i="14"/>
  <c r="AF26" i="14"/>
  <c r="AD25" i="14"/>
  <c r="AD30" i="14"/>
  <c r="AD29" i="14" s="1"/>
  <c r="AD24" i="14"/>
  <c r="AD23" i="14" s="1"/>
  <c r="J29" i="3"/>
  <c r="J30" i="3"/>
  <c r="L30" i="3"/>
  <c r="L29" i="3"/>
  <c r="L23" i="3"/>
  <c r="L24" i="3"/>
  <c r="AE26" i="13"/>
  <c r="CW26" i="13" s="1"/>
  <c r="AC30" i="13"/>
  <c r="AC29" i="13" s="1"/>
  <c r="AC25" i="13"/>
  <c r="AC24" i="13"/>
  <c r="AC23" i="13" s="1"/>
  <c r="J23" i="3"/>
  <c r="J24" i="3"/>
  <c r="DH62" i="15"/>
  <c r="DE68" i="15"/>
  <c r="DE50" i="15"/>
  <c r="DE53" i="15"/>
  <c r="DE89" i="15"/>
  <c r="DE87" i="15"/>
  <c r="CW93" i="15"/>
  <c r="CW94" i="15" s="1"/>
  <c r="CW90" i="15"/>
  <c r="CW59" i="15"/>
  <c r="CW60" i="15"/>
  <c r="AI50" i="15"/>
  <c r="AI54" i="15" s="1"/>
  <c r="AI68" i="15"/>
  <c r="AI53" i="15"/>
  <c r="DH8" i="15"/>
  <c r="DI56" i="15"/>
  <c r="DI108" i="15"/>
  <c r="DI109" i="15" s="1"/>
  <c r="DI111" i="15"/>
  <c r="DI112" i="15" s="1"/>
  <c r="DA56" i="15"/>
  <c r="CZ8" i="15"/>
  <c r="DA108" i="15"/>
  <c r="DA109" i="15" s="1"/>
  <c r="DA111" i="15"/>
  <c r="DA112" i="15" s="1"/>
  <c r="CQ98" i="14"/>
  <c r="CQ94" i="14"/>
  <c r="CQ44" i="14"/>
  <c r="CQ43" i="14" s="1"/>
  <c r="CP44" i="14"/>
  <c r="CP43" i="14" s="1"/>
  <c r="CG32" i="27"/>
  <c r="BQ32" i="27"/>
  <c r="AA45" i="15"/>
  <c r="AA48" i="15"/>
  <c r="Z45" i="15"/>
  <c r="Z49" i="15"/>
  <c r="Z48" i="15" s="1"/>
  <c r="AA144" i="15"/>
  <c r="AA99" i="15"/>
  <c r="AA124" i="15" s="1"/>
  <c r="CO32" i="27"/>
  <c r="BY32" i="27"/>
  <c r="AC49" i="15"/>
  <c r="AG93" i="15"/>
  <c r="AG90" i="15"/>
  <c r="AB41" i="15"/>
  <c r="AC41" i="15"/>
  <c r="W144" i="15"/>
  <c r="W99" i="15"/>
  <c r="W124" i="15" s="1"/>
  <c r="AA41" i="15"/>
  <c r="Z41" i="15"/>
  <c r="BY32" i="22"/>
  <c r="AG54" i="15"/>
  <c r="W48" i="15"/>
  <c r="W45" i="15"/>
  <c r="V45" i="15"/>
  <c r="V49" i="15"/>
  <c r="V48" i="15" s="1"/>
  <c r="BI32" i="27"/>
  <c r="V41" i="15"/>
  <c r="W41" i="15"/>
  <c r="BA32" i="27"/>
  <c r="AC93" i="15"/>
  <c r="AC90" i="15"/>
  <c r="CO32" i="22"/>
  <c r="Y93" i="15"/>
  <c r="Y90" i="15"/>
  <c r="BI32" i="22"/>
  <c r="Y68" i="15"/>
  <c r="Y50" i="15"/>
  <c r="Y53" i="15"/>
  <c r="AE71" i="15"/>
  <c r="AE86" i="15"/>
  <c r="O83" i="21"/>
  <c r="CG32" i="22"/>
  <c r="BA32" i="22"/>
  <c r="AD8" i="15"/>
  <c r="AE56" i="15"/>
  <c r="AE111" i="15"/>
  <c r="AE112" i="15" s="1"/>
  <c r="AE108" i="15"/>
  <c r="AE109" i="15" s="1"/>
  <c r="T28" i="11"/>
  <c r="N14" i="16"/>
  <c r="S22" i="11"/>
  <c r="E77" i="21" s="1"/>
  <c r="E78" i="21" s="1"/>
  <c r="U12" i="11"/>
  <c r="BQ17" i="22" s="1"/>
  <c r="S12" i="11"/>
  <c r="E68" i="21" s="1"/>
  <c r="AU96" i="3"/>
  <c r="AU66" i="3"/>
  <c r="P47" i="11"/>
  <c r="P51" i="11" s="1"/>
  <c r="M14" i="16"/>
  <c r="U44" i="15"/>
  <c r="U43" i="15" s="1"/>
  <c r="M6" i="16"/>
  <c r="T44" i="15"/>
  <c r="T43" i="15" s="1"/>
  <c r="O93" i="14"/>
  <c r="O98" i="14" s="1"/>
  <c r="O90" i="14"/>
  <c r="D39" i="22"/>
  <c r="D38" i="27"/>
  <c r="D27" i="21"/>
  <c r="D28" i="21" s="1"/>
  <c r="L37" i="11"/>
  <c r="D58" i="21"/>
  <c r="D59" i="21" s="1"/>
  <c r="K37" i="11"/>
  <c r="N6" i="16"/>
  <c r="K36" i="11"/>
  <c r="N58" i="21"/>
  <c r="N37" i="11"/>
  <c r="D125" i="21"/>
  <c r="N125" i="21"/>
  <c r="O43" i="14"/>
  <c r="N45" i="15"/>
  <c r="O45" i="15"/>
  <c r="O48" i="15"/>
  <c r="N49" i="15"/>
  <c r="N48" i="15" s="1"/>
  <c r="AG20" i="22"/>
  <c r="AW20" i="22"/>
  <c r="AO20" i="22"/>
  <c r="AN20" i="22"/>
  <c r="AV20" i="22"/>
  <c r="AU20" i="22"/>
  <c r="AE20" i="22"/>
  <c r="C79" i="21"/>
  <c r="C81" i="21"/>
  <c r="C28" i="21"/>
  <c r="C59" i="21"/>
  <c r="M59" i="21"/>
  <c r="M127" i="21"/>
  <c r="M128" i="21" s="1"/>
  <c r="D79" i="21"/>
  <c r="D81" i="21"/>
  <c r="U22" i="11"/>
  <c r="BQ26" i="22" s="1"/>
  <c r="BQ27" i="22" s="1"/>
  <c r="D52" i="11"/>
  <c r="E36" i="11"/>
  <c r="N9" i="16"/>
  <c r="N5" i="16"/>
  <c r="P44" i="15"/>
  <c r="P43" i="15" s="1"/>
  <c r="S45" i="15"/>
  <c r="R45" i="15"/>
  <c r="S48" i="15"/>
  <c r="R49" i="15"/>
  <c r="R48" i="15" s="1"/>
  <c r="R41" i="15"/>
  <c r="S41" i="15"/>
  <c r="Q44" i="15"/>
  <c r="M144" i="13"/>
  <c r="M99" i="13"/>
  <c r="K144" i="13"/>
  <c r="K99" i="13"/>
  <c r="Q90" i="15"/>
  <c r="Q93" i="15"/>
  <c r="S93" i="14"/>
  <c r="S90" i="14"/>
  <c r="Q93" i="14"/>
  <c r="Q90" i="14"/>
  <c r="S93" i="13"/>
  <c r="S90" i="13"/>
  <c r="Q99" i="13"/>
  <c r="Q144" i="13"/>
  <c r="G144" i="15"/>
  <c r="G99" i="15"/>
  <c r="O90" i="15"/>
  <c r="O93" i="15"/>
  <c r="I144" i="14"/>
  <c r="I99" i="14"/>
  <c r="G144" i="14"/>
  <c r="G99" i="14"/>
  <c r="I144" i="13"/>
  <c r="I99" i="13"/>
  <c r="O90" i="13"/>
  <c r="O93" i="13"/>
  <c r="S93" i="15" l="1"/>
  <c r="BP41" i="15"/>
  <c r="BQ41" i="15"/>
  <c r="BQ49" i="15"/>
  <c r="BN8" i="15"/>
  <c r="BO111" i="15"/>
  <c r="BO112" i="15" s="1"/>
  <c r="BO108" i="15"/>
  <c r="BO109" i="15" s="1"/>
  <c r="BN63" i="15"/>
  <c r="BO56" i="15"/>
  <c r="DL8" i="15"/>
  <c r="DM108" i="15"/>
  <c r="DM109" i="15" s="1"/>
  <c r="DM111" i="15"/>
  <c r="DM112" i="15" s="1"/>
  <c r="DM56" i="15"/>
  <c r="DM50" i="15" s="1"/>
  <c r="DM54" i="15" s="1"/>
  <c r="CY68" i="15"/>
  <c r="BM54" i="15"/>
  <c r="BM49" i="15" s="1"/>
  <c r="BK41" i="15"/>
  <c r="BJ41" i="15"/>
  <c r="BK49" i="15"/>
  <c r="CY50" i="15"/>
  <c r="CY54" i="15" s="1"/>
  <c r="CX41" i="15" s="1"/>
  <c r="BG54" i="15"/>
  <c r="BI111" i="15"/>
  <c r="BI112" i="15" s="1"/>
  <c r="BI108" i="15"/>
  <c r="BI109" i="15" s="1"/>
  <c r="BH8" i="15"/>
  <c r="BI56" i="15"/>
  <c r="BE41" i="15"/>
  <c r="BD41" i="15"/>
  <c r="BE49" i="15"/>
  <c r="BA41" i="15"/>
  <c r="AZ41" i="15"/>
  <c r="BB8" i="15"/>
  <c r="BC108" i="15"/>
  <c r="BC109" i="15" s="1"/>
  <c r="BC56" i="15"/>
  <c r="BC111" i="15"/>
  <c r="BC112" i="15" s="1"/>
  <c r="BA49" i="15"/>
  <c r="AY41" i="15"/>
  <c r="AX41" i="15"/>
  <c r="AW50" i="15"/>
  <c r="AW54" i="15" s="1"/>
  <c r="AW68" i="15"/>
  <c r="AW53" i="15"/>
  <c r="AY49" i="15"/>
  <c r="Z44" i="15"/>
  <c r="Z43" i="15" s="1"/>
  <c r="AT25" i="13"/>
  <c r="AV26" i="13"/>
  <c r="AT30" i="13"/>
  <c r="AT29" i="13" s="1"/>
  <c r="AT24" i="13"/>
  <c r="AT23" i="13" s="1"/>
  <c r="AT41" i="15"/>
  <c r="AU41" i="15"/>
  <c r="AQ50" i="15"/>
  <c r="AQ68" i="15"/>
  <c r="AQ53" i="15"/>
  <c r="AS49" i="15"/>
  <c r="AU49" i="15"/>
  <c r="AS41" i="15"/>
  <c r="AR41" i="15"/>
  <c r="AM54" i="15"/>
  <c r="AM49" i="15" s="1"/>
  <c r="AO41" i="15"/>
  <c r="AN41" i="15"/>
  <c r="AO49" i="15"/>
  <c r="DE89" i="13"/>
  <c r="DE87" i="13"/>
  <c r="CW30" i="13"/>
  <c r="CW29" i="13" s="1"/>
  <c r="CW25" i="13"/>
  <c r="DC26" i="13"/>
  <c r="CW24" i="13"/>
  <c r="CW23" i="13" s="1"/>
  <c r="CW89" i="13"/>
  <c r="CW87" i="13"/>
  <c r="AS60" i="3"/>
  <c r="K163" i="3" s="1"/>
  <c r="K169" i="3" s="1"/>
  <c r="DP8" i="15"/>
  <c r="DQ111" i="15"/>
  <c r="DQ112" i="15" s="1"/>
  <c r="DQ108" i="15"/>
  <c r="DQ109" i="15" s="1"/>
  <c r="DQ56" i="15"/>
  <c r="AK68" i="15"/>
  <c r="AK50" i="15"/>
  <c r="AK53" i="15"/>
  <c r="DO117" i="15"/>
  <c r="DO116" i="15" s="1"/>
  <c r="DO114" i="15" s="1"/>
  <c r="DO115" i="15" s="1"/>
  <c r="DS117" i="15"/>
  <c r="DS116" i="15" s="1"/>
  <c r="DS114" i="15" s="1"/>
  <c r="DS115" i="15" s="1"/>
  <c r="DS99" i="15"/>
  <c r="DS124" i="15" s="1"/>
  <c r="DS144" i="15"/>
  <c r="DB8" i="15"/>
  <c r="DC56" i="15"/>
  <c r="DC111" i="15"/>
  <c r="DC112" i="15" s="1"/>
  <c r="DC108" i="15"/>
  <c r="DC109" i="15" s="1"/>
  <c r="DS60" i="15"/>
  <c r="DS59" i="15"/>
  <c r="CW98" i="15"/>
  <c r="CW99" i="15" s="1"/>
  <c r="CW124" i="15" s="1"/>
  <c r="DO60" i="15"/>
  <c r="DO59" i="15"/>
  <c r="DO144" i="15"/>
  <c r="DO99" i="15"/>
  <c r="DO124" i="15" s="1"/>
  <c r="DG68" i="15"/>
  <c r="DG50" i="15"/>
  <c r="DG54" i="15" s="1"/>
  <c r="DG53" i="15"/>
  <c r="BF30" i="3"/>
  <c r="BF29" i="3" s="1"/>
  <c r="BF25" i="3"/>
  <c r="BF24" i="3"/>
  <c r="BF23" i="3" s="1"/>
  <c r="BD30" i="3"/>
  <c r="BD29" i="3" s="1"/>
  <c r="BD25" i="3"/>
  <c r="BD24" i="3"/>
  <c r="BD23" i="3" s="1"/>
  <c r="DJ62" i="15"/>
  <c r="DK56" i="15"/>
  <c r="DK111" i="15"/>
  <c r="DK112" i="15" s="1"/>
  <c r="DK108" i="15"/>
  <c r="DK109" i="15" s="1"/>
  <c r="DJ8" i="15"/>
  <c r="AH26" i="14"/>
  <c r="AJ26" i="14" s="1"/>
  <c r="AL26" i="14" s="1"/>
  <c r="AF25" i="14"/>
  <c r="AF30" i="14"/>
  <c r="AF29" i="14" s="1"/>
  <c r="AF24" i="14"/>
  <c r="AF23" i="14" s="1"/>
  <c r="CY94" i="14"/>
  <c r="CY98" i="14"/>
  <c r="AG26" i="14"/>
  <c r="AE24" i="14"/>
  <c r="AE23" i="14" s="1"/>
  <c r="AE25" i="14"/>
  <c r="AE30" i="14"/>
  <c r="AE29" i="14" s="1"/>
  <c r="AG26" i="13"/>
  <c r="CY26" i="13" s="1"/>
  <c r="AE30" i="13"/>
  <c r="AE29" i="13" s="1"/>
  <c r="AE25" i="13"/>
  <c r="AE24" i="13"/>
  <c r="AE23" i="13" s="1"/>
  <c r="DE93" i="15"/>
  <c r="DE90" i="15"/>
  <c r="DE54" i="15"/>
  <c r="CW56" i="15"/>
  <c r="CW111" i="15"/>
  <c r="CW112" i="15" s="1"/>
  <c r="CW108" i="15"/>
  <c r="CW109" i="15" s="1"/>
  <c r="CV8" i="15"/>
  <c r="DA68" i="15"/>
  <c r="DA50" i="15"/>
  <c r="DA53" i="15"/>
  <c r="DI68" i="15"/>
  <c r="DI50" i="15"/>
  <c r="DI54" i="15" s="1"/>
  <c r="DI53" i="15"/>
  <c r="AI41" i="15"/>
  <c r="AH41" i="15"/>
  <c r="AI49" i="15"/>
  <c r="O94" i="14"/>
  <c r="CQ144" i="14"/>
  <c r="CQ99" i="14"/>
  <c r="CQ124" i="14" s="1"/>
  <c r="AE50" i="15"/>
  <c r="AE54" i="15" s="1"/>
  <c r="AE68" i="15"/>
  <c r="AE53" i="15"/>
  <c r="AC98" i="15"/>
  <c r="AC94" i="15"/>
  <c r="Y94" i="15"/>
  <c r="Y98" i="15"/>
  <c r="AG94" i="15"/>
  <c r="AG98" i="15"/>
  <c r="AC45" i="15"/>
  <c r="AC44" i="15" s="1"/>
  <c r="AC43" i="15" s="1"/>
  <c r="AB45" i="15"/>
  <c r="AB44" i="15" s="1"/>
  <c r="AB43" i="15" s="1"/>
  <c r="AC48" i="15"/>
  <c r="AB49" i="15"/>
  <c r="AB48" i="15" s="1"/>
  <c r="AE89" i="15"/>
  <c r="AE87" i="15"/>
  <c r="V44" i="15"/>
  <c r="V43" i="15" s="1"/>
  <c r="W44" i="15"/>
  <c r="W43" i="15" s="1"/>
  <c r="AG41" i="15"/>
  <c r="AF41" i="15"/>
  <c r="Y54" i="15"/>
  <c r="AG49" i="15"/>
  <c r="AA44" i="15"/>
  <c r="AA43" i="15" s="1"/>
  <c r="AU72" i="3"/>
  <c r="P49" i="11"/>
  <c r="P52" i="11" s="1"/>
  <c r="AU52" i="3"/>
  <c r="AU105" i="3"/>
  <c r="AU130" i="3"/>
  <c r="AU119" i="3"/>
  <c r="AU127" i="3"/>
  <c r="AU133" i="3"/>
  <c r="AU141" i="3" s="1"/>
  <c r="AU123" i="3"/>
  <c r="AU120" i="3"/>
  <c r="AU122" i="3"/>
  <c r="AU106" i="3"/>
  <c r="AU121" i="3"/>
  <c r="S19" i="11"/>
  <c r="AU71" i="3"/>
  <c r="S23" i="11"/>
  <c r="S24" i="11" s="1"/>
  <c r="AU59" i="3"/>
  <c r="AU65" i="3"/>
  <c r="BQ30" i="22"/>
  <c r="BQ28" i="22"/>
  <c r="CO17" i="27"/>
  <c r="BA17" i="27"/>
  <c r="BQ17" i="27"/>
  <c r="BY17" i="27"/>
  <c r="BI17" i="27"/>
  <c r="CG17" i="27"/>
  <c r="BI26" i="27"/>
  <c r="BA26" i="27"/>
  <c r="BQ26" i="27"/>
  <c r="BY26" i="27"/>
  <c r="CO26" i="27"/>
  <c r="CG26" i="27"/>
  <c r="D39" i="27"/>
  <c r="D127" i="21"/>
  <c r="D128" i="21" s="1"/>
  <c r="N127" i="21"/>
  <c r="N128" i="21" s="1"/>
  <c r="N44" i="15"/>
  <c r="N43" i="15" s="1"/>
  <c r="N59" i="21"/>
  <c r="Q33" i="11"/>
  <c r="E36" i="22" s="1"/>
  <c r="O44" i="15"/>
  <c r="AE21" i="22"/>
  <c r="AU21" i="22"/>
  <c r="AO41" i="22"/>
  <c r="AO42" i="22" s="1"/>
  <c r="AO21" i="22"/>
  <c r="AF20" i="22"/>
  <c r="AW41" i="22"/>
  <c r="AW21" i="22"/>
  <c r="O68" i="21"/>
  <c r="BA17" i="22"/>
  <c r="BI17" i="22"/>
  <c r="CO17" i="22"/>
  <c r="BY17" i="22"/>
  <c r="CG17" i="22"/>
  <c r="O77" i="21"/>
  <c r="O78" i="21" s="1"/>
  <c r="CG26" i="22"/>
  <c r="CO26" i="22"/>
  <c r="BY26" i="22"/>
  <c r="BY27" i="22" s="1"/>
  <c r="BI26" i="22"/>
  <c r="BA26" i="22"/>
  <c r="AV21" i="22"/>
  <c r="AM20" i="22"/>
  <c r="AN21" i="22"/>
  <c r="AG41" i="22"/>
  <c r="AG42" i="22" s="1"/>
  <c r="AG21" i="22"/>
  <c r="D82" i="21"/>
  <c r="D84" i="21"/>
  <c r="D85" i="21" s="1"/>
  <c r="E79" i="21"/>
  <c r="E81" i="21"/>
  <c r="C82" i="21"/>
  <c r="C84" i="21"/>
  <c r="C85" i="21" s="1"/>
  <c r="U23" i="11"/>
  <c r="U19" i="11"/>
  <c r="R44" i="15"/>
  <c r="R43" i="15" s="1"/>
  <c r="Q43" i="15"/>
  <c r="S44" i="15"/>
  <c r="S98" i="15"/>
  <c r="S94" i="15"/>
  <c r="Q98" i="15"/>
  <c r="Q94" i="15"/>
  <c r="S98" i="14"/>
  <c r="S94" i="14"/>
  <c r="Q98" i="14"/>
  <c r="Q94" i="14"/>
  <c r="S94" i="13"/>
  <c r="S98" i="13"/>
  <c r="O98" i="15"/>
  <c r="O94" i="15"/>
  <c r="O144" i="14"/>
  <c r="O99" i="14"/>
  <c r="O124" i="14" s="1"/>
  <c r="O94" i="13"/>
  <c r="O98" i="13"/>
  <c r="DM53" i="15" l="1"/>
  <c r="DM68" i="15"/>
  <c r="BQ48" i="15"/>
  <c r="BP49" i="15"/>
  <c r="BP48" i="15" s="1"/>
  <c r="BQ45" i="15"/>
  <c r="BQ44" i="15" s="1"/>
  <c r="BQ43" i="15" s="1"/>
  <c r="BP45" i="15"/>
  <c r="BP44" i="15" s="1"/>
  <c r="BP43" i="15" s="1"/>
  <c r="BL41" i="15"/>
  <c r="BM41" i="15"/>
  <c r="BM48" i="15"/>
  <c r="BL49" i="15"/>
  <c r="BL48" i="15" s="1"/>
  <c r="BM45" i="15"/>
  <c r="BL45" i="15"/>
  <c r="BL44" i="15" s="1"/>
  <c r="BL43" i="15" s="1"/>
  <c r="BO50" i="15"/>
  <c r="BO54" i="15" s="1"/>
  <c r="BO68" i="15"/>
  <c r="BO53" i="15"/>
  <c r="CY41" i="15"/>
  <c r="CY49" i="15"/>
  <c r="CX49" i="15" s="1"/>
  <c r="CX48" i="15" s="1"/>
  <c r="BK48" i="15"/>
  <c r="BK45" i="15"/>
  <c r="BK44" i="15" s="1"/>
  <c r="BK43" i="15" s="1"/>
  <c r="BJ49" i="15"/>
  <c r="BJ48" i="15" s="1"/>
  <c r="BJ45" i="15"/>
  <c r="BJ44" i="15" s="1"/>
  <c r="BJ43" i="15" s="1"/>
  <c r="BI50" i="15"/>
  <c r="BI54" i="15" s="1"/>
  <c r="BI68" i="15"/>
  <c r="BI53" i="15"/>
  <c r="BG41" i="15"/>
  <c r="BF41" i="15"/>
  <c r="BG49" i="15"/>
  <c r="BD49" i="15"/>
  <c r="BD48" i="15" s="1"/>
  <c r="BE48" i="15"/>
  <c r="BD45" i="15"/>
  <c r="BD44" i="15" s="1"/>
  <c r="BD43" i="15" s="1"/>
  <c r="BE45" i="15"/>
  <c r="BE44" i="15" s="1"/>
  <c r="BE43" i="15" s="1"/>
  <c r="AW49" i="15"/>
  <c r="AW41" i="15"/>
  <c r="AV41" i="15"/>
  <c r="BA48" i="15"/>
  <c r="BA45" i="15"/>
  <c r="BA44" i="15" s="1"/>
  <c r="BA43" i="15" s="1"/>
  <c r="AZ45" i="15"/>
  <c r="AZ44" i="15" s="1"/>
  <c r="AZ43" i="15" s="1"/>
  <c r="AZ49" i="15"/>
  <c r="AZ48" i="15" s="1"/>
  <c r="AY45" i="15"/>
  <c r="AY44" i="15" s="1"/>
  <c r="AY43" i="15" s="1"/>
  <c r="AX45" i="15"/>
  <c r="AX44" i="15" s="1"/>
  <c r="AX43" i="15" s="1"/>
  <c r="AY48" i="15"/>
  <c r="AX49" i="15"/>
  <c r="AX48" i="15" s="1"/>
  <c r="BC50" i="15"/>
  <c r="BC54" i="15" s="1"/>
  <c r="BC68" i="15"/>
  <c r="BC53" i="15"/>
  <c r="AX26" i="13"/>
  <c r="AV25" i="13"/>
  <c r="AV30" i="13"/>
  <c r="AV29" i="13" s="1"/>
  <c r="AV24" i="13"/>
  <c r="AV23" i="13" s="1"/>
  <c r="AT49" i="15"/>
  <c r="AT48" i="15" s="1"/>
  <c r="AU48" i="15"/>
  <c r="AU45" i="15"/>
  <c r="AU44" i="15" s="1"/>
  <c r="AU43" i="15" s="1"/>
  <c r="AT45" i="15"/>
  <c r="AT44" i="15" s="1"/>
  <c r="AT43" i="15" s="1"/>
  <c r="AS45" i="15"/>
  <c r="AS44" i="15" s="1"/>
  <c r="AS43" i="15" s="1"/>
  <c r="AR45" i="15"/>
  <c r="AR44" i="15" s="1"/>
  <c r="AR43" i="15" s="1"/>
  <c r="AR49" i="15"/>
  <c r="AR48" i="15" s="1"/>
  <c r="AS48" i="15"/>
  <c r="AQ54" i="15"/>
  <c r="AS108" i="3"/>
  <c r="AS109" i="3" s="1"/>
  <c r="AM41" i="15"/>
  <c r="AL41" i="15"/>
  <c r="AO48" i="15"/>
  <c r="AN49" i="15"/>
  <c r="AN48" i="15" s="1"/>
  <c r="AO45" i="15"/>
  <c r="AO44" i="15" s="1"/>
  <c r="AO43" i="15" s="1"/>
  <c r="AN45" i="15"/>
  <c r="AN44" i="15" s="1"/>
  <c r="AN43" i="15" s="1"/>
  <c r="AS111" i="3"/>
  <c r="AS112" i="3" s="1"/>
  <c r="AR8" i="3"/>
  <c r="AM48" i="15"/>
  <c r="AL49" i="15"/>
  <c r="AL48" i="15" s="1"/>
  <c r="AM45" i="15"/>
  <c r="AL45" i="15"/>
  <c r="AL25" i="14"/>
  <c r="AN26" i="14"/>
  <c r="AP26" i="14" s="1"/>
  <c r="AL30" i="14"/>
  <c r="AL29" i="14" s="1"/>
  <c r="AL24" i="14"/>
  <c r="AL23" i="14" s="1"/>
  <c r="N163" i="3"/>
  <c r="N169" i="3" s="1"/>
  <c r="AS56" i="3"/>
  <c r="AS50" i="3" s="1"/>
  <c r="CY30" i="13"/>
  <c r="CY29" i="13" s="1"/>
  <c r="CY25" i="13"/>
  <c r="CY24" i="13"/>
  <c r="CY23" i="13" s="1"/>
  <c r="CW93" i="13"/>
  <c r="CW90" i="13"/>
  <c r="DE93" i="13"/>
  <c r="DE90" i="13"/>
  <c r="DC30" i="13"/>
  <c r="DC29" i="13" s="1"/>
  <c r="DC25" i="13"/>
  <c r="DC24" i="13"/>
  <c r="DC23" i="13" s="1"/>
  <c r="DC50" i="15"/>
  <c r="DC54" i="15" s="1"/>
  <c r="DC68" i="15"/>
  <c r="DC53" i="15"/>
  <c r="AK54" i="15"/>
  <c r="AK49" i="15" s="1"/>
  <c r="DQ68" i="15"/>
  <c r="DQ50" i="15"/>
  <c r="DQ54" i="15" s="1"/>
  <c r="DQ53" i="15"/>
  <c r="DR8" i="15"/>
  <c r="DS56" i="15"/>
  <c r="DS111" i="15"/>
  <c r="DS112" i="15" s="1"/>
  <c r="DS108" i="15"/>
  <c r="DS109" i="15" s="1"/>
  <c r="AJ30" i="14"/>
  <c r="AJ29" i="14" s="1"/>
  <c r="AJ25" i="14"/>
  <c r="AJ24" i="14"/>
  <c r="AJ23" i="14" s="1"/>
  <c r="CW144" i="15"/>
  <c r="DF41" i="15"/>
  <c r="DG41" i="15"/>
  <c r="DG49" i="15"/>
  <c r="DO108" i="15"/>
  <c r="DO109" i="15" s="1"/>
  <c r="DO56" i="15"/>
  <c r="DN62" i="15"/>
  <c r="DO111" i="15"/>
  <c r="DO112" i="15" s="1"/>
  <c r="DN8" i="15"/>
  <c r="DK68" i="15"/>
  <c r="DK50" i="15"/>
  <c r="DK53" i="15"/>
  <c r="AI26" i="14"/>
  <c r="AK26" i="14" s="1"/>
  <c r="AM26" i="14" s="1"/>
  <c r="AG25" i="14"/>
  <c r="AG30" i="14"/>
  <c r="AG29" i="14" s="1"/>
  <c r="AG24" i="14"/>
  <c r="AG23" i="14" s="1"/>
  <c r="CY144" i="14"/>
  <c r="CY99" i="14"/>
  <c r="CY124" i="14" s="1"/>
  <c r="CP26" i="14"/>
  <c r="AH25" i="14"/>
  <c r="AH30" i="14"/>
  <c r="AH29" i="14" s="1"/>
  <c r="AH24" i="14"/>
  <c r="AH23" i="14" s="1"/>
  <c r="AI26" i="13"/>
  <c r="AG30" i="13"/>
  <c r="AG29" i="13" s="1"/>
  <c r="AG24" i="13"/>
  <c r="AG23" i="13" s="1"/>
  <c r="AG25" i="13"/>
  <c r="DE41" i="15"/>
  <c r="DD41" i="15"/>
  <c r="DE49" i="15"/>
  <c r="DE98" i="15"/>
  <c r="DE94" i="15"/>
  <c r="DM41" i="15"/>
  <c r="DL41" i="15"/>
  <c r="DM49" i="15"/>
  <c r="DI41" i="15"/>
  <c r="DH41" i="15"/>
  <c r="DI49" i="15"/>
  <c r="DA54" i="15"/>
  <c r="DA49" i="15" s="1"/>
  <c r="AI45" i="15"/>
  <c r="AI44" i="15" s="1"/>
  <c r="AI43" i="15" s="1"/>
  <c r="AI48" i="15"/>
  <c r="AH45" i="15"/>
  <c r="AH44" i="15" s="1"/>
  <c r="AH43" i="15" s="1"/>
  <c r="AH49" i="15"/>
  <c r="AH48" i="15" s="1"/>
  <c r="CW68" i="15"/>
  <c r="CW50" i="15"/>
  <c r="CW54" i="15" s="1"/>
  <c r="CW53" i="15"/>
  <c r="P50" i="11"/>
  <c r="AE90" i="15"/>
  <c r="AE93" i="15"/>
  <c r="AG144" i="15"/>
  <c r="AG99" i="15"/>
  <c r="AG124" i="15" s="1"/>
  <c r="Y99" i="15"/>
  <c r="Y124" i="15" s="1"/>
  <c r="Y144" i="15"/>
  <c r="AG45" i="15"/>
  <c r="AG44" i="15" s="1"/>
  <c r="AG43" i="15" s="1"/>
  <c r="AF45" i="15"/>
  <c r="AF44" i="15" s="1"/>
  <c r="AF43" i="15" s="1"/>
  <c r="AG48" i="15"/>
  <c r="AF49" i="15"/>
  <c r="AF48" i="15" s="1"/>
  <c r="X41" i="15"/>
  <c r="Y41" i="15"/>
  <c r="AC144" i="15"/>
  <c r="AC99" i="15"/>
  <c r="AC124" i="15" s="1"/>
  <c r="Y49" i="15"/>
  <c r="AE41" i="15"/>
  <c r="AD41" i="15"/>
  <c r="AE49" i="15"/>
  <c r="S26" i="11"/>
  <c r="S29" i="11" s="1"/>
  <c r="AU117" i="3"/>
  <c r="AU116" i="3" s="1"/>
  <c r="AU114" i="3" s="1"/>
  <c r="AU115" i="3" s="1"/>
  <c r="AU87" i="3"/>
  <c r="AU86" i="3"/>
  <c r="AU60" i="3"/>
  <c r="T22" i="11"/>
  <c r="T23" i="11" s="1"/>
  <c r="M15" i="16"/>
  <c r="Q47" i="11"/>
  <c r="T12" i="11"/>
  <c r="T19" i="11" s="1"/>
  <c r="BQ33" i="22"/>
  <c r="BQ34" i="22" s="1"/>
  <c r="BQ31" i="22"/>
  <c r="AW42" i="22"/>
  <c r="BY27" i="27"/>
  <c r="E36" i="27"/>
  <c r="BQ27" i="27"/>
  <c r="CG27" i="27"/>
  <c r="BA27" i="27"/>
  <c r="CO27" i="27"/>
  <c r="BI27" i="27"/>
  <c r="E25" i="21"/>
  <c r="E56" i="21"/>
  <c r="Q35" i="11"/>
  <c r="E38" i="22" s="1"/>
  <c r="O56" i="21"/>
  <c r="O43" i="15"/>
  <c r="N13" i="16" s="1"/>
  <c r="M13" i="16"/>
  <c r="BY28" i="22"/>
  <c r="BY30" i="22"/>
  <c r="BI27" i="22"/>
  <c r="BA27" i="22"/>
  <c r="AM21" i="22"/>
  <c r="CO27" i="22"/>
  <c r="CG27" i="22"/>
  <c r="AF21" i="22"/>
  <c r="O81" i="21"/>
  <c r="O79" i="21"/>
  <c r="E84" i="21"/>
  <c r="E85" i="21" s="1"/>
  <c r="E82" i="21"/>
  <c r="U26" i="11"/>
  <c r="U29" i="11" s="1"/>
  <c r="U24" i="11"/>
  <c r="R47" i="11"/>
  <c r="R51" i="11" s="1"/>
  <c r="S43" i="15"/>
  <c r="L27" i="11"/>
  <c r="F27" i="11"/>
  <c r="F31" i="11"/>
  <c r="R27" i="11"/>
  <c r="S99" i="15"/>
  <c r="S144" i="15"/>
  <c r="Q99" i="15"/>
  <c r="Q144" i="15"/>
  <c r="S144" i="14"/>
  <c r="S99" i="14"/>
  <c r="Q99" i="14"/>
  <c r="Q144" i="14"/>
  <c r="S144" i="13"/>
  <c r="S99" i="13"/>
  <c r="O144" i="15"/>
  <c r="O99" i="15"/>
  <c r="O124" i="15" s="1"/>
  <c r="O144" i="13"/>
  <c r="O99" i="13"/>
  <c r="O124" i="13" s="1"/>
  <c r="CL63" i="3"/>
  <c r="CP63" i="3"/>
  <c r="BM44" i="15" l="1"/>
  <c r="BM43" i="15" s="1"/>
  <c r="BO49" i="15"/>
  <c r="BO41" i="15"/>
  <c r="BN41" i="15"/>
  <c r="CX45" i="15"/>
  <c r="CX44" i="15" s="1"/>
  <c r="CX43" i="15" s="1"/>
  <c r="CY45" i="15"/>
  <c r="CY44" i="15" s="1"/>
  <c r="CY43" i="15" s="1"/>
  <c r="CY48" i="15"/>
  <c r="BG48" i="15"/>
  <c r="BF45" i="15"/>
  <c r="BF44" i="15" s="1"/>
  <c r="BF43" i="15" s="1"/>
  <c r="BF49" i="15"/>
  <c r="BF48" i="15" s="1"/>
  <c r="BG45" i="15"/>
  <c r="BG44" i="15" s="1"/>
  <c r="BG43" i="15" s="1"/>
  <c r="BI41" i="15"/>
  <c r="BH41" i="15"/>
  <c r="BI49" i="15"/>
  <c r="BC49" i="15"/>
  <c r="BC41" i="15"/>
  <c r="BB41" i="15"/>
  <c r="AV45" i="15"/>
  <c r="AV44" i="15" s="1"/>
  <c r="AV43" i="15" s="1"/>
  <c r="AV49" i="15"/>
  <c r="AV48" i="15" s="1"/>
  <c r="AW48" i="15"/>
  <c r="AW45" i="15"/>
  <c r="AW44" i="15" s="1"/>
  <c r="AW43" i="15" s="1"/>
  <c r="AP30" i="14"/>
  <c r="AP29" i="14" s="1"/>
  <c r="AR26" i="14"/>
  <c r="AP25" i="14"/>
  <c r="AP24" i="14"/>
  <c r="AP23" i="14" s="1"/>
  <c r="AX30" i="13"/>
  <c r="AX29" i="13" s="1"/>
  <c r="AZ26" i="13"/>
  <c r="BB26" i="13" s="1"/>
  <c r="BD26" i="13" s="1"/>
  <c r="BF26" i="13" s="1"/>
  <c r="AX25" i="13"/>
  <c r="AX24" i="13"/>
  <c r="AX23" i="13" s="1"/>
  <c r="AQ41" i="15"/>
  <c r="AP41" i="15"/>
  <c r="AQ49" i="15"/>
  <c r="AL44" i="15"/>
  <c r="AL43" i="15" s="1"/>
  <c r="AM44" i="15"/>
  <c r="AM43" i="15" s="1"/>
  <c r="AM30" i="14"/>
  <c r="AM29" i="14" s="1"/>
  <c r="AO26" i="14"/>
  <c r="AQ26" i="14" s="1"/>
  <c r="AM25" i="14"/>
  <c r="AM24" i="14"/>
  <c r="AM23" i="14" s="1"/>
  <c r="AN25" i="14"/>
  <c r="AN30" i="14"/>
  <c r="AN29" i="14" s="1"/>
  <c r="AN24" i="14"/>
  <c r="AN23" i="14" s="1"/>
  <c r="AS53" i="3"/>
  <c r="AS68" i="3"/>
  <c r="AS63" i="3" s="1"/>
  <c r="AK26" i="13"/>
  <c r="AM26" i="13" s="1"/>
  <c r="AM25" i="13" s="1"/>
  <c r="DA26" i="13"/>
  <c r="DE26" i="13"/>
  <c r="DE94" i="13"/>
  <c r="DE98" i="13"/>
  <c r="CW94" i="13"/>
  <c r="CW98" i="13"/>
  <c r="AK48" i="15"/>
  <c r="AK45" i="15"/>
  <c r="AJ45" i="15"/>
  <c r="AJ49" i="15"/>
  <c r="AJ48" i="15" s="1"/>
  <c r="DC41" i="15"/>
  <c r="DB41" i="15"/>
  <c r="DQ41" i="15"/>
  <c r="DP41" i="15"/>
  <c r="DS68" i="15"/>
  <c r="DS50" i="15"/>
  <c r="DS54" i="15" s="1"/>
  <c r="DS53" i="15"/>
  <c r="DQ49" i="15"/>
  <c r="AJ41" i="15"/>
  <c r="AK41" i="15"/>
  <c r="DC49" i="15"/>
  <c r="AK30" i="14"/>
  <c r="AK29" i="14" s="1"/>
  <c r="AK25" i="14"/>
  <c r="AK24" i="14"/>
  <c r="AK23" i="14" s="1"/>
  <c r="DO50" i="15"/>
  <c r="DO54" i="15" s="1"/>
  <c r="DO68" i="15"/>
  <c r="DO53" i="15"/>
  <c r="DF45" i="15"/>
  <c r="DF44" i="15" s="1"/>
  <c r="DF43" i="15" s="1"/>
  <c r="DG48" i="15"/>
  <c r="DF49" i="15"/>
  <c r="DF48" i="15" s="1"/>
  <c r="DG45" i="15"/>
  <c r="DG44" i="15" s="1"/>
  <c r="DG43" i="15" s="1"/>
  <c r="DK54" i="15"/>
  <c r="DK49" i="15" s="1"/>
  <c r="CR26" i="14"/>
  <c r="CP24" i="14"/>
  <c r="CP23" i="14" s="1"/>
  <c r="CP25" i="14"/>
  <c r="CP30" i="14"/>
  <c r="CP29" i="14" s="1"/>
  <c r="CQ26" i="14"/>
  <c r="AI25" i="14"/>
  <c r="AI30" i="14"/>
  <c r="AI29" i="14" s="1"/>
  <c r="AI24" i="14"/>
  <c r="AI23" i="14" s="1"/>
  <c r="AI25" i="13"/>
  <c r="AI30" i="13"/>
  <c r="AI29" i="13" s="1"/>
  <c r="AI24" i="13"/>
  <c r="AI23" i="13" s="1"/>
  <c r="O26" i="3"/>
  <c r="O25" i="3"/>
  <c r="AS54" i="3"/>
  <c r="AS49" i="3" s="1"/>
  <c r="DE99" i="15"/>
  <c r="DE124" i="15" s="1"/>
  <c r="DE144" i="15"/>
  <c r="DM48" i="15"/>
  <c r="DM45" i="15"/>
  <c r="DM44" i="15" s="1"/>
  <c r="DM43" i="15" s="1"/>
  <c r="DL49" i="15"/>
  <c r="DL48" i="15" s="1"/>
  <c r="DL45" i="15"/>
  <c r="DL44" i="15" s="1"/>
  <c r="DL43" i="15" s="1"/>
  <c r="DD49" i="15"/>
  <c r="DD48" i="15" s="1"/>
  <c r="DE48" i="15"/>
  <c r="DE45" i="15"/>
  <c r="DE44" i="15" s="1"/>
  <c r="DE43" i="15" s="1"/>
  <c r="DD45" i="15"/>
  <c r="DD44" i="15" s="1"/>
  <c r="DD43" i="15" s="1"/>
  <c r="CV41" i="15"/>
  <c r="CW41" i="15"/>
  <c r="CW49" i="15"/>
  <c r="DA48" i="15"/>
  <c r="DA45" i="15"/>
  <c r="CZ49" i="15"/>
  <c r="CZ48" i="15" s="1"/>
  <c r="CZ45" i="15"/>
  <c r="CZ41" i="15"/>
  <c r="DA41" i="15"/>
  <c r="DI48" i="15"/>
  <c r="DI45" i="15"/>
  <c r="DI44" i="15" s="1"/>
  <c r="DI43" i="15" s="1"/>
  <c r="DH49" i="15"/>
  <c r="DH48" i="15" s="1"/>
  <c r="DH45" i="15"/>
  <c r="DH44" i="15" s="1"/>
  <c r="DH43" i="15" s="1"/>
  <c r="X45" i="15"/>
  <c r="X44" i="15" s="1"/>
  <c r="X43" i="15" s="1"/>
  <c r="X49" i="15"/>
  <c r="X48" i="15" s="1"/>
  <c r="Y45" i="15"/>
  <c r="Y44" i="15" s="1"/>
  <c r="Y43" i="15" s="1"/>
  <c r="Y48" i="15"/>
  <c r="AD49" i="15"/>
  <c r="AD48" i="15" s="1"/>
  <c r="AE48" i="15"/>
  <c r="AE45" i="15"/>
  <c r="AE44" i="15" s="1"/>
  <c r="AE43" i="15" s="1"/>
  <c r="AD45" i="15"/>
  <c r="AD44" i="15" s="1"/>
  <c r="AD43" i="15" s="1"/>
  <c r="AE98" i="15"/>
  <c r="AE94" i="15"/>
  <c r="AU90" i="3"/>
  <c r="AU89" i="3"/>
  <c r="N15" i="16"/>
  <c r="N16" i="16"/>
  <c r="AU68" i="3"/>
  <c r="AU56" i="3"/>
  <c r="AU53" i="3"/>
  <c r="T24" i="11"/>
  <c r="T26" i="11"/>
  <c r="AU108" i="3"/>
  <c r="AU109" i="3" s="1"/>
  <c r="AU111" i="3"/>
  <c r="AU112" i="3" s="1"/>
  <c r="AT8" i="3"/>
  <c r="Q51" i="11"/>
  <c r="Q49" i="11"/>
  <c r="Q50" i="11" s="1"/>
  <c r="CG30" i="27"/>
  <c r="CG28" i="27"/>
  <c r="BI30" i="27"/>
  <c r="BI28" i="27"/>
  <c r="BA28" i="27"/>
  <c r="BA30" i="27"/>
  <c r="E39" i="22"/>
  <c r="E38" i="27"/>
  <c r="E39" i="27" s="1"/>
  <c r="BY28" i="27"/>
  <c r="BY30" i="27"/>
  <c r="CO30" i="27"/>
  <c r="CO28" i="27"/>
  <c r="BQ30" i="27"/>
  <c r="BQ28" i="27"/>
  <c r="E27" i="21"/>
  <c r="E28" i="21" s="1"/>
  <c r="Q36" i="11"/>
  <c r="E58" i="21"/>
  <c r="E59" i="21" s="1"/>
  <c r="Q37" i="11"/>
  <c r="O58" i="21"/>
  <c r="M16" i="16"/>
  <c r="CG30" i="22"/>
  <c r="CG28" i="22"/>
  <c r="CO30" i="22"/>
  <c r="CO28" i="22"/>
  <c r="BI28" i="22"/>
  <c r="BI30" i="22"/>
  <c r="BY33" i="22"/>
  <c r="BY34" i="22" s="1"/>
  <c r="BY31" i="22"/>
  <c r="BA30" i="22"/>
  <c r="BA28" i="22"/>
  <c r="O84" i="21"/>
  <c r="O82" i="21"/>
  <c r="U27" i="11"/>
  <c r="S47" i="11"/>
  <c r="S51" i="11" s="1"/>
  <c r="R33" i="11"/>
  <c r="R49" i="11"/>
  <c r="R52" i="11" s="1"/>
  <c r="S27" i="11"/>
  <c r="L30" i="11"/>
  <c r="L31" i="11"/>
  <c r="K41" i="11" s="1"/>
  <c r="F30" i="11"/>
  <c r="CJ67" i="3"/>
  <c r="BN45" i="15" l="1"/>
  <c r="BN44" i="15" s="1"/>
  <c r="BN43" i="15" s="1"/>
  <c r="BN49" i="15"/>
  <c r="BN48" i="15" s="1"/>
  <c r="BO48" i="15"/>
  <c r="BO45" i="15"/>
  <c r="BO44" i="15" s="1"/>
  <c r="BO43" i="15" s="1"/>
  <c r="BH49" i="15"/>
  <c r="BH48" i="15" s="1"/>
  <c r="BI48" i="15"/>
  <c r="BI45" i="15"/>
  <c r="BI44" i="15" s="1"/>
  <c r="BI43" i="15" s="1"/>
  <c r="BH45" i="15"/>
  <c r="BH44" i="15" s="1"/>
  <c r="BH43" i="15" s="1"/>
  <c r="BF30" i="13"/>
  <c r="BF29" i="13" s="1"/>
  <c r="BF25" i="13"/>
  <c r="BF24" i="13"/>
  <c r="BF23" i="13" s="1"/>
  <c r="BH26" i="13"/>
  <c r="BJ26" i="13" s="1"/>
  <c r="BD25" i="13"/>
  <c r="BD24" i="13"/>
  <c r="BD23" i="13" s="1"/>
  <c r="BD30" i="13"/>
  <c r="BD29" i="13" s="1"/>
  <c r="BB25" i="13"/>
  <c r="BB30" i="13"/>
  <c r="BB29" i="13" s="1"/>
  <c r="BB24" i="13"/>
  <c r="BB23" i="13" s="1"/>
  <c r="BB49" i="15"/>
  <c r="BB48" i="15" s="1"/>
  <c r="BC45" i="15"/>
  <c r="BC44" i="15" s="1"/>
  <c r="BC43" i="15" s="1"/>
  <c r="BB45" i="15"/>
  <c r="BB44" i="15" s="1"/>
  <c r="BB43" i="15" s="1"/>
  <c r="BC48" i="15"/>
  <c r="AQ30" i="14"/>
  <c r="AQ29" i="14" s="1"/>
  <c r="AS26" i="14"/>
  <c r="AQ25" i="14"/>
  <c r="AQ24" i="14"/>
  <c r="AQ23" i="14" s="1"/>
  <c r="AR30" i="14"/>
  <c r="AR29" i="14" s="1"/>
  <c r="AT26" i="14"/>
  <c r="AV26" i="14" s="1"/>
  <c r="AR25" i="14"/>
  <c r="AR24" i="14"/>
  <c r="AR23" i="14" s="1"/>
  <c r="AZ30" i="13"/>
  <c r="AZ29" i="13" s="1"/>
  <c r="AZ25" i="13"/>
  <c r="AZ24" i="13"/>
  <c r="AZ23" i="13" s="1"/>
  <c r="AQ45" i="15"/>
  <c r="AQ44" i="15" s="1"/>
  <c r="AQ43" i="15" s="1"/>
  <c r="AP45" i="15"/>
  <c r="AP44" i="15" s="1"/>
  <c r="AP43" i="15" s="1"/>
  <c r="AP49" i="15"/>
  <c r="AP48" i="15" s="1"/>
  <c r="AQ48" i="15"/>
  <c r="AO30" i="14"/>
  <c r="AO29" i="14" s="1"/>
  <c r="AO25" i="14"/>
  <c r="AO24" i="14"/>
  <c r="AO23" i="14" s="1"/>
  <c r="AK24" i="13"/>
  <c r="AK23" i="13" s="1"/>
  <c r="DE30" i="13"/>
  <c r="DE29" i="13" s="1"/>
  <c r="DE25" i="13"/>
  <c r="K25" i="3" s="1"/>
  <c r="DE24" i="13"/>
  <c r="DE23" i="13" s="1"/>
  <c r="AK25" i="13"/>
  <c r="AK30" i="13"/>
  <c r="AK29" i="13" s="1"/>
  <c r="AM24" i="13"/>
  <c r="AM23" i="13" s="1"/>
  <c r="AM30" i="13"/>
  <c r="AM29" i="13" s="1"/>
  <c r="DE144" i="13"/>
  <c r="DE99" i="13"/>
  <c r="DE124" i="13" s="1"/>
  <c r="DA30" i="13"/>
  <c r="DA29" i="13" s="1"/>
  <c r="DA25" i="13"/>
  <c r="M25" i="3" s="1"/>
  <c r="DA24" i="13"/>
  <c r="DA23" i="13" s="1"/>
  <c r="AO26" i="13"/>
  <c r="AO30" i="13" s="1"/>
  <c r="AO29" i="13" s="1"/>
  <c r="CW99" i="13"/>
  <c r="CW124" i="13" s="1"/>
  <c r="CW144" i="13"/>
  <c r="DQ48" i="15"/>
  <c r="DP45" i="15"/>
  <c r="DP44" i="15" s="1"/>
  <c r="DP43" i="15" s="1"/>
  <c r="DQ45" i="15"/>
  <c r="DQ44" i="15" s="1"/>
  <c r="DQ43" i="15" s="1"/>
  <c r="DP49" i="15"/>
  <c r="DP48" i="15" s="1"/>
  <c r="AJ44" i="15"/>
  <c r="AJ43" i="15" s="1"/>
  <c r="AK44" i="15"/>
  <c r="AK43" i="15" s="1"/>
  <c r="DB45" i="15"/>
  <c r="DB44" i="15" s="1"/>
  <c r="DB43" i="15" s="1"/>
  <c r="DC45" i="15"/>
  <c r="DC44" i="15" s="1"/>
  <c r="DC43" i="15" s="1"/>
  <c r="DC48" i="15"/>
  <c r="DB49" i="15"/>
  <c r="DB48" i="15" s="1"/>
  <c r="DS49" i="15"/>
  <c r="DS41" i="15"/>
  <c r="DR41" i="15"/>
  <c r="DO41" i="15"/>
  <c r="DN41" i="15"/>
  <c r="DO49" i="15"/>
  <c r="CJ60" i="3"/>
  <c r="CJ59" i="3"/>
  <c r="DK48" i="15"/>
  <c r="DJ45" i="15"/>
  <c r="DK45" i="15"/>
  <c r="DJ49" i="15"/>
  <c r="DJ48" i="15" s="1"/>
  <c r="DJ41" i="15"/>
  <c r="DK41" i="15"/>
  <c r="CS26" i="14"/>
  <c r="CQ30" i="14"/>
  <c r="CQ29" i="14" s="1"/>
  <c r="CQ25" i="14"/>
  <c r="CQ24" i="14"/>
  <c r="CQ23" i="14" s="1"/>
  <c r="CT26" i="14"/>
  <c r="CR25" i="14"/>
  <c r="CR30" i="14"/>
  <c r="CR29" i="14" s="1"/>
  <c r="CR24" i="14"/>
  <c r="CR23" i="14" s="1"/>
  <c r="O29" i="3"/>
  <c r="O30" i="3"/>
  <c r="M26" i="3"/>
  <c r="O23" i="3"/>
  <c r="O24" i="3"/>
  <c r="K26" i="3"/>
  <c r="AS45" i="3"/>
  <c r="AR45" i="3"/>
  <c r="AS48" i="3"/>
  <c r="AR49" i="3"/>
  <c r="AR48" i="3" s="1"/>
  <c r="AS41" i="3"/>
  <c r="AR41" i="3"/>
  <c r="CZ44" i="15"/>
  <c r="CZ43" i="15" s="1"/>
  <c r="DA44" i="15"/>
  <c r="DA43" i="15" s="1"/>
  <c r="CW48" i="15"/>
  <c r="CV49" i="15"/>
  <c r="CV48" i="15" s="1"/>
  <c r="CV45" i="15"/>
  <c r="CV44" i="15" s="1"/>
  <c r="CV43" i="15" s="1"/>
  <c r="CW45" i="15"/>
  <c r="CW44" i="15" s="1"/>
  <c r="CW43" i="15" s="1"/>
  <c r="AE144" i="15"/>
  <c r="AE99" i="15"/>
  <c r="AE124" i="15" s="1"/>
  <c r="T27" i="11"/>
  <c r="T29" i="11"/>
  <c r="AU50" i="3"/>
  <c r="AU94" i="3"/>
  <c r="AU93" i="3"/>
  <c r="Q52" i="11"/>
  <c r="BY31" i="27"/>
  <c r="BY33" i="27"/>
  <c r="BY34" i="27" s="1"/>
  <c r="CO31" i="27"/>
  <c r="CO33" i="27"/>
  <c r="CO34" i="27" s="1"/>
  <c r="BI31" i="27"/>
  <c r="BI33" i="27"/>
  <c r="BI34" i="27" s="1"/>
  <c r="BA31" i="27"/>
  <c r="BA33" i="27"/>
  <c r="BA34" i="27" s="1"/>
  <c r="BQ33" i="27"/>
  <c r="BQ34" i="27" s="1"/>
  <c r="BQ31" i="27"/>
  <c r="CG31" i="27"/>
  <c r="CG33" i="27"/>
  <c r="CG34" i="27" s="1"/>
  <c r="O59" i="21"/>
  <c r="CO33" i="22"/>
  <c r="CO34" i="22" s="1"/>
  <c r="CO31" i="22"/>
  <c r="BI33" i="22"/>
  <c r="BI34" i="22" s="1"/>
  <c r="BI31" i="22"/>
  <c r="BA31" i="22"/>
  <c r="BA33" i="22"/>
  <c r="BA34" i="22" s="1"/>
  <c r="CG33" i="22"/>
  <c r="CG34" i="22" s="1"/>
  <c r="CG31" i="22"/>
  <c r="O85" i="21"/>
  <c r="S31" i="11"/>
  <c r="S30" i="11"/>
  <c r="R50" i="11"/>
  <c r="R35" i="11"/>
  <c r="S33" i="11"/>
  <c r="L36" i="27" s="1"/>
  <c r="S49" i="11"/>
  <c r="S52" i="11" s="1"/>
  <c r="R31" i="11"/>
  <c r="R30" i="11"/>
  <c r="CH104" i="3"/>
  <c r="CG42" i="3"/>
  <c r="AG34" i="11"/>
  <c r="CG31" i="3"/>
  <c r="CG30" i="3"/>
  <c r="CG29" i="3" s="1"/>
  <c r="CG25" i="3"/>
  <c r="CG19" i="3"/>
  <c r="CH15" i="3"/>
  <c r="CH19" i="3" s="1"/>
  <c r="CG9" i="3"/>
  <c r="CG2" i="3"/>
  <c r="CG10" i="3" s="1"/>
  <c r="BY9" i="3"/>
  <c r="BZ104" i="3"/>
  <c r="BY42" i="3"/>
  <c r="AA34" i="11"/>
  <c r="BY31" i="3"/>
  <c r="BY30" i="3"/>
  <c r="BY29" i="3" s="1"/>
  <c r="BY25" i="3"/>
  <c r="BY19" i="3"/>
  <c r="BZ15" i="3"/>
  <c r="BZ19" i="3" s="1"/>
  <c r="BY2" i="3"/>
  <c r="BY10" i="3" s="1"/>
  <c r="AD34" i="11"/>
  <c r="G37" i="27" s="1"/>
  <c r="AX57" i="3"/>
  <c r="AX63" i="3" s="1"/>
  <c r="BG2" i="3"/>
  <c r="BG10" i="3" s="1"/>
  <c r="BH104" i="3"/>
  <c r="BG42" i="3"/>
  <c r="BH32" i="3"/>
  <c r="X34" i="11" s="1"/>
  <c r="F37" i="27" s="1"/>
  <c r="BG31" i="3"/>
  <c r="BG30" i="3"/>
  <c r="BG29" i="3" s="1"/>
  <c r="BG19" i="3"/>
  <c r="BH15" i="3"/>
  <c r="BH19" i="3" s="1"/>
  <c r="BG9" i="3"/>
  <c r="CK26" i="3"/>
  <c r="CI26" i="3"/>
  <c r="AX104" i="3"/>
  <c r="AX42" i="3"/>
  <c r="AW32" i="3"/>
  <c r="AW31" i="3" s="1"/>
  <c r="AX31" i="3"/>
  <c r="AW26" i="3"/>
  <c r="AW25" i="3" s="1"/>
  <c r="AW19" i="3"/>
  <c r="AX15" i="3"/>
  <c r="AX19" i="3" s="1"/>
  <c r="AW2" i="3"/>
  <c r="AW10" i="3" s="1"/>
  <c r="T136" i="3"/>
  <c r="V136" i="3" s="1"/>
  <c r="AJ32" i="3"/>
  <c r="AH32" i="3"/>
  <c r="U32" i="3"/>
  <c r="S32" i="3"/>
  <c r="H32" i="3"/>
  <c r="BL30" i="13" l="1"/>
  <c r="BL29" i="13" s="1"/>
  <c r="BL25" i="13"/>
  <c r="BN26" i="13"/>
  <c r="BL24" i="13"/>
  <c r="BL23" i="13" s="1"/>
  <c r="BJ25" i="13"/>
  <c r="BJ30" i="13"/>
  <c r="BJ29" i="13" s="1"/>
  <c r="BJ24" i="13"/>
  <c r="BJ23" i="13" s="1"/>
  <c r="BH25" i="13"/>
  <c r="BH30" i="13"/>
  <c r="BH29" i="13" s="1"/>
  <c r="BH24" i="13"/>
  <c r="BH23" i="13" s="1"/>
  <c r="AV30" i="14"/>
  <c r="AV29" i="14" s="1"/>
  <c r="AV25" i="14"/>
  <c r="AX26" i="14"/>
  <c r="AV24" i="14"/>
  <c r="AV23" i="14" s="1"/>
  <c r="AT30" i="14"/>
  <c r="AT29" i="14" s="1"/>
  <c r="AT25" i="14"/>
  <c r="AT24" i="14"/>
  <c r="AT23" i="14" s="1"/>
  <c r="AS30" i="14"/>
  <c r="AS29" i="14" s="1"/>
  <c r="AU26" i="14"/>
  <c r="AW26" i="14" s="1"/>
  <c r="AS25" i="14"/>
  <c r="AS24" i="14"/>
  <c r="AS23" i="14" s="1"/>
  <c r="AO25" i="13"/>
  <c r="AQ26" i="13"/>
  <c r="AO24" i="13"/>
  <c r="AO23" i="13" s="1"/>
  <c r="DS48" i="15"/>
  <c r="DS45" i="15"/>
  <c r="DS44" i="15" s="1"/>
  <c r="DS43" i="15" s="1"/>
  <c r="DR45" i="15"/>
  <c r="DR44" i="15" s="1"/>
  <c r="DR43" i="15" s="1"/>
  <c r="DR49" i="15"/>
  <c r="DR48" i="15" s="1"/>
  <c r="DN45" i="15"/>
  <c r="DN44" i="15" s="1"/>
  <c r="DN43" i="15" s="1"/>
  <c r="DO45" i="15"/>
  <c r="DO44" i="15" s="1"/>
  <c r="DO43" i="15" s="1"/>
  <c r="DN49" i="15"/>
  <c r="DN48" i="15" s="1"/>
  <c r="DO48" i="15"/>
  <c r="CI62" i="3"/>
  <c r="CI8" i="3"/>
  <c r="CJ68" i="3"/>
  <c r="CJ56" i="3"/>
  <c r="DK44" i="15"/>
  <c r="DK43" i="15" s="1"/>
  <c r="DJ44" i="15"/>
  <c r="DJ43" i="15" s="1"/>
  <c r="CV26" i="14"/>
  <c r="Y26" i="3"/>
  <c r="CT25" i="14"/>
  <c r="Y25" i="3" s="1"/>
  <c r="CT30" i="14"/>
  <c r="CT24" i="14"/>
  <c r="CU26" i="14"/>
  <c r="CS30" i="14"/>
  <c r="CS29" i="14" s="1"/>
  <c r="CS25" i="14"/>
  <c r="CS24" i="14"/>
  <c r="CS23" i="14" s="1"/>
  <c r="M30" i="3"/>
  <c r="M29" i="3"/>
  <c r="K23" i="3"/>
  <c r="K24" i="3"/>
  <c r="M24" i="3"/>
  <c r="M23" i="3"/>
  <c r="K29" i="3"/>
  <c r="K30" i="3"/>
  <c r="AR44" i="3"/>
  <c r="AR43" i="3" s="1"/>
  <c r="AS44" i="3"/>
  <c r="AI136" i="3"/>
  <c r="AK136" i="3" s="1"/>
  <c r="U47" i="11"/>
  <c r="U33" i="11" s="1"/>
  <c r="O87" i="21" s="1"/>
  <c r="AU48" i="3"/>
  <c r="AU49" i="3"/>
  <c r="T30" i="11"/>
  <c r="T31" i="11"/>
  <c r="AU41" i="3"/>
  <c r="AT41" i="3"/>
  <c r="AU54" i="3"/>
  <c r="AU99" i="3"/>
  <c r="AU98" i="3"/>
  <c r="AU143" i="3" s="1"/>
  <c r="AU45" i="3"/>
  <c r="AT45" i="3"/>
  <c r="AT48" i="3"/>
  <c r="AT49" i="3"/>
  <c r="T37" i="27"/>
  <c r="H37" i="27"/>
  <c r="I37" i="27"/>
  <c r="U37" i="27"/>
  <c r="CH30" i="3"/>
  <c r="CH29" i="3" s="1"/>
  <c r="AW9" i="3"/>
  <c r="CH25" i="3"/>
  <c r="BZ30" i="3"/>
  <c r="BZ29" i="3" s="1"/>
  <c r="BZ42" i="3"/>
  <c r="BH31" i="3"/>
  <c r="F57" i="21"/>
  <c r="F88" i="21"/>
  <c r="F26" i="21"/>
  <c r="P88" i="21"/>
  <c r="P57" i="21"/>
  <c r="S88" i="21"/>
  <c r="I26" i="21"/>
  <c r="I88" i="21"/>
  <c r="S57" i="21"/>
  <c r="U37" i="22"/>
  <c r="I57" i="21"/>
  <c r="BH42" i="3"/>
  <c r="BZ31" i="3"/>
  <c r="Q57" i="21"/>
  <c r="Q88" i="21"/>
  <c r="G57" i="21"/>
  <c r="G26" i="21"/>
  <c r="G88" i="21"/>
  <c r="BZ25" i="3"/>
  <c r="H57" i="21"/>
  <c r="H26" i="21"/>
  <c r="T37" i="22"/>
  <c r="R88" i="21"/>
  <c r="H88" i="21"/>
  <c r="R57" i="21"/>
  <c r="CH42" i="3"/>
  <c r="E87" i="21"/>
  <c r="E125" i="21" s="1"/>
  <c r="L36" i="22"/>
  <c r="T47" i="11"/>
  <c r="T33" i="11" s="1"/>
  <c r="S35" i="11"/>
  <c r="L38" i="27" s="1"/>
  <c r="S50" i="11"/>
  <c r="R36" i="11"/>
  <c r="R37" i="11"/>
  <c r="P41" i="11"/>
  <c r="U30" i="11"/>
  <c r="U31" i="11"/>
  <c r="CH10" i="3"/>
  <c r="CG16" i="3"/>
  <c r="CG20" i="3" s="1"/>
  <c r="CG24" i="3" s="1"/>
  <c r="CG23" i="3" s="1"/>
  <c r="CH31" i="3"/>
  <c r="BZ10" i="3"/>
  <c r="BY16" i="3"/>
  <c r="BY20" i="3" s="1"/>
  <c r="BY24" i="3" s="1"/>
  <c r="BY23" i="3" s="1"/>
  <c r="BH10" i="3"/>
  <c r="BG16" i="3"/>
  <c r="BG20" i="3" s="1"/>
  <c r="BG24" i="3" s="1"/>
  <c r="BG23" i="3" s="1"/>
  <c r="BH26" i="3"/>
  <c r="BG25" i="3"/>
  <c r="AW30" i="3"/>
  <c r="AW29" i="3" s="1"/>
  <c r="AX26" i="3"/>
  <c r="AX30" i="3" s="1"/>
  <c r="AX29" i="3" s="1"/>
  <c r="AW16" i="3"/>
  <c r="AW20" i="3" s="1"/>
  <c r="AW24" i="3" s="1"/>
  <c r="AW23" i="3" s="1"/>
  <c r="AX10" i="3"/>
  <c r="AX126" i="3" s="1"/>
  <c r="AW42" i="3"/>
  <c r="BN25" i="13" l="1"/>
  <c r="BP26" i="13"/>
  <c r="BR26" i="13" s="1"/>
  <c r="BN24" i="13"/>
  <c r="BN23" i="13" s="1"/>
  <c r="BN30" i="13"/>
  <c r="BN29" i="13" s="1"/>
  <c r="AW25" i="14"/>
  <c r="AW30" i="14"/>
  <c r="AW29" i="14" s="1"/>
  <c r="AY26" i="14"/>
  <c r="AW24" i="14"/>
  <c r="AW23" i="14" s="1"/>
  <c r="AX25" i="14"/>
  <c r="AX30" i="14"/>
  <c r="AX29" i="14" s="1"/>
  <c r="AZ26" i="14"/>
  <c r="AX24" i="14"/>
  <c r="AX23" i="14" s="1"/>
  <c r="AU30" i="14"/>
  <c r="AU29" i="14" s="1"/>
  <c r="AU25" i="14"/>
  <c r="AU24" i="14"/>
  <c r="AU23" i="14" s="1"/>
  <c r="AQ30" i="13"/>
  <c r="AQ29" i="13" s="1"/>
  <c r="AS26" i="13"/>
  <c r="AQ25" i="13"/>
  <c r="AQ24" i="13"/>
  <c r="AQ23" i="13" s="1"/>
  <c r="BH16" i="3"/>
  <c r="BH20" i="3" s="1"/>
  <c r="BH24" i="3" s="1"/>
  <c r="BH23" i="3" s="1"/>
  <c r="BH76" i="3"/>
  <c r="BH74" i="3" s="1"/>
  <c r="BH75" i="3" s="1"/>
  <c r="BZ76" i="3"/>
  <c r="BZ132" i="3"/>
  <c r="CH132" i="3"/>
  <c r="CH76" i="3"/>
  <c r="CJ53" i="3"/>
  <c r="CJ50" i="3"/>
  <c r="CJ54" i="3" s="1"/>
  <c r="Y24" i="3"/>
  <c r="CT23" i="14"/>
  <c r="Y23" i="3" s="1"/>
  <c r="CW26" i="14"/>
  <c r="Z26" i="3"/>
  <c r="CU30" i="14"/>
  <c r="CU25" i="14"/>
  <c r="Z25" i="3" s="1"/>
  <c r="CU24" i="14"/>
  <c r="CT29" i="14"/>
  <c r="Y29" i="3" s="1"/>
  <c r="Y30" i="3"/>
  <c r="AA26" i="3"/>
  <c r="CV25" i="14"/>
  <c r="AA25" i="3" s="1"/>
  <c r="CV30" i="14"/>
  <c r="CV24" i="14"/>
  <c r="AS47" i="3"/>
  <c r="AS43" i="3"/>
  <c r="U49" i="11"/>
  <c r="U51" i="11"/>
  <c r="AU44" i="3"/>
  <c r="AT43" i="3"/>
  <c r="J37" i="27"/>
  <c r="Z37" i="27"/>
  <c r="L39" i="27"/>
  <c r="R126" i="21"/>
  <c r="H126" i="21"/>
  <c r="BH126" i="3"/>
  <c r="BZ16" i="3"/>
  <c r="BZ20" i="3" s="1"/>
  <c r="BZ24" i="3" s="1"/>
  <c r="BZ23" i="3" s="1"/>
  <c r="I126" i="21"/>
  <c r="BH129" i="3"/>
  <c r="CH16" i="3"/>
  <c r="CH20" i="3" s="1"/>
  <c r="CH24" i="3" s="1"/>
  <c r="CH23" i="3" s="1"/>
  <c r="BH132" i="3"/>
  <c r="BH148" i="3" s="1"/>
  <c r="G126" i="21"/>
  <c r="T57" i="21"/>
  <c r="Z37" i="22"/>
  <c r="T88" i="21"/>
  <c r="P126" i="21"/>
  <c r="J26" i="21"/>
  <c r="Q126" i="21"/>
  <c r="F126" i="21"/>
  <c r="J88" i="21"/>
  <c r="S126" i="21"/>
  <c r="J57" i="21"/>
  <c r="E89" i="21"/>
  <c r="E90" i="21" s="1"/>
  <c r="L38" i="22"/>
  <c r="O125" i="21"/>
  <c r="T51" i="11"/>
  <c r="T49" i="11"/>
  <c r="T35" i="11" s="1"/>
  <c r="T36" i="11" s="1"/>
  <c r="Q41" i="11"/>
  <c r="S37" i="11"/>
  <c r="S36" i="11"/>
  <c r="BZ79" i="3"/>
  <c r="CH69" i="3"/>
  <c r="CH129" i="3"/>
  <c r="CH126" i="3"/>
  <c r="BZ69" i="3"/>
  <c r="BZ129" i="3"/>
  <c r="BZ126" i="3"/>
  <c r="BH30" i="3"/>
  <c r="BH29" i="3" s="1"/>
  <c r="BH25" i="3"/>
  <c r="AX25" i="3"/>
  <c r="AX16" i="3"/>
  <c r="AX20" i="3" s="1"/>
  <c r="AX24" i="3" s="1"/>
  <c r="AX23" i="3" s="1"/>
  <c r="AX132" i="3"/>
  <c r="AX69" i="3"/>
  <c r="CR26" i="13" l="1"/>
  <c r="CR25" i="13" s="1"/>
  <c r="BT26" i="13"/>
  <c r="BV26" i="13" s="1"/>
  <c r="BR30" i="13"/>
  <c r="BR29" i="13" s="1"/>
  <c r="BR25" i="13"/>
  <c r="BR24" i="13"/>
  <c r="BR23" i="13" s="1"/>
  <c r="BP30" i="13"/>
  <c r="BP29" i="13" s="1"/>
  <c r="BP24" i="13"/>
  <c r="BP23" i="13" s="1"/>
  <c r="BP25" i="13"/>
  <c r="BB26" i="14"/>
  <c r="BD26" i="14" s="1"/>
  <c r="AZ25" i="14"/>
  <c r="AZ30" i="14"/>
  <c r="AZ29" i="14" s="1"/>
  <c r="AZ24" i="14"/>
  <c r="AZ23" i="14" s="1"/>
  <c r="AY25" i="14"/>
  <c r="BA26" i="14"/>
  <c r="AY30" i="14"/>
  <c r="AY29" i="14" s="1"/>
  <c r="AY24" i="14"/>
  <c r="AY23" i="14" s="1"/>
  <c r="AS30" i="13"/>
  <c r="AS29" i="13" s="1"/>
  <c r="AU26" i="13"/>
  <c r="AS25" i="13"/>
  <c r="AS24" i="13"/>
  <c r="AS23" i="13" s="1"/>
  <c r="U52" i="11"/>
  <c r="CJ49" i="3"/>
  <c r="U50" i="11"/>
  <c r="U35" i="11"/>
  <c r="U36" i="11" s="1"/>
  <c r="AA30" i="3"/>
  <c r="CV29" i="14"/>
  <c r="AA29" i="3" s="1"/>
  <c r="AB26" i="3"/>
  <c r="CW25" i="14"/>
  <c r="AB25" i="3" s="1"/>
  <c r="CW30" i="14"/>
  <c r="CW24" i="14"/>
  <c r="CU23" i="14"/>
  <c r="Z23" i="3" s="1"/>
  <c r="Z24" i="3"/>
  <c r="CU29" i="14"/>
  <c r="Z29" i="3" s="1"/>
  <c r="Z30" i="3"/>
  <c r="CV23" i="14"/>
  <c r="AA23" i="3" s="1"/>
  <c r="AA24" i="3"/>
  <c r="AU43" i="3"/>
  <c r="AT44" i="3"/>
  <c r="S36" i="22"/>
  <c r="S36" i="27"/>
  <c r="E127" i="21"/>
  <c r="E128" i="21" s="1"/>
  <c r="J126" i="21"/>
  <c r="AD14" i="11"/>
  <c r="Q39" i="21" s="1"/>
  <c r="T126" i="21"/>
  <c r="AZ136" i="3"/>
  <c r="AX136" i="3"/>
  <c r="AX140" i="3" s="1"/>
  <c r="L39" i="22"/>
  <c r="T50" i="11"/>
  <c r="T52" i="11"/>
  <c r="CH79" i="3"/>
  <c r="CH74" i="3" s="1"/>
  <c r="CH75" i="3" s="1"/>
  <c r="CR24" i="13" l="1"/>
  <c r="CR23" i="13" s="1"/>
  <c r="CR30" i="13"/>
  <c r="CR29" i="13" s="1"/>
  <c r="CN26" i="13"/>
  <c r="BX26" i="13"/>
  <c r="BZ26" i="13" s="1"/>
  <c r="CB26" i="13" s="1"/>
  <c r="CD26" i="13" s="1"/>
  <c r="CF26" i="13" s="1"/>
  <c r="CH26" i="13" s="1"/>
  <c r="CN30" i="13"/>
  <c r="CN29" i="13" s="1"/>
  <c r="CN25" i="13"/>
  <c r="CP26" i="13"/>
  <c r="CN24" i="13"/>
  <c r="CN23" i="13" s="1"/>
  <c r="BV30" i="13"/>
  <c r="BV29" i="13" s="1"/>
  <c r="BV25" i="13"/>
  <c r="BV24" i="13"/>
  <c r="BV23" i="13" s="1"/>
  <c r="BT30" i="13"/>
  <c r="BT29" i="13" s="1"/>
  <c r="BT25" i="13"/>
  <c r="BT24" i="13"/>
  <c r="BT23" i="13" s="1"/>
  <c r="BD25" i="14"/>
  <c r="BF26" i="14"/>
  <c r="BD24" i="14"/>
  <c r="BD23" i="14" s="1"/>
  <c r="BD30" i="14"/>
  <c r="BD29" i="14" s="1"/>
  <c r="BA24" i="14"/>
  <c r="BA23" i="14" s="1"/>
  <c r="BC26" i="14"/>
  <c r="BE26" i="14" s="1"/>
  <c r="BA30" i="14"/>
  <c r="BA29" i="14" s="1"/>
  <c r="BA25" i="14"/>
  <c r="BB30" i="14"/>
  <c r="BB29" i="14" s="1"/>
  <c r="BB25" i="14"/>
  <c r="BB24" i="14"/>
  <c r="BB23" i="14" s="1"/>
  <c r="AU30" i="13"/>
  <c r="AU29" i="13" s="1"/>
  <c r="AW26" i="13"/>
  <c r="AU25" i="13"/>
  <c r="AU24" i="13"/>
  <c r="AU23" i="13" s="1"/>
  <c r="O89" i="21"/>
  <c r="O127" i="21" s="1"/>
  <c r="O128" i="21" s="1"/>
  <c r="R41" i="11"/>
  <c r="CJ45" i="3"/>
  <c r="CI49" i="3"/>
  <c r="CI45" i="3"/>
  <c r="U37" i="11"/>
  <c r="AB30" i="3"/>
  <c r="CW29" i="14"/>
  <c r="AB29" i="3" s="1"/>
  <c r="AB24" i="3"/>
  <c r="CW23" i="14"/>
  <c r="AB23" i="3" s="1"/>
  <c r="S38" i="22"/>
  <c r="S39" i="22" s="1"/>
  <c r="S38" i="27"/>
  <c r="G70" i="21"/>
  <c r="G71" i="21" s="1"/>
  <c r="Q70" i="21"/>
  <c r="Q71" i="21" s="1"/>
  <c r="G39" i="21"/>
  <c r="G40" i="21" s="1"/>
  <c r="AD15" i="11"/>
  <c r="G8" i="21"/>
  <c r="G9" i="21" s="1"/>
  <c r="G30" i="21" s="1"/>
  <c r="G31" i="21" s="1"/>
  <c r="BB136" i="3"/>
  <c r="AZ96" i="3"/>
  <c r="BC20" i="22"/>
  <c r="BK20" i="22"/>
  <c r="CA20" i="22"/>
  <c r="BS20" i="22"/>
  <c r="CI20" i="22"/>
  <c r="Q40" i="21"/>
  <c r="T37" i="11"/>
  <c r="CH30" i="13" l="1"/>
  <c r="CH29" i="13" s="1"/>
  <c r="CJ26" i="13"/>
  <c r="CL26" i="13" s="1"/>
  <c r="CH25" i="13"/>
  <c r="CH24" i="13"/>
  <c r="CH23" i="13" s="1"/>
  <c r="CF30" i="13"/>
  <c r="CF29" i="13" s="1"/>
  <c r="CF25" i="13"/>
  <c r="CF24" i="13"/>
  <c r="CF23" i="13" s="1"/>
  <c r="CD30" i="13"/>
  <c r="CD29" i="13" s="1"/>
  <c r="CD25" i="13"/>
  <c r="CD24" i="13"/>
  <c r="CD23" i="13" s="1"/>
  <c r="CB30" i="13"/>
  <c r="CB29" i="13" s="1"/>
  <c r="CB25" i="13"/>
  <c r="CB24" i="13"/>
  <c r="CB23" i="13" s="1"/>
  <c r="BZ30" i="13"/>
  <c r="BZ29" i="13" s="1"/>
  <c r="BZ25" i="13"/>
  <c r="BZ24" i="13"/>
  <c r="BZ23" i="13" s="1"/>
  <c r="BX30" i="13"/>
  <c r="BX29" i="13" s="1"/>
  <c r="BX25" i="13"/>
  <c r="BX24" i="13"/>
  <c r="BX23" i="13" s="1"/>
  <c r="CP30" i="13"/>
  <c r="CP29" i="13" s="1"/>
  <c r="CP25" i="13"/>
  <c r="CP24" i="13"/>
  <c r="CP23" i="13" s="1"/>
  <c r="BE30" i="14"/>
  <c r="BE29" i="14" s="1"/>
  <c r="BG26" i="14"/>
  <c r="BE25" i="14"/>
  <c r="BE24" i="14"/>
  <c r="BE23" i="14" s="1"/>
  <c r="BF30" i="14"/>
  <c r="BF29" i="14" s="1"/>
  <c r="BH26" i="14"/>
  <c r="BF25" i="14"/>
  <c r="BF24" i="14"/>
  <c r="BF23" i="14" s="1"/>
  <c r="BC30" i="14"/>
  <c r="BC29" i="14" s="1"/>
  <c r="BC25" i="14"/>
  <c r="BC24" i="14"/>
  <c r="BC23" i="14" s="1"/>
  <c r="AY26" i="13"/>
  <c r="AW30" i="13"/>
  <c r="AW29" i="13" s="1"/>
  <c r="AW25" i="13"/>
  <c r="AW24" i="13"/>
  <c r="AW23" i="13" s="1"/>
  <c r="O90" i="21"/>
  <c r="S39" i="27"/>
  <c r="G101" i="21"/>
  <c r="G102" i="21" s="1"/>
  <c r="G130" i="21" s="1"/>
  <c r="G131" i="21" s="1"/>
  <c r="G10" i="21"/>
  <c r="Q101" i="21"/>
  <c r="CI41" i="22"/>
  <c r="CI42" i="22" s="1"/>
  <c r="CI21" i="22"/>
  <c r="BS21" i="22"/>
  <c r="BS41" i="22"/>
  <c r="BS42" i="22" s="1"/>
  <c r="BC41" i="22"/>
  <c r="BC42" i="22" s="1"/>
  <c r="BC21" i="22"/>
  <c r="CA21" i="22"/>
  <c r="CA41" i="22"/>
  <c r="CA42" i="22" s="1"/>
  <c r="BK41" i="22"/>
  <c r="BK42" i="22" s="1"/>
  <c r="BK21" i="22"/>
  <c r="G92" i="21"/>
  <c r="G93" i="21" s="1"/>
  <c r="G72" i="21"/>
  <c r="Q61" i="21"/>
  <c r="Q62" i="21" s="1"/>
  <c r="Q41" i="21"/>
  <c r="Q102" i="21"/>
  <c r="Q92" i="21"/>
  <c r="Q93" i="21" s="1"/>
  <c r="Q72" i="21"/>
  <c r="G61" i="21"/>
  <c r="G62" i="21" s="1"/>
  <c r="G41" i="21"/>
  <c r="AG14" i="11"/>
  <c r="CL25" i="13" l="1"/>
  <c r="CL30" i="13"/>
  <c r="CL29" i="13" s="1"/>
  <c r="CL24" i="13"/>
  <c r="CL23" i="13" s="1"/>
  <c r="CJ30" i="13"/>
  <c r="CJ29" i="13" s="1"/>
  <c r="CJ25" i="13"/>
  <c r="CJ24" i="13"/>
  <c r="CJ23" i="13" s="1"/>
  <c r="BI26" i="14"/>
  <c r="BG25" i="14"/>
  <c r="BG30" i="14"/>
  <c r="BG29" i="14" s="1"/>
  <c r="BG24" i="14"/>
  <c r="BG23" i="14" s="1"/>
  <c r="BH25" i="14"/>
  <c r="BJ26" i="14"/>
  <c r="BH24" i="14"/>
  <c r="BH23" i="14" s="1"/>
  <c r="BH30" i="14"/>
  <c r="BH29" i="14" s="1"/>
  <c r="AY30" i="13"/>
  <c r="AY29" i="13" s="1"/>
  <c r="BA26" i="13"/>
  <c r="BC26" i="13" s="1"/>
  <c r="BE26" i="13" s="1"/>
  <c r="BG26" i="13" s="1"/>
  <c r="AY25" i="13"/>
  <c r="AY24" i="13"/>
  <c r="AY23" i="13" s="1"/>
  <c r="G103" i="21"/>
  <c r="CC20" i="22"/>
  <c r="CS20" i="22"/>
  <c r="Q130" i="21"/>
  <c r="Q131" i="21" s="1"/>
  <c r="Q103" i="21"/>
  <c r="AG15" i="11"/>
  <c r="I70" i="21"/>
  <c r="S39" i="21"/>
  <c r="I39" i="21"/>
  <c r="I40" i="21" s="1"/>
  <c r="I8" i="21"/>
  <c r="I9" i="21" s="1"/>
  <c r="S70" i="21"/>
  <c r="BJ24" i="14" l="1"/>
  <c r="BJ23" i="14" s="1"/>
  <c r="BJ25" i="14"/>
  <c r="BJ30" i="14"/>
  <c r="BJ29" i="14" s="1"/>
  <c r="BI30" i="14"/>
  <c r="BI29" i="14" s="1"/>
  <c r="BI24" i="14"/>
  <c r="BI23" i="14" s="1"/>
  <c r="BI25" i="14"/>
  <c r="BK26" i="14"/>
  <c r="BI26" i="13"/>
  <c r="BK26" i="13" s="1"/>
  <c r="BG30" i="13"/>
  <c r="BG29" i="13" s="1"/>
  <c r="BG25" i="13"/>
  <c r="BG24" i="13"/>
  <c r="BG23" i="13" s="1"/>
  <c r="BE25" i="13"/>
  <c r="BE30" i="13"/>
  <c r="BE29" i="13" s="1"/>
  <c r="BE24" i="13"/>
  <c r="BE23" i="13" s="1"/>
  <c r="BC30" i="13"/>
  <c r="BC29" i="13" s="1"/>
  <c r="BC25" i="13"/>
  <c r="BC24" i="13"/>
  <c r="BC23" i="13" s="1"/>
  <c r="BA25" i="13"/>
  <c r="BA30" i="13"/>
  <c r="BA29" i="13" s="1"/>
  <c r="BA24" i="13"/>
  <c r="BA23" i="13" s="1"/>
  <c r="BE20" i="22"/>
  <c r="CC41" i="22"/>
  <c r="CC42" i="22" s="1"/>
  <c r="CC21" i="22"/>
  <c r="BU20" i="22"/>
  <c r="BM20" i="22"/>
  <c r="CS41" i="22"/>
  <c r="CS42" i="22" s="1"/>
  <c r="CS21" i="22"/>
  <c r="CK20" i="22"/>
  <c r="S40" i="21"/>
  <c r="I101" i="21"/>
  <c r="I102" i="21" s="1"/>
  <c r="I71" i="21"/>
  <c r="S101" i="21"/>
  <c r="S71" i="21"/>
  <c r="I30" i="21"/>
  <c r="I31" i="21" s="1"/>
  <c r="I10" i="21"/>
  <c r="I41" i="21"/>
  <c r="I61" i="21"/>
  <c r="I62" i="21" s="1"/>
  <c r="K137" i="3"/>
  <c r="CL123" i="3"/>
  <c r="CL122" i="3"/>
  <c r="CL121" i="3"/>
  <c r="CL120" i="3"/>
  <c r="CL119" i="3"/>
  <c r="CL106" i="3"/>
  <c r="CL100" i="3"/>
  <c r="CL104" i="3" s="1"/>
  <c r="CL105" i="3" s="1"/>
  <c r="CL65" i="3"/>
  <c r="CL60" i="3" s="1"/>
  <c r="CK9" i="3"/>
  <c r="CL52" i="3"/>
  <c r="CL26" i="3"/>
  <c r="CJ26" i="3"/>
  <c r="CK19" i="3"/>
  <c r="CI19" i="3"/>
  <c r="CL15" i="3"/>
  <c r="CL19" i="3" s="1"/>
  <c r="CJ15" i="3"/>
  <c r="CJ19" i="3" s="1"/>
  <c r="CK2" i="3"/>
  <c r="CK10" i="3" s="1"/>
  <c r="CI2" i="3"/>
  <c r="CI10" i="3" s="1"/>
  <c r="BK25" i="14" l="1"/>
  <c r="BK30" i="14"/>
  <c r="BK29" i="14" s="1"/>
  <c r="BK24" i="14"/>
  <c r="BK23" i="14" s="1"/>
  <c r="BM25" i="13"/>
  <c r="BO26" i="13"/>
  <c r="BM30" i="13"/>
  <c r="BM29" i="13" s="1"/>
  <c r="BM24" i="13"/>
  <c r="BM23" i="13" s="1"/>
  <c r="BK25" i="13"/>
  <c r="BK30" i="13"/>
  <c r="BK29" i="13" s="1"/>
  <c r="BK24" i="13"/>
  <c r="BK23" i="13" s="1"/>
  <c r="BI25" i="13"/>
  <c r="BI30" i="13"/>
  <c r="BI29" i="13" s="1"/>
  <c r="BI24" i="13"/>
  <c r="BI23" i="13" s="1"/>
  <c r="CJ42" i="3"/>
  <c r="CJ41" i="3" s="1"/>
  <c r="CJ44" i="3" s="1"/>
  <c r="CJ25" i="3"/>
  <c r="CL68" i="3"/>
  <c r="CK62" i="3"/>
  <c r="BT96" i="3"/>
  <c r="BM21" i="22"/>
  <c r="BM41" i="22"/>
  <c r="BM42" i="22" s="1"/>
  <c r="BU21" i="22"/>
  <c r="BU41" i="22"/>
  <c r="BU42" i="22" s="1"/>
  <c r="BE21" i="22"/>
  <c r="BE41" i="22"/>
  <c r="BE42" i="22" s="1"/>
  <c r="CK41" i="22"/>
  <c r="CK42" i="22" s="1"/>
  <c r="CK21" i="22"/>
  <c r="I130" i="21"/>
  <c r="I131" i="21" s="1"/>
  <c r="I103" i="21"/>
  <c r="I92" i="21"/>
  <c r="I93" i="21" s="1"/>
  <c r="I72" i="21"/>
  <c r="S102" i="21"/>
  <c r="S92" i="21"/>
  <c r="S93" i="21" s="1"/>
  <c r="S72" i="21"/>
  <c r="S41" i="21"/>
  <c r="S61" i="21"/>
  <c r="S62" i="21" s="1"/>
  <c r="T137" i="3"/>
  <c r="V137" i="3" s="1"/>
  <c r="AX66" i="3"/>
  <c r="CL117" i="3"/>
  <c r="CL116" i="3" s="1"/>
  <c r="CL114" i="3" s="1"/>
  <c r="CL115" i="3" s="1"/>
  <c r="CL72" i="3" s="1"/>
  <c r="CL56" i="3"/>
  <c r="CI42" i="3"/>
  <c r="CI41" i="3" s="1"/>
  <c r="CI25" i="3"/>
  <c r="CK42" i="3"/>
  <c r="CL59" i="3"/>
  <c r="CK25" i="3"/>
  <c r="CL42" i="3"/>
  <c r="CL25" i="3"/>
  <c r="CL10" i="3"/>
  <c r="CK16" i="3"/>
  <c r="CJ10" i="3"/>
  <c r="CI16" i="3"/>
  <c r="CI20" i="3" s="1"/>
  <c r="CI24" i="3" s="1"/>
  <c r="CI23" i="3" s="1"/>
  <c r="BQ26" i="13" l="1"/>
  <c r="BS26" i="13" s="1"/>
  <c r="BO30" i="13"/>
  <c r="BO29" i="13" s="1"/>
  <c r="BO25" i="13"/>
  <c r="BO24" i="13"/>
  <c r="BO23" i="13" s="1"/>
  <c r="CJ77" i="3"/>
  <c r="CJ76" i="3" s="1"/>
  <c r="CJ132" i="3"/>
  <c r="CJ133" i="3" s="1"/>
  <c r="CL77" i="3"/>
  <c r="CL76" i="3" s="1"/>
  <c r="CL80" i="3" s="1"/>
  <c r="CL83" i="3" s="1"/>
  <c r="CL132" i="3"/>
  <c r="CL133" i="3" s="1"/>
  <c r="CJ47" i="3"/>
  <c r="CJ43" i="3"/>
  <c r="CJ129" i="3"/>
  <c r="CJ130" i="3" s="1"/>
  <c r="CJ16" i="3"/>
  <c r="CJ20" i="3" s="1"/>
  <c r="CJ24" i="3" s="1"/>
  <c r="CJ23" i="3" s="1"/>
  <c r="CJ69" i="3"/>
  <c r="CJ48" i="3"/>
  <c r="CK20" i="3"/>
  <c r="S103" i="21"/>
  <c r="S130" i="21"/>
  <c r="S131" i="21" s="1"/>
  <c r="AX96" i="3"/>
  <c r="AX127" i="3"/>
  <c r="AI137" i="3"/>
  <c r="AK137" i="3" s="1"/>
  <c r="AZ137" i="3" s="1"/>
  <c r="AX122" i="3"/>
  <c r="AX52" i="3"/>
  <c r="AX65" i="3"/>
  <c r="AX60" i="3" s="1"/>
  <c r="AX62" i="3"/>
  <c r="AX119" i="3"/>
  <c r="AX121" i="3"/>
  <c r="AX106" i="3"/>
  <c r="AX120" i="3"/>
  <c r="AX105" i="3"/>
  <c r="AX133" i="3"/>
  <c r="AX141" i="3" s="1"/>
  <c r="CL53" i="3"/>
  <c r="CL50" i="3"/>
  <c r="CL54" i="3" s="1"/>
  <c r="CK41" i="3" s="1"/>
  <c r="CK8" i="3"/>
  <c r="CL16" i="3"/>
  <c r="CL20" i="3" s="1"/>
  <c r="CL24" i="3" s="1"/>
  <c r="CL23" i="3" s="1"/>
  <c r="CL129" i="3"/>
  <c r="CL130" i="3" s="1"/>
  <c r="CL69" i="3"/>
  <c r="CS26" i="13" l="1"/>
  <c r="BU26" i="13"/>
  <c r="BW26" i="13" s="1"/>
  <c r="CS25" i="13"/>
  <c r="CS30" i="13"/>
  <c r="CS29" i="13" s="1"/>
  <c r="CS24" i="13"/>
  <c r="CS23" i="13" s="1"/>
  <c r="BS30" i="13"/>
  <c r="BS29" i="13" s="1"/>
  <c r="BS25" i="13"/>
  <c r="BS24" i="13"/>
  <c r="BS23" i="13" s="1"/>
  <c r="BQ30" i="13"/>
  <c r="BQ29" i="13" s="1"/>
  <c r="BQ25" i="13"/>
  <c r="BQ24" i="13"/>
  <c r="BQ23" i="13" s="1"/>
  <c r="BB137" i="3"/>
  <c r="BL137" i="3" s="1"/>
  <c r="BD137" i="3"/>
  <c r="CJ75" i="3"/>
  <c r="CJ71" i="3"/>
  <c r="CJ80" i="3"/>
  <c r="CJ111" i="3"/>
  <c r="CJ112" i="3" s="1"/>
  <c r="CJ108" i="3"/>
  <c r="CJ109" i="3" s="1"/>
  <c r="CK24" i="3"/>
  <c r="CL81" i="3"/>
  <c r="CL82" i="3"/>
  <c r="CL75" i="3"/>
  <c r="CL71" i="3"/>
  <c r="CL111" i="3"/>
  <c r="CL112" i="3" s="1"/>
  <c r="CL108" i="3"/>
  <c r="CL109" i="3" s="1"/>
  <c r="CB96" i="3"/>
  <c r="AX59" i="3"/>
  <c r="AX137" i="3"/>
  <c r="AW8" i="3"/>
  <c r="AX56" i="3"/>
  <c r="CL41" i="3"/>
  <c r="CL49" i="3"/>
  <c r="CL45" i="3" s="1"/>
  <c r="CL86" i="3"/>
  <c r="CL84" i="3"/>
  <c r="CO26" i="13" l="1"/>
  <c r="BY26" i="13"/>
  <c r="CA26" i="13" s="1"/>
  <c r="CC26" i="13" s="1"/>
  <c r="CE26" i="13" s="1"/>
  <c r="CG26" i="13" s="1"/>
  <c r="CI26" i="13" s="1"/>
  <c r="CO30" i="13"/>
  <c r="CO29" i="13" s="1"/>
  <c r="CO25" i="13"/>
  <c r="CQ26" i="13"/>
  <c r="CO24" i="13"/>
  <c r="CO23" i="13" s="1"/>
  <c r="BW30" i="13"/>
  <c r="BW29" i="13" s="1"/>
  <c r="BW25" i="13"/>
  <c r="BW24" i="13"/>
  <c r="BW23" i="13" s="1"/>
  <c r="BU30" i="13"/>
  <c r="BU29" i="13" s="1"/>
  <c r="BU25" i="13"/>
  <c r="BU24" i="13"/>
  <c r="BU23" i="13" s="1"/>
  <c r="BL140" i="3"/>
  <c r="BL141" i="3" s="1"/>
  <c r="BN137" i="3"/>
  <c r="BH137" i="3"/>
  <c r="BF137" i="3"/>
  <c r="BJ137" i="3" s="1"/>
  <c r="CJ83" i="3"/>
  <c r="CJ82" i="3"/>
  <c r="CJ81" i="3"/>
  <c r="CK23" i="3"/>
  <c r="CL44" i="3"/>
  <c r="CL43" i="3" s="1"/>
  <c r="AX68" i="3"/>
  <c r="AX50" i="3"/>
  <c r="AX53" i="3"/>
  <c r="CL48" i="3"/>
  <c r="CK45" i="3"/>
  <c r="CK44" i="3" s="1"/>
  <c r="CK43" i="3" s="1"/>
  <c r="CK49" i="3"/>
  <c r="CK48" i="3" s="1"/>
  <c r="CI44" i="3"/>
  <c r="CI43" i="3" s="1"/>
  <c r="CL89" i="3"/>
  <c r="CL87" i="3"/>
  <c r="CI30" i="13" l="1"/>
  <c r="CI29" i="13" s="1"/>
  <c r="CK26" i="13"/>
  <c r="CM26" i="13" s="1"/>
  <c r="CI25" i="13"/>
  <c r="CI24" i="13"/>
  <c r="CI23" i="13" s="1"/>
  <c r="CG30" i="13"/>
  <c r="CG29" i="13" s="1"/>
  <c r="CG25" i="13"/>
  <c r="CG24" i="13"/>
  <c r="CG23" i="13" s="1"/>
  <c r="CE30" i="13"/>
  <c r="CE29" i="13" s="1"/>
  <c r="CE25" i="13"/>
  <c r="CE24" i="13"/>
  <c r="CE23" i="13" s="1"/>
  <c r="CC30" i="13"/>
  <c r="CC29" i="13" s="1"/>
  <c r="CC25" i="13"/>
  <c r="CC24" i="13"/>
  <c r="CC23" i="13" s="1"/>
  <c r="CA30" i="13"/>
  <c r="CA29" i="13" s="1"/>
  <c r="CA25" i="13"/>
  <c r="CA24" i="13"/>
  <c r="CA23" i="13" s="1"/>
  <c r="BY30" i="13"/>
  <c r="BY29" i="13" s="1"/>
  <c r="BY25" i="13"/>
  <c r="BY24" i="13"/>
  <c r="BY23" i="13" s="1"/>
  <c r="CQ30" i="13"/>
  <c r="CQ29" i="13" s="1"/>
  <c r="CQ25" i="13"/>
  <c r="CQ24" i="13"/>
  <c r="CQ23" i="13" s="1"/>
  <c r="BP137" i="3"/>
  <c r="BN140" i="3"/>
  <c r="BN141" i="3" s="1"/>
  <c r="BR137" i="3"/>
  <c r="CJ86" i="3"/>
  <c r="CJ84" i="3"/>
  <c r="CL47" i="3"/>
  <c r="CP96" i="3"/>
  <c r="AX54" i="3"/>
  <c r="CI48" i="3"/>
  <c r="CL90" i="3"/>
  <c r="CL93" i="3"/>
  <c r="CM30" i="13" l="1"/>
  <c r="CM29" i="13" s="1"/>
  <c r="CM25" i="13"/>
  <c r="CM24" i="13"/>
  <c r="CM23" i="13" s="1"/>
  <c r="CK25" i="13"/>
  <c r="CK30" i="13"/>
  <c r="CK29" i="13" s="1"/>
  <c r="CK24" i="13"/>
  <c r="CK23" i="13" s="1"/>
  <c r="CL136" i="3"/>
  <c r="CJ96" i="3"/>
  <c r="CJ89" i="3"/>
  <c r="CJ87" i="3"/>
  <c r="AX41" i="3"/>
  <c r="AW41" i="3"/>
  <c r="AX49" i="3"/>
  <c r="CL94" i="3"/>
  <c r="CL140" i="3" l="1"/>
  <c r="CN136" i="3"/>
  <c r="CL96" i="3"/>
  <c r="CL98" i="3" s="1"/>
  <c r="CJ90" i="3"/>
  <c r="CJ93" i="3"/>
  <c r="AX48" i="3"/>
  <c r="AX45" i="3"/>
  <c r="AX44" i="3" s="1"/>
  <c r="AX43" i="3" s="1"/>
  <c r="AW45" i="3"/>
  <c r="AW44" i="3" s="1"/>
  <c r="AW43" i="3" s="1"/>
  <c r="AW49" i="3"/>
  <c r="AW48" i="3" s="1"/>
  <c r="CN140" i="3" l="1"/>
  <c r="CN141" i="3" s="1"/>
  <c r="CN96" i="3"/>
  <c r="CN98" i="3" s="1"/>
  <c r="CJ98" i="3"/>
  <c r="CJ94" i="3"/>
  <c r="CP119" i="3"/>
  <c r="CP104" i="3"/>
  <c r="CP65" i="3"/>
  <c r="CP60" i="3" s="1"/>
  <c r="CO8" i="3" s="1"/>
  <c r="CP52" i="3"/>
  <c r="CO42" i="3"/>
  <c r="CP32" i="3"/>
  <c r="CP31" i="3" s="1"/>
  <c r="CO31" i="3"/>
  <c r="CO30" i="3"/>
  <c r="CO29" i="3" s="1"/>
  <c r="CP25" i="3"/>
  <c r="CO25" i="3"/>
  <c r="CO19" i="3"/>
  <c r="CP15" i="3"/>
  <c r="CP19" i="3" s="1"/>
  <c r="CO9" i="3"/>
  <c r="CO10" i="3"/>
  <c r="CN99" i="3" l="1"/>
  <c r="CN143" i="3"/>
  <c r="CJ143" i="3"/>
  <c r="CJ99" i="3"/>
  <c r="CO16" i="3"/>
  <c r="CO20" i="3" s="1"/>
  <c r="CO24" i="3" s="1"/>
  <c r="CO23" i="3" s="1"/>
  <c r="CP10" i="3"/>
  <c r="CP76" i="3" s="1"/>
  <c r="CP120" i="3"/>
  <c r="CP105" i="3"/>
  <c r="CP121" i="3"/>
  <c r="CP30" i="3"/>
  <c r="CP29" i="3" s="1"/>
  <c r="CP106" i="3"/>
  <c r="CP122" i="3"/>
  <c r="CP42" i="3"/>
  <c r="CP80" i="3" l="1"/>
  <c r="CP129" i="3"/>
  <c r="CP130" i="3" s="1"/>
  <c r="CP69" i="3"/>
  <c r="CP16" i="3"/>
  <c r="CP20" i="3" s="1"/>
  <c r="CP24" i="3" s="1"/>
  <c r="CP23" i="3" s="1"/>
  <c r="G18" i="12"/>
  <c r="G7" i="12"/>
  <c r="E18" i="12"/>
  <c r="E7" i="12"/>
  <c r="V12" i="11"/>
  <c r="V14" i="11"/>
  <c r="AE17" i="11"/>
  <c r="AB17" i="11"/>
  <c r="Y17" i="11"/>
  <c r="K20" i="11"/>
  <c r="J20" i="11"/>
  <c r="I20" i="11"/>
  <c r="J17" i="11"/>
  <c r="I17" i="11"/>
  <c r="E20" i="11"/>
  <c r="O20" i="11"/>
  <c r="O17" i="11"/>
  <c r="Q20" i="11"/>
  <c r="P20" i="11"/>
  <c r="P17" i="11"/>
  <c r="D20" i="11"/>
  <c r="D17" i="11"/>
  <c r="C20" i="11"/>
  <c r="C17" i="11"/>
  <c r="P14" i="11"/>
  <c r="O14" i="11"/>
  <c r="J14" i="11"/>
  <c r="D14" i="11"/>
  <c r="C14" i="11"/>
  <c r="C25" i="11"/>
  <c r="D25" i="11"/>
  <c r="E25" i="11"/>
  <c r="AQ29" i="22" s="1"/>
  <c r="I25" i="11"/>
  <c r="J25" i="11"/>
  <c r="K25" i="11"/>
  <c r="O25" i="11"/>
  <c r="P25" i="11"/>
  <c r="Q25" i="11"/>
  <c r="P12" i="11"/>
  <c r="O12" i="11"/>
  <c r="J12" i="11"/>
  <c r="I12" i="11"/>
  <c r="D12" i="11"/>
  <c r="C12" i="11"/>
  <c r="CP75" i="3" l="1"/>
  <c r="CP83" i="3"/>
  <c r="CP84" i="3" s="1"/>
  <c r="CP82" i="3"/>
  <c r="CP81" i="3"/>
  <c r="AR29" i="27"/>
  <c r="T29" i="27"/>
  <c r="AJ29" i="27"/>
  <c r="L29" i="27"/>
  <c r="AB29" i="27"/>
  <c r="D29" i="27"/>
  <c r="AA24" i="22"/>
  <c r="AA12" i="22" s="1"/>
  <c r="K24" i="27"/>
  <c r="AA24" i="27"/>
  <c r="S24" i="27"/>
  <c r="AK29" i="27"/>
  <c r="U29" i="27"/>
  <c r="AC29" i="27"/>
  <c r="M29" i="27"/>
  <c r="E29" i="27"/>
  <c r="AS29" i="27"/>
  <c r="C29" i="27"/>
  <c r="AI29" i="27"/>
  <c r="AQ29" i="27"/>
  <c r="AA29" i="27"/>
  <c r="K29" i="27"/>
  <c r="S29" i="27"/>
  <c r="E24" i="27"/>
  <c r="U24" i="27"/>
  <c r="AC24" i="27"/>
  <c r="M24" i="27"/>
  <c r="AB24" i="22"/>
  <c r="AB12" i="22" s="1"/>
  <c r="T24" i="27"/>
  <c r="AB24" i="27"/>
  <c r="L24" i="27"/>
  <c r="L24" i="22"/>
  <c r="T24" i="22"/>
  <c r="AB29" i="22"/>
  <c r="D29" i="22"/>
  <c r="AR29" i="22"/>
  <c r="L29" i="22"/>
  <c r="AJ29" i="22"/>
  <c r="T29" i="22"/>
  <c r="S24" i="22"/>
  <c r="K24" i="22"/>
  <c r="M24" i="22"/>
  <c r="U24" i="22"/>
  <c r="E24" i="22"/>
  <c r="AC24" i="22"/>
  <c r="AC12" i="22" s="1"/>
  <c r="AC29" i="22"/>
  <c r="E29" i="22"/>
  <c r="U29" i="22"/>
  <c r="M29" i="22"/>
  <c r="AS29" i="22"/>
  <c r="AK29" i="22"/>
  <c r="C29" i="22"/>
  <c r="AA29" i="22"/>
  <c r="S29" i="22"/>
  <c r="K29" i="22"/>
  <c r="AI29" i="22"/>
  <c r="N49" i="21"/>
  <c r="D49" i="21"/>
  <c r="D18" i="21"/>
  <c r="D44" i="21"/>
  <c r="N44" i="21"/>
  <c r="D13" i="21"/>
  <c r="M44" i="21"/>
  <c r="C44" i="21"/>
  <c r="C13" i="21"/>
  <c r="E44" i="21"/>
  <c r="O44" i="21"/>
  <c r="E13" i="21"/>
  <c r="O49" i="21"/>
  <c r="E49" i="21"/>
  <c r="E18" i="21"/>
  <c r="C49" i="21"/>
  <c r="M49" i="21"/>
  <c r="C18" i="21"/>
  <c r="C20" i="12"/>
  <c r="O19" i="11"/>
  <c r="C10" i="12"/>
  <c r="C19" i="11"/>
  <c r="I19" i="11"/>
  <c r="P19" i="11"/>
  <c r="D19" i="11"/>
  <c r="V19" i="11"/>
  <c r="J19" i="11"/>
  <c r="C7" i="12"/>
  <c r="AG18" i="11"/>
  <c r="AX29" i="22" l="1"/>
  <c r="R24" i="22"/>
  <c r="R29" i="22"/>
  <c r="AP29" i="27"/>
  <c r="CV29" i="27"/>
  <c r="CW29" i="27"/>
  <c r="R29" i="27"/>
  <c r="J29" i="27"/>
  <c r="CU29" i="27"/>
  <c r="Z29" i="27"/>
  <c r="AA12" i="27"/>
  <c r="AH29" i="27"/>
  <c r="CU24" i="27"/>
  <c r="AX29" i="27"/>
  <c r="AC12" i="27"/>
  <c r="J24" i="27"/>
  <c r="J12" i="27" s="1"/>
  <c r="CW24" i="27"/>
  <c r="AB12" i="27"/>
  <c r="AH24" i="27"/>
  <c r="Z24" i="27"/>
  <c r="R24" i="27"/>
  <c r="CV24" i="27"/>
  <c r="O111" i="21"/>
  <c r="CW29" i="22"/>
  <c r="AH29" i="22"/>
  <c r="AP29" i="22"/>
  <c r="Z29" i="22"/>
  <c r="J18" i="21"/>
  <c r="CU24" i="22"/>
  <c r="Z24" i="22"/>
  <c r="Z12" i="22" s="1"/>
  <c r="CV24" i="22"/>
  <c r="AH24" i="22"/>
  <c r="AH12" i="22" s="1"/>
  <c r="AP24" i="22"/>
  <c r="AP12" i="22" s="1"/>
  <c r="CU29" i="22"/>
  <c r="J29" i="22"/>
  <c r="CW24" i="22"/>
  <c r="J24" i="22"/>
  <c r="J12" i="22" s="1"/>
  <c r="AX12" i="22"/>
  <c r="CV29" i="22"/>
  <c r="N111" i="21"/>
  <c r="N106" i="21"/>
  <c r="O106" i="21"/>
  <c r="J49" i="21"/>
  <c r="C111" i="21"/>
  <c r="E106" i="21"/>
  <c r="D106" i="21"/>
  <c r="J13" i="21"/>
  <c r="T49" i="21"/>
  <c r="M111" i="21"/>
  <c r="E111" i="21"/>
  <c r="J44" i="21"/>
  <c r="C106" i="21"/>
  <c r="D111" i="21"/>
  <c r="T44" i="21"/>
  <c r="M106" i="21"/>
  <c r="G15" i="12"/>
  <c r="E15" i="12"/>
  <c r="G20" i="12"/>
  <c r="E20" i="12"/>
  <c r="C13" i="12"/>
  <c r="C15" i="12"/>
  <c r="K17" i="11"/>
  <c r="E17" i="11"/>
  <c r="AQ22" i="22" s="1"/>
  <c r="DC29" i="27" l="1"/>
  <c r="DB29" i="27"/>
  <c r="AQ22" i="27"/>
  <c r="K22" i="27"/>
  <c r="AI22" i="27"/>
  <c r="AA22" i="27"/>
  <c r="S22" i="27"/>
  <c r="T22" i="27"/>
  <c r="AB22" i="27"/>
  <c r="AR22" i="27"/>
  <c r="L22" i="27"/>
  <c r="AJ22" i="27"/>
  <c r="DB24" i="27"/>
  <c r="AH12" i="27"/>
  <c r="Z12" i="27"/>
  <c r="DC24" i="27"/>
  <c r="R12" i="27"/>
  <c r="S22" i="22"/>
  <c r="AI22" i="22"/>
  <c r="K22" i="22"/>
  <c r="AA22" i="22"/>
  <c r="DB29" i="22"/>
  <c r="L22" i="22"/>
  <c r="AR22" i="22"/>
  <c r="AB22" i="22"/>
  <c r="AJ22" i="22"/>
  <c r="T22" i="22"/>
  <c r="T111" i="21"/>
  <c r="DB24" i="22"/>
  <c r="M42" i="21"/>
  <c r="C42" i="21"/>
  <c r="C11" i="21"/>
  <c r="J106" i="21"/>
  <c r="T106" i="21"/>
  <c r="N42" i="21"/>
  <c r="D42" i="21"/>
  <c r="D11" i="21"/>
  <c r="J111" i="21"/>
  <c r="Q17" i="11"/>
  <c r="Q13" i="11"/>
  <c r="CU22" i="27" l="1"/>
  <c r="AC18" i="27"/>
  <c r="E18" i="27"/>
  <c r="M18" i="27"/>
  <c r="U18" i="27"/>
  <c r="AK18" i="27"/>
  <c r="AS18" i="27"/>
  <c r="U22" i="27"/>
  <c r="AK22" i="27"/>
  <c r="AS22" i="27"/>
  <c r="AC22" i="27"/>
  <c r="M22" i="27"/>
  <c r="CV22" i="27"/>
  <c r="CU22" i="22"/>
  <c r="AK22" i="22"/>
  <c r="M22" i="22"/>
  <c r="U22" i="22"/>
  <c r="AC22" i="22"/>
  <c r="AS22" i="22"/>
  <c r="CV22" i="22"/>
  <c r="AS18" i="22"/>
  <c r="M18" i="22"/>
  <c r="U18" i="22"/>
  <c r="E18" i="22"/>
  <c r="AC18" i="22"/>
  <c r="AK18" i="22"/>
  <c r="D104" i="21"/>
  <c r="N104" i="21"/>
  <c r="M104" i="21"/>
  <c r="E38" i="21"/>
  <c r="O38" i="21"/>
  <c r="E7" i="21"/>
  <c r="O42" i="21"/>
  <c r="E42" i="21"/>
  <c r="E11" i="21"/>
  <c r="C104" i="21"/>
  <c r="P2" i="11"/>
  <c r="Q2" i="11"/>
  <c r="Q18" i="11"/>
  <c r="K13" i="11"/>
  <c r="W2" i="3"/>
  <c r="W10" i="3" s="1"/>
  <c r="X10" i="3" l="1"/>
  <c r="E196" i="3" s="1"/>
  <c r="E164" i="3" s="1"/>
  <c r="G164" i="3" s="1"/>
  <c r="W48" i="3"/>
  <c r="AC23" i="27"/>
  <c r="AS23" i="27"/>
  <c r="AK20" i="27"/>
  <c r="AK25" i="27"/>
  <c r="U20" i="27"/>
  <c r="U25" i="27"/>
  <c r="AK23" i="27"/>
  <c r="E23" i="27"/>
  <c r="E20" i="27"/>
  <c r="CW18" i="27"/>
  <c r="E25" i="27"/>
  <c r="M20" i="27"/>
  <c r="M25" i="27"/>
  <c r="U23" i="27"/>
  <c r="AC20" i="27"/>
  <c r="AC25" i="27"/>
  <c r="M23" i="27"/>
  <c r="CW22" i="27"/>
  <c r="AS20" i="27"/>
  <c r="AS25" i="27"/>
  <c r="D18" i="27"/>
  <c r="AB18" i="27"/>
  <c r="L18" i="27"/>
  <c r="AR18" i="27"/>
  <c r="AJ18" i="27"/>
  <c r="T18" i="27"/>
  <c r="AS23" i="22"/>
  <c r="AC23" i="22"/>
  <c r="D18" i="22"/>
  <c r="L18" i="22"/>
  <c r="AB18" i="22"/>
  <c r="AR18" i="22"/>
  <c r="AJ18" i="22"/>
  <c r="T18" i="22"/>
  <c r="AS25" i="22"/>
  <c r="U23" i="22"/>
  <c r="U20" i="22"/>
  <c r="U25" i="22"/>
  <c r="AK25" i="22"/>
  <c r="CW22" i="22"/>
  <c r="M23" i="22"/>
  <c r="AC25" i="22"/>
  <c r="AK23" i="22"/>
  <c r="M20" i="22"/>
  <c r="M25" i="22"/>
  <c r="E23" i="22"/>
  <c r="CW18" i="22"/>
  <c r="E20" i="22"/>
  <c r="E25" i="22"/>
  <c r="E12" i="21"/>
  <c r="O43" i="21"/>
  <c r="O104" i="21"/>
  <c r="T42" i="21"/>
  <c r="E14" i="21"/>
  <c r="J11" i="21"/>
  <c r="E40" i="21"/>
  <c r="E100" i="21"/>
  <c r="E45" i="21"/>
  <c r="D38" i="21"/>
  <c r="N38" i="21"/>
  <c r="D7" i="21"/>
  <c r="E43" i="21"/>
  <c r="E104" i="21"/>
  <c r="J42" i="21"/>
  <c r="O40" i="21"/>
  <c r="O100" i="21"/>
  <c r="O107" i="21" s="1"/>
  <c r="O45" i="21"/>
  <c r="K2" i="11"/>
  <c r="J2" i="11"/>
  <c r="K18" i="11"/>
  <c r="J9" i="3"/>
  <c r="K123" i="3"/>
  <c r="K122" i="3"/>
  <c r="K121" i="3"/>
  <c r="K120" i="3"/>
  <c r="K119" i="3"/>
  <c r="K106" i="3"/>
  <c r="K100" i="3"/>
  <c r="K104" i="3" s="1"/>
  <c r="K105" i="3" s="1"/>
  <c r="K65" i="3"/>
  <c r="K52" i="3"/>
  <c r="J10" i="3"/>
  <c r="X132" i="3" l="1"/>
  <c r="X69" i="3"/>
  <c r="X76" i="3"/>
  <c r="X74" i="3" s="1"/>
  <c r="X126" i="3"/>
  <c r="X127" i="3" s="1"/>
  <c r="X48" i="3"/>
  <c r="E105" i="21"/>
  <c r="CW23" i="27"/>
  <c r="M41" i="27"/>
  <c r="M42" i="27" s="1"/>
  <c r="M21" i="27"/>
  <c r="U41" i="27"/>
  <c r="U42" i="27" s="1"/>
  <c r="U21" i="27"/>
  <c r="AC41" i="27"/>
  <c r="AC42" i="27" s="1"/>
  <c r="AC21" i="27"/>
  <c r="CW20" i="27"/>
  <c r="CW25" i="27"/>
  <c r="AS21" i="27"/>
  <c r="AS41" i="27"/>
  <c r="AS42" i="27" s="1"/>
  <c r="E41" i="27"/>
  <c r="E42" i="27" s="1"/>
  <c r="E21" i="27"/>
  <c r="AK21" i="27"/>
  <c r="AK41" i="27"/>
  <c r="AK42" i="27" s="1"/>
  <c r="L20" i="27"/>
  <c r="L25" i="27"/>
  <c r="L23" i="27"/>
  <c r="AJ20" i="27"/>
  <c r="AJ25" i="27"/>
  <c r="AJ23" i="27"/>
  <c r="AB23" i="27"/>
  <c r="AB20" i="27"/>
  <c r="AB25" i="27"/>
  <c r="AR20" i="27"/>
  <c r="AR25" i="27"/>
  <c r="AR23" i="27"/>
  <c r="D25" i="27"/>
  <c r="D23" i="27"/>
  <c r="CV18" i="27"/>
  <c r="D20" i="27"/>
  <c r="T20" i="27"/>
  <c r="T25" i="27"/>
  <c r="T23" i="27"/>
  <c r="CW23" i="22"/>
  <c r="CW25" i="22"/>
  <c r="L20" i="22"/>
  <c r="L25" i="22"/>
  <c r="L23" i="22"/>
  <c r="AK20" i="22"/>
  <c r="AS20" i="22"/>
  <c r="AR25" i="22"/>
  <c r="AR23" i="22"/>
  <c r="AR20" i="22"/>
  <c r="CV19" i="22"/>
  <c r="D20" i="22"/>
  <c r="D23" i="22"/>
  <c r="D25" i="22"/>
  <c r="CV18" i="22"/>
  <c r="E21" i="22"/>
  <c r="E41" i="22"/>
  <c r="E42" i="22" s="1"/>
  <c r="T20" i="22"/>
  <c r="T25" i="22"/>
  <c r="T23" i="22"/>
  <c r="AB20" i="22"/>
  <c r="AB25" i="22"/>
  <c r="AB23" i="22"/>
  <c r="M41" i="22"/>
  <c r="M42" i="22" s="1"/>
  <c r="M21" i="22"/>
  <c r="U21" i="22"/>
  <c r="U41" i="22"/>
  <c r="U42" i="22" s="1"/>
  <c r="AJ20" i="22"/>
  <c r="AJ25" i="22"/>
  <c r="AJ23" i="22"/>
  <c r="D14" i="21"/>
  <c r="D12" i="21"/>
  <c r="O105" i="21"/>
  <c r="N40" i="21"/>
  <c r="N100" i="21"/>
  <c r="N45" i="21"/>
  <c r="N43" i="21"/>
  <c r="O61" i="21"/>
  <c r="O62" i="21" s="1"/>
  <c r="O41" i="21"/>
  <c r="D40" i="21"/>
  <c r="D100" i="21"/>
  <c r="D45" i="21"/>
  <c r="D43" i="21"/>
  <c r="E107" i="21"/>
  <c r="J104" i="21"/>
  <c r="T104" i="21"/>
  <c r="E41" i="21"/>
  <c r="E61" i="21"/>
  <c r="E62" i="21" s="1"/>
  <c r="K117" i="3"/>
  <c r="K116" i="3" s="1"/>
  <c r="K114" i="3" s="1"/>
  <c r="K115" i="3" s="1"/>
  <c r="K12" i="11"/>
  <c r="K62" i="3"/>
  <c r="K59" i="3" s="1"/>
  <c r="E13" i="11"/>
  <c r="AQ18" i="22" s="1"/>
  <c r="K22" i="11"/>
  <c r="K10" i="3"/>
  <c r="E195" i="3" s="1"/>
  <c r="E163" i="3" s="1"/>
  <c r="G163" i="3" s="1"/>
  <c r="K60" i="3"/>
  <c r="X148" i="3" l="1"/>
  <c r="E198" i="3"/>
  <c r="E213" i="3"/>
  <c r="E181" i="3" s="1"/>
  <c r="G181" i="3" s="1"/>
  <c r="E206" i="3"/>
  <c r="E174" i="3" s="1"/>
  <c r="G174" i="3" s="1"/>
  <c r="X133" i="3"/>
  <c r="X141" i="3" s="1"/>
  <c r="X75" i="3"/>
  <c r="X108" i="3"/>
  <c r="X109" i="3" s="1"/>
  <c r="X111" i="3"/>
  <c r="X112" i="3" s="1"/>
  <c r="X71" i="3"/>
  <c r="X80" i="3"/>
  <c r="X147" i="3" s="1"/>
  <c r="K14" i="11"/>
  <c r="AQ23" i="22"/>
  <c r="AQ20" i="22"/>
  <c r="AQ25" i="22"/>
  <c r="AX18" i="22"/>
  <c r="AA32" i="27"/>
  <c r="AQ32" i="27"/>
  <c r="AI32" i="27"/>
  <c r="S32" i="27"/>
  <c r="AI18" i="27"/>
  <c r="AQ18" i="27"/>
  <c r="C18" i="27"/>
  <c r="K18" i="27"/>
  <c r="AA18" i="27"/>
  <c r="S18" i="27"/>
  <c r="CW41" i="27"/>
  <c r="CW42" i="27" s="1"/>
  <c r="CW21" i="27"/>
  <c r="D21" i="27"/>
  <c r="D41" i="27"/>
  <c r="D42" i="27" s="1"/>
  <c r="AB41" i="27"/>
  <c r="AB42" i="27" s="1"/>
  <c r="AB21" i="27"/>
  <c r="T41" i="27"/>
  <c r="T42" i="27" s="1"/>
  <c r="T21" i="27"/>
  <c r="CV20" i="27"/>
  <c r="CV25" i="27"/>
  <c r="CV23" i="27"/>
  <c r="AJ41" i="27"/>
  <c r="AJ42" i="27" s="1"/>
  <c r="AJ21" i="27"/>
  <c r="AR41" i="27"/>
  <c r="AR42" i="27" s="1"/>
  <c r="AR21" i="27"/>
  <c r="AR17" i="27"/>
  <c r="D17" i="27"/>
  <c r="T17" i="27"/>
  <c r="AB17" i="27"/>
  <c r="AJ17" i="27"/>
  <c r="L17" i="27"/>
  <c r="T26" i="27"/>
  <c r="AB26" i="27"/>
  <c r="AR26" i="27"/>
  <c r="L26" i="27"/>
  <c r="AJ26" i="27"/>
  <c r="D26" i="27"/>
  <c r="D27" i="27" s="1"/>
  <c r="L41" i="27"/>
  <c r="L42" i="27" s="1"/>
  <c r="L21" i="27"/>
  <c r="D101" i="21"/>
  <c r="D102" i="21" s="1"/>
  <c r="K132" i="3"/>
  <c r="K126" i="3"/>
  <c r="K127" i="3" s="1"/>
  <c r="AR41" i="22"/>
  <c r="AR42" i="22" s="1"/>
  <c r="AR21" i="22"/>
  <c r="D41" i="22"/>
  <c r="D42" i="22" s="1"/>
  <c r="D21" i="22"/>
  <c r="AJ21" i="22"/>
  <c r="AJ41" i="22"/>
  <c r="AJ42" i="22" s="1"/>
  <c r="D26" i="22"/>
  <c r="D27" i="22" s="1"/>
  <c r="AJ26" i="22"/>
  <c r="AJ27" i="22" s="1"/>
  <c r="AR26" i="22"/>
  <c r="AB26" i="22"/>
  <c r="AB27" i="22" s="1"/>
  <c r="L26" i="22"/>
  <c r="L27" i="22" s="1"/>
  <c r="T26" i="22"/>
  <c r="T27" i="22" s="1"/>
  <c r="AA32" i="22"/>
  <c r="S32" i="22"/>
  <c r="AI32" i="22"/>
  <c r="T41" i="22"/>
  <c r="T42" i="22" s="1"/>
  <c r="T21" i="22"/>
  <c r="AS21" i="22"/>
  <c r="AS41" i="22"/>
  <c r="AS42" i="22" s="1"/>
  <c r="L21" i="22"/>
  <c r="L41" i="22"/>
  <c r="L42" i="22" s="1"/>
  <c r="C18" i="22"/>
  <c r="AA18" i="22"/>
  <c r="S18" i="22"/>
  <c r="K18" i="22"/>
  <c r="R18" i="22" s="1"/>
  <c r="AI18" i="22"/>
  <c r="E101" i="21"/>
  <c r="E102" i="21" s="1"/>
  <c r="E130" i="21" s="1"/>
  <c r="E131" i="21" s="1"/>
  <c r="O102" i="21"/>
  <c r="O103" i="21" s="1"/>
  <c r="AB41" i="22"/>
  <c r="AB42" i="22" s="1"/>
  <c r="AB21" i="22"/>
  <c r="AK41" i="22"/>
  <c r="AK42" i="22" s="1"/>
  <c r="AK21" i="22"/>
  <c r="L17" i="22"/>
  <c r="AB17" i="22"/>
  <c r="AR17" i="22"/>
  <c r="D17" i="22"/>
  <c r="AJ17" i="22"/>
  <c r="T17" i="22"/>
  <c r="CV20" i="22"/>
  <c r="CV25" i="22"/>
  <c r="CV23" i="22"/>
  <c r="O101" i="21"/>
  <c r="CW19" i="22"/>
  <c r="AC20" i="22"/>
  <c r="D107" i="21"/>
  <c r="D105" i="21"/>
  <c r="D61" i="21"/>
  <c r="D62" i="21" s="1"/>
  <c r="D41" i="21"/>
  <c r="C52" i="21"/>
  <c r="M52" i="21"/>
  <c r="C21" i="21"/>
  <c r="N107" i="21"/>
  <c r="N105" i="21"/>
  <c r="N61" i="21"/>
  <c r="N62" i="21" s="1"/>
  <c r="N41" i="21"/>
  <c r="H136" i="21"/>
  <c r="H137" i="21" s="1"/>
  <c r="N37" i="21"/>
  <c r="D37" i="21"/>
  <c r="D6" i="21"/>
  <c r="N46" i="21"/>
  <c r="N47" i="21" s="1"/>
  <c r="D46" i="21"/>
  <c r="D15" i="21"/>
  <c r="M38" i="21"/>
  <c r="C38" i="21"/>
  <c r="C7" i="21"/>
  <c r="D2" i="11"/>
  <c r="E2" i="11"/>
  <c r="K19" i="11"/>
  <c r="E12" i="11"/>
  <c r="AQ17" i="22" s="1"/>
  <c r="E18" i="11"/>
  <c r="E22" i="11"/>
  <c r="AQ26" i="22" s="1"/>
  <c r="K69" i="3"/>
  <c r="K56" i="3"/>
  <c r="J8" i="3"/>
  <c r="E205" i="3" l="1"/>
  <c r="K148" i="3"/>
  <c r="E200" i="3"/>
  <c r="E212" i="3"/>
  <c r="K15" i="11"/>
  <c r="K4" i="11"/>
  <c r="D8" i="21"/>
  <c r="J4" i="11"/>
  <c r="X82" i="3"/>
  <c r="X81" i="3"/>
  <c r="X83" i="3"/>
  <c r="K133" i="3"/>
  <c r="K141" i="3" s="1"/>
  <c r="AQ41" i="22"/>
  <c r="AQ42" i="22" s="1"/>
  <c r="AQ27" i="22"/>
  <c r="AQ21" i="22"/>
  <c r="AR27" i="22"/>
  <c r="AR28" i="22" s="1"/>
  <c r="CW20" i="22"/>
  <c r="CW21" i="22" s="1"/>
  <c r="S20" i="27"/>
  <c r="S25" i="27"/>
  <c r="S23" i="27"/>
  <c r="Z18" i="27"/>
  <c r="AA26" i="27"/>
  <c r="AQ26" i="27"/>
  <c r="K26" i="27"/>
  <c r="C26" i="27"/>
  <c r="AI26" i="27"/>
  <c r="S26" i="27"/>
  <c r="AA20" i="27"/>
  <c r="AA25" i="27"/>
  <c r="AA23" i="27"/>
  <c r="AH18" i="27"/>
  <c r="AI17" i="27"/>
  <c r="AQ17" i="27"/>
  <c r="K17" i="27"/>
  <c r="C17" i="27"/>
  <c r="AA17" i="27"/>
  <c r="S17" i="27"/>
  <c r="K20" i="27"/>
  <c r="K25" i="27"/>
  <c r="K23" i="27"/>
  <c r="R18" i="27"/>
  <c r="C23" i="27"/>
  <c r="C25" i="27"/>
  <c r="C20" i="27"/>
  <c r="CU18" i="27"/>
  <c r="J18" i="27"/>
  <c r="AQ20" i="27"/>
  <c r="AQ25" i="27"/>
  <c r="AQ23" i="27"/>
  <c r="AX18" i="27"/>
  <c r="AI20" i="27"/>
  <c r="AI25" i="27"/>
  <c r="AI23" i="27"/>
  <c r="AP18" i="27"/>
  <c r="CU32" i="27"/>
  <c r="T27" i="27"/>
  <c r="T30" i="27" s="1"/>
  <c r="AJ27" i="27"/>
  <c r="AJ30" i="27" s="1"/>
  <c r="D30" i="27"/>
  <c r="D28" i="27"/>
  <c r="CV41" i="27"/>
  <c r="CV42" i="27" s="1"/>
  <c r="CV21" i="27"/>
  <c r="L27" i="27"/>
  <c r="AR27" i="27"/>
  <c r="AB27" i="27"/>
  <c r="CV26" i="27"/>
  <c r="O130" i="21"/>
  <c r="O131" i="21" s="1"/>
  <c r="L30" i="22"/>
  <c r="L28" i="22"/>
  <c r="T28" i="22"/>
  <c r="T30" i="22"/>
  <c r="D28" i="22"/>
  <c r="D30" i="22"/>
  <c r="C20" i="22"/>
  <c r="C25" i="22"/>
  <c r="C23" i="22"/>
  <c r="CU18" i="22"/>
  <c r="J18" i="22"/>
  <c r="CU32" i="22"/>
  <c r="AI20" i="22"/>
  <c r="AP18" i="22"/>
  <c r="AI25" i="22"/>
  <c r="AI23" i="22"/>
  <c r="E103" i="21"/>
  <c r="AB30" i="22"/>
  <c r="AB28" i="22"/>
  <c r="AH19" i="22"/>
  <c r="CU19" i="22"/>
  <c r="C17" i="22"/>
  <c r="AA17" i="22"/>
  <c r="K17" i="22"/>
  <c r="S17" i="22"/>
  <c r="AI17" i="22"/>
  <c r="CV21" i="22"/>
  <c r="CV41" i="22"/>
  <c r="CV42" i="22" s="1"/>
  <c r="K20" i="22"/>
  <c r="K25" i="22"/>
  <c r="K23" i="22"/>
  <c r="AH18" i="22"/>
  <c r="AA20" i="22"/>
  <c r="AA25" i="22"/>
  <c r="AA23" i="22"/>
  <c r="AJ28" i="22"/>
  <c r="AJ30" i="22"/>
  <c r="AA26" i="22"/>
  <c r="C26" i="22"/>
  <c r="AI26" i="22"/>
  <c r="S26" i="22"/>
  <c r="K26" i="22"/>
  <c r="AC21" i="22"/>
  <c r="AC41" i="22"/>
  <c r="AC42" i="22" s="1"/>
  <c r="S20" i="22"/>
  <c r="Z18" i="22"/>
  <c r="S25" i="22"/>
  <c r="S23" i="22"/>
  <c r="CV26" i="22"/>
  <c r="CV27" i="22" s="1"/>
  <c r="C46" i="21"/>
  <c r="M46" i="21"/>
  <c r="C15" i="21"/>
  <c r="C40" i="21"/>
  <c r="C100" i="21"/>
  <c r="C45" i="21"/>
  <c r="C43" i="21"/>
  <c r="D99" i="21"/>
  <c r="M114" i="21"/>
  <c r="C14" i="21"/>
  <c r="C12" i="21"/>
  <c r="N99" i="21"/>
  <c r="N48" i="21"/>
  <c r="N50" i="21"/>
  <c r="N109" i="21"/>
  <c r="N110" i="21" s="1"/>
  <c r="C114" i="21"/>
  <c r="D130" i="21"/>
  <c r="D131" i="21" s="1"/>
  <c r="D103" i="21"/>
  <c r="C37" i="21"/>
  <c r="M37" i="21"/>
  <c r="C6" i="21"/>
  <c r="M40" i="21"/>
  <c r="M100" i="21"/>
  <c r="M45" i="21"/>
  <c r="M43" i="21"/>
  <c r="D108" i="21"/>
  <c r="D109" i="21" s="1"/>
  <c r="D47" i="21"/>
  <c r="N108" i="21"/>
  <c r="E19" i="11"/>
  <c r="G9" i="12"/>
  <c r="K68" i="3"/>
  <c r="K63" i="3" s="1"/>
  <c r="K50" i="3"/>
  <c r="K53" i="3"/>
  <c r="X84" i="3" l="1"/>
  <c r="X86" i="3"/>
  <c r="N101" i="21"/>
  <c r="N102" i="21" s="1"/>
  <c r="D9" i="21"/>
  <c r="K21" i="11"/>
  <c r="K23" i="11"/>
  <c r="O9" i="16"/>
  <c r="P9" i="16" s="1"/>
  <c r="K16" i="11"/>
  <c r="AR30" i="22"/>
  <c r="AR31" i="22" s="1"/>
  <c r="AQ28" i="22"/>
  <c r="AQ30" i="22"/>
  <c r="CW41" i="22"/>
  <c r="CW42" i="22" s="1"/>
  <c r="J25" i="27"/>
  <c r="DC18" i="27"/>
  <c r="AA41" i="27"/>
  <c r="AA42" i="27" s="1"/>
  <c r="AA27" i="27"/>
  <c r="AA21" i="27"/>
  <c r="AQ41" i="27"/>
  <c r="AQ42" i="27" s="1"/>
  <c r="AQ21" i="27"/>
  <c r="AQ27" i="27"/>
  <c r="R25" i="27"/>
  <c r="AI27" i="27"/>
  <c r="AI41" i="27"/>
  <c r="AI42" i="27" s="1"/>
  <c r="AI21" i="27"/>
  <c r="CU20" i="27"/>
  <c r="CU25" i="27"/>
  <c r="CU23" i="27"/>
  <c r="Z25" i="27"/>
  <c r="AX20" i="27"/>
  <c r="AX25" i="27"/>
  <c r="C41" i="27"/>
  <c r="C42" i="27" s="1"/>
  <c r="C21" i="27"/>
  <c r="C27" i="27"/>
  <c r="K21" i="27"/>
  <c r="K41" i="27"/>
  <c r="K42" i="27" s="1"/>
  <c r="K27" i="27"/>
  <c r="AH25" i="27"/>
  <c r="AH20" i="27"/>
  <c r="CU26" i="27"/>
  <c r="AP25" i="27"/>
  <c r="AP20" i="27"/>
  <c r="S27" i="27"/>
  <c r="S41" i="27"/>
  <c r="S42" i="27" s="1"/>
  <c r="S21" i="27"/>
  <c r="T28" i="27"/>
  <c r="AJ28" i="27"/>
  <c r="CV27" i="27"/>
  <c r="L30" i="27"/>
  <c r="L28" i="27"/>
  <c r="T31" i="27"/>
  <c r="AR30" i="27"/>
  <c r="AR28" i="27"/>
  <c r="AB28" i="27"/>
  <c r="AB30" i="27"/>
  <c r="AJ31" i="27"/>
  <c r="D31" i="27"/>
  <c r="CV30" i="22"/>
  <c r="CV28" i="22"/>
  <c r="AI21" i="22"/>
  <c r="AI27" i="22"/>
  <c r="AI41" i="22"/>
  <c r="AI42" i="22" s="1"/>
  <c r="S21" i="22"/>
  <c r="S41" i="22"/>
  <c r="S42" i="22" s="1"/>
  <c r="S27" i="22"/>
  <c r="AB31" i="22"/>
  <c r="AP20" i="22"/>
  <c r="AP25" i="22"/>
  <c r="C27" i="22"/>
  <c r="C41" i="22"/>
  <c r="C42" i="22" s="1"/>
  <c r="C21" i="22"/>
  <c r="Z25" i="22"/>
  <c r="AJ31" i="22"/>
  <c r="K41" i="22"/>
  <c r="K42" i="22" s="1"/>
  <c r="K21" i="22"/>
  <c r="K27" i="22"/>
  <c r="T31" i="22"/>
  <c r="CU26" i="22"/>
  <c r="AA21" i="22"/>
  <c r="AA41" i="22"/>
  <c r="AA42" i="22" s="1"/>
  <c r="AA27" i="22"/>
  <c r="AX20" i="22"/>
  <c r="AX25" i="22"/>
  <c r="D31" i="22"/>
  <c r="CU20" i="22"/>
  <c r="CU25" i="22"/>
  <c r="CU23" i="22"/>
  <c r="AH20" i="22"/>
  <c r="AH25" i="22"/>
  <c r="J25" i="22"/>
  <c r="L31" i="22"/>
  <c r="C107" i="21"/>
  <c r="C105" i="21"/>
  <c r="D110" i="21"/>
  <c r="D112" i="21"/>
  <c r="C61" i="21"/>
  <c r="C62" i="21" s="1"/>
  <c r="C47" i="21"/>
  <c r="C41" i="21"/>
  <c r="N51" i="21"/>
  <c r="N112" i="21"/>
  <c r="N113" i="21" s="1"/>
  <c r="M107" i="21"/>
  <c r="M105" i="21"/>
  <c r="D50" i="21"/>
  <c r="D48" i="21"/>
  <c r="M47" i="21"/>
  <c r="M41" i="21"/>
  <c r="M61" i="21"/>
  <c r="M62" i="21" s="1"/>
  <c r="M99" i="21"/>
  <c r="M108" i="21"/>
  <c r="C99" i="21"/>
  <c r="C108" i="21"/>
  <c r="C14" i="12"/>
  <c r="C16" i="12"/>
  <c r="E16" i="12"/>
  <c r="E19" i="12"/>
  <c r="E9" i="12"/>
  <c r="G16" i="12"/>
  <c r="H16" i="12" s="1"/>
  <c r="G19" i="12"/>
  <c r="H19" i="12" s="1"/>
  <c r="H9" i="12"/>
  <c r="H15" i="12"/>
  <c r="H18" i="12"/>
  <c r="H20" i="12"/>
  <c r="K54" i="3"/>
  <c r="K26" i="11" l="1"/>
  <c r="K27" i="11" s="1"/>
  <c r="K24" i="11"/>
  <c r="D10" i="21"/>
  <c r="D30" i="21"/>
  <c r="D31" i="21" s="1"/>
  <c r="D16" i="21"/>
  <c r="N103" i="21"/>
  <c r="N130" i="21"/>
  <c r="N131" i="21" s="1"/>
  <c r="X89" i="3"/>
  <c r="X87" i="3"/>
  <c r="AQ33" i="22"/>
  <c r="AQ34" i="22" s="1"/>
  <c r="AQ31" i="22"/>
  <c r="AH21" i="27"/>
  <c r="AI28" i="27"/>
  <c r="AI30" i="27"/>
  <c r="AA30" i="27"/>
  <c r="AA28" i="27"/>
  <c r="S28" i="27"/>
  <c r="S30" i="27"/>
  <c r="K28" i="27"/>
  <c r="K30" i="27"/>
  <c r="AP21" i="27"/>
  <c r="AX21" i="27"/>
  <c r="CU41" i="27"/>
  <c r="CU42" i="27" s="1"/>
  <c r="CU27" i="27"/>
  <c r="CU21" i="27"/>
  <c r="AQ28" i="27"/>
  <c r="AQ30" i="27"/>
  <c r="DC25" i="27"/>
  <c r="C30" i="27"/>
  <c r="C28" i="27"/>
  <c r="AB31" i="27"/>
  <c r="L31" i="27"/>
  <c r="AR31" i="27"/>
  <c r="CV28" i="27"/>
  <c r="CV30" i="27"/>
  <c r="K41" i="3"/>
  <c r="J41" i="3"/>
  <c r="M101" i="21"/>
  <c r="C101" i="21"/>
  <c r="C102" i="21" s="1"/>
  <c r="C109" i="21" s="1"/>
  <c r="AH21" i="22"/>
  <c r="AP21" i="22"/>
  <c r="AA28" i="22"/>
  <c r="AA30" i="22"/>
  <c r="K30" i="22"/>
  <c r="K28" i="22"/>
  <c r="C28" i="22"/>
  <c r="C30" i="22"/>
  <c r="AX21" i="22"/>
  <c r="AI28" i="22"/>
  <c r="AI30" i="22"/>
  <c r="CV31" i="22"/>
  <c r="CU27" i="22"/>
  <c r="CU21" i="22"/>
  <c r="CU41" i="22"/>
  <c r="CU42" i="22" s="1"/>
  <c r="S30" i="22"/>
  <c r="S28" i="22"/>
  <c r="M50" i="21"/>
  <c r="M48" i="21"/>
  <c r="D113" i="21"/>
  <c r="D51" i="21"/>
  <c r="C50" i="21"/>
  <c r="C48" i="21"/>
  <c r="F19" i="12"/>
  <c r="F9" i="12"/>
  <c r="F20" i="12"/>
  <c r="F18" i="12"/>
  <c r="F15" i="12"/>
  <c r="F16" i="12"/>
  <c r="K49" i="3"/>
  <c r="X93" i="3" l="1"/>
  <c r="X90" i="3"/>
  <c r="D19" i="21"/>
  <c r="D20" i="21" s="1"/>
  <c r="D17" i="21"/>
  <c r="CU30" i="27"/>
  <c r="CU28" i="27"/>
  <c r="AI31" i="27"/>
  <c r="AI33" i="27"/>
  <c r="AI34" i="27" s="1"/>
  <c r="S31" i="27"/>
  <c r="S33" i="27"/>
  <c r="S34" i="27" s="1"/>
  <c r="AQ31" i="27"/>
  <c r="AQ33" i="27"/>
  <c r="AQ34" i="27" s="1"/>
  <c r="C33" i="27"/>
  <c r="C34" i="27" s="1"/>
  <c r="C31" i="27"/>
  <c r="K31" i="27"/>
  <c r="K33" i="27"/>
  <c r="K34" i="27" s="1"/>
  <c r="AA33" i="27"/>
  <c r="AA34" i="27" s="1"/>
  <c r="AA31" i="27"/>
  <c r="CV31" i="27"/>
  <c r="C103" i="21"/>
  <c r="C130" i="21"/>
  <c r="C131" i="21" s="1"/>
  <c r="J45" i="3"/>
  <c r="J44" i="3" s="1"/>
  <c r="J43" i="3" s="1"/>
  <c r="K45" i="3"/>
  <c r="K44" i="3" s="1"/>
  <c r="M102" i="21"/>
  <c r="AI31" i="22"/>
  <c r="AI33" i="22"/>
  <c r="AI34" i="22" s="1"/>
  <c r="C31" i="22"/>
  <c r="C33" i="22"/>
  <c r="C34" i="22" s="1"/>
  <c r="K31" i="22"/>
  <c r="K33" i="22"/>
  <c r="K34" i="22" s="1"/>
  <c r="CU30" i="22"/>
  <c r="CU28" i="22"/>
  <c r="AA33" i="22"/>
  <c r="AA34" i="22" s="1"/>
  <c r="AA31" i="22"/>
  <c r="S33" i="22"/>
  <c r="S34" i="22" s="1"/>
  <c r="S31" i="22"/>
  <c r="C112" i="21"/>
  <c r="C110" i="21"/>
  <c r="M53" i="21"/>
  <c r="M51" i="21"/>
  <c r="C53" i="21"/>
  <c r="C54" i="21" s="1"/>
  <c r="C51" i="21"/>
  <c r="J49" i="3"/>
  <c r="J48" i="3" s="1"/>
  <c r="K48" i="3"/>
  <c r="X98" i="3" l="1"/>
  <c r="X94" i="3"/>
  <c r="CU31" i="27"/>
  <c r="CU33" i="27"/>
  <c r="CU34" i="27" s="1"/>
  <c r="K43" i="3"/>
  <c r="M109" i="21"/>
  <c r="M110" i="21" s="1"/>
  <c r="M103" i="21"/>
  <c r="M130" i="21"/>
  <c r="M131" i="21" s="1"/>
  <c r="CU31" i="22"/>
  <c r="CU33" i="22"/>
  <c r="CU34" i="22" s="1"/>
  <c r="M54" i="21"/>
  <c r="C113" i="21"/>
  <c r="C115" i="21"/>
  <c r="C116" i="21" s="1"/>
  <c r="K47" i="3"/>
  <c r="X99" i="3" l="1"/>
  <c r="X143" i="3"/>
  <c r="M112" i="21"/>
  <c r="M113" i="21" s="1"/>
  <c r="M115" i="21" l="1"/>
  <c r="M116" i="21" s="1"/>
  <c r="Q18" i="9"/>
  <c r="P18" i="9"/>
  <c r="O18" i="9"/>
  <c r="L18" i="9"/>
  <c r="K18" i="9"/>
  <c r="J18" i="9"/>
  <c r="G18" i="9"/>
  <c r="D18" i="9"/>
  <c r="Q16" i="9"/>
  <c r="P16" i="9"/>
  <c r="Y16" i="9" s="1"/>
  <c r="O16" i="9"/>
  <c r="L16" i="9"/>
  <c r="K16" i="9"/>
  <c r="J16" i="9"/>
  <c r="G16" i="9"/>
  <c r="D16" i="9"/>
  <c r="AG15" i="9"/>
  <c r="AJ15" i="9" s="1"/>
  <c r="AF15" i="9"/>
  <c r="AI15" i="9" s="1"/>
  <c r="AE15" i="9"/>
  <c r="AH15" i="9" s="1"/>
  <c r="AG14" i="9"/>
  <c r="AJ14" i="9" s="1"/>
  <c r="AF14" i="9"/>
  <c r="AI14" i="9" s="1"/>
  <c r="AE14" i="9"/>
  <c r="AH14" i="9" s="1"/>
  <c r="C14" i="9"/>
  <c r="D14" i="9" s="1"/>
  <c r="AG13" i="9"/>
  <c r="AJ13" i="9" s="1"/>
  <c r="AF13" i="9"/>
  <c r="AI13" i="9" s="1"/>
  <c r="AE13" i="9"/>
  <c r="AH13" i="9" s="1"/>
  <c r="AG12" i="9"/>
  <c r="AJ12" i="9" s="1"/>
  <c r="AF12" i="9"/>
  <c r="AI12" i="9" s="1"/>
  <c r="AE12" i="9"/>
  <c r="AH12" i="9" s="1"/>
  <c r="D12" i="9"/>
  <c r="AG11" i="9"/>
  <c r="AJ11" i="9" s="1"/>
  <c r="AF11" i="9"/>
  <c r="AI11" i="9" s="1"/>
  <c r="AE11" i="9"/>
  <c r="AH11" i="9" s="1"/>
  <c r="AG10" i="9"/>
  <c r="AJ10" i="9" s="1"/>
  <c r="AF10" i="9"/>
  <c r="AI10" i="9" s="1"/>
  <c r="AE10" i="9"/>
  <c r="AH10" i="9" s="1"/>
  <c r="AG9" i="9"/>
  <c r="AJ9" i="9" s="1"/>
  <c r="AF9" i="9"/>
  <c r="AI9" i="9" s="1"/>
  <c r="AE9" i="9"/>
  <c r="AH9" i="9" s="1"/>
  <c r="C9" i="9"/>
  <c r="D9" i="9" s="1"/>
  <c r="AG8" i="9"/>
  <c r="AJ8" i="9" s="1"/>
  <c r="AF8" i="9"/>
  <c r="AI8" i="9" s="1"/>
  <c r="AE8" i="9"/>
  <c r="AH8" i="9" s="1"/>
  <c r="D8" i="9"/>
  <c r="Y5" i="9"/>
  <c r="R22" i="8"/>
  <c r="Q22" i="8"/>
  <c r="N22" i="8"/>
  <c r="D22" i="8"/>
  <c r="R21" i="8"/>
  <c r="Q21" i="8"/>
  <c r="N21" i="8"/>
  <c r="H21" i="8"/>
  <c r="D21" i="8"/>
  <c r="AI20" i="8"/>
  <c r="V20" i="8"/>
  <c r="U20" i="8"/>
  <c r="R20" i="8"/>
  <c r="Q20" i="8"/>
  <c r="N20" i="8"/>
  <c r="M20" i="8"/>
  <c r="H20" i="8"/>
  <c r="G20" i="8"/>
  <c r="E20" i="8"/>
  <c r="D20" i="8"/>
  <c r="C20" i="8"/>
  <c r="AS18" i="8"/>
  <c r="AU18" i="8" s="1"/>
  <c r="AQ14" i="8"/>
  <c r="H5" i="9" s="1"/>
  <c r="J5" i="9" s="1"/>
  <c r="AR13" i="8"/>
  <c r="R13" i="8"/>
  <c r="Q13" i="8"/>
  <c r="N13" i="8"/>
  <c r="M13" i="8"/>
  <c r="D13" i="8"/>
  <c r="AR12" i="8"/>
  <c r="R12" i="8"/>
  <c r="Q12" i="8"/>
  <c r="M12" i="8"/>
  <c r="D12" i="8"/>
  <c r="AR11" i="8"/>
  <c r="R11" i="8"/>
  <c r="Q11" i="8"/>
  <c r="M11" i="8"/>
  <c r="D11" i="8"/>
  <c r="AR10" i="8"/>
  <c r="R10" i="8"/>
  <c r="Q10" i="8"/>
  <c r="N10" i="8"/>
  <c r="M10" i="8"/>
  <c r="G10" i="8"/>
  <c r="E10" i="8"/>
  <c r="D10" i="8"/>
  <c r="AR9" i="8"/>
  <c r="R9" i="8"/>
  <c r="Q9" i="8"/>
  <c r="N9" i="8"/>
  <c r="M9" i="8"/>
  <c r="G9" i="8"/>
  <c r="E9" i="8"/>
  <c r="D9" i="8"/>
  <c r="AR8" i="8"/>
  <c r="R8" i="8"/>
  <c r="Q8" i="8"/>
  <c r="N8" i="8"/>
  <c r="M8" i="8"/>
  <c r="G8" i="8"/>
  <c r="E8" i="8"/>
  <c r="D8" i="8"/>
  <c r="AR7" i="8"/>
  <c r="AS16" i="8" s="1"/>
  <c r="AL7" i="8"/>
  <c r="AJ7" i="8"/>
  <c r="AF7" i="8"/>
  <c r="Z7" i="8"/>
  <c r="V7" i="8"/>
  <c r="R7" i="8"/>
  <c r="Q7" i="8"/>
  <c r="N7" i="8"/>
  <c r="M7" i="8"/>
  <c r="J7" i="8"/>
  <c r="H7" i="8"/>
  <c r="G7" i="8"/>
  <c r="F7" i="8"/>
  <c r="E7" i="8"/>
  <c r="D7" i="8"/>
  <c r="R22" i="5"/>
  <c r="N22" i="5"/>
  <c r="D22" i="5"/>
  <c r="Q22" i="5"/>
  <c r="R21" i="5"/>
  <c r="N21" i="5"/>
  <c r="D21" i="5"/>
  <c r="Q21" i="5"/>
  <c r="AI20" i="5"/>
  <c r="V20" i="5"/>
  <c r="U20" i="5"/>
  <c r="R20" i="5"/>
  <c r="Q20" i="5"/>
  <c r="N20" i="5"/>
  <c r="M20" i="5"/>
  <c r="H20" i="5"/>
  <c r="G20" i="5"/>
  <c r="E20" i="5"/>
  <c r="D20" i="5"/>
  <c r="C20" i="5"/>
  <c r="M22" i="5"/>
  <c r="G22" i="5"/>
  <c r="H21" i="5"/>
  <c r="G21" i="8"/>
  <c r="AW8" i="8" s="1"/>
  <c r="AH2" i="3"/>
  <c r="AH10" i="3" s="1"/>
  <c r="AH8" i="3"/>
  <c r="AH9" i="3"/>
  <c r="AI15" i="3"/>
  <c r="AH19" i="3"/>
  <c r="AH26" i="3"/>
  <c r="AI26" i="3" s="1"/>
  <c r="AH31" i="3"/>
  <c r="AI52" i="3"/>
  <c r="AI56" i="3"/>
  <c r="AI50" i="3" s="1"/>
  <c r="AI65" i="3"/>
  <c r="AI67" i="3" s="1"/>
  <c r="AI104" i="3"/>
  <c r="AI105" i="3" s="1"/>
  <c r="AI106" i="3"/>
  <c r="AI108" i="3"/>
  <c r="AI111" i="3"/>
  <c r="AI119" i="3"/>
  <c r="AI120" i="3"/>
  <c r="AI121" i="3"/>
  <c r="AI122" i="3"/>
  <c r="AI135" i="3"/>
  <c r="AI96" i="3" s="1"/>
  <c r="AJ2" i="3"/>
  <c r="AJ10" i="3" s="1"/>
  <c r="AJ8" i="3"/>
  <c r="AJ9" i="3"/>
  <c r="AK15" i="3"/>
  <c r="AJ19" i="3"/>
  <c r="AJ26" i="3"/>
  <c r="AK26" i="3" s="1"/>
  <c r="AK52" i="3"/>
  <c r="AK56" i="3"/>
  <c r="AK65" i="3"/>
  <c r="AK67" i="3" s="1"/>
  <c r="AK104" i="3"/>
  <c r="AK105" i="3" s="1"/>
  <c r="AK106" i="3"/>
  <c r="AK108" i="3"/>
  <c r="AK111" i="3"/>
  <c r="AK119" i="3"/>
  <c r="AK120" i="3"/>
  <c r="AK121" i="3"/>
  <c r="AK122" i="3"/>
  <c r="AK128" i="3"/>
  <c r="AK135" i="3"/>
  <c r="AK96" i="3" s="1"/>
  <c r="AJ20" i="8"/>
  <c r="AM128" i="3" l="1"/>
  <c r="BC10" i="8"/>
  <c r="AT13" i="8"/>
  <c r="AW10" i="8"/>
  <c r="BB10" i="8"/>
  <c r="BA11" i="8"/>
  <c r="M5" i="9"/>
  <c r="T16" i="9" s="1"/>
  <c r="AT7" i="8"/>
  <c r="BC7" i="8"/>
  <c r="BC9" i="8"/>
  <c r="BA12" i="8"/>
  <c r="AX8" i="8"/>
  <c r="AU7" i="8"/>
  <c r="BD7" i="8"/>
  <c r="BB8" i="8"/>
  <c r="BD9" i="8"/>
  <c r="AW7" i="8"/>
  <c r="BC8" i="8"/>
  <c r="C10" i="9"/>
  <c r="D10" i="9" s="1"/>
  <c r="AX7" i="8"/>
  <c r="BD8" i="8"/>
  <c r="AR14" i="8"/>
  <c r="BA7" i="8"/>
  <c r="BC13" i="8"/>
  <c r="BB7" i="8"/>
  <c r="BB9" i="8"/>
  <c r="AI32" i="3"/>
  <c r="AI31" i="3" s="1"/>
  <c r="AK53" i="3"/>
  <c r="AI80" i="3"/>
  <c r="AI82" i="3" s="1"/>
  <c r="AI109" i="3"/>
  <c r="AH25" i="3"/>
  <c r="X7" i="8"/>
  <c r="AK50" i="3"/>
  <c r="AK54" i="3" s="1"/>
  <c r="P13" i="11"/>
  <c r="P15" i="11" s="1"/>
  <c r="AK80" i="3"/>
  <c r="AK83" i="3" s="1"/>
  <c r="C9" i="8"/>
  <c r="O9" i="8" s="1"/>
  <c r="AK109" i="3"/>
  <c r="AK62" i="3"/>
  <c r="AK59" i="3" s="1"/>
  <c r="G21" i="5"/>
  <c r="M21" i="8"/>
  <c r="BA8" i="8" s="1"/>
  <c r="M21" i="5"/>
  <c r="G22" i="8"/>
  <c r="AW9" i="8" s="1"/>
  <c r="H22" i="8"/>
  <c r="AX9" i="8" s="1"/>
  <c r="AI62" i="3"/>
  <c r="AI59" i="3" s="1"/>
  <c r="O13" i="11"/>
  <c r="O15" i="11" s="1"/>
  <c r="H22" i="5"/>
  <c r="J22" i="5" s="1"/>
  <c r="M22" i="8"/>
  <c r="BA9" i="8" s="1"/>
  <c r="AI25" i="3"/>
  <c r="AK112" i="3"/>
  <c r="AH30" i="3"/>
  <c r="AH29" i="3" s="1"/>
  <c r="I20" i="8"/>
  <c r="AY7" i="8" s="1"/>
  <c r="AH16" i="3"/>
  <c r="AH20" i="3" s="1"/>
  <c r="AH24" i="3" s="1"/>
  <c r="AH23" i="3" s="1"/>
  <c r="AI10" i="3"/>
  <c r="P13" i="8"/>
  <c r="T12" i="8"/>
  <c r="AH7" i="8"/>
  <c r="P9" i="8"/>
  <c r="T13" i="8"/>
  <c r="AN7" i="8"/>
  <c r="T7" i="8"/>
  <c r="E27" i="8"/>
  <c r="T8" i="8"/>
  <c r="P7" i="8"/>
  <c r="T9" i="8"/>
  <c r="AT11" i="8"/>
  <c r="P8" i="8"/>
  <c r="W20" i="8"/>
  <c r="X20" i="8"/>
  <c r="AS7" i="8"/>
  <c r="T11" i="8"/>
  <c r="AB7" i="8"/>
  <c r="BD10" i="8"/>
  <c r="BB13" i="8"/>
  <c r="BF7" i="8"/>
  <c r="BE7" i="8"/>
  <c r="T20" i="8"/>
  <c r="P21" i="5"/>
  <c r="P22" i="8"/>
  <c r="T22" i="8"/>
  <c r="AT9" i="8"/>
  <c r="T22" i="5"/>
  <c r="P20" i="8"/>
  <c r="P21" i="8"/>
  <c r="T21" i="5"/>
  <c r="AT8" i="8"/>
  <c r="T21" i="8"/>
  <c r="AJ20" i="5"/>
  <c r="P10" i="8"/>
  <c r="O20" i="8"/>
  <c r="J20" i="8"/>
  <c r="AZ7" i="8" s="1"/>
  <c r="J21" i="8"/>
  <c r="AZ8" i="8" s="1"/>
  <c r="AU10" i="8"/>
  <c r="BA10" i="8"/>
  <c r="BC12" i="8"/>
  <c r="BD13" i="8"/>
  <c r="AT10" i="8"/>
  <c r="BC11" i="8"/>
  <c r="BD12" i="8"/>
  <c r="T10" i="8"/>
  <c r="BD11" i="8"/>
  <c r="S20" i="8"/>
  <c r="L7" i="8"/>
  <c r="AT12" i="8"/>
  <c r="BA13" i="8"/>
  <c r="P22" i="5"/>
  <c r="J21" i="5"/>
  <c r="I20" i="5"/>
  <c r="K20" i="5" s="1"/>
  <c r="O20" i="5"/>
  <c r="S20" i="5"/>
  <c r="AI68" i="3"/>
  <c r="AI63" i="3" s="1"/>
  <c r="AI54" i="3"/>
  <c r="AI49" i="3" s="1"/>
  <c r="AI19" i="3"/>
  <c r="AI53" i="3"/>
  <c r="AI112" i="3"/>
  <c r="AH42" i="3"/>
  <c r="AK25" i="3"/>
  <c r="AJ16" i="3"/>
  <c r="AJ20" i="3" s="1"/>
  <c r="AJ24" i="3" s="1"/>
  <c r="AJ23" i="3" s="1"/>
  <c r="AK10" i="3"/>
  <c r="AK132" i="3" s="1"/>
  <c r="AK133" i="3" s="1"/>
  <c r="AJ25" i="3"/>
  <c r="AK68" i="3"/>
  <c r="AK63" i="3" s="1"/>
  <c r="AK19" i="3"/>
  <c r="P20" i="5"/>
  <c r="T20" i="5"/>
  <c r="J20" i="5"/>
  <c r="W20" i="5"/>
  <c r="X20" i="5"/>
  <c r="C234" i="7"/>
  <c r="C233" i="7"/>
  <c r="C186" i="7"/>
  <c r="C185" i="7"/>
  <c r="C138" i="7"/>
  <c r="C137" i="7"/>
  <c r="C94" i="7"/>
  <c r="C93" i="7"/>
  <c r="AI16" i="3" l="1"/>
  <c r="AI20" i="3" s="1"/>
  <c r="AI24" i="3" s="1"/>
  <c r="AI23" i="3" s="1"/>
  <c r="AI132" i="3"/>
  <c r="AI133" i="3" s="1"/>
  <c r="AO128" i="3"/>
  <c r="AQ128" i="3" s="1"/>
  <c r="AX128" i="3"/>
  <c r="AX129" i="3" s="1"/>
  <c r="AX130" i="3" s="1"/>
  <c r="R18" i="9"/>
  <c r="R16" i="9"/>
  <c r="AI42" i="3"/>
  <c r="AI41" i="3" s="1"/>
  <c r="O5" i="9"/>
  <c r="T18" i="9"/>
  <c r="H6" i="9"/>
  <c r="J6" i="9" s="1"/>
  <c r="M6" i="9"/>
  <c r="AI30" i="3"/>
  <c r="AI29" i="3" s="1"/>
  <c r="K20" i="8"/>
  <c r="Y20" i="8"/>
  <c r="BG7" i="8" s="1"/>
  <c r="S9" i="8"/>
  <c r="AI83" i="3"/>
  <c r="AI84" i="3" s="1"/>
  <c r="AI81" i="3"/>
  <c r="J22" i="8"/>
  <c r="AZ9" i="8" s="1"/>
  <c r="AK49" i="3"/>
  <c r="AK45" i="3" s="1"/>
  <c r="O18" i="11"/>
  <c r="L22" i="5"/>
  <c r="AK82" i="3"/>
  <c r="I9" i="8"/>
  <c r="K9" i="8" s="1"/>
  <c r="U21" i="8"/>
  <c r="BE8" i="8" s="1"/>
  <c r="U21" i="5"/>
  <c r="P18" i="11"/>
  <c r="C22" i="8"/>
  <c r="C22" i="5"/>
  <c r="AI75" i="3"/>
  <c r="AI129" i="3"/>
  <c r="AI130" i="3" s="1"/>
  <c r="AI69" i="3"/>
  <c r="BC14" i="8"/>
  <c r="H13" i="9" s="1"/>
  <c r="BE14" i="8"/>
  <c r="H14" i="9" s="1"/>
  <c r="J14" i="9" s="1"/>
  <c r="AW14" i="8"/>
  <c r="H9" i="9" s="1"/>
  <c r="J9" i="9" s="1"/>
  <c r="BA14" i="8"/>
  <c r="H12" i="9" s="1"/>
  <c r="J12" i="9" s="1"/>
  <c r="AT14" i="8"/>
  <c r="M8" i="9" s="1"/>
  <c r="F21" i="5"/>
  <c r="F21" i="8"/>
  <c r="V21" i="8"/>
  <c r="V21" i="5"/>
  <c r="X21" i="5" s="1"/>
  <c r="F20" i="5"/>
  <c r="F20" i="8"/>
  <c r="L21" i="8"/>
  <c r="BD14" i="8"/>
  <c r="M13" i="9" s="1"/>
  <c r="Z20" i="8"/>
  <c r="BH7" i="8" s="1"/>
  <c r="L20" i="8"/>
  <c r="AX14" i="8"/>
  <c r="M9" i="9" s="1"/>
  <c r="L21" i="5"/>
  <c r="Y20" i="5"/>
  <c r="AA20" i="5" s="1"/>
  <c r="AH41" i="3"/>
  <c r="AH45" i="3"/>
  <c r="AI45" i="3"/>
  <c r="AI48" i="3"/>
  <c r="AH49" i="3"/>
  <c r="AH48" i="3" s="1"/>
  <c r="AK84" i="3"/>
  <c r="AK75" i="3"/>
  <c r="AK129" i="3"/>
  <c r="AK130" i="3" s="1"/>
  <c r="AK69" i="3"/>
  <c r="AK81" i="3"/>
  <c r="AK16" i="3"/>
  <c r="AK20" i="3" s="1"/>
  <c r="AK24" i="3" s="1"/>
  <c r="AK23" i="3" s="1"/>
  <c r="Z20" i="5"/>
  <c r="L20" i="5"/>
  <c r="AO129" i="3" l="1"/>
  <c r="AO130" i="3" s="1"/>
  <c r="AA20" i="8"/>
  <c r="O6" i="9"/>
  <c r="T6" i="9"/>
  <c r="R6" i="9"/>
  <c r="Z5" i="9"/>
  <c r="AI44" i="3"/>
  <c r="AI43" i="3" s="1"/>
  <c r="AE20" i="8"/>
  <c r="AG20" i="8" s="1"/>
  <c r="L22" i="8"/>
  <c r="AJ49" i="3"/>
  <c r="AJ48" i="3" s="1"/>
  <c r="AK48" i="3"/>
  <c r="AJ45" i="3"/>
  <c r="P16" i="11"/>
  <c r="P21" i="11"/>
  <c r="O16" i="11"/>
  <c r="O21" i="11"/>
  <c r="I22" i="5"/>
  <c r="O22" i="5"/>
  <c r="I22" i="8"/>
  <c r="AS9" i="8"/>
  <c r="O22" i="8"/>
  <c r="H11" i="9"/>
  <c r="N16" i="9"/>
  <c r="N18" i="9"/>
  <c r="R8" i="9"/>
  <c r="N8" i="9"/>
  <c r="O8" i="9"/>
  <c r="T8" i="9"/>
  <c r="U16" i="9" s="1"/>
  <c r="Z21" i="5"/>
  <c r="F28" i="8"/>
  <c r="AV8" i="8"/>
  <c r="X21" i="8"/>
  <c r="BF8" i="8"/>
  <c r="BF14" i="8" s="1"/>
  <c r="M14" i="9" s="1"/>
  <c r="Z21" i="8"/>
  <c r="BH8" i="8" s="1"/>
  <c r="T9" i="9"/>
  <c r="R9" i="9"/>
  <c r="N9" i="9"/>
  <c r="O9" i="9"/>
  <c r="M10" i="9"/>
  <c r="R13" i="9"/>
  <c r="T13" i="9"/>
  <c r="N13" i="9"/>
  <c r="AV7" i="8"/>
  <c r="F27" i="8"/>
  <c r="AF20" i="8"/>
  <c r="AB20" i="8"/>
  <c r="AE20" i="5"/>
  <c r="AG20" i="5" s="1"/>
  <c r="AH44" i="3"/>
  <c r="AH43" i="3" s="1"/>
  <c r="AB20" i="5"/>
  <c r="AF20" i="5"/>
  <c r="AQ129" i="3" l="1"/>
  <c r="AQ130" i="3" s="1"/>
  <c r="AS128" i="3"/>
  <c r="AS129" i="3" s="1"/>
  <c r="AS130" i="3" s="1"/>
  <c r="AK20" i="8"/>
  <c r="AM20" i="8" s="1"/>
  <c r="K22" i="5"/>
  <c r="AY9" i="8"/>
  <c r="K22" i="8"/>
  <c r="S16" i="9"/>
  <c r="S18" i="9"/>
  <c r="U8" i="9"/>
  <c r="U13" i="9"/>
  <c r="S8" i="9"/>
  <c r="S9" i="9"/>
  <c r="S13" i="9"/>
  <c r="U18" i="9"/>
  <c r="U9" i="9"/>
  <c r="AF21" i="8"/>
  <c r="T14" i="9"/>
  <c r="U14" i="9" s="1"/>
  <c r="O14" i="9"/>
  <c r="R14" i="9"/>
  <c r="S14" i="9" s="1"/>
  <c r="N14" i="9"/>
  <c r="AB21" i="8"/>
  <c r="AB21" i="5"/>
  <c r="AF21" i="5"/>
  <c r="AH21" i="5" s="1"/>
  <c r="T10" i="9"/>
  <c r="U10" i="9" s="1"/>
  <c r="R10" i="9"/>
  <c r="S10" i="9" s="1"/>
  <c r="N10" i="9"/>
  <c r="O10" i="9"/>
  <c r="AH20" i="8"/>
  <c r="AL20" i="8"/>
  <c r="AN20" i="8" s="1"/>
  <c r="AK20" i="5"/>
  <c r="AM20" i="5" s="1"/>
  <c r="AH20" i="5"/>
  <c r="AL20" i="5"/>
  <c r="AN20" i="5" s="1"/>
  <c r="AH21" i="8" l="1"/>
  <c r="F32" i="3" l="1"/>
  <c r="AY32" i="3" l="1"/>
  <c r="AK32" i="3"/>
  <c r="AJ31" i="3"/>
  <c r="AJ42" i="3"/>
  <c r="AJ41" i="3" s="1"/>
  <c r="AJ44" i="3" s="1"/>
  <c r="AJ43" i="3" s="1"/>
  <c r="AJ30" i="3"/>
  <c r="AJ29" i="3" s="1"/>
  <c r="B124" i="7"/>
  <c r="B172" i="7" s="1"/>
  <c r="B220" i="7" s="1"/>
  <c r="B110" i="7"/>
  <c r="B158" i="7" s="1"/>
  <c r="B206" i="7" s="1"/>
  <c r="AK42" i="3" l="1"/>
  <c r="AK41" i="3" s="1"/>
  <c r="AK44" i="3" s="1"/>
  <c r="AK43" i="3" s="1"/>
  <c r="AK31" i="3"/>
  <c r="AK30" i="3"/>
  <c r="AK29" i="3" s="1"/>
  <c r="AS18" i="5"/>
  <c r="AU18" i="5" s="1"/>
  <c r="B99" i="7" l="1"/>
  <c r="B147" i="7"/>
  <c r="B195" i="7"/>
  <c r="B55" i="7"/>
  <c r="N134" i="7"/>
  <c r="N182" i="7" s="1"/>
  <c r="N230" i="7" s="1"/>
  <c r="N90" i="7" s="1"/>
  <c r="M134" i="7"/>
  <c r="M182" i="7" s="1"/>
  <c r="M230" i="7" s="1"/>
  <c r="M90" i="7" s="1"/>
  <c r="L134" i="7"/>
  <c r="L182" i="7" s="1"/>
  <c r="L230" i="7" s="1"/>
  <c r="L90" i="7" s="1"/>
  <c r="K134" i="7"/>
  <c r="K182" i="7" s="1"/>
  <c r="K230" i="7" s="1"/>
  <c r="K90" i="7" s="1"/>
  <c r="J134" i="7"/>
  <c r="J182" i="7" s="1"/>
  <c r="J230" i="7" s="1"/>
  <c r="J90" i="7" s="1"/>
  <c r="I134" i="7"/>
  <c r="I182" i="7" s="1"/>
  <c r="I230" i="7" s="1"/>
  <c r="I90" i="7" s="1"/>
  <c r="H134" i="7"/>
  <c r="H182" i="7" s="1"/>
  <c r="H230" i="7" s="1"/>
  <c r="H90" i="7" s="1"/>
  <c r="G134" i="7"/>
  <c r="G182" i="7" s="1"/>
  <c r="G230" i="7" s="1"/>
  <c r="G90" i="7" s="1"/>
  <c r="N128" i="7"/>
  <c r="N176" i="7" s="1"/>
  <c r="N224" i="7" s="1"/>
  <c r="N84" i="7" s="1"/>
  <c r="M128" i="7"/>
  <c r="M176" i="7" s="1"/>
  <c r="M224" i="7" s="1"/>
  <c r="M84" i="7" s="1"/>
  <c r="L128" i="7"/>
  <c r="L176" i="7" s="1"/>
  <c r="L224" i="7" s="1"/>
  <c r="L84" i="7" s="1"/>
  <c r="K128" i="7"/>
  <c r="K176" i="7" s="1"/>
  <c r="K224" i="7" s="1"/>
  <c r="K84" i="7" s="1"/>
  <c r="J128" i="7"/>
  <c r="J176" i="7" s="1"/>
  <c r="J224" i="7" s="1"/>
  <c r="J84" i="7" s="1"/>
  <c r="I128" i="7"/>
  <c r="I176" i="7" s="1"/>
  <c r="I224" i="7" s="1"/>
  <c r="I84" i="7" s="1"/>
  <c r="H128" i="7"/>
  <c r="H176" i="7" s="1"/>
  <c r="H224" i="7" s="1"/>
  <c r="H84" i="7" s="1"/>
  <c r="G128" i="7"/>
  <c r="G176" i="7" s="1"/>
  <c r="G224" i="7" s="1"/>
  <c r="G84" i="7" s="1"/>
  <c r="N125" i="7"/>
  <c r="N173" i="7" s="1"/>
  <c r="N221" i="7" s="1"/>
  <c r="N81" i="7" s="1"/>
  <c r="M125" i="7"/>
  <c r="M173" i="7" s="1"/>
  <c r="M221" i="7" s="1"/>
  <c r="M81" i="7" s="1"/>
  <c r="L125" i="7"/>
  <c r="L173" i="7" s="1"/>
  <c r="L221" i="7" s="1"/>
  <c r="L81" i="7" s="1"/>
  <c r="K125" i="7"/>
  <c r="K173" i="7" s="1"/>
  <c r="K221" i="7" s="1"/>
  <c r="K81" i="7" s="1"/>
  <c r="J125" i="7"/>
  <c r="J173" i="7" s="1"/>
  <c r="J221" i="7" s="1"/>
  <c r="J81" i="7" s="1"/>
  <c r="I125" i="7"/>
  <c r="I173" i="7" s="1"/>
  <c r="I221" i="7" s="1"/>
  <c r="I81" i="7" s="1"/>
  <c r="H125" i="7"/>
  <c r="H173" i="7" s="1"/>
  <c r="H221" i="7" s="1"/>
  <c r="H81" i="7" s="1"/>
  <c r="G125" i="7"/>
  <c r="G173" i="7" s="1"/>
  <c r="G221" i="7" s="1"/>
  <c r="G81" i="7" s="1"/>
  <c r="N156" i="7"/>
  <c r="N204" i="7" s="1"/>
  <c r="N64" i="7" s="1"/>
  <c r="M156" i="7"/>
  <c r="M204" i="7" s="1"/>
  <c r="M64" i="7" s="1"/>
  <c r="L156" i="7"/>
  <c r="L204" i="7" s="1"/>
  <c r="L64" i="7" s="1"/>
  <c r="K156" i="7"/>
  <c r="K204" i="7" s="1"/>
  <c r="K64" i="7" s="1"/>
  <c r="J156" i="7"/>
  <c r="J204" i="7" s="1"/>
  <c r="J64" i="7" s="1"/>
  <c r="I156" i="7"/>
  <c r="I204" i="7" s="1"/>
  <c r="I64" i="7" s="1"/>
  <c r="H156" i="7"/>
  <c r="H204" i="7" s="1"/>
  <c r="H64" i="7" s="1"/>
  <c r="G156" i="7"/>
  <c r="G204" i="7" s="1"/>
  <c r="G64" i="7" s="1"/>
  <c r="F156" i="7"/>
  <c r="F204" i="7" s="1"/>
  <c r="F64" i="7" s="1"/>
  <c r="E156" i="7"/>
  <c r="E204" i="7" s="1"/>
  <c r="E64" i="7" s="1"/>
  <c r="D156" i="7"/>
  <c r="D204" i="7" s="1"/>
  <c r="D64" i="7" s="1"/>
  <c r="N154" i="7"/>
  <c r="N202" i="7" s="1"/>
  <c r="N62" i="7" s="1"/>
  <c r="M154" i="7"/>
  <c r="M159" i="7" s="1"/>
  <c r="L154" i="7"/>
  <c r="K154" i="7"/>
  <c r="K202" i="7" s="1"/>
  <c r="K62" i="7" s="1"/>
  <c r="J154" i="7"/>
  <c r="J202" i="7" s="1"/>
  <c r="J62" i="7" s="1"/>
  <c r="I154" i="7"/>
  <c r="I202" i="7" s="1"/>
  <c r="I62" i="7" s="1"/>
  <c r="H154" i="7"/>
  <c r="H202" i="7" s="1"/>
  <c r="H62" i="7" s="1"/>
  <c r="G154" i="7"/>
  <c r="G159" i="7" s="1"/>
  <c r="F154" i="7"/>
  <c r="E154" i="7"/>
  <c r="E202" i="7" s="1"/>
  <c r="E62" i="7" s="1"/>
  <c r="D154" i="7"/>
  <c r="D202" i="7" s="1"/>
  <c r="D62" i="7" s="1"/>
  <c r="N153" i="7"/>
  <c r="N201" i="7" s="1"/>
  <c r="N61" i="7" s="1"/>
  <c r="M153" i="7"/>
  <c r="M201" i="7" s="1"/>
  <c r="M61" i="7" s="1"/>
  <c r="L153" i="7"/>
  <c r="L201" i="7" s="1"/>
  <c r="L61" i="7" s="1"/>
  <c r="K153" i="7"/>
  <c r="K201" i="7" s="1"/>
  <c r="K61" i="7" s="1"/>
  <c r="J153" i="7"/>
  <c r="J201" i="7" s="1"/>
  <c r="J61" i="7" s="1"/>
  <c r="I153" i="7"/>
  <c r="I201" i="7" s="1"/>
  <c r="I61" i="7" s="1"/>
  <c r="H153" i="7"/>
  <c r="H201" i="7" s="1"/>
  <c r="H61" i="7" s="1"/>
  <c r="G153" i="7"/>
  <c r="G201" i="7" s="1"/>
  <c r="G61" i="7" s="1"/>
  <c r="F153" i="7"/>
  <c r="F201" i="7" s="1"/>
  <c r="F61" i="7" s="1"/>
  <c r="E153" i="7"/>
  <c r="E201" i="7" s="1"/>
  <c r="E61" i="7" s="1"/>
  <c r="N152" i="7"/>
  <c r="N200" i="7" s="1"/>
  <c r="N60" i="7" s="1"/>
  <c r="M152" i="7"/>
  <c r="M200" i="7" s="1"/>
  <c r="M60" i="7" s="1"/>
  <c r="L152" i="7"/>
  <c r="L200" i="7" s="1"/>
  <c r="L60" i="7" s="1"/>
  <c r="K152" i="7"/>
  <c r="K200" i="7" s="1"/>
  <c r="K60" i="7" s="1"/>
  <c r="J152" i="7"/>
  <c r="J200" i="7" s="1"/>
  <c r="J60" i="7" s="1"/>
  <c r="I152" i="7"/>
  <c r="I200" i="7" s="1"/>
  <c r="I60" i="7" s="1"/>
  <c r="H152" i="7"/>
  <c r="H200" i="7" s="1"/>
  <c r="H60" i="7" s="1"/>
  <c r="G152" i="7"/>
  <c r="G200" i="7" s="1"/>
  <c r="G60" i="7" s="1"/>
  <c r="F152" i="7"/>
  <c r="F200" i="7" s="1"/>
  <c r="F60" i="7" s="1"/>
  <c r="E152" i="7"/>
  <c r="E200" i="7" s="1"/>
  <c r="E60" i="7" s="1"/>
  <c r="N151" i="7"/>
  <c r="N199" i="7" s="1"/>
  <c r="N59" i="7" s="1"/>
  <c r="M151" i="7"/>
  <c r="M199" i="7" s="1"/>
  <c r="M59" i="7" s="1"/>
  <c r="L151" i="7"/>
  <c r="L199" i="7" s="1"/>
  <c r="L59" i="7" s="1"/>
  <c r="K151" i="7"/>
  <c r="K199" i="7" s="1"/>
  <c r="K59" i="7" s="1"/>
  <c r="J151" i="7"/>
  <c r="J199" i="7" s="1"/>
  <c r="J59" i="7" s="1"/>
  <c r="I151" i="7"/>
  <c r="I199" i="7" s="1"/>
  <c r="I59" i="7" s="1"/>
  <c r="H151" i="7"/>
  <c r="H199" i="7" s="1"/>
  <c r="H59" i="7" s="1"/>
  <c r="G151" i="7"/>
  <c r="G199" i="7" s="1"/>
  <c r="G59" i="7" s="1"/>
  <c r="F151" i="7"/>
  <c r="F199" i="7" s="1"/>
  <c r="F59" i="7" s="1"/>
  <c r="E151" i="7"/>
  <c r="E199" i="7" s="1"/>
  <c r="E59" i="7" s="1"/>
  <c r="D153" i="7"/>
  <c r="D201" i="7" s="1"/>
  <c r="D61" i="7" s="1"/>
  <c r="D152" i="7"/>
  <c r="D200" i="7" s="1"/>
  <c r="D60" i="7" s="1"/>
  <c r="D151" i="7"/>
  <c r="D199" i="7" s="1"/>
  <c r="D59" i="7" s="1"/>
  <c r="N149" i="7"/>
  <c r="N197" i="7" s="1"/>
  <c r="N57" i="7" s="1"/>
  <c r="M149" i="7"/>
  <c r="M197" i="7" s="1"/>
  <c r="M57" i="7" s="1"/>
  <c r="L149" i="7"/>
  <c r="L197" i="7" s="1"/>
  <c r="L57" i="7" s="1"/>
  <c r="K149" i="7"/>
  <c r="K197" i="7" s="1"/>
  <c r="K57" i="7" s="1"/>
  <c r="J149" i="7"/>
  <c r="J197" i="7" s="1"/>
  <c r="J57" i="7" s="1"/>
  <c r="I149" i="7"/>
  <c r="I197" i="7" s="1"/>
  <c r="I57" i="7" s="1"/>
  <c r="H149" i="7"/>
  <c r="H197" i="7" s="1"/>
  <c r="H57" i="7" s="1"/>
  <c r="G149" i="7"/>
  <c r="G197" i="7" s="1"/>
  <c r="G57" i="7" s="1"/>
  <c r="F149" i="7"/>
  <c r="F197" i="7" s="1"/>
  <c r="F57" i="7" s="1"/>
  <c r="E149" i="7"/>
  <c r="E197" i="7" s="1"/>
  <c r="E57" i="7" s="1"/>
  <c r="D149" i="7"/>
  <c r="D197" i="7" s="1"/>
  <c r="D57" i="7" s="1"/>
  <c r="N131" i="7"/>
  <c r="N179" i="7" s="1"/>
  <c r="N227" i="7" s="1"/>
  <c r="N87" i="7" s="1"/>
  <c r="M131" i="7"/>
  <c r="M179" i="7" s="1"/>
  <c r="M227" i="7" s="1"/>
  <c r="M87" i="7" s="1"/>
  <c r="L131" i="7"/>
  <c r="L179" i="7" s="1"/>
  <c r="L227" i="7" s="1"/>
  <c r="L87" i="7" s="1"/>
  <c r="K131" i="7"/>
  <c r="K179" i="7" s="1"/>
  <c r="K227" i="7" s="1"/>
  <c r="K87" i="7" s="1"/>
  <c r="J131" i="7"/>
  <c r="J179" i="7" s="1"/>
  <c r="J227" i="7" s="1"/>
  <c r="J87" i="7" s="1"/>
  <c r="I131" i="7"/>
  <c r="I179" i="7" s="1"/>
  <c r="I227" i="7" s="1"/>
  <c r="I87" i="7" s="1"/>
  <c r="H131" i="7"/>
  <c r="H179" i="7" s="1"/>
  <c r="H227" i="7" s="1"/>
  <c r="H87" i="7" s="1"/>
  <c r="G131" i="7"/>
  <c r="G179" i="7" s="1"/>
  <c r="G227" i="7" s="1"/>
  <c r="G87" i="7" s="1"/>
  <c r="N108" i="7"/>
  <c r="M108" i="7"/>
  <c r="L108" i="7"/>
  <c r="K108" i="7"/>
  <c r="J108" i="7"/>
  <c r="I108" i="7"/>
  <c r="H108" i="7"/>
  <c r="G108" i="7"/>
  <c r="F108" i="7"/>
  <c r="E108" i="7"/>
  <c r="D108" i="7"/>
  <c r="N106" i="7"/>
  <c r="N111" i="7" s="1"/>
  <c r="M106" i="7"/>
  <c r="M111" i="7" s="1"/>
  <c r="L106" i="7"/>
  <c r="L111" i="7" s="1"/>
  <c r="K106" i="7"/>
  <c r="K111" i="7" s="1"/>
  <c r="J106" i="7"/>
  <c r="I106" i="7"/>
  <c r="H106" i="7"/>
  <c r="H111" i="7" s="1"/>
  <c r="G106" i="7"/>
  <c r="G111" i="7" s="1"/>
  <c r="F106" i="7"/>
  <c r="F111" i="7" s="1"/>
  <c r="E106" i="7"/>
  <c r="D106" i="7"/>
  <c r="N105" i="7"/>
  <c r="M105" i="7"/>
  <c r="L105" i="7"/>
  <c r="K105" i="7"/>
  <c r="J105" i="7"/>
  <c r="I105" i="7"/>
  <c r="H105" i="7"/>
  <c r="G105" i="7"/>
  <c r="F105" i="7"/>
  <c r="E105" i="7"/>
  <c r="D105" i="7"/>
  <c r="N104" i="7"/>
  <c r="M104" i="7"/>
  <c r="L104" i="7"/>
  <c r="K104" i="7"/>
  <c r="J104" i="7"/>
  <c r="I104" i="7"/>
  <c r="H104" i="7"/>
  <c r="G104" i="7"/>
  <c r="F104" i="7"/>
  <c r="E104" i="7"/>
  <c r="D104" i="7"/>
  <c r="N103" i="7"/>
  <c r="M103" i="7"/>
  <c r="L103" i="7"/>
  <c r="K103" i="7"/>
  <c r="J103" i="7"/>
  <c r="I103" i="7"/>
  <c r="H103" i="7"/>
  <c r="G103" i="7"/>
  <c r="F103" i="7"/>
  <c r="E103" i="7"/>
  <c r="D103" i="7"/>
  <c r="N101" i="7"/>
  <c r="M101" i="7"/>
  <c r="L101" i="7"/>
  <c r="K101" i="7"/>
  <c r="J101" i="7"/>
  <c r="I101" i="7"/>
  <c r="H101" i="7"/>
  <c r="G101" i="7"/>
  <c r="F101" i="7"/>
  <c r="E101" i="7"/>
  <c r="D101" i="7"/>
  <c r="N14" i="7"/>
  <c r="M14" i="7"/>
  <c r="L14" i="7"/>
  <c r="K14" i="7"/>
  <c r="J14" i="7"/>
  <c r="I14" i="7"/>
  <c r="H14" i="7"/>
  <c r="G14" i="7"/>
  <c r="F14" i="7"/>
  <c r="N159" i="7" l="1"/>
  <c r="H159" i="7"/>
  <c r="I111" i="7"/>
  <c r="K102" i="7"/>
  <c r="I67" i="7"/>
  <c r="J67" i="7"/>
  <c r="K67" i="7"/>
  <c r="H67" i="7"/>
  <c r="N67" i="7"/>
  <c r="L102" i="7"/>
  <c r="N102" i="7"/>
  <c r="J111" i="7"/>
  <c r="I159" i="7"/>
  <c r="H207" i="7"/>
  <c r="I207" i="7"/>
  <c r="N207" i="7"/>
  <c r="J207" i="7"/>
  <c r="K207" i="7"/>
  <c r="F202" i="7"/>
  <c r="L202" i="7"/>
  <c r="G202" i="7"/>
  <c r="G102" i="7"/>
  <c r="M102" i="7"/>
  <c r="J159" i="7"/>
  <c r="K159" i="7"/>
  <c r="M202" i="7"/>
  <c r="M62" i="7" s="1"/>
  <c r="M65" i="7" s="1"/>
  <c r="H102" i="7"/>
  <c r="F159" i="7"/>
  <c r="L159" i="7"/>
  <c r="I102" i="7"/>
  <c r="J102" i="7"/>
  <c r="D10" i="7"/>
  <c r="E10" i="7"/>
  <c r="F10" i="7"/>
  <c r="G10" i="7"/>
  <c r="H10" i="7"/>
  <c r="I10" i="7"/>
  <c r="J10" i="7"/>
  <c r="K10" i="7"/>
  <c r="L10" i="7"/>
  <c r="M10" i="7"/>
  <c r="N10" i="7"/>
  <c r="D12" i="7"/>
  <c r="E12" i="7"/>
  <c r="F12" i="7"/>
  <c r="G12" i="7"/>
  <c r="H12" i="7"/>
  <c r="I12" i="7"/>
  <c r="J12" i="7"/>
  <c r="K12" i="7"/>
  <c r="L12" i="7"/>
  <c r="M12" i="7"/>
  <c r="N12" i="7"/>
  <c r="D23" i="7"/>
  <c r="D25" i="7" s="1"/>
  <c r="D26" i="7" s="1"/>
  <c r="E23" i="7"/>
  <c r="E25" i="7" s="1"/>
  <c r="E26" i="7" s="1"/>
  <c r="F23" i="7"/>
  <c r="F25" i="7" s="1"/>
  <c r="G23" i="7"/>
  <c r="G25" i="7" s="1"/>
  <c r="G28" i="7" s="1"/>
  <c r="H23" i="7"/>
  <c r="H25" i="7" s="1"/>
  <c r="I23" i="7"/>
  <c r="I25" i="7" s="1"/>
  <c r="J23" i="7"/>
  <c r="J25" i="7" s="1"/>
  <c r="K23" i="7"/>
  <c r="K25" i="7" s="1"/>
  <c r="K26" i="7" s="1"/>
  <c r="L23" i="7"/>
  <c r="L25" i="7" s="1"/>
  <c r="M23" i="7"/>
  <c r="M25" i="7" s="1"/>
  <c r="M28" i="7" s="1"/>
  <c r="N23" i="7"/>
  <c r="N25" i="7" s="1"/>
  <c r="D27" i="7"/>
  <c r="E27" i="7"/>
  <c r="F27" i="7"/>
  <c r="D107" i="7"/>
  <c r="E107" i="7"/>
  <c r="F107" i="7"/>
  <c r="G107" i="7"/>
  <c r="H107" i="7"/>
  <c r="I107" i="7"/>
  <c r="J107" i="7"/>
  <c r="K107" i="7"/>
  <c r="L107" i="7"/>
  <c r="M107" i="7"/>
  <c r="N107" i="7"/>
  <c r="D109" i="7"/>
  <c r="E109" i="7"/>
  <c r="F109" i="7"/>
  <c r="G109" i="7"/>
  <c r="H109" i="7"/>
  <c r="I109" i="7"/>
  <c r="J109" i="7"/>
  <c r="K109" i="7"/>
  <c r="L109" i="7"/>
  <c r="M109" i="7"/>
  <c r="N109" i="7"/>
  <c r="G124" i="7"/>
  <c r="G126" i="7" s="1"/>
  <c r="H124" i="7"/>
  <c r="H126" i="7" s="1"/>
  <c r="I124" i="7"/>
  <c r="I126" i="7" s="1"/>
  <c r="I127" i="7" s="1"/>
  <c r="J124" i="7"/>
  <c r="J126" i="7" s="1"/>
  <c r="J129" i="7" s="1"/>
  <c r="K124" i="7"/>
  <c r="K126" i="7" s="1"/>
  <c r="K129" i="7" s="1"/>
  <c r="K130" i="7" s="1"/>
  <c r="L124" i="7"/>
  <c r="L126" i="7" s="1"/>
  <c r="M124" i="7"/>
  <c r="M126" i="7" s="1"/>
  <c r="N124" i="7"/>
  <c r="N126" i="7" s="1"/>
  <c r="G150" i="7"/>
  <c r="H150" i="7"/>
  <c r="I150" i="7"/>
  <c r="J150" i="7"/>
  <c r="K150" i="7"/>
  <c r="L150" i="7"/>
  <c r="M150" i="7"/>
  <c r="N150" i="7"/>
  <c r="D155" i="7"/>
  <c r="E155" i="7"/>
  <c r="F155" i="7"/>
  <c r="G155" i="7"/>
  <c r="H155" i="7"/>
  <c r="I155" i="7"/>
  <c r="J155" i="7"/>
  <c r="K155" i="7"/>
  <c r="L155" i="7"/>
  <c r="M155" i="7"/>
  <c r="N155" i="7"/>
  <c r="D157" i="7"/>
  <c r="E157" i="7"/>
  <c r="F157" i="7"/>
  <c r="G157" i="7"/>
  <c r="H157" i="7"/>
  <c r="I157" i="7"/>
  <c r="J157" i="7"/>
  <c r="K157" i="7"/>
  <c r="L157" i="7"/>
  <c r="M157" i="7"/>
  <c r="N157" i="7"/>
  <c r="G172" i="7"/>
  <c r="G174" i="7" s="1"/>
  <c r="H172" i="7"/>
  <c r="H174" i="7" s="1"/>
  <c r="H177" i="7" s="1"/>
  <c r="I172" i="7"/>
  <c r="I174" i="7" s="1"/>
  <c r="I175" i="7" s="1"/>
  <c r="J172" i="7"/>
  <c r="J174" i="7" s="1"/>
  <c r="J177" i="7" s="1"/>
  <c r="J178" i="7" s="1"/>
  <c r="K172" i="7"/>
  <c r="K174" i="7" s="1"/>
  <c r="K177" i="7" s="1"/>
  <c r="L172" i="7"/>
  <c r="L174" i="7" s="1"/>
  <c r="M172" i="7"/>
  <c r="M174" i="7" s="1"/>
  <c r="N172" i="7"/>
  <c r="N174" i="7" s="1"/>
  <c r="N177" i="7" s="1"/>
  <c r="G198" i="7"/>
  <c r="H198" i="7"/>
  <c r="I198" i="7"/>
  <c r="J198" i="7"/>
  <c r="K198" i="7"/>
  <c r="L198" i="7"/>
  <c r="M198" i="7"/>
  <c r="N198" i="7"/>
  <c r="D203" i="7"/>
  <c r="E203" i="7"/>
  <c r="H203" i="7"/>
  <c r="I203" i="7"/>
  <c r="J203" i="7"/>
  <c r="K203" i="7"/>
  <c r="N203" i="7"/>
  <c r="D205" i="7"/>
  <c r="E205" i="7"/>
  <c r="H205" i="7"/>
  <c r="I205" i="7"/>
  <c r="J205" i="7"/>
  <c r="K205" i="7"/>
  <c r="N205" i="7"/>
  <c r="G220" i="7"/>
  <c r="G222" i="7" s="1"/>
  <c r="H220" i="7"/>
  <c r="H222" i="7" s="1"/>
  <c r="I220" i="7"/>
  <c r="I222" i="7" s="1"/>
  <c r="I223" i="7" s="1"/>
  <c r="J220" i="7"/>
  <c r="J222" i="7" s="1"/>
  <c r="J223" i="7" s="1"/>
  <c r="K220" i="7"/>
  <c r="K222" i="7" s="1"/>
  <c r="L220" i="7"/>
  <c r="L222" i="7" s="1"/>
  <c r="M220" i="7"/>
  <c r="M222" i="7" s="1"/>
  <c r="N220" i="7"/>
  <c r="N222" i="7" s="1"/>
  <c r="G58" i="7"/>
  <c r="H58" i="7"/>
  <c r="I58" i="7"/>
  <c r="J58" i="7"/>
  <c r="K58" i="7"/>
  <c r="L58" i="7"/>
  <c r="M58" i="7"/>
  <c r="N58" i="7"/>
  <c r="D63" i="7"/>
  <c r="E63" i="7"/>
  <c r="H63" i="7"/>
  <c r="I63" i="7"/>
  <c r="J63" i="7"/>
  <c r="K63" i="7"/>
  <c r="N63" i="7"/>
  <c r="D65" i="7"/>
  <c r="E65" i="7"/>
  <c r="H65" i="7"/>
  <c r="I65" i="7"/>
  <c r="J65" i="7"/>
  <c r="K65" i="7"/>
  <c r="N65" i="7"/>
  <c r="G80" i="7"/>
  <c r="G82" i="7" s="1"/>
  <c r="G83" i="7" s="1"/>
  <c r="H80" i="7"/>
  <c r="H82" i="7" s="1"/>
  <c r="I80" i="7"/>
  <c r="I82" i="7" s="1"/>
  <c r="J80" i="7"/>
  <c r="J82" i="7" s="1"/>
  <c r="J85" i="7" s="1"/>
  <c r="J86" i="7" s="1"/>
  <c r="K80" i="7"/>
  <c r="K82" i="7" s="1"/>
  <c r="K85" i="7" s="1"/>
  <c r="K86" i="7" s="1"/>
  <c r="L80" i="7"/>
  <c r="L82" i="7" s="1"/>
  <c r="M80" i="7"/>
  <c r="M82" i="7" s="1"/>
  <c r="M83" i="7" s="1"/>
  <c r="N80" i="7"/>
  <c r="N82" i="7" s="1"/>
  <c r="N83" i="7" s="1"/>
  <c r="H175" i="7" l="1"/>
  <c r="M67" i="7"/>
  <c r="G205" i="7"/>
  <c r="G62" i="7"/>
  <c r="L203" i="7"/>
  <c r="L62" i="7"/>
  <c r="M63" i="7"/>
  <c r="F203" i="7"/>
  <c r="F62" i="7"/>
  <c r="M207" i="7"/>
  <c r="M203" i="7"/>
  <c r="G203" i="7"/>
  <c r="M205" i="7"/>
  <c r="M26" i="7"/>
  <c r="G207" i="7"/>
  <c r="L207" i="7"/>
  <c r="F207" i="7"/>
  <c r="G85" i="7"/>
  <c r="L205" i="7"/>
  <c r="F205" i="7"/>
  <c r="K175" i="7"/>
  <c r="G26" i="7"/>
  <c r="J225" i="7"/>
  <c r="J226" i="7" s="1"/>
  <c r="K223" i="7"/>
  <c r="K225" i="7"/>
  <c r="L225" i="7"/>
  <c r="L223" i="7"/>
  <c r="J175" i="7"/>
  <c r="J180" i="7"/>
  <c r="J181" i="7" s="1"/>
  <c r="K132" i="7"/>
  <c r="K135" i="7" s="1"/>
  <c r="K137" i="7" s="1"/>
  <c r="K127" i="7"/>
  <c r="K28" i="7"/>
  <c r="K29" i="7" s="1"/>
  <c r="J28" i="7"/>
  <c r="J31" i="7" s="1"/>
  <c r="J32" i="7" s="1"/>
  <c r="J26" i="7"/>
  <c r="I26" i="7"/>
  <c r="I28" i="7"/>
  <c r="I31" i="7" s="1"/>
  <c r="I32" i="7" s="1"/>
  <c r="E28" i="7"/>
  <c r="E34" i="7" s="1"/>
  <c r="E35" i="7" s="1"/>
  <c r="N178" i="7"/>
  <c r="N180" i="7"/>
  <c r="N181" i="7" s="1"/>
  <c r="N26" i="7"/>
  <c r="N28" i="7"/>
  <c r="H26" i="7"/>
  <c r="H28" i="7"/>
  <c r="I177" i="7"/>
  <c r="I178" i="7" s="1"/>
  <c r="K83" i="7"/>
  <c r="I129" i="7"/>
  <c r="I130" i="7" s="1"/>
  <c r="N175" i="7"/>
  <c r="K88" i="7"/>
  <c r="K89" i="7" s="1"/>
  <c r="J83" i="7"/>
  <c r="J88" i="7"/>
  <c r="J89" i="7" s="1"/>
  <c r="I225" i="7"/>
  <c r="I226" i="7" s="1"/>
  <c r="D28" i="7"/>
  <c r="D34" i="7" s="1"/>
  <c r="D35" i="7" s="1"/>
  <c r="N223" i="7"/>
  <c r="N225" i="7"/>
  <c r="G223" i="7"/>
  <c r="G225" i="7"/>
  <c r="H83" i="7"/>
  <c r="H85" i="7"/>
  <c r="M223" i="7"/>
  <c r="M225" i="7"/>
  <c r="L175" i="7"/>
  <c r="L177" i="7"/>
  <c r="N85" i="7"/>
  <c r="H223" i="7"/>
  <c r="H225" i="7"/>
  <c r="M175" i="7"/>
  <c r="M177" i="7"/>
  <c r="H178" i="7"/>
  <c r="H180" i="7"/>
  <c r="I85" i="7"/>
  <c r="I83" i="7"/>
  <c r="K178" i="7"/>
  <c r="K180" i="7"/>
  <c r="J130" i="7"/>
  <c r="J132" i="7"/>
  <c r="M85" i="7"/>
  <c r="G127" i="7"/>
  <c r="G129" i="7"/>
  <c r="F28" i="7"/>
  <c r="F26" i="7"/>
  <c r="N127" i="7"/>
  <c r="N129" i="7"/>
  <c r="H127" i="7"/>
  <c r="H129" i="7"/>
  <c r="L83" i="7"/>
  <c r="L85" i="7"/>
  <c r="G175" i="7"/>
  <c r="G177" i="7"/>
  <c r="M127" i="7"/>
  <c r="M129" i="7"/>
  <c r="L127" i="7"/>
  <c r="L129" i="7"/>
  <c r="L28" i="7"/>
  <c r="L26" i="7"/>
  <c r="M29" i="7"/>
  <c r="M31" i="7"/>
  <c r="G29" i="7"/>
  <c r="G31" i="7"/>
  <c r="J127" i="7"/>
  <c r="I29" i="7" l="1"/>
  <c r="K133" i="7"/>
  <c r="F67" i="7"/>
  <c r="F65" i="7"/>
  <c r="F63" i="7"/>
  <c r="L67" i="7"/>
  <c r="L65" i="7"/>
  <c r="L63" i="7"/>
  <c r="G67" i="7"/>
  <c r="G65" i="7"/>
  <c r="G63" i="7"/>
  <c r="K31" i="7"/>
  <c r="K34" i="7" s="1"/>
  <c r="J228" i="7"/>
  <c r="J229" i="7" s="1"/>
  <c r="G88" i="7"/>
  <c r="G86" i="7"/>
  <c r="J29" i="7"/>
  <c r="N183" i="7"/>
  <c r="N185" i="7" s="1"/>
  <c r="I132" i="7"/>
  <c r="I135" i="7" s="1"/>
  <c r="I137" i="7" s="1"/>
  <c r="L228" i="7"/>
  <c r="L226" i="7"/>
  <c r="K228" i="7"/>
  <c r="K226" i="7"/>
  <c r="J183" i="7"/>
  <c r="J185" i="7" s="1"/>
  <c r="I180" i="7"/>
  <c r="I183" i="7" s="1"/>
  <c r="I185" i="7" s="1"/>
  <c r="J34" i="7"/>
  <c r="I34" i="7"/>
  <c r="D29" i="7"/>
  <c r="E29" i="7"/>
  <c r="I228" i="7"/>
  <c r="I229" i="7" s="1"/>
  <c r="N29" i="7"/>
  <c r="N31" i="7"/>
  <c r="J91" i="7"/>
  <c r="J93" i="7" s="1"/>
  <c r="K91" i="7"/>
  <c r="K93" i="7" s="1"/>
  <c r="H31" i="7"/>
  <c r="H29" i="7"/>
  <c r="M132" i="7"/>
  <c r="M130" i="7"/>
  <c r="N228" i="7"/>
  <c r="N226" i="7"/>
  <c r="J133" i="7"/>
  <c r="J135" i="7"/>
  <c r="J137" i="7" s="1"/>
  <c r="G180" i="7"/>
  <c r="G178" i="7"/>
  <c r="I86" i="7"/>
  <c r="I88" i="7"/>
  <c r="K181" i="7"/>
  <c r="K183" i="7"/>
  <c r="K185" i="7" s="1"/>
  <c r="L180" i="7"/>
  <c r="L178" i="7"/>
  <c r="N130" i="7"/>
  <c r="N132" i="7"/>
  <c r="H86" i="7"/>
  <c r="H88" i="7"/>
  <c r="L132" i="7"/>
  <c r="L130" i="7"/>
  <c r="H228" i="7"/>
  <c r="H226" i="7"/>
  <c r="N86" i="7"/>
  <c r="N88" i="7"/>
  <c r="M34" i="7"/>
  <c r="M32" i="7"/>
  <c r="L31" i="7"/>
  <c r="L29" i="7"/>
  <c r="L88" i="7"/>
  <c r="L86" i="7"/>
  <c r="M88" i="7"/>
  <c r="M86" i="7"/>
  <c r="M180" i="7"/>
  <c r="M178" i="7"/>
  <c r="K121" i="7"/>
  <c r="K136" i="7"/>
  <c r="G34" i="7"/>
  <c r="G32" i="7"/>
  <c r="H130" i="7"/>
  <c r="H132" i="7"/>
  <c r="G132" i="7"/>
  <c r="G130" i="7"/>
  <c r="F34" i="7"/>
  <c r="F35" i="7" s="1"/>
  <c r="F29" i="7"/>
  <c r="H183" i="7"/>
  <c r="H185" i="7" s="1"/>
  <c r="H181" i="7"/>
  <c r="M228" i="7"/>
  <c r="M226" i="7"/>
  <c r="G228" i="7"/>
  <c r="G226" i="7"/>
  <c r="CC42" i="3"/>
  <c r="CA42" i="3"/>
  <c r="BU42" i="3"/>
  <c r="BS42" i="3"/>
  <c r="AY42" i="3"/>
  <c r="U42" i="3"/>
  <c r="S42" i="3"/>
  <c r="H42" i="3"/>
  <c r="F42" i="3"/>
  <c r="N169" i="7" l="1"/>
  <c r="J169" i="7"/>
  <c r="M35" i="7"/>
  <c r="J35" i="7"/>
  <c r="K35" i="7"/>
  <c r="K32" i="7"/>
  <c r="I35" i="7"/>
  <c r="I133" i="7"/>
  <c r="N184" i="7"/>
  <c r="G35" i="7"/>
  <c r="I181" i="7"/>
  <c r="K92" i="7"/>
  <c r="J231" i="7"/>
  <c r="J233" i="7" s="1"/>
  <c r="K77" i="7"/>
  <c r="G89" i="7"/>
  <c r="G91" i="7"/>
  <c r="G93" i="7" s="1"/>
  <c r="I231" i="7"/>
  <c r="I233" i="7" s="1"/>
  <c r="J184" i="7"/>
  <c r="K229" i="7"/>
  <c r="K231" i="7"/>
  <c r="K233" i="7" s="1"/>
  <c r="L229" i="7"/>
  <c r="L231" i="7"/>
  <c r="L233" i="7" s="1"/>
  <c r="N34" i="7"/>
  <c r="N32" i="7"/>
  <c r="J92" i="7"/>
  <c r="H34" i="7"/>
  <c r="H32" i="7"/>
  <c r="J77" i="7"/>
  <c r="I121" i="7"/>
  <c r="I136" i="7"/>
  <c r="H169" i="7"/>
  <c r="H184" i="7"/>
  <c r="L89" i="7"/>
  <c r="L91" i="7"/>
  <c r="L93" i="7" s="1"/>
  <c r="G181" i="7"/>
  <c r="G183" i="7"/>
  <c r="G185" i="7" s="1"/>
  <c r="N231" i="7"/>
  <c r="N233" i="7" s="1"/>
  <c r="N229" i="7"/>
  <c r="I169" i="7"/>
  <c r="I184" i="7"/>
  <c r="J121" i="7"/>
  <c r="J136" i="7"/>
  <c r="M229" i="7"/>
  <c r="M231" i="7"/>
  <c r="M233" i="7" s="1"/>
  <c r="G133" i="7"/>
  <c r="G135" i="7"/>
  <c r="G137" i="7" s="1"/>
  <c r="M91" i="7"/>
  <c r="M93" i="7" s="1"/>
  <c r="M89" i="7"/>
  <c r="N91" i="7"/>
  <c r="N93" i="7" s="1"/>
  <c r="N89" i="7"/>
  <c r="H91" i="7"/>
  <c r="H93" i="7" s="1"/>
  <c r="H89" i="7"/>
  <c r="N135" i="7"/>
  <c r="N137" i="7" s="1"/>
  <c r="N133" i="7"/>
  <c r="K169" i="7"/>
  <c r="K184" i="7"/>
  <c r="L34" i="7"/>
  <c r="L32" i="7"/>
  <c r="H229" i="7"/>
  <c r="H231" i="7"/>
  <c r="H233" i="7" s="1"/>
  <c r="M133" i="7"/>
  <c r="M135" i="7"/>
  <c r="M137" i="7" s="1"/>
  <c r="G229" i="7"/>
  <c r="G231" i="7"/>
  <c r="G233" i="7" s="1"/>
  <c r="H135" i="7"/>
  <c r="H137" i="7" s="1"/>
  <c r="H133" i="7"/>
  <c r="M181" i="7"/>
  <c r="M183" i="7"/>
  <c r="M185" i="7" s="1"/>
  <c r="L133" i="7"/>
  <c r="L135" i="7"/>
  <c r="L137" i="7" s="1"/>
  <c r="L181" i="7"/>
  <c r="L183" i="7"/>
  <c r="L185" i="7" s="1"/>
  <c r="I91" i="7"/>
  <c r="I93" i="7" s="1"/>
  <c r="I89" i="7"/>
  <c r="Q18" i="6"/>
  <c r="P18" i="6"/>
  <c r="O18" i="6"/>
  <c r="L18" i="6"/>
  <c r="K18" i="6"/>
  <c r="J18" i="6"/>
  <c r="G18" i="6"/>
  <c r="D18" i="6"/>
  <c r="I232" i="7" l="1"/>
  <c r="L35" i="7"/>
  <c r="N35" i="7"/>
  <c r="H35" i="7"/>
  <c r="J232" i="7"/>
  <c r="J217" i="7"/>
  <c r="G92" i="7"/>
  <c r="G77" i="7"/>
  <c r="I217" i="7"/>
  <c r="L232" i="7"/>
  <c r="L217" i="7"/>
  <c r="K217" i="7"/>
  <c r="K232" i="7"/>
  <c r="M232" i="7"/>
  <c r="M217" i="7"/>
  <c r="N121" i="7"/>
  <c r="N136" i="7"/>
  <c r="N232" i="7"/>
  <c r="N217" i="7"/>
  <c r="G136" i="7"/>
  <c r="G121" i="7"/>
  <c r="I77" i="7"/>
  <c r="I92" i="7"/>
  <c r="H77" i="7"/>
  <c r="H92" i="7"/>
  <c r="L136" i="7"/>
  <c r="L121" i="7"/>
  <c r="L92" i="7"/>
  <c r="L77" i="7"/>
  <c r="H232" i="7"/>
  <c r="H217" i="7"/>
  <c r="M184" i="7"/>
  <c r="M169" i="7"/>
  <c r="G184" i="7"/>
  <c r="G169" i="7"/>
  <c r="G232" i="7"/>
  <c r="G217" i="7"/>
  <c r="M92" i="7"/>
  <c r="M77" i="7"/>
  <c r="L184" i="7"/>
  <c r="L169" i="7"/>
  <c r="H121" i="7"/>
  <c r="H136" i="7"/>
  <c r="M136" i="7"/>
  <c r="M121" i="7"/>
  <c r="N77" i="7"/>
  <c r="N92" i="7"/>
  <c r="BA26" i="3" l="1"/>
  <c r="AY26" i="3"/>
  <c r="U26" i="3"/>
  <c r="S26" i="3"/>
  <c r="H9" i="8" l="1"/>
  <c r="G9" i="4"/>
  <c r="E5" i="4" l="1"/>
  <c r="I9" i="4" l="1"/>
  <c r="G8" i="4"/>
  <c r="I8" i="4" s="1"/>
  <c r="G7" i="4"/>
  <c r="I7" i="4" s="1"/>
  <c r="G6" i="4"/>
  <c r="I6" i="4" s="1"/>
  <c r="G5" i="4"/>
  <c r="I5" i="4" s="1"/>
  <c r="G11" i="4"/>
  <c r="I11" i="4" s="1"/>
  <c r="C9" i="6" l="1"/>
  <c r="D9" i="6" s="1"/>
  <c r="D16" i="6"/>
  <c r="D12" i="6"/>
  <c r="D8" i="6"/>
  <c r="S5" i="6"/>
  <c r="O16" i="6"/>
  <c r="G16" i="6"/>
  <c r="J16" i="6"/>
  <c r="C14" i="6"/>
  <c r="D14" i="6" s="1"/>
  <c r="Z8" i="6"/>
  <c r="AC8" i="6" s="1"/>
  <c r="AA8" i="6"/>
  <c r="AD8" i="6" s="1"/>
  <c r="Z9" i="6"/>
  <c r="AC9" i="6" s="1"/>
  <c r="AA9" i="6"/>
  <c r="AD9" i="6" s="1"/>
  <c r="Z10" i="6"/>
  <c r="AC10" i="6" s="1"/>
  <c r="AA10" i="6"/>
  <c r="AD10" i="6" s="1"/>
  <c r="Z11" i="6"/>
  <c r="AC11" i="6" s="1"/>
  <c r="AA11" i="6"/>
  <c r="AD11" i="6" s="1"/>
  <c r="Z12" i="6"/>
  <c r="AC12" i="6" s="1"/>
  <c r="AA12" i="6"/>
  <c r="AD12" i="6" s="1"/>
  <c r="Z13" i="6"/>
  <c r="AC13" i="6" s="1"/>
  <c r="AA13" i="6"/>
  <c r="AD13" i="6" s="1"/>
  <c r="Z14" i="6"/>
  <c r="AC14" i="6" s="1"/>
  <c r="AA14" i="6"/>
  <c r="AD14" i="6" s="1"/>
  <c r="Z15" i="6"/>
  <c r="AC15" i="6" s="1"/>
  <c r="AA15" i="6"/>
  <c r="AD15" i="6" s="1"/>
  <c r="Y9" i="6"/>
  <c r="AB9" i="6" s="1"/>
  <c r="Y10" i="6"/>
  <c r="AB10" i="6" s="1"/>
  <c r="Y11" i="6"/>
  <c r="AB11" i="6" s="1"/>
  <c r="Y12" i="6"/>
  <c r="AB12" i="6" s="1"/>
  <c r="Y13" i="6"/>
  <c r="AB13" i="6" s="1"/>
  <c r="Y14" i="6"/>
  <c r="AB14" i="6" s="1"/>
  <c r="Y15" i="6"/>
  <c r="AB15" i="6" s="1"/>
  <c r="Y8" i="6"/>
  <c r="AB8" i="6" s="1"/>
  <c r="C10" i="6" l="1"/>
  <c r="D10" i="6" l="1"/>
  <c r="R9" i="5" l="1"/>
  <c r="L16" i="6" l="1"/>
  <c r="K16" i="6"/>
  <c r="H8" i="8" l="1"/>
  <c r="P16" i="6"/>
  <c r="S16" i="6" s="1"/>
  <c r="Q16" i="6"/>
  <c r="AQ14" i="5" l="1"/>
  <c r="E5" i="9" s="1"/>
  <c r="G5" i="9" s="1"/>
  <c r="AR8" i="5"/>
  <c r="AR9" i="5"/>
  <c r="AR10" i="5"/>
  <c r="AR11" i="5"/>
  <c r="AR12" i="5"/>
  <c r="AR13" i="5"/>
  <c r="AR7" i="5"/>
  <c r="AS16" i="5" s="1"/>
  <c r="G10" i="5"/>
  <c r="H9" i="5"/>
  <c r="G9" i="5"/>
  <c r="H8" i="5"/>
  <c r="G8" i="5"/>
  <c r="H7" i="5"/>
  <c r="G7" i="5"/>
  <c r="R13" i="5"/>
  <c r="Q13" i="5"/>
  <c r="R12" i="5"/>
  <c r="Q12" i="5"/>
  <c r="R11" i="5"/>
  <c r="Q11" i="5"/>
  <c r="R10" i="5"/>
  <c r="Q10" i="5"/>
  <c r="Q9" i="5"/>
  <c r="R8" i="5"/>
  <c r="Q8" i="5"/>
  <c r="R7" i="5"/>
  <c r="Q7" i="5"/>
  <c r="N13" i="5"/>
  <c r="M13" i="5"/>
  <c r="M12" i="5"/>
  <c r="M11" i="5"/>
  <c r="N10" i="5"/>
  <c r="M10" i="5"/>
  <c r="N9" i="5"/>
  <c r="M9" i="5"/>
  <c r="N8" i="5"/>
  <c r="M8" i="5"/>
  <c r="N7" i="5"/>
  <c r="M7" i="5"/>
  <c r="E10" i="5"/>
  <c r="E9" i="5"/>
  <c r="E8" i="5"/>
  <c r="E7" i="5"/>
  <c r="D13" i="5"/>
  <c r="D12" i="5"/>
  <c r="D11" i="5"/>
  <c r="D10" i="5"/>
  <c r="D9" i="5"/>
  <c r="D8" i="5"/>
  <c r="D7" i="5"/>
  <c r="AT7" i="5" s="1"/>
  <c r="BV57" i="3"/>
  <c r="CD66" i="3"/>
  <c r="CF66" i="3" s="1"/>
  <c r="CF133" i="3" s="1"/>
  <c r="BV66" i="3"/>
  <c r="BX66" i="3" s="1"/>
  <c r="BB66" i="3"/>
  <c r="BF66" i="3" s="1"/>
  <c r="BJ66" i="3" s="1"/>
  <c r="BB104" i="3"/>
  <c r="BB26" i="3"/>
  <c r="BB25" i="3" s="1"/>
  <c r="BA25" i="3"/>
  <c r="BA19" i="3"/>
  <c r="BB15" i="3"/>
  <c r="BB19" i="3" s="1"/>
  <c r="BA9" i="3"/>
  <c r="BA2" i="3"/>
  <c r="BA10" i="3" s="1"/>
  <c r="AC34" i="11"/>
  <c r="G37" i="22" s="1"/>
  <c r="BV104" i="3"/>
  <c r="Z34" i="11"/>
  <c r="H37" i="22" s="1"/>
  <c r="BU31" i="3"/>
  <c r="BU30" i="3"/>
  <c r="BU29" i="3" s="1"/>
  <c r="BV26" i="3"/>
  <c r="BU25" i="3"/>
  <c r="BU19" i="3"/>
  <c r="BV15" i="3"/>
  <c r="BV19" i="3" s="1"/>
  <c r="BU2" i="3"/>
  <c r="BU10" i="3" s="1"/>
  <c r="BV10" i="3" s="1"/>
  <c r="CD104" i="3"/>
  <c r="AF34" i="11"/>
  <c r="CC31" i="3"/>
  <c r="CC30" i="3"/>
  <c r="CC29" i="3" s="1"/>
  <c r="CC25" i="3"/>
  <c r="CC19" i="3"/>
  <c r="CD15" i="3"/>
  <c r="CD19" i="3" s="1"/>
  <c r="CC9" i="3"/>
  <c r="CC2" i="3"/>
  <c r="CC10" i="3" s="1"/>
  <c r="CD10" i="3" s="1"/>
  <c r="CD132" i="3" s="1"/>
  <c r="I137" i="3"/>
  <c r="F7" i="5"/>
  <c r="CD133" i="3" l="1"/>
  <c r="BJ122" i="3"/>
  <c r="BJ65" i="3"/>
  <c r="BJ133" i="3"/>
  <c r="BJ141" i="3" s="1"/>
  <c r="BJ130" i="3"/>
  <c r="BJ106" i="3"/>
  <c r="BJ119" i="3"/>
  <c r="BJ127" i="3"/>
  <c r="BJ105" i="3"/>
  <c r="BJ52" i="3"/>
  <c r="BJ121" i="3"/>
  <c r="BJ96" i="3"/>
  <c r="BJ120" i="3"/>
  <c r="BJ123" i="3"/>
  <c r="BF123" i="3"/>
  <c r="BF65" i="3"/>
  <c r="BF60" i="3" s="1"/>
  <c r="BF52" i="3"/>
  <c r="BF119" i="3"/>
  <c r="BF121" i="3"/>
  <c r="BF105" i="3"/>
  <c r="BF122" i="3"/>
  <c r="BF96" i="3"/>
  <c r="BF120" i="3"/>
  <c r="BF106" i="3"/>
  <c r="BF133" i="3"/>
  <c r="BF141" i="3" s="1"/>
  <c r="BF127" i="3"/>
  <c r="BF130" i="3"/>
  <c r="BX123" i="3"/>
  <c r="BX52" i="3"/>
  <c r="BX105" i="3"/>
  <c r="BX119" i="3"/>
  <c r="BX96" i="3"/>
  <c r="BX120" i="3"/>
  <c r="BX65" i="3"/>
  <c r="BX60" i="3" s="1"/>
  <c r="BX121" i="3"/>
  <c r="BX106" i="3"/>
  <c r="BX122" i="3"/>
  <c r="BX130" i="3"/>
  <c r="BX127" i="3"/>
  <c r="BX133" i="3"/>
  <c r="CF123" i="3"/>
  <c r="CF96" i="3"/>
  <c r="CF121" i="3"/>
  <c r="CF119" i="3"/>
  <c r="CF65" i="3"/>
  <c r="CF60" i="3" s="1"/>
  <c r="CF62" i="3"/>
  <c r="CF52" i="3"/>
  <c r="CF105" i="3"/>
  <c r="CF106" i="3"/>
  <c r="CF122" i="3"/>
  <c r="CF120" i="3"/>
  <c r="CF130" i="3"/>
  <c r="CF127" i="3"/>
  <c r="N37" i="22"/>
  <c r="N37" i="27"/>
  <c r="AT9" i="5"/>
  <c r="AT8" i="5"/>
  <c r="BB65" i="3"/>
  <c r="BB60" i="3" s="1"/>
  <c r="W12" i="11" s="1"/>
  <c r="BH66" i="3"/>
  <c r="BB96" i="3"/>
  <c r="W28" i="11" s="1"/>
  <c r="BV63" i="3"/>
  <c r="Z17" i="11"/>
  <c r="CD76" i="3"/>
  <c r="CD74" i="3" s="1"/>
  <c r="CD126" i="3"/>
  <c r="CD127" i="3" s="1"/>
  <c r="AC12" i="11"/>
  <c r="AC28" i="11"/>
  <c r="BV65" i="3"/>
  <c r="BV60" i="3" s="1"/>
  <c r="Z12" i="11" s="1"/>
  <c r="BZ66" i="3"/>
  <c r="BZ133" i="3" s="1"/>
  <c r="BV96" i="3"/>
  <c r="Z28" i="11" s="1"/>
  <c r="CD65" i="3"/>
  <c r="CD60" i="3" s="1"/>
  <c r="AF12" i="11" s="1"/>
  <c r="Q17" i="22" s="1"/>
  <c r="CH66" i="3"/>
  <c r="CH133" i="3" s="1"/>
  <c r="CD96" i="3"/>
  <c r="AF28" i="11" s="1"/>
  <c r="BV76" i="3"/>
  <c r="BV74" i="3" s="1"/>
  <c r="BV75" i="3" s="1"/>
  <c r="BV126" i="3"/>
  <c r="BV127" i="3" s="1"/>
  <c r="AC17" i="11"/>
  <c r="CD69" i="3"/>
  <c r="BV69" i="3"/>
  <c r="BV132" i="3"/>
  <c r="CD31" i="3"/>
  <c r="CD42" i="3"/>
  <c r="BU9" i="3"/>
  <c r="N12" i="8"/>
  <c r="AD16" i="11"/>
  <c r="AD21" i="11"/>
  <c r="BV31" i="3"/>
  <c r="BV42" i="3"/>
  <c r="N11" i="8"/>
  <c r="CD120" i="3"/>
  <c r="F8" i="5"/>
  <c r="AV8" i="5" s="1"/>
  <c r="F8" i="8"/>
  <c r="J13" i="7"/>
  <c r="N13" i="7"/>
  <c r="G13" i="7"/>
  <c r="L13" i="7"/>
  <c r="I13" i="7"/>
  <c r="H13" i="7"/>
  <c r="M13" i="7"/>
  <c r="K13" i="7"/>
  <c r="I110" i="7"/>
  <c r="I66" i="7"/>
  <c r="K158" i="7"/>
  <c r="H206" i="7"/>
  <c r="M110" i="7"/>
  <c r="J158" i="7"/>
  <c r="J110" i="7"/>
  <c r="H110" i="7"/>
  <c r="H158" i="7"/>
  <c r="K206" i="7"/>
  <c r="N66" i="7"/>
  <c r="F158" i="7"/>
  <c r="G158" i="7"/>
  <c r="I158" i="7"/>
  <c r="J206" i="7"/>
  <c r="J66" i="7"/>
  <c r="N206" i="7"/>
  <c r="F13" i="7"/>
  <c r="L110" i="7"/>
  <c r="L158" i="7"/>
  <c r="K66" i="7"/>
  <c r="K110" i="7"/>
  <c r="I206" i="7"/>
  <c r="H66" i="7"/>
  <c r="F110" i="7"/>
  <c r="M158" i="7"/>
  <c r="N110" i="7"/>
  <c r="N158" i="7"/>
  <c r="G110" i="7"/>
  <c r="M66" i="7"/>
  <c r="L206" i="7"/>
  <c r="F206" i="7"/>
  <c r="G206" i="7"/>
  <c r="M206" i="7"/>
  <c r="G66" i="7"/>
  <c r="L66" i="7"/>
  <c r="F66" i="7"/>
  <c r="CD30" i="3"/>
  <c r="CD29" i="3" s="1"/>
  <c r="BV121" i="3"/>
  <c r="N11" i="5"/>
  <c r="P11" i="5" s="1"/>
  <c r="BV52" i="3"/>
  <c r="CD105" i="3"/>
  <c r="AU8" i="5"/>
  <c r="AT10" i="5"/>
  <c r="AW10" i="5"/>
  <c r="AR14" i="5"/>
  <c r="AX8" i="5"/>
  <c r="AX9" i="5"/>
  <c r="AW7" i="5"/>
  <c r="AW8" i="5"/>
  <c r="AX7" i="5"/>
  <c r="H5" i="6"/>
  <c r="J5" i="6" s="1"/>
  <c r="M5" i="6"/>
  <c r="E5" i="6"/>
  <c r="G5" i="6" s="1"/>
  <c r="T13" i="5"/>
  <c r="T7" i="5"/>
  <c r="P8" i="5"/>
  <c r="T10" i="5"/>
  <c r="P9" i="5"/>
  <c r="T8" i="5"/>
  <c r="T11" i="5"/>
  <c r="P13" i="5"/>
  <c r="BD13" i="5" s="1"/>
  <c r="T9" i="5"/>
  <c r="T12" i="5"/>
  <c r="P7" i="5"/>
  <c r="BD7" i="5" s="1"/>
  <c r="P10" i="5"/>
  <c r="BD10" i="5" s="1"/>
  <c r="N12" i="5"/>
  <c r="CD52" i="3"/>
  <c r="BV30" i="3"/>
  <c r="BV29" i="3" s="1"/>
  <c r="CD25" i="3"/>
  <c r="CD119" i="3"/>
  <c r="BB119" i="3"/>
  <c r="CD122" i="3"/>
  <c r="BV122" i="3"/>
  <c r="BV105" i="3"/>
  <c r="CD62" i="3"/>
  <c r="BV106" i="3"/>
  <c r="BV119" i="3"/>
  <c r="CD121" i="3"/>
  <c r="BV120" i="3"/>
  <c r="BB121" i="3"/>
  <c r="BB52" i="3"/>
  <c r="BB122" i="3"/>
  <c r="BB105" i="3"/>
  <c r="BB120" i="3"/>
  <c r="CD106" i="3"/>
  <c r="BV25" i="3"/>
  <c r="BB106" i="3"/>
  <c r="BB62" i="3"/>
  <c r="BD11" i="5"/>
  <c r="BB9" i="5"/>
  <c r="AU9" i="5"/>
  <c r="AT13" i="5"/>
  <c r="BB13" i="5"/>
  <c r="BD9" i="5"/>
  <c r="BD8" i="5"/>
  <c r="AT12" i="5"/>
  <c r="AU7" i="5"/>
  <c r="AU10" i="5"/>
  <c r="AT11" i="5"/>
  <c r="AV7" i="5"/>
  <c r="BB10" i="3"/>
  <c r="BA16" i="3"/>
  <c r="BA20" i="3" s="1"/>
  <c r="BA24" i="3" s="1"/>
  <c r="BA23" i="3" s="1"/>
  <c r="BV129" i="3"/>
  <c r="BV130" i="3" s="1"/>
  <c r="BU16" i="3"/>
  <c r="BU20" i="3" s="1"/>
  <c r="BU24" i="3" s="1"/>
  <c r="BU23" i="3" s="1"/>
  <c r="BV16" i="3"/>
  <c r="BV20" i="3" s="1"/>
  <c r="BV24" i="3" s="1"/>
  <c r="BV23" i="3" s="1"/>
  <c r="CD129" i="3"/>
  <c r="CD130" i="3" s="1"/>
  <c r="CC16" i="3"/>
  <c r="CC20" i="3" s="1"/>
  <c r="CC24" i="3" s="1"/>
  <c r="CC23" i="3" s="1"/>
  <c r="CD16" i="3"/>
  <c r="CD20" i="3" s="1"/>
  <c r="CD24" i="3" s="1"/>
  <c r="CD23" i="3" s="1"/>
  <c r="V8" i="8"/>
  <c r="X8" i="8" s="1"/>
  <c r="E8" i="4"/>
  <c r="E7" i="4"/>
  <c r="E6" i="4"/>
  <c r="E11" i="4"/>
  <c r="C10" i="4"/>
  <c r="E10" i="4" s="1"/>
  <c r="G10" i="4" s="1"/>
  <c r="I10" i="4" s="1"/>
  <c r="C9" i="4"/>
  <c r="E9" i="4" s="1"/>
  <c r="C8" i="4"/>
  <c r="C7" i="4"/>
  <c r="C6" i="4"/>
  <c r="C5" i="4"/>
  <c r="C11" i="4"/>
  <c r="BJ117" i="3" l="1"/>
  <c r="BJ116" i="3" s="1"/>
  <c r="BJ114" i="3" s="1"/>
  <c r="BJ115" i="3" s="1"/>
  <c r="BJ72" i="3" s="1"/>
  <c r="BJ60" i="3"/>
  <c r="BJ59" i="3"/>
  <c r="BF59" i="3"/>
  <c r="CF59" i="3"/>
  <c r="CE8" i="3"/>
  <c r="CF56" i="3"/>
  <c r="CF53" i="3" s="1"/>
  <c r="CF111" i="3"/>
  <c r="CF112" i="3" s="1"/>
  <c r="CF108" i="3"/>
  <c r="CF109" i="3" s="1"/>
  <c r="BX56" i="3"/>
  <c r="BX53" i="3" s="1"/>
  <c r="BW8" i="3"/>
  <c r="CF117" i="3"/>
  <c r="CF116" i="3" s="1"/>
  <c r="CF114" i="3" s="1"/>
  <c r="CF115" i="3" s="1"/>
  <c r="BF117" i="3"/>
  <c r="BF116" i="3" s="1"/>
  <c r="BF114" i="3" s="1"/>
  <c r="BF115" i="3" s="1"/>
  <c r="BF72" i="3" s="1"/>
  <c r="BX117" i="3"/>
  <c r="BX116" i="3" s="1"/>
  <c r="BX114" i="3" s="1"/>
  <c r="BX115" i="3" s="1"/>
  <c r="BE8" i="3"/>
  <c r="BF56" i="3"/>
  <c r="BF108" i="3"/>
  <c r="BF109" i="3" s="1"/>
  <c r="BF111" i="3"/>
  <c r="BF112" i="3" s="1"/>
  <c r="BX59" i="3"/>
  <c r="AF14" i="11"/>
  <c r="Q19" i="22" s="1"/>
  <c r="Q20" i="22" s="1"/>
  <c r="X32" i="27"/>
  <c r="AV32" i="27"/>
  <c r="AF32" i="27"/>
  <c r="AN32" i="27"/>
  <c r="AD17" i="27"/>
  <c r="AL17" i="27"/>
  <c r="N17" i="27"/>
  <c r="F17" i="27"/>
  <c r="V17" i="27"/>
  <c r="AT17" i="27"/>
  <c r="H17" i="27"/>
  <c r="X17" i="27"/>
  <c r="AV17" i="27"/>
  <c r="P17" i="27"/>
  <c r="AF17" i="27"/>
  <c r="AN17" i="27"/>
  <c r="AG32" i="27"/>
  <c r="AW32" i="27"/>
  <c r="AO32" i="27"/>
  <c r="Y32" i="27"/>
  <c r="AM32" i="27"/>
  <c r="AU32" i="27"/>
  <c r="AE32" i="27"/>
  <c r="W32" i="27"/>
  <c r="AN22" i="27"/>
  <c r="P22" i="27"/>
  <c r="X22" i="27"/>
  <c r="AF22" i="27"/>
  <c r="AV22" i="27"/>
  <c r="O17" i="27"/>
  <c r="G17" i="27"/>
  <c r="W17" i="27"/>
  <c r="AU17" i="27"/>
  <c r="AM17" i="27"/>
  <c r="AE17" i="27"/>
  <c r="G22" i="27"/>
  <c r="AE22" i="27"/>
  <c r="O22" i="27"/>
  <c r="W22" i="27"/>
  <c r="AU22" i="27"/>
  <c r="AM22" i="27"/>
  <c r="AO17" i="27"/>
  <c r="AG17" i="27"/>
  <c r="Q17" i="27"/>
  <c r="Y17" i="27"/>
  <c r="AW17" i="27"/>
  <c r="V32" i="27"/>
  <c r="AT32" i="27"/>
  <c r="AD32" i="27"/>
  <c r="AL32" i="27"/>
  <c r="BA8" i="3"/>
  <c r="BB56" i="3"/>
  <c r="BB50" i="3" s="1"/>
  <c r="BB54" i="3" s="1"/>
  <c r="BB59" i="3"/>
  <c r="CD56" i="3"/>
  <c r="F11" i="8"/>
  <c r="AV11" i="8" s="1"/>
  <c r="F10" i="5"/>
  <c r="AV10" i="5" s="1"/>
  <c r="CC8" i="3"/>
  <c r="CD59" i="3"/>
  <c r="F11" i="5"/>
  <c r="AV11" i="5" s="1"/>
  <c r="F10" i="8"/>
  <c r="AV10" i="8" s="1"/>
  <c r="AV14" i="8" s="1"/>
  <c r="M7" i="9" s="1"/>
  <c r="O7" i="9" s="1"/>
  <c r="F13" i="8"/>
  <c r="AV13" i="8" s="1"/>
  <c r="BV111" i="3"/>
  <c r="BV112" i="3" s="1"/>
  <c r="F13" i="5"/>
  <c r="AV13" i="5" s="1"/>
  <c r="BB76" i="3"/>
  <c r="BB74" i="3" s="1"/>
  <c r="BB75" i="3" s="1"/>
  <c r="BB126" i="3"/>
  <c r="BB127" i="3" s="1"/>
  <c r="BV108" i="3"/>
  <c r="BV109" i="3" s="1"/>
  <c r="AW32" i="22"/>
  <c r="Y32" i="22"/>
  <c r="AG32" i="22"/>
  <c r="AO32" i="22"/>
  <c r="AM32" i="22"/>
  <c r="AU32" i="22"/>
  <c r="AE32" i="22"/>
  <c r="W32" i="22"/>
  <c r="AF22" i="22"/>
  <c r="X22" i="22"/>
  <c r="Z18" i="11"/>
  <c r="AV22" i="22"/>
  <c r="AN22" i="22"/>
  <c r="P22" i="22"/>
  <c r="Z14" i="11"/>
  <c r="Z15" i="11" s="1"/>
  <c r="H12" i="8"/>
  <c r="AX12" i="8" s="1"/>
  <c r="BV80" i="3"/>
  <c r="H12" i="5"/>
  <c r="AX12" i="5" s="1"/>
  <c r="BU8" i="3"/>
  <c r="BV59" i="3"/>
  <c r="CH122" i="3"/>
  <c r="CH52" i="3"/>
  <c r="CH106" i="3"/>
  <c r="CH119" i="3"/>
  <c r="CH121" i="3"/>
  <c r="CH65" i="3"/>
  <c r="CH120" i="3"/>
  <c r="CH105" i="3"/>
  <c r="CH127" i="3"/>
  <c r="CH130" i="3"/>
  <c r="CH123" i="3"/>
  <c r="CH96" i="3"/>
  <c r="AG28" i="11" s="1"/>
  <c r="AD28" i="11"/>
  <c r="CQ32" i="22" s="1"/>
  <c r="BV56" i="3"/>
  <c r="AM22" i="22"/>
  <c r="G22" i="22"/>
  <c r="AC18" i="11"/>
  <c r="AU22" i="22"/>
  <c r="W22" i="22"/>
  <c r="O22" i="22"/>
  <c r="AE22" i="22"/>
  <c r="AG17" i="22"/>
  <c r="AW17" i="22"/>
  <c r="Y17" i="22"/>
  <c r="AO17" i="22"/>
  <c r="AF19" i="11"/>
  <c r="AL32" i="22"/>
  <c r="AD32" i="22"/>
  <c r="V32" i="22"/>
  <c r="AT32" i="22"/>
  <c r="F12" i="8"/>
  <c r="AV12" i="8" s="1"/>
  <c r="X32" i="22"/>
  <c r="AF32" i="22"/>
  <c r="AV32" i="22"/>
  <c r="AN32" i="22"/>
  <c r="AE17" i="22"/>
  <c r="W17" i="22"/>
  <c r="O17" i="22"/>
  <c r="G17" i="22"/>
  <c r="AM17" i="22"/>
  <c r="AC19" i="11"/>
  <c r="AU17" i="22"/>
  <c r="BH122" i="3"/>
  <c r="BH119" i="3"/>
  <c r="BH52" i="3"/>
  <c r="BH65" i="3"/>
  <c r="BH106" i="3"/>
  <c r="BH120" i="3"/>
  <c r="BH123" i="3"/>
  <c r="BH105" i="3"/>
  <c r="BH121" i="3"/>
  <c r="BH133" i="3"/>
  <c r="BH141" i="3" s="1"/>
  <c r="BH130" i="3"/>
  <c r="BH127" i="3"/>
  <c r="BH96" i="3"/>
  <c r="X28" i="11" s="1"/>
  <c r="AV17" i="22"/>
  <c r="Z19" i="11"/>
  <c r="H17" i="22"/>
  <c r="AN17" i="22"/>
  <c r="AF17" i="22"/>
  <c r="X17" i="22"/>
  <c r="P17" i="22"/>
  <c r="H6" i="6"/>
  <c r="J6" i="6" s="1"/>
  <c r="E6" i="9"/>
  <c r="G6" i="9" s="1"/>
  <c r="F12" i="5"/>
  <c r="AV12" i="5" s="1"/>
  <c r="BV133" i="3"/>
  <c r="BZ121" i="3"/>
  <c r="BZ65" i="3"/>
  <c r="BZ52" i="3"/>
  <c r="BZ122" i="3"/>
  <c r="BZ106" i="3"/>
  <c r="BZ119" i="3"/>
  <c r="BZ120" i="3"/>
  <c r="BZ105" i="3"/>
  <c r="BZ130" i="3"/>
  <c r="BZ123" i="3"/>
  <c r="BZ127" i="3"/>
  <c r="BZ96" i="3"/>
  <c r="AA28" i="11" s="1"/>
  <c r="F17" i="22"/>
  <c r="W19" i="11"/>
  <c r="AD17" i="22"/>
  <c r="V17" i="22"/>
  <c r="AL17" i="22"/>
  <c r="AT17" i="22"/>
  <c r="N17" i="22"/>
  <c r="BB69" i="3"/>
  <c r="BB132" i="3"/>
  <c r="BB11" i="8"/>
  <c r="BB14" i="8" s="1"/>
  <c r="M12" i="9" s="1"/>
  <c r="P11" i="8"/>
  <c r="J9" i="5"/>
  <c r="L9" i="5" s="1"/>
  <c r="J9" i="8"/>
  <c r="L9" i="8" s="1"/>
  <c r="AD18" i="11"/>
  <c r="BB12" i="8"/>
  <c r="P12" i="8"/>
  <c r="J8" i="5"/>
  <c r="L8" i="5" s="1"/>
  <c r="BB8" i="5" s="1"/>
  <c r="J8" i="8"/>
  <c r="L8" i="8" s="1"/>
  <c r="AA18" i="11"/>
  <c r="F9" i="8"/>
  <c r="F70" i="7"/>
  <c r="F68" i="7"/>
  <c r="H160" i="7"/>
  <c r="H162" i="7"/>
  <c r="M162" i="7"/>
  <c r="M160" i="7"/>
  <c r="I160" i="7"/>
  <c r="I162" i="7"/>
  <c r="L17" i="7"/>
  <c r="L15" i="7"/>
  <c r="L210" i="7"/>
  <c r="L208" i="7"/>
  <c r="F114" i="7"/>
  <c r="F112" i="7"/>
  <c r="L114" i="7"/>
  <c r="L112" i="7"/>
  <c r="G162" i="7"/>
  <c r="G160" i="7"/>
  <c r="J114" i="7"/>
  <c r="J112" i="7"/>
  <c r="I114" i="7"/>
  <c r="I112" i="7"/>
  <c r="G17" i="7"/>
  <c r="G15" i="7"/>
  <c r="J162" i="7"/>
  <c r="J160" i="7"/>
  <c r="N15" i="7"/>
  <c r="N16" i="7" s="1"/>
  <c r="N17" i="7"/>
  <c r="N114" i="7"/>
  <c r="N112" i="7"/>
  <c r="K70" i="7"/>
  <c r="K68" i="7"/>
  <c r="K160" i="7"/>
  <c r="K162" i="7"/>
  <c r="L162" i="7"/>
  <c r="L160" i="7"/>
  <c r="I68" i="7"/>
  <c r="I70" i="7"/>
  <c r="L70" i="7"/>
  <c r="L68" i="7"/>
  <c r="M70" i="7"/>
  <c r="M68" i="7"/>
  <c r="F17" i="7"/>
  <c r="F15" i="7"/>
  <c r="K15" i="7"/>
  <c r="K17" i="7"/>
  <c r="G68" i="7"/>
  <c r="G70" i="7"/>
  <c r="G114" i="7"/>
  <c r="G112" i="7"/>
  <c r="I208" i="7"/>
  <c r="I210" i="7"/>
  <c r="N208" i="7"/>
  <c r="N210" i="7"/>
  <c r="N70" i="7"/>
  <c r="N68" i="7"/>
  <c r="M114" i="7"/>
  <c r="M112" i="7"/>
  <c r="M17" i="7"/>
  <c r="M15" i="7"/>
  <c r="J15" i="7"/>
  <c r="J17" i="7"/>
  <c r="G208" i="7"/>
  <c r="G210" i="7"/>
  <c r="J210" i="7"/>
  <c r="J208" i="7"/>
  <c r="I17" i="7"/>
  <c r="I15" i="7"/>
  <c r="F210" i="7"/>
  <c r="F208" i="7"/>
  <c r="H112" i="7"/>
  <c r="H114" i="7"/>
  <c r="H70" i="7"/>
  <c r="H68" i="7"/>
  <c r="F162" i="7"/>
  <c r="F160" i="7"/>
  <c r="M210" i="7"/>
  <c r="M208" i="7"/>
  <c r="N162" i="7"/>
  <c r="N160" i="7"/>
  <c r="K112" i="7"/>
  <c r="K114" i="7"/>
  <c r="J70" i="7"/>
  <c r="J68" i="7"/>
  <c r="K210" i="7"/>
  <c r="K208" i="7"/>
  <c r="H208" i="7"/>
  <c r="H210" i="7"/>
  <c r="H17" i="7"/>
  <c r="H15" i="7"/>
  <c r="BB11" i="5"/>
  <c r="E6" i="6"/>
  <c r="G6" i="6" s="1"/>
  <c r="M6" i="6"/>
  <c r="O6" i="6" s="1"/>
  <c r="AX14" i="5"/>
  <c r="M9" i="6" s="1"/>
  <c r="O9" i="6" s="1"/>
  <c r="O5" i="6"/>
  <c r="BB12" i="5"/>
  <c r="P12" i="5"/>
  <c r="BD12" i="5" s="1"/>
  <c r="BD14" i="5" s="1"/>
  <c r="F9" i="5"/>
  <c r="BB16" i="3"/>
  <c r="BB20" i="3" s="1"/>
  <c r="BB24" i="3" s="1"/>
  <c r="BB23" i="3" s="1"/>
  <c r="AJ7" i="5"/>
  <c r="V8" i="5"/>
  <c r="V7" i="5"/>
  <c r="AT14" i="5"/>
  <c r="BB129" i="3"/>
  <c r="BB130" i="3" s="1"/>
  <c r="J7" i="5"/>
  <c r="L7" i="5" s="1"/>
  <c r="V128" i="3"/>
  <c r="X128" i="3" s="1"/>
  <c r="V135" i="3"/>
  <c r="V122" i="3"/>
  <c r="V121" i="3"/>
  <c r="V120" i="3"/>
  <c r="V119" i="3"/>
  <c r="V111" i="3"/>
  <c r="V108" i="3"/>
  <c r="V106" i="3"/>
  <c r="V104" i="3"/>
  <c r="V105" i="3" s="1"/>
  <c r="V79" i="3"/>
  <c r="V65" i="3"/>
  <c r="V67" i="3" s="1"/>
  <c r="V56" i="3"/>
  <c r="V50" i="3" s="1"/>
  <c r="V52" i="3"/>
  <c r="V32" i="3"/>
  <c r="U31" i="3"/>
  <c r="U30" i="3"/>
  <c r="U29" i="3" s="1"/>
  <c r="V26" i="3"/>
  <c r="V25" i="3" s="1"/>
  <c r="U25" i="3"/>
  <c r="U19" i="3"/>
  <c r="V15" i="3"/>
  <c r="U9" i="3"/>
  <c r="U8" i="3"/>
  <c r="U2" i="3"/>
  <c r="U10" i="3" s="1"/>
  <c r="I128" i="3"/>
  <c r="K128" i="3" s="1"/>
  <c r="M128" i="3" s="1"/>
  <c r="G108" i="3"/>
  <c r="G100" i="3"/>
  <c r="G104" i="3" s="1"/>
  <c r="G105" i="3" s="1"/>
  <c r="I100" i="3"/>
  <c r="I104" i="3" s="1"/>
  <c r="I105" i="3" s="1"/>
  <c r="H9" i="3"/>
  <c r="S9" i="3"/>
  <c r="AY9" i="3"/>
  <c r="BS9" i="3"/>
  <c r="CA9" i="3"/>
  <c r="F9" i="3"/>
  <c r="H2" i="3"/>
  <c r="H10" i="3" s="1"/>
  <c r="I135" i="3"/>
  <c r="I140" i="3" s="1"/>
  <c r="I123" i="3"/>
  <c r="I122" i="3"/>
  <c r="I121" i="3"/>
  <c r="I120" i="3"/>
  <c r="I119" i="3"/>
  <c r="I111" i="3"/>
  <c r="I108" i="3"/>
  <c r="I106" i="3"/>
  <c r="I76" i="3"/>
  <c r="I65" i="3"/>
  <c r="I67" i="3" s="1"/>
  <c r="I56" i="3"/>
  <c r="I52" i="3"/>
  <c r="I32" i="3"/>
  <c r="D34" i="11" s="1"/>
  <c r="C120" i="21" s="1"/>
  <c r="H31" i="3"/>
  <c r="H30" i="3"/>
  <c r="H29" i="3" s="1"/>
  <c r="I26" i="3"/>
  <c r="I25" i="3" s="1"/>
  <c r="H25" i="3"/>
  <c r="H19" i="3"/>
  <c r="I15" i="3"/>
  <c r="I19" i="3" s="1"/>
  <c r="H8" i="3"/>
  <c r="T135" i="3"/>
  <c r="G135" i="3"/>
  <c r="G123" i="3"/>
  <c r="CB122" i="3"/>
  <c r="BT122" i="3"/>
  <c r="AZ122" i="3"/>
  <c r="T122" i="3"/>
  <c r="G122" i="3"/>
  <c r="CB121" i="3"/>
  <c r="BT121" i="3"/>
  <c r="AZ121" i="3"/>
  <c r="T121" i="3"/>
  <c r="G121" i="3"/>
  <c r="CB120" i="3"/>
  <c r="BT120" i="3"/>
  <c r="AZ120" i="3"/>
  <c r="T120" i="3"/>
  <c r="G120" i="3"/>
  <c r="CB119" i="3"/>
  <c r="BT119" i="3"/>
  <c r="AZ119" i="3"/>
  <c r="T119" i="3"/>
  <c r="G119" i="3"/>
  <c r="AZ111" i="3"/>
  <c r="G111" i="3"/>
  <c r="AZ108" i="3"/>
  <c r="CB106" i="3"/>
  <c r="BT106" i="3"/>
  <c r="AZ106" i="3"/>
  <c r="T106" i="3"/>
  <c r="G106" i="3"/>
  <c r="CB104" i="3"/>
  <c r="CB105" i="3" s="1"/>
  <c r="BT104" i="3"/>
  <c r="BT105" i="3" s="1"/>
  <c r="AZ104" i="3"/>
  <c r="AZ105" i="3" s="1"/>
  <c r="T104" i="3"/>
  <c r="T105" i="3" s="1"/>
  <c r="T79" i="3"/>
  <c r="T76" i="3" s="1"/>
  <c r="G76" i="3"/>
  <c r="E75" i="3"/>
  <c r="E81" i="3" s="1"/>
  <c r="E74" i="3"/>
  <c r="E80" i="3" s="1"/>
  <c r="E83" i="3" s="1"/>
  <c r="E86" i="3" s="1"/>
  <c r="E89" i="3" s="1"/>
  <c r="CB65" i="3"/>
  <c r="CB60" i="3" s="1"/>
  <c r="BT65" i="3"/>
  <c r="BT60" i="3" s="1"/>
  <c r="AZ65" i="3"/>
  <c r="AZ67" i="3" s="1"/>
  <c r="T65" i="3"/>
  <c r="T67" i="3" s="1"/>
  <c r="G65" i="3"/>
  <c r="G67" i="3" s="1"/>
  <c r="E65" i="3"/>
  <c r="C65" i="3"/>
  <c r="E57" i="3"/>
  <c r="E58" i="3" s="1"/>
  <c r="AZ56" i="3"/>
  <c r="AZ50" i="3" s="1"/>
  <c r="AZ54" i="3" s="1"/>
  <c r="AY41" i="3" s="1"/>
  <c r="T56" i="3"/>
  <c r="G56" i="3"/>
  <c r="CB52" i="3"/>
  <c r="BT52" i="3"/>
  <c r="AZ52" i="3"/>
  <c r="T52" i="3"/>
  <c r="G52" i="3"/>
  <c r="CB32" i="3"/>
  <c r="AE34" i="11" s="1"/>
  <c r="I120" i="21" s="1"/>
  <c r="S120" i="21" s="1"/>
  <c r="Y34" i="11"/>
  <c r="M37" i="27" s="1"/>
  <c r="R37" i="27" s="1"/>
  <c r="AB34" i="11"/>
  <c r="AA37" i="27" s="1"/>
  <c r="AH37" i="27" s="1"/>
  <c r="AZ32" i="3"/>
  <c r="V34" i="11" s="1"/>
  <c r="F120" i="21" s="1"/>
  <c r="P120" i="21" s="1"/>
  <c r="T32" i="3"/>
  <c r="G32" i="3"/>
  <c r="C34" i="11" s="1"/>
  <c r="CA31" i="3"/>
  <c r="BS31" i="3"/>
  <c r="AY31" i="3"/>
  <c r="S31" i="3"/>
  <c r="F31" i="3"/>
  <c r="CA30" i="3"/>
  <c r="CA29" i="3" s="1"/>
  <c r="BS30" i="3"/>
  <c r="BS29" i="3" s="1"/>
  <c r="AY30" i="3"/>
  <c r="AY29" i="3" s="1"/>
  <c r="S30" i="3"/>
  <c r="S29" i="3" s="1"/>
  <c r="F30" i="3"/>
  <c r="F29" i="3" s="1"/>
  <c r="CB26" i="3"/>
  <c r="BT26" i="3"/>
  <c r="AZ26" i="3"/>
  <c r="T26" i="3"/>
  <c r="T25" i="3" s="1"/>
  <c r="G26" i="3"/>
  <c r="G25" i="3" s="1"/>
  <c r="CA25" i="3"/>
  <c r="BS25" i="3"/>
  <c r="AY25" i="3"/>
  <c r="S25" i="3"/>
  <c r="F25" i="3"/>
  <c r="CA19" i="3"/>
  <c r="BS19" i="3"/>
  <c r="AY19" i="3"/>
  <c r="S19" i="3"/>
  <c r="F19" i="3"/>
  <c r="CB15" i="3"/>
  <c r="BT15" i="3"/>
  <c r="BT19" i="3" s="1"/>
  <c r="AZ15" i="3"/>
  <c r="AZ19" i="3" s="1"/>
  <c r="T15" i="3"/>
  <c r="T19" i="3" s="1"/>
  <c r="G15" i="3"/>
  <c r="G19" i="3" s="1"/>
  <c r="AY8" i="3"/>
  <c r="S8" i="3"/>
  <c r="F8" i="3"/>
  <c r="CA2" i="3"/>
  <c r="CA10" i="3" s="1"/>
  <c r="BS2" i="3"/>
  <c r="BS10" i="3" s="1"/>
  <c r="BT10" i="3" s="1"/>
  <c r="AY2" i="3"/>
  <c r="AY10" i="3" s="1"/>
  <c r="S2" i="3"/>
  <c r="S10" i="3" s="1"/>
  <c r="F2" i="3"/>
  <c r="F10" i="3" s="1"/>
  <c r="F16" i="3" s="1"/>
  <c r="F20" i="3" s="1"/>
  <c r="F24" i="3" s="1"/>
  <c r="F23" i="3" s="1"/>
  <c r="G96" i="3" l="1"/>
  <c r="C28" i="11" s="1"/>
  <c r="G140" i="3"/>
  <c r="Y12" i="11"/>
  <c r="Y19" i="11" s="1"/>
  <c r="E12" i="8"/>
  <c r="AU12" i="8" s="1"/>
  <c r="E12" i="5"/>
  <c r="AU12" i="5" s="1"/>
  <c r="CA8" i="3"/>
  <c r="BS8" i="3"/>
  <c r="BT56" i="3"/>
  <c r="BT50" i="3" s="1"/>
  <c r="BT76" i="3"/>
  <c r="BT74" i="3" s="1"/>
  <c r="BT108" i="3" s="1"/>
  <c r="BT109" i="3" s="1"/>
  <c r="BT132" i="3"/>
  <c r="BT133" i="3" s="1"/>
  <c r="AE12" i="11"/>
  <c r="AE19" i="11" s="1"/>
  <c r="E13" i="8"/>
  <c r="AU13" i="8" s="1"/>
  <c r="E13" i="5"/>
  <c r="AU13" i="5" s="1"/>
  <c r="CB56" i="3"/>
  <c r="CB53" i="3" s="1"/>
  <c r="BJ111" i="3"/>
  <c r="BJ112" i="3" s="1"/>
  <c r="BI8" i="3"/>
  <c r="BJ108" i="3"/>
  <c r="BJ109" i="3" s="1"/>
  <c r="BJ56" i="3"/>
  <c r="BJ86" i="3"/>
  <c r="BJ71" i="3"/>
  <c r="Y19" i="27"/>
  <c r="Y20" i="27" s="1"/>
  <c r="Y21" i="27" s="1"/>
  <c r="Z128" i="3"/>
  <c r="X129" i="3"/>
  <c r="X130" i="3" s="1"/>
  <c r="O128" i="3"/>
  <c r="Q19" i="27"/>
  <c r="Q20" i="27" s="1"/>
  <c r="BF71" i="3"/>
  <c r="BF86" i="3"/>
  <c r="CF71" i="3"/>
  <c r="CF86" i="3"/>
  <c r="BX50" i="3"/>
  <c r="BX68" i="3"/>
  <c r="BF53" i="3"/>
  <c r="BF68" i="3"/>
  <c r="BF50" i="3"/>
  <c r="AF15" i="11"/>
  <c r="AF21" i="11" s="1"/>
  <c r="Y19" i="22"/>
  <c r="Y20" i="22" s="1"/>
  <c r="Y21" i="22" s="1"/>
  <c r="CF50" i="3"/>
  <c r="CF54" i="3" s="1"/>
  <c r="CF68" i="3"/>
  <c r="BV53" i="3"/>
  <c r="CD50" i="3"/>
  <c r="CD54" i="3" s="1"/>
  <c r="CD41" i="3" s="1"/>
  <c r="Q41" i="22"/>
  <c r="Q42" i="22" s="1"/>
  <c r="Q21" i="22"/>
  <c r="AX22" i="22"/>
  <c r="R22" i="22"/>
  <c r="BC32" i="27"/>
  <c r="BK32" i="27"/>
  <c r="CI32" i="27"/>
  <c r="CQ32" i="27"/>
  <c r="BS32" i="27"/>
  <c r="CA32" i="27"/>
  <c r="W23" i="27"/>
  <c r="W41" i="27"/>
  <c r="W42" i="27" s="1"/>
  <c r="Z22" i="27"/>
  <c r="Z23" i="27" s="1"/>
  <c r="X23" i="27"/>
  <c r="X41" i="27"/>
  <c r="X42" i="27" s="1"/>
  <c r="CB32" i="27"/>
  <c r="BL32" i="27"/>
  <c r="BD32" i="27"/>
  <c r="CR32" i="27"/>
  <c r="CJ32" i="27"/>
  <c r="BT32" i="27"/>
  <c r="O23" i="27"/>
  <c r="O41" i="27"/>
  <c r="O42" i="27" s="1"/>
  <c r="R22" i="27"/>
  <c r="R23" i="27" s="1"/>
  <c r="CZ22" i="27"/>
  <c r="P23" i="27"/>
  <c r="P41" i="27"/>
  <c r="P42" i="27" s="1"/>
  <c r="AM23" i="27"/>
  <c r="AM41" i="27"/>
  <c r="AM42" i="27" s="1"/>
  <c r="AP22" i="27"/>
  <c r="BB32" i="27"/>
  <c r="BJ32" i="27"/>
  <c r="CP32" i="27"/>
  <c r="BR32" i="27"/>
  <c r="BZ32" i="27"/>
  <c r="CH32" i="27"/>
  <c r="AF23" i="27"/>
  <c r="AF41" i="27"/>
  <c r="AF42" i="27" s="1"/>
  <c r="AE23" i="27"/>
  <c r="AE41" i="27"/>
  <c r="AE42" i="27" s="1"/>
  <c r="AH22" i="27"/>
  <c r="AN23" i="27"/>
  <c r="AN41" i="27"/>
  <c r="AN42" i="27" s="1"/>
  <c r="AV23" i="27"/>
  <c r="AV41" i="27"/>
  <c r="AV42" i="27" s="1"/>
  <c r="BU32" i="27"/>
  <c r="CK32" i="27"/>
  <c r="CS32" i="27"/>
  <c r="BM32" i="27"/>
  <c r="CC32" i="27"/>
  <c r="BE32" i="27"/>
  <c r="AU23" i="27"/>
  <c r="AU41" i="27"/>
  <c r="AU42" i="27" s="1"/>
  <c r="AX22" i="27"/>
  <c r="CY22" i="27"/>
  <c r="G23" i="27"/>
  <c r="J22" i="27"/>
  <c r="CD53" i="3"/>
  <c r="CD68" i="3"/>
  <c r="BB68" i="3"/>
  <c r="BB53" i="3"/>
  <c r="T7" i="9"/>
  <c r="R7" i="9"/>
  <c r="BV50" i="3"/>
  <c r="BV54" i="3" s="1"/>
  <c r="BH117" i="3"/>
  <c r="BH116" i="3" s="1"/>
  <c r="BH114" i="3" s="1"/>
  <c r="BH115" i="3" s="1"/>
  <c r="BH72" i="3" s="1"/>
  <c r="X22" i="11" s="1"/>
  <c r="BV68" i="3"/>
  <c r="BZ117" i="3"/>
  <c r="BZ116" i="3" s="1"/>
  <c r="BZ114" i="3" s="1"/>
  <c r="BZ115" i="3" s="1"/>
  <c r="AA22" i="11" s="1"/>
  <c r="AC14" i="11"/>
  <c r="G19" i="27" s="1"/>
  <c r="H11" i="8"/>
  <c r="AX11" i="8" s="1"/>
  <c r="H11" i="5"/>
  <c r="AX11" i="5" s="1"/>
  <c r="AE23" i="22"/>
  <c r="AE41" i="22"/>
  <c r="AE42" i="22" s="1"/>
  <c r="AH22" i="22"/>
  <c r="AM23" i="22"/>
  <c r="AM41" i="22"/>
  <c r="AM42" i="22" s="1"/>
  <c r="AP22" i="22"/>
  <c r="AV23" i="22"/>
  <c r="AV41" i="22"/>
  <c r="AV42" i="22" s="1"/>
  <c r="BB133" i="3"/>
  <c r="O23" i="22"/>
  <c r="O41" i="22"/>
  <c r="O42" i="22" s="1"/>
  <c r="J12" i="8"/>
  <c r="BV81" i="3"/>
  <c r="J12" i="5"/>
  <c r="L12" i="5" s="1"/>
  <c r="BV82" i="3"/>
  <c r="BV83" i="3"/>
  <c r="BV84" i="3" s="1"/>
  <c r="AN23" i="22"/>
  <c r="AN41" i="22"/>
  <c r="AN42" i="22" s="1"/>
  <c r="W23" i="22"/>
  <c r="W41" i="22"/>
  <c r="W42" i="22" s="1"/>
  <c r="Z22" i="22"/>
  <c r="Z23" i="22" s="1"/>
  <c r="BK32" i="22"/>
  <c r="Q52" i="21"/>
  <c r="CA32" i="22"/>
  <c r="G52" i="21"/>
  <c r="BS32" i="22"/>
  <c r="G83" i="21"/>
  <c r="CI32" i="22"/>
  <c r="Q83" i="21"/>
  <c r="BC32" i="22"/>
  <c r="G21" i="21"/>
  <c r="X23" i="22"/>
  <c r="X41" i="22"/>
  <c r="X42" i="22" s="1"/>
  <c r="G120" i="21"/>
  <c r="Q120" i="21" s="1"/>
  <c r="AA37" i="22"/>
  <c r="AH37" i="22" s="1"/>
  <c r="BZ60" i="3"/>
  <c r="BZ59" i="3"/>
  <c r="BR32" i="22"/>
  <c r="P83" i="21"/>
  <c r="BJ32" i="22"/>
  <c r="F83" i="21"/>
  <c r="BB32" i="22"/>
  <c r="P52" i="21"/>
  <c r="CH32" i="22"/>
  <c r="F52" i="21"/>
  <c r="BZ32" i="22"/>
  <c r="F21" i="21"/>
  <c r="CP32" i="22"/>
  <c r="AU23" i="22"/>
  <c r="AU41" i="22"/>
  <c r="AU42" i="22" s="1"/>
  <c r="CK32" i="22"/>
  <c r="CS32" i="22"/>
  <c r="I83" i="21"/>
  <c r="BM32" i="22"/>
  <c r="BE32" i="22"/>
  <c r="I52" i="21"/>
  <c r="S52" i="21"/>
  <c r="BU32" i="22"/>
  <c r="I21" i="21"/>
  <c r="S83" i="21"/>
  <c r="CC32" i="22"/>
  <c r="Z21" i="11"/>
  <c r="Z16" i="11"/>
  <c r="AF23" i="22"/>
  <c r="AF41" i="22"/>
  <c r="AF42" i="22" s="1"/>
  <c r="CY22" i="22"/>
  <c r="G23" i="22"/>
  <c r="J22" i="22"/>
  <c r="H120" i="21"/>
  <c r="R120" i="21" s="1"/>
  <c r="M37" i="22"/>
  <c r="R37" i="22" s="1"/>
  <c r="M120" i="21"/>
  <c r="CJ32" i="22"/>
  <c r="H52" i="21"/>
  <c r="BT32" i="22"/>
  <c r="H83" i="21"/>
  <c r="CB32" i="22"/>
  <c r="BD32" i="22"/>
  <c r="R52" i="21"/>
  <c r="BL32" i="22"/>
  <c r="H21" i="21"/>
  <c r="CR32" i="22"/>
  <c r="R83" i="21"/>
  <c r="CH117" i="3"/>
  <c r="CH116" i="3" s="1"/>
  <c r="CH114" i="3" s="1"/>
  <c r="CH115" i="3" s="1"/>
  <c r="AG22" i="11" s="1"/>
  <c r="CH60" i="3"/>
  <c r="CH59" i="3"/>
  <c r="P23" i="22"/>
  <c r="CZ22" i="22"/>
  <c r="CZ23" i="22" s="1"/>
  <c r="P41" i="22"/>
  <c r="P42" i="22" s="1"/>
  <c r="W14" i="11"/>
  <c r="H10" i="8"/>
  <c r="AX10" i="8" s="1"/>
  <c r="H10" i="5"/>
  <c r="AX10" i="5" s="1"/>
  <c r="BB111" i="3"/>
  <c r="BB112" i="3" s="1"/>
  <c r="BB108" i="3"/>
  <c r="BB109" i="3" s="1"/>
  <c r="BB80" i="3"/>
  <c r="K129" i="3"/>
  <c r="T140" i="3"/>
  <c r="V96" i="3"/>
  <c r="J28" i="11" s="1"/>
  <c r="AI79" i="3"/>
  <c r="AZ79" i="3" s="1"/>
  <c r="AZ76" i="3" s="1"/>
  <c r="C12" i="5"/>
  <c r="AS12" i="5" s="1"/>
  <c r="Y13" i="11"/>
  <c r="C12" i="8"/>
  <c r="AE13" i="11"/>
  <c r="C13" i="8"/>
  <c r="E22" i="5"/>
  <c r="E22" i="8"/>
  <c r="C8" i="5"/>
  <c r="AS8" i="5" s="1"/>
  <c r="J13" i="11"/>
  <c r="J15" i="11" s="1"/>
  <c r="C8" i="8"/>
  <c r="O12" i="9"/>
  <c r="T12" i="9"/>
  <c r="U12" i="9" s="1"/>
  <c r="R12" i="9"/>
  <c r="S12" i="9" s="1"/>
  <c r="N12" i="9"/>
  <c r="M11" i="9"/>
  <c r="AJ8" i="5"/>
  <c r="AJ8" i="8"/>
  <c r="BT31" i="3"/>
  <c r="BT42" i="3"/>
  <c r="I13" i="11"/>
  <c r="D13" i="11"/>
  <c r="C7" i="8"/>
  <c r="V123" i="3"/>
  <c r="V117" i="3" s="1"/>
  <c r="V116" i="3" s="1"/>
  <c r="V114" i="3" s="1"/>
  <c r="V115" i="3" s="1"/>
  <c r="V72" i="3" s="1"/>
  <c r="AK79" i="3"/>
  <c r="V9" i="8"/>
  <c r="X9" i="8" s="1"/>
  <c r="G80" i="3"/>
  <c r="G82" i="3" s="1"/>
  <c r="C13" i="11"/>
  <c r="CB31" i="3"/>
  <c r="CB42" i="3"/>
  <c r="V13" i="11"/>
  <c r="V15" i="11" s="1"/>
  <c r="C10" i="8"/>
  <c r="BB49" i="3"/>
  <c r="BB48" i="3" s="1"/>
  <c r="C21" i="8"/>
  <c r="C21" i="5"/>
  <c r="T31" i="3"/>
  <c r="T42" i="3"/>
  <c r="G31" i="3"/>
  <c r="D13" i="7"/>
  <c r="D206" i="7"/>
  <c r="D158" i="7"/>
  <c r="D110" i="7"/>
  <c r="D66" i="7"/>
  <c r="G42" i="3"/>
  <c r="AZ31" i="3"/>
  <c r="AZ42" i="3"/>
  <c r="AZ41" i="3" s="1"/>
  <c r="V31" i="3"/>
  <c r="V42" i="3"/>
  <c r="J69" i="7"/>
  <c r="J71" i="7"/>
  <c r="J211" i="7"/>
  <c r="J209" i="7"/>
  <c r="G16" i="7"/>
  <c r="G18" i="7"/>
  <c r="G71" i="7"/>
  <c r="G69" i="7"/>
  <c r="F163" i="7"/>
  <c r="F161" i="7"/>
  <c r="F209" i="7"/>
  <c r="F211" i="7"/>
  <c r="M113" i="7"/>
  <c r="M115" i="7"/>
  <c r="L69" i="7"/>
  <c r="L71" i="7"/>
  <c r="N18" i="7"/>
  <c r="I115" i="7"/>
  <c r="I113" i="7"/>
  <c r="L115" i="7"/>
  <c r="L113" i="7"/>
  <c r="L18" i="7"/>
  <c r="L16" i="7"/>
  <c r="G161" i="7"/>
  <c r="G163" i="7"/>
  <c r="G209" i="7"/>
  <c r="G211" i="7"/>
  <c r="K16" i="7"/>
  <c r="K18" i="7"/>
  <c r="K161" i="7"/>
  <c r="K163" i="7"/>
  <c r="H161" i="7"/>
  <c r="H163" i="7"/>
  <c r="H18" i="7"/>
  <c r="H16" i="7"/>
  <c r="M69" i="7"/>
  <c r="M71" i="7"/>
  <c r="N113" i="7"/>
  <c r="N115" i="7"/>
  <c r="M161" i="7"/>
  <c r="M163" i="7"/>
  <c r="H113" i="7"/>
  <c r="H115" i="7"/>
  <c r="N209" i="7"/>
  <c r="N211" i="7"/>
  <c r="H209" i="7"/>
  <c r="H211" i="7"/>
  <c r="I209" i="7"/>
  <c r="I211" i="7"/>
  <c r="K211" i="7"/>
  <c r="K209" i="7"/>
  <c r="N161" i="7"/>
  <c r="N163" i="7"/>
  <c r="H69" i="7"/>
  <c r="H71" i="7"/>
  <c r="I18" i="7"/>
  <c r="I16" i="7"/>
  <c r="N71" i="7"/>
  <c r="N69" i="7"/>
  <c r="G115" i="7"/>
  <c r="G113" i="7"/>
  <c r="F16" i="7"/>
  <c r="F18" i="7"/>
  <c r="K69" i="7"/>
  <c r="K71" i="7"/>
  <c r="J163" i="7"/>
  <c r="J161" i="7"/>
  <c r="J115" i="7"/>
  <c r="J113" i="7"/>
  <c r="F113" i="7"/>
  <c r="F115" i="7"/>
  <c r="F71" i="7"/>
  <c r="F69" i="7"/>
  <c r="M211" i="7"/>
  <c r="M209" i="7"/>
  <c r="M16" i="7"/>
  <c r="M18" i="7"/>
  <c r="L163" i="7"/>
  <c r="L161" i="7"/>
  <c r="L211" i="7"/>
  <c r="L209" i="7"/>
  <c r="K113" i="7"/>
  <c r="K115" i="7"/>
  <c r="J16" i="7"/>
  <c r="J18" i="7"/>
  <c r="I69" i="7"/>
  <c r="I71" i="7"/>
  <c r="I161" i="7"/>
  <c r="I163" i="7"/>
  <c r="I31" i="3"/>
  <c r="E158" i="7"/>
  <c r="E66" i="7"/>
  <c r="E206" i="7"/>
  <c r="E13" i="7"/>
  <c r="E110" i="7"/>
  <c r="I42" i="3"/>
  <c r="AZ30" i="3"/>
  <c r="AZ29" i="3" s="1"/>
  <c r="I68" i="3"/>
  <c r="I63" i="3" s="1"/>
  <c r="H9" i="6"/>
  <c r="J9" i="6" s="1"/>
  <c r="T5" i="6"/>
  <c r="BB7" i="5"/>
  <c r="BB10" i="5"/>
  <c r="AV9" i="5"/>
  <c r="AV14" i="5" s="1"/>
  <c r="H7" i="6" s="1"/>
  <c r="J7" i="6" s="1"/>
  <c r="AW9" i="5"/>
  <c r="X7" i="5"/>
  <c r="X8" i="5"/>
  <c r="M8" i="6"/>
  <c r="H8" i="6"/>
  <c r="J8" i="6" s="1"/>
  <c r="V9" i="5"/>
  <c r="CB30" i="3"/>
  <c r="CB29" i="3" s="1"/>
  <c r="AZ25" i="3"/>
  <c r="CB25" i="3"/>
  <c r="C9" i="5"/>
  <c r="AS9" i="5" s="1"/>
  <c r="AZ80" i="3"/>
  <c r="C10" i="5"/>
  <c r="G117" i="3"/>
  <c r="G116" i="3" s="1"/>
  <c r="G114" i="3" s="1"/>
  <c r="G115" i="3" s="1"/>
  <c r="G72" i="3" s="1"/>
  <c r="I96" i="3"/>
  <c r="C13" i="5"/>
  <c r="I62" i="3"/>
  <c r="I59" i="3" s="1"/>
  <c r="C7" i="5"/>
  <c r="I117" i="3"/>
  <c r="I116" i="3" s="1"/>
  <c r="I114" i="3" s="1"/>
  <c r="I115" i="3" s="1"/>
  <c r="I72" i="3" s="1"/>
  <c r="I80" i="3"/>
  <c r="V68" i="3"/>
  <c r="V63" i="3" s="1"/>
  <c r="M13" i="6"/>
  <c r="G30" i="3"/>
  <c r="G29" i="3" s="1"/>
  <c r="I30" i="3"/>
  <c r="I29" i="3" s="1"/>
  <c r="AZ68" i="3"/>
  <c r="CA16" i="3"/>
  <c r="CA20" i="3" s="1"/>
  <c r="CA24" i="3" s="1"/>
  <c r="CA23" i="3" s="1"/>
  <c r="CB10" i="3"/>
  <c r="T30" i="3"/>
  <c r="T29" i="3" s="1"/>
  <c r="V30" i="3"/>
  <c r="V29" i="3" s="1"/>
  <c r="AZ53" i="3"/>
  <c r="T62" i="3"/>
  <c r="T59" i="3" s="1"/>
  <c r="I109" i="3"/>
  <c r="V53" i="3"/>
  <c r="BT30" i="3"/>
  <c r="BT29" i="3" s="1"/>
  <c r="AZ62" i="3"/>
  <c r="AZ59" i="3" s="1"/>
  <c r="I112" i="3"/>
  <c r="V112" i="3"/>
  <c r="T96" i="3"/>
  <c r="I28" i="11" s="1"/>
  <c r="V10" i="3"/>
  <c r="U16" i="3"/>
  <c r="U20" i="3" s="1"/>
  <c r="U24" i="3" s="1"/>
  <c r="U23" i="3" s="1"/>
  <c r="V62" i="3"/>
  <c r="V59" i="3" s="1"/>
  <c r="V109" i="3"/>
  <c r="V80" i="3"/>
  <c r="V76" i="3"/>
  <c r="V140" i="3"/>
  <c r="V19" i="3"/>
  <c r="V54" i="3"/>
  <c r="G109" i="3"/>
  <c r="G112" i="3"/>
  <c r="G10" i="3"/>
  <c r="BS16" i="3"/>
  <c r="BS20" i="3" s="1"/>
  <c r="BS24" i="3" s="1"/>
  <c r="BS23" i="3" s="1"/>
  <c r="I10" i="3"/>
  <c r="I132" i="3" s="1"/>
  <c r="I133" i="3" s="1"/>
  <c r="H16" i="3"/>
  <c r="H20" i="3" s="1"/>
  <c r="H24" i="3" s="1"/>
  <c r="H23" i="3" s="1"/>
  <c r="I50" i="3"/>
  <c r="I54" i="3" s="1"/>
  <c r="H41" i="3" s="1"/>
  <c r="I53" i="3"/>
  <c r="AY16" i="3"/>
  <c r="AY20" i="3" s="1"/>
  <c r="AY24" i="3" s="1"/>
  <c r="AY23" i="3" s="1"/>
  <c r="AZ10" i="3"/>
  <c r="CB19" i="3"/>
  <c r="T68" i="3"/>
  <c r="T63" i="3" s="1"/>
  <c r="T50" i="3"/>
  <c r="T54" i="3" s="1"/>
  <c r="S41" i="3" s="1"/>
  <c r="T123" i="3"/>
  <c r="T117" i="3" s="1"/>
  <c r="T116" i="3" s="1"/>
  <c r="T114" i="3" s="1"/>
  <c r="T115" i="3" s="1"/>
  <c r="T72" i="3" s="1"/>
  <c r="BT25" i="3"/>
  <c r="AZ49" i="3"/>
  <c r="AZ109" i="3"/>
  <c r="G68" i="3"/>
  <c r="G63" i="3" s="1"/>
  <c r="G50" i="3"/>
  <c r="G54" i="3" s="1"/>
  <c r="F41" i="3" s="1"/>
  <c r="S16" i="3"/>
  <c r="S20" i="3" s="1"/>
  <c r="S24" i="3" s="1"/>
  <c r="S23" i="3" s="1"/>
  <c r="T10" i="3"/>
  <c r="BT16" i="3"/>
  <c r="BT20" i="3" s="1"/>
  <c r="BT24" i="3" s="1"/>
  <c r="BT23" i="3" s="1"/>
  <c r="BT69" i="3"/>
  <c r="BT59" i="3"/>
  <c r="BT129" i="3"/>
  <c r="BT130" i="3" s="1"/>
  <c r="AZ112" i="3"/>
  <c r="G53" i="3"/>
  <c r="G62" i="3"/>
  <c r="G59" i="3" s="1"/>
  <c r="CB62" i="3"/>
  <c r="CB59" i="3" s="1"/>
  <c r="T53" i="3"/>
  <c r="BT54" i="3" l="1"/>
  <c r="BT53" i="3"/>
  <c r="CB68" i="3"/>
  <c r="BT80" i="3"/>
  <c r="CB50" i="3"/>
  <c r="CB54" i="3" s="1"/>
  <c r="CA41" i="3" s="1"/>
  <c r="BT68" i="3"/>
  <c r="Y41" i="27"/>
  <c r="Y42" i="27" s="1"/>
  <c r="T69" i="3"/>
  <c r="T132" i="3"/>
  <c r="T133" i="3" s="1"/>
  <c r="V16" i="3"/>
  <c r="V20" i="3" s="1"/>
  <c r="V24" i="3" s="1"/>
  <c r="V23" i="3" s="1"/>
  <c r="V132" i="3"/>
  <c r="V133" i="3" s="1"/>
  <c r="G75" i="3"/>
  <c r="G132" i="3"/>
  <c r="G133" i="3" s="1"/>
  <c r="BT75" i="3"/>
  <c r="Y14" i="11"/>
  <c r="Y15" i="11" s="1"/>
  <c r="G12" i="8"/>
  <c r="AW12" i="8" s="1"/>
  <c r="G12" i="5"/>
  <c r="AW12" i="5" s="1"/>
  <c r="BT111" i="3"/>
  <c r="BT112" i="3" s="1"/>
  <c r="CB132" i="3"/>
  <c r="CB133" i="3" s="1"/>
  <c r="CB76" i="3"/>
  <c r="CB74" i="3" s="1"/>
  <c r="CC41" i="3"/>
  <c r="CD49" i="3"/>
  <c r="CD48" i="3" s="1"/>
  <c r="BJ89" i="3"/>
  <c r="BJ87" i="3"/>
  <c r="BJ50" i="3"/>
  <c r="BJ54" i="3" s="1"/>
  <c r="BJ68" i="3"/>
  <c r="BJ53" i="3"/>
  <c r="DA19" i="27"/>
  <c r="DA20" i="27" s="1"/>
  <c r="DA21" i="27" s="1"/>
  <c r="Y41" i="22"/>
  <c r="Y42" i="22" s="1"/>
  <c r="DA19" i="22"/>
  <c r="DA20" i="22" s="1"/>
  <c r="DA41" i="22" s="1"/>
  <c r="DA42" i="22" s="1"/>
  <c r="Z129" i="3"/>
  <c r="Z130" i="3" s="1"/>
  <c r="AB128" i="3"/>
  <c r="O129" i="3"/>
  <c r="O130" i="3" s="1"/>
  <c r="Q128" i="3"/>
  <c r="Q129" i="3" s="1"/>
  <c r="Q130" i="3" s="1"/>
  <c r="BF54" i="3"/>
  <c r="CF41" i="3"/>
  <c r="CE41" i="3"/>
  <c r="BX54" i="3"/>
  <c r="BX49" i="3" s="1"/>
  <c r="CF49" i="3"/>
  <c r="CF89" i="3"/>
  <c r="CF87" i="3"/>
  <c r="AF16" i="11"/>
  <c r="BF87" i="3"/>
  <c r="BF89" i="3"/>
  <c r="AA12" i="11"/>
  <c r="BT17" i="27" s="1"/>
  <c r="CX32" i="27"/>
  <c r="BV32" i="27"/>
  <c r="CY32" i="27"/>
  <c r="BF32" i="27"/>
  <c r="CZ32" i="27"/>
  <c r="AX23" i="27"/>
  <c r="AX41" i="27"/>
  <c r="AX42" i="27" s="1"/>
  <c r="Q41" i="27"/>
  <c r="Q42" i="27" s="1"/>
  <c r="Q21" i="27"/>
  <c r="CT32" i="27"/>
  <c r="CD32" i="27"/>
  <c r="DA32" i="27"/>
  <c r="DC22" i="27"/>
  <c r="DC23" i="27" s="1"/>
  <c r="J23" i="27"/>
  <c r="BN32" i="27"/>
  <c r="AH23" i="27"/>
  <c r="AH41" i="27"/>
  <c r="AH42" i="27" s="1"/>
  <c r="CZ23" i="27"/>
  <c r="CZ41" i="27"/>
  <c r="CZ42" i="27" s="1"/>
  <c r="N19" i="27"/>
  <c r="V19" i="27"/>
  <c r="F19" i="27"/>
  <c r="CY19" i="27"/>
  <c r="CY20" i="27" s="1"/>
  <c r="G20" i="27"/>
  <c r="CY23" i="27"/>
  <c r="DB22" i="27"/>
  <c r="CL32" i="27"/>
  <c r="AP23" i="27"/>
  <c r="AP41" i="27"/>
  <c r="AP42" i="27" s="1"/>
  <c r="BZ26" i="22"/>
  <c r="CP26" i="27"/>
  <c r="BJ26" i="27"/>
  <c r="CH26" i="27"/>
  <c r="BB26" i="27"/>
  <c r="BZ26" i="27"/>
  <c r="BR26" i="27"/>
  <c r="CB26" i="27"/>
  <c r="CB27" i="27" s="1"/>
  <c r="BD26" i="27"/>
  <c r="CR26" i="27"/>
  <c r="CR27" i="27" s="1"/>
  <c r="BL26" i="27"/>
  <c r="BL27" i="27" s="1"/>
  <c r="BT26" i="27"/>
  <c r="BT27" i="27" s="1"/>
  <c r="CJ26" i="27"/>
  <c r="CJ27" i="27" s="1"/>
  <c r="CK26" i="27"/>
  <c r="CK27" i="27" s="1"/>
  <c r="CS26" i="27"/>
  <c r="CS27" i="27" s="1"/>
  <c r="BM26" i="27"/>
  <c r="BM27" i="27" s="1"/>
  <c r="BU26" i="27"/>
  <c r="BU27" i="27" s="1"/>
  <c r="I26" i="27"/>
  <c r="CC26" i="27"/>
  <c r="CC27" i="27" s="1"/>
  <c r="BE26" i="27"/>
  <c r="BE27" i="27" s="1"/>
  <c r="CH26" i="22"/>
  <c r="F15" i="21"/>
  <c r="P46" i="21"/>
  <c r="F77" i="21"/>
  <c r="CP26" i="22"/>
  <c r="BB26" i="22"/>
  <c r="F46" i="21"/>
  <c r="P77" i="21"/>
  <c r="BR26" i="22"/>
  <c r="J120" i="21"/>
  <c r="T120" i="21" s="1"/>
  <c r="BJ26" i="22"/>
  <c r="CY32" i="22"/>
  <c r="S114" i="21"/>
  <c r="Q114" i="21"/>
  <c r="G114" i="21"/>
  <c r="H114" i="21"/>
  <c r="I114" i="21"/>
  <c r="CZ32" i="22"/>
  <c r="BF32" i="22"/>
  <c r="CX32" i="22"/>
  <c r="AD22" i="11"/>
  <c r="CQ26" i="22" s="1"/>
  <c r="CQ27" i="22" s="1"/>
  <c r="F114" i="21"/>
  <c r="J83" i="21"/>
  <c r="AP23" i="22"/>
  <c r="AP41" i="22"/>
  <c r="AP42" i="22" s="1"/>
  <c r="BZ56" i="3"/>
  <c r="BY56" i="3" s="1"/>
  <c r="BY8" i="3"/>
  <c r="AG12" i="11"/>
  <c r="CG8" i="3"/>
  <c r="CH56" i="3"/>
  <c r="CG56" i="3" s="1"/>
  <c r="J23" i="22"/>
  <c r="DA32" i="22"/>
  <c r="CD32" i="22"/>
  <c r="BN32" i="22"/>
  <c r="AZ12" i="8"/>
  <c r="L12" i="8"/>
  <c r="J10" i="8"/>
  <c r="BB82" i="3"/>
  <c r="BB83" i="3"/>
  <c r="BB84" i="3" s="1"/>
  <c r="J10" i="5"/>
  <c r="L10" i="5" s="1"/>
  <c r="BB81" i="3"/>
  <c r="F19" i="22"/>
  <c r="V19" i="22"/>
  <c r="N19" i="22"/>
  <c r="R19" i="22" s="1"/>
  <c r="W15" i="11"/>
  <c r="I26" i="22"/>
  <c r="I27" i="22" s="1"/>
  <c r="I15" i="21"/>
  <c r="I16" i="21" s="1"/>
  <c r="I77" i="21"/>
  <c r="BU26" i="22"/>
  <c r="S77" i="21"/>
  <c r="I46" i="21"/>
  <c r="I47" i="21" s="1"/>
  <c r="CC26" i="22"/>
  <c r="BM26" i="22"/>
  <c r="CK26" i="22"/>
  <c r="CS26" i="22"/>
  <c r="BE26" i="22"/>
  <c r="S46" i="21"/>
  <c r="S47" i="21" s="1"/>
  <c r="AG23" i="11"/>
  <c r="AG26" i="11" s="1"/>
  <c r="AG29" i="11" s="1"/>
  <c r="AX23" i="22"/>
  <c r="AX41" i="22"/>
  <c r="AX42" i="22" s="1"/>
  <c r="P114" i="21"/>
  <c r="T83" i="21"/>
  <c r="AC15" i="11"/>
  <c r="G19" i="22"/>
  <c r="CT32" i="22"/>
  <c r="CY23" i="22"/>
  <c r="DB22" i="22"/>
  <c r="CL32" i="22"/>
  <c r="BV32" i="22"/>
  <c r="AH23" i="22"/>
  <c r="AH41" i="22"/>
  <c r="AH42" i="22" s="1"/>
  <c r="J11" i="8"/>
  <c r="J11" i="5"/>
  <c r="L11" i="5" s="1"/>
  <c r="BL26" i="22"/>
  <c r="H15" i="21"/>
  <c r="R46" i="21"/>
  <c r="CJ26" i="22"/>
  <c r="R77" i="21"/>
  <c r="CR26" i="22"/>
  <c r="H77" i="21"/>
  <c r="CB26" i="22"/>
  <c r="BT26" i="22"/>
  <c r="H46" i="21"/>
  <c r="BD26" i="22"/>
  <c r="R114" i="21"/>
  <c r="G83" i="3"/>
  <c r="G84" i="3" s="1"/>
  <c r="AI8" i="5"/>
  <c r="AI8" i="8"/>
  <c r="AX79" i="3"/>
  <c r="K130" i="3"/>
  <c r="S8" i="5"/>
  <c r="S12" i="5"/>
  <c r="AZ81" i="3"/>
  <c r="O12" i="5"/>
  <c r="BC12" i="5" s="1"/>
  <c r="O8" i="5"/>
  <c r="BC8" i="5" s="1"/>
  <c r="I41" i="3"/>
  <c r="CB41" i="3"/>
  <c r="BT41" i="3"/>
  <c r="G41" i="3"/>
  <c r="J22" i="11"/>
  <c r="U8" i="8"/>
  <c r="W8" i="8" s="1"/>
  <c r="AK76" i="3"/>
  <c r="AK77" i="3" s="1"/>
  <c r="AK123" i="3"/>
  <c r="AK117" i="3" s="1"/>
  <c r="AK116" i="3" s="1"/>
  <c r="AK114" i="3" s="1"/>
  <c r="AK115" i="3" s="1"/>
  <c r="AK72" i="3" s="1"/>
  <c r="U9" i="5" s="1"/>
  <c r="BF9" i="5" s="1"/>
  <c r="M15" i="9"/>
  <c r="T11" i="9"/>
  <c r="U11" i="9" s="1"/>
  <c r="N11" i="9"/>
  <c r="R11" i="9"/>
  <c r="S11" i="9" s="1"/>
  <c r="AS12" i="8"/>
  <c r="S12" i="8"/>
  <c r="O12" i="8"/>
  <c r="BB45" i="3"/>
  <c r="W33" i="11" s="1"/>
  <c r="F36" i="22" s="1"/>
  <c r="AZ83" i="3"/>
  <c r="AZ84" i="3" s="1"/>
  <c r="I10" i="8"/>
  <c r="G13" i="12"/>
  <c r="H13" i="12" s="1"/>
  <c r="G14" i="12"/>
  <c r="H14" i="12" s="1"/>
  <c r="Y18" i="11"/>
  <c r="I12" i="5"/>
  <c r="AY12" i="5" s="1"/>
  <c r="I12" i="8"/>
  <c r="BA45" i="3"/>
  <c r="AI7" i="5"/>
  <c r="D28" i="11"/>
  <c r="AI7" i="8"/>
  <c r="CD45" i="3"/>
  <c r="AF33" i="11" s="1"/>
  <c r="N36" i="27" s="1"/>
  <c r="T41" i="3"/>
  <c r="C15" i="11"/>
  <c r="C18" i="11"/>
  <c r="C21" i="11"/>
  <c r="AT16" i="8"/>
  <c r="AU16" i="8" s="1"/>
  <c r="O7" i="8"/>
  <c r="S7" i="8"/>
  <c r="J18" i="11"/>
  <c r="V49" i="3"/>
  <c r="U45" i="3" s="1"/>
  <c r="U41" i="3"/>
  <c r="V22" i="8"/>
  <c r="V22" i="5"/>
  <c r="BA49" i="3"/>
  <c r="BA48" i="3" s="1"/>
  <c r="CC49" i="3"/>
  <c r="CC48" i="3" s="1"/>
  <c r="I7" i="5"/>
  <c r="AY7" i="5" s="1"/>
  <c r="I7" i="8"/>
  <c r="K7" i="8" s="1"/>
  <c r="AS10" i="8"/>
  <c r="S10" i="8"/>
  <c r="O10" i="8"/>
  <c r="D15" i="11"/>
  <c r="D18" i="11"/>
  <c r="AI76" i="3"/>
  <c r="AI77" i="3" s="1"/>
  <c r="AI123" i="3"/>
  <c r="AI117" i="3" s="1"/>
  <c r="AI116" i="3" s="1"/>
  <c r="AI114" i="3" s="1"/>
  <c r="AI115" i="3" s="1"/>
  <c r="AI72" i="3" s="1"/>
  <c r="V41" i="3"/>
  <c r="O8" i="8"/>
  <c r="S8" i="8"/>
  <c r="BT49" i="3"/>
  <c r="BS45" i="3" s="1"/>
  <c r="BS41" i="3"/>
  <c r="G71" i="3"/>
  <c r="C22" i="11"/>
  <c r="V18" i="11"/>
  <c r="I18" i="11"/>
  <c r="AU9" i="8"/>
  <c r="E29" i="8"/>
  <c r="AS13" i="8"/>
  <c r="S13" i="8"/>
  <c r="O13" i="8"/>
  <c r="I22" i="11"/>
  <c r="I8" i="5"/>
  <c r="AY8" i="5" s="1"/>
  <c r="I8" i="8"/>
  <c r="K8" i="8" s="1"/>
  <c r="BB123" i="3"/>
  <c r="BB117" i="3" s="1"/>
  <c r="BB116" i="3" s="1"/>
  <c r="BB114" i="3" s="1"/>
  <c r="BB115" i="3" s="1"/>
  <c r="BB72" i="3" s="1"/>
  <c r="W22" i="11" s="1"/>
  <c r="BV49" i="3"/>
  <c r="BV45" i="3" s="1"/>
  <c r="Z33" i="11" s="1"/>
  <c r="H36" i="22" s="1"/>
  <c r="BU41" i="3"/>
  <c r="BV41" i="3"/>
  <c r="D22" i="11"/>
  <c r="U7" i="8"/>
  <c r="W7" i="8" s="1"/>
  <c r="U22" i="8"/>
  <c r="U22" i="5"/>
  <c r="E13" i="12"/>
  <c r="F13" i="12" s="1"/>
  <c r="E14" i="12"/>
  <c r="F14" i="12" s="1"/>
  <c r="F22" i="5"/>
  <c r="F22" i="8"/>
  <c r="AI140" i="3"/>
  <c r="AI141" i="3" s="1"/>
  <c r="O28" i="11"/>
  <c r="AE18" i="11"/>
  <c r="O21" i="5"/>
  <c r="W21" i="5"/>
  <c r="I21" i="5"/>
  <c r="I21" i="8"/>
  <c r="W21" i="8"/>
  <c r="O21" i="8"/>
  <c r="AS8" i="8"/>
  <c r="AS14" i="8" s="1"/>
  <c r="H8" i="9" s="1"/>
  <c r="E21" i="5"/>
  <c r="E21" i="8"/>
  <c r="AT16" i="5"/>
  <c r="AU16" i="5" s="1"/>
  <c r="AS7" i="5"/>
  <c r="D70" i="7"/>
  <c r="D162" i="7"/>
  <c r="D17" i="7"/>
  <c r="D114" i="7"/>
  <c r="D210" i="7"/>
  <c r="J164" i="7"/>
  <c r="J165" i="7"/>
  <c r="J166" i="7" s="1"/>
  <c r="J186" i="7" s="1"/>
  <c r="F212" i="7"/>
  <c r="F213" i="7"/>
  <c r="F214" i="7" s="1"/>
  <c r="I165" i="7"/>
  <c r="I166" i="7" s="1"/>
  <c r="I186" i="7" s="1"/>
  <c r="I164" i="7"/>
  <c r="F117" i="7"/>
  <c r="F118" i="7" s="1"/>
  <c r="F116" i="7"/>
  <c r="N164" i="7"/>
  <c r="N165" i="7"/>
  <c r="N166" i="7" s="1"/>
  <c r="N186" i="7" s="1"/>
  <c r="N19" i="7"/>
  <c r="N20" i="7"/>
  <c r="N21" i="7" s="1"/>
  <c r="N72" i="7"/>
  <c r="N73" i="7"/>
  <c r="N74" i="7" s="1"/>
  <c r="N94" i="7" s="1"/>
  <c r="H20" i="7"/>
  <c r="H21" i="7" s="1"/>
  <c r="H19" i="7"/>
  <c r="L19" i="7"/>
  <c r="L20" i="7"/>
  <c r="L21" i="7" s="1"/>
  <c r="L72" i="7"/>
  <c r="L73" i="7"/>
  <c r="L74" i="7" s="1"/>
  <c r="L94" i="7" s="1"/>
  <c r="G116" i="7"/>
  <c r="G117" i="7"/>
  <c r="G118" i="7" s="1"/>
  <c r="G138" i="7" s="1"/>
  <c r="I116" i="7"/>
  <c r="I117" i="7"/>
  <c r="I118" i="7" s="1"/>
  <c r="I138" i="7" s="1"/>
  <c r="K116" i="7"/>
  <c r="K117" i="7"/>
  <c r="K118" i="7" s="1"/>
  <c r="K138" i="7" s="1"/>
  <c r="K73" i="7"/>
  <c r="K74" i="7" s="1"/>
  <c r="K94" i="7" s="1"/>
  <c r="K72" i="7"/>
  <c r="H212" i="7"/>
  <c r="H213" i="7"/>
  <c r="H214" i="7" s="1"/>
  <c r="H234" i="7" s="1"/>
  <c r="F19" i="7"/>
  <c r="F20" i="7"/>
  <c r="F21" i="7" s="1"/>
  <c r="N212" i="7"/>
  <c r="N213" i="7"/>
  <c r="N214" i="7" s="1"/>
  <c r="N234" i="7" s="1"/>
  <c r="N116" i="7"/>
  <c r="N117" i="7"/>
  <c r="N118" i="7" s="1"/>
  <c r="N138" i="7" s="1"/>
  <c r="H164" i="7"/>
  <c r="H165" i="7"/>
  <c r="H166" i="7" s="1"/>
  <c r="H186" i="7" s="1"/>
  <c r="G212" i="7"/>
  <c r="G213" i="7"/>
  <c r="G214" i="7" s="1"/>
  <c r="G234" i="7" s="1"/>
  <c r="F164" i="7"/>
  <c r="F165" i="7"/>
  <c r="F166" i="7" s="1"/>
  <c r="J212" i="7"/>
  <c r="J213" i="7"/>
  <c r="J214" i="7" s="1"/>
  <c r="J234" i="7" s="1"/>
  <c r="F72" i="7"/>
  <c r="F73" i="7"/>
  <c r="F74" i="7" s="1"/>
  <c r="G20" i="7"/>
  <c r="G21" i="7" s="1"/>
  <c r="G19" i="7"/>
  <c r="M19" i="7"/>
  <c r="M20" i="7"/>
  <c r="M21" i="7" s="1"/>
  <c r="M164" i="7"/>
  <c r="M165" i="7"/>
  <c r="M166" i="7" s="1"/>
  <c r="M186" i="7" s="1"/>
  <c r="K19" i="7"/>
  <c r="K20" i="7"/>
  <c r="K21" i="7" s="1"/>
  <c r="I72" i="7"/>
  <c r="I73" i="7"/>
  <c r="I74" i="7" s="1"/>
  <c r="I94" i="7" s="1"/>
  <c r="L212" i="7"/>
  <c r="L213" i="7"/>
  <c r="L214" i="7" s="1"/>
  <c r="L234" i="7" s="1"/>
  <c r="M212" i="7"/>
  <c r="M213" i="7"/>
  <c r="M214" i="7" s="1"/>
  <c r="M234" i="7" s="1"/>
  <c r="J116" i="7"/>
  <c r="J117" i="7"/>
  <c r="J118" i="7" s="1"/>
  <c r="J138" i="7" s="1"/>
  <c r="I19" i="7"/>
  <c r="I20" i="7"/>
  <c r="I21" i="7" s="1"/>
  <c r="K213" i="7"/>
  <c r="K214" i="7" s="1"/>
  <c r="K234" i="7" s="1"/>
  <c r="K212" i="7"/>
  <c r="L117" i="7"/>
  <c r="L118" i="7" s="1"/>
  <c r="L138" i="7" s="1"/>
  <c r="L116" i="7"/>
  <c r="M116" i="7"/>
  <c r="M117" i="7"/>
  <c r="M118" i="7" s="1"/>
  <c r="M138" i="7" s="1"/>
  <c r="J72" i="7"/>
  <c r="J73" i="7"/>
  <c r="J74" i="7" s="1"/>
  <c r="J94" i="7" s="1"/>
  <c r="L164" i="7"/>
  <c r="L165" i="7"/>
  <c r="L166" i="7" s="1"/>
  <c r="L186" i="7" s="1"/>
  <c r="J20" i="7"/>
  <c r="J21" i="7" s="1"/>
  <c r="J19" i="7"/>
  <c r="H73" i="7"/>
  <c r="H74" i="7" s="1"/>
  <c r="H94" i="7" s="1"/>
  <c r="H72" i="7"/>
  <c r="I212" i="7"/>
  <c r="I213" i="7"/>
  <c r="I214" i="7" s="1"/>
  <c r="I234" i="7" s="1"/>
  <c r="H117" i="7"/>
  <c r="H118" i="7" s="1"/>
  <c r="H138" i="7" s="1"/>
  <c r="H116" i="7"/>
  <c r="M73" i="7"/>
  <c r="M74" i="7" s="1"/>
  <c r="M94" i="7" s="1"/>
  <c r="M72" i="7"/>
  <c r="K164" i="7"/>
  <c r="K165" i="7"/>
  <c r="K166" i="7" s="1"/>
  <c r="K186" i="7" s="1"/>
  <c r="G165" i="7"/>
  <c r="G166" i="7" s="1"/>
  <c r="G186" i="7" s="1"/>
  <c r="G164" i="7"/>
  <c r="G73" i="7"/>
  <c r="G74" i="7" s="1"/>
  <c r="G94" i="7" s="1"/>
  <c r="G72" i="7"/>
  <c r="E70" i="7"/>
  <c r="E114" i="7"/>
  <c r="E17" i="7"/>
  <c r="E162" i="7"/>
  <c r="E210" i="7"/>
  <c r="CB69" i="3"/>
  <c r="N18" i="6"/>
  <c r="I18" i="6"/>
  <c r="BB14" i="5"/>
  <c r="H12" i="6" s="1"/>
  <c r="M7" i="6"/>
  <c r="I9" i="6"/>
  <c r="O8" i="6"/>
  <c r="N8" i="6"/>
  <c r="M10" i="6"/>
  <c r="O10" i="6" s="1"/>
  <c r="X9" i="5"/>
  <c r="N9" i="6"/>
  <c r="N16" i="6"/>
  <c r="I16" i="6"/>
  <c r="H10" i="6"/>
  <c r="J10" i="6" s="1"/>
  <c r="I8" i="6"/>
  <c r="AS13" i="5"/>
  <c r="S13" i="5"/>
  <c r="O13" i="5"/>
  <c r="BC13" i="5" s="1"/>
  <c r="O9" i="5"/>
  <c r="BC9" i="5" s="1"/>
  <c r="S9" i="5"/>
  <c r="S7" i="5"/>
  <c r="O7" i="5"/>
  <c r="BC7" i="5" s="1"/>
  <c r="AS10" i="5"/>
  <c r="S10" i="5"/>
  <c r="O10" i="5"/>
  <c r="BC10" i="5" s="1"/>
  <c r="CB16" i="3"/>
  <c r="CB20" i="3" s="1"/>
  <c r="CB24" i="3" s="1"/>
  <c r="CB23" i="3" s="1"/>
  <c r="V77" i="3"/>
  <c r="G16" i="3"/>
  <c r="G20" i="3" s="1"/>
  <c r="G24" i="3" s="1"/>
  <c r="G23" i="3" s="1"/>
  <c r="G129" i="3"/>
  <c r="G130" i="3" s="1"/>
  <c r="G141" i="3" s="1"/>
  <c r="G69" i="3"/>
  <c r="G77" i="3"/>
  <c r="AZ82" i="3"/>
  <c r="I10" i="5"/>
  <c r="AZ16" i="3"/>
  <c r="AZ20" i="3" s="1"/>
  <c r="AZ24" i="3" s="1"/>
  <c r="AZ23" i="3" s="1"/>
  <c r="CB129" i="3"/>
  <c r="CB130" i="3" s="1"/>
  <c r="I83" i="3"/>
  <c r="I86" i="3" s="1"/>
  <c r="I87" i="3" s="1"/>
  <c r="AZ77" i="3"/>
  <c r="I71" i="3"/>
  <c r="U7" i="5"/>
  <c r="BF7" i="5" s="1"/>
  <c r="AZ123" i="3"/>
  <c r="AZ117" i="3" s="1"/>
  <c r="AZ116" i="3" s="1"/>
  <c r="AZ114" i="3" s="1"/>
  <c r="AZ115" i="3" s="1"/>
  <c r="AZ72" i="3" s="1"/>
  <c r="I82" i="3"/>
  <c r="V71" i="3"/>
  <c r="U8" i="5"/>
  <c r="BF8" i="5" s="1"/>
  <c r="AZ8" i="5"/>
  <c r="I9" i="5"/>
  <c r="AY9" i="5" s="1"/>
  <c r="AZ7" i="5"/>
  <c r="AZ12" i="5"/>
  <c r="N13" i="6"/>
  <c r="V69" i="3"/>
  <c r="G81" i="3"/>
  <c r="V81" i="3"/>
  <c r="V82" i="3"/>
  <c r="V83" i="3"/>
  <c r="V75" i="3"/>
  <c r="V129" i="3"/>
  <c r="V130" i="3" s="1"/>
  <c r="V141" i="3" s="1"/>
  <c r="I69" i="3"/>
  <c r="I75" i="3"/>
  <c r="I129" i="3"/>
  <c r="I130" i="3" s="1"/>
  <c r="I141" i="3" s="1"/>
  <c r="I16" i="3"/>
  <c r="I20" i="3" s="1"/>
  <c r="I24" i="3" s="1"/>
  <c r="I23" i="3" s="1"/>
  <c r="I49" i="3"/>
  <c r="I77" i="3"/>
  <c r="I81" i="3"/>
  <c r="AZ45" i="3"/>
  <c r="V33" i="11" s="1"/>
  <c r="F119" i="21" s="1"/>
  <c r="P119" i="21" s="1"/>
  <c r="AY45" i="3"/>
  <c r="AY49" i="3"/>
  <c r="AY48" i="3" s="1"/>
  <c r="AZ48" i="3"/>
  <c r="T129" i="3"/>
  <c r="T130" i="3" s="1"/>
  <c r="T141" i="3" s="1"/>
  <c r="T16" i="3"/>
  <c r="T20" i="3" s="1"/>
  <c r="T24" i="3" s="1"/>
  <c r="T23" i="3" s="1"/>
  <c r="CB49" i="3"/>
  <c r="BT82" i="3"/>
  <c r="BT81" i="3"/>
  <c r="BT83" i="3"/>
  <c r="G49" i="3"/>
  <c r="T49" i="3"/>
  <c r="AZ129" i="3"/>
  <c r="AZ130" i="3" s="1"/>
  <c r="AZ75" i="3"/>
  <c r="AZ69" i="3"/>
  <c r="CC45" i="3" l="1"/>
  <c r="CB75" i="3"/>
  <c r="AE14" i="11"/>
  <c r="AE15" i="11" s="1"/>
  <c r="AE16" i="11" s="1"/>
  <c r="G13" i="8"/>
  <c r="AW13" i="8" s="1"/>
  <c r="G13" i="5"/>
  <c r="AW13" i="5" s="1"/>
  <c r="CB111" i="3"/>
  <c r="CB112" i="3" s="1"/>
  <c r="CB80" i="3"/>
  <c r="CB108" i="3"/>
  <c r="CB109" i="3" s="1"/>
  <c r="AB14" i="11"/>
  <c r="G11" i="8"/>
  <c r="AW11" i="8" s="1"/>
  <c r="G11" i="5"/>
  <c r="AW11" i="5" s="1"/>
  <c r="BJ41" i="3"/>
  <c r="BI41" i="3"/>
  <c r="BJ49" i="3"/>
  <c r="BJ90" i="3"/>
  <c r="BJ93" i="3"/>
  <c r="DA41" i="27"/>
  <c r="DA42" i="27" s="1"/>
  <c r="AA19" i="11"/>
  <c r="AC33" i="11"/>
  <c r="AC35" i="11" s="1"/>
  <c r="G38" i="22" s="1"/>
  <c r="DA21" i="22"/>
  <c r="R37" i="21"/>
  <c r="BT17" i="22"/>
  <c r="H6" i="21"/>
  <c r="CB17" i="22"/>
  <c r="R68" i="21"/>
  <c r="BD17" i="22"/>
  <c r="H37" i="21"/>
  <c r="BL17" i="22"/>
  <c r="CJ17" i="22"/>
  <c r="AB129" i="3"/>
  <c r="AB130" i="3" s="1"/>
  <c r="AD128" i="3"/>
  <c r="AD129" i="3" s="1"/>
  <c r="AD130" i="3" s="1"/>
  <c r="CJ17" i="27"/>
  <c r="CB17" i="27"/>
  <c r="CR17" i="22"/>
  <c r="H68" i="21"/>
  <c r="CF93" i="3"/>
  <c r="CF90" i="3"/>
  <c r="CF48" i="3"/>
  <c r="CF45" i="3"/>
  <c r="CF44" i="3" s="1"/>
  <c r="CE49" i="3"/>
  <c r="CE48" i="3" s="1"/>
  <c r="CE45" i="3"/>
  <c r="CE44" i="3" s="1"/>
  <c r="CE43" i="3" s="1"/>
  <c r="BW45" i="3"/>
  <c r="BW49" i="3"/>
  <c r="BW48" i="3" s="1"/>
  <c r="BX45" i="3"/>
  <c r="BX48" i="3"/>
  <c r="BW41" i="3"/>
  <c r="BX41" i="3"/>
  <c r="BE41" i="3"/>
  <c r="BF41" i="3"/>
  <c r="BL17" i="27"/>
  <c r="BF49" i="3"/>
  <c r="CR17" i="27"/>
  <c r="BF93" i="3"/>
  <c r="BF90" i="3"/>
  <c r="BD17" i="27"/>
  <c r="CQ30" i="22"/>
  <c r="CQ28" i="22"/>
  <c r="AT26" i="27"/>
  <c r="AT27" i="27" s="1"/>
  <c r="AD26" i="27"/>
  <c r="AD27" i="27" s="1"/>
  <c r="AL26" i="27"/>
  <c r="AL27" i="27" s="1"/>
  <c r="V26" i="27"/>
  <c r="F26" i="27"/>
  <c r="N26" i="27"/>
  <c r="G21" i="27"/>
  <c r="G41" i="27"/>
  <c r="G42" i="27" s="1"/>
  <c r="CY41" i="27"/>
  <c r="CY42" i="27" s="1"/>
  <c r="CY21" i="27"/>
  <c r="R19" i="27"/>
  <c r="R20" i="27" s="1"/>
  <c r="N20" i="27"/>
  <c r="CK17" i="27"/>
  <c r="BM17" i="27"/>
  <c r="CS17" i="27"/>
  <c r="BU17" i="27"/>
  <c r="I17" i="27"/>
  <c r="CC17" i="27"/>
  <c r="BE17" i="27"/>
  <c r="J19" i="27"/>
  <c r="CX19" i="27"/>
  <c r="F20" i="27"/>
  <c r="Z19" i="27"/>
  <c r="Z20" i="27" s="1"/>
  <c r="V20" i="27"/>
  <c r="BT28" i="27"/>
  <c r="BT30" i="27"/>
  <c r="BL30" i="27"/>
  <c r="BL28" i="27"/>
  <c r="BM28" i="27"/>
  <c r="BM30" i="27"/>
  <c r="CS30" i="27"/>
  <c r="CS28" i="27"/>
  <c r="BD27" i="27"/>
  <c r="I27" i="27"/>
  <c r="BU28" i="27"/>
  <c r="BU30" i="27"/>
  <c r="CR28" i="27"/>
  <c r="CR30" i="27"/>
  <c r="BE30" i="27"/>
  <c r="BE28" i="27"/>
  <c r="CK30" i="27"/>
  <c r="CK28" i="27"/>
  <c r="CB28" i="27"/>
  <c r="CB30" i="27"/>
  <c r="CI26" i="27"/>
  <c r="CI27" i="27" s="1"/>
  <c r="BK26" i="27"/>
  <c r="BK27" i="27" s="1"/>
  <c r="CQ26" i="27"/>
  <c r="CQ27" i="27" s="1"/>
  <c r="BC26" i="27"/>
  <c r="BS26" i="27"/>
  <c r="BS27" i="27" s="1"/>
  <c r="CA26" i="27"/>
  <c r="CA27" i="27" s="1"/>
  <c r="CC28" i="27"/>
  <c r="CC30" i="27"/>
  <c r="CJ30" i="27"/>
  <c r="CJ28" i="27"/>
  <c r="P108" i="21"/>
  <c r="F108" i="21"/>
  <c r="AZ11" i="5"/>
  <c r="AZ10" i="5"/>
  <c r="G86" i="3"/>
  <c r="G87" i="3" s="1"/>
  <c r="BT48" i="3"/>
  <c r="N36" i="22"/>
  <c r="AF35" i="11"/>
  <c r="N38" i="27" s="1"/>
  <c r="N39" i="27" s="1"/>
  <c r="I48" i="21"/>
  <c r="I50" i="21"/>
  <c r="W21" i="11"/>
  <c r="W16" i="11"/>
  <c r="BS49" i="3"/>
  <c r="BS48" i="3" s="1"/>
  <c r="Z35" i="11"/>
  <c r="H108" i="21"/>
  <c r="AC21" i="11"/>
  <c r="AC16" i="11"/>
  <c r="BE27" i="22"/>
  <c r="S108" i="21"/>
  <c r="S78" i="21"/>
  <c r="N20" i="22"/>
  <c r="BZ53" i="3"/>
  <c r="BZ68" i="3"/>
  <c r="BZ50" i="3"/>
  <c r="G46" i="21"/>
  <c r="G47" i="21" s="1"/>
  <c r="CA26" i="22"/>
  <c r="CA27" i="22" s="1"/>
  <c r="G15" i="21"/>
  <c r="G16" i="21" s="1"/>
  <c r="BK26" i="22"/>
  <c r="BK27" i="22" s="1"/>
  <c r="BC26" i="22"/>
  <c r="BC27" i="22" s="1"/>
  <c r="Q77" i="21"/>
  <c r="BS26" i="22"/>
  <c r="BS27" i="22" s="1"/>
  <c r="G77" i="21"/>
  <c r="CI26" i="22"/>
  <c r="CI27" i="22" s="1"/>
  <c r="Q46" i="21"/>
  <c r="Q47" i="21" s="1"/>
  <c r="AD23" i="11"/>
  <c r="AD26" i="11" s="1"/>
  <c r="AD29" i="11" s="1"/>
  <c r="L11" i="8"/>
  <c r="AZ11" i="8"/>
  <c r="CS27" i="22"/>
  <c r="BU27" i="22"/>
  <c r="V20" i="22"/>
  <c r="Z19" i="22"/>
  <c r="Z20" i="22" s="1"/>
  <c r="AZ10" i="8"/>
  <c r="AZ14" i="8" s="1"/>
  <c r="L10" i="8"/>
  <c r="R108" i="21"/>
  <c r="CK27" i="22"/>
  <c r="I108" i="21"/>
  <c r="I109" i="21" s="1"/>
  <c r="I78" i="21"/>
  <c r="CX19" i="22"/>
  <c r="F20" i="22"/>
  <c r="J19" i="22"/>
  <c r="CH68" i="3"/>
  <c r="CH50" i="3"/>
  <c r="CH54" i="3" s="1"/>
  <c r="CH53" i="3"/>
  <c r="S50" i="21"/>
  <c r="S48" i="21"/>
  <c r="V35" i="11"/>
  <c r="BM27" i="22"/>
  <c r="I17" i="21"/>
  <c r="I19" i="21"/>
  <c r="G20" i="22"/>
  <c r="CY19" i="22"/>
  <c r="CY20" i="22" s="1"/>
  <c r="BT45" i="3"/>
  <c r="Y33" i="11" s="1"/>
  <c r="M36" i="27" s="1"/>
  <c r="R36" i="27" s="1"/>
  <c r="CC27" i="22"/>
  <c r="I28" i="22"/>
  <c r="I30" i="22"/>
  <c r="CC17" i="22"/>
  <c r="I68" i="21"/>
  <c r="BU17" i="22"/>
  <c r="I37" i="21"/>
  <c r="BE17" i="22"/>
  <c r="S68" i="21"/>
  <c r="BM17" i="22"/>
  <c r="S37" i="21"/>
  <c r="I17" i="22"/>
  <c r="CS17" i="22"/>
  <c r="I6" i="21"/>
  <c r="CK17" i="22"/>
  <c r="AG19" i="11"/>
  <c r="W23" i="11"/>
  <c r="W26" i="11" s="1"/>
  <c r="W29" i="11" s="1"/>
  <c r="F26" i="22"/>
  <c r="AD26" i="22"/>
  <c r="AD27" i="22" s="1"/>
  <c r="AT26" i="22"/>
  <c r="AT27" i="22" s="1"/>
  <c r="AL26" i="22"/>
  <c r="AL27" i="22" s="1"/>
  <c r="V26" i="22"/>
  <c r="N26" i="22"/>
  <c r="J23" i="11"/>
  <c r="J26" i="11" s="1"/>
  <c r="J29" i="11" s="1"/>
  <c r="V45" i="3"/>
  <c r="V44" i="3" s="1"/>
  <c r="V43" i="3" s="1"/>
  <c r="AX123" i="3"/>
  <c r="AX117" i="3" s="1"/>
  <c r="AX116" i="3" s="1"/>
  <c r="AX114" i="3" s="1"/>
  <c r="AX115" i="3" s="1"/>
  <c r="AX72" i="3" s="1"/>
  <c r="K8" i="5"/>
  <c r="BA8" i="5" s="1"/>
  <c r="V48" i="3"/>
  <c r="U49" i="3"/>
  <c r="U48" i="3" s="1"/>
  <c r="K7" i="5"/>
  <c r="BA7" i="5" s="1"/>
  <c r="BU49" i="3"/>
  <c r="BU48" i="3" s="1"/>
  <c r="BV48" i="3"/>
  <c r="BU45" i="3"/>
  <c r="BU44" i="3" s="1"/>
  <c r="BU43" i="3" s="1"/>
  <c r="V16" i="11"/>
  <c r="V21" i="11"/>
  <c r="CC44" i="3"/>
  <c r="CC43" i="3" s="1"/>
  <c r="AY10" i="8"/>
  <c r="K10" i="8"/>
  <c r="R15" i="9"/>
  <c r="S15" i="9" s="1"/>
  <c r="N15" i="9"/>
  <c r="M17" i="9"/>
  <c r="T15" i="9"/>
  <c r="U15" i="9" s="1"/>
  <c r="AK140" i="3"/>
  <c r="AK141" i="3" s="1"/>
  <c r="W22" i="5"/>
  <c r="Y22" i="5"/>
  <c r="BF9" i="8"/>
  <c r="X22" i="8"/>
  <c r="Z22" i="8"/>
  <c r="AK71" i="3"/>
  <c r="P22" i="11"/>
  <c r="P23" i="11" s="1"/>
  <c r="P26" i="11" s="1"/>
  <c r="U9" i="8"/>
  <c r="W9" i="8" s="1"/>
  <c r="AK86" i="3"/>
  <c r="BS44" i="3"/>
  <c r="BS43" i="3" s="1"/>
  <c r="X22" i="5"/>
  <c r="Z22" i="5"/>
  <c r="Y21" i="11"/>
  <c r="Y16" i="11"/>
  <c r="Q12" i="11"/>
  <c r="BE9" i="8"/>
  <c r="W22" i="8"/>
  <c r="Y22" i="8"/>
  <c r="U44" i="3"/>
  <c r="U43" i="3" s="1"/>
  <c r="J16" i="11"/>
  <c r="J21" i="11"/>
  <c r="CD44" i="3"/>
  <c r="F29" i="8"/>
  <c r="AV9" i="8"/>
  <c r="AI71" i="3"/>
  <c r="O22" i="11"/>
  <c r="O23" i="11" s="1"/>
  <c r="O26" i="11" s="1"/>
  <c r="O29" i="11" s="1"/>
  <c r="AI86" i="3"/>
  <c r="BV44" i="3"/>
  <c r="AY44" i="3"/>
  <c r="AY43" i="3" s="1"/>
  <c r="K12" i="5"/>
  <c r="BA12" i="5" s="1"/>
  <c r="U10" i="5"/>
  <c r="W10" i="5" s="1"/>
  <c r="V22" i="11"/>
  <c r="U10" i="8"/>
  <c r="AZ44" i="3"/>
  <c r="AZ43" i="3" s="1"/>
  <c r="V10" i="8"/>
  <c r="D16" i="11"/>
  <c r="D21" i="11"/>
  <c r="D23" i="11"/>
  <c r="C23" i="11"/>
  <c r="C16" i="11"/>
  <c r="K12" i="8"/>
  <c r="AY12" i="8"/>
  <c r="Y21" i="5"/>
  <c r="K21" i="5"/>
  <c r="I13" i="9"/>
  <c r="J8" i="9"/>
  <c r="H10" i="9"/>
  <c r="I18" i="9"/>
  <c r="I16" i="9"/>
  <c r="I12" i="9"/>
  <c r="I8" i="9"/>
  <c r="I9" i="9"/>
  <c r="I14" i="9"/>
  <c r="I11" i="9"/>
  <c r="AU8" i="8"/>
  <c r="AU14" i="8" s="1"/>
  <c r="H7" i="9" s="1"/>
  <c r="E28" i="8"/>
  <c r="AY8" i="8"/>
  <c r="AY14" i="8" s="1"/>
  <c r="K21" i="8"/>
  <c r="Y21" i="8"/>
  <c r="I139" i="7"/>
  <c r="I119" i="7"/>
  <c r="I120" i="7"/>
  <c r="I122" i="7" s="1"/>
  <c r="M95" i="7"/>
  <c r="M76" i="7"/>
  <c r="M78" i="7" s="1"/>
  <c r="M75" i="7"/>
  <c r="L215" i="7"/>
  <c r="L235" i="7"/>
  <c r="L216" i="7"/>
  <c r="L218" i="7" s="1"/>
  <c r="G215" i="7"/>
  <c r="G235" i="7"/>
  <c r="G216" i="7"/>
  <c r="G218" i="7" s="1"/>
  <c r="G119" i="7"/>
  <c r="G139" i="7"/>
  <c r="G120" i="7"/>
  <c r="G122" i="7" s="1"/>
  <c r="N167" i="7"/>
  <c r="N187" i="7"/>
  <c r="N168" i="7"/>
  <c r="N170" i="7" s="1"/>
  <c r="F216" i="7"/>
  <c r="F218" i="7" s="1"/>
  <c r="F215" i="7"/>
  <c r="K36" i="7"/>
  <c r="K22" i="7"/>
  <c r="K40" i="7"/>
  <c r="F168" i="7"/>
  <c r="F170" i="7" s="1"/>
  <c r="F167" i="7"/>
  <c r="L40" i="7"/>
  <c r="L22" i="7"/>
  <c r="L36" i="7"/>
  <c r="G95" i="7"/>
  <c r="G75" i="7"/>
  <c r="G76" i="7"/>
  <c r="G78" i="7" s="1"/>
  <c r="K235" i="7"/>
  <c r="K215" i="7"/>
  <c r="K216" i="7"/>
  <c r="K218" i="7" s="1"/>
  <c r="I167" i="7"/>
  <c r="I187" i="7"/>
  <c r="I168" i="7"/>
  <c r="I170" i="7" s="1"/>
  <c r="I22" i="7"/>
  <c r="I40" i="7"/>
  <c r="I36" i="7"/>
  <c r="N215" i="7"/>
  <c r="N235" i="7"/>
  <c r="N216" i="7"/>
  <c r="N218" i="7" s="1"/>
  <c r="G187" i="7"/>
  <c r="G168" i="7"/>
  <c r="G170" i="7" s="1"/>
  <c r="G167" i="7"/>
  <c r="H119" i="7"/>
  <c r="H139" i="7"/>
  <c r="H120" i="7"/>
  <c r="H122" i="7" s="1"/>
  <c r="J36" i="7"/>
  <c r="J40" i="7"/>
  <c r="J22" i="7"/>
  <c r="K75" i="7"/>
  <c r="K95" i="7"/>
  <c r="K76" i="7"/>
  <c r="K78" i="7" s="1"/>
  <c r="H36" i="7"/>
  <c r="H22" i="7"/>
  <c r="H40" i="7"/>
  <c r="M235" i="7"/>
  <c r="M216" i="7"/>
  <c r="M218" i="7" s="1"/>
  <c r="M215" i="7"/>
  <c r="H215" i="7"/>
  <c r="H235" i="7"/>
  <c r="H216" i="7"/>
  <c r="H218" i="7" s="1"/>
  <c r="G36" i="7"/>
  <c r="G22" i="7"/>
  <c r="G40" i="7"/>
  <c r="M167" i="7"/>
  <c r="M187" i="7"/>
  <c r="M168" i="7"/>
  <c r="M170" i="7" s="1"/>
  <c r="K167" i="7"/>
  <c r="K187" i="7"/>
  <c r="K168" i="7"/>
  <c r="K170" i="7" s="1"/>
  <c r="I215" i="7"/>
  <c r="I235" i="7"/>
  <c r="I216" i="7"/>
  <c r="I218" i="7" s="1"/>
  <c r="L187" i="7"/>
  <c r="L168" i="7"/>
  <c r="L170" i="7" s="1"/>
  <c r="L167" i="7"/>
  <c r="J119" i="7"/>
  <c r="J139" i="7"/>
  <c r="J120" i="7"/>
  <c r="J122" i="7" s="1"/>
  <c r="I75" i="7"/>
  <c r="I95" i="7"/>
  <c r="I76" i="7"/>
  <c r="I78" i="7" s="1"/>
  <c r="M36" i="7"/>
  <c r="M22" i="7"/>
  <c r="M40" i="7"/>
  <c r="J215" i="7"/>
  <c r="J235" i="7"/>
  <c r="J216" i="7"/>
  <c r="J218" i="7" s="1"/>
  <c r="H167" i="7"/>
  <c r="H187" i="7"/>
  <c r="H168" i="7"/>
  <c r="H170" i="7" s="1"/>
  <c r="F22" i="7"/>
  <c r="F40" i="7"/>
  <c r="K119" i="7"/>
  <c r="K139" i="7"/>
  <c r="K120" i="7"/>
  <c r="K122" i="7" s="1"/>
  <c r="L95" i="7"/>
  <c r="L75" i="7"/>
  <c r="L76" i="7"/>
  <c r="L78" i="7" s="1"/>
  <c r="N76" i="7"/>
  <c r="N78" i="7" s="1"/>
  <c r="N95" i="7"/>
  <c r="N75" i="7"/>
  <c r="J167" i="7"/>
  <c r="J187" i="7"/>
  <c r="J168" i="7"/>
  <c r="J170" i="7" s="1"/>
  <c r="J75" i="7"/>
  <c r="J95" i="7"/>
  <c r="J76" i="7"/>
  <c r="J78" i="7" s="1"/>
  <c r="N119" i="7"/>
  <c r="N139" i="7"/>
  <c r="N120" i="7"/>
  <c r="N122" i="7" s="1"/>
  <c r="N40" i="7"/>
  <c r="N22" i="7"/>
  <c r="N36" i="7"/>
  <c r="H95" i="7"/>
  <c r="H76" i="7"/>
  <c r="H78" i="7" s="1"/>
  <c r="H75" i="7"/>
  <c r="M119" i="7"/>
  <c r="M139" i="7"/>
  <c r="M120" i="7"/>
  <c r="M122" i="7" s="1"/>
  <c r="F75" i="7"/>
  <c r="F76" i="7"/>
  <c r="F78" i="7" s="1"/>
  <c r="F41" i="7" s="1"/>
  <c r="L139" i="7"/>
  <c r="L120" i="7"/>
  <c r="L122" i="7" s="1"/>
  <c r="L119" i="7"/>
  <c r="F119" i="7"/>
  <c r="F120" i="7"/>
  <c r="F122" i="7" s="1"/>
  <c r="F43" i="7" s="1"/>
  <c r="M12" i="6"/>
  <c r="O12" i="6" s="1"/>
  <c r="J12" i="6"/>
  <c r="I12" i="6"/>
  <c r="O7" i="6"/>
  <c r="N10" i="6"/>
  <c r="W8" i="5"/>
  <c r="BE8" i="5"/>
  <c r="W7" i="5"/>
  <c r="BE7" i="5"/>
  <c r="W9" i="5"/>
  <c r="BE9" i="5"/>
  <c r="I10" i="6"/>
  <c r="K10" i="5"/>
  <c r="BA10" i="5" s="1"/>
  <c r="AY10" i="5"/>
  <c r="AZ71" i="3"/>
  <c r="AZ86" i="3"/>
  <c r="AZ89" i="3" s="1"/>
  <c r="I89" i="3"/>
  <c r="I93" i="3" s="1"/>
  <c r="I84" i="3"/>
  <c r="AC22" i="11"/>
  <c r="BB71" i="3"/>
  <c r="V10" i="5"/>
  <c r="BB86" i="3"/>
  <c r="AZ9" i="5"/>
  <c r="AZ14" i="5" s="1"/>
  <c r="K9" i="5"/>
  <c r="BA9" i="5" s="1"/>
  <c r="V86" i="3"/>
  <c r="V84" i="3"/>
  <c r="I48" i="3"/>
  <c r="H49" i="3"/>
  <c r="H48" i="3" s="1"/>
  <c r="I45" i="3"/>
  <c r="D33" i="11" s="1"/>
  <c r="C119" i="21" s="1"/>
  <c r="M119" i="21" s="1"/>
  <c r="H45" i="3"/>
  <c r="S45" i="3"/>
  <c r="S49" i="3"/>
  <c r="S48" i="3" s="1"/>
  <c r="T45" i="3"/>
  <c r="T48" i="3"/>
  <c r="G45" i="3"/>
  <c r="C33" i="11" s="1"/>
  <c r="C35" i="11" s="1"/>
  <c r="C36" i="11" s="1"/>
  <c r="F45" i="3"/>
  <c r="F49" i="3"/>
  <c r="F48" i="3" s="1"/>
  <c r="G48" i="3"/>
  <c r="BT84" i="3"/>
  <c r="CB45" i="3"/>
  <c r="AE33" i="11" s="1"/>
  <c r="I119" i="21" s="1"/>
  <c r="S119" i="21" s="1"/>
  <c r="CA45" i="3"/>
  <c r="CA49" i="3"/>
  <c r="CA48" i="3" s="1"/>
  <c r="CB48" i="3"/>
  <c r="BT123" i="3"/>
  <c r="BT117" i="3" s="1"/>
  <c r="BT116" i="3" s="1"/>
  <c r="BT114" i="3" s="1"/>
  <c r="BT115" i="3" s="1"/>
  <c r="AE21" i="11" l="1"/>
  <c r="AW14" i="5"/>
  <c r="E9" i="9" s="1"/>
  <c r="BV43" i="3"/>
  <c r="CF43" i="3"/>
  <c r="CD43" i="3"/>
  <c r="CB83" i="3"/>
  <c r="CB84" i="3" s="1"/>
  <c r="CB81" i="3"/>
  <c r="CB82" i="3"/>
  <c r="I13" i="8"/>
  <c r="I13" i="5"/>
  <c r="G36" i="22"/>
  <c r="BJ98" i="3"/>
  <c r="BJ94" i="3"/>
  <c r="BJ48" i="3"/>
  <c r="BJ45" i="3"/>
  <c r="BJ44" i="3" s="1"/>
  <c r="BI45" i="3"/>
  <c r="BI44" i="3" s="1"/>
  <c r="BI43" i="3" s="1"/>
  <c r="BI49" i="3"/>
  <c r="BI48" i="3" s="1"/>
  <c r="R99" i="21"/>
  <c r="H99" i="21"/>
  <c r="CZ17" i="22"/>
  <c r="CZ17" i="27"/>
  <c r="BX44" i="3"/>
  <c r="BF94" i="3"/>
  <c r="BF98" i="3"/>
  <c r="BW44" i="3"/>
  <c r="BW43" i="3" s="1"/>
  <c r="BF45" i="3"/>
  <c r="BF44" i="3" s="1"/>
  <c r="BE49" i="3"/>
  <c r="BE48" i="3" s="1"/>
  <c r="BE45" i="3"/>
  <c r="BE44" i="3" s="1"/>
  <c r="BE43" i="3" s="1"/>
  <c r="BF48" i="3"/>
  <c r="CF98" i="3"/>
  <c r="CF94" i="3"/>
  <c r="AC36" i="11"/>
  <c r="CQ33" i="22"/>
  <c r="CQ34" i="22" s="1"/>
  <c r="CQ31" i="22"/>
  <c r="Z36" i="11"/>
  <c r="H38" i="22"/>
  <c r="BN26" i="27"/>
  <c r="CX26" i="27"/>
  <c r="DB19" i="27"/>
  <c r="R21" i="27"/>
  <c r="R41" i="27"/>
  <c r="R42" i="27" s="1"/>
  <c r="F27" i="27"/>
  <c r="F41" i="27"/>
  <c r="F42" i="27" s="1"/>
  <c r="F21" i="27"/>
  <c r="G26" i="27"/>
  <c r="G27" i="27" s="1"/>
  <c r="AM26" i="27"/>
  <c r="AM27" i="27" s="1"/>
  <c r="AE26" i="27"/>
  <c r="AE27" i="27" s="1"/>
  <c r="AU26" i="27"/>
  <c r="AU27" i="27" s="1"/>
  <c r="W26" i="27"/>
  <c r="W27" i="27" s="1"/>
  <c r="O26" i="27"/>
  <c r="O27" i="27" s="1"/>
  <c r="DC19" i="27"/>
  <c r="DC20" i="27" s="1"/>
  <c r="J20" i="27"/>
  <c r="AL28" i="27"/>
  <c r="AL30" i="27"/>
  <c r="V21" i="27"/>
  <c r="V27" i="27"/>
  <c r="V41" i="27"/>
  <c r="V42" i="27" s="1"/>
  <c r="DA17" i="27"/>
  <c r="AD28" i="27"/>
  <c r="AD30" i="27"/>
  <c r="Z21" i="27"/>
  <c r="Z41" i="27"/>
  <c r="Z42" i="27" s="1"/>
  <c r="N27" i="27"/>
  <c r="N41" i="27"/>
  <c r="N42" i="27" s="1"/>
  <c r="N21" i="27"/>
  <c r="AT28" i="27"/>
  <c r="AT30" i="27"/>
  <c r="CD26" i="27"/>
  <c r="CJ33" i="27"/>
  <c r="CJ34" i="27" s="1"/>
  <c r="CJ31" i="27"/>
  <c r="CR33" i="27"/>
  <c r="CR34" i="27" s="1"/>
  <c r="CR31" i="27"/>
  <c r="BK28" i="27"/>
  <c r="BK30" i="27"/>
  <c r="BV26" i="27"/>
  <c r="CA30" i="27"/>
  <c r="CA28" i="27"/>
  <c r="CL26" i="27"/>
  <c r="CK33" i="27"/>
  <c r="CK34" i="27" s="1"/>
  <c r="CK31" i="27"/>
  <c r="BD28" i="27"/>
  <c r="BD30" i="27"/>
  <c r="BL33" i="27"/>
  <c r="BL34" i="27" s="1"/>
  <c r="BL31" i="27"/>
  <c r="CQ28" i="27"/>
  <c r="CQ30" i="27"/>
  <c r="CB33" i="27"/>
  <c r="CB34" i="27" s="1"/>
  <c r="CB31" i="27"/>
  <c r="BM33" i="27"/>
  <c r="BM34" i="27" s="1"/>
  <c r="BM31" i="27"/>
  <c r="CI30" i="27"/>
  <c r="CI28" i="27"/>
  <c r="BS30" i="27"/>
  <c r="BS28" i="27"/>
  <c r="CT26" i="27"/>
  <c r="BT33" i="27"/>
  <c r="BT34" i="27" s="1"/>
  <c r="BT31" i="27"/>
  <c r="CC31" i="27"/>
  <c r="CC33" i="27"/>
  <c r="CC34" i="27" s="1"/>
  <c r="E17" i="27"/>
  <c r="AK17" i="27"/>
  <c r="AP17" i="27" s="1"/>
  <c r="U17" i="27"/>
  <c r="Z17" i="27" s="1"/>
  <c r="M17" i="27"/>
  <c r="R17" i="27" s="1"/>
  <c r="AC17" i="27"/>
  <c r="AH17" i="27" s="1"/>
  <c r="AS17" i="27"/>
  <c r="AX17" i="27" s="1"/>
  <c r="BU33" i="27"/>
  <c r="BU34" i="27" s="1"/>
  <c r="BU31" i="27"/>
  <c r="BC27" i="27"/>
  <c r="BF26" i="27"/>
  <c r="BE33" i="27"/>
  <c r="BE34" i="27" s="1"/>
  <c r="BE31" i="27"/>
  <c r="I30" i="27"/>
  <c r="I28" i="27"/>
  <c r="CS31" i="27"/>
  <c r="CS33" i="27"/>
  <c r="CS34" i="27" s="1"/>
  <c r="G89" i="3"/>
  <c r="G93" i="3" s="1"/>
  <c r="CD26" i="22"/>
  <c r="N27" i="22"/>
  <c r="N28" i="22" s="1"/>
  <c r="V27" i="22"/>
  <c r="V28" i="22" s="1"/>
  <c r="BN26" i="22"/>
  <c r="W24" i="11"/>
  <c r="I99" i="21"/>
  <c r="BV26" i="22"/>
  <c r="BT44" i="3"/>
  <c r="CT26" i="22"/>
  <c r="BZ54" i="3"/>
  <c r="BZ49" i="3" s="1"/>
  <c r="I22" i="21"/>
  <c r="I23" i="21" s="1"/>
  <c r="I20" i="21"/>
  <c r="I110" i="21"/>
  <c r="I112" i="21"/>
  <c r="CS30" i="22"/>
  <c r="CS28" i="22"/>
  <c r="Q50" i="21"/>
  <c r="Q48" i="21"/>
  <c r="BK30" i="22"/>
  <c r="BK28" i="22"/>
  <c r="BF26" i="22"/>
  <c r="I51" i="21"/>
  <c r="I53" i="21"/>
  <c r="I54" i="21" s="1"/>
  <c r="I79" i="21"/>
  <c r="I81" i="21"/>
  <c r="BC28" i="22"/>
  <c r="BC30" i="22"/>
  <c r="S99" i="21"/>
  <c r="I33" i="22"/>
  <c r="I34" i="22" s="1"/>
  <c r="I31" i="22"/>
  <c r="D35" i="11"/>
  <c r="AE35" i="11"/>
  <c r="CK30" i="22"/>
  <c r="CK28" i="22"/>
  <c r="CI28" i="22"/>
  <c r="CI30" i="22"/>
  <c r="G17" i="21"/>
  <c r="G19" i="21"/>
  <c r="BE28" i="22"/>
  <c r="BE30" i="22"/>
  <c r="H119" i="21"/>
  <c r="R119" i="21" s="1"/>
  <c r="M36" i="22"/>
  <c r="R36" i="22" s="1"/>
  <c r="BM28" i="22"/>
  <c r="BM30" i="22"/>
  <c r="J20" i="22"/>
  <c r="CL26" i="22"/>
  <c r="Z21" i="22"/>
  <c r="Z41" i="22"/>
  <c r="Z42" i="22" s="1"/>
  <c r="G108" i="21"/>
  <c r="G109" i="21" s="1"/>
  <c r="G78" i="21"/>
  <c r="J77" i="21"/>
  <c r="CA28" i="22"/>
  <c r="CA30" i="22"/>
  <c r="N41" i="22"/>
  <c r="N42" i="22" s="1"/>
  <c r="N21" i="22"/>
  <c r="CC30" i="22"/>
  <c r="CC28" i="22"/>
  <c r="CY21" i="22"/>
  <c r="CY41" i="22"/>
  <c r="CY42" i="22" s="1"/>
  <c r="S51" i="21"/>
  <c r="S53" i="21"/>
  <c r="S54" i="21" s="1"/>
  <c r="CH41" i="3"/>
  <c r="CG41" i="3"/>
  <c r="F41" i="22"/>
  <c r="F42" i="22" s="1"/>
  <c r="F21" i="22"/>
  <c r="V41" i="22"/>
  <c r="V42" i="22" s="1"/>
  <c r="V21" i="22"/>
  <c r="BS30" i="22"/>
  <c r="BS28" i="22"/>
  <c r="G48" i="21"/>
  <c r="G50" i="21"/>
  <c r="S79" i="21"/>
  <c r="S81" i="21"/>
  <c r="S109" i="21"/>
  <c r="S110" i="21" s="1"/>
  <c r="N38" i="22"/>
  <c r="AF36" i="11"/>
  <c r="DA17" i="22"/>
  <c r="G21" i="22"/>
  <c r="G41" i="22"/>
  <c r="G42" i="22" s="1"/>
  <c r="F121" i="21"/>
  <c r="V36" i="11"/>
  <c r="CH49" i="3"/>
  <c r="Y35" i="11"/>
  <c r="M38" i="27" s="1"/>
  <c r="BU30" i="22"/>
  <c r="BU28" i="22"/>
  <c r="Q108" i="21"/>
  <c r="Q78" i="21"/>
  <c r="T77" i="21"/>
  <c r="AL30" i="22"/>
  <c r="AL28" i="22"/>
  <c r="AT28" i="22"/>
  <c r="AT30" i="22"/>
  <c r="AD30" i="22"/>
  <c r="AD28" i="22"/>
  <c r="CX26" i="22"/>
  <c r="F27" i="22"/>
  <c r="AC23" i="11"/>
  <c r="AC26" i="11" s="1"/>
  <c r="AC29" i="11" s="1"/>
  <c r="W26" i="22"/>
  <c r="W27" i="22" s="1"/>
  <c r="AU26" i="22"/>
  <c r="AU27" i="22" s="1"/>
  <c r="O26" i="22"/>
  <c r="O27" i="22" s="1"/>
  <c r="AE26" i="22"/>
  <c r="AE27" i="22" s="1"/>
  <c r="AM26" i="22"/>
  <c r="G26" i="22"/>
  <c r="U17" i="22"/>
  <c r="Z17" i="22" s="1"/>
  <c r="AK17" i="22"/>
  <c r="AP17" i="22" s="1"/>
  <c r="M17" i="22"/>
  <c r="R17" i="22" s="1"/>
  <c r="AS17" i="22"/>
  <c r="AX17" i="22" s="1"/>
  <c r="E17" i="22"/>
  <c r="AC17" i="22"/>
  <c r="AH17" i="22" s="1"/>
  <c r="O37" i="21"/>
  <c r="E37" i="21"/>
  <c r="E6" i="21"/>
  <c r="P1" i="11"/>
  <c r="Q1" i="11"/>
  <c r="V23" i="11"/>
  <c r="V26" i="11" s="1"/>
  <c r="Q19" i="11"/>
  <c r="W27" i="11"/>
  <c r="BE10" i="5"/>
  <c r="AB22" i="11"/>
  <c r="U11" i="8"/>
  <c r="D14" i="7"/>
  <c r="D15" i="7" s="1"/>
  <c r="D111" i="7"/>
  <c r="D112" i="7" s="1"/>
  <c r="D67" i="7"/>
  <c r="D68" i="7" s="1"/>
  <c r="D207" i="7"/>
  <c r="D208" i="7" s="1"/>
  <c r="D159" i="7"/>
  <c r="D160" i="7" s="1"/>
  <c r="G44" i="3"/>
  <c r="G47" i="3" s="1"/>
  <c r="E111" i="7"/>
  <c r="E112" i="7" s="1"/>
  <c r="E159" i="7"/>
  <c r="E160" i="7" s="1"/>
  <c r="E14" i="7"/>
  <c r="E15" i="7" s="1"/>
  <c r="E67" i="7"/>
  <c r="E68" i="7" s="1"/>
  <c r="E207" i="7"/>
  <c r="E208" i="7" s="1"/>
  <c r="I44" i="3"/>
  <c r="I47" i="3" s="1"/>
  <c r="BE10" i="8"/>
  <c r="W10" i="8"/>
  <c r="AI21" i="5"/>
  <c r="AI21" i="8"/>
  <c r="O24" i="11"/>
  <c r="X10" i="8"/>
  <c r="BF10" i="8"/>
  <c r="AI89" i="3"/>
  <c r="AI87" i="3"/>
  <c r="CA44" i="3"/>
  <c r="CA43" i="3" s="1"/>
  <c r="AE7" i="8"/>
  <c r="AG7" i="8" s="1"/>
  <c r="Y7" i="8"/>
  <c r="AA7" i="8" s="1"/>
  <c r="CP123" i="3"/>
  <c r="CP117" i="3" s="1"/>
  <c r="CP116" i="3" s="1"/>
  <c r="CP114" i="3" s="1"/>
  <c r="CP115" i="3" s="1"/>
  <c r="CP72" i="3" s="1"/>
  <c r="CB44" i="3"/>
  <c r="BG9" i="8"/>
  <c r="AE22" i="8"/>
  <c r="AA22" i="8"/>
  <c r="F44" i="3"/>
  <c r="F43" i="3" s="1"/>
  <c r="Z8" i="8"/>
  <c r="AB8" i="8" s="1"/>
  <c r="AF8" i="8"/>
  <c r="AH8" i="8" s="1"/>
  <c r="AB22" i="5"/>
  <c r="AF22" i="5"/>
  <c r="T17" i="9"/>
  <c r="U17" i="9" s="1"/>
  <c r="R17" i="9"/>
  <c r="S17" i="9" s="1"/>
  <c r="M19" i="9"/>
  <c r="N17" i="9"/>
  <c r="T44" i="3"/>
  <c r="T43" i="3" s="1"/>
  <c r="C24" i="11"/>
  <c r="C26" i="11"/>
  <c r="D24" i="11"/>
  <c r="D26" i="11"/>
  <c r="J24" i="11"/>
  <c r="AE22" i="5"/>
  <c r="AA22" i="5"/>
  <c r="H44" i="3"/>
  <c r="H43" i="3" s="1"/>
  <c r="U11" i="5"/>
  <c r="BE11" i="5" s="1"/>
  <c r="Y22" i="11"/>
  <c r="Y23" i="11" s="1"/>
  <c r="Y26" i="11" s="1"/>
  <c r="U12" i="8"/>
  <c r="S44" i="3"/>
  <c r="S43" i="3" s="1"/>
  <c r="V11" i="8"/>
  <c r="AJ21" i="5"/>
  <c r="AL21" i="5" s="1"/>
  <c r="AN21" i="5" s="1"/>
  <c r="AJ21" i="8"/>
  <c r="AL21" i="8" s="1"/>
  <c r="AN21" i="8" s="1"/>
  <c r="Q22" i="11"/>
  <c r="AK87" i="3"/>
  <c r="AK89" i="3"/>
  <c r="BH9" i="8"/>
  <c r="AF22" i="8"/>
  <c r="AB22" i="8"/>
  <c r="P28" i="11"/>
  <c r="AI9" i="8"/>
  <c r="AI9" i="5"/>
  <c r="J7" i="9"/>
  <c r="I10" i="9"/>
  <c r="J10" i="9"/>
  <c r="H15" i="9"/>
  <c r="BG8" i="8"/>
  <c r="BG14" i="8" s="1"/>
  <c r="AA21" i="8"/>
  <c r="AE21" i="8"/>
  <c r="AA21" i="5"/>
  <c r="AE21" i="5"/>
  <c r="AG21" i="5" s="1"/>
  <c r="AF9" i="8"/>
  <c r="AH9" i="8" s="1"/>
  <c r="Z9" i="8"/>
  <c r="AB9" i="8" s="1"/>
  <c r="I140" i="7"/>
  <c r="M140" i="7"/>
  <c r="J96" i="7"/>
  <c r="G188" i="7"/>
  <c r="G140" i="7"/>
  <c r="L236" i="7"/>
  <c r="K236" i="7"/>
  <c r="J236" i="7"/>
  <c r="K188" i="7"/>
  <c r="I188" i="7"/>
  <c r="K96" i="7"/>
  <c r="N236" i="7"/>
  <c r="G96" i="7"/>
  <c r="L140" i="7"/>
  <c r="I96" i="7"/>
  <c r="H140" i="7"/>
  <c r="N96" i="7"/>
  <c r="K140" i="7"/>
  <c r="L41" i="7"/>
  <c r="L42" i="7" s="1"/>
  <c r="L79" i="7"/>
  <c r="M219" i="7"/>
  <c r="M47" i="7"/>
  <c r="M48" i="7" s="1"/>
  <c r="F171" i="7"/>
  <c r="F45" i="7"/>
  <c r="F46" i="7" s="1"/>
  <c r="J188" i="7"/>
  <c r="L188" i="7"/>
  <c r="N188" i="7"/>
  <c r="F44" i="7"/>
  <c r="H96" i="7"/>
  <c r="L96" i="7"/>
  <c r="H171" i="7"/>
  <c r="H45" i="7"/>
  <c r="H46" i="7" s="1"/>
  <c r="J123" i="7"/>
  <c r="J43" i="7"/>
  <c r="J44" i="7" s="1"/>
  <c r="I47" i="7"/>
  <c r="I48" i="7" s="1"/>
  <c r="I219" i="7"/>
  <c r="M45" i="7"/>
  <c r="M46" i="7" s="1"/>
  <c r="M171" i="7"/>
  <c r="H47" i="7"/>
  <c r="H48" i="7" s="1"/>
  <c r="H219" i="7"/>
  <c r="K47" i="7"/>
  <c r="K48" i="7" s="1"/>
  <c r="K219" i="7"/>
  <c r="M96" i="7"/>
  <c r="M43" i="7"/>
  <c r="M44" i="7" s="1"/>
  <c r="M123" i="7"/>
  <c r="J79" i="7"/>
  <c r="J41" i="7"/>
  <c r="J42" i="7" s="1"/>
  <c r="K43" i="7"/>
  <c r="K44" i="7" s="1"/>
  <c r="K123" i="7"/>
  <c r="H188" i="7"/>
  <c r="J140" i="7"/>
  <c r="I236" i="7"/>
  <c r="M188" i="7"/>
  <c r="H236" i="7"/>
  <c r="G171" i="7"/>
  <c r="G45" i="7"/>
  <c r="G46" i="7" s="1"/>
  <c r="G43" i="7"/>
  <c r="G44" i="7" s="1"/>
  <c r="G123" i="7"/>
  <c r="L47" i="7"/>
  <c r="L48" i="7" s="1"/>
  <c r="L219" i="7"/>
  <c r="I43" i="7"/>
  <c r="I44" i="7" s="1"/>
  <c r="I123" i="7"/>
  <c r="N43" i="7"/>
  <c r="N44" i="7" s="1"/>
  <c r="N123" i="7"/>
  <c r="G236" i="7"/>
  <c r="G47" i="7"/>
  <c r="G48" i="7" s="1"/>
  <c r="G219" i="7"/>
  <c r="N140" i="7"/>
  <c r="M236" i="7"/>
  <c r="M79" i="7"/>
  <c r="M41" i="7"/>
  <c r="M42" i="7" s="1"/>
  <c r="J45" i="7"/>
  <c r="J46" i="7" s="1"/>
  <c r="J171" i="7"/>
  <c r="L45" i="7"/>
  <c r="L46" i="7" s="1"/>
  <c r="L171" i="7"/>
  <c r="N171" i="7"/>
  <c r="N45" i="7"/>
  <c r="N46" i="7" s="1"/>
  <c r="F42" i="7"/>
  <c r="H41" i="7"/>
  <c r="H42" i="7" s="1"/>
  <c r="H79" i="7"/>
  <c r="L43" i="7"/>
  <c r="L44" i="7" s="1"/>
  <c r="L123" i="7"/>
  <c r="N79" i="7"/>
  <c r="N41" i="7"/>
  <c r="N42" i="7" s="1"/>
  <c r="J47" i="7"/>
  <c r="J48" i="7" s="1"/>
  <c r="J219" i="7"/>
  <c r="I41" i="7"/>
  <c r="I42" i="7" s="1"/>
  <c r="I79" i="7"/>
  <c r="K45" i="7"/>
  <c r="K46" i="7" s="1"/>
  <c r="K171" i="7"/>
  <c r="K41" i="7"/>
  <c r="K42" i="7" s="1"/>
  <c r="K79" i="7"/>
  <c r="H43" i="7"/>
  <c r="H44" i="7" s="1"/>
  <c r="H123" i="7"/>
  <c r="N47" i="7"/>
  <c r="N48" i="7" s="1"/>
  <c r="N219" i="7"/>
  <c r="I171" i="7"/>
  <c r="I45" i="7"/>
  <c r="I46" i="7" s="1"/>
  <c r="G41" i="7"/>
  <c r="G42" i="7" s="1"/>
  <c r="G79" i="7"/>
  <c r="F219" i="7"/>
  <c r="F47" i="7"/>
  <c r="F48" i="7" s="1"/>
  <c r="N12" i="6"/>
  <c r="AZ87" i="3"/>
  <c r="I90" i="3"/>
  <c r="M11" i="6"/>
  <c r="X10" i="5"/>
  <c r="BF10" i="5"/>
  <c r="BT71" i="3"/>
  <c r="U12" i="5"/>
  <c r="BV123" i="3"/>
  <c r="BV117" i="3" s="1"/>
  <c r="BV116" i="3" s="1"/>
  <c r="BV114" i="3" s="1"/>
  <c r="BV115" i="3" s="1"/>
  <c r="Z22" i="11" s="1"/>
  <c r="BB87" i="3"/>
  <c r="BB89" i="3"/>
  <c r="V11" i="5"/>
  <c r="Z9" i="5"/>
  <c r="AF9" i="5"/>
  <c r="AH9" i="5" s="1"/>
  <c r="AE7" i="5"/>
  <c r="AG7" i="5" s="1"/>
  <c r="Y7" i="5"/>
  <c r="AF8" i="5"/>
  <c r="AH8" i="5" s="1"/>
  <c r="Z8" i="5"/>
  <c r="V89" i="3"/>
  <c r="V87" i="3"/>
  <c r="I94" i="3"/>
  <c r="I98" i="3"/>
  <c r="AZ90" i="3"/>
  <c r="AZ93" i="3"/>
  <c r="AZ98" i="3" s="1"/>
  <c r="CB123" i="3"/>
  <c r="CB117" i="3" s="1"/>
  <c r="CB116" i="3" s="1"/>
  <c r="CB114" i="3" s="1"/>
  <c r="CB115" i="3" s="1"/>
  <c r="BT86" i="3"/>
  <c r="E9" i="6" l="1"/>
  <c r="P9" i="6" s="1"/>
  <c r="S9" i="6" s="1"/>
  <c r="G90" i="3"/>
  <c r="CB43" i="3"/>
  <c r="BX43" i="3"/>
  <c r="BJ43" i="3"/>
  <c r="BF43" i="3"/>
  <c r="BT43" i="3"/>
  <c r="K13" i="5"/>
  <c r="BA13" i="5" s="1"/>
  <c r="AY13" i="5"/>
  <c r="AY13" i="8"/>
  <c r="K13" i="8"/>
  <c r="Q9" i="9"/>
  <c r="G9" i="9"/>
  <c r="L9" i="9"/>
  <c r="K9" i="9"/>
  <c r="P9" i="9"/>
  <c r="Y9" i="9" s="1"/>
  <c r="BJ99" i="3"/>
  <c r="BJ143" i="3"/>
  <c r="CF143" i="3"/>
  <c r="CF99" i="3"/>
  <c r="BF143" i="3"/>
  <c r="BF99" i="3"/>
  <c r="N39" i="22"/>
  <c r="AT33" i="27"/>
  <c r="AT34" i="27" s="1"/>
  <c r="AT31" i="27"/>
  <c r="G28" i="27"/>
  <c r="G30" i="27"/>
  <c r="AD33" i="27"/>
  <c r="AD34" i="27" s="1"/>
  <c r="AD31" i="27"/>
  <c r="O28" i="27"/>
  <c r="O30" i="27"/>
  <c r="V30" i="27"/>
  <c r="V28" i="27"/>
  <c r="AL31" i="27"/>
  <c r="AL33" i="27"/>
  <c r="AL34" i="27" s="1"/>
  <c r="W30" i="27"/>
  <c r="W28" i="27"/>
  <c r="AM28" i="27"/>
  <c r="AM30" i="27"/>
  <c r="AF26" i="27"/>
  <c r="AF27" i="27" s="1"/>
  <c r="X26" i="27"/>
  <c r="X27" i="27" s="1"/>
  <c r="H26" i="27"/>
  <c r="P26" i="27"/>
  <c r="P27" i="27" s="1"/>
  <c r="AV26" i="27"/>
  <c r="AV27" i="27" s="1"/>
  <c r="AN26" i="27"/>
  <c r="AN27" i="27" s="1"/>
  <c r="CY26" i="27"/>
  <c r="CY27" i="27" s="1"/>
  <c r="CY30" i="27" s="1"/>
  <c r="N28" i="27"/>
  <c r="N30" i="27"/>
  <c r="AU28" i="27"/>
  <c r="AU30" i="27"/>
  <c r="F30" i="27"/>
  <c r="F28" i="27"/>
  <c r="M39" i="27"/>
  <c r="R38" i="27"/>
  <c r="R39" i="27" s="1"/>
  <c r="DC41" i="27"/>
  <c r="DC42" i="27" s="1"/>
  <c r="DC21" i="27"/>
  <c r="J41" i="27"/>
  <c r="J42" i="27" s="1"/>
  <c r="J21" i="27"/>
  <c r="AE30" i="27"/>
  <c r="AE28" i="27"/>
  <c r="BD33" i="27"/>
  <c r="BD34" i="27" s="1"/>
  <c r="BD31" i="27"/>
  <c r="CW17" i="27"/>
  <c r="J17" i="27"/>
  <c r="DC17" i="27" s="1"/>
  <c r="CQ31" i="27"/>
  <c r="CQ33" i="27"/>
  <c r="CQ34" i="27" s="1"/>
  <c r="CA31" i="27"/>
  <c r="CA33" i="27"/>
  <c r="CA34" i="27" s="1"/>
  <c r="AC26" i="27"/>
  <c r="E26" i="27"/>
  <c r="AS26" i="27"/>
  <c r="U26" i="27"/>
  <c r="AK26" i="27"/>
  <c r="M26" i="27"/>
  <c r="BC30" i="27"/>
  <c r="BC28" i="27"/>
  <c r="BK33" i="27"/>
  <c r="BK34" i="27" s="1"/>
  <c r="BK31" i="27"/>
  <c r="I33" i="27"/>
  <c r="I34" i="27" s="1"/>
  <c r="I31" i="27"/>
  <c r="BS31" i="27"/>
  <c r="BS33" i="27"/>
  <c r="BS34" i="27" s="1"/>
  <c r="CI31" i="27"/>
  <c r="CI33" i="27"/>
  <c r="CI34" i="27" s="1"/>
  <c r="V30" i="22"/>
  <c r="V33" i="22" s="1"/>
  <c r="V34" i="22" s="1"/>
  <c r="N30" i="22"/>
  <c r="N33" i="22" s="1"/>
  <c r="N34" i="22" s="1"/>
  <c r="AC24" i="11"/>
  <c r="G53" i="21"/>
  <c r="G54" i="21" s="1"/>
  <c r="G51" i="21"/>
  <c r="G79" i="21"/>
  <c r="G81" i="21"/>
  <c r="G22" i="21"/>
  <c r="G23" i="21" s="1"/>
  <c r="G20" i="21"/>
  <c r="CS31" i="22"/>
  <c r="CS33" i="22"/>
  <c r="CS34" i="22" s="1"/>
  <c r="H121" i="21"/>
  <c r="Y36" i="11"/>
  <c r="M38" i="22"/>
  <c r="R38" i="22" s="1"/>
  <c r="I84" i="21"/>
  <c r="I85" i="21" s="1"/>
  <c r="I82" i="21"/>
  <c r="Q79" i="21"/>
  <c r="Q109" i="21"/>
  <c r="Q110" i="21" s="1"/>
  <c r="Q81" i="21"/>
  <c r="G112" i="21"/>
  <c r="G110" i="21"/>
  <c r="BM33" i="22"/>
  <c r="BM34" i="22" s="1"/>
  <c r="BM31" i="22"/>
  <c r="I115" i="21"/>
  <c r="I116" i="21" s="1"/>
  <c r="I113" i="21"/>
  <c r="CH45" i="3"/>
  <c r="CG49" i="3"/>
  <c r="CG48" i="3" s="1"/>
  <c r="CG45" i="3"/>
  <c r="CG44" i="3" s="1"/>
  <c r="CG43" i="3" s="1"/>
  <c r="CH48" i="3"/>
  <c r="BE31" i="22"/>
  <c r="BE33" i="22"/>
  <c r="BE34" i="22" s="1"/>
  <c r="CI33" i="22"/>
  <c r="CI34" i="22" s="1"/>
  <c r="CI31" i="22"/>
  <c r="I121" i="21"/>
  <c r="AE36" i="11"/>
  <c r="BK33" i="22"/>
  <c r="BK34" i="22" s="1"/>
  <c r="BK31" i="22"/>
  <c r="J21" i="22"/>
  <c r="J41" i="22"/>
  <c r="J42" i="22" s="1"/>
  <c r="CK33" i="22"/>
  <c r="CK34" i="22" s="1"/>
  <c r="CK31" i="22"/>
  <c r="BS33" i="22"/>
  <c r="BS34" i="22" s="1"/>
  <c r="BS31" i="22"/>
  <c r="CC33" i="22"/>
  <c r="CC34" i="22" s="1"/>
  <c r="CC31" i="22"/>
  <c r="CA33" i="22"/>
  <c r="CA34" i="22" s="1"/>
  <c r="CA31" i="22"/>
  <c r="D37" i="11"/>
  <c r="D36" i="11"/>
  <c r="E37" i="11"/>
  <c r="C121" i="21"/>
  <c r="BC33" i="22"/>
  <c r="BC34" i="22" s="1"/>
  <c r="BC31" i="22"/>
  <c r="BY45" i="3"/>
  <c r="BY49" i="3"/>
  <c r="BY48" i="3" s="1"/>
  <c r="BZ48" i="3"/>
  <c r="BZ45" i="3"/>
  <c r="BZ46" i="3" s="1"/>
  <c r="BU31" i="22"/>
  <c r="BU33" i="22"/>
  <c r="BU34" i="22" s="1"/>
  <c r="F122" i="21"/>
  <c r="P122" i="21" s="1"/>
  <c r="P121" i="21"/>
  <c r="S82" i="21"/>
  <c r="S112" i="21"/>
  <c r="S113" i="21" s="1"/>
  <c r="S84" i="21"/>
  <c r="Q53" i="21"/>
  <c r="Q54" i="21" s="1"/>
  <c r="Q51" i="21"/>
  <c r="BY41" i="3"/>
  <c r="BZ41" i="3"/>
  <c r="AM27" i="22"/>
  <c r="AE28" i="22"/>
  <c r="AE30" i="22"/>
  <c r="Z23" i="11"/>
  <c r="Z26" i="11" s="1"/>
  <c r="Z29" i="11" s="1"/>
  <c r="X26" i="22"/>
  <c r="X27" i="22" s="1"/>
  <c r="H26" i="22"/>
  <c r="P26" i="22"/>
  <c r="P27" i="22" s="1"/>
  <c r="AF26" i="22"/>
  <c r="AF27" i="22" s="1"/>
  <c r="AV26" i="22"/>
  <c r="AV27" i="22" s="1"/>
  <c r="AN26" i="22"/>
  <c r="AN27" i="22" s="1"/>
  <c r="O30" i="22"/>
  <c r="O28" i="22"/>
  <c r="AT33" i="22"/>
  <c r="AT34" i="22" s="1"/>
  <c r="AT31" i="22"/>
  <c r="AU30" i="22"/>
  <c r="AU28" i="22"/>
  <c r="AD33" i="22"/>
  <c r="AD34" i="22" s="1"/>
  <c r="AD31" i="22"/>
  <c r="AS26" i="22"/>
  <c r="AK26" i="22"/>
  <c r="AK27" i="22" s="1"/>
  <c r="E26" i="22"/>
  <c r="U26" i="22"/>
  <c r="M26" i="22"/>
  <c r="AC26" i="22"/>
  <c r="CW17" i="22"/>
  <c r="J17" i="22"/>
  <c r="F28" i="22"/>
  <c r="F30" i="22"/>
  <c r="W30" i="22"/>
  <c r="W28" i="22"/>
  <c r="CY26" i="22"/>
  <c r="CY27" i="22" s="1"/>
  <c r="G27" i="22"/>
  <c r="AL31" i="22"/>
  <c r="AL33" i="22"/>
  <c r="AL34" i="22" s="1"/>
  <c r="O46" i="21"/>
  <c r="E46" i="21"/>
  <c r="E15" i="21"/>
  <c r="E99" i="21"/>
  <c r="O99" i="21"/>
  <c r="P3" i="11"/>
  <c r="Q3" i="11"/>
  <c r="P29" i="11"/>
  <c r="W30" i="11"/>
  <c r="W31" i="11"/>
  <c r="AC27" i="11"/>
  <c r="AK93" i="3"/>
  <c r="AK98" i="3" s="1"/>
  <c r="AK90" i="3"/>
  <c r="BF11" i="8"/>
  <c r="X11" i="8"/>
  <c r="AH22" i="5"/>
  <c r="E115" i="7"/>
  <c r="E113" i="7"/>
  <c r="P24" i="11"/>
  <c r="I43" i="3"/>
  <c r="D16" i="7"/>
  <c r="D18" i="7"/>
  <c r="C29" i="11"/>
  <c r="C27" i="11"/>
  <c r="K28" i="11"/>
  <c r="D113" i="7"/>
  <c r="D115" i="7"/>
  <c r="U13" i="5"/>
  <c r="W13" i="5" s="1"/>
  <c r="AE22" i="11"/>
  <c r="AE23" i="11" s="1"/>
  <c r="AE26" i="11" s="1"/>
  <c r="U13" i="8"/>
  <c r="AE10" i="8"/>
  <c r="AG10" i="8" s="1"/>
  <c r="Y10" i="8"/>
  <c r="J27" i="11"/>
  <c r="J31" i="11"/>
  <c r="I41" i="11" s="1"/>
  <c r="AI90" i="3"/>
  <c r="AI93" i="3"/>
  <c r="AI98" i="3" s="1"/>
  <c r="E209" i="7"/>
  <c r="E211" i="7"/>
  <c r="G43" i="3"/>
  <c r="V12" i="8"/>
  <c r="AG22" i="5"/>
  <c r="S22" i="5" s="1"/>
  <c r="AG22" i="8"/>
  <c r="S22" i="8" s="1"/>
  <c r="O27" i="11"/>
  <c r="E69" i="7"/>
  <c r="E71" i="7"/>
  <c r="D161" i="7"/>
  <c r="D163" i="7"/>
  <c r="AH22" i="8"/>
  <c r="AJ9" i="5"/>
  <c r="AJ9" i="8"/>
  <c r="D29" i="11"/>
  <c r="D31" i="11" s="1"/>
  <c r="D41" i="11" s="1"/>
  <c r="D27" i="11"/>
  <c r="CP71" i="3"/>
  <c r="CP86" i="3"/>
  <c r="E16" i="7"/>
  <c r="E18" i="7"/>
  <c r="D209" i="7"/>
  <c r="D211" i="7"/>
  <c r="BE11" i="8"/>
  <c r="AK7" i="5"/>
  <c r="AM7" i="5" s="1"/>
  <c r="AK7" i="8"/>
  <c r="AM7" i="8" s="1"/>
  <c r="AL8" i="5"/>
  <c r="AN8" i="5" s="1"/>
  <c r="AL8" i="8"/>
  <c r="AN8" i="8" s="1"/>
  <c r="W12" i="8"/>
  <c r="BE12" i="8"/>
  <c r="AZ140" i="3"/>
  <c r="AZ141" i="3" s="1"/>
  <c r="R19" i="9"/>
  <c r="S19" i="9" s="1"/>
  <c r="N19" i="9"/>
  <c r="T19" i="9"/>
  <c r="U19" i="9" s="1"/>
  <c r="V24" i="11"/>
  <c r="E161" i="7"/>
  <c r="E163" i="7"/>
  <c r="D71" i="7"/>
  <c r="D69" i="7"/>
  <c r="I15" i="9"/>
  <c r="H17" i="9"/>
  <c r="AK21" i="8"/>
  <c r="AM21" i="8" s="1"/>
  <c r="AG21" i="8"/>
  <c r="S21" i="8" s="1"/>
  <c r="AL9" i="5"/>
  <c r="AN9" i="5" s="1"/>
  <c r="AL9" i="8"/>
  <c r="AN9" i="8" s="1"/>
  <c r="N11" i="6"/>
  <c r="W12" i="5"/>
  <c r="BE12" i="5"/>
  <c r="X11" i="5"/>
  <c r="BF11" i="5"/>
  <c r="BB93" i="3"/>
  <c r="BB98" i="3" s="1"/>
  <c r="BB90" i="3"/>
  <c r="V12" i="5"/>
  <c r="BV71" i="3"/>
  <c r="BV86" i="3"/>
  <c r="CD123" i="3"/>
  <c r="CD117" i="3" s="1"/>
  <c r="CD116" i="3" s="1"/>
  <c r="CD114" i="3" s="1"/>
  <c r="CD115" i="3" s="1"/>
  <c r="AF22" i="11" s="1"/>
  <c r="Q26" i="22" s="1"/>
  <c r="Q27" i="22" s="1"/>
  <c r="AE10" i="5"/>
  <c r="AG10" i="5" s="1"/>
  <c r="Y10" i="5"/>
  <c r="AB9" i="5"/>
  <c r="AA7" i="5"/>
  <c r="BG7" i="5"/>
  <c r="AB8" i="5"/>
  <c r="Z7" i="5"/>
  <c r="AF7" i="5"/>
  <c r="AH7" i="5" s="1"/>
  <c r="AL7" i="5"/>
  <c r="AN7" i="5" s="1"/>
  <c r="Q6" i="4"/>
  <c r="Q7" i="4"/>
  <c r="V90" i="3"/>
  <c r="V93" i="3"/>
  <c r="V98" i="3" s="1"/>
  <c r="I143" i="3"/>
  <c r="P5" i="4" s="1"/>
  <c r="I99" i="3"/>
  <c r="CB71" i="3"/>
  <c r="CB86" i="3"/>
  <c r="G94" i="3"/>
  <c r="G98" i="3"/>
  <c r="AZ94" i="3"/>
  <c r="BT87" i="3"/>
  <c r="BT89" i="3"/>
  <c r="K9" i="6" l="1"/>
  <c r="Q9" i="6"/>
  <c r="G9" i="6"/>
  <c r="L9" i="6"/>
  <c r="Q30" i="22"/>
  <c r="Q28" i="22"/>
  <c r="Z24" i="11"/>
  <c r="R26" i="22"/>
  <c r="H27" i="27"/>
  <c r="CZ26" i="27"/>
  <c r="CZ27" i="27" s="1"/>
  <c r="AW26" i="27"/>
  <c r="AW27" i="27" s="1"/>
  <c r="AG26" i="27"/>
  <c r="AG27" i="27" s="1"/>
  <c r="Y26" i="27"/>
  <c r="Y27" i="27" s="1"/>
  <c r="Q26" i="27"/>
  <c r="AO26" i="27"/>
  <c r="AO27" i="27" s="1"/>
  <c r="X30" i="27"/>
  <c r="X28" i="27"/>
  <c r="AF28" i="27"/>
  <c r="AF30" i="27"/>
  <c r="N31" i="27"/>
  <c r="N33" i="27"/>
  <c r="N34" i="27" s="1"/>
  <c r="W33" i="27"/>
  <c r="W34" i="27" s="1"/>
  <c r="W31" i="27"/>
  <c r="AE33" i="27"/>
  <c r="AE34" i="27" s="1"/>
  <c r="AE31" i="27"/>
  <c r="O33" i="27"/>
  <c r="O34" i="27" s="1"/>
  <c r="O31" i="27"/>
  <c r="CY28" i="27"/>
  <c r="F31" i="27"/>
  <c r="F33" i="27"/>
  <c r="F34" i="27" s="1"/>
  <c r="AN28" i="27"/>
  <c r="AN30" i="27"/>
  <c r="AM33" i="27"/>
  <c r="AM34" i="27" s="1"/>
  <c r="AM31" i="27"/>
  <c r="P30" i="27"/>
  <c r="P28" i="27"/>
  <c r="G31" i="27"/>
  <c r="G33" i="27"/>
  <c r="G34" i="27" s="1"/>
  <c r="AU33" i="27"/>
  <c r="AU34" i="27" s="1"/>
  <c r="AU31" i="27"/>
  <c r="AV30" i="27"/>
  <c r="AV28" i="27"/>
  <c r="V33" i="27"/>
  <c r="V34" i="27" s="1"/>
  <c r="V31" i="27"/>
  <c r="V31" i="22"/>
  <c r="CW26" i="27"/>
  <c r="E27" i="27"/>
  <c r="J26" i="27"/>
  <c r="BC33" i="27"/>
  <c r="BC34" i="27" s="1"/>
  <c r="BC31" i="27"/>
  <c r="M27" i="27"/>
  <c r="AS27" i="27"/>
  <c r="N31" i="22"/>
  <c r="CY33" i="27"/>
  <c r="CY34" i="27" s="1"/>
  <c r="CY31" i="27"/>
  <c r="AK27" i="27"/>
  <c r="AC27" i="27"/>
  <c r="U27" i="27"/>
  <c r="AJ32" i="27"/>
  <c r="T32" i="27"/>
  <c r="AB32" i="27"/>
  <c r="AR32" i="27"/>
  <c r="S115" i="21"/>
  <c r="S116" i="21" s="1"/>
  <c r="S85" i="21"/>
  <c r="M121" i="21"/>
  <c r="C122" i="21"/>
  <c r="M122" i="21" s="1"/>
  <c r="CH44" i="3"/>
  <c r="AG33" i="11"/>
  <c r="BY44" i="3"/>
  <c r="BY43" i="3" s="1"/>
  <c r="G84" i="21"/>
  <c r="G85" i="21" s="1"/>
  <c r="G82" i="21"/>
  <c r="G113" i="21"/>
  <c r="G115" i="21"/>
  <c r="G116" i="21" s="1"/>
  <c r="M39" i="22"/>
  <c r="S121" i="21"/>
  <c r="I122" i="21"/>
  <c r="S122" i="21" s="1"/>
  <c r="Q84" i="21"/>
  <c r="Q82" i="21"/>
  <c r="Q112" i="21"/>
  <c r="Q113" i="21" s="1"/>
  <c r="BZ44" i="3"/>
  <c r="AA33" i="11"/>
  <c r="H122" i="21"/>
  <c r="R122" i="21" s="1"/>
  <c r="R121" i="21"/>
  <c r="AU31" i="22"/>
  <c r="AU33" i="22"/>
  <c r="AU34" i="22" s="1"/>
  <c r="AK28" i="22"/>
  <c r="AK30" i="22"/>
  <c r="AS27" i="22"/>
  <c r="AV28" i="22"/>
  <c r="AV30" i="22"/>
  <c r="AE31" i="22"/>
  <c r="AE33" i="22"/>
  <c r="AE34" i="22" s="1"/>
  <c r="CW26" i="22"/>
  <c r="E27" i="22"/>
  <c r="AR32" i="22"/>
  <c r="AB32" i="22"/>
  <c r="AJ32" i="22"/>
  <c r="T32" i="22"/>
  <c r="CY30" i="22"/>
  <c r="CY28" i="22"/>
  <c r="AC27" i="22"/>
  <c r="AF30" i="22"/>
  <c r="AF28" i="22"/>
  <c r="X30" i="22"/>
  <c r="X28" i="22"/>
  <c r="AN30" i="22"/>
  <c r="AN28" i="22"/>
  <c r="G30" i="22"/>
  <c r="G28" i="22"/>
  <c r="J26" i="22"/>
  <c r="M27" i="22"/>
  <c r="P30" i="22"/>
  <c r="P28" i="22"/>
  <c r="AM30" i="22"/>
  <c r="AM28" i="22"/>
  <c r="AF23" i="11"/>
  <c r="AF26" i="11" s="1"/>
  <c r="AF29" i="11" s="1"/>
  <c r="AW26" i="22"/>
  <c r="AX26" i="22" s="1"/>
  <c r="AG26" i="22"/>
  <c r="AG27" i="22" s="1"/>
  <c r="AO26" i="22"/>
  <c r="AO27" i="22" s="1"/>
  <c r="Y26" i="22"/>
  <c r="Y27" i="22" s="1"/>
  <c r="O33" i="22"/>
  <c r="O34" i="22" s="1"/>
  <c r="O31" i="22"/>
  <c r="W33" i="22"/>
  <c r="W34" i="22" s="1"/>
  <c r="W31" i="22"/>
  <c r="F31" i="22"/>
  <c r="F33" i="22"/>
  <c r="F34" i="22" s="1"/>
  <c r="U27" i="22"/>
  <c r="CZ26" i="22"/>
  <c r="H27" i="22"/>
  <c r="J15" i="21"/>
  <c r="E108" i="21"/>
  <c r="E47" i="21"/>
  <c r="J46" i="21"/>
  <c r="O108" i="21"/>
  <c r="T108" i="21" s="1"/>
  <c r="O47" i="21"/>
  <c r="T46" i="21"/>
  <c r="K29" i="11"/>
  <c r="K31" i="11" s="1"/>
  <c r="N52" i="21"/>
  <c r="D52" i="21"/>
  <c r="D21" i="21"/>
  <c r="O30" i="11"/>
  <c r="O31" i="11"/>
  <c r="M41" i="11" s="1"/>
  <c r="AC30" i="11"/>
  <c r="AC31" i="11"/>
  <c r="Z41" i="11" s="1"/>
  <c r="C30" i="11"/>
  <c r="C31" i="11"/>
  <c r="C41" i="11" s="1"/>
  <c r="Z27" i="11"/>
  <c r="BE13" i="5"/>
  <c r="BE14" i="5" s="1"/>
  <c r="AI10" i="5"/>
  <c r="V28" i="11"/>
  <c r="AI10" i="8"/>
  <c r="Y24" i="11"/>
  <c r="J30" i="11"/>
  <c r="E117" i="7"/>
  <c r="E118" i="7" s="1"/>
  <c r="E116" i="7"/>
  <c r="AA10" i="8"/>
  <c r="BG10" i="8"/>
  <c r="D73" i="7"/>
  <c r="D74" i="7" s="1"/>
  <c r="D72" i="7"/>
  <c r="E19" i="7"/>
  <c r="E20" i="7"/>
  <c r="E21" i="7" s="1"/>
  <c r="D164" i="7"/>
  <c r="D165" i="7"/>
  <c r="D166" i="7" s="1"/>
  <c r="AI94" i="3"/>
  <c r="W13" i="8"/>
  <c r="BE13" i="8"/>
  <c r="P31" i="11"/>
  <c r="N41" i="11" s="1"/>
  <c r="P27" i="11"/>
  <c r="D30" i="11"/>
  <c r="E212" i="7"/>
  <c r="E213" i="7"/>
  <c r="E214" i="7" s="1"/>
  <c r="E164" i="7"/>
  <c r="E165" i="7"/>
  <c r="E166" i="7" s="1"/>
  <c r="X12" i="8"/>
  <c r="BF12" i="8"/>
  <c r="AD24" i="11"/>
  <c r="AE8" i="8"/>
  <c r="AG8" i="8" s="1"/>
  <c r="Y8" i="8"/>
  <c r="AA8" i="8" s="1"/>
  <c r="V13" i="8"/>
  <c r="BB140" i="3"/>
  <c r="BB141" i="3" s="1"/>
  <c r="CP87" i="3"/>
  <c r="CP89" i="3"/>
  <c r="E73" i="7"/>
  <c r="E74" i="7" s="1"/>
  <c r="E72" i="7"/>
  <c r="D213" i="7"/>
  <c r="D214" i="7" s="1"/>
  <c r="D212" i="7"/>
  <c r="AZ99" i="3"/>
  <c r="V27" i="11"/>
  <c r="D116" i="7"/>
  <c r="D117" i="7"/>
  <c r="D118" i="7" s="1"/>
  <c r="D20" i="7"/>
  <c r="D21" i="7" s="1"/>
  <c r="D19" i="7"/>
  <c r="AE9" i="8"/>
  <c r="AG9" i="8" s="1"/>
  <c r="Y9" i="8"/>
  <c r="AA9" i="8" s="1"/>
  <c r="AK9" i="5"/>
  <c r="AM9" i="5" s="1"/>
  <c r="AK94" i="3"/>
  <c r="Z10" i="8"/>
  <c r="AF10" i="8"/>
  <c r="AH10" i="8" s="1"/>
  <c r="I17" i="9"/>
  <c r="H19" i="9"/>
  <c r="X12" i="5"/>
  <c r="BF12" i="5"/>
  <c r="Z10" i="5"/>
  <c r="BB94" i="3"/>
  <c r="AF10" i="5"/>
  <c r="AH10" i="5" s="1"/>
  <c r="V13" i="5"/>
  <c r="BV87" i="3"/>
  <c r="BV89" i="3"/>
  <c r="AA10" i="5"/>
  <c r="BG10" i="5"/>
  <c r="AE9" i="5"/>
  <c r="AG9" i="5" s="1"/>
  <c r="Y9" i="5"/>
  <c r="BH9" i="5" s="1"/>
  <c r="BH7" i="5"/>
  <c r="AB7" i="5"/>
  <c r="AE8" i="5"/>
  <c r="AG8" i="5" s="1"/>
  <c r="Y8" i="5"/>
  <c r="BH8" i="5" s="1"/>
  <c r="Q5" i="4"/>
  <c r="Q8" i="4" s="1"/>
  <c r="V94" i="3"/>
  <c r="G143" i="3"/>
  <c r="O5" i="4" s="1"/>
  <c r="G99" i="3"/>
  <c r="BT90" i="3"/>
  <c r="BT93" i="3"/>
  <c r="BT98" i="3" s="1"/>
  <c r="CB87" i="3"/>
  <c r="CB89" i="3"/>
  <c r="CH43" i="3" l="1"/>
  <c r="BZ43" i="3"/>
  <c r="Q31" i="22"/>
  <c r="Q33" i="22"/>
  <c r="Q34" i="22" s="1"/>
  <c r="AP26" i="27"/>
  <c r="AP27" i="27" s="1"/>
  <c r="AP28" i="27" s="1"/>
  <c r="AX26" i="27"/>
  <c r="AX27" i="27" s="1"/>
  <c r="AX28" i="27" s="1"/>
  <c r="AW27" i="22"/>
  <c r="AW28" i="22" s="1"/>
  <c r="Z26" i="27"/>
  <c r="Z27" i="27" s="1"/>
  <c r="Z28" i="27" s="1"/>
  <c r="AH26" i="27"/>
  <c r="AH27" i="27" s="1"/>
  <c r="AH28" i="27" s="1"/>
  <c r="H36" i="27"/>
  <c r="T36" i="27"/>
  <c r="P33" i="27"/>
  <c r="P34" i="27" s="1"/>
  <c r="P31" i="27"/>
  <c r="Q27" i="27"/>
  <c r="DA26" i="27"/>
  <c r="DA27" i="27" s="1"/>
  <c r="AG30" i="27"/>
  <c r="AG28" i="27"/>
  <c r="AN33" i="27"/>
  <c r="AN34" i="27" s="1"/>
  <c r="AN31" i="27"/>
  <c r="AW30" i="27"/>
  <c r="AW28" i="27"/>
  <c r="AV33" i="27"/>
  <c r="AV34" i="27" s="1"/>
  <c r="AV31" i="27"/>
  <c r="AF33" i="27"/>
  <c r="AF34" i="27" s="1"/>
  <c r="AF31" i="27"/>
  <c r="Y30" i="27"/>
  <c r="Y28" i="27"/>
  <c r="U36" i="27"/>
  <c r="I36" i="27"/>
  <c r="X31" i="27"/>
  <c r="X33" i="27"/>
  <c r="X34" i="27" s="1"/>
  <c r="CZ30" i="27"/>
  <c r="CZ28" i="27"/>
  <c r="R26" i="27"/>
  <c r="R27" i="27" s="1"/>
  <c r="R28" i="27" s="1"/>
  <c r="AO30" i="27"/>
  <c r="AO28" i="27"/>
  <c r="H28" i="27"/>
  <c r="H30" i="27"/>
  <c r="J27" i="27"/>
  <c r="AC28" i="27"/>
  <c r="AC30" i="27"/>
  <c r="AS28" i="27"/>
  <c r="AS30" i="27"/>
  <c r="M28" i="27"/>
  <c r="M30" i="27"/>
  <c r="E30" i="27"/>
  <c r="E28" i="27"/>
  <c r="U30" i="27"/>
  <c r="U28" i="27"/>
  <c r="AK28" i="27"/>
  <c r="AK30" i="27"/>
  <c r="CW27" i="27"/>
  <c r="AB33" i="27"/>
  <c r="AB34" i="27" s="1"/>
  <c r="AR33" i="27"/>
  <c r="AR34" i="27" s="1"/>
  <c r="T33" i="27"/>
  <c r="T34" i="27" s="1"/>
  <c r="L33" i="27"/>
  <c r="L34" i="27" s="1"/>
  <c r="CV32" i="27"/>
  <c r="D33" i="27"/>
  <c r="D34" i="27" s="1"/>
  <c r="AJ33" i="27"/>
  <c r="AJ34" i="27" s="1"/>
  <c r="AF24" i="11"/>
  <c r="AP26" i="22"/>
  <c r="AP27" i="22" s="1"/>
  <c r="AP30" i="22" s="1"/>
  <c r="H56" i="21"/>
  <c r="AA35" i="11"/>
  <c r="H25" i="21"/>
  <c r="H87" i="21"/>
  <c r="R56" i="21"/>
  <c r="T36" i="22"/>
  <c r="R87" i="21"/>
  <c r="Q85" i="21"/>
  <c r="Q115" i="21"/>
  <c r="Q116" i="21" s="1"/>
  <c r="S56" i="21"/>
  <c r="U36" i="22"/>
  <c r="I25" i="21"/>
  <c r="AG35" i="11"/>
  <c r="S87" i="21"/>
  <c r="I56" i="21"/>
  <c r="I87" i="21"/>
  <c r="Z26" i="22"/>
  <c r="Z27" i="22" s="1"/>
  <c r="Z30" i="22" s="1"/>
  <c r="AG30" i="22"/>
  <c r="AG28" i="22"/>
  <c r="CV32" i="22"/>
  <c r="D33" i="22"/>
  <c r="D34" i="22" s="1"/>
  <c r="DA26" i="22"/>
  <c r="DA27" i="22" s="1"/>
  <c r="AJ33" i="22"/>
  <c r="AJ34" i="22" s="1"/>
  <c r="AN31" i="22"/>
  <c r="AN33" i="22"/>
  <c r="AN34" i="22" s="1"/>
  <c r="AC28" i="22"/>
  <c r="AC30" i="22"/>
  <c r="L33" i="22"/>
  <c r="L34" i="22" s="1"/>
  <c r="AK31" i="22"/>
  <c r="G33" i="22"/>
  <c r="G34" i="22" s="1"/>
  <c r="G31" i="22"/>
  <c r="AS28" i="22"/>
  <c r="AS30" i="22"/>
  <c r="U28" i="22"/>
  <c r="U30" i="22"/>
  <c r="P33" i="22"/>
  <c r="P34" i="22" s="1"/>
  <c r="P31" i="22"/>
  <c r="AH26" i="22"/>
  <c r="AH27" i="22" s="1"/>
  <c r="M28" i="22"/>
  <c r="M30" i="22"/>
  <c r="AB33" i="22"/>
  <c r="AB34" i="22" s="1"/>
  <c r="AV33" i="22"/>
  <c r="AV34" i="22" s="1"/>
  <c r="AV31" i="22"/>
  <c r="AF31" i="22"/>
  <c r="AF33" i="22"/>
  <c r="AF34" i="22" s="1"/>
  <c r="H30" i="22"/>
  <c r="H28" i="22"/>
  <c r="Y28" i="22"/>
  <c r="Y30" i="22"/>
  <c r="J27" i="22"/>
  <c r="X33" i="22"/>
  <c r="X34" i="22" s="1"/>
  <c r="X31" i="22"/>
  <c r="CY31" i="22"/>
  <c r="CY33" i="22"/>
  <c r="CY34" i="22" s="1"/>
  <c r="AR33" i="22"/>
  <c r="AR34" i="22" s="1"/>
  <c r="CW27" i="22"/>
  <c r="AO28" i="22"/>
  <c r="AO30" i="22"/>
  <c r="AM33" i="22"/>
  <c r="AM34" i="22" s="1"/>
  <c r="AM31" i="22"/>
  <c r="T33" i="22"/>
  <c r="T34" i="22" s="1"/>
  <c r="E30" i="22"/>
  <c r="E28" i="22"/>
  <c r="AX27" i="22"/>
  <c r="E50" i="21"/>
  <c r="E48" i="21"/>
  <c r="O48" i="21"/>
  <c r="O50" i="21"/>
  <c r="O109" i="21"/>
  <c r="O110" i="21" s="1"/>
  <c r="E109" i="21"/>
  <c r="J108" i="21"/>
  <c r="N114" i="21"/>
  <c r="N53" i="21"/>
  <c r="D22" i="21"/>
  <c r="D23" i="21" s="1"/>
  <c r="D114" i="21"/>
  <c r="D53" i="21"/>
  <c r="D54" i="21" s="1"/>
  <c r="J41" i="11"/>
  <c r="K5" i="11"/>
  <c r="J5" i="11"/>
  <c r="V29" i="11"/>
  <c r="Z30" i="11"/>
  <c r="Z31" i="11"/>
  <c r="W41" i="11" s="1"/>
  <c r="AF27" i="11"/>
  <c r="AL10" i="8"/>
  <c r="AN10" i="8" s="1"/>
  <c r="BB143" i="3"/>
  <c r="AZ143" i="3"/>
  <c r="E167" i="7"/>
  <c r="E168" i="7"/>
  <c r="E170" i="7" s="1"/>
  <c r="D76" i="7"/>
  <c r="D78" i="7" s="1"/>
  <c r="D75" i="7"/>
  <c r="Z11" i="8"/>
  <c r="AF11" i="8"/>
  <c r="AH11" i="8" s="1"/>
  <c r="BF13" i="8"/>
  <c r="X13" i="8"/>
  <c r="AK9" i="8"/>
  <c r="AM9" i="8" s="1"/>
  <c r="AK99" i="3"/>
  <c r="AK143" i="3"/>
  <c r="P7" i="4" s="1"/>
  <c r="D22" i="7"/>
  <c r="D40" i="7"/>
  <c r="AK10" i="5"/>
  <c r="AM10" i="5" s="1"/>
  <c r="AK10" i="8"/>
  <c r="AM10" i="8" s="1"/>
  <c r="CP93" i="3"/>
  <c r="CP98" i="3" s="1"/>
  <c r="CP90" i="3"/>
  <c r="E215" i="7"/>
  <c r="E216" i="7"/>
  <c r="E218" i="7" s="1"/>
  <c r="AI99" i="3"/>
  <c r="AI143" i="3"/>
  <c r="O7" i="4" s="1"/>
  <c r="D168" i="7"/>
  <c r="D170" i="7" s="1"/>
  <c r="D167" i="7"/>
  <c r="AD27" i="11"/>
  <c r="Y27" i="11"/>
  <c r="AK8" i="5"/>
  <c r="AM8" i="5" s="1"/>
  <c r="AK8" i="8"/>
  <c r="AM8" i="8" s="1"/>
  <c r="D215" i="7"/>
  <c r="D216" i="7"/>
  <c r="D218" i="7" s="1"/>
  <c r="AJ10" i="5"/>
  <c r="AJ10" i="8"/>
  <c r="E40" i="7"/>
  <c r="E22" i="7"/>
  <c r="AE12" i="8"/>
  <c r="AG12" i="8" s="1"/>
  <c r="Y12" i="8"/>
  <c r="D119" i="7"/>
  <c r="D120" i="7"/>
  <c r="D122" i="7" s="1"/>
  <c r="AE24" i="11"/>
  <c r="K30" i="11"/>
  <c r="P30" i="11"/>
  <c r="E119" i="7"/>
  <c r="E120" i="7"/>
  <c r="E122" i="7" s="1"/>
  <c r="E43" i="7" s="1"/>
  <c r="E76" i="7"/>
  <c r="E78" i="7" s="1"/>
  <c r="E41" i="7" s="1"/>
  <c r="E75" i="7"/>
  <c r="AI22" i="8"/>
  <c r="AK22" i="8" s="1"/>
  <c r="AM22" i="8" s="1"/>
  <c r="AI22" i="5"/>
  <c r="AK22" i="5" s="1"/>
  <c r="AM22" i="5" s="1"/>
  <c r="BH10" i="8"/>
  <c r="BH14" i="8" s="1"/>
  <c r="AB10" i="8"/>
  <c r="I19" i="9"/>
  <c r="E14" i="6"/>
  <c r="E14" i="9"/>
  <c r="X13" i="5"/>
  <c r="BF13" i="5"/>
  <c r="BF14" i="5" s="1"/>
  <c r="BV93" i="3"/>
  <c r="BV98" i="3" s="1"/>
  <c r="BV90" i="3"/>
  <c r="AL10" i="5"/>
  <c r="AN10" i="5" s="1"/>
  <c r="BB99" i="3"/>
  <c r="AB10" i="5"/>
  <c r="BH10" i="5"/>
  <c r="Z11" i="5"/>
  <c r="AF11" i="5"/>
  <c r="AH11" i="5" s="1"/>
  <c r="BG9" i="5"/>
  <c r="AA9" i="5"/>
  <c r="AE12" i="5"/>
  <c r="AG12" i="5" s="1"/>
  <c r="Y12" i="5"/>
  <c r="AA8" i="5"/>
  <c r="BG8" i="5"/>
  <c r="V143" i="3"/>
  <c r="P6" i="4" s="1"/>
  <c r="V99" i="3"/>
  <c r="CB93" i="3"/>
  <c r="CB98" i="3" s="1"/>
  <c r="CB90" i="3"/>
  <c r="BT94" i="3"/>
  <c r="AP30" i="27" l="1"/>
  <c r="AP31" i="27" s="1"/>
  <c r="AX30" i="27"/>
  <c r="AX31" i="27" s="1"/>
  <c r="AH30" i="27"/>
  <c r="AH31" i="27" s="1"/>
  <c r="Z30" i="27"/>
  <c r="Z31" i="27" s="1"/>
  <c r="R30" i="27"/>
  <c r="R31" i="27" s="1"/>
  <c r="AW30" i="22"/>
  <c r="AW31" i="22" s="1"/>
  <c r="DA30" i="27"/>
  <c r="DA28" i="27"/>
  <c r="Q28" i="27"/>
  <c r="Q30" i="27"/>
  <c r="DB26" i="27"/>
  <c r="T38" i="27"/>
  <c r="H38" i="27"/>
  <c r="H39" i="27" s="1"/>
  <c r="H33" i="27"/>
  <c r="H34" i="27" s="1"/>
  <c r="H31" i="27"/>
  <c r="CZ31" i="27"/>
  <c r="CZ33" i="27"/>
  <c r="CZ34" i="27" s="1"/>
  <c r="Z36" i="27"/>
  <c r="Y31" i="27"/>
  <c r="Y33" i="27"/>
  <c r="Y34" i="27" s="1"/>
  <c r="AO33" i="27"/>
  <c r="AO34" i="27" s="1"/>
  <c r="AO31" i="27"/>
  <c r="AW31" i="27"/>
  <c r="AW33" i="27"/>
  <c r="AW34" i="27" s="1"/>
  <c r="I38" i="27"/>
  <c r="I39" i="27" s="1"/>
  <c r="U38" i="27"/>
  <c r="U39" i="27" s="1"/>
  <c r="DC26" i="27"/>
  <c r="DC27" i="27" s="1"/>
  <c r="DC28" i="27" s="1"/>
  <c r="AG31" i="27"/>
  <c r="AG33" i="27"/>
  <c r="AG34" i="27" s="1"/>
  <c r="J28" i="27"/>
  <c r="J30" i="27"/>
  <c r="J31" i="27" s="1"/>
  <c r="AC31" i="27"/>
  <c r="U31" i="27"/>
  <c r="M31" i="27"/>
  <c r="AS31" i="27"/>
  <c r="AK31" i="27"/>
  <c r="CW30" i="27"/>
  <c r="CW28" i="27"/>
  <c r="E31" i="27"/>
  <c r="CV33" i="27"/>
  <c r="CV34" i="27" s="1"/>
  <c r="AP28" i="22"/>
  <c r="Z36" i="22"/>
  <c r="H125" i="21"/>
  <c r="Z28" i="22"/>
  <c r="I125" i="21"/>
  <c r="I58" i="21"/>
  <c r="AG36" i="11"/>
  <c r="S89" i="21"/>
  <c r="U38" i="22"/>
  <c r="U39" i="22" s="1"/>
  <c r="I89" i="21"/>
  <c r="I39" i="22"/>
  <c r="S58" i="21"/>
  <c r="I27" i="21"/>
  <c r="I28" i="21" s="1"/>
  <c r="AG37" i="11"/>
  <c r="S125" i="21"/>
  <c r="R125" i="21"/>
  <c r="R58" i="21"/>
  <c r="H58" i="21"/>
  <c r="AA36" i="11"/>
  <c r="H27" i="21"/>
  <c r="H28" i="21" s="1"/>
  <c r="H39" i="22"/>
  <c r="H89" i="21"/>
  <c r="T38" i="22"/>
  <c r="R89" i="21"/>
  <c r="AA37" i="11"/>
  <c r="AC37" i="11"/>
  <c r="DB26" i="22"/>
  <c r="CW28" i="22"/>
  <c r="CW30" i="22"/>
  <c r="AX28" i="22"/>
  <c r="AX30" i="22"/>
  <c r="U31" i="22"/>
  <c r="AC31" i="22"/>
  <c r="J30" i="22"/>
  <c r="J28" i="22"/>
  <c r="M31" i="22"/>
  <c r="Z31" i="22"/>
  <c r="CV33" i="22"/>
  <c r="CV34" i="22" s="1"/>
  <c r="AO33" i="22"/>
  <c r="AO34" i="22" s="1"/>
  <c r="AO31" i="22"/>
  <c r="Y31" i="22"/>
  <c r="Y33" i="22"/>
  <c r="Y34" i="22" s="1"/>
  <c r="E31" i="22"/>
  <c r="AP31" i="22"/>
  <c r="AS31" i="22"/>
  <c r="H33" i="22"/>
  <c r="H34" i="22" s="1"/>
  <c r="H31" i="22"/>
  <c r="AH28" i="22"/>
  <c r="AH30" i="22"/>
  <c r="DA30" i="22"/>
  <c r="DA28" i="22"/>
  <c r="AG31" i="22"/>
  <c r="AG33" i="22"/>
  <c r="AG34" i="22" s="1"/>
  <c r="N54" i="21"/>
  <c r="N115" i="21"/>
  <c r="N116" i="21" s="1"/>
  <c r="O51" i="21"/>
  <c r="O112" i="21"/>
  <c r="O113" i="21" s="1"/>
  <c r="E110" i="21"/>
  <c r="E112" i="21"/>
  <c r="D115" i="21"/>
  <c r="D116" i="21" s="1"/>
  <c r="E51" i="21"/>
  <c r="E17" i="12"/>
  <c r="F17" i="12" s="1"/>
  <c r="G17" i="12"/>
  <c r="H17" i="12" s="1"/>
  <c r="V31" i="11"/>
  <c r="S41" i="11" s="1"/>
  <c r="AF30" i="11"/>
  <c r="AF31" i="11"/>
  <c r="AC41" i="11" s="1"/>
  <c r="V30" i="11"/>
  <c r="O40" i="7"/>
  <c r="E44" i="7"/>
  <c r="E42" i="7"/>
  <c r="D171" i="7"/>
  <c r="D45" i="7"/>
  <c r="D41" i="7"/>
  <c r="D79" i="7"/>
  <c r="BT137" i="3"/>
  <c r="BG12" i="8"/>
  <c r="AA12" i="8"/>
  <c r="AJ22" i="8"/>
  <c r="AL22" i="8" s="1"/>
  <c r="AN22" i="8" s="1"/>
  <c r="AJ22" i="5"/>
  <c r="AL22" i="5" s="1"/>
  <c r="AN22" i="5" s="1"/>
  <c r="AE27" i="11"/>
  <c r="AE13" i="8"/>
  <c r="AG13" i="8" s="1"/>
  <c r="Y13" i="8"/>
  <c r="AI11" i="5"/>
  <c r="AB28" i="11"/>
  <c r="AI11" i="8"/>
  <c r="E47" i="7"/>
  <c r="E48" i="7" s="1"/>
  <c r="E219" i="7"/>
  <c r="CP94" i="3"/>
  <c r="D47" i="7"/>
  <c r="D219" i="7"/>
  <c r="AB11" i="8"/>
  <c r="BH11" i="8"/>
  <c r="E171" i="7"/>
  <c r="E45" i="7"/>
  <c r="E46" i="7" s="1"/>
  <c r="Z12" i="8"/>
  <c r="AF12" i="8"/>
  <c r="AH12" i="8" s="1"/>
  <c r="G14" i="6"/>
  <c r="C17" i="12"/>
  <c r="D43" i="7"/>
  <c r="D123" i="7"/>
  <c r="G14" i="9"/>
  <c r="K14" i="9"/>
  <c r="L14" i="9"/>
  <c r="P14" i="9"/>
  <c r="Y14" i="9" s="1"/>
  <c r="Q14" i="9"/>
  <c r="H14" i="6"/>
  <c r="J14" i="6" s="1"/>
  <c r="M14" i="6"/>
  <c r="O14" i="6" s="1"/>
  <c r="AB11" i="5"/>
  <c r="BH11" i="5"/>
  <c r="P8" i="4"/>
  <c r="BV94" i="3"/>
  <c r="AF12" i="5"/>
  <c r="AH12" i="5" s="1"/>
  <c r="Z12" i="5"/>
  <c r="Y13" i="5"/>
  <c r="AE13" i="5"/>
  <c r="AG13" i="5" s="1"/>
  <c r="BG12" i="5"/>
  <c r="AA12" i="5"/>
  <c r="CB94" i="3"/>
  <c r="AW33" i="22" l="1"/>
  <c r="AW34" i="22" s="1"/>
  <c r="DC30" i="27"/>
  <c r="DC31" i="27" s="1"/>
  <c r="T39" i="27"/>
  <c r="Z38" i="27"/>
  <c r="Z39" i="27" s="1"/>
  <c r="Q31" i="27"/>
  <c r="Q33" i="27"/>
  <c r="Q34" i="27" s="1"/>
  <c r="DA33" i="27"/>
  <c r="DA34" i="27" s="1"/>
  <c r="DA31" i="27"/>
  <c r="CW31" i="27"/>
  <c r="I127" i="21"/>
  <c r="I128" i="21" s="1"/>
  <c r="I90" i="21"/>
  <c r="S127" i="21"/>
  <c r="S128" i="21" s="1"/>
  <c r="S90" i="21"/>
  <c r="H127" i="21"/>
  <c r="H128" i="21" s="1"/>
  <c r="H90" i="21"/>
  <c r="R127" i="21"/>
  <c r="R128" i="21" s="1"/>
  <c r="R90" i="21"/>
  <c r="R59" i="21"/>
  <c r="H59" i="21"/>
  <c r="T39" i="22"/>
  <c r="Z38" i="22"/>
  <c r="Z39" i="22" s="1"/>
  <c r="S59" i="21"/>
  <c r="I59" i="21"/>
  <c r="AX31" i="22"/>
  <c r="DA33" i="22"/>
  <c r="DA34" i="22" s="1"/>
  <c r="DA31" i="22"/>
  <c r="J31" i="22"/>
  <c r="CW31" i="22"/>
  <c r="AH31" i="22"/>
  <c r="E113" i="21"/>
  <c r="Q28" i="11"/>
  <c r="AJ11" i="5"/>
  <c r="AJ11" i="8"/>
  <c r="D42" i="7"/>
  <c r="O42" i="7" s="1"/>
  <c r="O41" i="7"/>
  <c r="BH12" i="8"/>
  <c r="AB12" i="8"/>
  <c r="BG13" i="8"/>
  <c r="AA13" i="8"/>
  <c r="D46" i="7"/>
  <c r="O46" i="7" s="1"/>
  <c r="O45" i="7"/>
  <c r="D44" i="7"/>
  <c r="O44" i="7" s="1"/>
  <c r="O43" i="7"/>
  <c r="D48" i="7"/>
  <c r="O48" i="7" s="1"/>
  <c r="O47" i="7"/>
  <c r="BT140" i="3"/>
  <c r="BT141" i="3" s="1"/>
  <c r="BV137" i="3"/>
  <c r="P14" i="6"/>
  <c r="S14" i="6" s="1"/>
  <c r="Q14" i="6"/>
  <c r="N14" i="6"/>
  <c r="M15" i="6"/>
  <c r="K14" i="6"/>
  <c r="L14" i="6"/>
  <c r="I14" i="6"/>
  <c r="BH12" i="5"/>
  <c r="AB12" i="5"/>
  <c r="AA13" i="5"/>
  <c r="BG13" i="5"/>
  <c r="BZ137" i="3" l="1"/>
  <c r="BX137" i="3"/>
  <c r="BX141" i="3" s="1"/>
  <c r="U32" i="27"/>
  <c r="AC32" i="27"/>
  <c r="AK32" i="27"/>
  <c r="AS32" i="27"/>
  <c r="AK32" i="22"/>
  <c r="AS32" i="22"/>
  <c r="AX32" i="22" s="1"/>
  <c r="R32" i="22"/>
  <c r="U32" i="22"/>
  <c r="AC32" i="22"/>
  <c r="O52" i="21"/>
  <c r="E52" i="21"/>
  <c r="E21" i="21"/>
  <c r="BZ141" i="3"/>
  <c r="AL11" i="8"/>
  <c r="AN11" i="8" s="1"/>
  <c r="AL11" i="5"/>
  <c r="AN11" i="5" s="1"/>
  <c r="CB137" i="3"/>
  <c r="BV140" i="3"/>
  <c r="BV141" i="3" s="1"/>
  <c r="AI12" i="5"/>
  <c r="Y28" i="11"/>
  <c r="Y29" i="11" s="1"/>
  <c r="AI12" i="8"/>
  <c r="AD31" i="11"/>
  <c r="M17" i="6"/>
  <c r="N15" i="6"/>
  <c r="CW32" i="27" l="1"/>
  <c r="J32" i="27"/>
  <c r="E33" i="27"/>
  <c r="E34" i="27" s="1"/>
  <c r="AX32" i="27"/>
  <c r="AX33" i="27" s="1"/>
  <c r="AX34" i="27" s="1"/>
  <c r="AS33" i="27"/>
  <c r="AS34" i="27" s="1"/>
  <c r="R32" i="27"/>
  <c r="R33" i="27" s="1"/>
  <c r="R34" i="27" s="1"/>
  <c r="M33" i="27"/>
  <c r="M34" i="27" s="1"/>
  <c r="AP32" i="27"/>
  <c r="AP33" i="27" s="1"/>
  <c r="AP34" i="27" s="1"/>
  <c r="AK33" i="27"/>
  <c r="AK34" i="27" s="1"/>
  <c r="AH32" i="27"/>
  <c r="AH33" i="27" s="1"/>
  <c r="AH34" i="27" s="1"/>
  <c r="AC33" i="27"/>
  <c r="AC34" i="27" s="1"/>
  <c r="Z32" i="27"/>
  <c r="Z33" i="27" s="1"/>
  <c r="Z34" i="27" s="1"/>
  <c r="U33" i="27"/>
  <c r="U34" i="27" s="1"/>
  <c r="CW32" i="22"/>
  <c r="J32" i="22"/>
  <c r="E33" i="22"/>
  <c r="E34" i="22" s="1"/>
  <c r="Z32" i="22"/>
  <c r="Z33" i="22" s="1"/>
  <c r="Z34" i="22" s="1"/>
  <c r="U33" i="22"/>
  <c r="U34" i="22" s="1"/>
  <c r="M33" i="22"/>
  <c r="M34" i="22" s="1"/>
  <c r="AX33" i="22"/>
  <c r="AX34" i="22" s="1"/>
  <c r="AS33" i="22"/>
  <c r="AS34" i="22" s="1"/>
  <c r="AH32" i="22"/>
  <c r="AH33" i="22" s="1"/>
  <c r="AH34" i="22" s="1"/>
  <c r="AC33" i="22"/>
  <c r="AC34" i="22" s="1"/>
  <c r="AP32" i="22"/>
  <c r="AP33" i="22" s="1"/>
  <c r="AP34" i="22" s="1"/>
  <c r="AK33" i="22"/>
  <c r="AK34" i="22" s="1"/>
  <c r="J21" i="21"/>
  <c r="O114" i="21"/>
  <c r="T114" i="21" s="1"/>
  <c r="T52" i="21"/>
  <c r="O53" i="21"/>
  <c r="E114" i="21"/>
  <c r="J52" i="21"/>
  <c r="E53" i="21"/>
  <c r="E54" i="21" s="1"/>
  <c r="Y31" i="11"/>
  <c r="V41" i="11" s="1"/>
  <c r="AD30" i="11"/>
  <c r="CD137" i="3"/>
  <c r="CB140" i="3"/>
  <c r="CB141" i="3" s="1"/>
  <c r="AK12" i="5"/>
  <c r="AM12" i="5" s="1"/>
  <c r="AK12" i="8"/>
  <c r="AM12" i="8" s="1"/>
  <c r="BT99" i="3"/>
  <c r="BT143" i="3"/>
  <c r="AJ12" i="5"/>
  <c r="AJ12" i="8"/>
  <c r="M19" i="6"/>
  <c r="N17" i="6"/>
  <c r="CH137" i="3" l="1"/>
  <c r="CF137" i="3"/>
  <c r="DC32" i="27"/>
  <c r="DC33" i="27" s="1"/>
  <c r="DC34" i="27" s="1"/>
  <c r="J33" i="27"/>
  <c r="J34" i="27" s="1"/>
  <c r="DB32" i="27"/>
  <c r="CW33" i="27"/>
  <c r="CW34" i="27" s="1"/>
  <c r="J33" i="22"/>
  <c r="J34" i="22" s="1"/>
  <c r="DB32" i="22"/>
  <c r="CW33" i="22"/>
  <c r="J114" i="21"/>
  <c r="E115" i="21"/>
  <c r="E116" i="21" s="1"/>
  <c r="O54" i="21"/>
  <c r="O115" i="21"/>
  <c r="O116" i="21" s="1"/>
  <c r="CH141" i="3"/>
  <c r="BV143" i="3"/>
  <c r="AI13" i="5"/>
  <c r="AE28" i="11"/>
  <c r="AE29" i="11" s="1"/>
  <c r="AI13" i="8"/>
  <c r="AL12" i="8"/>
  <c r="AN12" i="8" s="1"/>
  <c r="BV99" i="3"/>
  <c r="AL12" i="5"/>
  <c r="AN12" i="5" s="1"/>
  <c r="Y30" i="11"/>
  <c r="CP137" i="3"/>
  <c r="CD140" i="3"/>
  <c r="CD141" i="3" s="1"/>
  <c r="N19" i="6"/>
  <c r="R7" i="1"/>
  <c r="P7" i="1"/>
  <c r="N7" i="1"/>
  <c r="L7" i="1"/>
  <c r="J7" i="1"/>
  <c r="H7" i="1"/>
  <c r="F7" i="1"/>
  <c r="F2" i="1"/>
  <c r="CF141" i="3" l="1"/>
  <c r="CW34" i="22"/>
  <c r="AK13" i="5"/>
  <c r="AM13" i="5" s="1"/>
  <c r="AK13" i="8"/>
  <c r="AM13" i="8" s="1"/>
  <c r="CB99" i="3"/>
  <c r="CB143" i="3"/>
  <c r="AJ13" i="5"/>
  <c r="AJ13" i="8"/>
  <c r="CP140" i="3"/>
  <c r="CJ137" i="3"/>
  <c r="CP99" i="3"/>
  <c r="AE31" i="11"/>
  <c r="AB41" i="11" s="1"/>
  <c r="G66" i="1"/>
  <c r="CJ141" i="3" l="1"/>
  <c r="CL137" i="3"/>
  <c r="CN137" i="3" s="1"/>
  <c r="C23" i="12"/>
  <c r="AE30" i="11"/>
  <c r="I69" i="1"/>
  <c r="K69" i="1" l="1"/>
  <c r="I66" i="1"/>
  <c r="G23" i="12"/>
  <c r="H23" i="12" s="1"/>
  <c r="E23" i="12"/>
  <c r="F23" i="12" s="1"/>
  <c r="CL143" i="3"/>
  <c r="CL141" i="3"/>
  <c r="S120" i="1"/>
  <c r="S86" i="1" s="1"/>
  <c r="S112" i="1"/>
  <c r="S111" i="1"/>
  <c r="S110" i="1"/>
  <c r="S109" i="1"/>
  <c r="S96" i="1"/>
  <c r="S94" i="1"/>
  <c r="S95" i="1" s="1"/>
  <c r="S55" i="1"/>
  <c r="S57" i="1" s="1"/>
  <c r="S47" i="1"/>
  <c r="S41" i="1" s="1"/>
  <c r="S43" i="1"/>
  <c r="S31" i="1"/>
  <c r="S30" i="1" s="1"/>
  <c r="R30" i="1"/>
  <c r="R29" i="1"/>
  <c r="R28" i="1" s="1"/>
  <c r="S25" i="1"/>
  <c r="R24" i="1"/>
  <c r="R18" i="1"/>
  <c r="S14" i="1"/>
  <c r="R2" i="1"/>
  <c r="R9" i="1" s="1"/>
  <c r="Q120" i="1"/>
  <c r="Q86" i="1" s="1"/>
  <c r="Q112" i="1"/>
  <c r="Q111" i="1"/>
  <c r="Q110" i="1"/>
  <c r="Q109" i="1"/>
  <c r="Q96" i="1"/>
  <c r="Q94" i="1"/>
  <c r="Q95" i="1" s="1"/>
  <c r="Q55" i="1"/>
  <c r="Q57" i="1" s="1"/>
  <c r="Q47" i="1"/>
  <c r="Q41" i="1" s="1"/>
  <c r="Q43" i="1"/>
  <c r="Q31" i="1"/>
  <c r="Q30" i="1" s="1"/>
  <c r="P30" i="1"/>
  <c r="P29" i="1"/>
  <c r="P28" i="1" s="1"/>
  <c r="Q25" i="1"/>
  <c r="P24" i="1"/>
  <c r="P18" i="1"/>
  <c r="Q14" i="1"/>
  <c r="P2" i="1"/>
  <c r="P9" i="1" s="1"/>
  <c r="P15" i="1" s="1"/>
  <c r="P19" i="1" s="1"/>
  <c r="P23" i="1" s="1"/>
  <c r="P22" i="1" s="1"/>
  <c r="O120" i="1"/>
  <c r="O86" i="1" s="1"/>
  <c r="O112" i="1"/>
  <c r="O111" i="1"/>
  <c r="O110" i="1"/>
  <c r="O109" i="1"/>
  <c r="O96" i="1"/>
  <c r="O94" i="1"/>
  <c r="O95" i="1" s="1"/>
  <c r="O55" i="1"/>
  <c r="O57" i="1" s="1"/>
  <c r="O47" i="1"/>
  <c r="O43" i="1"/>
  <c r="O31" i="1"/>
  <c r="O30" i="1" s="1"/>
  <c r="N30" i="1"/>
  <c r="N29" i="1"/>
  <c r="N28" i="1" s="1"/>
  <c r="O25" i="1"/>
  <c r="N24" i="1"/>
  <c r="N18" i="1"/>
  <c r="O14" i="1"/>
  <c r="O18" i="1" s="1"/>
  <c r="N2" i="1"/>
  <c r="N9" i="1" s="1"/>
  <c r="O9" i="1" s="1"/>
  <c r="J2" i="1"/>
  <c r="J9" i="1" s="1"/>
  <c r="H2" i="1"/>
  <c r="H9" i="1" s="1"/>
  <c r="F9" i="1"/>
  <c r="G9" i="1" s="1"/>
  <c r="G67" i="1" s="1"/>
  <c r="L2" i="1"/>
  <c r="L9" i="1" s="1"/>
  <c r="M120" i="1"/>
  <c r="M124" i="1" s="1"/>
  <c r="M112" i="1"/>
  <c r="M111" i="1"/>
  <c r="M110" i="1"/>
  <c r="M109" i="1"/>
  <c r="M96" i="1"/>
  <c r="M94" i="1"/>
  <c r="M95" i="1" s="1"/>
  <c r="M55" i="1"/>
  <c r="M57" i="1" s="1"/>
  <c r="M47" i="1"/>
  <c r="M43" i="1"/>
  <c r="M31" i="1"/>
  <c r="L30" i="1"/>
  <c r="L29" i="1"/>
  <c r="L28" i="1" s="1"/>
  <c r="M25" i="1"/>
  <c r="L24" i="1"/>
  <c r="L18" i="1"/>
  <c r="M14" i="1"/>
  <c r="K31" i="1"/>
  <c r="K25" i="1"/>
  <c r="K14" i="1"/>
  <c r="I31" i="1"/>
  <c r="I25" i="1"/>
  <c r="I14" i="1"/>
  <c r="G31" i="1"/>
  <c r="G25" i="1"/>
  <c r="G14" i="1"/>
  <c r="G18" i="1" s="1"/>
  <c r="Y120" i="2"/>
  <c r="AA120" i="2" s="1"/>
  <c r="AC120" i="2" s="1"/>
  <c r="Q120" i="2"/>
  <c r="S120" i="2" s="1"/>
  <c r="U120" i="2" s="1"/>
  <c r="I120" i="2"/>
  <c r="K120" i="2" s="1"/>
  <c r="M120" i="2" s="1"/>
  <c r="Y119" i="2"/>
  <c r="AA119" i="2" s="1"/>
  <c r="Q119" i="2"/>
  <c r="S119" i="2" s="1"/>
  <c r="U119" i="2" s="1"/>
  <c r="I119" i="2"/>
  <c r="K119" i="2" s="1"/>
  <c r="M119" i="2" s="1"/>
  <c r="W118" i="2"/>
  <c r="W84" i="2" s="1"/>
  <c r="O118" i="2"/>
  <c r="O122" i="2" s="1"/>
  <c r="G118" i="2"/>
  <c r="G122" i="2" s="1"/>
  <c r="W115" i="2"/>
  <c r="W116" i="2" s="1"/>
  <c r="O115" i="2"/>
  <c r="O116" i="2" s="1"/>
  <c r="G115" i="2"/>
  <c r="G116" i="2" s="1"/>
  <c r="Y114" i="2"/>
  <c r="AA114" i="2" s="1"/>
  <c r="Q114" i="2"/>
  <c r="I114" i="2"/>
  <c r="I115" i="2" s="1"/>
  <c r="Y113" i="2"/>
  <c r="AA113" i="2" s="1"/>
  <c r="AC113" i="2" s="1"/>
  <c r="Q113" i="2"/>
  <c r="S113" i="2" s="1"/>
  <c r="U113" i="2" s="1"/>
  <c r="I113" i="2"/>
  <c r="K113" i="2" s="1"/>
  <c r="M113" i="2" s="1"/>
  <c r="W111" i="2"/>
  <c r="O111" i="2"/>
  <c r="G111" i="2"/>
  <c r="W110" i="2"/>
  <c r="O110" i="2"/>
  <c r="G110" i="2"/>
  <c r="W109" i="2"/>
  <c r="O109" i="2"/>
  <c r="G109" i="2"/>
  <c r="W108" i="2"/>
  <c r="O108" i="2"/>
  <c r="G108" i="2"/>
  <c r="W107" i="2"/>
  <c r="O107" i="2"/>
  <c r="G107" i="2"/>
  <c r="W94" i="2"/>
  <c r="O94" i="2"/>
  <c r="G94" i="2"/>
  <c r="W92" i="2"/>
  <c r="W93" i="2" s="1"/>
  <c r="O92" i="2"/>
  <c r="O93" i="2" s="1"/>
  <c r="G92" i="2"/>
  <c r="G93" i="2" s="1"/>
  <c r="Y68" i="2"/>
  <c r="AA68" i="2" s="1"/>
  <c r="Q68" i="2"/>
  <c r="I68" i="2"/>
  <c r="K68" i="2" s="1"/>
  <c r="Y66" i="2"/>
  <c r="AA66" i="2" s="1"/>
  <c r="O66" i="2"/>
  <c r="Q66" i="2" s="1"/>
  <c r="S66" i="2" s="1"/>
  <c r="U66" i="2" s="1"/>
  <c r="G66" i="2"/>
  <c r="E65" i="2"/>
  <c r="E70" i="2" s="1"/>
  <c r="E64" i="2"/>
  <c r="E69" i="2" s="1"/>
  <c r="E72" i="2" s="1"/>
  <c r="E75" i="2" s="1"/>
  <c r="E78" i="2" s="1"/>
  <c r="Y56" i="2"/>
  <c r="Y109" i="2" s="1"/>
  <c r="Q56" i="2"/>
  <c r="Q108" i="2" s="1"/>
  <c r="I56" i="2"/>
  <c r="I107" i="2" s="1"/>
  <c r="W55" i="2"/>
  <c r="W57" i="2" s="1"/>
  <c r="O55" i="2"/>
  <c r="O57" i="2" s="1"/>
  <c r="G55" i="2"/>
  <c r="G57" i="2" s="1"/>
  <c r="E55" i="2"/>
  <c r="C55" i="2"/>
  <c r="Y54" i="2"/>
  <c r="AA54" i="2" s="1"/>
  <c r="Q54" i="2"/>
  <c r="I54" i="2"/>
  <c r="I118" i="2" s="1"/>
  <c r="Y48" i="2"/>
  <c r="Y47" i="2" s="1"/>
  <c r="Q48" i="2"/>
  <c r="Q47" i="2" s="1"/>
  <c r="I48" i="2"/>
  <c r="I47" i="2" s="1"/>
  <c r="E48" i="2"/>
  <c r="E49" i="2" s="1"/>
  <c r="AC47" i="2"/>
  <c r="AA47" i="2"/>
  <c r="W47" i="2"/>
  <c r="W41" i="2" s="1"/>
  <c r="U47" i="2"/>
  <c r="S47" i="2"/>
  <c r="O47" i="2"/>
  <c r="O41" i="2" s="1"/>
  <c r="M47" i="2"/>
  <c r="K47" i="2"/>
  <c r="G47" i="2"/>
  <c r="W43" i="2"/>
  <c r="O43" i="2"/>
  <c r="G43" i="2"/>
  <c r="Y42" i="2"/>
  <c r="AA42" i="2" s="1"/>
  <c r="Q42" i="2"/>
  <c r="I42" i="2"/>
  <c r="K42" i="2" s="1"/>
  <c r="AB30" i="2"/>
  <c r="Z30" i="2"/>
  <c r="X30" i="2"/>
  <c r="V30" i="2"/>
  <c r="T30" i="2"/>
  <c r="R30" i="2"/>
  <c r="P30" i="2"/>
  <c r="N30" i="2"/>
  <c r="L30" i="2"/>
  <c r="J30" i="2"/>
  <c r="H30" i="2"/>
  <c r="F30" i="2"/>
  <c r="V29" i="2"/>
  <c r="V28" i="2" s="1"/>
  <c r="N29" i="2"/>
  <c r="N28" i="2" s="1"/>
  <c r="F29" i="2"/>
  <c r="F28" i="2" s="1"/>
  <c r="X25" i="2"/>
  <c r="X29" i="2" s="1"/>
  <c r="X28" i="2" s="1"/>
  <c r="P25" i="2"/>
  <c r="H25" i="2"/>
  <c r="H24" i="2" s="1"/>
  <c r="V24" i="2"/>
  <c r="N24" i="2"/>
  <c r="F24" i="2"/>
  <c r="X18" i="2"/>
  <c r="V18" i="2"/>
  <c r="P18" i="2"/>
  <c r="N18" i="2"/>
  <c r="H18" i="2"/>
  <c r="F18" i="2"/>
  <c r="X15" i="2"/>
  <c r="X19" i="2" s="1"/>
  <c r="V15" i="2"/>
  <c r="V19" i="2" s="1"/>
  <c r="V23" i="2" s="1"/>
  <c r="V22" i="2" s="1"/>
  <c r="P15" i="2"/>
  <c r="P19" i="2" s="1"/>
  <c r="N15" i="2"/>
  <c r="N19" i="2" s="1"/>
  <c r="N23" i="2" s="1"/>
  <c r="N22" i="2" s="1"/>
  <c r="H15" i="2"/>
  <c r="H19" i="2" s="1"/>
  <c r="F15" i="2"/>
  <c r="F19" i="2" s="1"/>
  <c r="F23" i="2" s="1"/>
  <c r="F22" i="2" s="1"/>
  <c r="Z14" i="2"/>
  <c r="AB14" i="2" s="1"/>
  <c r="R14" i="2"/>
  <c r="R18" i="2" s="1"/>
  <c r="J14" i="2"/>
  <c r="L14" i="2" s="1"/>
  <c r="X11" i="2"/>
  <c r="Z11" i="2" s="1"/>
  <c r="AB11" i="2" s="1"/>
  <c r="P11" i="2"/>
  <c r="R11" i="2" s="1"/>
  <c r="T11" i="2" s="1"/>
  <c r="H11" i="2"/>
  <c r="U31" i="2" s="1"/>
  <c r="U30" i="2" s="1"/>
  <c r="X10" i="2"/>
  <c r="Z10" i="2" s="1"/>
  <c r="AB10" i="2" s="1"/>
  <c r="P10" i="2"/>
  <c r="R10" i="2" s="1"/>
  <c r="T10" i="2" s="1"/>
  <c r="H10" i="2"/>
  <c r="J10" i="2" s="1"/>
  <c r="L10" i="2" s="1"/>
  <c r="AC9" i="2"/>
  <c r="AA9" i="2"/>
  <c r="Y9" i="2"/>
  <c r="W9" i="2"/>
  <c r="W64" i="2" s="1"/>
  <c r="U9" i="2"/>
  <c r="S9" i="2"/>
  <c r="Q9" i="2"/>
  <c r="O9" i="2"/>
  <c r="M9" i="2"/>
  <c r="K9" i="2"/>
  <c r="I9" i="2"/>
  <c r="G9" i="2"/>
  <c r="AB6" i="2"/>
  <c r="Z6" i="2"/>
  <c r="X6" i="2"/>
  <c r="T6" i="2"/>
  <c r="R6" i="2"/>
  <c r="P6" i="2"/>
  <c r="L6" i="2"/>
  <c r="J6" i="2"/>
  <c r="H6" i="2"/>
  <c r="K120" i="1"/>
  <c r="K124" i="1" s="1"/>
  <c r="I120" i="1"/>
  <c r="I124" i="1" s="1"/>
  <c r="G120" i="1"/>
  <c r="G124" i="1" s="1"/>
  <c r="K113" i="1"/>
  <c r="I113" i="1"/>
  <c r="G113" i="1"/>
  <c r="K112" i="1"/>
  <c r="I112" i="1"/>
  <c r="G112" i="1"/>
  <c r="K111" i="1"/>
  <c r="I111" i="1"/>
  <c r="G111" i="1"/>
  <c r="K110" i="1"/>
  <c r="I110" i="1"/>
  <c r="G110" i="1"/>
  <c r="K109" i="1"/>
  <c r="I109" i="1"/>
  <c r="G109" i="1"/>
  <c r="K96" i="1"/>
  <c r="I96" i="1"/>
  <c r="G96" i="1"/>
  <c r="K94" i="1"/>
  <c r="K95" i="1" s="1"/>
  <c r="I94" i="1"/>
  <c r="I95" i="1" s="1"/>
  <c r="G94" i="1"/>
  <c r="G95" i="1" s="1"/>
  <c r="E65" i="1"/>
  <c r="E71" i="1" s="1"/>
  <c r="E64" i="1"/>
  <c r="E70" i="1" s="1"/>
  <c r="E73" i="1" s="1"/>
  <c r="E76" i="1" s="1"/>
  <c r="E79" i="1" s="1"/>
  <c r="K55" i="1"/>
  <c r="K57" i="1" s="1"/>
  <c r="I55" i="1"/>
  <c r="I57" i="1" s="1"/>
  <c r="I53" i="1" s="1"/>
  <c r="I50" i="1" s="1"/>
  <c r="G55" i="1"/>
  <c r="G57" i="1" s="1"/>
  <c r="G53" i="1" s="1"/>
  <c r="G50" i="1" s="1"/>
  <c r="E55" i="1"/>
  <c r="C55" i="1"/>
  <c r="E48" i="1"/>
  <c r="E49" i="1" s="1"/>
  <c r="K47" i="1"/>
  <c r="K41" i="1" s="1"/>
  <c r="K45" i="1" s="1"/>
  <c r="I47" i="1"/>
  <c r="G47" i="1"/>
  <c r="G41" i="1" s="1"/>
  <c r="K43" i="1"/>
  <c r="I43" i="1"/>
  <c r="G43" i="1"/>
  <c r="J30" i="1"/>
  <c r="H30" i="1"/>
  <c r="F30" i="1"/>
  <c r="J29" i="1"/>
  <c r="J28" i="1" s="1"/>
  <c r="H29" i="1"/>
  <c r="H28" i="1" s="1"/>
  <c r="F29" i="1"/>
  <c r="F28" i="1" s="1"/>
  <c r="J24" i="1"/>
  <c r="H24" i="1"/>
  <c r="F24" i="1"/>
  <c r="J18" i="1"/>
  <c r="H18" i="1"/>
  <c r="F18" i="1"/>
  <c r="I64" i="2" l="1"/>
  <c r="I65" i="2" s="1"/>
  <c r="X23" i="2"/>
  <c r="X22" i="2" s="1"/>
  <c r="X24" i="2"/>
  <c r="G123" i="2"/>
  <c r="M14" i="2"/>
  <c r="M18" i="2" s="1"/>
  <c r="O44" i="2"/>
  <c r="G44" i="2"/>
  <c r="H23" i="2"/>
  <c r="H22" i="2" s="1"/>
  <c r="O14" i="2"/>
  <c r="O18" i="2" s="1"/>
  <c r="W25" i="2"/>
  <c r="W24" i="2" s="1"/>
  <c r="O123" i="2"/>
  <c r="J11" i="2"/>
  <c r="L11" i="2" s="1"/>
  <c r="S14" i="2"/>
  <c r="S18" i="2" s="1"/>
  <c r="Y14" i="2"/>
  <c r="Y15" i="2" s="1"/>
  <c r="Y19" i="2" s="1"/>
  <c r="R15" i="2"/>
  <c r="R19" i="2" s="1"/>
  <c r="G84" i="2"/>
  <c r="I41" i="2"/>
  <c r="I45" i="2" s="1"/>
  <c r="W44" i="2"/>
  <c r="S56" i="2"/>
  <c r="S110" i="2" s="1"/>
  <c r="Y115" i="2"/>
  <c r="Y116" i="2" s="1"/>
  <c r="Q64" i="2"/>
  <c r="Q65" i="2" s="1"/>
  <c r="K64" i="2"/>
  <c r="K65" i="2" s="1"/>
  <c r="W31" i="2"/>
  <c r="W30" i="2" s="1"/>
  <c r="O58" i="2"/>
  <c r="Y64" i="2"/>
  <c r="Y65" i="2" s="1"/>
  <c r="O84" i="2"/>
  <c r="O105" i="2"/>
  <c r="O104" i="2" s="1"/>
  <c r="O102" i="2" s="1"/>
  <c r="O103" i="2" s="1"/>
  <c r="O62" i="2" s="1"/>
  <c r="K66" i="1"/>
  <c r="M69" i="1"/>
  <c r="CL99" i="3"/>
  <c r="O117" i="1"/>
  <c r="O118" i="1" s="1"/>
  <c r="O58" i="1"/>
  <c r="M44" i="1"/>
  <c r="F15" i="1"/>
  <c r="F19" i="1" s="1"/>
  <c r="F23" i="1" s="1"/>
  <c r="F22" i="1" s="1"/>
  <c r="K114" i="2"/>
  <c r="Y41" i="2"/>
  <c r="Y45" i="2" s="1"/>
  <c r="I111" i="2"/>
  <c r="Z25" i="2"/>
  <c r="AB25" i="2" s="1"/>
  <c r="AC25" i="2" s="1"/>
  <c r="I31" i="2"/>
  <c r="I30" i="2" s="1"/>
  <c r="I122" i="2"/>
  <c r="M29" i="1"/>
  <c r="M28" i="1" s="1"/>
  <c r="W122" i="2"/>
  <c r="W123" i="2" s="1"/>
  <c r="G14" i="2"/>
  <c r="G18" i="2" s="1"/>
  <c r="T14" i="2"/>
  <c r="T18" i="2" s="1"/>
  <c r="M31" i="2"/>
  <c r="M30" i="2" s="1"/>
  <c r="G41" i="2"/>
  <c r="K54" i="2"/>
  <c r="K118" i="2" s="1"/>
  <c r="M86" i="1"/>
  <c r="N15" i="1"/>
  <c r="N19" i="1" s="1"/>
  <c r="N23" i="1" s="1"/>
  <c r="N22" i="1" s="1"/>
  <c r="S44" i="1"/>
  <c r="O64" i="2"/>
  <c r="O69" i="2" s="1"/>
  <c r="I14" i="2"/>
  <c r="W14" i="2"/>
  <c r="W18" i="2" s="1"/>
  <c r="I25" i="2"/>
  <c r="I24" i="2" s="1"/>
  <c r="G64" i="2"/>
  <c r="G65" i="2" s="1"/>
  <c r="O44" i="1"/>
  <c r="I9" i="1"/>
  <c r="H15" i="1"/>
  <c r="H19" i="1" s="1"/>
  <c r="H23" i="1" s="1"/>
  <c r="H22" i="1" s="1"/>
  <c r="K9" i="1"/>
  <c r="J15" i="1"/>
  <c r="J19" i="1" s="1"/>
  <c r="J23" i="1" s="1"/>
  <c r="J22" i="1" s="1"/>
  <c r="M9" i="1"/>
  <c r="M15" i="1" s="1"/>
  <c r="M19" i="1" s="1"/>
  <c r="M23" i="1" s="1"/>
  <c r="M22" i="1" s="1"/>
  <c r="L15" i="1"/>
  <c r="L19" i="1" s="1"/>
  <c r="L23" i="1" s="1"/>
  <c r="L22" i="1" s="1"/>
  <c r="S45" i="1"/>
  <c r="S40" i="1" s="1"/>
  <c r="S29" i="1"/>
  <c r="S28" i="1" s="1"/>
  <c r="S24" i="1"/>
  <c r="R15" i="1"/>
  <c r="R19" i="1" s="1"/>
  <c r="R23" i="1" s="1"/>
  <c r="R22" i="1" s="1"/>
  <c r="S9" i="1"/>
  <c r="S18" i="1"/>
  <c r="S58" i="1"/>
  <c r="S124" i="1"/>
  <c r="S53" i="1"/>
  <c r="S50" i="1" s="1"/>
  <c r="Q44" i="1"/>
  <c r="Q45" i="1"/>
  <c r="Q40" i="1" s="1"/>
  <c r="Q29" i="1"/>
  <c r="Q28" i="1" s="1"/>
  <c r="Q24" i="1"/>
  <c r="Q9" i="1"/>
  <c r="Q18" i="1"/>
  <c r="Q58" i="1"/>
  <c r="Q124" i="1"/>
  <c r="Q53" i="1"/>
  <c r="Q50" i="1" s="1"/>
  <c r="O41" i="1"/>
  <c r="O45" i="1" s="1"/>
  <c r="O29" i="1"/>
  <c r="O28" i="1" s="1"/>
  <c r="O24" i="1"/>
  <c r="O65" i="1"/>
  <c r="G117" i="1"/>
  <c r="G118" i="1" s="1"/>
  <c r="G125" i="1" s="1"/>
  <c r="O53" i="1"/>
  <c r="O50" i="1" s="1"/>
  <c r="O59" i="1"/>
  <c r="O124" i="1"/>
  <c r="O15" i="1"/>
  <c r="O19" i="1" s="1"/>
  <c r="O23" i="1" s="1"/>
  <c r="O22" i="1" s="1"/>
  <c r="M24" i="1"/>
  <c r="M41" i="1"/>
  <c r="M53" i="1"/>
  <c r="M50" i="1" s="1"/>
  <c r="M30" i="1"/>
  <c r="M18" i="1"/>
  <c r="M58" i="1"/>
  <c r="G86" i="1"/>
  <c r="G44" i="1"/>
  <c r="I58" i="1"/>
  <c r="I86" i="1"/>
  <c r="G107" i="1"/>
  <c r="G106" i="1" s="1"/>
  <c r="G104" i="1" s="1"/>
  <c r="G105" i="1" s="1"/>
  <c r="G62" i="1" s="1"/>
  <c r="I107" i="1"/>
  <c r="I106" i="1" s="1"/>
  <c r="I104" i="1" s="1"/>
  <c r="I105" i="1" s="1"/>
  <c r="I62" i="1" s="1"/>
  <c r="K107" i="1"/>
  <c r="K106" i="1" s="1"/>
  <c r="K104" i="1" s="1"/>
  <c r="K105" i="1" s="1"/>
  <c r="K62" i="1" s="1"/>
  <c r="I41" i="1"/>
  <c r="I45" i="1" s="1"/>
  <c r="K40" i="1"/>
  <c r="J40" i="1" s="1"/>
  <c r="J39" i="1" s="1"/>
  <c r="K58" i="1"/>
  <c r="K44" i="1"/>
  <c r="I44" i="1"/>
  <c r="G45" i="1"/>
  <c r="G40" i="1" s="1"/>
  <c r="K53" i="1"/>
  <c r="K50" i="1" s="1"/>
  <c r="K86" i="1"/>
  <c r="G58" i="1"/>
  <c r="AB18" i="2"/>
  <c r="AB15" i="2"/>
  <c r="AB19" i="2" s="1"/>
  <c r="P29" i="2"/>
  <c r="P28" i="2" s="1"/>
  <c r="R25" i="2"/>
  <c r="Q25" i="2"/>
  <c r="AC14" i="2"/>
  <c r="P24" i="2"/>
  <c r="L18" i="2"/>
  <c r="L15" i="2"/>
  <c r="L19" i="2" s="1"/>
  <c r="P23" i="2"/>
  <c r="P22" i="2" s="1"/>
  <c r="AC54" i="2"/>
  <c r="AA118" i="2"/>
  <c r="AA122" i="2" s="1"/>
  <c r="W96" i="2"/>
  <c r="W97" i="2" s="1"/>
  <c r="W99" i="2"/>
  <c r="W100" i="2" s="1"/>
  <c r="W65" i="2"/>
  <c r="AC68" i="2"/>
  <c r="J15" i="2"/>
  <c r="J19" i="2" s="1"/>
  <c r="AA31" i="2"/>
  <c r="S31" i="2"/>
  <c r="K31" i="2"/>
  <c r="O25" i="2"/>
  <c r="K14" i="2"/>
  <c r="Q14" i="2"/>
  <c r="AA14" i="2"/>
  <c r="G25" i="2"/>
  <c r="O31" i="2"/>
  <c r="Y31" i="2"/>
  <c r="AA41" i="2"/>
  <c r="AC42" i="2"/>
  <c r="AC41" i="2" s="1"/>
  <c r="W58" i="2"/>
  <c r="W45" i="2"/>
  <c r="W40" i="2" s="1"/>
  <c r="I110" i="2"/>
  <c r="I108" i="2"/>
  <c r="K56" i="2"/>
  <c r="K111" i="2" s="1"/>
  <c r="I43" i="2"/>
  <c r="Q111" i="2"/>
  <c r="S68" i="2"/>
  <c r="S42" i="2"/>
  <c r="Q41" i="2"/>
  <c r="Q45" i="2" s="1"/>
  <c r="AC119" i="2"/>
  <c r="Z15" i="2"/>
  <c r="Z19" i="2" s="1"/>
  <c r="J18" i="2"/>
  <c r="Z18" i="2"/>
  <c r="Y110" i="2"/>
  <c r="Y108" i="2"/>
  <c r="Y43" i="2"/>
  <c r="Y44" i="2" s="1"/>
  <c r="Y107" i="2"/>
  <c r="AA56" i="2"/>
  <c r="AA55" i="2" s="1"/>
  <c r="M68" i="2"/>
  <c r="Y111" i="2"/>
  <c r="AA115" i="2"/>
  <c r="AC114" i="2"/>
  <c r="AC115" i="2" s="1"/>
  <c r="H29" i="2"/>
  <c r="H28" i="2" s="1"/>
  <c r="J25" i="2"/>
  <c r="Y25" i="2"/>
  <c r="G31" i="2"/>
  <c r="Q31" i="2"/>
  <c r="AC31" i="2"/>
  <c r="M42" i="2"/>
  <c r="M41" i="2" s="1"/>
  <c r="M45" i="2" s="1"/>
  <c r="K41" i="2"/>
  <c r="O45" i="2"/>
  <c r="O40" i="2" s="1"/>
  <c r="Y118" i="2"/>
  <c r="Y84" i="2" s="1"/>
  <c r="Y55" i="2"/>
  <c r="Y57" i="2" s="1"/>
  <c r="G59" i="2"/>
  <c r="G53" i="2"/>
  <c r="G50" i="2" s="1"/>
  <c r="AC66" i="2"/>
  <c r="AA64" i="2"/>
  <c r="I84" i="2"/>
  <c r="I109" i="2"/>
  <c r="G58" i="2"/>
  <c r="Q118" i="2"/>
  <c r="Q55" i="2"/>
  <c r="S54" i="2"/>
  <c r="W69" i="2"/>
  <c r="W59" i="2"/>
  <c r="W53" i="2"/>
  <c r="W50" i="2" s="1"/>
  <c r="W105" i="2"/>
  <c r="W104" i="2" s="1"/>
  <c r="W102" i="2" s="1"/>
  <c r="W103" i="2" s="1"/>
  <c r="W62" i="2" s="1"/>
  <c r="W61" i="2" s="1"/>
  <c r="O59" i="2"/>
  <c r="O53" i="2"/>
  <c r="O50" i="2" s="1"/>
  <c r="Q109" i="2"/>
  <c r="Q107" i="2"/>
  <c r="Q43" i="2"/>
  <c r="Q44" i="2" s="1"/>
  <c r="G105" i="2"/>
  <c r="G104" i="2" s="1"/>
  <c r="G102" i="2" s="1"/>
  <c r="G103" i="2" s="1"/>
  <c r="G62" i="2" s="1"/>
  <c r="Q110" i="2"/>
  <c r="Q115" i="2"/>
  <c r="Q116" i="2" s="1"/>
  <c r="S114" i="2"/>
  <c r="I55" i="2"/>
  <c r="I116" i="2"/>
  <c r="I18" i="1"/>
  <c r="G59" i="1"/>
  <c r="U14" i="2" l="1"/>
  <c r="K67" i="1"/>
  <c r="M15" i="2"/>
  <c r="M19" i="2" s="1"/>
  <c r="S43" i="2"/>
  <c r="S44" i="2" s="1"/>
  <c r="S15" i="2"/>
  <c r="S19" i="2" s="1"/>
  <c r="U56" i="2"/>
  <c r="U110" i="2" s="1"/>
  <c r="S107" i="2"/>
  <c r="O125" i="1"/>
  <c r="S108" i="2"/>
  <c r="S109" i="2"/>
  <c r="G96" i="2"/>
  <c r="G97" i="2" s="1"/>
  <c r="Z29" i="2"/>
  <c r="Z28" i="2" s="1"/>
  <c r="T15" i="2"/>
  <c r="T19" i="2" s="1"/>
  <c r="O61" i="2"/>
  <c r="O15" i="2"/>
  <c r="O19" i="2" s="1"/>
  <c r="O23" i="2" s="1"/>
  <c r="O22" i="2" s="1"/>
  <c r="O96" i="2"/>
  <c r="O97" i="2" s="1"/>
  <c r="O99" i="2"/>
  <c r="O100" i="2" s="1"/>
  <c r="I123" i="2"/>
  <c r="G69" i="2"/>
  <c r="G70" i="2" s="1"/>
  <c r="K84" i="2"/>
  <c r="G99" i="2"/>
  <c r="G100" i="2" s="1"/>
  <c r="Y18" i="2"/>
  <c r="Y122" i="2"/>
  <c r="Y123" i="2" s="1"/>
  <c r="Y23" i="2"/>
  <c r="Y22" i="2" s="1"/>
  <c r="G61" i="2"/>
  <c r="K55" i="2"/>
  <c r="M54" i="2"/>
  <c r="M118" i="2" s="1"/>
  <c r="M66" i="1"/>
  <c r="M67" i="1" s="1"/>
  <c r="O69" i="1"/>
  <c r="M113" i="1"/>
  <c r="M107" i="1" s="1"/>
  <c r="M106" i="1" s="1"/>
  <c r="M104" i="1" s="1"/>
  <c r="M105" i="1" s="1"/>
  <c r="M62" i="1" s="1"/>
  <c r="M61" i="1" s="1"/>
  <c r="AC64" i="2"/>
  <c r="AC65" i="2" s="1"/>
  <c r="Y58" i="2"/>
  <c r="K122" i="2"/>
  <c r="W29" i="2"/>
  <c r="W28" i="2" s="1"/>
  <c r="S15" i="1"/>
  <c r="S19" i="1" s="1"/>
  <c r="S23" i="1" s="1"/>
  <c r="S22" i="1" s="1"/>
  <c r="Q65" i="1"/>
  <c r="M101" i="1"/>
  <c r="M102" i="1" s="1"/>
  <c r="I15" i="1"/>
  <c r="I19" i="1" s="1"/>
  <c r="I23" i="1" s="1"/>
  <c r="I22" i="1" s="1"/>
  <c r="I67" i="1"/>
  <c r="M98" i="1"/>
  <c r="M99" i="1" s="1"/>
  <c r="M70" i="1"/>
  <c r="M73" i="1" s="1"/>
  <c r="I59" i="1"/>
  <c r="M59" i="1"/>
  <c r="M65" i="1"/>
  <c r="M117" i="1"/>
  <c r="M118" i="1" s="1"/>
  <c r="M125" i="1" s="1"/>
  <c r="Q117" i="1"/>
  <c r="Q118" i="1" s="1"/>
  <c r="Q125" i="1" s="1"/>
  <c r="Z24" i="2"/>
  <c r="I29" i="2"/>
  <c r="I28" i="2" s="1"/>
  <c r="AB23" i="2"/>
  <c r="AB22" i="2" s="1"/>
  <c r="I15" i="2"/>
  <c r="I19" i="2" s="1"/>
  <c r="I23" i="2" s="1"/>
  <c r="I22" i="2" s="1"/>
  <c r="I18" i="2"/>
  <c r="W15" i="2"/>
  <c r="W19" i="2" s="1"/>
  <c r="W23" i="2" s="1"/>
  <c r="W22" i="2" s="1"/>
  <c r="AA25" i="2"/>
  <c r="AA29" i="2" s="1"/>
  <c r="AA28" i="2" s="1"/>
  <c r="G45" i="2"/>
  <c r="G40" i="2" s="1"/>
  <c r="K115" i="2"/>
  <c r="K116" i="2" s="1"/>
  <c r="M114" i="2"/>
  <c r="M115" i="2" s="1"/>
  <c r="Z23" i="2"/>
  <c r="Z22" i="2" s="1"/>
  <c r="I105" i="2"/>
  <c r="I104" i="2" s="1"/>
  <c r="I102" i="2" s="1"/>
  <c r="I103" i="2" s="1"/>
  <c r="I62" i="2" s="1"/>
  <c r="I61" i="2" s="1"/>
  <c r="O65" i="2"/>
  <c r="AB29" i="2"/>
  <c r="AB28" i="2" s="1"/>
  <c r="Q70" i="1"/>
  <c r="Q73" i="1" s="1"/>
  <c r="AB24" i="2"/>
  <c r="G15" i="2"/>
  <c r="G19" i="2" s="1"/>
  <c r="G23" i="2" s="1"/>
  <c r="G22" i="2" s="1"/>
  <c r="K117" i="1"/>
  <c r="K118" i="1" s="1"/>
  <c r="K125" i="1" s="1"/>
  <c r="I117" i="1"/>
  <c r="I118" i="1" s="1"/>
  <c r="I125" i="1" s="1"/>
  <c r="S59" i="1"/>
  <c r="S117" i="1"/>
  <c r="S118" i="1" s="1"/>
  <c r="S125" i="1" s="1"/>
  <c r="S36" i="1"/>
  <c r="S35" i="1" s="1"/>
  <c r="S34" i="1" s="1"/>
  <c r="R40" i="1"/>
  <c r="R39" i="1" s="1"/>
  <c r="R36" i="1"/>
  <c r="R35" i="1" s="1"/>
  <c r="R34" i="1" s="1"/>
  <c r="S39" i="1"/>
  <c r="Q101" i="1"/>
  <c r="Q102" i="1" s="1"/>
  <c r="P36" i="1"/>
  <c r="P35" i="1" s="1"/>
  <c r="P34" i="1" s="1"/>
  <c r="P40" i="1"/>
  <c r="P39" i="1" s="1"/>
  <c r="Q36" i="1"/>
  <c r="Q35" i="1" s="1"/>
  <c r="Q34" i="1" s="1"/>
  <c r="Q98" i="1"/>
  <c r="Q99" i="1" s="1"/>
  <c r="Q39" i="1"/>
  <c r="Q59" i="1"/>
  <c r="Q15" i="1"/>
  <c r="Q19" i="1" s="1"/>
  <c r="Q23" i="1" s="1"/>
  <c r="Q22" i="1" s="1"/>
  <c r="O101" i="1"/>
  <c r="O102" i="1" s="1"/>
  <c r="O98" i="1"/>
  <c r="O99" i="1" s="1"/>
  <c r="O40" i="1"/>
  <c r="N40" i="1" s="1"/>
  <c r="N39" i="1" s="1"/>
  <c r="O70" i="1"/>
  <c r="O73" i="1" s="1"/>
  <c r="M45" i="1"/>
  <c r="M40" i="1" s="1"/>
  <c r="K59" i="1"/>
  <c r="K36" i="1"/>
  <c r="K35" i="1" s="1"/>
  <c r="K34" i="1" s="1"/>
  <c r="I40" i="1"/>
  <c r="I39" i="1" s="1"/>
  <c r="K39" i="1"/>
  <c r="J36" i="1"/>
  <c r="J35" i="1" s="1"/>
  <c r="J34" i="1" s="1"/>
  <c r="F40" i="1"/>
  <c r="F39" i="1" s="1"/>
  <c r="G36" i="1"/>
  <c r="G35" i="1" s="1"/>
  <c r="G34" i="1" s="1"/>
  <c r="F36" i="1"/>
  <c r="F35" i="1" s="1"/>
  <c r="F34" i="1" s="1"/>
  <c r="G39" i="1"/>
  <c r="AA57" i="2"/>
  <c r="AA58" i="2"/>
  <c r="W39" i="2"/>
  <c r="W36" i="2"/>
  <c r="W35" i="2" s="1"/>
  <c r="W34" i="2" s="1"/>
  <c r="V36" i="2"/>
  <c r="V35" i="2" s="1"/>
  <c r="V34" i="2" s="1"/>
  <c r="V40" i="2"/>
  <c r="V39" i="2" s="1"/>
  <c r="U114" i="2"/>
  <c r="U115" i="2" s="1"/>
  <c r="S115" i="2"/>
  <c r="S116" i="2" s="1"/>
  <c r="K30" i="2"/>
  <c r="AA111" i="2"/>
  <c r="S118" i="2"/>
  <c r="U54" i="2"/>
  <c r="S55" i="2"/>
  <c r="Y24" i="2"/>
  <c r="Y29" i="2"/>
  <c r="Y28" i="2" s="1"/>
  <c r="Y105" i="2"/>
  <c r="Y104" i="2" s="1"/>
  <c r="Y102" i="2" s="1"/>
  <c r="Y103" i="2" s="1"/>
  <c r="Y62" i="2" s="1"/>
  <c r="Y61" i="2" s="1"/>
  <c r="AA84" i="2"/>
  <c r="O30" i="2"/>
  <c r="Q18" i="2"/>
  <c r="Q15" i="2"/>
  <c r="Q19" i="2" s="1"/>
  <c r="Q23" i="2" s="1"/>
  <c r="Q22" i="2" s="1"/>
  <c r="S30" i="2"/>
  <c r="AC24" i="2"/>
  <c r="AC29" i="2"/>
  <c r="AC28" i="2" s="1"/>
  <c r="O36" i="2"/>
  <c r="O35" i="2" s="1"/>
  <c r="O34" i="2" s="1"/>
  <c r="N40" i="2"/>
  <c r="N39" i="2" s="1"/>
  <c r="N36" i="2"/>
  <c r="N35" i="2" s="1"/>
  <c r="N34" i="2" s="1"/>
  <c r="O39" i="2"/>
  <c r="Q57" i="2"/>
  <c r="Q58" i="2"/>
  <c r="Y69" i="2"/>
  <c r="Y53" i="2"/>
  <c r="Y50" i="2" s="1"/>
  <c r="Y59" i="2"/>
  <c r="AC30" i="2"/>
  <c r="J24" i="2"/>
  <c r="K25" i="2"/>
  <c r="L25" i="2"/>
  <c r="L23" i="2" s="1"/>
  <c r="L22" i="2" s="1"/>
  <c r="J29" i="2"/>
  <c r="J28" i="2" s="1"/>
  <c r="Q40" i="2"/>
  <c r="I44" i="2"/>
  <c r="I40" i="2"/>
  <c r="AC45" i="2"/>
  <c r="K18" i="2"/>
  <c r="K15" i="2"/>
  <c r="K19" i="2" s="1"/>
  <c r="AA30" i="2"/>
  <c r="Y40" i="2"/>
  <c r="J23" i="2"/>
  <c r="J22" i="2" s="1"/>
  <c r="AC18" i="2"/>
  <c r="AC15" i="2"/>
  <c r="AC19" i="2" s="1"/>
  <c r="AC23" i="2" s="1"/>
  <c r="AC22" i="2" s="1"/>
  <c r="W70" i="2"/>
  <c r="W71" i="2"/>
  <c r="W72" i="2"/>
  <c r="G30" i="2"/>
  <c r="AA110" i="2"/>
  <c r="AA109" i="2"/>
  <c r="AA108" i="2"/>
  <c r="AA107" i="2"/>
  <c r="AC56" i="2"/>
  <c r="AC55" i="2" s="1"/>
  <c r="AA43" i="2"/>
  <c r="AA44" i="2" s="1"/>
  <c r="S111" i="2"/>
  <c r="U68" i="2"/>
  <c r="Y30" i="2"/>
  <c r="U18" i="2"/>
  <c r="U15" i="2"/>
  <c r="U19" i="2" s="1"/>
  <c r="S25" i="2"/>
  <c r="T25" i="2"/>
  <c r="R29" i="2"/>
  <c r="R28" i="2" s="1"/>
  <c r="R24" i="2"/>
  <c r="I58" i="2"/>
  <c r="I57" i="2"/>
  <c r="Q105" i="2"/>
  <c r="Q104" i="2" s="1"/>
  <c r="Q102" i="2" s="1"/>
  <c r="Q103" i="2" s="1"/>
  <c r="Q62" i="2" s="1"/>
  <c r="Q61" i="2" s="1"/>
  <c r="O71" i="2"/>
  <c r="O70" i="2"/>
  <c r="O72" i="2"/>
  <c r="Q84" i="2"/>
  <c r="Q122" i="2"/>
  <c r="Q123" i="2" s="1"/>
  <c r="AA65" i="2"/>
  <c r="Q30" i="2"/>
  <c r="AA116" i="2"/>
  <c r="AA123" i="2" s="1"/>
  <c r="S64" i="2"/>
  <c r="K45" i="2"/>
  <c r="S41" i="2"/>
  <c r="U42" i="2"/>
  <c r="U41" i="2" s="1"/>
  <c r="K110" i="2"/>
  <c r="K109" i="2"/>
  <c r="K108" i="2"/>
  <c r="K107" i="2"/>
  <c r="M56" i="2"/>
  <c r="M111" i="2" s="1"/>
  <c r="K43" i="2"/>
  <c r="K44" i="2" s="1"/>
  <c r="AA45" i="2"/>
  <c r="G29" i="2"/>
  <c r="G28" i="2" s="1"/>
  <c r="G24" i="2"/>
  <c r="AA18" i="2"/>
  <c r="AA15" i="2"/>
  <c r="AA19" i="2" s="1"/>
  <c r="O24" i="2"/>
  <c r="O29" i="2"/>
  <c r="O28" i="2" s="1"/>
  <c r="AC118" i="2"/>
  <c r="AC122" i="2" s="1"/>
  <c r="R23" i="2"/>
  <c r="R22" i="2" s="1"/>
  <c r="M64" i="2"/>
  <c r="Q24" i="2"/>
  <c r="Q29" i="2"/>
  <c r="Q28" i="2" s="1"/>
  <c r="G15" i="1"/>
  <c r="G19" i="1" s="1"/>
  <c r="G23" i="1" s="1"/>
  <c r="G22" i="1" s="1"/>
  <c r="G30" i="1"/>
  <c r="I30" i="1"/>
  <c r="K24" i="1"/>
  <c r="K29" i="1"/>
  <c r="K28" i="1" s="1"/>
  <c r="K30" i="1"/>
  <c r="K18" i="1"/>
  <c r="K15" i="1"/>
  <c r="K19" i="1" s="1"/>
  <c r="K23" i="1" s="1"/>
  <c r="K22" i="1" s="1"/>
  <c r="I24" i="1"/>
  <c r="I29" i="1"/>
  <c r="I28" i="1" s="1"/>
  <c r="G24" i="1"/>
  <c r="G29" i="1"/>
  <c r="G28" i="1" s="1"/>
  <c r="M71" i="1" l="1"/>
  <c r="U43" i="2"/>
  <c r="U44" i="2" s="1"/>
  <c r="U107" i="2"/>
  <c r="G72" i="2"/>
  <c r="G73" i="2" s="1"/>
  <c r="U108" i="2"/>
  <c r="U116" i="2"/>
  <c r="U109" i="2"/>
  <c r="G71" i="2"/>
  <c r="S105" i="2"/>
  <c r="S104" i="2" s="1"/>
  <c r="S102" i="2" s="1"/>
  <c r="S103" i="2" s="1"/>
  <c r="S62" i="2" s="1"/>
  <c r="S61" i="2" s="1"/>
  <c r="K123" i="2"/>
  <c r="M72" i="1"/>
  <c r="AA23" i="2"/>
  <c r="AA22" i="2" s="1"/>
  <c r="AA24" i="2"/>
  <c r="K23" i="2"/>
  <c r="K22" i="2" s="1"/>
  <c r="O113" i="1"/>
  <c r="O107" i="1" s="1"/>
  <c r="O106" i="1" s="1"/>
  <c r="O104" i="1" s="1"/>
  <c r="O105" i="1" s="1"/>
  <c r="O62" i="1" s="1"/>
  <c r="O61" i="1" s="1"/>
  <c r="O66" i="1"/>
  <c r="O67" i="1" s="1"/>
  <c r="Q69" i="1"/>
  <c r="K57" i="2"/>
  <c r="K58" i="2"/>
  <c r="Q71" i="1"/>
  <c r="F40" i="2"/>
  <c r="F39" i="2" s="1"/>
  <c r="F36" i="2"/>
  <c r="F35" i="2" s="1"/>
  <c r="F34" i="2" s="1"/>
  <c r="G36" i="2"/>
  <c r="G35" i="2" s="1"/>
  <c r="G34" i="2" s="1"/>
  <c r="G39" i="2"/>
  <c r="Q72" i="1"/>
  <c r="S101" i="1"/>
  <c r="S102" i="1" s="1"/>
  <c r="S65" i="1"/>
  <c r="S98" i="1"/>
  <c r="S99" i="1" s="1"/>
  <c r="S70" i="1"/>
  <c r="Q74" i="1"/>
  <c r="O71" i="1"/>
  <c r="O72" i="1"/>
  <c r="O36" i="1"/>
  <c r="O35" i="1" s="1"/>
  <c r="O34" i="1" s="1"/>
  <c r="N36" i="1"/>
  <c r="N35" i="1" s="1"/>
  <c r="N34" i="1" s="1"/>
  <c r="O39" i="1"/>
  <c r="O74" i="1"/>
  <c r="M39" i="1"/>
  <c r="L36" i="1"/>
  <c r="L35" i="1" s="1"/>
  <c r="L34" i="1" s="1"/>
  <c r="M36" i="1"/>
  <c r="M35" i="1" s="1"/>
  <c r="M34" i="1" s="1"/>
  <c r="L40" i="1"/>
  <c r="L39" i="1" s="1"/>
  <c r="M76" i="1"/>
  <c r="M74" i="1"/>
  <c r="H40" i="1"/>
  <c r="H39" i="1" s="1"/>
  <c r="I36" i="1"/>
  <c r="I35" i="1" s="1"/>
  <c r="I34" i="1" s="1"/>
  <c r="H36" i="1"/>
  <c r="H35" i="1" s="1"/>
  <c r="H34" i="1" s="1"/>
  <c r="I59" i="2"/>
  <c r="I53" i="2"/>
  <c r="I50" i="2" s="1"/>
  <c r="I69" i="2"/>
  <c r="U118" i="2"/>
  <c r="U55" i="2"/>
  <c r="AC58" i="2"/>
  <c r="AC57" i="2"/>
  <c r="M110" i="2"/>
  <c r="M109" i="2"/>
  <c r="M108" i="2"/>
  <c r="M107" i="2"/>
  <c r="M43" i="2"/>
  <c r="M116" i="2"/>
  <c r="S29" i="2"/>
  <c r="S28" i="2" s="1"/>
  <c r="S24" i="2"/>
  <c r="AC110" i="2"/>
  <c r="AC109" i="2"/>
  <c r="AC108" i="2"/>
  <c r="AC107" i="2"/>
  <c r="AC43" i="2"/>
  <c r="Y72" i="2"/>
  <c r="Y71" i="2"/>
  <c r="Y70" i="2"/>
  <c r="K105" i="2"/>
  <c r="K104" i="2" s="1"/>
  <c r="K102" i="2" s="1"/>
  <c r="K103" i="2" s="1"/>
  <c r="K62" i="2" s="1"/>
  <c r="K61" i="2" s="1"/>
  <c r="U45" i="2"/>
  <c r="U40" i="2" s="1"/>
  <c r="S65" i="2"/>
  <c r="U111" i="2"/>
  <c r="U64" i="2"/>
  <c r="AA105" i="2"/>
  <c r="AA104" i="2" s="1"/>
  <c r="AA102" i="2" s="1"/>
  <c r="AA103" i="2" s="1"/>
  <c r="AA62" i="2" s="1"/>
  <c r="AA61" i="2" s="1"/>
  <c r="H40" i="2"/>
  <c r="H39" i="2" s="1"/>
  <c r="H36" i="2"/>
  <c r="H35" i="2" s="1"/>
  <c r="H34" i="2" s="1"/>
  <c r="I36" i="2"/>
  <c r="I35" i="2" s="1"/>
  <c r="I34" i="2" s="1"/>
  <c r="I39" i="2"/>
  <c r="K29" i="2"/>
  <c r="K28" i="2" s="1"/>
  <c r="K24" i="2"/>
  <c r="K40" i="2"/>
  <c r="M55" i="2"/>
  <c r="S23" i="2"/>
  <c r="S22" i="2" s="1"/>
  <c r="O75" i="2"/>
  <c r="O73" i="2"/>
  <c r="T29" i="2"/>
  <c r="T28" i="2" s="1"/>
  <c r="T24" i="2"/>
  <c r="U25" i="2"/>
  <c r="U23" i="2" s="1"/>
  <c r="U22" i="2" s="1"/>
  <c r="W75" i="2"/>
  <c r="W73" i="2"/>
  <c r="P40" i="2"/>
  <c r="P39" i="2" s="1"/>
  <c r="P36" i="2"/>
  <c r="P35" i="2" s="1"/>
  <c r="P34" i="2" s="1"/>
  <c r="Q39" i="2"/>
  <c r="Q36" i="2"/>
  <c r="Q35" i="2" s="1"/>
  <c r="Q34" i="2" s="1"/>
  <c r="AC84" i="2"/>
  <c r="L29" i="2"/>
  <c r="L28" i="2" s="1"/>
  <c r="M25" i="2"/>
  <c r="L24" i="2"/>
  <c r="T23" i="2"/>
  <c r="T22" i="2" s="1"/>
  <c r="S84" i="2"/>
  <c r="S122" i="2"/>
  <c r="S123" i="2" s="1"/>
  <c r="M65" i="2"/>
  <c r="AC111" i="2"/>
  <c r="AA40" i="2"/>
  <c r="S45" i="2"/>
  <c r="S40" i="2" s="1"/>
  <c r="X40" i="2"/>
  <c r="X39" i="2" s="1"/>
  <c r="X36" i="2"/>
  <c r="X35" i="2" s="1"/>
  <c r="X34" i="2" s="1"/>
  <c r="Y36" i="2"/>
  <c r="Y35" i="2" s="1"/>
  <c r="Y34" i="2" s="1"/>
  <c r="Y39" i="2"/>
  <c r="AC116" i="2"/>
  <c r="AC123" i="2" s="1"/>
  <c r="Q69" i="2"/>
  <c r="Q59" i="2"/>
  <c r="Q53" i="2"/>
  <c r="Q50" i="2" s="1"/>
  <c r="M84" i="2"/>
  <c r="M122" i="2"/>
  <c r="S58" i="2"/>
  <c r="S57" i="2"/>
  <c r="AA69" i="2"/>
  <c r="AA59" i="2"/>
  <c r="AA53" i="2"/>
  <c r="AA50" i="2" s="1"/>
  <c r="G75" i="2" l="1"/>
  <c r="G78" i="2" s="1"/>
  <c r="U105" i="2"/>
  <c r="U104" i="2" s="1"/>
  <c r="U102" i="2" s="1"/>
  <c r="U103" i="2" s="1"/>
  <c r="U62" i="2" s="1"/>
  <c r="U61" i="2" s="1"/>
  <c r="O76" i="1"/>
  <c r="O79" i="1" s="1"/>
  <c r="O83" i="1" s="1"/>
  <c r="M105" i="2"/>
  <c r="M104" i="2" s="1"/>
  <c r="M102" i="2" s="1"/>
  <c r="M103" i="2" s="1"/>
  <c r="M62" i="2" s="1"/>
  <c r="M61" i="2" s="1"/>
  <c r="K59" i="2"/>
  <c r="K53" i="2"/>
  <c r="K50" i="2" s="1"/>
  <c r="K69" i="2"/>
  <c r="S69" i="1"/>
  <c r="Q113" i="1"/>
  <c r="Q107" i="1" s="1"/>
  <c r="Q106" i="1" s="1"/>
  <c r="Q104" i="1" s="1"/>
  <c r="Q105" i="1" s="1"/>
  <c r="Q62" i="1" s="1"/>
  <c r="Q66" i="1"/>
  <c r="Q67" i="1" s="1"/>
  <c r="AC105" i="2"/>
  <c r="AC104" i="2" s="1"/>
  <c r="AC102" i="2" s="1"/>
  <c r="AC103" i="2" s="1"/>
  <c r="AC62" i="2" s="1"/>
  <c r="AC61" i="2" s="1"/>
  <c r="M123" i="2"/>
  <c r="S73" i="1"/>
  <c r="S72" i="1"/>
  <c r="S71" i="1"/>
  <c r="M79" i="1"/>
  <c r="M83" i="1" s="1"/>
  <c r="M77" i="1"/>
  <c r="T40" i="2"/>
  <c r="T39" i="2" s="1"/>
  <c r="T36" i="2"/>
  <c r="T35" i="2" s="1"/>
  <c r="T34" i="2" s="1"/>
  <c r="U36" i="2"/>
  <c r="U35" i="2" s="1"/>
  <c r="U34" i="2" s="1"/>
  <c r="U39" i="2"/>
  <c r="S36" i="2"/>
  <c r="S35" i="2" s="1"/>
  <c r="S34" i="2" s="1"/>
  <c r="R40" i="2"/>
  <c r="R39" i="2" s="1"/>
  <c r="S39" i="2"/>
  <c r="R36" i="2"/>
  <c r="R35" i="2" s="1"/>
  <c r="R34" i="2" s="1"/>
  <c r="W78" i="2"/>
  <c r="W76" i="2"/>
  <c r="J40" i="2"/>
  <c r="J39" i="2" s="1"/>
  <c r="J36" i="2"/>
  <c r="J35" i="2" s="1"/>
  <c r="J34" i="2" s="1"/>
  <c r="K39" i="2"/>
  <c r="K36" i="2"/>
  <c r="K35" i="2" s="1"/>
  <c r="K34" i="2" s="1"/>
  <c r="U65" i="2"/>
  <c r="AC69" i="2"/>
  <c r="AC59" i="2"/>
  <c r="AC53" i="2"/>
  <c r="AC50" i="2" s="1"/>
  <c r="I72" i="2"/>
  <c r="I71" i="2"/>
  <c r="I70" i="2"/>
  <c r="Q72" i="2"/>
  <c r="Q71" i="2"/>
  <c r="Q70" i="2"/>
  <c r="Y75" i="2"/>
  <c r="Y73" i="2"/>
  <c r="U57" i="2"/>
  <c r="U58" i="2"/>
  <c r="Z40" i="2"/>
  <c r="Z39" i="2" s="1"/>
  <c r="Z36" i="2"/>
  <c r="Z35" i="2" s="1"/>
  <c r="Z34" i="2" s="1"/>
  <c r="AA39" i="2"/>
  <c r="AA36" i="2"/>
  <c r="AA35" i="2" s="1"/>
  <c r="AA34" i="2" s="1"/>
  <c r="U24" i="2"/>
  <c r="U29" i="2"/>
  <c r="U28" i="2" s="1"/>
  <c r="O78" i="2"/>
  <c r="O76" i="2"/>
  <c r="AA72" i="2"/>
  <c r="AA71" i="2"/>
  <c r="AA70" i="2"/>
  <c r="S59" i="2"/>
  <c r="S53" i="2"/>
  <c r="S50" i="2" s="1"/>
  <c r="S69" i="2"/>
  <c r="M24" i="2"/>
  <c r="M29" i="2"/>
  <c r="M28" i="2" s="1"/>
  <c r="M23" i="2"/>
  <c r="M22" i="2" s="1"/>
  <c r="M57" i="2"/>
  <c r="M58" i="2"/>
  <c r="AC44" i="2"/>
  <c r="AC40" i="2"/>
  <c r="M44" i="2"/>
  <c r="M40" i="2"/>
  <c r="U84" i="2"/>
  <c r="U122" i="2"/>
  <c r="U123" i="2" s="1"/>
  <c r="G76" i="2" l="1"/>
  <c r="O77" i="1"/>
  <c r="Q61" i="1"/>
  <c r="Q76" i="1"/>
  <c r="S66" i="1"/>
  <c r="S67" i="1" s="1"/>
  <c r="S113" i="1"/>
  <c r="S107" i="1" s="1"/>
  <c r="S106" i="1" s="1"/>
  <c r="S104" i="1" s="1"/>
  <c r="S105" i="1" s="1"/>
  <c r="S62" i="1" s="1"/>
  <c r="S61" i="1" s="1"/>
  <c r="K70" i="2"/>
  <c r="K71" i="2"/>
  <c r="K72" i="2"/>
  <c r="S74" i="1"/>
  <c r="O80" i="1"/>
  <c r="M80" i="1"/>
  <c r="M69" i="2"/>
  <c r="M53" i="2"/>
  <c r="M50" i="2" s="1"/>
  <c r="M59" i="2"/>
  <c r="S72" i="2"/>
  <c r="S71" i="2"/>
  <c r="S70" i="2"/>
  <c r="AC71" i="2"/>
  <c r="AC70" i="2"/>
  <c r="AC72" i="2"/>
  <c r="W81" i="2"/>
  <c r="W79" i="2"/>
  <c r="U59" i="2"/>
  <c r="U53" i="2"/>
  <c r="U50" i="2" s="1"/>
  <c r="U69" i="2"/>
  <c r="AB40" i="2"/>
  <c r="AB39" i="2" s="1"/>
  <c r="AB36" i="2"/>
  <c r="AB35" i="2" s="1"/>
  <c r="AB34" i="2" s="1"/>
  <c r="AC39" i="2"/>
  <c r="AC36" i="2"/>
  <c r="AC35" i="2" s="1"/>
  <c r="AC34" i="2" s="1"/>
  <c r="AA73" i="2"/>
  <c r="AA75" i="2"/>
  <c r="Y76" i="2"/>
  <c r="Y78" i="2"/>
  <c r="I75" i="2"/>
  <c r="I73" i="2"/>
  <c r="L40" i="2"/>
  <c r="L39" i="2" s="1"/>
  <c r="L36" i="2"/>
  <c r="L35" i="2" s="1"/>
  <c r="L34" i="2" s="1"/>
  <c r="M39" i="2"/>
  <c r="M36" i="2"/>
  <c r="M35" i="2" s="1"/>
  <c r="M34" i="2" s="1"/>
  <c r="O81" i="2"/>
  <c r="O79" i="2"/>
  <c r="Q75" i="2"/>
  <c r="Q73" i="2"/>
  <c r="G81" i="2"/>
  <c r="G79" i="2"/>
  <c r="S76" i="1" l="1"/>
  <c r="S79" i="1" s="1"/>
  <c r="Q77" i="1"/>
  <c r="Q79" i="1"/>
  <c r="K73" i="2"/>
  <c r="K75" i="2"/>
  <c r="O84" i="1"/>
  <c r="O88" i="1"/>
  <c r="M84" i="1"/>
  <c r="M88" i="1"/>
  <c r="AA76" i="2"/>
  <c r="AA78" i="2"/>
  <c r="S73" i="2"/>
  <c r="S75" i="2"/>
  <c r="G86" i="2"/>
  <c r="G82" i="2"/>
  <c r="I76" i="2"/>
  <c r="I78" i="2"/>
  <c r="U71" i="2"/>
  <c r="U70" i="2"/>
  <c r="U72" i="2"/>
  <c r="W86" i="2"/>
  <c r="W82" i="2"/>
  <c r="Y79" i="2"/>
  <c r="Y81" i="2"/>
  <c r="Q76" i="2"/>
  <c r="Q78" i="2"/>
  <c r="O86" i="2"/>
  <c r="O82" i="2"/>
  <c r="AC73" i="2"/>
  <c r="AC75" i="2"/>
  <c r="M71" i="2"/>
  <c r="M70" i="2"/>
  <c r="M72" i="2"/>
  <c r="S77" i="1" l="1"/>
  <c r="K78" i="2"/>
  <c r="K76" i="2"/>
  <c r="Q83" i="1"/>
  <c r="Q80" i="1"/>
  <c r="S83" i="1"/>
  <c r="S80" i="1"/>
  <c r="O127" i="1"/>
  <c r="O89" i="1"/>
  <c r="M127" i="1"/>
  <c r="M89" i="1"/>
  <c r="I79" i="2"/>
  <c r="I81" i="2"/>
  <c r="AC78" i="2"/>
  <c r="AC76" i="2"/>
  <c r="Q81" i="2"/>
  <c r="Q79" i="2"/>
  <c r="U75" i="2"/>
  <c r="U73" i="2"/>
  <c r="W87" i="2"/>
  <c r="W125" i="2"/>
  <c r="AA81" i="2"/>
  <c r="AA79" i="2"/>
  <c r="O87" i="2"/>
  <c r="O125" i="2"/>
  <c r="S78" i="2"/>
  <c r="S76" i="2"/>
  <c r="M73" i="2"/>
  <c r="M75" i="2"/>
  <c r="Y82" i="2"/>
  <c r="Y86" i="2"/>
  <c r="G87" i="2"/>
  <c r="G125" i="2"/>
  <c r="Q84" i="1" l="1"/>
  <c r="Q88" i="1"/>
  <c r="K79" i="2"/>
  <c r="K81" i="2"/>
  <c r="S84" i="1"/>
  <c r="S88" i="1"/>
  <c r="M78" i="2"/>
  <c r="M76" i="2"/>
  <c r="U78" i="2"/>
  <c r="U76" i="2"/>
  <c r="AC81" i="2"/>
  <c r="AC79" i="2"/>
  <c r="I82" i="2"/>
  <c r="I86" i="2"/>
  <c r="Y125" i="2"/>
  <c r="Y87" i="2"/>
  <c r="S81" i="2"/>
  <c r="S79" i="2"/>
  <c r="AA86" i="2"/>
  <c r="AA82" i="2"/>
  <c r="Q86" i="2"/>
  <c r="Q82" i="2"/>
  <c r="K86" i="2" l="1"/>
  <c r="K82" i="2"/>
  <c r="Q127" i="1"/>
  <c r="Q89" i="1"/>
  <c r="S127" i="1"/>
  <c r="S89" i="1"/>
  <c r="I125" i="2"/>
  <c r="I87" i="2"/>
  <c r="AA125" i="2"/>
  <c r="AA87" i="2"/>
  <c r="AC86" i="2"/>
  <c r="AC82" i="2"/>
  <c r="Q125" i="2"/>
  <c r="Q87" i="2"/>
  <c r="S82" i="2"/>
  <c r="S86" i="2"/>
  <c r="U81" i="2"/>
  <c r="U79" i="2"/>
  <c r="M81" i="2"/>
  <c r="M79" i="2"/>
  <c r="K125" i="2" l="1"/>
  <c r="K87" i="2"/>
  <c r="U86" i="2"/>
  <c r="U82" i="2"/>
  <c r="S125" i="2"/>
  <c r="S87" i="2"/>
  <c r="M86" i="2"/>
  <c r="M82" i="2"/>
  <c r="AC125" i="2"/>
  <c r="AC87" i="2"/>
  <c r="M125" i="2" l="1"/>
  <c r="M87" i="2"/>
  <c r="U125" i="2"/>
  <c r="U87" i="2"/>
  <c r="G65" i="1" l="1"/>
  <c r="G70" i="1" l="1"/>
  <c r="G101" i="1"/>
  <c r="G102" i="1" s="1"/>
  <c r="G98" i="1"/>
  <c r="G99" i="1" s="1"/>
  <c r="G61" i="1"/>
  <c r="G73" i="1" l="1"/>
  <c r="G71" i="1"/>
  <c r="G72" i="1"/>
  <c r="G74" i="1" l="1"/>
  <c r="G76" i="1"/>
  <c r="G77" i="1" l="1"/>
  <c r="G79" i="1"/>
  <c r="G80" i="1" l="1"/>
  <c r="G83" i="1"/>
  <c r="G88" i="1" l="1"/>
  <c r="G84" i="1"/>
  <c r="G127" i="1" l="1"/>
  <c r="G89" i="1"/>
  <c r="K70" i="1"/>
  <c r="K71" i="1" l="1"/>
  <c r="K73" i="1"/>
  <c r="K72" i="1"/>
  <c r="K65" i="1"/>
  <c r="K61" i="1"/>
  <c r="K98" i="1"/>
  <c r="K99" i="1" s="1"/>
  <c r="K101" i="1"/>
  <c r="K102" i="1" s="1"/>
  <c r="K74" i="1" l="1"/>
  <c r="K76" i="1"/>
  <c r="K77" i="1" l="1"/>
  <c r="K79" i="1"/>
  <c r="K83" i="1" l="1"/>
  <c r="K80" i="1"/>
  <c r="K88" i="1" l="1"/>
  <c r="K84" i="1"/>
  <c r="K89" i="1" l="1"/>
  <c r="K127" i="1"/>
  <c r="I65" i="1" l="1"/>
  <c r="I70" i="1"/>
  <c r="I101" i="1"/>
  <c r="I102" i="1" s="1"/>
  <c r="I73" i="1" l="1"/>
  <c r="I72" i="1"/>
  <c r="I71" i="1"/>
  <c r="I98" i="1"/>
  <c r="I99" i="1" s="1"/>
  <c r="I61" i="1"/>
  <c r="I74" i="1" l="1"/>
  <c r="I76" i="1"/>
  <c r="I79" i="1" l="1"/>
  <c r="I77" i="1"/>
  <c r="I80" i="1" l="1"/>
  <c r="I83" i="1"/>
  <c r="I88" i="1" l="1"/>
  <c r="I84" i="1"/>
  <c r="I127" i="1" l="1"/>
  <c r="I89" i="1"/>
  <c r="AK21" i="5" l="1"/>
  <c r="AM21" i="5" s="1"/>
  <c r="S21" i="5" l="1"/>
  <c r="BA31" i="3" l="1"/>
  <c r="BA30" i="3"/>
  <c r="BA29" i="3" s="1"/>
  <c r="BA42" i="3"/>
  <c r="BA41" i="3" s="1"/>
  <c r="BA44" i="3" s="1"/>
  <c r="BA43" i="3" s="1"/>
  <c r="BB32" i="3"/>
  <c r="W34" i="11" s="1"/>
  <c r="F37" i="22" s="1"/>
  <c r="J37" i="22" s="1"/>
  <c r="BB31" i="3" l="1"/>
  <c r="BB42" i="3"/>
  <c r="BB41" i="3" s="1"/>
  <c r="BB30" i="3"/>
  <c r="BB29" i="3" s="1"/>
  <c r="CP132" i="3"/>
  <c r="CP133" i="3" l="1"/>
  <c r="CP141" i="3" s="1"/>
  <c r="BB44" i="3"/>
  <c r="BB43" i="3" s="1"/>
  <c r="W35" i="11"/>
  <c r="CP143" i="3"/>
  <c r="T41" i="11" l="1"/>
  <c r="F38" i="22"/>
  <c r="F39" i="22" s="1"/>
  <c r="W36" i="11"/>
  <c r="W37" i="11"/>
  <c r="CP59" i="3"/>
  <c r="CO62" i="3"/>
  <c r="CP111" i="3" l="1"/>
  <c r="CP112" i="3" s="1"/>
  <c r="CP68" i="3"/>
  <c r="CP56" i="3"/>
  <c r="CP50" i="3" s="1"/>
  <c r="CP108" i="3"/>
  <c r="CP109" i="3" s="1"/>
  <c r="CP53" i="3" l="1"/>
  <c r="CP54" i="3"/>
  <c r="CP41" i="3" l="1"/>
  <c r="CO41" i="3"/>
  <c r="CP49" i="3"/>
  <c r="CP45" i="3" l="1"/>
  <c r="CP44" i="3" s="1"/>
  <c r="CP43" i="3" s="1"/>
  <c r="CP48" i="3"/>
  <c r="CO45" i="3"/>
  <c r="CO44" i="3" s="1"/>
  <c r="CO43" i="3" s="1"/>
  <c r="CO49" i="3"/>
  <c r="CO48" i="3" s="1"/>
  <c r="BH14" i="5" l="1"/>
  <c r="CD75" i="3"/>
  <c r="CD71" i="3"/>
  <c r="H13" i="8"/>
  <c r="AX13" i="8" s="1"/>
  <c r="CD111" i="3"/>
  <c r="CD112" i="3" s="1"/>
  <c r="H13" i="5"/>
  <c r="AX13" i="5" s="1"/>
  <c r="CD80" i="3"/>
  <c r="CD81" i="3" s="1"/>
  <c r="CH108" i="3"/>
  <c r="CH109" i="3" s="1"/>
  <c r="CD108" i="3"/>
  <c r="CD109" i="3" s="1"/>
  <c r="CH80" i="3" l="1"/>
  <c r="CH82" i="3" s="1"/>
  <c r="J13" i="8"/>
  <c r="CH111" i="3"/>
  <c r="CH112" i="3" s="1"/>
  <c r="CH71" i="3"/>
  <c r="CD83" i="3"/>
  <c r="J13" i="5"/>
  <c r="CD82" i="3"/>
  <c r="CH81" i="3" l="1"/>
  <c r="CH83" i="3"/>
  <c r="AZ13" i="8"/>
  <c r="L13" i="8"/>
  <c r="CD84" i="3"/>
  <c r="CD86" i="3"/>
  <c r="AG21" i="11"/>
  <c r="AG16" i="11"/>
  <c r="L13" i="5"/>
  <c r="AZ13" i="5"/>
  <c r="CH84" i="3" l="1"/>
  <c r="CH86" i="3"/>
  <c r="CD89" i="3"/>
  <c r="CD87" i="3"/>
  <c r="AG24" i="11"/>
  <c r="CH87" i="3" l="1"/>
  <c r="CH89" i="3"/>
  <c r="AG31" i="11"/>
  <c r="AD41" i="11" s="1"/>
  <c r="AG27" i="11"/>
  <c r="CD90" i="3"/>
  <c r="CD93" i="3"/>
  <c r="CD98" i="3" s="1"/>
  <c r="CH90" i="3" l="1"/>
  <c r="CH93" i="3"/>
  <c r="Z13" i="5"/>
  <c r="CD94" i="3"/>
  <c r="Z13" i="8"/>
  <c r="AF13" i="8"/>
  <c r="AH13" i="8" s="1"/>
  <c r="AF13" i="5"/>
  <c r="AH13" i="5" s="1"/>
  <c r="AG30" i="11"/>
  <c r="CH98" i="3" l="1"/>
  <c r="CH143" i="3" s="1"/>
  <c r="CH94" i="3"/>
  <c r="CD143" i="3"/>
  <c r="CD99" i="3"/>
  <c r="AL13" i="5"/>
  <c r="AN13" i="5" s="1"/>
  <c r="AL13" i="8"/>
  <c r="AN13" i="8" s="1"/>
  <c r="AB13" i="8"/>
  <c r="BH13" i="8"/>
  <c r="BH13" i="5"/>
  <c r="AB13" i="5"/>
  <c r="CH99" i="3" l="1"/>
  <c r="T75" i="3" l="1"/>
  <c r="T71" i="3"/>
  <c r="T111" i="3"/>
  <c r="T112" i="3" s="1"/>
  <c r="T108" i="3"/>
  <c r="T109" i="3" s="1"/>
  <c r="I14" i="11"/>
  <c r="I15" i="11" s="1"/>
  <c r="I23" i="11" s="1"/>
  <c r="I26" i="11" s="1"/>
  <c r="I29" i="11" s="1"/>
  <c r="T80" i="3"/>
  <c r="T83" i="3" s="1"/>
  <c r="I21" i="11" l="1"/>
  <c r="I16" i="11"/>
  <c r="T84" i="3"/>
  <c r="T86" i="3"/>
  <c r="T82" i="3"/>
  <c r="T81" i="3"/>
  <c r="T87" i="3" l="1"/>
  <c r="T89" i="3"/>
  <c r="I24" i="11"/>
  <c r="I27" i="11" l="1"/>
  <c r="T93" i="3"/>
  <c r="T90" i="3"/>
  <c r="I30" i="11" l="1"/>
  <c r="I31" i="11"/>
  <c r="H41" i="11" s="1"/>
  <c r="T94" i="3"/>
  <c r="T98" i="3"/>
  <c r="T99" i="3" l="1"/>
  <c r="T143" i="3"/>
  <c r="O6" i="4" s="1"/>
  <c r="O8" i="4" s="1"/>
  <c r="T77" i="3"/>
  <c r="R8" i="14" l="1"/>
  <c r="S111" i="14"/>
  <c r="S112" i="14" s="1"/>
  <c r="S56" i="14"/>
  <c r="S53" i="14" s="1"/>
  <c r="S108" i="14"/>
  <c r="S109" i="14" s="1"/>
  <c r="S68" i="14" l="1"/>
  <c r="S63" i="14" s="1"/>
  <c r="S50" i="14"/>
  <c r="S54" i="14" l="1"/>
  <c r="S41" i="14" l="1"/>
  <c r="R41" i="14"/>
  <c r="S49" i="14"/>
  <c r="R49" i="14" l="1"/>
  <c r="R48" i="14" s="1"/>
  <c r="R45" i="14"/>
  <c r="R44" i="14" s="1"/>
  <c r="R43" i="14" s="1"/>
  <c r="S48" i="14"/>
  <c r="S45" i="14"/>
  <c r="S44" i="14" s="1"/>
  <c r="S43" i="14" l="1"/>
  <c r="H11" i="6"/>
  <c r="BA11" i="5"/>
  <c r="BA14" i="5" s="1"/>
  <c r="BC11" i="5"/>
  <c r="BC14" i="5" s="1"/>
  <c r="H15" i="6" l="1"/>
  <c r="I11" i="6"/>
  <c r="E12" i="6"/>
  <c r="E12" i="9"/>
  <c r="H13" i="6"/>
  <c r="E13" i="6"/>
  <c r="E13" i="9"/>
  <c r="H17" i="6" l="1"/>
  <c r="I15" i="6"/>
  <c r="Q13" i="9"/>
  <c r="P13" i="9"/>
  <c r="Y13" i="9" s="1"/>
  <c r="K13" i="9"/>
  <c r="L13" i="9"/>
  <c r="E11" i="9"/>
  <c r="L12" i="9"/>
  <c r="K12" i="9"/>
  <c r="P12" i="9"/>
  <c r="Y12" i="9" s="1"/>
  <c r="G12" i="9"/>
  <c r="Q12" i="9"/>
  <c r="P13" i="6"/>
  <c r="S13" i="6" s="1"/>
  <c r="Q13" i="6"/>
  <c r="I13" i="6"/>
  <c r="L13" i="6"/>
  <c r="K13" i="6"/>
  <c r="G12" i="6"/>
  <c r="Q12" i="6"/>
  <c r="E11" i="6"/>
  <c r="K12" i="6"/>
  <c r="P12" i="6"/>
  <c r="S12" i="6" s="1"/>
  <c r="L12" i="6"/>
  <c r="H19" i="6" l="1"/>
  <c r="I17" i="6"/>
  <c r="K11" i="6"/>
  <c r="Q11" i="6"/>
  <c r="P11" i="6"/>
  <c r="S11" i="6" s="1"/>
  <c r="L11" i="6"/>
  <c r="K11" i="9"/>
  <c r="Q11" i="9"/>
  <c r="P11" i="9"/>
  <c r="Y11" i="9" s="1"/>
  <c r="L11" i="9"/>
  <c r="I19" i="6" l="1"/>
  <c r="E11" i="8"/>
  <c r="AU11" i="8" s="1"/>
  <c r="E11" i="5"/>
  <c r="AU11" i="5" s="1"/>
  <c r="AU14" i="5" s="1"/>
  <c r="AB12" i="11"/>
  <c r="C11" i="5"/>
  <c r="AB19" i="11" l="1"/>
  <c r="E7" i="9"/>
  <c r="E7" i="6"/>
  <c r="S11" i="5"/>
  <c r="AS11" i="5"/>
  <c r="AS14" i="5" s="1"/>
  <c r="O11" i="5"/>
  <c r="W11" i="5"/>
  <c r="AB13" i="11"/>
  <c r="AB15" i="11" s="1"/>
  <c r="AB23" i="11" s="1"/>
  <c r="AB26" i="11" s="1"/>
  <c r="AB29" i="11" s="1"/>
  <c r="C11" i="8"/>
  <c r="I11" i="5" l="1"/>
  <c r="K11" i="5" s="1"/>
  <c r="I11" i="8"/>
  <c r="AY11" i="8" s="1"/>
  <c r="C8" i="12"/>
  <c r="E8" i="6"/>
  <c r="E8" i="9"/>
  <c r="S11" i="8"/>
  <c r="O11" i="8"/>
  <c r="W11" i="8"/>
  <c r="AS11" i="8"/>
  <c r="K7" i="6"/>
  <c r="Q7" i="6"/>
  <c r="L7" i="6"/>
  <c r="G7" i="6"/>
  <c r="P7" i="6"/>
  <c r="S7" i="6" s="1"/>
  <c r="AB18" i="11"/>
  <c r="Q7" i="9"/>
  <c r="P7" i="9"/>
  <c r="Y7" i="9" s="1"/>
  <c r="K7" i="9"/>
  <c r="G7" i="9"/>
  <c r="L7" i="9"/>
  <c r="AY11" i="5" l="1"/>
  <c r="AY14" i="5" s="1"/>
  <c r="K11" i="8"/>
  <c r="AB21" i="11"/>
  <c r="AB16" i="11"/>
  <c r="C9" i="12"/>
  <c r="F12" i="9"/>
  <c r="G8" i="9"/>
  <c r="F11" i="9"/>
  <c r="L8" i="9"/>
  <c r="F8" i="9"/>
  <c r="F13" i="9"/>
  <c r="K8" i="9"/>
  <c r="K2" i="9" s="1"/>
  <c r="E10" i="9"/>
  <c r="F14" i="9"/>
  <c r="F9" i="9"/>
  <c r="Q8" i="9"/>
  <c r="F16" i="9"/>
  <c r="F18" i="9"/>
  <c r="P8" i="9"/>
  <c r="Y8" i="9" s="1"/>
  <c r="L8" i="6"/>
  <c r="F12" i="6"/>
  <c r="F13" i="6"/>
  <c r="G8" i="6"/>
  <c r="Q8" i="6"/>
  <c r="F9" i="6"/>
  <c r="F16" i="6"/>
  <c r="F11" i="6"/>
  <c r="F14" i="6"/>
  <c r="P8" i="6"/>
  <c r="S8" i="6" s="1"/>
  <c r="E10" i="6"/>
  <c r="F18" i="6"/>
  <c r="F8" i="6"/>
  <c r="K8" i="6"/>
  <c r="K2" i="6" s="1"/>
  <c r="Q10" i="9" l="1"/>
  <c r="F10" i="9"/>
  <c r="L10" i="9"/>
  <c r="G10" i="9"/>
  <c r="E15" i="9"/>
  <c r="P10" i="9"/>
  <c r="Y10" i="9" s="1"/>
  <c r="K10" i="9"/>
  <c r="D20" i="12"/>
  <c r="D14" i="12"/>
  <c r="D17" i="12"/>
  <c r="D15" i="12"/>
  <c r="D13" i="12"/>
  <c r="D16" i="12"/>
  <c r="D9" i="12"/>
  <c r="D10" i="12"/>
  <c r="D23" i="12"/>
  <c r="AB24" i="11"/>
  <c r="F10" i="6"/>
  <c r="P10" i="6"/>
  <c r="S10" i="6" s="1"/>
  <c r="G10" i="6"/>
  <c r="E15" i="6"/>
  <c r="L10" i="6"/>
  <c r="K10" i="6"/>
  <c r="Q10" i="6"/>
  <c r="C12" i="12"/>
  <c r="D12" i="12" s="1"/>
  <c r="C11" i="12"/>
  <c r="D11" i="12" s="1"/>
  <c r="C18" i="12" l="1"/>
  <c r="D18" i="12" s="1"/>
  <c r="C19" i="12"/>
  <c r="D19" i="12" s="1"/>
  <c r="AB31" i="11"/>
  <c r="AB27" i="11"/>
  <c r="Q15" i="6"/>
  <c r="E17" i="6"/>
  <c r="F15" i="6"/>
  <c r="K15" i="6"/>
  <c r="P15" i="6"/>
  <c r="S15" i="6" s="1"/>
  <c r="L15" i="6"/>
  <c r="AB33" i="11"/>
  <c r="AA36" i="27" s="1"/>
  <c r="AH36" i="27" s="1"/>
  <c r="Q15" i="9"/>
  <c r="L15" i="9"/>
  <c r="F15" i="9"/>
  <c r="E17" i="9"/>
  <c r="P15" i="9"/>
  <c r="Y15" i="9" s="1"/>
  <c r="K15" i="9"/>
  <c r="AE11" i="8"/>
  <c r="AG11" i="8" s="1"/>
  <c r="AE11" i="5"/>
  <c r="AG11" i="5" s="1"/>
  <c r="Y11" i="8"/>
  <c r="Y11" i="5"/>
  <c r="G119" i="21" l="1"/>
  <c r="Q119" i="21" s="1"/>
  <c r="AA36" i="22"/>
  <c r="AH36" i="22" s="1"/>
  <c r="AB30" i="11"/>
  <c r="AB35" i="11"/>
  <c r="AA11" i="5"/>
  <c r="BG11" i="5"/>
  <c r="BG14" i="5" s="1"/>
  <c r="AA11" i="8"/>
  <c r="BG11" i="8"/>
  <c r="AK11" i="5"/>
  <c r="AM11" i="5" s="1"/>
  <c r="AK11" i="8"/>
  <c r="AM11" i="8" s="1"/>
  <c r="L17" i="9"/>
  <c r="F17" i="9"/>
  <c r="Q17" i="9"/>
  <c r="K17" i="9"/>
  <c r="P17" i="9"/>
  <c r="Y17" i="9" s="1"/>
  <c r="E19" i="9"/>
  <c r="Q17" i="6"/>
  <c r="F17" i="6"/>
  <c r="L17" i="6"/>
  <c r="P17" i="6"/>
  <c r="S17" i="6" s="1"/>
  <c r="K17" i="6"/>
  <c r="E19" i="6"/>
  <c r="AA38" i="22" l="1"/>
  <c r="AA39" i="22" s="1"/>
  <c r="AA38" i="27"/>
  <c r="J119" i="21"/>
  <c r="T119" i="21" s="1"/>
  <c r="Y41" i="11"/>
  <c r="G121" i="21"/>
  <c r="AB36" i="11"/>
  <c r="C21" i="12"/>
  <c r="D21" i="12" s="1"/>
  <c r="C22" i="12"/>
  <c r="D22" i="12" s="1"/>
  <c r="K19" i="9"/>
  <c r="L19" i="9"/>
  <c r="Q19" i="9"/>
  <c r="P19" i="9"/>
  <c r="F19" i="9"/>
  <c r="K19" i="6"/>
  <c r="L19" i="6"/>
  <c r="Q19" i="6"/>
  <c r="P19" i="6"/>
  <c r="F19" i="6"/>
  <c r="AH38" i="22" l="1"/>
  <c r="AH39" i="22" s="1"/>
  <c r="AA39" i="27"/>
  <c r="AH38" i="27"/>
  <c r="AH39" i="27" s="1"/>
  <c r="G122" i="21"/>
  <c r="Q122" i="21" s="1"/>
  <c r="Q121" i="21"/>
  <c r="J121" i="21"/>
  <c r="C25" i="12"/>
  <c r="D25" i="12" s="1"/>
  <c r="C24" i="12"/>
  <c r="D24" i="12" s="1"/>
  <c r="AD12" i="11" l="1"/>
  <c r="CQ17" i="22" s="1"/>
  <c r="T121" i="21"/>
  <c r="J122" i="21"/>
  <c r="T122" i="21" s="1"/>
  <c r="BS17" i="22" l="1"/>
  <c r="CI17" i="27"/>
  <c r="BS17" i="27"/>
  <c r="BK17" i="27"/>
  <c r="BC17" i="27"/>
  <c r="CQ17" i="27"/>
  <c r="CA17" i="27"/>
  <c r="G37" i="21"/>
  <c r="CA17" i="22"/>
  <c r="Q68" i="21"/>
  <c r="BC17" i="22"/>
  <c r="G68" i="21"/>
  <c r="BK17" i="22"/>
  <c r="AD19" i="11"/>
  <c r="Q37" i="21"/>
  <c r="CI17" i="22"/>
  <c r="G6" i="21"/>
  <c r="E8" i="12"/>
  <c r="G8" i="12"/>
  <c r="CY17" i="27" l="1"/>
  <c r="CY17" i="22"/>
  <c r="G99" i="21"/>
  <c r="Q99" i="21"/>
  <c r="AD33" i="11" l="1"/>
  <c r="J36" i="22" l="1"/>
  <c r="G36" i="27"/>
  <c r="Q87" i="21"/>
  <c r="G87" i="21"/>
  <c r="Q56" i="21"/>
  <c r="G56" i="21"/>
  <c r="G25" i="21"/>
  <c r="AD35" i="11"/>
  <c r="G38" i="27" l="1"/>
  <c r="J38" i="22"/>
  <c r="J39" i="22" s="1"/>
  <c r="G39" i="22"/>
  <c r="Q89" i="21"/>
  <c r="G58" i="21"/>
  <c r="G89" i="21"/>
  <c r="Q58" i="21"/>
  <c r="G27" i="21"/>
  <c r="G125" i="21"/>
  <c r="Q125" i="21"/>
  <c r="AA41" i="11"/>
  <c r="AD37" i="11"/>
  <c r="AF37" i="11"/>
  <c r="AD36" i="11"/>
  <c r="G39" i="27" l="1"/>
  <c r="G28" i="21"/>
  <c r="G127" i="21"/>
  <c r="G90" i="21"/>
  <c r="G59" i="21"/>
  <c r="Q59" i="21"/>
  <c r="Q127" i="21"/>
  <c r="Q128" i="21" s="1"/>
  <c r="Q90" i="21"/>
  <c r="BZ74" i="3"/>
  <c r="BZ75" i="3" l="1"/>
  <c r="G128" i="21"/>
  <c r="BZ111" i="3"/>
  <c r="BZ112" i="3" s="1"/>
  <c r="BZ71" i="3"/>
  <c r="BZ80" i="3"/>
  <c r="BZ108" i="3"/>
  <c r="BZ109" i="3" s="1"/>
  <c r="AA14" i="11"/>
  <c r="AA15" i="11" l="1"/>
  <c r="AA23" i="11" s="1"/>
  <c r="AA26" i="11" s="1"/>
  <c r="AA29" i="11" s="1"/>
  <c r="R70" i="21"/>
  <c r="R39" i="21"/>
  <c r="H70" i="21"/>
  <c r="H39" i="21"/>
  <c r="H8" i="21"/>
  <c r="BZ83" i="3"/>
  <c r="BZ82" i="3"/>
  <c r="BZ81" i="3"/>
  <c r="CJ20" i="22" l="1"/>
  <c r="BL20" i="22"/>
  <c r="BT20" i="22"/>
  <c r="CB20" i="22"/>
  <c r="BD20" i="22"/>
  <c r="CZ19" i="22"/>
  <c r="CR20" i="22"/>
  <c r="R40" i="21"/>
  <c r="T39" i="21"/>
  <c r="H9" i="21"/>
  <c r="H40" i="21"/>
  <c r="J39" i="21"/>
  <c r="R101" i="21"/>
  <c r="T101" i="21" s="1"/>
  <c r="R71" i="21"/>
  <c r="T70" i="21"/>
  <c r="H101" i="21"/>
  <c r="H71" i="21"/>
  <c r="J70" i="21"/>
  <c r="E10" i="12"/>
  <c r="F10" i="12" s="1"/>
  <c r="AA21" i="11"/>
  <c r="AA16" i="11"/>
  <c r="G10" i="12"/>
  <c r="H10" i="12" s="1"/>
  <c r="BZ86" i="3"/>
  <c r="BZ84" i="3"/>
  <c r="CZ20" i="22" l="1"/>
  <c r="DB19" i="22"/>
  <c r="CR21" i="22"/>
  <c r="CR27" i="22"/>
  <c r="CR41" i="22"/>
  <c r="CR42" i="22" s="1"/>
  <c r="BD27" i="22"/>
  <c r="BD41" i="22"/>
  <c r="BD42" i="22" s="1"/>
  <c r="BD21" i="22"/>
  <c r="BL41" i="22"/>
  <c r="BL42" i="22" s="1"/>
  <c r="BL21" i="22"/>
  <c r="BL27" i="22"/>
  <c r="BT41" i="22"/>
  <c r="BT42" i="22" s="1"/>
  <c r="BT27" i="22"/>
  <c r="BT21" i="22"/>
  <c r="CB41" i="22"/>
  <c r="CB42" i="22" s="1"/>
  <c r="CB21" i="22"/>
  <c r="CB27" i="22"/>
  <c r="CJ41" i="22"/>
  <c r="CJ42" i="22" s="1"/>
  <c r="CJ27" i="22"/>
  <c r="CJ21" i="22"/>
  <c r="H92" i="21"/>
  <c r="H93" i="21" s="1"/>
  <c r="H72" i="21"/>
  <c r="H78" i="21"/>
  <c r="H47" i="21"/>
  <c r="H41" i="21"/>
  <c r="H61" i="21"/>
  <c r="H62" i="21" s="1"/>
  <c r="H16" i="21"/>
  <c r="H10" i="21"/>
  <c r="H30" i="21"/>
  <c r="H31" i="21" s="1"/>
  <c r="H102" i="21"/>
  <c r="J101" i="21"/>
  <c r="R102" i="21"/>
  <c r="R72" i="21"/>
  <c r="R92" i="21"/>
  <c r="R93" i="21" s="1"/>
  <c r="R78" i="21"/>
  <c r="R61" i="21"/>
  <c r="R62" i="21" s="1"/>
  <c r="R47" i="21"/>
  <c r="R41" i="21"/>
  <c r="BZ87" i="3"/>
  <c r="BZ89" i="3"/>
  <c r="E12" i="12"/>
  <c r="F12" i="12" s="1"/>
  <c r="E11" i="12"/>
  <c r="F11" i="12" s="1"/>
  <c r="AA24" i="11"/>
  <c r="G11" i="12"/>
  <c r="H11" i="12" s="1"/>
  <c r="G12" i="12"/>
  <c r="H12" i="12" s="1"/>
  <c r="BT30" i="22" l="1"/>
  <c r="BT28" i="22"/>
  <c r="BD30" i="22"/>
  <c r="BD28" i="22"/>
  <c r="CB30" i="22"/>
  <c r="CB28" i="22"/>
  <c r="BL28" i="22"/>
  <c r="BL30" i="22"/>
  <c r="CJ30" i="22"/>
  <c r="CJ28" i="22"/>
  <c r="CR28" i="22"/>
  <c r="CR30" i="22"/>
  <c r="CZ27" i="22"/>
  <c r="CZ41" i="22"/>
  <c r="CZ42" i="22" s="1"/>
  <c r="CZ21" i="22"/>
  <c r="H17" i="21"/>
  <c r="H19" i="21"/>
  <c r="R103" i="21"/>
  <c r="R130" i="21"/>
  <c r="R131" i="21" s="1"/>
  <c r="H48" i="21"/>
  <c r="H50" i="21"/>
  <c r="H79" i="21"/>
  <c r="H81" i="21"/>
  <c r="H130" i="21"/>
  <c r="H131" i="21" s="1"/>
  <c r="H109" i="21"/>
  <c r="H103" i="21"/>
  <c r="R50" i="21"/>
  <c r="R48" i="21"/>
  <c r="R109" i="21"/>
  <c r="R110" i="21" s="1"/>
  <c r="R79" i="21"/>
  <c r="R81" i="21"/>
  <c r="AA31" i="11"/>
  <c r="X41" i="11" s="1"/>
  <c r="AA27" i="11"/>
  <c r="BZ93" i="3"/>
  <c r="BZ90" i="3"/>
  <c r="CZ30" i="22" l="1"/>
  <c r="CZ28" i="22"/>
  <c r="BL31" i="22"/>
  <c r="BL33" i="22"/>
  <c r="BL34" i="22" s="1"/>
  <c r="CB33" i="22"/>
  <c r="CB34" i="22" s="1"/>
  <c r="CB31" i="22"/>
  <c r="CR31" i="22"/>
  <c r="CR33" i="22"/>
  <c r="CR34" i="22" s="1"/>
  <c r="BD31" i="22"/>
  <c r="BD33" i="22"/>
  <c r="BD34" i="22" s="1"/>
  <c r="BT33" i="22"/>
  <c r="BT34" i="22" s="1"/>
  <c r="BT31" i="22"/>
  <c r="CJ33" i="22"/>
  <c r="CJ34" i="22" s="1"/>
  <c r="CJ31" i="22"/>
  <c r="H112" i="21"/>
  <c r="H110" i="21"/>
  <c r="H20" i="21"/>
  <c r="H22" i="21"/>
  <c r="H23" i="21" s="1"/>
  <c r="H53" i="21"/>
  <c r="H54" i="21" s="1"/>
  <c r="H51" i="21"/>
  <c r="R112" i="21"/>
  <c r="R113" i="21" s="1"/>
  <c r="R84" i="21"/>
  <c r="R82" i="21"/>
  <c r="H82" i="21"/>
  <c r="H84" i="21"/>
  <c r="H85" i="21" s="1"/>
  <c r="R53" i="21"/>
  <c r="R54" i="21" s="1"/>
  <c r="R51" i="21"/>
  <c r="BZ98" i="3"/>
  <c r="BZ143" i="3" s="1"/>
  <c r="BZ94" i="3"/>
  <c r="AA30" i="11"/>
  <c r="CZ31" i="22" l="1"/>
  <c r="CZ33" i="22"/>
  <c r="CZ34" i="22" s="1"/>
  <c r="H115" i="21"/>
  <c r="H116" i="21" s="1"/>
  <c r="H113" i="21"/>
  <c r="R115" i="21"/>
  <c r="R116" i="21" s="1"/>
  <c r="R85" i="21"/>
  <c r="G22" i="12"/>
  <c r="H22" i="12" s="1"/>
  <c r="G21" i="12"/>
  <c r="H21" i="12" s="1"/>
  <c r="BZ99" i="3"/>
  <c r="E22" i="12"/>
  <c r="F22" i="12" s="1"/>
  <c r="E21" i="12"/>
  <c r="F21" i="12" s="1"/>
  <c r="E25" i="12" l="1"/>
  <c r="F25" i="12" s="1"/>
  <c r="E24" i="12"/>
  <c r="F24" i="12" s="1"/>
  <c r="G24" i="12"/>
  <c r="H24" i="12" s="1"/>
  <c r="G25" i="12"/>
  <c r="H25" i="12" s="1"/>
  <c r="I52" i="23" l="1"/>
  <c r="I69" i="23"/>
  <c r="M51" i="20" l="1"/>
  <c r="M63" i="20" s="1"/>
  <c r="M64" i="20" s="1"/>
  <c r="M51" i="26"/>
  <c r="M63" i="26" s="1"/>
  <c r="M64" i="26" s="1"/>
  <c r="U65" i="23"/>
  <c r="U66" i="23" s="1"/>
  <c r="C36" i="23"/>
  <c r="V65" i="23" l="1"/>
  <c r="U68" i="23"/>
  <c r="U69" i="23"/>
  <c r="U67" i="23"/>
  <c r="C48" i="23"/>
  <c r="I36" i="23"/>
  <c r="K47" i="23" l="1"/>
  <c r="I48" i="23"/>
  <c r="DC26" i="22" l="1"/>
  <c r="DC32" i="22"/>
  <c r="DC29" i="22"/>
  <c r="DC15" i="22"/>
  <c r="DC17" i="22"/>
  <c r="R39" i="22"/>
  <c r="R25" i="22"/>
  <c r="R12" i="22"/>
  <c r="R23" i="22"/>
  <c r="DC22" i="22"/>
  <c r="DC16" i="22"/>
  <c r="DC19" i="22"/>
  <c r="DC24" i="22"/>
  <c r="DC18" i="22"/>
  <c r="R20" i="22"/>
  <c r="R21" i="22" s="1"/>
  <c r="R27" i="22" l="1"/>
  <c r="R30" i="22" s="1"/>
  <c r="R31" i="22" s="1"/>
  <c r="DC23" i="22"/>
  <c r="DC25" i="22"/>
  <c r="R41" i="22"/>
  <c r="R42" i="22" s="1"/>
  <c r="DC20" i="22"/>
  <c r="R33" i="22" l="1"/>
  <c r="R34" i="22" s="1"/>
  <c r="R28" i="22"/>
  <c r="DC21" i="22"/>
  <c r="DC27" i="22"/>
  <c r="DC41" i="22"/>
  <c r="DC42" i="22" s="1"/>
  <c r="DC28" i="22" l="1"/>
  <c r="DC30" i="22"/>
  <c r="DC31" i="22" l="1"/>
  <c r="DC33" i="22"/>
  <c r="DC34" i="22" s="1"/>
  <c r="C13" i="6" l="1"/>
  <c r="C13" i="9"/>
  <c r="O13" i="9" l="1"/>
  <c r="D13" i="9"/>
  <c r="J13" i="9"/>
  <c r="G13" i="9"/>
  <c r="C11" i="9"/>
  <c r="O13" i="6"/>
  <c r="J13" i="6"/>
  <c r="G13" i="6"/>
  <c r="C11" i="6"/>
  <c r="D13" i="6"/>
  <c r="J11" i="6" l="1"/>
  <c r="G11" i="6"/>
  <c r="C15" i="6"/>
  <c r="D11" i="6"/>
  <c r="O11" i="6"/>
  <c r="G11" i="9"/>
  <c r="J11" i="9"/>
  <c r="D11" i="9"/>
  <c r="C15" i="9"/>
  <c r="O11" i="9"/>
  <c r="G15" i="9" l="1"/>
  <c r="O15" i="9"/>
  <c r="D15" i="9"/>
  <c r="C17" i="9"/>
  <c r="J15" i="9"/>
  <c r="J15" i="6"/>
  <c r="D15" i="6"/>
  <c r="C17" i="6"/>
  <c r="O15" i="6"/>
  <c r="G15" i="6"/>
  <c r="C19" i="6" l="1"/>
  <c r="G17" i="6"/>
  <c r="O17" i="6"/>
  <c r="D17" i="6"/>
  <c r="J17" i="6"/>
  <c r="D17" i="9"/>
  <c r="G17" i="9"/>
  <c r="O17" i="9"/>
  <c r="C19" i="9"/>
  <c r="J17" i="9"/>
  <c r="O19" i="9" l="1"/>
  <c r="G19" i="9"/>
  <c r="D19" i="9"/>
  <c r="J19" i="9"/>
  <c r="J19" i="6"/>
  <c r="G19" i="6"/>
  <c r="O19" i="6"/>
  <c r="D19" i="6"/>
  <c r="G12" i="11" l="1"/>
  <c r="BH69" i="3" l="1"/>
  <c r="BH59" i="3"/>
  <c r="BH60" i="3"/>
  <c r="X13" i="11"/>
  <c r="CE17" i="27"/>
  <c r="BW17" i="27"/>
  <c r="AY17" i="22"/>
  <c r="BG17" i="27"/>
  <c r="BG17" i="22"/>
  <c r="AY17" i="27"/>
  <c r="CE17" i="22"/>
  <c r="BW17" i="22"/>
  <c r="BO17" i="27"/>
  <c r="E1" i="11"/>
  <c r="D1" i="11"/>
  <c r="BO17" i="22"/>
  <c r="G19" i="11"/>
  <c r="CM17" i="27"/>
  <c r="CM17" i="22"/>
  <c r="CU17" i="22" l="1"/>
  <c r="BR18" i="22"/>
  <c r="P69" i="21"/>
  <c r="F7" i="21"/>
  <c r="BZ18" i="22"/>
  <c r="BB18" i="22"/>
  <c r="BJ18" i="27"/>
  <c r="CP18" i="22"/>
  <c r="F69" i="21"/>
  <c r="BZ18" i="27"/>
  <c r="BJ18" i="22"/>
  <c r="CH18" i="27"/>
  <c r="BB18" i="27"/>
  <c r="F38" i="21"/>
  <c r="CP18" i="27"/>
  <c r="X18" i="11"/>
  <c r="CH18" i="22"/>
  <c r="BR18" i="27"/>
  <c r="P38" i="21"/>
  <c r="BH56" i="3"/>
  <c r="BG8" i="3"/>
  <c r="X12" i="11"/>
  <c r="D3" i="11"/>
  <c r="E3" i="11"/>
  <c r="CU17" i="27"/>
  <c r="BH68" i="3" l="1"/>
  <c r="BH53" i="3"/>
  <c r="BH50" i="3"/>
  <c r="CX18" i="27"/>
  <c r="BB20" i="27"/>
  <c r="BB23" i="27"/>
  <c r="BF18" i="27"/>
  <c r="BB25" i="27"/>
  <c r="BZ23" i="22"/>
  <c r="BZ25" i="22"/>
  <c r="BZ20" i="22"/>
  <c r="CD18" i="22"/>
  <c r="CH20" i="27"/>
  <c r="CL18" i="27"/>
  <c r="CH23" i="27"/>
  <c r="CH25" i="27"/>
  <c r="F12" i="21"/>
  <c r="F14" i="21"/>
  <c r="J7" i="21"/>
  <c r="F37" i="21"/>
  <c r="J37" i="21" s="1"/>
  <c r="BB17" i="27"/>
  <c r="CH17" i="27"/>
  <c r="BZ17" i="22"/>
  <c r="F6" i="21"/>
  <c r="J6" i="21" s="1"/>
  <c r="BR17" i="27"/>
  <c r="BB17" i="22"/>
  <c r="X19" i="11"/>
  <c r="BR17" i="22"/>
  <c r="P37" i="21"/>
  <c r="T37" i="21" s="1"/>
  <c r="P68" i="21"/>
  <c r="BJ17" i="27"/>
  <c r="CH17" i="22"/>
  <c r="CP17" i="27"/>
  <c r="F68" i="21"/>
  <c r="BJ17" i="22"/>
  <c r="CP17" i="22"/>
  <c r="BZ17" i="27"/>
  <c r="BN18" i="22"/>
  <c r="BJ23" i="22"/>
  <c r="BJ25" i="22"/>
  <c r="BJ20" i="22"/>
  <c r="P100" i="21"/>
  <c r="P76" i="21"/>
  <c r="T69" i="21"/>
  <c r="BF18" i="22"/>
  <c r="BB23" i="22"/>
  <c r="BB20" i="22"/>
  <c r="BB25" i="22"/>
  <c r="CX18" i="22"/>
  <c r="BR20" i="27"/>
  <c r="BR25" i="27"/>
  <c r="BV18" i="27"/>
  <c r="BR23" i="27"/>
  <c r="BZ23" i="27"/>
  <c r="BZ20" i="27"/>
  <c r="BZ25" i="27"/>
  <c r="CD18" i="27"/>
  <c r="BR20" i="22"/>
  <c r="BV18" i="22"/>
  <c r="BR25" i="22"/>
  <c r="BR23" i="22"/>
  <c r="CT18" i="27"/>
  <c r="CP25" i="27"/>
  <c r="CP20" i="27"/>
  <c r="CP23" i="27"/>
  <c r="J38" i="21"/>
  <c r="F43" i="21"/>
  <c r="F45" i="21"/>
  <c r="T38" i="21"/>
  <c r="P43" i="21"/>
  <c r="P45" i="21"/>
  <c r="CL18" i="22"/>
  <c r="CH25" i="22"/>
  <c r="CH23" i="22"/>
  <c r="CH20" i="22"/>
  <c r="F74" i="21"/>
  <c r="F100" i="21"/>
  <c r="F76" i="21"/>
  <c r="J69" i="21"/>
  <c r="CP20" i="22"/>
  <c r="CT18" i="22"/>
  <c r="CP23" i="22"/>
  <c r="CP25" i="22"/>
  <c r="BJ23" i="27"/>
  <c r="BJ20" i="27"/>
  <c r="BJ25" i="27"/>
  <c r="BN18" i="27"/>
  <c r="BJ21" i="22" l="1"/>
  <c r="BJ27" i="22"/>
  <c r="BJ41" i="22"/>
  <c r="BJ42" i="22" s="1"/>
  <c r="J76" i="21"/>
  <c r="J74" i="21"/>
  <c r="J71" i="21"/>
  <c r="CL25" i="22"/>
  <c r="CL20" i="22"/>
  <c r="CL23" i="22"/>
  <c r="J40" i="21"/>
  <c r="BB41" i="22"/>
  <c r="BB42" i="22" s="1"/>
  <c r="BB27" i="22"/>
  <c r="BB21" i="22"/>
  <c r="CT20" i="27"/>
  <c r="CT23" i="27"/>
  <c r="CT25" i="27"/>
  <c r="BZ27" i="27"/>
  <c r="BZ21" i="27"/>
  <c r="BZ41" i="27"/>
  <c r="BZ42" i="27" s="1"/>
  <c r="CT20" i="22"/>
  <c r="CT23" i="22"/>
  <c r="CT25" i="22"/>
  <c r="J100" i="21"/>
  <c r="F105" i="21"/>
  <c r="F107" i="21"/>
  <c r="BV23" i="22"/>
  <c r="BV20" i="22"/>
  <c r="BV25" i="22"/>
  <c r="BF20" i="22"/>
  <c r="BF25" i="22"/>
  <c r="BF23" i="22"/>
  <c r="BN20" i="22"/>
  <c r="BN23" i="22"/>
  <c r="BN25" i="22"/>
  <c r="P99" i="21"/>
  <c r="T99" i="21" s="1"/>
  <c r="T68" i="21"/>
  <c r="BF23" i="27"/>
  <c r="BF20" i="27"/>
  <c r="BF25" i="27"/>
  <c r="CH21" i="22"/>
  <c r="CH27" i="22"/>
  <c r="CH41" i="22"/>
  <c r="CH42" i="22" s="1"/>
  <c r="CP27" i="22"/>
  <c r="CP41" i="22"/>
  <c r="CP42" i="22" s="1"/>
  <c r="CP21" i="22"/>
  <c r="T40" i="21"/>
  <c r="J45" i="21"/>
  <c r="J43" i="21"/>
  <c r="BR27" i="22"/>
  <c r="BR41" i="22"/>
  <c r="BR42" i="22" s="1"/>
  <c r="BR21" i="22"/>
  <c r="BR27" i="27"/>
  <c r="BR41" i="27"/>
  <c r="BR42" i="27" s="1"/>
  <c r="BR21" i="27"/>
  <c r="T76" i="21"/>
  <c r="T105" i="21"/>
  <c r="T107" i="21"/>
  <c r="T74" i="21"/>
  <c r="CX17" i="27"/>
  <c r="CL20" i="27"/>
  <c r="CL25" i="27"/>
  <c r="CL23" i="27"/>
  <c r="G47" i="11"/>
  <c r="BJ27" i="27"/>
  <c r="BJ41" i="27"/>
  <c r="BJ42" i="27" s="1"/>
  <c r="BJ21" i="27"/>
  <c r="BV25" i="27"/>
  <c r="BV20" i="27"/>
  <c r="BV23" i="27"/>
  <c r="BN25" i="27"/>
  <c r="BN20" i="27"/>
  <c r="BN23" i="27"/>
  <c r="T45" i="21"/>
  <c r="T43" i="21"/>
  <c r="CD20" i="27"/>
  <c r="CD23" i="27"/>
  <c r="CD25" i="27"/>
  <c r="CH41" i="27"/>
  <c r="CH42" i="27" s="1"/>
  <c r="CH21" i="27"/>
  <c r="CH27" i="27"/>
  <c r="BB27" i="27"/>
  <c r="BB41" i="27"/>
  <c r="BB42" i="27" s="1"/>
  <c r="BB21" i="27"/>
  <c r="CP27" i="27"/>
  <c r="CP41" i="27"/>
  <c r="CP42" i="27" s="1"/>
  <c r="CP21" i="27"/>
  <c r="T100" i="21"/>
  <c r="P105" i="21"/>
  <c r="P107" i="21"/>
  <c r="J14" i="21"/>
  <c r="J12" i="21"/>
  <c r="CD20" i="22"/>
  <c r="CD23" i="22"/>
  <c r="CD25" i="22"/>
  <c r="CX20" i="27"/>
  <c r="DB18" i="27"/>
  <c r="CX25" i="27"/>
  <c r="CX23" i="27"/>
  <c r="CX25" i="22"/>
  <c r="CX20" i="22"/>
  <c r="DB18" i="22"/>
  <c r="CX23" i="22"/>
  <c r="T71" i="21"/>
  <c r="F99" i="21"/>
  <c r="J99" i="21" s="1"/>
  <c r="J68" i="21"/>
  <c r="CX17" i="22"/>
  <c r="BZ41" i="22"/>
  <c r="BZ42" i="22" s="1"/>
  <c r="BZ27" i="22"/>
  <c r="BZ21" i="22"/>
  <c r="BH54" i="3"/>
  <c r="DE22" i="27" l="1"/>
  <c r="DB25" i="27"/>
  <c r="DB20" i="27"/>
  <c r="DB23" i="27"/>
  <c r="BR30" i="22"/>
  <c r="BR28" i="22"/>
  <c r="DB20" i="22"/>
  <c r="DB23" i="22"/>
  <c r="DE22" i="22"/>
  <c r="DB25" i="22"/>
  <c r="CX27" i="27"/>
  <c r="CX21" i="27"/>
  <c r="CX41" i="27"/>
  <c r="CX42" i="27" s="1"/>
  <c r="CP28" i="22"/>
  <c r="CP30" i="22"/>
  <c r="BF27" i="22"/>
  <c r="BF41" i="22"/>
  <c r="BF42" i="22" s="1"/>
  <c r="BF21" i="22"/>
  <c r="J78" i="21"/>
  <c r="J72" i="21"/>
  <c r="J92" i="21"/>
  <c r="J93" i="21" s="1"/>
  <c r="G33" i="11"/>
  <c r="C87" i="21" s="1"/>
  <c r="G51" i="11"/>
  <c r="G49" i="11"/>
  <c r="BB30" i="22"/>
  <c r="BB28" i="22"/>
  <c r="BV27" i="27"/>
  <c r="BV21" i="27"/>
  <c r="BV41" i="27"/>
  <c r="BV42" i="27" s="1"/>
  <c r="BF27" i="27"/>
  <c r="BF41" i="27"/>
  <c r="BF42" i="27" s="1"/>
  <c r="BF21" i="27"/>
  <c r="BB30" i="27"/>
  <c r="BB28" i="27"/>
  <c r="T102" i="21"/>
  <c r="CH30" i="27"/>
  <c r="CH28" i="27"/>
  <c r="T47" i="21"/>
  <c r="T41" i="21"/>
  <c r="T61" i="21"/>
  <c r="T62" i="21" s="1"/>
  <c r="CH30" i="22"/>
  <c r="CH28" i="22"/>
  <c r="BV21" i="22"/>
  <c r="BV41" i="22"/>
  <c r="BV42" i="22" s="1"/>
  <c r="BV27" i="22"/>
  <c r="CT27" i="22"/>
  <c r="CT21" i="22"/>
  <c r="CT41" i="22"/>
  <c r="CT42" i="22" s="1"/>
  <c r="CT27" i="27"/>
  <c r="CT41" i="27"/>
  <c r="CT42" i="27" s="1"/>
  <c r="CT21" i="27"/>
  <c r="CX21" i="22"/>
  <c r="CX27" i="22"/>
  <c r="CX41" i="22"/>
  <c r="CX42" i="22" s="1"/>
  <c r="BH41" i="3"/>
  <c r="BG41" i="3"/>
  <c r="CD41" i="22"/>
  <c r="CD42" i="22" s="1"/>
  <c r="CD21" i="22"/>
  <c r="CD27" i="22"/>
  <c r="CL27" i="27"/>
  <c r="CL21" i="27"/>
  <c r="CL41" i="27"/>
  <c r="CL42" i="27" s="1"/>
  <c r="J61" i="21"/>
  <c r="J62" i="21" s="1"/>
  <c r="J47" i="21"/>
  <c r="J41" i="21"/>
  <c r="BH49" i="3"/>
  <c r="CD21" i="27"/>
  <c r="CD27" i="27"/>
  <c r="CD41" i="27"/>
  <c r="CD42" i="27" s="1"/>
  <c r="BR28" i="27"/>
  <c r="BR30" i="27"/>
  <c r="BN21" i="22"/>
  <c r="BN27" i="22"/>
  <c r="BN41" i="22"/>
  <c r="BN42" i="22" s="1"/>
  <c r="BZ30" i="27"/>
  <c r="BZ28" i="27"/>
  <c r="BJ30" i="22"/>
  <c r="BJ28" i="22"/>
  <c r="J102" i="21"/>
  <c r="J105" i="21"/>
  <c r="J107" i="21"/>
  <c r="BZ28" i="22"/>
  <c r="BZ30" i="22"/>
  <c r="T78" i="21"/>
  <c r="T72" i="21"/>
  <c r="T92" i="21"/>
  <c r="T93" i="21" s="1"/>
  <c r="BJ30" i="27"/>
  <c r="BJ28" i="27"/>
  <c r="CP28" i="27"/>
  <c r="CP30" i="27"/>
  <c r="BN27" i="27"/>
  <c r="BN21" i="27"/>
  <c r="BN41" i="27"/>
  <c r="BN42" i="27" s="1"/>
  <c r="CL27" i="22"/>
  <c r="CL21" i="22"/>
  <c r="CL41" i="22"/>
  <c r="CL42" i="22" s="1"/>
  <c r="BZ31" i="22" l="1"/>
  <c r="BZ33" i="22"/>
  <c r="BZ34" i="22" s="1"/>
  <c r="CH33" i="27"/>
  <c r="CH34" i="27" s="1"/>
  <c r="CH31" i="27"/>
  <c r="DB41" i="22"/>
  <c r="DB42" i="22" s="1"/>
  <c r="DB27" i="22"/>
  <c r="DB21" i="22"/>
  <c r="CD30" i="27"/>
  <c r="CD28" i="27"/>
  <c r="T109" i="21"/>
  <c r="T103" i="21"/>
  <c r="T130" i="21"/>
  <c r="T131" i="21" s="1"/>
  <c r="BF28" i="27"/>
  <c r="BF30" i="27"/>
  <c r="CT30" i="27"/>
  <c r="CT28" i="27"/>
  <c r="CH31" i="22"/>
  <c r="CH33" i="22"/>
  <c r="CH34" i="22" s="1"/>
  <c r="BV28" i="27"/>
  <c r="BV30" i="27"/>
  <c r="J79" i="21"/>
  <c r="J81" i="21"/>
  <c r="BR33" i="22"/>
  <c r="BR34" i="22" s="1"/>
  <c r="BR31" i="22"/>
  <c r="CP31" i="27"/>
  <c r="CP33" i="27"/>
  <c r="CP34" i="27" s="1"/>
  <c r="BJ31" i="27"/>
  <c r="BJ33" i="27"/>
  <c r="BJ34" i="27" s="1"/>
  <c r="J109" i="21"/>
  <c r="J130" i="21"/>
  <c r="J131" i="21" s="1"/>
  <c r="J103" i="21"/>
  <c r="BG45" i="3"/>
  <c r="BG44" i="3" s="1"/>
  <c r="BG43" i="3" s="1"/>
  <c r="BH48" i="3"/>
  <c r="BG49" i="3"/>
  <c r="BG48" i="3" s="1"/>
  <c r="BH45" i="3"/>
  <c r="BZ33" i="27"/>
  <c r="BZ34" i="27" s="1"/>
  <c r="BZ31" i="27"/>
  <c r="BN28" i="27"/>
  <c r="BN30" i="27"/>
  <c r="BN28" i="22"/>
  <c r="BN30" i="22"/>
  <c r="CX30" i="22"/>
  <c r="CX28" i="22"/>
  <c r="BB33" i="27"/>
  <c r="BB34" i="27" s="1"/>
  <c r="BB31" i="27"/>
  <c r="BB31" i="22"/>
  <c r="BB33" i="22"/>
  <c r="BB34" i="22" s="1"/>
  <c r="CX28" i="27"/>
  <c r="CX30" i="27"/>
  <c r="DB27" i="27"/>
  <c r="DB21" i="27"/>
  <c r="DB41" i="27"/>
  <c r="DB42" i="27" s="1"/>
  <c r="BJ31" i="22"/>
  <c r="BJ33" i="22"/>
  <c r="BJ34" i="22" s="1"/>
  <c r="J48" i="21"/>
  <c r="J50" i="21"/>
  <c r="CT30" i="22"/>
  <c r="CT28" i="22"/>
  <c r="T48" i="21"/>
  <c r="T50" i="21"/>
  <c r="G35" i="11"/>
  <c r="G50" i="11"/>
  <c r="BF30" i="22"/>
  <c r="BF28" i="22"/>
  <c r="C125" i="21"/>
  <c r="CL30" i="27"/>
  <c r="CL28" i="27"/>
  <c r="CL30" i="22"/>
  <c r="CL28" i="22"/>
  <c r="T81" i="21"/>
  <c r="T79" i="21"/>
  <c r="BR31" i="27"/>
  <c r="BR33" i="27"/>
  <c r="BR34" i="27" s="1"/>
  <c r="CD30" i="22"/>
  <c r="CD28" i="22"/>
  <c r="BV30" i="22"/>
  <c r="BV28" i="22"/>
  <c r="G52" i="11"/>
  <c r="CP33" i="22"/>
  <c r="CP34" i="22" s="1"/>
  <c r="CP31" i="22"/>
  <c r="BF31" i="22" l="1"/>
  <c r="BF33" i="22"/>
  <c r="BF34" i="22" s="1"/>
  <c r="J84" i="21"/>
  <c r="J85" i="21" s="1"/>
  <c r="J82" i="21"/>
  <c r="DB30" i="22"/>
  <c r="DB28" i="22"/>
  <c r="CL31" i="22"/>
  <c r="CL33" i="22"/>
  <c r="CL34" i="22" s="1"/>
  <c r="BV31" i="27"/>
  <c r="BV33" i="27"/>
  <c r="BV34" i="27" s="1"/>
  <c r="T112" i="21"/>
  <c r="T110" i="21"/>
  <c r="BV33" i="22"/>
  <c r="BV34" i="22" s="1"/>
  <c r="BV31" i="22"/>
  <c r="CD31" i="22"/>
  <c r="CD33" i="22"/>
  <c r="CD34" i="22" s="1"/>
  <c r="F41" i="11"/>
  <c r="G37" i="11"/>
  <c r="G36" i="11"/>
  <c r="C89" i="21"/>
  <c r="T53" i="21"/>
  <c r="T54" i="21" s="1"/>
  <c r="T51" i="21"/>
  <c r="X33" i="11"/>
  <c r="BH44" i="3"/>
  <c r="J110" i="21"/>
  <c r="J112" i="21"/>
  <c r="CX33" i="22"/>
  <c r="CX34" i="22" s="1"/>
  <c r="CX31" i="22"/>
  <c r="CD33" i="27"/>
  <c r="CD34" i="27" s="1"/>
  <c r="CD31" i="27"/>
  <c r="CX31" i="27"/>
  <c r="CX33" i="27"/>
  <c r="CX34" i="27" s="1"/>
  <c r="BN31" i="22"/>
  <c r="BN33" i="22"/>
  <c r="BN34" i="22" s="1"/>
  <c r="DB30" i="27"/>
  <c r="DB28" i="27"/>
  <c r="T84" i="21"/>
  <c r="T85" i="21" s="1"/>
  <c r="T82" i="21"/>
  <c r="CT31" i="22"/>
  <c r="CT33" i="22"/>
  <c r="CT34" i="22" s="1"/>
  <c r="BF31" i="27"/>
  <c r="BF33" i="27"/>
  <c r="BF34" i="27" s="1"/>
  <c r="J51" i="21"/>
  <c r="J53" i="21"/>
  <c r="J54" i="21" s="1"/>
  <c r="CL33" i="27"/>
  <c r="CL34" i="27" s="1"/>
  <c r="CL31" i="27"/>
  <c r="BN33" i="27"/>
  <c r="BN34" i="27" s="1"/>
  <c r="BN31" i="27"/>
  <c r="CT31" i="27"/>
  <c r="CT33" i="27"/>
  <c r="CT34" i="27" s="1"/>
  <c r="BH43" i="3" l="1"/>
  <c r="DB31" i="22"/>
  <c r="DB33" i="22"/>
  <c r="DB34" i="22" s="1"/>
  <c r="J113" i="21"/>
  <c r="J115" i="21"/>
  <c r="C90" i="21"/>
  <c r="C127" i="21"/>
  <c r="F25" i="21"/>
  <c r="J25" i="21" s="1"/>
  <c r="P56" i="21"/>
  <c r="T56" i="21" s="1"/>
  <c r="X35" i="11"/>
  <c r="P87" i="21"/>
  <c r="F56" i="21"/>
  <c r="J56" i="21" s="1"/>
  <c r="F87" i="21"/>
  <c r="F36" i="27"/>
  <c r="J36" i="27" s="1"/>
  <c r="T115" i="21"/>
  <c r="T116" i="21" s="1"/>
  <c r="T113" i="21"/>
  <c r="DB33" i="27"/>
  <c r="DB34" i="27" s="1"/>
  <c r="DB31" i="27"/>
  <c r="F125" i="21" l="1"/>
  <c r="J125" i="21" s="1"/>
  <c r="J87" i="21"/>
  <c r="J116" i="21"/>
  <c r="H147" i="21"/>
  <c r="C128" i="21"/>
  <c r="F58" i="21"/>
  <c r="F38" i="27"/>
  <c r="X36" i="11"/>
  <c r="P58" i="21"/>
  <c r="T58" i="21" s="1"/>
  <c r="T59" i="21" s="1"/>
  <c r="P89" i="21"/>
  <c r="X37" i="11"/>
  <c r="F89" i="21"/>
  <c r="Z37" i="11"/>
  <c r="F27" i="21"/>
  <c r="T87" i="21"/>
  <c r="T125" i="21" s="1"/>
  <c r="P125" i="21"/>
  <c r="F28" i="21" l="1"/>
  <c r="J27" i="21"/>
  <c r="J28" i="21" s="1"/>
  <c r="F39" i="27"/>
  <c r="J38" i="27"/>
  <c r="J39" i="27" s="1"/>
  <c r="T89" i="21"/>
  <c r="P127" i="21"/>
  <c r="P128" i="21" s="1"/>
  <c r="P90" i="21"/>
  <c r="F90" i="21"/>
  <c r="F127" i="21"/>
  <c r="J89" i="21"/>
  <c r="J90" i="21" s="1"/>
  <c r="F59" i="21"/>
  <c r="P59" i="21"/>
  <c r="J58" i="21"/>
  <c r="J59" i="21" s="1"/>
  <c r="T90" i="21" l="1"/>
  <c r="T127" i="21"/>
  <c r="T128" i="21" s="1"/>
  <c r="F128" i="21"/>
  <c r="J127" i="21"/>
  <c r="J128" i="21" s="1"/>
  <c r="M12" i="11" l="1"/>
  <c r="K1" i="11" s="1"/>
  <c r="CF17" i="22"/>
  <c r="CL17" i="22" s="1"/>
  <c r="BH17" i="22"/>
  <c r="BN17" i="22" s="1"/>
  <c r="BP17" i="27" l="1"/>
  <c r="BV17" i="27" s="1"/>
  <c r="M19" i="11"/>
  <c r="K3" i="11" s="1"/>
  <c r="J1" i="11"/>
  <c r="BH17" i="27"/>
  <c r="BN17" i="27" s="1"/>
  <c r="CF17" i="27"/>
  <c r="CL17" i="27" s="1"/>
  <c r="AZ17" i="22"/>
  <c r="CV17" i="22" s="1"/>
  <c r="DB17" i="22" s="1"/>
  <c r="BP17" i="22"/>
  <c r="BV17" i="22" s="1"/>
  <c r="AZ17" i="27"/>
  <c r="CV17" i="27" s="1"/>
  <c r="DB17" i="27" s="1"/>
  <c r="CN17" i="27"/>
  <c r="CT17" i="27" s="1"/>
  <c r="CN17" i="22"/>
  <c r="CT17" i="22" s="1"/>
  <c r="BX17" i="27"/>
  <c r="CD17" i="27" s="1"/>
  <c r="BX17" i="22"/>
  <c r="CD17" i="22" s="1"/>
  <c r="BF17" i="22"/>
  <c r="BF17" i="27"/>
  <c r="J3" i="11" l="1"/>
  <c r="M47" i="11"/>
  <c r="M33" i="11" l="1"/>
  <c r="M51" i="11"/>
  <c r="M49" i="11"/>
  <c r="M52" i="11" l="1"/>
  <c r="M35" i="11"/>
  <c r="M50" i="11"/>
  <c r="M37" i="11" l="1"/>
  <c r="M36" i="11"/>
  <c r="BP49" i="28" l="1"/>
  <c r="BP41" i="28" s="1"/>
  <c r="BP44" i="28" s="1"/>
  <c r="BP43" i="28" s="1"/>
  <c r="BP48" i="28" l="1"/>
  <c r="BP51" i="28" s="1"/>
  <c r="BP50" i="28" s="1"/>
  <c r="CE48" i="28" l="1"/>
  <c r="Y111" i="13"/>
  <c r="Y112" i="13" s="1"/>
  <c r="AG108" i="13"/>
  <c r="AG109" i="13" s="1"/>
  <c r="AE108" i="13"/>
  <c r="AE109" i="13" s="1"/>
  <c r="U111" i="13"/>
  <c r="U112" i="13" s="1"/>
  <c r="U108" i="13"/>
  <c r="U109" i="13" s="1"/>
  <c r="AC108" i="13"/>
  <c r="AC109" i="13" s="1"/>
  <c r="AE111" i="13"/>
  <c r="AE112" i="13" s="1"/>
  <c r="AI108" i="13"/>
  <c r="AI109" i="13" s="1"/>
  <c r="AC111" i="13"/>
  <c r="AC112" i="13" s="1"/>
  <c r="AG111" i="13"/>
  <c r="AG112" i="13" s="1"/>
  <c r="AI111" i="13"/>
  <c r="AI112" i="13" s="1"/>
  <c r="Y108" i="13"/>
  <c r="Y109" i="13" s="1"/>
  <c r="AA111" i="13"/>
  <c r="AA112" i="13" s="1"/>
  <c r="AA108" i="13"/>
  <c r="AA109" i="13" s="1"/>
  <c r="W80" i="13"/>
  <c r="W82" i="13" s="1"/>
  <c r="U75" i="13"/>
  <c r="U71" i="13"/>
  <c r="AG75" i="13"/>
  <c r="AG71" i="13"/>
  <c r="W108" i="13"/>
  <c r="W109" i="13" s="1"/>
  <c r="AC71" i="13"/>
  <c r="AC75" i="13"/>
  <c r="AI71" i="13"/>
  <c r="W71" i="13"/>
  <c r="W75" i="13"/>
  <c r="AA71" i="13"/>
  <c r="AA75" i="13"/>
  <c r="AE80" i="13"/>
  <c r="AE81" i="13" s="1"/>
  <c r="AI80" i="13"/>
  <c r="AI82" i="13" s="1"/>
  <c r="U80" i="13"/>
  <c r="U83" i="13" s="1"/>
  <c r="AI76" i="13"/>
  <c r="AE71" i="13"/>
  <c r="AE76" i="13"/>
  <c r="AE75" i="13"/>
  <c r="AG80" i="13"/>
  <c r="AG82" i="13" s="1"/>
  <c r="AC76" i="13"/>
  <c r="AC80" i="13"/>
  <c r="AC82" i="13" s="1"/>
  <c r="AA76" i="13"/>
  <c r="AA80" i="13"/>
  <c r="AA81" i="13" s="1"/>
  <c r="W76" i="13"/>
  <c r="W111" i="13"/>
  <c r="W112" i="13" s="1"/>
  <c r="Y75" i="13"/>
  <c r="Y71" i="13"/>
  <c r="Y76" i="13"/>
  <c r="Y80" i="13"/>
  <c r="Y81" i="13" s="1"/>
  <c r="U76" i="13"/>
  <c r="AI83" i="13" l="1"/>
  <c r="AI84" i="13" s="1"/>
  <c r="Y83" i="13"/>
  <c r="Y84" i="13" s="1"/>
  <c r="U81" i="13"/>
  <c r="Y86" i="13"/>
  <c r="AG83" i="13"/>
  <c r="AG86" i="13" s="1"/>
  <c r="AG87" i="13" s="1"/>
  <c r="AE83" i="13"/>
  <c r="AE84" i="13" s="1"/>
  <c r="AC83" i="13"/>
  <c r="M77" i="3"/>
  <c r="AG81" i="13"/>
  <c r="Y82" i="13"/>
  <c r="AE82" i="13"/>
  <c r="U86" i="13"/>
  <c r="U84" i="13"/>
  <c r="W83" i="13"/>
  <c r="W81" i="13"/>
  <c r="U82" i="13"/>
  <c r="AC81" i="13"/>
  <c r="AA82" i="13"/>
  <c r="K77" i="3"/>
  <c r="K76" i="3" s="1"/>
  <c r="K74" i="3" s="1"/>
  <c r="AA83" i="13"/>
  <c r="AI86" i="13"/>
  <c r="AI81" i="13"/>
  <c r="AG76" i="13"/>
  <c r="AG84" i="13" l="1"/>
  <c r="AG89" i="13"/>
  <c r="AG93" i="13" s="1"/>
  <c r="AE86" i="13"/>
  <c r="AE87" i="13" s="1"/>
  <c r="AC84" i="13"/>
  <c r="AC86" i="13"/>
  <c r="Y89" i="13"/>
  <c r="Y87" i="13"/>
  <c r="K75" i="3"/>
  <c r="K80" i="3"/>
  <c r="E14" i="11"/>
  <c r="K71" i="3"/>
  <c r="K108" i="3"/>
  <c r="K109" i="3" s="1"/>
  <c r="K111" i="3"/>
  <c r="K112" i="3" s="1"/>
  <c r="AI89" i="13"/>
  <c r="AI87" i="13"/>
  <c r="AA84" i="13"/>
  <c r="AA86" i="13"/>
  <c r="U87" i="13"/>
  <c r="U89" i="13"/>
  <c r="W86" i="13"/>
  <c r="W84" i="13"/>
  <c r="AG90" i="13" l="1"/>
  <c r="AE89" i="13"/>
  <c r="AE93" i="13" s="1"/>
  <c r="Y93" i="13"/>
  <c r="Y90" i="13"/>
  <c r="AC89" i="13"/>
  <c r="AC87" i="13"/>
  <c r="K147" i="3"/>
  <c r="K82" i="3"/>
  <c r="E15" i="11"/>
  <c r="D4" i="11"/>
  <c r="E4" i="11"/>
  <c r="C8" i="21"/>
  <c r="C9" i="21" s="1"/>
  <c r="K83" i="3"/>
  <c r="K81" i="3"/>
  <c r="W87" i="13"/>
  <c r="W89" i="13"/>
  <c r="AA89" i="13"/>
  <c r="AA87" i="13"/>
  <c r="AG94" i="13"/>
  <c r="AG98" i="13"/>
  <c r="AI93" i="13"/>
  <c r="AI90" i="13"/>
  <c r="U93" i="13"/>
  <c r="U90" i="13"/>
  <c r="AE90" i="13" l="1"/>
  <c r="AC90" i="13"/>
  <c r="AC93" i="13"/>
  <c r="Y94" i="13"/>
  <c r="Y98" i="13"/>
  <c r="K84" i="3"/>
  <c r="K86" i="3"/>
  <c r="C30" i="21"/>
  <c r="C31" i="21" s="1"/>
  <c r="C10" i="21"/>
  <c r="C16" i="21"/>
  <c r="E23" i="11"/>
  <c r="E16" i="11"/>
  <c r="E21" i="11"/>
  <c r="O5" i="16"/>
  <c r="P5" i="16" s="1"/>
  <c r="AE98" i="13"/>
  <c r="AE94" i="13"/>
  <c r="AI94" i="13"/>
  <c r="AI98" i="13"/>
  <c r="W90" i="13"/>
  <c r="W93" i="13"/>
  <c r="AG144" i="13"/>
  <c r="AG99" i="13"/>
  <c r="AG124" i="13" s="1"/>
  <c r="AA90" i="13"/>
  <c r="AA93" i="13"/>
  <c r="U94" i="13"/>
  <c r="U98" i="13"/>
  <c r="AC94" i="13" l="1"/>
  <c r="AC98" i="13"/>
  <c r="Y99" i="13"/>
  <c r="Y124" i="13" s="1"/>
  <c r="Y144" i="13"/>
  <c r="AE99" i="13"/>
  <c r="AE124" i="13" s="1"/>
  <c r="AE144" i="13"/>
  <c r="C17" i="21"/>
  <c r="C19" i="21"/>
  <c r="K87" i="3"/>
  <c r="K89" i="3"/>
  <c r="E26" i="11"/>
  <c r="E24" i="11"/>
  <c r="AA94" i="13"/>
  <c r="AA98" i="13"/>
  <c r="W98" i="13"/>
  <c r="W94" i="13"/>
  <c r="AI99" i="13"/>
  <c r="AI124" i="13" s="1"/>
  <c r="AI144" i="13"/>
  <c r="U99" i="13"/>
  <c r="U124" i="13" s="1"/>
  <c r="U144" i="13"/>
  <c r="AC144" i="13" l="1"/>
  <c r="AC99" i="13"/>
  <c r="AC124" i="13" s="1"/>
  <c r="E29" i="11"/>
  <c r="E27" i="11"/>
  <c r="K90" i="3"/>
  <c r="K93" i="3"/>
  <c r="C22" i="21"/>
  <c r="C23" i="21" s="1"/>
  <c r="C20" i="21"/>
  <c r="W99" i="13"/>
  <c r="W124" i="13" s="1"/>
  <c r="W144" i="13"/>
  <c r="AA144" i="13"/>
  <c r="AA99" i="13"/>
  <c r="AA124" i="13" s="1"/>
  <c r="K94" i="3" l="1"/>
  <c r="K98" i="3"/>
  <c r="E31" i="11"/>
  <c r="E30" i="11"/>
  <c r="E41" i="11" l="1"/>
  <c r="E5" i="11"/>
  <c r="D5" i="11"/>
  <c r="K146" i="3"/>
  <c r="K143" i="3"/>
  <c r="K99" i="3"/>
  <c r="F198" i="3" l="1"/>
  <c r="M132" i="3"/>
  <c r="AM132" i="3"/>
  <c r="AM76" i="3"/>
  <c r="AM74" i="3" s="1"/>
  <c r="M76" i="3"/>
  <c r="M74" i="3" s="1"/>
  <c r="G198" i="3"/>
  <c r="G200" i="3" s="1"/>
  <c r="AM129" i="3"/>
  <c r="AM130" i="3" s="1"/>
  <c r="AM48" i="3"/>
  <c r="AM126" i="3"/>
  <c r="AM127" i="3" s="1"/>
  <c r="AM69" i="3"/>
  <c r="M129" i="3"/>
  <c r="M130" i="3" s="1"/>
  <c r="M48" i="3"/>
  <c r="M126" i="3"/>
  <c r="M127" i="3" s="1"/>
  <c r="M69" i="3"/>
  <c r="E214" i="3" l="1"/>
  <c r="E215" i="3" s="1"/>
  <c r="AM148" i="3"/>
  <c r="M133" i="3"/>
  <c r="M141" i="3" s="1"/>
  <c r="M148" i="3"/>
  <c r="F200" i="3"/>
  <c r="G199" i="3"/>
  <c r="G201" i="3" s="1"/>
  <c r="AM133" i="3"/>
  <c r="F212" i="3"/>
  <c r="AM111" i="3"/>
  <c r="AM112" i="3" s="1"/>
  <c r="AM108" i="3"/>
  <c r="AM109" i="3" s="1"/>
  <c r="AM75" i="3"/>
  <c r="Q14" i="11"/>
  <c r="E8" i="21" s="1"/>
  <c r="E9" i="21" s="1"/>
  <c r="E207" i="3"/>
  <c r="E175" i="3" s="1"/>
  <c r="G175" i="3" s="1"/>
  <c r="E166" i="3"/>
  <c r="M71" i="3"/>
  <c r="M80" i="3"/>
  <c r="M82" i="3" s="1"/>
  <c r="M108" i="3"/>
  <c r="M109" i="3" s="1"/>
  <c r="M75" i="3"/>
  <c r="M111" i="3"/>
  <c r="M112" i="3" s="1"/>
  <c r="AX74" i="3"/>
  <c r="F205" i="3"/>
  <c r="AM80" i="3"/>
  <c r="AM147" i="3" s="1"/>
  <c r="AM71" i="3"/>
  <c r="E182" i="3" l="1"/>
  <c r="G182" i="3" s="1"/>
  <c r="M147" i="3"/>
  <c r="J147" i="3" s="1"/>
  <c r="J146" i="3" s="1"/>
  <c r="E168" i="3"/>
  <c r="G168" i="3" s="1"/>
  <c r="Q15" i="11"/>
  <c r="O13" i="16" s="1"/>
  <c r="P13" i="16" s="1"/>
  <c r="G166" i="3"/>
  <c r="Q4" i="11"/>
  <c r="P4" i="11"/>
  <c r="E180" i="3"/>
  <c r="G180" i="3" s="1"/>
  <c r="F215" i="3"/>
  <c r="E208" i="3"/>
  <c r="E199" i="3" s="1"/>
  <c r="E201" i="3" s="1"/>
  <c r="AM83" i="3"/>
  <c r="AM81" i="3"/>
  <c r="AM82" i="3"/>
  <c r="F208" i="3"/>
  <c r="F199" i="3" s="1"/>
  <c r="F201" i="3" s="1"/>
  <c r="E173" i="3"/>
  <c r="G173" i="3" s="1"/>
  <c r="M81" i="3"/>
  <c r="M83" i="3"/>
  <c r="E16" i="21"/>
  <c r="E10" i="21"/>
  <c r="E30" i="21"/>
  <c r="E31" i="21" s="1"/>
  <c r="AX76" i="3"/>
  <c r="AX77" i="3" s="1"/>
  <c r="AX75" i="3"/>
  <c r="AX111" i="3"/>
  <c r="AX112" i="3" s="1"/>
  <c r="AX71" i="3"/>
  <c r="AX108" i="3"/>
  <c r="AX109" i="3" s="1"/>
  <c r="AX80" i="3"/>
  <c r="Q16" i="11" l="1"/>
  <c r="Q23" i="11"/>
  <c r="Q26" i="11" s="1"/>
  <c r="Q21" i="11"/>
  <c r="E183" i="3"/>
  <c r="G183" i="3" s="1"/>
  <c r="E176" i="3"/>
  <c r="G176" i="3" s="1"/>
  <c r="E17" i="21"/>
  <c r="E19" i="21"/>
  <c r="AX83" i="3"/>
  <c r="AX81" i="3"/>
  <c r="AX82" i="3"/>
  <c r="M84" i="3"/>
  <c r="M86" i="3"/>
  <c r="AM84" i="3"/>
  <c r="AM86" i="3"/>
  <c r="Q24" i="11" l="1"/>
  <c r="E167" i="3"/>
  <c r="Q29" i="11"/>
  <c r="Q27" i="11"/>
  <c r="M89" i="3"/>
  <c r="M87" i="3"/>
  <c r="AM87" i="3"/>
  <c r="AM89" i="3"/>
  <c r="AX84" i="3"/>
  <c r="AX86" i="3"/>
  <c r="E22" i="21"/>
  <c r="E23" i="21" s="1"/>
  <c r="E20" i="21"/>
  <c r="E169" i="3" l="1"/>
  <c r="G169" i="3" s="1"/>
  <c r="G167" i="3"/>
  <c r="Q30" i="11"/>
  <c r="Q31" i="11"/>
  <c r="AX89" i="3"/>
  <c r="AX87" i="3"/>
  <c r="AM93" i="3"/>
  <c r="AM90" i="3"/>
  <c r="M93" i="3"/>
  <c r="M90" i="3"/>
  <c r="P5" i="11" l="1"/>
  <c r="O41" i="11"/>
  <c r="Q5" i="11"/>
  <c r="M94" i="3"/>
  <c r="M98" i="3"/>
  <c r="AM94" i="3"/>
  <c r="AM98" i="3"/>
  <c r="AX90" i="3"/>
  <c r="AX93" i="3"/>
  <c r="AX94" i="3" l="1"/>
  <c r="AX98" i="3"/>
  <c r="AM99" i="3"/>
  <c r="AM143" i="3"/>
  <c r="M99" i="3"/>
  <c r="M143" i="3"/>
  <c r="M146" i="3"/>
  <c r="AX99" i="3" l="1"/>
  <c r="AX143" i="3"/>
  <c r="DC108" i="14"/>
  <c r="DC109" i="14" s="1"/>
  <c r="DC111" i="14"/>
  <c r="DC112" i="14" s="1"/>
  <c r="DB8" i="14"/>
  <c r="DC56" i="14"/>
  <c r="DC53" i="14" s="1"/>
  <c r="DC68" i="14" l="1"/>
  <c r="DC63" i="14" s="1"/>
  <c r="DC50" i="14"/>
  <c r="DC54" i="14" s="1"/>
  <c r="DC41" i="14" l="1"/>
  <c r="DB41" i="14"/>
  <c r="DC49" i="14"/>
  <c r="DB45" i="14" l="1"/>
  <c r="DB44" i="14" s="1"/>
  <c r="DB43" i="14" s="1"/>
  <c r="DB49" i="14"/>
  <c r="DB48" i="14" s="1"/>
  <c r="DC48" i="14"/>
  <c r="DC45" i="14"/>
  <c r="DC44" i="14" s="1"/>
  <c r="DC43" i="14" s="1"/>
  <c r="BX111" i="3" l="1"/>
  <c r="BX112" i="3" s="1"/>
  <c r="BX80" i="3"/>
  <c r="BX147" i="3" s="1"/>
  <c r="BX149" i="3" s="1"/>
  <c r="BX108" i="3"/>
  <c r="BX109" i="3" s="1"/>
  <c r="BX71" i="3"/>
  <c r="BX82" i="3" l="1"/>
  <c r="BX83" i="3"/>
  <c r="BX81" i="3"/>
  <c r="BX84" i="3" l="1"/>
  <c r="BX86" i="3"/>
  <c r="BX87" i="3" l="1"/>
  <c r="BX89" i="3"/>
  <c r="BX93" i="3" l="1"/>
  <c r="BX90" i="3"/>
  <c r="BX98" i="3" l="1"/>
  <c r="BX94" i="3"/>
  <c r="BX99" i="3" l="1"/>
  <c r="BX143" i="3"/>
  <c r="BH80" i="3" l="1"/>
  <c r="X14" i="11"/>
  <c r="P39" i="21" s="1"/>
  <c r="P40" i="21" s="1"/>
  <c r="BH108" i="3"/>
  <c r="BH109" i="3" s="1"/>
  <c r="BH111" i="3"/>
  <c r="BH112" i="3" s="1"/>
  <c r="BH71" i="3"/>
  <c r="BH82" i="3" l="1"/>
  <c r="BH147" i="3"/>
  <c r="F39" i="21"/>
  <c r="F40" i="21" s="1"/>
  <c r="F47" i="21" s="1"/>
  <c r="X15" i="11"/>
  <c r="X23" i="11" s="1"/>
  <c r="X24" i="11" s="1"/>
  <c r="P61" i="21"/>
  <c r="P62" i="21" s="1"/>
  <c r="P41" i="21"/>
  <c r="P47" i="21"/>
  <c r="X21" i="11"/>
  <c r="BH81" i="3"/>
  <c r="BH83" i="3"/>
  <c r="F70" i="21"/>
  <c r="F8" i="21"/>
  <c r="P70" i="21"/>
  <c r="X16" i="11" l="1"/>
  <c r="F61" i="21"/>
  <c r="F62" i="21" s="1"/>
  <c r="F41" i="21"/>
  <c r="BH149" i="3"/>
  <c r="P151" i="3" s="1"/>
  <c r="X26" i="11"/>
  <c r="X27" i="11" s="1"/>
  <c r="F71" i="21"/>
  <c r="F101" i="21"/>
  <c r="F102" i="21" s="1"/>
  <c r="F9" i="21"/>
  <c r="J8" i="21"/>
  <c r="J9" i="21" s="1"/>
  <c r="F48" i="21"/>
  <c r="F50" i="21"/>
  <c r="P101" i="21"/>
  <c r="P71" i="21"/>
  <c r="BH86" i="3"/>
  <c r="BH84" i="3"/>
  <c r="P50" i="21"/>
  <c r="P48" i="21"/>
  <c r="X29" i="11" l="1"/>
  <c r="X30" i="11" s="1"/>
  <c r="BH87" i="3"/>
  <c r="BH89" i="3"/>
  <c r="P53" i="21"/>
  <c r="P54" i="21" s="1"/>
  <c r="P51" i="21"/>
  <c r="P92" i="21"/>
  <c r="P93" i="21" s="1"/>
  <c r="P78" i="21"/>
  <c r="P102" i="21"/>
  <c r="P72" i="21"/>
  <c r="F109" i="21"/>
  <c r="F130" i="21"/>
  <c r="F131" i="21" s="1"/>
  <c r="F103" i="21"/>
  <c r="F51" i="21"/>
  <c r="F53" i="21"/>
  <c r="F54" i="21" s="1"/>
  <c r="J16" i="21"/>
  <c r="J10" i="21"/>
  <c r="J30" i="21"/>
  <c r="J31" i="21" s="1"/>
  <c r="F10" i="21"/>
  <c r="F16" i="21"/>
  <c r="F30" i="21"/>
  <c r="F31" i="21" s="1"/>
  <c r="F78" i="21"/>
  <c r="F92" i="21"/>
  <c r="F93" i="21" s="1"/>
  <c r="F72" i="21"/>
  <c r="X31" i="11" l="1"/>
  <c r="U41" i="11" s="1"/>
  <c r="P130" i="21"/>
  <c r="P131" i="21" s="1"/>
  <c r="P103" i="21"/>
  <c r="F112" i="21"/>
  <c r="F110" i="21"/>
  <c r="F79" i="21"/>
  <c r="F81" i="21"/>
  <c r="BH93" i="3"/>
  <c r="BH90" i="3"/>
  <c r="J19" i="21"/>
  <c r="J17" i="21"/>
  <c r="P81" i="21"/>
  <c r="P109" i="21"/>
  <c r="P110" i="21" s="1"/>
  <c r="P79" i="21"/>
  <c r="F17" i="21"/>
  <c r="F19" i="21"/>
  <c r="F20" i="21" l="1"/>
  <c r="F22" i="21"/>
  <c r="F23" i="21" s="1"/>
  <c r="P112" i="21"/>
  <c r="P113" i="21" s="1"/>
  <c r="P84" i="21"/>
  <c r="P82" i="21"/>
  <c r="F84" i="21"/>
  <c r="F85" i="21" s="1"/>
  <c r="F82" i="21"/>
  <c r="J20" i="21"/>
  <c r="J22" i="21"/>
  <c r="J23" i="21" s="1"/>
  <c r="BH94" i="3"/>
  <c r="BH98" i="3"/>
  <c r="F113" i="21"/>
  <c r="F115" i="21"/>
  <c r="F116" i="21" s="1"/>
  <c r="BH99" i="3" l="1"/>
  <c r="BH143" i="3"/>
  <c r="P115" i="21"/>
  <c r="P116" i="21" s="1"/>
  <c r="P85" i="21"/>
  <c r="O150" i="3" l="1"/>
  <c r="P150" i="3" s="1"/>
  <c r="DB75" i="36" l="1"/>
  <c r="DB77" i="36" s="1"/>
  <c r="DB76" i="36" s="1"/>
  <c r="DB78" i="36"/>
  <c r="DB149" i="36" s="1"/>
  <c r="DB152" i="36" s="1"/>
  <c r="DB154" i="36" s="1"/>
  <c r="DB111" i="36"/>
  <c r="DB112" i="36" s="1"/>
  <c r="DB80" i="36"/>
  <c r="DB108" i="36"/>
  <c r="DB109" i="36" s="1"/>
  <c r="DB83" i="36" l="1"/>
  <c r="DB81" i="36"/>
  <c r="DB82" i="36"/>
  <c r="DB86" i="36" l="1"/>
  <c r="DB84" i="36"/>
  <c r="DB89" i="36" l="1"/>
  <c r="DB87" i="36"/>
  <c r="DB93" i="36" l="1"/>
  <c r="DB90" i="36"/>
  <c r="DB98" i="36" l="1"/>
  <c r="DB94" i="36"/>
  <c r="DB99" i="36" l="1"/>
  <c r="DB124" i="36" s="1"/>
  <c r="DB144" i="36"/>
  <c r="BR19" i="14"/>
  <c r="BS19" i="14"/>
  <c r="DP80" i="3" l="1"/>
  <c r="DP83" i="3" s="1"/>
  <c r="DP108" i="3"/>
  <c r="DP109" i="3" s="1"/>
  <c r="DP75" i="3"/>
  <c r="DP111" i="3"/>
  <c r="DP112" i="3" s="1"/>
  <c r="DP71" i="3"/>
  <c r="DP76" i="3"/>
  <c r="DP82" i="3" l="1"/>
  <c r="DP86" i="3"/>
  <c r="DP84" i="3"/>
  <c r="DP81" i="3"/>
  <c r="DP89" i="3" l="1"/>
  <c r="DP87" i="3"/>
  <c r="DP93" i="3" l="1"/>
  <c r="DP90" i="3"/>
  <c r="DP98" i="3" l="1"/>
  <c r="DP94" i="3"/>
  <c r="DP99" i="3" l="1"/>
  <c r="DP143" i="3"/>
  <c r="DT74" i="3"/>
  <c r="DT111" i="3" s="1"/>
  <c r="DT112" i="3" s="1"/>
  <c r="DT76" i="3"/>
  <c r="DT108" i="3" l="1"/>
  <c r="DT109" i="3" s="1"/>
  <c r="DT75" i="3"/>
  <c r="DT80" i="3"/>
  <c r="DT71" i="3"/>
  <c r="DT83" i="3" l="1"/>
  <c r="DT81" i="3"/>
  <c r="DT82" i="3"/>
  <c r="DT86" i="3" l="1"/>
  <c r="DT84" i="3"/>
  <c r="DT89" i="3" l="1"/>
  <c r="DT87" i="3"/>
  <c r="DT93" i="3" l="1"/>
  <c r="DT90" i="3"/>
  <c r="DT98" i="3" l="1"/>
  <c r="DT94" i="3"/>
  <c r="DT99" i="3" l="1"/>
  <c r="DT143" i="3"/>
  <c r="BI78" i="36"/>
  <c r="BI149" i="36" s="1"/>
  <c r="BI152" i="36" s="1"/>
  <c r="BI154" i="36" s="1"/>
  <c r="BI80" i="36"/>
  <c r="BI82" i="36" s="1"/>
  <c r="BI108" i="36"/>
  <c r="BI109" i="36" s="1"/>
  <c r="BI111" i="36"/>
  <c r="BI112" i="36" s="1"/>
  <c r="BI71" i="36"/>
  <c r="BI75" i="36"/>
  <c r="BI77" i="36" s="1"/>
  <c r="BI76" i="36" s="1"/>
  <c r="BI81" i="36" l="1"/>
  <c r="BI83" i="36"/>
  <c r="BI84" i="36" l="1"/>
  <c r="BI86" i="36"/>
  <c r="BI89" i="36" l="1"/>
  <c r="BI87" i="36"/>
  <c r="BI93" i="36" l="1"/>
  <c r="BI90" i="36"/>
  <c r="BI98" i="36" l="1"/>
  <c r="BI94" i="36"/>
  <c r="BI144" i="36" l="1"/>
  <c r="BI99" i="36"/>
  <c r="BI124" i="36" s="1"/>
  <c r="CC23" i="39" l="1"/>
  <c r="CC26" i="39" s="1"/>
  <c r="CC24" i="39" l="1"/>
  <c r="CC27" i="39" s="1"/>
  <c r="CC28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  <author>tc={312F374C-3B19-465D-BCB7-77F24953D846}</author>
  </authors>
  <commentList>
    <comment ref="BN4" authorId="0" shapeId="0" xr:uid="{99E89495-BB24-4F44-9193-19932F97E59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G92" authorId="1" shapeId="0" xr:uid="{312F374C-3B19-465D-BCB7-77F24953D8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tc={3F09F1FE-402B-4EE2-B6DA-79007D3174BB}</author>
    <author>tc={6DCDA6E1-39B7-46EA-B1CE-E3784E29A6D0}</author>
    <author>tc={4A075321-B62B-4C67-AC05-D6CADE848359}</author>
    <author>tc={BA229ABF-B749-48D4-BB8D-C30E5F5D3BF6}</author>
    <author>tc={CA61C789-5A59-4FC1-BEAB-D9153C7AB0D3}</author>
    <author>tc={088522E9-2FBE-4B34-AF9E-EE43619AA4DD}</author>
  </authors>
  <commentList>
    <comment ref="BK92" authorId="0" shapeId="0" xr:uid="{3F09F1FE-402B-4EE2-B6DA-79007D3174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  <comment ref="BM92" authorId="1" shapeId="0" xr:uid="{6DCDA6E1-39B7-46EA-B1CE-E3784E29A6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  <comment ref="BO92" authorId="2" shapeId="0" xr:uid="{4A075321-B62B-4C67-AC05-D6CADE8483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  <comment ref="BQ92" authorId="3" shapeId="0" xr:uid="{BA229ABF-B749-48D4-BB8D-C30E5F5D3BF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  <comment ref="BS92" authorId="4" shapeId="0" xr:uid="{CA61C789-5A59-4FC1-BEAB-D9153C7AB0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  <comment ref="BY92" authorId="5" shapeId="0" xr:uid="{088522E9-2FBE-4B34-AF9E-EE43619AA4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container MF: $0.85, 1 container MF: $0.3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</authors>
  <commentList>
    <comment ref="F4" authorId="0" shapeId="0" xr:uid="{646612D8-D665-490A-B541-331B015C095F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H4" authorId="0" shapeId="0" xr:uid="{13EEDACF-229E-468F-9C14-1C354AEDDDC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</authors>
  <commentList>
    <comment ref="BQ45" authorId="0" shapeId="0" xr:uid="{3824CC3B-AFE9-401D-AC31-4712C7B2592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After 10,000 discount</t>
        </r>
      </text>
    </comment>
    <comment ref="BS45" authorId="0" shapeId="0" xr:uid="{5FEDF235-B2C6-4B30-82DB-4F7F7B8F0AD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After 10,000 discount</t>
        </r>
      </text>
    </comment>
    <comment ref="BU45" authorId="0" shapeId="0" xr:uid="{9DB74C30-7062-44F1-B9D9-B58617C91FB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After 10,000 discount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</authors>
  <commentList>
    <comment ref="AT4" authorId="0" shapeId="0" xr:uid="{A3B4BACE-0639-4E3F-A22E-F547455505B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W4" authorId="0" shapeId="0" xr:uid="{C5BCB716-BF38-46DE-B80F-EACE7DC6F36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</authors>
  <commentList>
    <comment ref="N4" authorId="0" shapeId="0" xr:uid="{EB3C501C-F2EA-4851-AA01-84D7EE2C376D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P4" authorId="0" shapeId="0" xr:uid="{DE396E77-5655-415D-9794-EF5505C55D18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R4" authorId="0" shapeId="0" xr:uid="{F11494CB-F67C-4C74-BDF0-E9ECC9DEB89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T4" authorId="0" shapeId="0" xr:uid="{49819E82-25A6-47FE-A6F8-7B08763735F5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V4" authorId="0" shapeId="0" xr:uid="{4B4FC961-0BAB-4ADB-9BB2-7564582C21E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X4" authorId="0" shapeId="0" xr:uid="{186FD27A-AE90-4642-A95E-5EE2994299B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Z4" authorId="0" shapeId="0" xr:uid="{5006A512-4C82-4F0D-BF07-B88DE39D5D8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B4" authorId="0" shapeId="0" xr:uid="{09427F80-73FF-4B8C-887F-3F18ECBE500D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D4" authorId="0" shapeId="0" xr:uid="{E6C140BD-1C4A-44C9-BCE5-4E84824FED3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F4" authorId="0" shapeId="0" xr:uid="{79B0B57C-14FA-4516-9517-624BA70B287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H4" authorId="0" shapeId="0" xr:uid="{1CC25AC4-FFDB-4D3D-9CEC-4B99F78799D5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J4" authorId="0" shapeId="0" xr:uid="{6E2489BF-2D42-4A92-AAD1-29BF367E78F5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L4" authorId="0" shapeId="0" xr:uid="{5B9C7762-E04A-47F8-8E71-AE8414DFC465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N4" authorId="0" shapeId="0" xr:uid="{3C395FEE-BC08-4EB0-AB44-76D4589D689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P4" authorId="0" shapeId="0" xr:uid="{815EA9ED-F3B4-470B-A6FE-B13D6B7EB9E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R4" authorId="0" shapeId="0" xr:uid="{5430A3F0-3A33-4BBF-86BF-A9CE9052AE6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T4" authorId="0" shapeId="0" xr:uid="{0B83F559-5500-4B59-954D-7F7E3E787E9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V4" authorId="0" shapeId="0" xr:uid="{FD0E3A2A-4F90-4128-9ABB-3BBBC76FAC2E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X4" authorId="0" shapeId="0" xr:uid="{7DD86B40-2B53-4B1E-A5AD-C0E487E353D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Z4" authorId="0" shapeId="0" xr:uid="{F5C46F55-8BD9-4C93-AF9B-A8CEB00BF13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B4" authorId="0" shapeId="0" xr:uid="{F0A58827-2589-43F9-A89D-A6DDBE460CA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D4" authorId="0" shapeId="0" xr:uid="{961B808E-D7ED-4F29-87E0-E8DE08DF9ED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F4" authorId="0" shapeId="0" xr:uid="{F9000E6B-F3E3-4647-B0D6-68297527A2C2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H4" authorId="0" shapeId="0" xr:uid="{FFFAC1E4-8212-4BE8-BC9B-7712A012CDD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J4" authorId="0" shapeId="0" xr:uid="{182A65D8-838C-4590-9091-630D6CE21D2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L4" authorId="0" shapeId="0" xr:uid="{E3151F06-5279-420C-93BB-88C631F6B5E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N4" authorId="0" shapeId="0" xr:uid="{ABC2901D-AB43-4BE5-8831-BB89C06FA6CF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P4" authorId="0" shapeId="0" xr:uid="{D87568FB-1383-47D8-8218-77008065D0BE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R4" authorId="0" shapeId="0" xr:uid="{A3795329-F11D-4C47-9F7E-1291DF0DEBC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T4" authorId="0" shapeId="0" xr:uid="{2D05BF5C-1C7F-43C8-AA6A-FD000E49E1B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V4" authorId="0" shapeId="0" xr:uid="{210A4C2A-0F73-4091-8614-C3416A992E7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X4" authorId="0" shapeId="0" xr:uid="{C1B5671C-6D1D-4181-9144-BEF558A1B316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Z4" authorId="0" shapeId="0" xr:uid="{3C96E639-DD50-4865-87E6-CD358EB30428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B4" authorId="0" shapeId="0" xr:uid="{3EAEC27F-4AE7-4E15-AE3F-03CDD8026BA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D4" authorId="0" shapeId="0" xr:uid="{E53B65F6-D9DA-49E1-BD5D-552BBCA9CC3A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F4" authorId="0" shapeId="0" xr:uid="{621F94AB-5EBC-4E72-B417-241878BC3A0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H4" authorId="0" shapeId="0" xr:uid="{C9944ABD-3851-42EE-844C-7A29AA171A9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J4" authorId="0" shapeId="0" xr:uid="{31711F5D-2CBA-484E-A5E2-5E7222F86C0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L4" authorId="0" shapeId="0" xr:uid="{604E5011-F185-44DE-9AE4-80EC4BA2A95A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N4" authorId="0" shapeId="0" xr:uid="{4254D3E1-2130-4B18-B598-7C1A8A49F46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P4" authorId="0" shapeId="0" xr:uid="{647ECF06-0CD3-4B68-8F51-CBAA1742A016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R4" authorId="0" shapeId="0" xr:uid="{9C76DD56-E92F-4A00-975F-1FC0D049E77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T4" authorId="0" shapeId="0" xr:uid="{3F32249F-999A-4E31-9367-BCC35D0EB212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V4" authorId="0" shapeId="0" xr:uid="{15875411-8DEF-4D53-AFAA-D4E2C3CCD90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X4" authorId="0" shapeId="0" xr:uid="{0D061605-1BAA-4CD6-93E6-C518A257A67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Z4" authorId="0" shapeId="0" xr:uid="{698CF5A3-8160-46EC-8454-59086B854D5D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B4" authorId="0" shapeId="0" xr:uid="{74012985-A61D-4CF0-90D2-17B2BC336208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D4" authorId="0" shapeId="0" xr:uid="{EB757E53-8CA7-40F0-99C4-02812DE11A3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F4" authorId="0" shapeId="0" xr:uid="{3EF9B55B-B5C1-4EA0-B51B-85F37863065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H4" authorId="0" shapeId="0" xr:uid="{B4F8324C-452B-4BDC-A00D-7445A44D8118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J4" authorId="0" shapeId="0" xr:uid="{82730C8F-653E-411E-A200-8AF5F73133B6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L4" authorId="0" shapeId="0" xr:uid="{06F6370D-A451-4C54-8076-6BD986F69A2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N4" authorId="0" shapeId="0" xr:uid="{4464910D-81D1-4812-AEF2-7928DDECBC7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P4" authorId="0" shapeId="0" xr:uid="{37D8913E-0BD5-4612-99AA-8ECA8726A30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DR4" authorId="0" shapeId="0" xr:uid="{714CF234-FA35-482B-98C8-3A4292DE5A2E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</authors>
  <commentList>
    <comment ref="BY45" authorId="0" shapeId="0" xr:uid="{519A79BA-B716-4AD1-A918-8F803FBE5BC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After 10,000 discount</t>
        </r>
      </text>
    </comment>
    <comment ref="CA45" authorId="0" shapeId="0" xr:uid="{18A87206-F528-47E7-97B6-F857F045DE9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After 10,000 discount</t>
        </r>
      </text>
    </comment>
    <comment ref="CC45" authorId="0" shapeId="0" xr:uid="{CC26F0F3-09B0-4D63-A0BB-B153E66928B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After 10,000 discount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Soemarsono</author>
  </authors>
  <commentList>
    <comment ref="N4" authorId="0" shapeId="0" xr:uid="{C6122D99-08A3-4796-A3E4-7D3A3370E64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P4" authorId="0" shapeId="0" xr:uid="{7B821852-5316-4718-8515-3F1DE7E2360C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R4" authorId="0" shapeId="0" xr:uid="{1F3CF769-722D-465C-BF0B-C292E9BA7BF2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T4" authorId="0" shapeId="0" xr:uid="{E21EA41D-6484-43BA-9AA3-A7B31CAA07D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V4" authorId="0" shapeId="0" xr:uid="{1568B639-A597-4F2E-8E0C-82E8A94DDA9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X4" authorId="0" shapeId="0" xr:uid="{3BC401A1-33D3-4CC1-ADC2-EE7F6EDDE2DE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Z4" authorId="0" shapeId="0" xr:uid="{C6D752B3-09E0-4190-8B4A-CF932704054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B4" authorId="0" shapeId="0" xr:uid="{35792364-802C-4F1D-BBD1-F381178D964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D4" authorId="0" shapeId="0" xr:uid="{51813374-55B5-475A-96B3-41F1A641477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H4" authorId="0" shapeId="0" xr:uid="{84E92089-581E-4CC9-9142-8A907F2C75BA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J4" authorId="0" shapeId="0" xr:uid="{6272530F-286D-4D2D-B75B-FED1F5C77FF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L4" authorId="0" shapeId="0" xr:uid="{F19A39C2-00AC-4DCB-A631-E0DADD189E8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R4" authorId="0" shapeId="0" xr:uid="{90A61E5D-9D9D-494E-A62D-878B55FE17B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T4" authorId="0" shapeId="0" xr:uid="{EF4BF380-3A1F-49C9-8BEC-F91470C3DBFE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AV4" authorId="0" shapeId="0" xr:uid="{964DC5C0-8ED5-4317-B88D-D44080A3B39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B4" authorId="0" shapeId="0" xr:uid="{E8886661-B787-4DE4-A496-8F203F6AEAF6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D4" authorId="0" shapeId="0" xr:uid="{08DC5210-9458-4A9C-B1A4-939A9B1D775A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F4" authorId="0" shapeId="0" xr:uid="{EA93AD95-106C-4EB4-A40E-0394958146D8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L4" authorId="0" shapeId="0" xr:uid="{24F8D413-DBBA-464F-ABAA-E0DB43A6FA8B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N4" authorId="0" shapeId="0" xr:uid="{3DFDFA2A-8630-45B4-954B-454D3840EE15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P4" authorId="0" shapeId="0" xr:uid="{026B5B48-A8D8-479F-8182-5C10C459F9F3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V4" authorId="0" shapeId="0" xr:uid="{3F24689F-49D5-4362-A168-845AC97A5516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BY4" authorId="0" shapeId="0" xr:uid="{A1E83613-DDCF-4CC2-9433-F38CADC4A829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A4" authorId="0" shapeId="0" xr:uid="{5A80E91F-DE51-494E-952F-9393AB0C6BE7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C4" authorId="0" shapeId="0" xr:uid="{65F2C0A2-6086-4104-A5B6-B6070BF3FADD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F4" authorId="0" shapeId="0" xr:uid="{CF6C18D0-CCD9-4F0F-977B-2461A61293C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H4" authorId="0" shapeId="0" xr:uid="{A4F8DF5E-FC0D-4100-AEAF-0A89E1C359AA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J4" authorId="0" shapeId="0" xr:uid="{B3815524-1865-4E38-AECC-D3C5024B7F70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M4" authorId="0" shapeId="0" xr:uid="{6EBBEA3D-8F81-4CD9-B4C3-AFA311BD8584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O4" authorId="0" shapeId="0" xr:uid="{70ABBA3D-E9FF-4D98-A91C-32B58F38AABD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  <comment ref="CQ4" authorId="0" shapeId="0" xr:uid="{54571471-4E9D-4373-8743-B9ED631A4901}">
      <text>
        <r>
          <rPr>
            <b/>
            <sz val="9"/>
            <color indexed="81"/>
            <rFont val="Tahoma"/>
            <family val="2"/>
          </rPr>
          <t>Martin Soemarsono:</t>
        </r>
        <r>
          <rPr>
            <sz val="9"/>
            <color indexed="81"/>
            <rFont val="Tahoma"/>
            <family val="2"/>
          </rPr>
          <t xml:space="preserve">
Change price to $7.9, maintain discount scheme</t>
        </r>
      </text>
    </comment>
  </commentList>
</comments>
</file>

<file path=xl/sharedStrings.xml><?xml version="1.0" encoding="utf-8"?>
<sst xmlns="http://schemas.openxmlformats.org/spreadsheetml/2006/main" count="15664" uniqueCount="764">
  <si>
    <t xml:space="preserve">PRICING STRUCTURE </t>
  </si>
  <si>
    <t>Approved</t>
  </si>
  <si>
    <t>GSS LOKAL 40</t>
  </si>
  <si>
    <t>IIP LOKAL 40</t>
  </si>
  <si>
    <t>IHAG LOKAL 40</t>
  </si>
  <si>
    <t>General Info</t>
  </si>
  <si>
    <t>Type</t>
  </si>
  <si>
    <t xml:space="preserve"> (Existing)</t>
  </si>
  <si>
    <t>Scenario 1</t>
  </si>
  <si>
    <t>Scenario 2</t>
  </si>
  <si>
    <t>Scenario 3</t>
  </si>
  <si>
    <t>Flavour
Matcode</t>
  </si>
  <si>
    <t>CIF</t>
  </si>
  <si>
    <t>CURRENT (CIF $5.6/crtn)</t>
  </si>
  <si>
    <t>Disc</t>
  </si>
  <si>
    <t>TP $0.47/ctn, MF $1.1/ctn</t>
  </si>
  <si>
    <t>TP $0.47/ctn, MF $0.90/ctn</t>
  </si>
  <si>
    <t>TP $0.40/ctn, MF $1/ctn</t>
  </si>
  <si>
    <t>TP $0.47/ctn, MF $0.9/ctn</t>
  </si>
  <si>
    <t>TP $0.47/ctn, MF $0.60/ctn</t>
  </si>
  <si>
    <t>TP $0.40/ctn, MF $0.75/ctn</t>
  </si>
  <si>
    <t>TP $0.47/ctn</t>
  </si>
  <si>
    <t>TP $0.40/ctn</t>
  </si>
  <si>
    <t>Content</t>
  </si>
  <si>
    <t>Currency</t>
  </si>
  <si>
    <t>KHR</t>
  </si>
  <si>
    <t>USD</t>
  </si>
  <si>
    <t>Exchange rate per-</t>
  </si>
  <si>
    <t>Consumer</t>
  </si>
  <si>
    <t>CBP with VAT - per pack</t>
  </si>
  <si>
    <t>CBP with VAT - per carton</t>
  </si>
  <si>
    <t>VAT</t>
  </si>
  <si>
    <t xml:space="preserve"> - per pack</t>
  </si>
  <si>
    <t>VAT %</t>
  </si>
  <si>
    <t>CBP without VAT - per pack</t>
  </si>
  <si>
    <t>CBP without VAT - per carton</t>
  </si>
  <si>
    <t>Retailer</t>
  </si>
  <si>
    <t>Retailers' margin (%)</t>
  </si>
  <si>
    <t>Retailers' margin</t>
  </si>
  <si>
    <t>Retailers' Buying Price  per carton +VAT</t>
  </si>
  <si>
    <t>Retailers' Buying Price (ctn)</t>
  </si>
  <si>
    <t>Wholesaler</t>
  </si>
  <si>
    <t>Wholesalers' margin (%)</t>
  </si>
  <si>
    <t>Wholesalers' margin</t>
  </si>
  <si>
    <t>Wholesalers' Buying Price  per carton +VAT</t>
  </si>
  <si>
    <t>Wholesalers' Buying Price (ctn)</t>
  </si>
  <si>
    <t>Distributor</t>
  </si>
  <si>
    <t>Distributors' margin (%)</t>
  </si>
  <si>
    <t>Distributors' margin</t>
  </si>
  <si>
    <t>Distributors' Buying Price</t>
  </si>
  <si>
    <t>Additional cost In Land trucking</t>
  </si>
  <si>
    <t>Importer / Distributor</t>
  </si>
  <si>
    <t>Landed Cost  in pack</t>
  </si>
  <si>
    <t xml:space="preserve">USD </t>
  </si>
  <si>
    <t>Landed Cost in carton</t>
  </si>
  <si>
    <t>Import duty rate - 5%</t>
  </si>
  <si>
    <t>Import duty %</t>
  </si>
  <si>
    <t>Other charges -  Clearance cost</t>
  </si>
  <si>
    <t xml:space="preserve">Other charges % </t>
  </si>
  <si>
    <t>VAT in</t>
  </si>
  <si>
    <t>VAT in (% from CIF + Import duty)</t>
  </si>
  <si>
    <t>CIF price after support &amp; Freight Surcharge</t>
  </si>
  <si>
    <t>PROMO SUPPORT</t>
  </si>
  <si>
    <t>FREIGHT SURCHARGE</t>
  </si>
  <si>
    <t>FOB + FREIGHT + INSURANCE</t>
  </si>
  <si>
    <t>CIF price</t>
  </si>
  <si>
    <t>COST :</t>
  </si>
  <si>
    <t>Insurance</t>
  </si>
  <si>
    <t xml:space="preserve">per carton USD </t>
  </si>
  <si>
    <t>Freight cost</t>
  </si>
  <si>
    <t xml:space="preserve"> - 40 HI-CUBE</t>
  </si>
  <si>
    <t>Container load</t>
  </si>
  <si>
    <t xml:space="preserve">FOB-JKT </t>
  </si>
  <si>
    <t>FOB-JKT  after disc</t>
  </si>
  <si>
    <t xml:space="preserve">per pack USD </t>
  </si>
  <si>
    <t>Producer</t>
  </si>
  <si>
    <t>COGS after VSE</t>
  </si>
  <si>
    <t>per carton USD</t>
  </si>
  <si>
    <t>VSE</t>
  </si>
  <si>
    <t>COGS</t>
  </si>
  <si>
    <t>COGS in pack</t>
  </si>
  <si>
    <t xml:space="preserve">Rp. </t>
  </si>
  <si>
    <t>Exchange rate</t>
  </si>
  <si>
    <t xml:space="preserve">1 USD =  RP. </t>
  </si>
  <si>
    <t>Margins from FOB</t>
  </si>
  <si>
    <t>Margin % from FOB</t>
  </si>
  <si>
    <t>Margins after Support</t>
  </si>
  <si>
    <t>Margin % after Support</t>
  </si>
  <si>
    <t>Margin after Support + VSE</t>
  </si>
  <si>
    <t>Margin % after Support + VSE</t>
  </si>
  <si>
    <t>Margin after Support + VSE + Prepayment</t>
  </si>
  <si>
    <t>Margin % after Support + VSE + Prepayment</t>
  </si>
  <si>
    <t>Margin after Support + VSE + Prepayment + Marketing</t>
  </si>
  <si>
    <t>Margin % after Support + VSE + Prepayment + Marketing</t>
  </si>
  <si>
    <t>OF Difference</t>
  </si>
  <si>
    <t>GP after OF Difference</t>
  </si>
  <si>
    <t>% GP after OF Difference</t>
  </si>
  <si>
    <t>Freight Difference</t>
  </si>
  <si>
    <t>Freight in Pricing Structure</t>
  </si>
  <si>
    <t>USD/40HC</t>
  </si>
  <si>
    <t>Freight in Jan-21</t>
  </si>
  <si>
    <t>Freight in Jan-20</t>
  </si>
  <si>
    <t>Difference per 40HC</t>
  </si>
  <si>
    <t>Difference per ctn (Jan-21)</t>
  </si>
  <si>
    <t>USD/ctn</t>
  </si>
  <si>
    <t>Difference per ctn (Jan-20)</t>
  </si>
  <si>
    <t>GP After Freight Difference (Jan-21)</t>
  </si>
  <si>
    <t>Margin % after Freight Difference (Jan-21)</t>
  </si>
  <si>
    <t>GP After Freight Difference (Jan-20)</t>
  </si>
  <si>
    <t>Margin % after Freight Difference (Jan-20)</t>
  </si>
  <si>
    <t>VSE in $/container</t>
  </si>
  <si>
    <t>$</t>
  </si>
  <si>
    <t>VSE in $/carton</t>
  </si>
  <si>
    <t>VSE in IDR/container</t>
  </si>
  <si>
    <t>IDR</t>
  </si>
  <si>
    <t>VSE in IDR/carton</t>
  </si>
  <si>
    <t>Labor Cost</t>
  </si>
  <si>
    <t>Trucking Cost</t>
  </si>
  <si>
    <t>Custom Charge</t>
  </si>
  <si>
    <t>LOLO Charge</t>
  </si>
  <si>
    <t>Document Charge (HC &amp; Veterinary Certificate)</t>
  </si>
  <si>
    <t>THC &amp; Doc Seal Charge</t>
  </si>
  <si>
    <t>Sales Volume 2020</t>
  </si>
  <si>
    <t>packs</t>
  </si>
  <si>
    <t>Sales Volume 2021</t>
  </si>
  <si>
    <t>ctn</t>
  </si>
  <si>
    <t>40'HC</t>
  </si>
  <si>
    <t>OF in Pricing Structure</t>
  </si>
  <si>
    <t>in USD</t>
  </si>
  <si>
    <t>OF in Jan-21</t>
  </si>
  <si>
    <t>OF in Jan-20</t>
  </si>
  <si>
    <t>Difference OF</t>
  </si>
  <si>
    <t>in 40'HC</t>
  </si>
  <si>
    <t>FY</t>
  </si>
  <si>
    <t>Total GP Net in 2021</t>
  </si>
  <si>
    <t>GPD LOKAL 40</t>
  </si>
  <si>
    <t>CGSS MA 12</t>
  </si>
  <si>
    <t>PMAD LOKAL 12</t>
  </si>
  <si>
    <t>PMAJ LOKAL 24</t>
  </si>
  <si>
    <t>TP $0.90/ctn</t>
  </si>
  <si>
    <t>TP $1.80/ctn</t>
  </si>
  <si>
    <t>COGS in ctn</t>
  </si>
  <si>
    <t>Marketing</t>
  </si>
  <si>
    <t>Freight in Jun-21</t>
  </si>
  <si>
    <t>OF in Jun-21</t>
  </si>
  <si>
    <t>CIF Incr</t>
  </si>
  <si>
    <t>FOB Incr</t>
  </si>
  <si>
    <t>Net CIF Incr</t>
  </si>
  <si>
    <t>COGS Incr</t>
  </si>
  <si>
    <t>GP4 (Excl MF) Incr</t>
  </si>
  <si>
    <t>Scenario +15%, 1100</t>
  </si>
  <si>
    <t>Scenario +15%, 1200</t>
  </si>
  <si>
    <t>Scenario 4</t>
  </si>
  <si>
    <t>Freight 1500</t>
  </si>
  <si>
    <t>CGSS MA (NS) 12</t>
  </si>
  <si>
    <t>FOB</t>
  </si>
  <si>
    <t>GP1</t>
  </si>
  <si>
    <t>GP1%</t>
  </si>
  <si>
    <t>TP</t>
  </si>
  <si>
    <t>TP%</t>
  </si>
  <si>
    <t>CIF - TP</t>
  </si>
  <si>
    <t>MF</t>
  </si>
  <si>
    <t>MF%</t>
  </si>
  <si>
    <t>GP2</t>
  </si>
  <si>
    <t>GP2%</t>
  </si>
  <si>
    <t>A&amp;P</t>
  </si>
  <si>
    <t>GP3</t>
  </si>
  <si>
    <t>GP3%</t>
  </si>
  <si>
    <t>GP4</t>
  </si>
  <si>
    <t>GP4%</t>
  </si>
  <si>
    <t>GP4 (Exclude MF)</t>
  </si>
  <si>
    <t>Distributor Buying Value</t>
  </si>
  <si>
    <t>Distributor Selling Value</t>
  </si>
  <si>
    <t>Distributor Margin</t>
  </si>
  <si>
    <t>Distributor Margin %</t>
  </si>
  <si>
    <t>Growth</t>
  </si>
  <si>
    <t>CBP</t>
  </si>
  <si>
    <t>Net VAT</t>
  </si>
  <si>
    <t>Scenario 1000</t>
  </si>
  <si>
    <t>Scenario 1100</t>
  </si>
  <si>
    <t>Scenario COGS 1</t>
  </si>
  <si>
    <t>Scenario COGS 2</t>
  </si>
  <si>
    <t>Scenario COGS 3</t>
  </si>
  <si>
    <t>Scenario</t>
  </si>
  <si>
    <t>Scenario COGS</t>
  </si>
  <si>
    <t>Actual Jan</t>
  </si>
  <si>
    <t>Actual Feb</t>
  </si>
  <si>
    <t>Q2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</si>
  <si>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</si>
  <si>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</si>
  <si>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</si>
  <si>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</si>
  <si>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</si>
  <si>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</si>
  <si>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</si>
  <si>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</si>
  <si>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</si>
  <si>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</si>
  <si>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</si>
  <si>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</si>
  <si>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</si>
  <si>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</si>
  <si>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Jan-Mar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</si>
  <si>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</si>
  <si>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</si>
  <si>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</si>
  <si>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</si>
  <si>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</si>
  <si>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</si>
  <si>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</si>
  <si>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</si>
  <si>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</si>
  <si>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</si>
  <si>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</si>
  <si>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</si>
  <si>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</si>
  <si>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Vol (pcs)</t>
  </si>
  <si>
    <t>Vol (ctn)</t>
  </si>
  <si>
    <t>GP1 - TP IOD</t>
  </si>
  <si>
    <t>GP1-TP IOD %</t>
  </si>
  <si>
    <t>Jan-Mar</t>
  </si>
  <si>
    <t>COGS Apr-May Scenario 3</t>
  </si>
  <si>
    <t>COGS Apr-May Scenario +15%</t>
  </si>
  <si>
    <t>Apr-May</t>
  </si>
  <si>
    <t>Jun-Dec Scenario +15%</t>
  </si>
  <si>
    <t xml:space="preserve">Jun-Dec </t>
  </si>
  <si>
    <t>Vol</t>
  </si>
  <si>
    <t>Total - Scenario 3</t>
  </si>
  <si>
    <t>Total - Scenario +15%</t>
  </si>
  <si>
    <t>LE 2022</t>
  </si>
  <si>
    <t>STT</t>
  </si>
  <si>
    <t>A&amp;P AOP 2022</t>
  </si>
  <si>
    <t>GSS IIP</t>
  </si>
  <si>
    <t>IHAG</t>
  </si>
  <si>
    <t>TP AOP 2022</t>
  </si>
  <si>
    <t>MF AOP 2022</t>
  </si>
  <si>
    <t>STD 2022</t>
  </si>
  <si>
    <t>* Assumption:</t>
  </si>
  <si>
    <t>PMAD CGSS use new COGS in 2022</t>
  </si>
  <si>
    <t>SKU</t>
  </si>
  <si>
    <t>Period</t>
  </si>
  <si>
    <t>CGSS</t>
  </si>
  <si>
    <t>FY 2021</t>
  </si>
  <si>
    <t>Q2 2022</t>
  </si>
  <si>
    <t>PMAD</t>
  </si>
  <si>
    <t xml:space="preserve">Jan 2022 </t>
  </si>
  <si>
    <t xml:space="preserve">Q2 2022 </t>
  </si>
  <si>
    <t>STT 2022</t>
  </si>
  <si>
    <t>Vol 150mio</t>
  </si>
  <si>
    <t>Q1</t>
  </si>
  <si>
    <t>TOTAL 150</t>
  </si>
  <si>
    <t>TOTAL &lt;150</t>
  </si>
  <si>
    <t>Weekly:</t>
  </si>
  <si>
    <t>GSS</t>
  </si>
  <si>
    <t>IIP</t>
  </si>
  <si>
    <t>Q3</t>
  </si>
  <si>
    <t>Sales STD LE FY</t>
  </si>
  <si>
    <t>STD</t>
  </si>
  <si>
    <t>Sales Volume (pcs)</t>
  </si>
  <si>
    <t>Sales Volume (ctn)</t>
  </si>
  <si>
    <t>Sales Semester 1</t>
  </si>
  <si>
    <t xml:space="preserve">Turun menjadi 60% overall </t>
  </si>
  <si>
    <t>GSS turun menjadi 70%</t>
  </si>
  <si>
    <t>IHAG turun menjadi 50%</t>
  </si>
  <si>
    <t>Sales Semester 2</t>
  </si>
  <si>
    <t>Sales Quarter 1</t>
  </si>
  <si>
    <t>Sales Quarter 2</t>
  </si>
  <si>
    <t>Sales Quarter 3</t>
  </si>
  <si>
    <t>Sales Quarter 4</t>
  </si>
  <si>
    <t>Sales STT LE FY</t>
  </si>
  <si>
    <t>STT 2021</t>
  </si>
  <si>
    <t>Average Selling Price</t>
  </si>
  <si>
    <t>Average Margin</t>
  </si>
  <si>
    <t>Scenarios</t>
  </si>
  <si>
    <t>Trading Term</t>
  </si>
  <si>
    <t>Avg Distributor Selling Price</t>
  </si>
  <si>
    <t>Avg Distributor Selling Price (Phnom Penh)</t>
  </si>
  <si>
    <t>Avg Distributor Selling Price (Province)</t>
  </si>
  <si>
    <t>Avg Distributor Margin/ctn</t>
  </si>
  <si>
    <t>Avg Distributor Margin %</t>
  </si>
  <si>
    <t>Avg IOD GP1-TP/ctn</t>
  </si>
  <si>
    <t>Avg IOD GP1-TP/ctn %</t>
  </si>
  <si>
    <t>Existing</t>
  </si>
  <si>
    <t>Jan 2022</t>
  </si>
  <si>
    <t>Harga $7.80, 25.5+0.5, 50+1, 100+3, 300+10 (Province $7.80, 40+1, 6.5%)</t>
  </si>
  <si>
    <t>Jul-Dec 2022</t>
  </si>
  <si>
    <t>Harga $7.80, 25.5+0.5, 50+1, 300+7 (Province $7.80, 50+1, 6.5%)</t>
  </si>
  <si>
    <t>Harga $7.80, no promotion (Province $7.80, 50+1, 6.5%)</t>
  </si>
  <si>
    <r>
      <t xml:space="preserve">Harga </t>
    </r>
    <r>
      <rPr>
        <b/>
        <sz val="11"/>
        <color theme="1"/>
        <rFont val="Calibri"/>
        <family val="2"/>
        <scheme val="minor"/>
      </rPr>
      <t>$8.00</t>
    </r>
    <r>
      <rPr>
        <sz val="11"/>
        <color theme="1"/>
        <rFont val="Calibri"/>
        <family val="2"/>
        <scheme val="minor"/>
      </rPr>
      <t>, 25.5+0.5, 50+1 (Province $8.00, 40+1, 6.5%)</t>
    </r>
  </si>
  <si>
    <t>Harga $7.80, 25.5+0.5, 50+1, 200+5 (Province $7.80, 60+1, 6.5%)</t>
  </si>
  <si>
    <t>Harga $7.80, 25.5+0.5, 50+1, 300+7 (Province $7.80, 5.0%)</t>
  </si>
  <si>
    <r>
      <t xml:space="preserve">Harga </t>
    </r>
    <r>
      <rPr>
        <b/>
        <sz val="11"/>
        <color theme="1"/>
        <rFont val="Calibri"/>
        <family val="2"/>
        <scheme val="minor"/>
      </rPr>
      <t xml:space="preserve">$8.00, </t>
    </r>
    <r>
      <rPr>
        <sz val="11"/>
        <color theme="1"/>
        <rFont val="Calibri"/>
        <family val="2"/>
        <scheme val="minor"/>
      </rPr>
      <t>25.5+0.5, 50+1 (Province $8, 60+1, 6.0%)</t>
    </r>
  </si>
  <si>
    <r>
      <t xml:space="preserve">Harga </t>
    </r>
    <r>
      <rPr>
        <b/>
        <sz val="11"/>
        <color theme="1"/>
        <rFont val="Calibri"/>
        <family val="2"/>
        <scheme val="minor"/>
      </rPr>
      <t>$8.20</t>
    </r>
    <r>
      <rPr>
        <sz val="11"/>
        <color theme="1"/>
        <rFont val="Calibri"/>
        <family val="2"/>
        <scheme val="minor"/>
      </rPr>
      <t>, no promotion (Province $8.20, 6%)</t>
    </r>
  </si>
  <si>
    <t>Phnom Penh</t>
  </si>
  <si>
    <t>Kampong Cham</t>
  </si>
  <si>
    <t>Siem Reap</t>
  </si>
  <si>
    <t>Battambang</t>
  </si>
  <si>
    <t>Kampong Thom</t>
  </si>
  <si>
    <t>Others</t>
  </si>
  <si>
    <t>STT 2022 %</t>
  </si>
  <si>
    <t>Province</t>
  </si>
  <si>
    <t>2022</t>
  </si>
  <si>
    <t>Kampong Som</t>
  </si>
  <si>
    <t>TOTAL (ctn)</t>
  </si>
  <si>
    <t>TOTAL (pcs)</t>
  </si>
  <si>
    <t>Contibution</t>
  </si>
  <si>
    <t>Pcs/ctn</t>
  </si>
  <si>
    <t>K1000</t>
  </si>
  <si>
    <t>Agri</t>
  </si>
  <si>
    <t>Semester 2</t>
  </si>
  <si>
    <t>Semester 1</t>
  </si>
  <si>
    <t>STT Sem 1</t>
  </si>
  <si>
    <t>Contr</t>
  </si>
  <si>
    <t>Grw</t>
  </si>
  <si>
    <t>STT Sem 2</t>
  </si>
  <si>
    <t>Difference</t>
  </si>
  <si>
    <t>COGS Cambodia Q4</t>
  </si>
  <si>
    <t>COGS Vietnam Q4</t>
  </si>
  <si>
    <t>Q2 (USD)</t>
  </si>
  <si>
    <t>Q4 (USD)</t>
  </si>
  <si>
    <t>Price List</t>
  </si>
  <si>
    <t>Jan 2022 - Cambodia</t>
  </si>
  <si>
    <t>Feb 2022 - Cambodia</t>
  </si>
  <si>
    <t>Mar 2022 - Cambodia</t>
  </si>
  <si>
    <t>Apr 2022 - Cambodia</t>
  </si>
  <si>
    <t>May 2022 - Cambodia</t>
  </si>
  <si>
    <t>Jun 2022 - Cambodia</t>
  </si>
  <si>
    <t>Jul 2022 - Cambodia</t>
  </si>
  <si>
    <t>Aug 2022 - Cambodia</t>
  </si>
  <si>
    <t>Sep 2022 - Cambodia</t>
  </si>
  <si>
    <t>Oct 2022 - Cambodia</t>
  </si>
  <si>
    <t>Nov 2022 - Cambodia</t>
  </si>
  <si>
    <t>Dec 2022 - Cambodia</t>
  </si>
  <si>
    <t>Jan 2023 - Cambodia</t>
  </si>
  <si>
    <t>Feb 2023 - Cambodia</t>
  </si>
  <si>
    <t>Mar 2023 - Cambodia</t>
  </si>
  <si>
    <t>Apr 2023 - Cambodia</t>
  </si>
  <si>
    <t>May 2023 - Cambodia</t>
  </si>
  <si>
    <t>Jun 2023 - Cambodia</t>
  </si>
  <si>
    <t>Jul 2023 - Cambodia</t>
  </si>
  <si>
    <t>Aug 2023 - Cambodia 10+1</t>
  </si>
  <si>
    <t>Aug 2023 - Cambodia 5+1</t>
  </si>
  <si>
    <t>Sep 2023 - Cambodia 5+1</t>
  </si>
  <si>
    <t>Oct 2023 - Cambodia 5+1</t>
  </si>
  <si>
    <t>Nov 2023 - Cambodia 5+1 - Proposed</t>
  </si>
  <si>
    <t>Dec 2023 - Cambodia 5+1</t>
  </si>
  <si>
    <t>Jan 2024 - Cambodia 5+1</t>
  </si>
  <si>
    <t>Feb 2024 - Cambodia</t>
  </si>
  <si>
    <t>Feb 2024 - Cambodia 5+1</t>
  </si>
  <si>
    <t>Proposed</t>
  </si>
  <si>
    <t>Feb 2024 - Cambodi</t>
  </si>
  <si>
    <t>Mar 2024 - Cambodia</t>
  </si>
  <si>
    <t>Propose</t>
  </si>
  <si>
    <t>PA 230814 - PGAG LOKAL 12</t>
  </si>
  <si>
    <t>CGSS 12</t>
  </si>
  <si>
    <t>MAMA 72</t>
  </si>
  <si>
    <t>PMAD Existing</t>
  </si>
  <si>
    <t>PMAD 5 + 1</t>
  </si>
  <si>
    <t>PMAD Proposed same with MAMA</t>
  </si>
  <si>
    <t>PMAD 5+1</t>
  </si>
  <si>
    <t>Target STT in Ctn</t>
  </si>
  <si>
    <t>RBP Margin %</t>
  </si>
  <si>
    <t>Total Ctn for 5+1</t>
  </si>
  <si>
    <t>RBP Buying Price</t>
  </si>
  <si>
    <t>CIF USD</t>
  </si>
  <si>
    <t>WHS Margin %</t>
  </si>
  <si>
    <t>Total Value in USD</t>
  </si>
  <si>
    <t>WHS Buying Price</t>
  </si>
  <si>
    <t>Total Claim</t>
  </si>
  <si>
    <t>Dist Margin %</t>
  </si>
  <si>
    <t>CR%</t>
  </si>
  <si>
    <t>Landed Cost</t>
  </si>
  <si>
    <t>CIF after TP</t>
  </si>
  <si>
    <t>Subdistributors</t>
  </si>
  <si>
    <t>Subdistributors' margin (%)</t>
  </si>
  <si>
    <t>Subdistributors' margin</t>
  </si>
  <si>
    <t>Subdistributors' Buying Price  per carton +VAT</t>
  </si>
  <si>
    <t>Subdistributors' Buying Price (ctn)</t>
  </si>
  <si>
    <t>VAT Out (10% WBP)</t>
  </si>
  <si>
    <t>z</t>
  </si>
  <si>
    <t>Distributor One Year Profit</t>
  </si>
  <si>
    <t>Note:</t>
  </si>
  <si>
    <t>PMAD TP = 1.03</t>
  </si>
  <si>
    <t>PMAD MF = 0.30</t>
  </si>
  <si>
    <t>TP dan MF digabung karena MF digunakan sebagai pemberian diskon untuk margin distributor</t>
  </si>
  <si>
    <t>Rounding</t>
  </si>
  <si>
    <t>TP perlu dinaikkan dari 1.03 menjadi 1.05 supaya net CIF sama dengan sebelumnya</t>
  </si>
  <si>
    <t>Sales Volume 2022</t>
  </si>
  <si>
    <t>OF in Period</t>
  </si>
  <si>
    <t>OF in Mar-22</t>
  </si>
  <si>
    <t>OF in Sep-21</t>
  </si>
  <si>
    <t>Total GP Net</t>
  </si>
  <si>
    <t>2021 - Cambodia</t>
  </si>
  <si>
    <t>Jan 2021 - Phnom Penh</t>
  </si>
  <si>
    <t>Jan 2021 - Province</t>
  </si>
  <si>
    <t>Jan 2022 - Phnom Penh</t>
  </si>
  <si>
    <t>Jan 2022 - Province</t>
  </si>
  <si>
    <t>Aug 2023 - Cambodia</t>
  </si>
  <si>
    <t>Sep 2023 - Cambodia</t>
  </si>
  <si>
    <t>Oct 2023 - Cambodia</t>
  </si>
  <si>
    <t>Nov 2023 - Cambodia - Proposed</t>
  </si>
  <si>
    <t>Dec 2023 - Cambodia</t>
  </si>
  <si>
    <t>Jan 2024 - Cambodia</t>
  </si>
  <si>
    <t>Apr 2024 - Cambodia</t>
  </si>
  <si>
    <t xml:space="preserve"> 2024 - Cambodia with Trade Promo (300 + 10) + 3%</t>
  </si>
  <si>
    <t>Q1 2022 - Cambodia</t>
  </si>
  <si>
    <t>Q2 2022 - Cambodia</t>
  </si>
  <si>
    <t>Q3 2022 - Cambodia</t>
  </si>
  <si>
    <t>Q4 2022 - Cambodia</t>
  </si>
  <si>
    <t>S1 2022 - Cambodia</t>
  </si>
  <si>
    <t>Q4 2022 - Cambodia - Standard Pricing</t>
  </si>
  <si>
    <t>2023 - Cambodia</t>
  </si>
  <si>
    <t>2023 - Cambodia No Increase</t>
  </si>
  <si>
    <t>Importer</t>
  </si>
  <si>
    <t>Importers' margin (%)</t>
  </si>
  <si>
    <t>Importers' margin</t>
  </si>
  <si>
    <t>Importers' Buying Price</t>
  </si>
  <si>
    <t>Sales Volume</t>
  </si>
  <si>
    <t>Total GP Net in Period</t>
  </si>
  <si>
    <t>Total</t>
  </si>
  <si>
    <t>Total Vol</t>
  </si>
  <si>
    <t>Harga $8.00, 25.5+0.5, 50+1 (Province $8.00, 40+1, 6.5%)</t>
  </si>
  <si>
    <t>Jan 2021 - Cambodia</t>
  </si>
  <si>
    <t>May 2022 - Cambodia (1100)</t>
  </si>
  <si>
    <t>Jul 2022 - Phnom Penh</t>
  </si>
  <si>
    <t>Jul 2022 - Province</t>
  </si>
  <si>
    <t>Growth from Jan 2022 - Cambodia</t>
  </si>
  <si>
    <t>Growth from Jan 2022 - Phnom Penh</t>
  </si>
  <si>
    <t>Growth from Jan 2022 - Province</t>
  </si>
  <si>
    <t>Jul 2022 - Cambodia (2)</t>
  </si>
  <si>
    <t>Jul 2022 - Phnom Penh (2)</t>
  </si>
  <si>
    <t>Jul 2022 - Province (2)</t>
  </si>
  <si>
    <t>Jul 2022 - Cambodia (3)</t>
  </si>
  <si>
    <t>Jul 2022 - Phnom Penh (3)</t>
  </si>
  <si>
    <t>Jul 2022 - Province (3)</t>
  </si>
  <si>
    <t>Jul 2022 - Cambodia (3.5)</t>
  </si>
  <si>
    <t>Jul 2022 - Cambodia (1100)</t>
  </si>
  <si>
    <t>Jul 2022 - Phnom Penh (1100)</t>
  </si>
  <si>
    <t>Jul 2022 - Province (1100)</t>
  </si>
  <si>
    <t>Jul 2022 - Cambodia (4)</t>
  </si>
  <si>
    <t>Q1 Vietnam</t>
  </si>
  <si>
    <t>Q2 Vietnam</t>
  </si>
  <si>
    <t>Q4 Vietnam</t>
  </si>
  <si>
    <t>GSS Vietnam 40</t>
  </si>
  <si>
    <t>OF in Feb-22</t>
  </si>
  <si>
    <t>2023 - Cambodia (Vlok)</t>
  </si>
  <si>
    <t>S1 2022</t>
  </si>
  <si>
    <t>Q3 2022</t>
  </si>
  <si>
    <t>Q4 2022</t>
  </si>
  <si>
    <t>2023</t>
  </si>
  <si>
    <t>2022 - Freight 1500</t>
  </si>
  <si>
    <t>Nov 2023 - Cambodia</t>
  </si>
  <si>
    <t>KBGN LOKAL 40</t>
  </si>
  <si>
    <t>SM LOKAL 40</t>
  </si>
  <si>
    <t>AB LOKAL 40</t>
  </si>
  <si>
    <t>Volume</t>
  </si>
  <si>
    <t>Vol 2023 - I</t>
  </si>
  <si>
    <t>Vol 2023 - II</t>
  </si>
  <si>
    <t>Vol 2023 - III</t>
  </si>
  <si>
    <t>Vol 2023 - IV</t>
  </si>
  <si>
    <t>Price/ctn 2022</t>
  </si>
  <si>
    <t>Total 2022</t>
  </si>
  <si>
    <t>Vol 2023</t>
  </si>
  <si>
    <t>FOB 2022</t>
  </si>
  <si>
    <t>CIF 2022</t>
  </si>
  <si>
    <t>TP 2022</t>
  </si>
  <si>
    <t>FOB-TP 2022</t>
  </si>
  <si>
    <t>CIF-TP 2022</t>
  </si>
  <si>
    <t>Price/ctn 2023</t>
  </si>
  <si>
    <t>FOB 2023</t>
  </si>
  <si>
    <t>CIF 2023</t>
  </si>
  <si>
    <t>TP 2023</t>
  </si>
  <si>
    <t>FOB-TP 2023</t>
  </si>
  <si>
    <t>CIF-TP 2023</t>
  </si>
  <si>
    <t>Price/ctn Mvt</t>
  </si>
  <si>
    <t>FOB-TP</t>
  </si>
  <si>
    <t>FOB/pcs</t>
  </si>
  <si>
    <t>(FOB-TP)/pcs</t>
  </si>
  <si>
    <t>MF 2023</t>
  </si>
  <si>
    <t>Naik FOB</t>
  </si>
  <si>
    <t>Buat Scenario IHAG increase by 5%</t>
  </si>
  <si>
    <t>Naik TP</t>
  </si>
  <si>
    <t>Buat perbandingan AOP 2023 dari Ci Yuni vs AOP 2023 versi kita</t>
  </si>
  <si>
    <t>Check kenaikan harga 5% di bawah ke atasnya efeknya gimana</t>
  </si>
  <si>
    <t>Bikin standard pricing @ $7.8 di WS, $8 di retail</t>
  </si>
  <si>
    <t>Skenario:</t>
  </si>
  <si>
    <t>1. Jika 2023 kita mau tidak usah naikin harga tapi mau make the same amount of GP5</t>
  </si>
  <si>
    <t>2. (FOB-TP)/pcs harusnya growth around 5%</t>
  </si>
  <si>
    <t>3. Pricing building blocks masih sama apa ngga (WS diskonnya masih sama apa ngga, subdist juga)</t>
  </si>
  <si>
    <t>4. Standard Pricing</t>
  </si>
  <si>
    <t>5. Sales Projection: 170-180-190-200</t>
  </si>
  <si>
    <t>5a. Sales Projection by Area by SKU</t>
  </si>
  <si>
    <t>Vol 2023 - V</t>
  </si>
  <si>
    <t>Vol 2023 - VI</t>
  </si>
  <si>
    <t>Vol 2023 - II - NI</t>
  </si>
  <si>
    <t>Vol 2023 - III - NI</t>
  </si>
  <si>
    <t>Vol 2023 - IV - NI</t>
  </si>
  <si>
    <t>Vol 2023 - V - NI</t>
  </si>
  <si>
    <t>Vol 2023 - VI - NI</t>
  </si>
  <si>
    <t>OF GAIN</t>
  </si>
  <si>
    <t xml:space="preserve"> 2024 - Cambodia with Trade Promo (200 + 5) + 3%</t>
  </si>
  <si>
    <t>2023 - Cambodia (10%)</t>
  </si>
  <si>
    <t>2023 - Cambodia (5%) - 1100</t>
  </si>
  <si>
    <t>2023 - Cambodia (5%)</t>
  </si>
  <si>
    <t>2023 - Cambodia (No Price Increase)</t>
  </si>
  <si>
    <t>Oct 2023 Cambodia</t>
  </si>
  <si>
    <t>Nov 2023 Cambodia</t>
  </si>
  <si>
    <t>Dec 2023 Cambodia</t>
  </si>
  <si>
    <t>Mar 2024 Cambodia</t>
  </si>
  <si>
    <t>Apr 2024 Cambodia</t>
  </si>
  <si>
    <t xml:space="preserve"> 2024 - Cambodia with Trade Promo (300 + 10) +3%</t>
  </si>
  <si>
    <t>Feb 2024 Cambodia</t>
  </si>
  <si>
    <t xml:space="preserve"> 2024 - Cambodia with Trade Promo (300 + 10)</t>
  </si>
  <si>
    <t>GRS LOKAL 40</t>
  </si>
  <si>
    <t xml:space="preserve"> 2024 - Cambodia with Trade Promo (10 + 1) +3%</t>
  </si>
  <si>
    <t xml:space="preserve">Dec 2023 - Cambodia - </t>
  </si>
  <si>
    <t xml:space="preserve">Jan 2024 - Cambodia - </t>
  </si>
  <si>
    <t xml:space="preserve">Feb 2024 - Cambodia - </t>
  </si>
  <si>
    <t>Jan 2024 - Cambodia - Proposed</t>
  </si>
  <si>
    <t>TORI MISO 12</t>
  </si>
  <si>
    <t># FILL MATCODE LATER #</t>
  </si>
  <si>
    <t>Jan2</t>
  </si>
  <si>
    <t>Feb2</t>
  </si>
  <si>
    <t>Mar2</t>
  </si>
  <si>
    <t>Apr2</t>
  </si>
  <si>
    <t>May2</t>
  </si>
  <si>
    <t>Jun2</t>
  </si>
  <si>
    <t>Jul2</t>
  </si>
  <si>
    <t>Aug2</t>
  </si>
  <si>
    <t>Sep2</t>
  </si>
  <si>
    <t>Oct2</t>
  </si>
  <si>
    <t>Q4 2022 - Cambodia (1100)</t>
  </si>
  <si>
    <t>Q4 2022 - Phnom Penh (1100)</t>
  </si>
  <si>
    <t>Q4 2022 - Province (1100)</t>
  </si>
  <si>
    <t>Q4 2022 - Cambodia (1100) Feasibility</t>
  </si>
  <si>
    <t>Skenario 1: Percentage same</t>
  </si>
  <si>
    <t>Skenario 2: Absolute same</t>
  </si>
  <si>
    <t>Factory</t>
  </si>
  <si>
    <t>Compare Pricing Structure export vs pabrik</t>
  </si>
  <si>
    <t>Harga $8.00, 25.5+0.5, 50+1 (Province $8, 60+1, 6.0%)</t>
  </si>
  <si>
    <t>Harga $8.20, no promotion (Province $8.20, 6%)</t>
  </si>
  <si>
    <t>Feb 2022 - Phnom Penh</t>
  </si>
  <si>
    <t>Feb 2022 - Province</t>
  </si>
  <si>
    <t>Q2 2022 - Phnom Penh</t>
  </si>
  <si>
    <t>Q2 2022 - Province</t>
  </si>
  <si>
    <t>Jul 2022 - Phnom Penh (4)</t>
  </si>
  <si>
    <t>Jul 2022 - Province (4)</t>
  </si>
  <si>
    <t>Jul 2022 - Cambodia (4.5)</t>
  </si>
  <si>
    <t>Q4 2022 - Cambodia (1200)</t>
  </si>
  <si>
    <t>Q4 2022 - Phnom Penh(1200)</t>
  </si>
  <si>
    <t>Q4 2022 - Province (1200)</t>
  </si>
  <si>
    <t>Q4 2022 - Cambodia (1200) - 9.5</t>
  </si>
  <si>
    <t>Q4 2022 - Phnom Penh(1200) - 9.5</t>
  </si>
  <si>
    <t>Q4 2022 - Province (1200) - 9.5</t>
  </si>
  <si>
    <t>Q4 2022 - Phnom Penh (1200)</t>
  </si>
  <si>
    <t>Q4 2022 - Cambodia (1200) Feasibility</t>
  </si>
  <si>
    <t>Q4 2022 - Cambodia (1200) Feasibility - 12%</t>
  </si>
  <si>
    <t>%</t>
  </si>
  <si>
    <t>2022 (120mio)</t>
  </si>
  <si>
    <t>2022 (130 mio)</t>
  </si>
  <si>
    <t>Val (CIF)</t>
  </si>
  <si>
    <t>Val (FOB)</t>
  </si>
  <si>
    <t>P&amp;L By SKU - COGS Increase by 6%</t>
  </si>
  <si>
    <t>2022 Profitability By SKU</t>
  </si>
  <si>
    <t>Discount</t>
  </si>
  <si>
    <t xml:space="preserve">% GP1 </t>
  </si>
  <si>
    <t>TP Ratio %</t>
  </si>
  <si>
    <t>MF Ratio %</t>
  </si>
  <si>
    <t>VSE Ratio %</t>
  </si>
  <si>
    <t xml:space="preserve">% GP2 </t>
  </si>
  <si>
    <t>% GP3</t>
  </si>
  <si>
    <t>% GP4</t>
  </si>
  <si>
    <t>Sales Value (FOB)</t>
  </si>
  <si>
    <t>Sales Value (CIF)</t>
  </si>
  <si>
    <t>Current</t>
  </si>
  <si>
    <t>New</t>
  </si>
  <si>
    <t>M%</t>
  </si>
  <si>
    <t>MA</t>
  </si>
  <si>
    <t>P&amp;L 2022</t>
  </si>
  <si>
    <t>- 6%</t>
  </si>
  <si>
    <t>Values</t>
  </si>
  <si>
    <t xml:space="preserve">2021 (FOB 5.30) </t>
  </si>
  <si>
    <t>2022 (FOB 5.30)</t>
  </si>
  <si>
    <t>Growth (22 v 21)</t>
  </si>
  <si>
    <t>2022 (FOB 5.44)</t>
  </si>
  <si>
    <t>Difference (Absolute)</t>
  </si>
  <si>
    <t>Difference (Ratio)</t>
  </si>
  <si>
    <t>2022 (FOB 5.44 + A&amp;P)</t>
  </si>
  <si>
    <t>Row Labels</t>
  </si>
  <si>
    <t>Sum of Oct</t>
  </si>
  <si>
    <t>Sum of Nov</t>
  </si>
  <si>
    <t>Sum of Dec</t>
  </si>
  <si>
    <t>Nov3</t>
  </si>
  <si>
    <t>Dec4</t>
  </si>
  <si>
    <t>FOB USD</t>
  </si>
  <si>
    <t>COGS USD</t>
  </si>
  <si>
    <t>GP1 USD</t>
  </si>
  <si>
    <t>GP2 USD</t>
  </si>
  <si>
    <t>IHAG MYR 40</t>
  </si>
  <si>
    <t>GP3 USD</t>
  </si>
  <si>
    <t>Freight Gain/Loss</t>
  </si>
  <si>
    <t>2022 (FOB 5.95)</t>
  </si>
  <si>
    <t>2022 (FOB 5.75)</t>
  </si>
  <si>
    <t>2022 (120 mio)</t>
  </si>
  <si>
    <t>Distributor Profitability</t>
  </si>
  <si>
    <t>Indofood</t>
  </si>
  <si>
    <t>Sales</t>
  </si>
  <si>
    <t>Avg pcs/ctn</t>
  </si>
  <si>
    <t>Sales Value - FOB (USD)</t>
  </si>
  <si>
    <t>Avg Selling Price (USD)</t>
  </si>
  <si>
    <t>Distributor Selling Price*</t>
  </si>
  <si>
    <t>Distributor Buying Price*</t>
  </si>
  <si>
    <t>Distributor Margin*</t>
  </si>
  <si>
    <t>Distributor OPEX</t>
  </si>
  <si>
    <t>Distributor Operating Profit</t>
  </si>
  <si>
    <t>Distributor Operating Profit %</t>
  </si>
  <si>
    <t>Tax (20%)</t>
  </si>
  <si>
    <t>K1000 Net Profit After Tax</t>
  </si>
  <si>
    <t>Distributor Net Profit After Tax %</t>
  </si>
  <si>
    <t>COGS %</t>
  </si>
  <si>
    <t>Indofood Gross Profit</t>
  </si>
  <si>
    <t>Indofood Gross Profit%</t>
  </si>
  <si>
    <t>OPEX**</t>
  </si>
  <si>
    <t>Indofood Operating Profit</t>
  </si>
  <si>
    <t>Indofood Operating Profit %</t>
  </si>
  <si>
    <t>Royalty</t>
  </si>
  <si>
    <t>Indofood Net Profit Before Tax</t>
  </si>
  <si>
    <t>Indofood Net Profit Before Tax %</t>
  </si>
  <si>
    <t>Tax</t>
  </si>
  <si>
    <t>Indofood Net Profit</t>
  </si>
  <si>
    <t>Indofood Net Profit %</t>
  </si>
  <si>
    <t>Distributor Profit</t>
  </si>
  <si>
    <t>Grand Total</t>
  </si>
  <si>
    <t>JV 75-25</t>
  </si>
  <si>
    <t>JV 70-30</t>
  </si>
  <si>
    <t>JV 65-35</t>
  </si>
  <si>
    <t>JV 60-40</t>
  </si>
  <si>
    <t>75-25</t>
  </si>
  <si>
    <t>Indofood Sales Volume (pcs)</t>
  </si>
  <si>
    <t>Sales Value (USD)</t>
  </si>
  <si>
    <t>Distribution</t>
  </si>
  <si>
    <t>Distributor OPEX (Assumption: 8%)</t>
  </si>
  <si>
    <t>Distributor Net Profit After Tax</t>
  </si>
  <si>
    <t>Distributor Net Profit from Operation (25%)</t>
  </si>
  <si>
    <t>Distributor Net Profit as Shareholder (25%)**</t>
  </si>
  <si>
    <t>K-Man Net Profit</t>
  </si>
  <si>
    <t>Distributor Net Profit %</t>
  </si>
  <si>
    <t>Manufacturing</t>
  </si>
  <si>
    <t>JV Gross Profit</t>
  </si>
  <si>
    <t>JV Gross Profit %</t>
  </si>
  <si>
    <t>OPEX***</t>
  </si>
  <si>
    <t>JV Operating Profit</t>
  </si>
  <si>
    <t>JV Operating Profit %</t>
  </si>
  <si>
    <t>JV Net Profit Before Tax</t>
  </si>
  <si>
    <t>JV Net Profit Before Tax %</t>
  </si>
  <si>
    <t>JV Net Profit</t>
  </si>
  <si>
    <t>JV Net Profit %</t>
  </si>
  <si>
    <t>70-30</t>
  </si>
  <si>
    <t>Distributor Net Profit from Operation (30%)</t>
  </si>
  <si>
    <t>Distributor Net Profit as Shareholder (30%)**</t>
  </si>
  <si>
    <t>*) Using only GSS, IHAG, IIP</t>
  </si>
  <si>
    <t>**) Taken from JV Net Profit Before Tax</t>
  </si>
  <si>
    <t>***) Including VSE</t>
  </si>
  <si>
    <t>65-35</t>
  </si>
  <si>
    <t>Distributor Net Profit from Operation (35%)</t>
  </si>
  <si>
    <t>Distributor Net Profit as Shareholder (35%)**</t>
  </si>
  <si>
    <t>60-40</t>
  </si>
  <si>
    <t>Distributor Net Profit from Operation (40%)</t>
  </si>
  <si>
    <t>Distributor Net Profit as Shareholder (40%)**</t>
  </si>
  <si>
    <t>Regular Promotion by Distributor to Trade</t>
  </si>
  <si>
    <t xml:space="preserve"> (Before Freight Increase)</t>
  </si>
  <si>
    <t xml:space="preserve"> (After Freight Increase)</t>
  </si>
  <si>
    <t xml:space="preserve"> (After Price Increase)</t>
  </si>
  <si>
    <t>Promotion</t>
  </si>
  <si>
    <t>Cost Ratio</t>
  </si>
  <si>
    <t>Price</t>
  </si>
  <si>
    <t>Contribution</t>
  </si>
  <si>
    <t>Old GP Net</t>
  </si>
  <si>
    <t>Current GP Net</t>
  </si>
  <si>
    <t>New GP Net</t>
  </si>
  <si>
    <r>
      <t xml:space="preserve">Wholesale: (25.5+0.5) &amp; </t>
    </r>
    <r>
      <rPr>
        <b/>
        <sz val="11"/>
        <color theme="1"/>
        <rFont val="Calibri"/>
        <family val="2"/>
        <scheme val="minor"/>
      </rPr>
      <t>1.5%</t>
    </r>
  </si>
  <si>
    <t xml:space="preserve">Wholesale: (25.5+0.5) </t>
  </si>
  <si>
    <t xml:space="preserve">Wholesale: (35.5+0.5) </t>
  </si>
  <si>
    <r>
      <t xml:space="preserve">Wholesale: (50+1) &amp; </t>
    </r>
    <r>
      <rPr>
        <b/>
        <sz val="11"/>
        <color theme="1"/>
        <rFont val="Calibri"/>
        <family val="2"/>
        <scheme val="minor"/>
      </rPr>
      <t>2%</t>
    </r>
  </si>
  <si>
    <t xml:space="preserve">Wholesale: (50+1) </t>
  </si>
  <si>
    <t xml:space="preserve">Wholesale: (60+1) </t>
  </si>
  <si>
    <r>
      <t xml:space="preserve">Wholesale: (100+3) &amp; </t>
    </r>
    <r>
      <rPr>
        <b/>
        <sz val="11"/>
        <color theme="1"/>
        <rFont val="Calibri"/>
        <family val="2"/>
        <scheme val="minor"/>
      </rPr>
      <t>2%</t>
    </r>
  </si>
  <si>
    <t xml:space="preserve">Wholesale: (100+3) </t>
  </si>
  <si>
    <t xml:space="preserve">Wholesale: (100+2) </t>
  </si>
  <si>
    <r>
      <t xml:space="preserve">Wholesale: (150+5) </t>
    </r>
    <r>
      <rPr>
        <b/>
        <sz val="11"/>
        <color theme="1"/>
        <rFont val="Calibri"/>
        <family val="2"/>
        <scheme val="minor"/>
      </rPr>
      <t>&amp; 2%</t>
    </r>
  </si>
  <si>
    <t xml:space="preserve">Wholesale: (150+5) </t>
  </si>
  <si>
    <t xml:space="preserve">Wholesale: (200+5) </t>
  </si>
  <si>
    <t>Subdistributor: (40+1) &amp; 3.5% + 3%</t>
  </si>
  <si>
    <t>Subdistributor: (50+1) &amp; 3.5% + 3%</t>
  </si>
  <si>
    <t>PP Subdistributor: (40+1) &amp; 3%</t>
  </si>
  <si>
    <t>PP Subdistributor: (50+1) &amp; 3%</t>
  </si>
  <si>
    <t>MT: 3%</t>
  </si>
  <si>
    <t>May 2024 - Cambodia</t>
  </si>
  <si>
    <t>May 2024 Cambodia</t>
  </si>
  <si>
    <t xml:space="preserve">May 2024 - Cambodia - </t>
  </si>
  <si>
    <t>Q4 2024 - Cambodia</t>
  </si>
  <si>
    <t>Jun 2024 - Cambodia</t>
  </si>
  <si>
    <t>Jun 2024 Cambodia</t>
  </si>
  <si>
    <t>PMAD Cambodia 12</t>
  </si>
  <si>
    <t xml:space="preserve">Jun 2024 - Cambodia - </t>
  </si>
  <si>
    <t>Jul 2024 - Cambodia</t>
  </si>
  <si>
    <t>Jul 2024 Cambodia</t>
  </si>
  <si>
    <t xml:space="preserve"> 2024 - Cambodia MT</t>
  </si>
  <si>
    <t>Aug 2024 - Cambodia</t>
  </si>
  <si>
    <t>Aug 2024 Cambodia</t>
  </si>
  <si>
    <t>AUg 2024 - Cambodia</t>
  </si>
  <si>
    <t>Sep 2024 - Cambodia</t>
  </si>
  <si>
    <t>Sep 2024 Cambodia</t>
  </si>
  <si>
    <t>Proposed 2024 - Cambodia</t>
  </si>
  <si>
    <t>GSS VLOK 40</t>
  </si>
  <si>
    <t>IHAG VLOK 40</t>
  </si>
  <si>
    <t>IIP VLOK 40</t>
  </si>
  <si>
    <t>Propsed 2024 - Cambodia</t>
  </si>
  <si>
    <t>KBGN Vlok 40</t>
  </si>
  <si>
    <t>SM Vlok 40</t>
  </si>
  <si>
    <t>AB Vlok 40</t>
  </si>
  <si>
    <t>Proposed 2024 Cambodia</t>
  </si>
  <si>
    <t xml:space="preserve">Proposed 2024 - Cambodia - </t>
  </si>
  <si>
    <t xml:space="preserve">Oct 2024 - Cambodia - </t>
  </si>
  <si>
    <t>Oct 2024 - Cambodia</t>
  </si>
  <si>
    <t>Oct 2024 Cambodia</t>
  </si>
  <si>
    <t>Nov 2024 - Cambodia</t>
  </si>
  <si>
    <t>Dec 2024 - Cambodia</t>
  </si>
  <si>
    <t>Nov 2024 Cambodia</t>
  </si>
  <si>
    <t>Dec 2024 Cambodia</t>
  </si>
  <si>
    <t xml:space="preserve">Nov 2024 - Cambodia - </t>
  </si>
  <si>
    <t>GT</t>
  </si>
  <si>
    <t>MT</t>
  </si>
  <si>
    <t>Cambodia Nov 2023</t>
  </si>
  <si>
    <t>Cambodia Oct 2023</t>
  </si>
  <si>
    <t>Aug 2024 - Cambodia - Approved</t>
  </si>
  <si>
    <t>GRS VLOK  40</t>
  </si>
  <si>
    <t>GPD VLOK  40</t>
  </si>
  <si>
    <t>CGSS AUS NS 12</t>
  </si>
  <si>
    <t>PGAG LOKAL 12</t>
  </si>
  <si>
    <t>SM VLOK 40</t>
  </si>
  <si>
    <t>IPKS 20</t>
  </si>
  <si>
    <t>IPKF 20</t>
  </si>
  <si>
    <t>NEED TO FILL
and NEED TO CHECK THE NUMBERS</t>
  </si>
  <si>
    <t>NEED TO FILL</t>
  </si>
  <si>
    <t>436481</t>
  </si>
  <si>
    <t xml:space="preserve">Oct 2024 - Cambodia </t>
  </si>
  <si>
    <t xml:space="preserve">Dec 2024 - Cambodia </t>
  </si>
  <si>
    <t>PMKS 12</t>
  </si>
  <si>
    <t>PMKF 12</t>
  </si>
  <si>
    <t>Aug 2024 - Cambodia Proposed</t>
  </si>
  <si>
    <t>Existing - Cambodia</t>
  </si>
  <si>
    <t>Propose Q2 2025 - Cambodia</t>
  </si>
  <si>
    <t>PMAL Vlok 24</t>
  </si>
  <si>
    <t>Proposed 2025 - Cambodia</t>
  </si>
  <si>
    <t>PGSS Vlok 12</t>
  </si>
  <si>
    <t>GPD VLOK 40</t>
  </si>
  <si>
    <t>GRS VLOK 40</t>
  </si>
  <si>
    <t>KBGN VLOK 40</t>
  </si>
  <si>
    <t>IPKS VLOK 20</t>
  </si>
  <si>
    <t>IPKF VLOK 20</t>
  </si>
  <si>
    <t>PMKF VLOK 12</t>
  </si>
  <si>
    <t>PMKS VLOK 12</t>
  </si>
  <si>
    <t>PGAG Cambodia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</si>
</sst>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dd/mm/yy;@"/>
    <numFmt numFmtId="168" formatCode="0.0%"/>
    <numFmt numFmtId="169" formatCode="[$PGK]\ #,##0;\-[$PGK]\ #,##0"/>
    <numFmt numFmtId="170" formatCode="_-[$$-409]* #,##0.00_ ;_-[$$-409]* \-#,##0.00\ ;_-[$$-409]* &quot;-&quot;??_ ;_-@_ "/>
    <numFmt numFmtId="171" formatCode="_-* #,##0.000_-;\-* #,##0.000_-;_-* &quot;-&quot;??_-;_-@_-"/>
    <numFmt numFmtId="172" formatCode="_-* #,##0.00000000_-;\-* #,##0.00000000_-;_-* &quot;-&quot;??_-;_-@_-"/>
    <numFmt numFmtId="173" formatCode="0.00000000%"/>
    <numFmt numFmtId="174" formatCode="_-* #,##0.0000000_-;\-* #,##0.0000000_-;_-* &quot;-&quot;??_-;_-@_-"/>
    <numFmt numFmtId="175" formatCode="\R\p\ #,##0.00;[Red]\-\R\p\ #,##0.00"/>
    <numFmt numFmtId="176" formatCode="mmmm\ yyyy;@"/>
    <numFmt numFmtId="177" formatCode="_(* #,##0_);_(* \(#,##0\);_(* &quot;-&quot;??_);_(@_)"/>
    <numFmt numFmtId="178" formatCode="0.00_);[Red]\(0.00\)"/>
    <numFmt numFmtId="179" formatCode="_(&quot;$&quot;* #,##0_);_(&quot;$&quot;* \(#,##0\);_(&quot;$&quot;* &quot;-&quot;??_);_(@_)"/>
    <numFmt numFmtId="180" formatCode="_-* #,##0.0000_-;\-* #,##0.0000_-;_-* &quot;-&quot;??_-;_-@_-"/>
    <numFmt numFmtId="181" formatCode="0.000%"/>
    <numFmt numFmtId="182" formatCode="_-* #,##0.0000000_-;\-* #,##0.0000000_-;_-* &quot;-&quot;_-;_-@_-"/>
    <numFmt numFmtId="183" formatCode="_-* #,##0.00_-;\-* #,##0.00_-;_-* &quot;-&quot;_-;_-@_-"/>
    <numFmt numFmtId="184" formatCode="#,##0.0000000"/>
    <numFmt numFmtId="185" formatCode="_(* #,##0.00000_);_(* \(#,##0.00000\);_(* &quot;-&quot;??_);_(@_)"/>
    <numFmt numFmtId="186" formatCode="0.000000000000000000000000000"/>
    <numFmt numFmtId="187" formatCode="_(* #,##0.000000000000000_);_(* \(#,##0.000000000000000\);_(* &quot;-&quot;??_);_(@_)"/>
    <numFmt numFmtId="188" formatCode="_(* #,##0.0_);_(* \(#,##0.0\);_(* &quot;-&quot;?_);_(@_)"/>
    <numFmt numFmtId="189" formatCode="_-* #,##0.00000000000000000_-;\-* #,##0.00000000000000000_-;_-* &quot;-&quot;??_-;_-@_-"/>
    <numFmt numFmtId="190" formatCode="_(&quot;$&quot;* #,##0.00000_);_(&quot;$&quot;* \(#,##0.00000\);_(&quot;$&quot;* &quot;-&quot;??_);_(@_)"/>
    <numFmt numFmtId="191" formatCode="0.0000%"/>
    <numFmt numFmtId="192" formatCode="0.00000%"/>
    <numFmt numFmtId="193" formatCode="_-* #,##0.000000_-;\-* #,##0.000000_-;_-* &quot;-&quot;??_-;_-@_-"/>
    <numFmt numFmtId="194" formatCode="_-* #,##0.0_-;\-* #,##0.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b/>
      <sz val="11"/>
      <color rgb="FFFF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 tint="-0.499984740745262"/>
      <name val="Calibri"/>
      <family val="2"/>
      <scheme val="minor"/>
    </font>
    <font>
      <i/>
      <sz val="10"/>
      <color theme="2" tint="-9.9978637043366805E-2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  <font>
      <sz val="11"/>
      <color rgb="FFFFCCFF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9FBA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FFFB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5FF7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CCCE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80F8"/>
        <bgColor indexed="64"/>
      </patternFill>
    </fill>
    <fill>
      <patternFill patternType="solid">
        <fgColor rgb="FF8ED0B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CC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19">
    <xf numFmtId="0" fontId="0" fillId="0" borderId="0" xfId="0"/>
    <xf numFmtId="0" fontId="0" fillId="2" borderId="0" xfId="0" applyFill="1"/>
    <xf numFmtId="0" fontId="3" fillId="0" borderId="0" xfId="4" applyFont="1" applyAlignment="1">
      <alignment vertical="center"/>
    </xf>
    <xf numFmtId="0" fontId="1" fillId="0" borderId="0" xfId="4" applyAlignment="1">
      <alignment horizontal="left" vertical="center"/>
    </xf>
    <xf numFmtId="0" fontId="1" fillId="0" borderId="0" xfId="4" applyAlignment="1">
      <alignment vertical="center"/>
    </xf>
    <xf numFmtId="15" fontId="1" fillId="0" borderId="0" xfId="4" applyNumberFormat="1" applyAlignment="1">
      <alignment vertical="center"/>
    </xf>
    <xf numFmtId="15" fontId="5" fillId="0" borderId="0" xfId="4" applyNumberFormat="1" applyFont="1" applyAlignment="1">
      <alignment vertical="center"/>
    </xf>
    <xf numFmtId="0" fontId="6" fillId="0" borderId="0" xfId="4" applyFont="1" applyAlignment="1">
      <alignment vertical="center"/>
    </xf>
    <xf numFmtId="0" fontId="6" fillId="7" borderId="9" xfId="4" applyFont="1" applyFill="1" applyBorder="1" applyAlignment="1">
      <alignment vertical="center"/>
    </xf>
    <xf numFmtId="0" fontId="6" fillId="7" borderId="10" xfId="4" applyFont="1" applyFill="1" applyBorder="1" applyAlignment="1">
      <alignment vertical="center"/>
    </xf>
    <xf numFmtId="0" fontId="6" fillId="7" borderId="15" xfId="4" applyFont="1" applyFill="1" applyBorder="1" applyAlignment="1">
      <alignment vertical="center" wrapText="1"/>
    </xf>
    <xf numFmtId="0" fontId="6" fillId="7" borderId="0" xfId="4" applyFont="1" applyFill="1" applyAlignment="1">
      <alignment vertical="center"/>
    </xf>
    <xf numFmtId="0" fontId="6" fillId="7" borderId="15" xfId="4" applyFont="1" applyFill="1" applyBorder="1" applyAlignment="1">
      <alignment vertical="center"/>
    </xf>
    <xf numFmtId="0" fontId="6" fillId="7" borderId="20" xfId="4" applyFont="1" applyFill="1" applyBorder="1" applyAlignment="1">
      <alignment vertical="center"/>
    </xf>
    <xf numFmtId="0" fontId="6" fillId="7" borderId="1" xfId="4" applyFont="1" applyFill="1" applyBorder="1" applyAlignment="1">
      <alignment vertical="center"/>
    </xf>
    <xf numFmtId="0" fontId="1" fillId="7" borderId="15" xfId="4" applyFill="1" applyBorder="1" applyAlignment="1">
      <alignment vertical="center"/>
    </xf>
    <xf numFmtId="0" fontId="1" fillId="7" borderId="0" xfId="4" applyFill="1" applyAlignment="1">
      <alignment vertical="center"/>
    </xf>
    <xf numFmtId="166" fontId="0" fillId="7" borderId="14" xfId="5" applyNumberFormat="1" applyFont="1" applyFill="1" applyBorder="1" applyAlignment="1">
      <alignment vertical="center"/>
    </xf>
    <xf numFmtId="166" fontId="0" fillId="7" borderId="23" xfId="5" applyNumberFormat="1" applyFont="1" applyFill="1" applyBorder="1" applyAlignment="1">
      <alignment vertical="center"/>
    </xf>
    <xf numFmtId="0" fontId="1" fillId="8" borderId="15" xfId="4" applyFill="1" applyBorder="1" applyAlignment="1">
      <alignment vertical="center"/>
    </xf>
    <xf numFmtId="0" fontId="1" fillId="8" borderId="0" xfId="4" applyFill="1" applyAlignment="1">
      <alignment vertical="center"/>
    </xf>
    <xf numFmtId="166" fontId="6" fillId="8" borderId="14" xfId="5" applyNumberFormat="1" applyFont="1" applyFill="1" applyBorder="1" applyAlignment="1">
      <alignment horizontal="right" vertical="center"/>
    </xf>
    <xf numFmtId="166" fontId="6" fillId="8" borderId="23" xfId="5" applyNumberFormat="1" applyFont="1" applyFill="1" applyBorder="1" applyAlignment="1">
      <alignment horizontal="right" vertical="center"/>
    </xf>
    <xf numFmtId="165" fontId="0" fillId="7" borderId="14" xfId="5" applyFont="1" applyFill="1" applyBorder="1" applyAlignment="1">
      <alignment vertical="center"/>
    </xf>
    <xf numFmtId="165" fontId="0" fillId="7" borderId="23" xfId="5" applyFont="1" applyFill="1" applyBorder="1" applyAlignment="1">
      <alignment vertical="center"/>
    </xf>
    <xf numFmtId="0" fontId="1" fillId="7" borderId="20" xfId="4" applyFill="1" applyBorder="1" applyAlignment="1">
      <alignment vertical="center"/>
    </xf>
    <xf numFmtId="0" fontId="1" fillId="7" borderId="1" xfId="4" applyFill="1" applyBorder="1" applyAlignment="1">
      <alignment vertical="center"/>
    </xf>
    <xf numFmtId="166" fontId="0" fillId="7" borderId="24" xfId="5" applyNumberFormat="1" applyFont="1" applyFill="1" applyBorder="1" applyAlignment="1">
      <alignment vertical="center"/>
    </xf>
    <xf numFmtId="165" fontId="0" fillId="7" borderId="25" xfId="5" applyFont="1" applyFill="1" applyBorder="1" applyAlignment="1">
      <alignment vertical="center"/>
    </xf>
    <xf numFmtId="0" fontId="6" fillId="7" borderId="18" xfId="4" applyFont="1" applyFill="1" applyBorder="1" applyAlignment="1">
      <alignment horizontal="center" vertical="center" textRotation="90" wrapText="1"/>
    </xf>
    <xf numFmtId="0" fontId="1" fillId="8" borderId="0" xfId="4" applyFill="1" applyAlignment="1">
      <alignment horizontal="right" vertical="center"/>
    </xf>
    <xf numFmtId="165" fontId="6" fillId="8" borderId="14" xfId="5" applyFont="1" applyFill="1" applyBorder="1" applyAlignment="1">
      <alignment vertical="center"/>
    </xf>
    <xf numFmtId="165" fontId="0" fillId="8" borderId="23" xfId="5" applyFont="1" applyFill="1" applyBorder="1" applyAlignment="1">
      <alignment vertical="center"/>
    </xf>
    <xf numFmtId="0" fontId="0" fillId="8" borderId="15" xfId="4" applyFont="1" applyFill="1" applyBorder="1" applyAlignment="1">
      <alignment vertical="center"/>
    </xf>
    <xf numFmtId="0" fontId="1" fillId="7" borderId="0" xfId="4" quotePrefix="1" applyFill="1" applyAlignment="1">
      <alignment vertical="center"/>
    </xf>
    <xf numFmtId="0" fontId="1" fillId="7" borderId="0" xfId="4" applyFill="1" applyAlignment="1">
      <alignment horizontal="right" vertical="center"/>
    </xf>
    <xf numFmtId="9" fontId="0" fillId="7" borderId="14" xfId="6" applyFont="1" applyFill="1" applyBorder="1" applyAlignment="1">
      <alignment vertical="center"/>
    </xf>
    <xf numFmtId="9" fontId="0" fillId="7" borderId="23" xfId="6" applyFont="1" applyFill="1" applyBorder="1" applyAlignment="1">
      <alignment vertical="center"/>
    </xf>
    <xf numFmtId="165" fontId="0" fillId="8" borderId="14" xfId="5" applyFont="1" applyFill="1" applyBorder="1" applyAlignment="1">
      <alignment vertical="center"/>
    </xf>
    <xf numFmtId="165" fontId="8" fillId="8" borderId="14" xfId="5" applyFont="1" applyFill="1" applyBorder="1" applyAlignment="1">
      <alignment vertical="center"/>
    </xf>
    <xf numFmtId="165" fontId="8" fillId="8" borderId="23" xfId="5" applyFont="1" applyFill="1" applyBorder="1" applyAlignment="1">
      <alignment vertical="center"/>
    </xf>
    <xf numFmtId="166" fontId="0" fillId="7" borderId="25" xfId="5" applyNumberFormat="1" applyFont="1" applyFill="1" applyBorder="1" applyAlignment="1">
      <alignment vertical="center"/>
    </xf>
    <xf numFmtId="166" fontId="0" fillId="7" borderId="18" xfId="5" applyNumberFormat="1" applyFont="1" applyFill="1" applyBorder="1" applyAlignment="1">
      <alignment vertical="center"/>
    </xf>
    <xf numFmtId="166" fontId="0" fillId="7" borderId="27" xfId="5" applyNumberFormat="1" applyFont="1" applyFill="1" applyBorder="1" applyAlignment="1">
      <alignment vertical="center"/>
    </xf>
    <xf numFmtId="9" fontId="0" fillId="7" borderId="15" xfId="6" applyFont="1" applyFill="1" applyBorder="1" applyAlignment="1">
      <alignment vertical="center"/>
    </xf>
    <xf numFmtId="9" fontId="0" fillId="7" borderId="0" xfId="6" applyFont="1" applyFill="1" applyBorder="1" applyAlignment="1">
      <alignment vertical="center"/>
    </xf>
    <xf numFmtId="9" fontId="0" fillId="7" borderId="0" xfId="6" applyFont="1" applyFill="1" applyBorder="1" applyAlignment="1">
      <alignment horizontal="right" vertical="center"/>
    </xf>
    <xf numFmtId="168" fontId="0" fillId="7" borderId="18" xfId="6" applyNumberFormat="1" applyFont="1" applyFill="1" applyBorder="1" applyAlignment="1">
      <alignment vertical="center"/>
    </xf>
    <xf numFmtId="168" fontId="0" fillId="7" borderId="23" xfId="6" applyNumberFormat="1" applyFont="1" applyFill="1" applyBorder="1" applyAlignment="1">
      <alignment vertical="center"/>
    </xf>
    <xf numFmtId="9" fontId="0" fillId="0" borderId="0" xfId="6" applyFont="1" applyAlignment="1">
      <alignment vertical="center"/>
    </xf>
    <xf numFmtId="165" fontId="0" fillId="7" borderId="18" xfId="5" applyFont="1" applyFill="1" applyBorder="1" applyAlignment="1">
      <alignment vertical="center"/>
    </xf>
    <xf numFmtId="0" fontId="1" fillId="9" borderId="15" xfId="4" applyFill="1" applyBorder="1" applyAlignment="1">
      <alignment vertical="center"/>
    </xf>
    <xf numFmtId="0" fontId="1" fillId="9" borderId="0" xfId="4" applyFill="1" applyAlignment="1">
      <alignment vertical="center"/>
    </xf>
    <xf numFmtId="0" fontId="1" fillId="9" borderId="0" xfId="4" applyFill="1" applyAlignment="1">
      <alignment horizontal="right" vertical="center"/>
    </xf>
    <xf numFmtId="165" fontId="0" fillId="9" borderId="18" xfId="5" applyFont="1" applyFill="1" applyBorder="1" applyAlignment="1">
      <alignment vertical="center"/>
    </xf>
    <xf numFmtId="165" fontId="0" fillId="9" borderId="23" xfId="5" applyFont="1" applyFill="1" applyBorder="1" applyAlignment="1">
      <alignment vertical="center"/>
    </xf>
    <xf numFmtId="0" fontId="0" fillId="9" borderId="15" xfId="4" applyFont="1" applyFill="1" applyBorder="1" applyAlignment="1">
      <alignment vertical="center"/>
    </xf>
    <xf numFmtId="165" fontId="0" fillId="10" borderId="23" xfId="5" applyFont="1" applyFill="1" applyBorder="1" applyAlignment="1">
      <alignment vertical="center"/>
    </xf>
    <xf numFmtId="0" fontId="1" fillId="7" borderId="2" xfId="4" applyFill="1" applyBorder="1" applyAlignment="1">
      <alignment vertical="center"/>
    </xf>
    <xf numFmtId="0" fontId="1" fillId="7" borderId="3" xfId="4" applyFill="1" applyBorder="1" applyAlignment="1">
      <alignment vertical="center"/>
    </xf>
    <xf numFmtId="166" fontId="0" fillId="7" borderId="16" xfId="5" applyNumberFormat="1" applyFont="1" applyFill="1" applyBorder="1" applyAlignment="1">
      <alignment vertical="center"/>
    </xf>
    <xf numFmtId="166" fontId="0" fillId="7" borderId="21" xfId="5" applyNumberFormat="1" applyFont="1" applyFill="1" applyBorder="1" applyAlignment="1">
      <alignment vertical="center"/>
    </xf>
    <xf numFmtId="168" fontId="0" fillId="7" borderId="15" xfId="6" applyNumberFormat="1" applyFont="1" applyFill="1" applyBorder="1" applyAlignment="1">
      <alignment vertical="center"/>
    </xf>
    <xf numFmtId="168" fontId="0" fillId="7" borderId="0" xfId="6" applyNumberFormat="1" applyFont="1" applyFill="1" applyBorder="1" applyAlignment="1">
      <alignment vertical="center"/>
    </xf>
    <xf numFmtId="168" fontId="0" fillId="7" borderId="0" xfId="6" applyNumberFormat="1" applyFont="1" applyFill="1" applyBorder="1" applyAlignment="1">
      <alignment horizontal="right" vertical="center"/>
    </xf>
    <xf numFmtId="168" fontId="0" fillId="0" borderId="0" xfId="6" applyNumberFormat="1" applyFont="1" applyAlignment="1">
      <alignment vertical="center"/>
    </xf>
    <xf numFmtId="165" fontId="0" fillId="8" borderId="18" xfId="5" applyFont="1" applyFill="1" applyBorder="1" applyAlignment="1">
      <alignment vertical="center"/>
    </xf>
    <xf numFmtId="0" fontId="0" fillId="7" borderId="20" xfId="4" applyFont="1" applyFill="1" applyBorder="1" applyAlignment="1">
      <alignment vertical="center"/>
    </xf>
    <xf numFmtId="166" fontId="0" fillId="7" borderId="17" xfId="5" applyNumberFormat="1" applyFont="1" applyFill="1" applyBorder="1" applyAlignment="1">
      <alignment vertical="center"/>
    </xf>
    <xf numFmtId="165" fontId="8" fillId="8" borderId="18" xfId="5" applyFont="1" applyFill="1" applyBorder="1" applyAlignment="1">
      <alignment vertical="center"/>
    </xf>
    <xf numFmtId="165" fontId="0" fillId="8" borderId="19" xfId="5" applyFont="1" applyFill="1" applyBorder="1" applyAlignment="1">
      <alignment vertical="center"/>
    </xf>
    <xf numFmtId="0" fontId="0" fillId="7" borderId="15" xfId="4" applyFont="1" applyFill="1" applyBorder="1" applyAlignment="1">
      <alignment vertical="center"/>
    </xf>
    <xf numFmtId="165" fontId="0" fillId="7" borderId="19" xfId="5" applyFont="1" applyFill="1" applyBorder="1" applyAlignment="1">
      <alignment vertical="center"/>
    </xf>
    <xf numFmtId="9" fontId="0" fillId="7" borderId="18" xfId="6" applyFont="1" applyFill="1" applyBorder="1" applyAlignment="1">
      <alignment vertical="center"/>
    </xf>
    <xf numFmtId="9" fontId="0" fillId="7" borderId="19" xfId="6" applyFont="1" applyFill="1" applyBorder="1" applyAlignment="1">
      <alignment vertical="center"/>
    </xf>
    <xf numFmtId="169" fontId="0" fillId="7" borderId="0" xfId="5" applyNumberFormat="1" applyFont="1" applyFill="1" applyBorder="1" applyAlignment="1">
      <alignment horizontal="left" vertical="center"/>
    </xf>
    <xf numFmtId="170" fontId="1" fillId="7" borderId="0" xfId="4" applyNumberFormat="1" applyFill="1" applyAlignment="1">
      <alignment vertical="center"/>
    </xf>
    <xf numFmtId="0" fontId="0" fillId="7" borderId="18" xfId="4" applyFont="1" applyFill="1" applyBorder="1" applyAlignment="1">
      <alignment vertical="center"/>
    </xf>
    <xf numFmtId="0" fontId="6" fillId="8" borderId="15" xfId="4" applyFont="1" applyFill="1" applyBorder="1" applyAlignment="1">
      <alignment vertical="center"/>
    </xf>
    <xf numFmtId="0" fontId="6" fillId="8" borderId="0" xfId="4" applyFont="1" applyFill="1" applyAlignment="1">
      <alignment vertical="center"/>
    </xf>
    <xf numFmtId="0" fontId="6" fillId="8" borderId="0" xfId="4" applyFont="1" applyFill="1" applyAlignment="1">
      <alignment horizontal="right" vertical="center"/>
    </xf>
    <xf numFmtId="165" fontId="6" fillId="8" borderId="18" xfId="5" applyFont="1" applyFill="1" applyBorder="1" applyAlignment="1">
      <alignment vertical="center"/>
    </xf>
    <xf numFmtId="165" fontId="6" fillId="8" borderId="19" xfId="5" applyFont="1" applyFill="1" applyBorder="1" applyAlignment="1">
      <alignment vertical="center"/>
    </xf>
    <xf numFmtId="0" fontId="6" fillId="11" borderId="0" xfId="4" applyFont="1" applyFill="1" applyAlignment="1">
      <alignment vertical="center"/>
    </xf>
    <xf numFmtId="0" fontId="6" fillId="11" borderId="0" xfId="4" applyFont="1" applyFill="1" applyAlignment="1">
      <alignment horizontal="right" vertical="center"/>
    </xf>
    <xf numFmtId="165" fontId="6" fillId="11" borderId="18" xfId="5" applyFont="1" applyFill="1" applyBorder="1" applyAlignment="1">
      <alignment vertical="center"/>
    </xf>
    <xf numFmtId="165" fontId="6" fillId="11" borderId="19" xfId="5" applyFont="1" applyFill="1" applyBorder="1" applyAlignment="1">
      <alignment vertical="center"/>
    </xf>
    <xf numFmtId="0" fontId="6" fillId="11" borderId="15" xfId="4" applyFont="1" applyFill="1" applyBorder="1" applyAlignment="1">
      <alignment vertical="center"/>
    </xf>
    <xf numFmtId="166" fontId="0" fillId="7" borderId="19" xfId="5" applyNumberFormat="1" applyFont="1" applyFill="1" applyBorder="1" applyAlignment="1">
      <alignment vertical="center"/>
    </xf>
    <xf numFmtId="166" fontId="0" fillId="7" borderId="18" xfId="5" applyNumberFormat="1" applyFont="1" applyFill="1" applyBorder="1" applyAlignment="1">
      <alignment horizontal="right" vertical="center"/>
    </xf>
    <xf numFmtId="165" fontId="0" fillId="7" borderId="19" xfId="5" applyFont="1" applyFill="1" applyBorder="1" applyAlignment="1">
      <alignment horizontal="right" vertical="center"/>
    </xf>
    <xf numFmtId="166" fontId="0" fillId="12" borderId="19" xfId="5" applyNumberFormat="1" applyFont="1" applyFill="1" applyBorder="1" applyAlignment="1">
      <alignment vertical="center"/>
    </xf>
    <xf numFmtId="171" fontId="0" fillId="7" borderId="15" xfId="5" applyNumberFormat="1" applyFont="1" applyFill="1" applyBorder="1" applyAlignment="1">
      <alignment vertical="center"/>
    </xf>
    <xf numFmtId="171" fontId="0" fillId="7" borderId="0" xfId="5" quotePrefix="1" applyNumberFormat="1" applyFont="1" applyFill="1" applyBorder="1" applyAlignment="1">
      <alignment vertical="center"/>
    </xf>
    <xf numFmtId="0" fontId="0" fillId="7" borderId="0" xfId="5" applyNumberFormat="1" applyFont="1" applyFill="1" applyBorder="1" applyAlignment="1">
      <alignment horizontal="right" vertical="center"/>
    </xf>
    <xf numFmtId="171" fontId="0" fillId="7" borderId="18" xfId="5" applyNumberFormat="1" applyFont="1" applyFill="1" applyBorder="1" applyAlignment="1">
      <alignment vertical="center"/>
    </xf>
    <xf numFmtId="171" fontId="0" fillId="7" borderId="19" xfId="5" applyNumberFormat="1" applyFont="1" applyFill="1" applyBorder="1" applyAlignment="1">
      <alignment vertical="center"/>
    </xf>
    <xf numFmtId="171" fontId="0" fillId="0" borderId="0" xfId="5" applyNumberFormat="1" applyFont="1" applyAlignment="1">
      <alignment vertical="center"/>
    </xf>
    <xf numFmtId="171" fontId="6" fillId="8" borderId="15" xfId="5" applyNumberFormat="1" applyFont="1" applyFill="1" applyBorder="1" applyAlignment="1">
      <alignment vertical="center"/>
    </xf>
    <xf numFmtId="171" fontId="6" fillId="8" borderId="0" xfId="5" applyNumberFormat="1" applyFont="1" applyFill="1" applyBorder="1" applyAlignment="1">
      <alignment vertical="center"/>
    </xf>
    <xf numFmtId="0" fontId="6" fillId="8" borderId="0" xfId="5" applyNumberFormat="1" applyFont="1" applyFill="1" applyBorder="1" applyAlignment="1">
      <alignment horizontal="right" vertical="center"/>
    </xf>
    <xf numFmtId="171" fontId="6" fillId="8" borderId="18" xfId="5" applyNumberFormat="1" applyFont="1" applyFill="1" applyBorder="1" applyAlignment="1">
      <alignment vertical="center"/>
    </xf>
    <xf numFmtId="171" fontId="6" fillId="8" borderId="19" xfId="5" applyNumberFormat="1" applyFont="1" applyFill="1" applyBorder="1" applyAlignment="1">
      <alignment vertical="center"/>
    </xf>
    <xf numFmtId="171" fontId="6" fillId="0" borderId="0" xfId="5" applyNumberFormat="1" applyFont="1" applyAlignment="1">
      <alignment vertical="center"/>
    </xf>
    <xf numFmtId="0" fontId="1" fillId="7" borderId="29" xfId="4" applyFill="1" applyBorder="1" applyAlignment="1">
      <alignment vertical="center"/>
    </xf>
    <xf numFmtId="0" fontId="1" fillId="7" borderId="30" xfId="4" applyFill="1" applyBorder="1" applyAlignment="1">
      <alignment vertical="center"/>
    </xf>
    <xf numFmtId="166" fontId="0" fillId="7" borderId="28" xfId="5" applyNumberFormat="1" applyFont="1" applyFill="1" applyBorder="1" applyAlignment="1">
      <alignment vertical="center"/>
    </xf>
    <xf numFmtId="166" fontId="0" fillId="7" borderId="31" xfId="5" applyNumberFormat="1" applyFont="1" applyFill="1" applyBorder="1" applyAlignment="1">
      <alignment vertical="center"/>
    </xf>
    <xf numFmtId="0" fontId="0" fillId="13" borderId="15" xfId="4" applyFont="1" applyFill="1" applyBorder="1" applyAlignment="1">
      <alignment vertical="center"/>
    </xf>
    <xf numFmtId="0" fontId="1" fillId="13" borderId="0" xfId="4" applyFill="1" applyAlignment="1">
      <alignment vertical="center"/>
    </xf>
    <xf numFmtId="0" fontId="0" fillId="13" borderId="0" xfId="4" applyFont="1" applyFill="1" applyAlignment="1">
      <alignment vertical="center"/>
    </xf>
    <xf numFmtId="166" fontId="0" fillId="13" borderId="18" xfId="5" applyNumberFormat="1" applyFont="1" applyFill="1" applyBorder="1" applyAlignment="1">
      <alignment vertical="center"/>
    </xf>
    <xf numFmtId="165" fontId="0" fillId="13" borderId="19" xfId="5" applyFont="1" applyFill="1" applyBorder="1" applyAlignment="1">
      <alignment vertical="center"/>
    </xf>
    <xf numFmtId="0" fontId="0" fillId="14" borderId="15" xfId="4" applyFont="1" applyFill="1" applyBorder="1" applyAlignment="1">
      <alignment vertical="center"/>
    </xf>
    <xf numFmtId="0" fontId="1" fillId="14" borderId="0" xfId="4" applyFill="1" applyAlignment="1">
      <alignment vertical="center"/>
    </xf>
    <xf numFmtId="0" fontId="0" fillId="14" borderId="0" xfId="4" applyFont="1" applyFill="1" applyAlignment="1">
      <alignment vertical="center"/>
    </xf>
    <xf numFmtId="166" fontId="0" fillId="14" borderId="18" xfId="5" applyNumberFormat="1" applyFont="1" applyFill="1" applyBorder="1" applyAlignment="1">
      <alignment vertical="center"/>
    </xf>
    <xf numFmtId="43" fontId="0" fillId="14" borderId="19" xfId="5" applyNumberFormat="1" applyFont="1" applyFill="1" applyBorder="1" applyAlignment="1">
      <alignment vertical="center"/>
    </xf>
    <xf numFmtId="172" fontId="0" fillId="7" borderId="19" xfId="5" applyNumberFormat="1" applyFont="1" applyFill="1" applyBorder="1" applyAlignment="1">
      <alignment vertical="center"/>
    </xf>
    <xf numFmtId="173" fontId="0" fillId="7" borderId="19" xfId="3" applyNumberFormat="1" applyFont="1" applyFill="1" applyBorder="1" applyAlignment="1">
      <alignment vertical="center"/>
    </xf>
    <xf numFmtId="174" fontId="0" fillId="7" borderId="19" xfId="5" applyNumberFormat="1" applyFont="1" applyFill="1" applyBorder="1" applyAlignment="1">
      <alignment vertical="center"/>
    </xf>
    <xf numFmtId="171" fontId="0" fillId="8" borderId="15" xfId="5" applyNumberFormat="1" applyFont="1" applyFill="1" applyBorder="1" applyAlignment="1">
      <alignment vertical="center"/>
    </xf>
    <xf numFmtId="171" fontId="0" fillId="8" borderId="0" xfId="5" applyNumberFormat="1" applyFont="1" applyFill="1" applyBorder="1" applyAlignment="1">
      <alignment vertical="center"/>
    </xf>
    <xf numFmtId="171" fontId="0" fillId="8" borderId="0" xfId="5" applyNumberFormat="1" applyFont="1" applyFill="1" applyBorder="1" applyAlignment="1">
      <alignment horizontal="right" vertical="center"/>
    </xf>
    <xf numFmtId="171" fontId="0" fillId="8" borderId="18" xfId="5" applyNumberFormat="1" applyFont="1" applyFill="1" applyBorder="1" applyAlignment="1">
      <alignment vertical="center"/>
    </xf>
    <xf numFmtId="171" fontId="0" fillId="8" borderId="19" xfId="5" applyNumberFormat="1" applyFont="1" applyFill="1" applyBorder="1" applyAlignment="1">
      <alignment vertical="center"/>
    </xf>
    <xf numFmtId="175" fontId="0" fillId="7" borderId="0" xfId="5" applyNumberFormat="1" applyFont="1" applyFill="1" applyBorder="1" applyAlignment="1">
      <alignment horizontal="right" vertical="center"/>
    </xf>
    <xf numFmtId="165" fontId="0" fillId="7" borderId="18" xfId="5" applyFont="1" applyFill="1" applyBorder="1" applyAlignment="1">
      <alignment horizontal="right" vertical="center"/>
    </xf>
    <xf numFmtId="3" fontId="9" fillId="0" borderId="0" xfId="0" applyNumberFormat="1" applyFont="1"/>
    <xf numFmtId="176" fontId="10" fillId="0" borderId="15" xfId="4" quotePrefix="1" applyNumberFormat="1" applyFont="1" applyBorder="1" applyAlignment="1">
      <alignment horizontal="left" vertical="center"/>
    </xf>
    <xf numFmtId="168" fontId="6" fillId="7" borderId="15" xfId="6" applyNumberFormat="1" applyFont="1" applyFill="1" applyBorder="1" applyAlignment="1">
      <alignment vertical="center"/>
    </xf>
    <xf numFmtId="168" fontId="6" fillId="7" borderId="0" xfId="6" applyNumberFormat="1" applyFont="1" applyFill="1" applyBorder="1" applyAlignment="1">
      <alignment vertical="center"/>
    </xf>
    <xf numFmtId="168" fontId="6" fillId="7" borderId="18" xfId="6" applyNumberFormat="1" applyFont="1" applyFill="1" applyBorder="1" applyAlignment="1">
      <alignment vertical="center"/>
    </xf>
    <xf numFmtId="9" fontId="6" fillId="7" borderId="19" xfId="6" applyFont="1" applyFill="1" applyBorder="1" applyAlignment="1">
      <alignment vertical="center"/>
    </xf>
    <xf numFmtId="0" fontId="8" fillId="15" borderId="15" xfId="4" applyFont="1" applyFill="1" applyBorder="1" applyAlignment="1">
      <alignment vertical="center"/>
    </xf>
    <xf numFmtId="0" fontId="1" fillId="15" borderId="0" xfId="4" applyFill="1" applyAlignment="1">
      <alignment vertical="center"/>
    </xf>
    <xf numFmtId="0" fontId="1" fillId="15" borderId="0" xfId="4" applyFill="1" applyAlignment="1">
      <alignment horizontal="right" vertical="center"/>
    </xf>
    <xf numFmtId="165" fontId="0" fillId="15" borderId="18" xfId="5" applyFont="1" applyFill="1" applyBorder="1" applyAlignment="1">
      <alignment vertical="center"/>
    </xf>
    <xf numFmtId="165" fontId="0" fillId="15" borderId="19" xfId="5" applyFont="1" applyFill="1" applyBorder="1" applyAlignment="1">
      <alignment vertical="center"/>
    </xf>
    <xf numFmtId="168" fontId="8" fillId="15" borderId="15" xfId="6" applyNumberFormat="1" applyFont="1" applyFill="1" applyBorder="1" applyAlignment="1">
      <alignment vertical="center"/>
    </xf>
    <xf numFmtId="168" fontId="6" fillId="15" borderId="0" xfId="6" applyNumberFormat="1" applyFont="1" applyFill="1" applyBorder="1" applyAlignment="1">
      <alignment vertical="center"/>
    </xf>
    <xf numFmtId="168" fontId="6" fillId="15" borderId="18" xfId="6" applyNumberFormat="1" applyFont="1" applyFill="1" applyBorder="1" applyAlignment="1">
      <alignment vertical="center"/>
    </xf>
    <xf numFmtId="2" fontId="8" fillId="15" borderId="19" xfId="6" applyNumberFormat="1" applyFont="1" applyFill="1" applyBorder="1" applyAlignment="1">
      <alignment vertical="center"/>
    </xf>
    <xf numFmtId="168" fontId="8" fillId="6" borderId="15" xfId="6" applyNumberFormat="1" applyFont="1" applyFill="1" applyBorder="1" applyAlignment="1">
      <alignment vertical="center"/>
    </xf>
    <xf numFmtId="168" fontId="6" fillId="6" borderId="0" xfId="6" applyNumberFormat="1" applyFont="1" applyFill="1" applyBorder="1" applyAlignment="1">
      <alignment vertical="center"/>
    </xf>
    <xf numFmtId="0" fontId="1" fillId="6" borderId="0" xfId="4" applyFill="1" applyAlignment="1">
      <alignment horizontal="right" vertical="center"/>
    </xf>
    <xf numFmtId="168" fontId="6" fillId="6" borderId="18" xfId="6" applyNumberFormat="1" applyFont="1" applyFill="1" applyBorder="1" applyAlignment="1">
      <alignment vertical="center"/>
    </xf>
    <xf numFmtId="2" fontId="8" fillId="6" borderId="19" xfId="6" applyNumberFormat="1" applyFont="1" applyFill="1" applyBorder="1" applyAlignment="1">
      <alignment vertical="center"/>
    </xf>
    <xf numFmtId="168" fontId="8" fillId="6" borderId="0" xfId="6" applyNumberFormat="1" applyFont="1" applyFill="1" applyBorder="1" applyAlignment="1">
      <alignment vertical="center"/>
    </xf>
    <xf numFmtId="2" fontId="11" fillId="7" borderId="0" xfId="6" applyNumberFormat="1" applyFont="1" applyFill="1" applyBorder="1" applyAlignment="1">
      <alignment vertical="center"/>
    </xf>
    <xf numFmtId="168" fontId="8" fillId="7" borderId="15" xfId="6" applyNumberFormat="1" applyFont="1" applyFill="1" applyBorder="1" applyAlignment="1">
      <alignment vertical="center"/>
    </xf>
    <xf numFmtId="165" fontId="6" fillId="7" borderId="19" xfId="6" applyNumberFormat="1" applyFont="1" applyFill="1" applyBorder="1" applyAlignment="1">
      <alignment vertical="center"/>
    </xf>
    <xf numFmtId="165" fontId="6" fillId="7" borderId="18" xfId="6" applyNumberFormat="1" applyFont="1" applyFill="1" applyBorder="1" applyAlignment="1">
      <alignment vertical="center"/>
    </xf>
    <xf numFmtId="168" fontId="6" fillId="16" borderId="15" xfId="6" applyNumberFormat="1" applyFont="1" applyFill="1" applyBorder="1" applyAlignment="1">
      <alignment vertical="center"/>
    </xf>
    <xf numFmtId="168" fontId="6" fillId="16" borderId="0" xfId="6" applyNumberFormat="1" applyFont="1" applyFill="1" applyBorder="1" applyAlignment="1">
      <alignment vertical="center"/>
    </xf>
    <xf numFmtId="168" fontId="6" fillId="16" borderId="18" xfId="6" applyNumberFormat="1" applyFont="1" applyFill="1" applyBorder="1" applyAlignment="1">
      <alignment vertical="center"/>
    </xf>
    <xf numFmtId="2" fontId="6" fillId="16" borderId="19" xfId="6" applyNumberFormat="1" applyFont="1" applyFill="1" applyBorder="1" applyAlignment="1">
      <alignment vertical="center"/>
    </xf>
    <xf numFmtId="168" fontId="6" fillId="16" borderId="5" xfId="6" applyNumberFormat="1" applyFont="1" applyFill="1" applyBorder="1" applyAlignment="1">
      <alignment vertical="center"/>
    </xf>
    <xf numFmtId="168" fontId="6" fillId="16" borderId="6" xfId="6" applyNumberFormat="1" applyFont="1" applyFill="1" applyBorder="1" applyAlignment="1">
      <alignment vertical="center"/>
    </xf>
    <xf numFmtId="168" fontId="6" fillId="16" borderId="34" xfId="6" applyNumberFormat="1" applyFont="1" applyFill="1" applyBorder="1" applyAlignment="1">
      <alignment vertical="center"/>
    </xf>
    <xf numFmtId="9" fontId="12" fillId="16" borderId="35" xfId="6" applyFont="1" applyFill="1" applyBorder="1" applyAlignment="1">
      <alignment vertical="center"/>
    </xf>
    <xf numFmtId="0" fontId="0" fillId="2" borderId="15" xfId="4" applyFont="1" applyFill="1" applyBorder="1" applyAlignment="1">
      <alignment vertical="center"/>
    </xf>
    <xf numFmtId="0" fontId="1" fillId="2" borderId="0" xfId="4" applyFill="1" applyAlignment="1">
      <alignment vertical="center"/>
    </xf>
    <xf numFmtId="0" fontId="0" fillId="2" borderId="0" xfId="4" applyFont="1" applyFill="1" applyAlignment="1">
      <alignment horizontal="right" vertical="center"/>
    </xf>
    <xf numFmtId="166" fontId="0" fillId="2" borderId="18" xfId="5" applyNumberFormat="1" applyFont="1" applyFill="1" applyBorder="1" applyAlignment="1">
      <alignment vertical="center"/>
    </xf>
    <xf numFmtId="165" fontId="0" fillId="2" borderId="19" xfId="5" applyFont="1" applyFill="1" applyBorder="1" applyAlignment="1">
      <alignment vertical="center"/>
    </xf>
    <xf numFmtId="165" fontId="0" fillId="2" borderId="0" xfId="5" applyFont="1" applyFill="1" applyBorder="1" applyAlignment="1">
      <alignment vertical="center"/>
    </xf>
    <xf numFmtId="165" fontId="0" fillId="2" borderId="36" xfId="5" applyFont="1" applyFill="1" applyBorder="1" applyAlignment="1">
      <alignment vertical="center"/>
    </xf>
    <xf numFmtId="43" fontId="0" fillId="2" borderId="19" xfId="5" applyNumberFormat="1" applyFont="1" applyFill="1" applyBorder="1" applyAlignment="1">
      <alignment vertical="center"/>
    </xf>
    <xf numFmtId="43" fontId="0" fillId="2" borderId="0" xfId="5" applyNumberFormat="1" applyFont="1" applyFill="1" applyBorder="1" applyAlignment="1">
      <alignment vertical="center"/>
    </xf>
    <xf numFmtId="0" fontId="1" fillId="2" borderId="15" xfId="4" applyFill="1" applyBorder="1" applyAlignment="1">
      <alignment vertical="center"/>
    </xf>
    <xf numFmtId="166" fontId="0" fillId="2" borderId="19" xfId="5" applyNumberFormat="1" applyFont="1" applyFill="1" applyBorder="1" applyAlignment="1">
      <alignment vertical="center"/>
    </xf>
    <xf numFmtId="166" fontId="0" fillId="2" borderId="0" xfId="5" applyNumberFormat="1" applyFont="1" applyFill="1" applyBorder="1" applyAlignment="1">
      <alignment vertical="center"/>
    </xf>
    <xf numFmtId="165" fontId="0" fillId="2" borderId="18" xfId="5" applyFont="1" applyFill="1" applyBorder="1" applyAlignment="1">
      <alignment vertical="center"/>
    </xf>
    <xf numFmtId="0" fontId="0" fillId="2" borderId="15" xfId="5" applyNumberFormat="1" applyFont="1" applyFill="1" applyBorder="1" applyAlignment="1">
      <alignment horizontal="left" vertical="center"/>
    </xf>
    <xf numFmtId="171" fontId="0" fillId="2" borderId="0" xfId="5" applyNumberFormat="1" applyFont="1" applyFill="1" applyBorder="1" applyAlignment="1">
      <alignment vertical="center"/>
    </xf>
    <xf numFmtId="171" fontId="0" fillId="2" borderId="0" xfId="5" applyNumberFormat="1" applyFont="1" applyFill="1" applyBorder="1" applyAlignment="1">
      <alignment horizontal="right" vertical="center"/>
    </xf>
    <xf numFmtId="171" fontId="0" fillId="2" borderId="18" xfId="5" applyNumberFormat="1" applyFont="1" applyFill="1" applyBorder="1" applyAlignment="1">
      <alignment vertical="center"/>
    </xf>
    <xf numFmtId="171" fontId="0" fillId="2" borderId="19" xfId="5" applyNumberFormat="1" applyFont="1" applyFill="1" applyBorder="1" applyAlignment="1">
      <alignment vertical="center"/>
    </xf>
    <xf numFmtId="175" fontId="0" fillId="2" borderId="0" xfId="5" applyNumberFormat="1" applyFont="1" applyFill="1" applyBorder="1" applyAlignment="1">
      <alignment horizontal="right" vertical="center"/>
    </xf>
    <xf numFmtId="165" fontId="0" fillId="2" borderId="18" xfId="5" applyFont="1" applyFill="1" applyBorder="1" applyAlignment="1">
      <alignment horizontal="right" vertical="center"/>
    </xf>
    <xf numFmtId="165" fontId="0" fillId="2" borderId="19" xfId="5" applyFont="1" applyFill="1" applyBorder="1" applyAlignment="1">
      <alignment horizontal="right" vertical="center"/>
    </xf>
    <xf numFmtId="165" fontId="0" fillId="2" borderId="0" xfId="5" applyFont="1" applyFill="1" applyBorder="1" applyAlignment="1">
      <alignment horizontal="right" vertical="center"/>
    </xf>
    <xf numFmtId="176" fontId="10" fillId="17" borderId="15" xfId="4" quotePrefix="1" applyNumberFormat="1" applyFont="1" applyFill="1" applyBorder="1" applyAlignment="1">
      <alignment horizontal="left" vertical="center"/>
    </xf>
    <xf numFmtId="0" fontId="1" fillId="17" borderId="0" xfId="4" applyFill="1" applyAlignment="1">
      <alignment vertical="center"/>
    </xf>
    <xf numFmtId="175" fontId="0" fillId="17" borderId="0" xfId="5" applyNumberFormat="1" applyFont="1" applyFill="1" applyBorder="1" applyAlignment="1">
      <alignment horizontal="right" vertical="center"/>
    </xf>
    <xf numFmtId="165" fontId="0" fillId="17" borderId="18" xfId="5" applyFont="1" applyFill="1" applyBorder="1" applyAlignment="1">
      <alignment horizontal="right" vertical="center"/>
    </xf>
    <xf numFmtId="165" fontId="2" fillId="17" borderId="19" xfId="5" applyFont="1" applyFill="1" applyBorder="1" applyAlignment="1">
      <alignment horizontal="right" vertical="center"/>
    </xf>
    <xf numFmtId="165" fontId="0" fillId="17" borderId="0" xfId="5" applyFont="1" applyFill="1" applyBorder="1" applyAlignment="1">
      <alignment horizontal="right" vertical="center"/>
    </xf>
    <xf numFmtId="165" fontId="0" fillId="17" borderId="19" xfId="5" applyFont="1" applyFill="1" applyBorder="1" applyAlignment="1">
      <alignment horizontal="right" vertical="center"/>
    </xf>
    <xf numFmtId="0" fontId="13" fillId="17" borderId="15" xfId="4" applyFont="1" applyFill="1" applyBorder="1" applyAlignment="1">
      <alignment vertical="center"/>
    </xf>
    <xf numFmtId="0" fontId="1" fillId="17" borderId="0" xfId="4" applyFill="1" applyAlignment="1">
      <alignment horizontal="right" vertical="center"/>
    </xf>
    <xf numFmtId="166" fontId="0" fillId="17" borderId="18" xfId="5" applyNumberFormat="1" applyFont="1" applyFill="1" applyBorder="1" applyAlignment="1">
      <alignment vertical="center"/>
    </xf>
    <xf numFmtId="9" fontId="2" fillId="17" borderId="19" xfId="3" applyFont="1" applyFill="1" applyBorder="1" applyAlignment="1">
      <alignment vertical="center"/>
    </xf>
    <xf numFmtId="166" fontId="0" fillId="17" borderId="0" xfId="5" applyNumberFormat="1" applyFont="1" applyFill="1" applyBorder="1" applyAlignment="1">
      <alignment vertical="center"/>
    </xf>
    <xf numFmtId="166" fontId="0" fillId="17" borderId="19" xfId="5" applyNumberFormat="1" applyFont="1" applyFill="1" applyBorder="1" applyAlignment="1">
      <alignment vertical="center"/>
    </xf>
    <xf numFmtId="0" fontId="13" fillId="2" borderId="15" xfId="4" applyFont="1" applyFill="1" applyBorder="1" applyAlignment="1">
      <alignment vertical="center"/>
    </xf>
    <xf numFmtId="0" fontId="1" fillId="2" borderId="0" xfId="4" applyFill="1" applyAlignment="1">
      <alignment horizontal="right" vertical="center"/>
    </xf>
    <xf numFmtId="9" fontId="2" fillId="2" borderId="19" xfId="3" applyFont="1" applyFill="1" applyBorder="1" applyAlignment="1">
      <alignment vertical="center"/>
    </xf>
    <xf numFmtId="0" fontId="6" fillId="7" borderId="14" xfId="4" applyFont="1" applyFill="1" applyBorder="1" applyAlignment="1">
      <alignment vertical="center" textRotation="90"/>
    </xf>
    <xf numFmtId="168" fontId="6" fillId="13" borderId="15" xfId="6" applyNumberFormat="1" applyFont="1" applyFill="1" applyBorder="1" applyAlignment="1">
      <alignment vertical="center"/>
    </xf>
    <xf numFmtId="168" fontId="6" fillId="13" borderId="0" xfId="6" applyNumberFormat="1" applyFont="1" applyFill="1" applyBorder="1" applyAlignment="1">
      <alignment vertical="center"/>
    </xf>
    <xf numFmtId="168" fontId="6" fillId="13" borderId="18" xfId="6" applyNumberFormat="1" applyFont="1" applyFill="1" applyBorder="1" applyAlignment="1">
      <alignment vertical="center"/>
    </xf>
    <xf numFmtId="2" fontId="6" fillId="13" borderId="19" xfId="6" applyNumberFormat="1" applyFont="1" applyFill="1" applyBorder="1" applyAlignment="1">
      <alignment vertical="center"/>
    </xf>
    <xf numFmtId="177" fontId="6" fillId="13" borderId="19" xfId="1" applyNumberFormat="1" applyFont="1" applyFill="1" applyBorder="1" applyAlignment="1">
      <alignment vertical="center"/>
    </xf>
    <xf numFmtId="0" fontId="6" fillId="7" borderId="33" xfId="4" applyFont="1" applyFill="1" applyBorder="1" applyAlignment="1">
      <alignment vertical="center" textRotation="90"/>
    </xf>
    <xf numFmtId="0" fontId="2" fillId="13" borderId="5" xfId="4" applyFont="1" applyFill="1" applyBorder="1" applyAlignment="1">
      <alignment vertical="center"/>
    </xf>
    <xf numFmtId="0" fontId="1" fillId="13" borderId="6" xfId="4" applyFill="1" applyBorder="1" applyAlignment="1">
      <alignment vertical="center"/>
    </xf>
    <xf numFmtId="166" fontId="2" fillId="13" borderId="34" xfId="5" applyNumberFormat="1" applyFont="1" applyFill="1" applyBorder="1" applyAlignment="1">
      <alignment horizontal="left" vertical="center"/>
    </xf>
    <xf numFmtId="43" fontId="2" fillId="13" borderId="35" xfId="5" applyNumberFormat="1" applyFont="1" applyFill="1" applyBorder="1" applyAlignment="1">
      <alignment vertical="center"/>
    </xf>
    <xf numFmtId="0" fontId="0" fillId="2" borderId="0" xfId="4" applyFont="1" applyFill="1" applyAlignment="1">
      <alignment vertical="center"/>
    </xf>
    <xf numFmtId="0" fontId="2" fillId="10" borderId="15" xfId="4" applyFont="1" applyFill="1" applyBorder="1" applyAlignment="1">
      <alignment vertical="center"/>
    </xf>
    <xf numFmtId="0" fontId="2" fillId="10" borderId="0" xfId="4" applyFont="1" applyFill="1" applyAlignment="1">
      <alignment vertical="center"/>
    </xf>
    <xf numFmtId="0" fontId="2" fillId="10" borderId="0" xfId="4" applyFont="1" applyFill="1" applyAlignment="1">
      <alignment horizontal="right" vertical="center"/>
    </xf>
    <xf numFmtId="166" fontId="2" fillId="10" borderId="18" xfId="5" applyNumberFormat="1" applyFont="1" applyFill="1" applyBorder="1" applyAlignment="1">
      <alignment vertical="center"/>
    </xf>
    <xf numFmtId="177" fontId="2" fillId="10" borderId="19" xfId="5" applyNumberFormat="1" applyFont="1" applyFill="1" applyBorder="1" applyAlignment="1">
      <alignment vertical="center"/>
    </xf>
    <xf numFmtId="0" fontId="2" fillId="18" borderId="15" xfId="4" applyFont="1" applyFill="1" applyBorder="1" applyAlignment="1">
      <alignment vertical="center"/>
    </xf>
    <xf numFmtId="0" fontId="2" fillId="18" borderId="0" xfId="4" applyFont="1" applyFill="1" applyAlignment="1">
      <alignment vertical="center"/>
    </xf>
    <xf numFmtId="0" fontId="2" fillId="18" borderId="0" xfId="4" applyFont="1" applyFill="1" applyAlignment="1">
      <alignment horizontal="right" vertical="center"/>
    </xf>
    <xf numFmtId="166" fontId="2" fillId="18" borderId="18" xfId="5" applyNumberFormat="1" applyFont="1" applyFill="1" applyBorder="1" applyAlignment="1">
      <alignment vertical="center"/>
    </xf>
    <xf numFmtId="177" fontId="2" fillId="18" borderId="19" xfId="5" applyNumberFormat="1" applyFont="1" applyFill="1" applyBorder="1" applyAlignment="1">
      <alignment vertical="center"/>
    </xf>
    <xf numFmtId="166" fontId="2" fillId="18" borderId="19" xfId="5" applyNumberFormat="1" applyFont="1" applyFill="1" applyBorder="1" applyAlignment="1">
      <alignment vertical="center"/>
    </xf>
    <xf numFmtId="165" fontId="2" fillId="18" borderId="18" xfId="5" applyFont="1" applyFill="1" applyBorder="1" applyAlignment="1">
      <alignment vertical="center"/>
    </xf>
    <xf numFmtId="171" fontId="0" fillId="2" borderId="15" xfId="5" applyNumberFormat="1" applyFont="1" applyFill="1" applyBorder="1" applyAlignment="1">
      <alignment vertical="center"/>
    </xf>
    <xf numFmtId="166" fontId="0" fillId="2" borderId="19" xfId="5" applyNumberFormat="1" applyFont="1" applyFill="1" applyBorder="1" applyAlignment="1">
      <alignment horizontal="right" vertical="center"/>
    </xf>
    <xf numFmtId="0" fontId="10" fillId="2" borderId="15" xfId="4" applyFont="1" applyFill="1" applyBorder="1" applyAlignment="1">
      <alignment vertical="center"/>
    </xf>
    <xf numFmtId="0" fontId="2" fillId="16" borderId="15" xfId="4" applyFont="1" applyFill="1" applyBorder="1" applyAlignment="1">
      <alignment vertical="center"/>
    </xf>
    <xf numFmtId="0" fontId="1" fillId="16" borderId="0" xfId="4" applyFill="1" applyAlignment="1">
      <alignment vertical="center"/>
    </xf>
    <xf numFmtId="0" fontId="0" fillId="16" borderId="0" xfId="4" applyFont="1" applyFill="1" applyAlignment="1">
      <alignment horizontal="right" vertical="center"/>
    </xf>
    <xf numFmtId="165" fontId="0" fillId="16" borderId="18" xfId="5" applyFont="1" applyFill="1" applyBorder="1" applyAlignment="1">
      <alignment vertical="center"/>
    </xf>
    <xf numFmtId="44" fontId="2" fillId="16" borderId="19" xfId="2" applyFont="1" applyFill="1" applyBorder="1" applyAlignment="1">
      <alignment vertical="center"/>
    </xf>
    <xf numFmtId="178" fontId="0" fillId="16" borderId="18" xfId="5" applyNumberFormat="1" applyFont="1" applyFill="1" applyBorder="1" applyAlignment="1">
      <alignment vertical="center"/>
    </xf>
    <xf numFmtId="0" fontId="1" fillId="16" borderId="15" xfId="4" applyFill="1" applyBorder="1" applyAlignment="1">
      <alignment vertical="center"/>
    </xf>
    <xf numFmtId="168" fontId="6" fillId="2" borderId="15" xfId="6" applyNumberFormat="1" applyFont="1" applyFill="1" applyBorder="1" applyAlignment="1">
      <alignment vertical="center"/>
    </xf>
    <xf numFmtId="168" fontId="6" fillId="2" borderId="0" xfId="6" applyNumberFormat="1" applyFont="1" applyFill="1" applyBorder="1" applyAlignment="1">
      <alignment vertical="center"/>
    </xf>
    <xf numFmtId="168" fontId="6" fillId="2" borderId="18" xfId="6" applyNumberFormat="1" applyFont="1" applyFill="1" applyBorder="1" applyAlignment="1">
      <alignment vertical="center"/>
    </xf>
    <xf numFmtId="178" fontId="6" fillId="2" borderId="19" xfId="6" applyNumberFormat="1" applyFont="1" applyFill="1" applyBorder="1" applyAlignment="1">
      <alignment vertical="center"/>
    </xf>
    <xf numFmtId="178" fontId="6" fillId="2" borderId="18" xfId="6" applyNumberFormat="1" applyFont="1" applyFill="1" applyBorder="1" applyAlignment="1">
      <alignment vertical="center"/>
    </xf>
    <xf numFmtId="0" fontId="2" fillId="19" borderId="20" xfId="4" applyFont="1" applyFill="1" applyBorder="1" applyAlignment="1">
      <alignment vertical="center"/>
    </xf>
    <xf numFmtId="0" fontId="1" fillId="19" borderId="1" xfId="4" applyFill="1" applyBorder="1" applyAlignment="1">
      <alignment vertical="center"/>
    </xf>
    <xf numFmtId="0" fontId="0" fillId="19" borderId="1" xfId="4" applyFont="1" applyFill="1" applyBorder="1" applyAlignment="1">
      <alignment vertical="center"/>
    </xf>
    <xf numFmtId="166" fontId="0" fillId="19" borderId="21" xfId="5" applyNumberFormat="1" applyFont="1" applyFill="1" applyBorder="1" applyAlignment="1">
      <alignment vertical="center"/>
    </xf>
    <xf numFmtId="179" fontId="2" fillId="19" borderId="22" xfId="2" applyNumberFormat="1" applyFont="1" applyFill="1" applyBorder="1" applyAlignment="1">
      <alignment vertical="center"/>
    </xf>
    <xf numFmtId="165" fontId="0" fillId="0" borderId="0" xfId="0" applyNumberFormat="1"/>
    <xf numFmtId="179" fontId="0" fillId="0" borderId="0" xfId="0" applyNumberFormat="1"/>
    <xf numFmtId="0" fontId="1" fillId="0" borderId="19" xfId="4" applyBorder="1" applyAlignment="1">
      <alignment vertical="center"/>
    </xf>
    <xf numFmtId="0" fontId="6" fillId="7" borderId="12" xfId="4" applyFont="1" applyFill="1" applyBorder="1" applyAlignment="1">
      <alignment vertical="center"/>
    </xf>
    <xf numFmtId="0" fontId="6" fillId="7" borderId="19" xfId="4" applyFont="1" applyFill="1" applyBorder="1" applyAlignment="1">
      <alignment vertical="center"/>
    </xf>
    <xf numFmtId="0" fontId="0" fillId="2" borderId="39" xfId="4" applyFont="1" applyFill="1" applyBorder="1" applyAlignment="1">
      <alignment vertical="center"/>
    </xf>
    <xf numFmtId="0" fontId="1" fillId="2" borderId="38" xfId="4" applyFill="1" applyBorder="1" applyAlignment="1">
      <alignment vertical="center"/>
    </xf>
    <xf numFmtId="0" fontId="0" fillId="2" borderId="38" xfId="4" applyFont="1" applyFill="1" applyBorder="1" applyAlignment="1">
      <alignment horizontal="right" vertical="center"/>
    </xf>
    <xf numFmtId="166" fontId="0" fillId="2" borderId="37" xfId="5" applyNumberFormat="1" applyFont="1" applyFill="1" applyBorder="1" applyAlignment="1">
      <alignment vertical="center"/>
    </xf>
    <xf numFmtId="166" fontId="0" fillId="7" borderId="14" xfId="5" applyNumberFormat="1" applyFont="1" applyFill="1" applyBorder="1" applyAlignment="1">
      <alignment horizontal="right" vertical="center"/>
    </xf>
    <xf numFmtId="166" fontId="0" fillId="7" borderId="23" xfId="5" applyNumberFormat="1" applyFont="1" applyFill="1" applyBorder="1" applyAlignment="1">
      <alignment horizontal="right" vertical="center"/>
    </xf>
    <xf numFmtId="168" fontId="6" fillId="20" borderId="0" xfId="6" applyNumberFormat="1" applyFont="1" applyFill="1" applyBorder="1" applyAlignment="1">
      <alignment vertical="center"/>
    </xf>
    <xf numFmtId="168" fontId="8" fillId="20" borderId="0" xfId="6" applyNumberFormat="1" applyFont="1" applyFill="1" applyBorder="1" applyAlignment="1">
      <alignment vertical="center"/>
    </xf>
    <xf numFmtId="168" fontId="6" fillId="20" borderId="18" xfId="6" applyNumberFormat="1" applyFont="1" applyFill="1" applyBorder="1" applyAlignment="1">
      <alignment vertical="center"/>
    </xf>
    <xf numFmtId="2" fontId="8" fillId="20" borderId="19" xfId="6" applyNumberFormat="1" applyFont="1" applyFill="1" applyBorder="1" applyAlignment="1">
      <alignment vertical="center"/>
    </xf>
    <xf numFmtId="0" fontId="0" fillId="7" borderId="0" xfId="4" applyFont="1" applyFill="1" applyAlignment="1">
      <alignment vertical="center"/>
    </xf>
    <xf numFmtId="176" fontId="10" fillId="0" borderId="0" xfId="4" quotePrefix="1" applyNumberFormat="1" applyFont="1" applyAlignment="1">
      <alignment horizontal="left" vertical="center"/>
    </xf>
    <xf numFmtId="0" fontId="8" fillId="15" borderId="0" xfId="4" applyFont="1" applyFill="1" applyAlignment="1">
      <alignment vertical="center"/>
    </xf>
    <xf numFmtId="168" fontId="8" fillId="15" borderId="0" xfId="6" applyNumberFormat="1" applyFont="1" applyFill="1" applyBorder="1" applyAlignment="1">
      <alignment vertical="center"/>
    </xf>
    <xf numFmtId="168" fontId="8" fillId="7" borderId="0" xfId="6" applyNumberFormat="1" applyFont="1" applyFill="1" applyBorder="1" applyAlignment="1">
      <alignment vertical="center"/>
    </xf>
    <xf numFmtId="168" fontId="6" fillId="7" borderId="34" xfId="6" applyNumberFormat="1" applyFont="1" applyFill="1" applyBorder="1" applyAlignment="1">
      <alignment vertical="center"/>
    </xf>
    <xf numFmtId="168" fontId="6" fillId="7" borderId="6" xfId="6" applyNumberFormat="1" applyFont="1" applyFill="1" applyBorder="1" applyAlignment="1">
      <alignment vertical="center"/>
    </xf>
    <xf numFmtId="9" fontId="6" fillId="7" borderId="35" xfId="6" applyFont="1" applyFill="1" applyBorder="1" applyAlignment="1">
      <alignment vertical="center"/>
    </xf>
    <xf numFmtId="0" fontId="6" fillId="7" borderId="41" xfId="4" applyFont="1" applyFill="1" applyBorder="1" applyAlignment="1">
      <alignment vertical="center" textRotation="90"/>
    </xf>
    <xf numFmtId="0" fontId="6" fillId="7" borderId="42" xfId="4" applyFont="1" applyFill="1" applyBorder="1" applyAlignment="1">
      <alignment vertical="center" textRotation="90"/>
    </xf>
    <xf numFmtId="166" fontId="0" fillId="7" borderId="0" xfId="5" applyNumberFormat="1" applyFont="1" applyFill="1" applyBorder="1" applyAlignment="1">
      <alignment horizontal="right" vertical="center"/>
    </xf>
    <xf numFmtId="165" fontId="0" fillId="7" borderId="0" xfId="5" applyFont="1" applyFill="1" applyBorder="1" applyAlignment="1">
      <alignment vertical="center"/>
    </xf>
    <xf numFmtId="166" fontId="0" fillId="7" borderId="0" xfId="5" applyNumberFormat="1" applyFont="1" applyFill="1" applyBorder="1" applyAlignment="1">
      <alignment vertical="center"/>
    </xf>
    <xf numFmtId="165" fontId="0" fillId="8" borderId="0" xfId="5" applyFont="1" applyFill="1" applyBorder="1" applyAlignment="1">
      <alignment vertical="center"/>
    </xf>
    <xf numFmtId="165" fontId="8" fillId="8" borderId="0" xfId="5" applyFont="1" applyFill="1" applyBorder="1" applyAlignment="1">
      <alignment vertical="center"/>
    </xf>
    <xf numFmtId="166" fontId="0" fillId="7" borderId="1" xfId="5" applyNumberFormat="1" applyFont="1" applyFill="1" applyBorder="1" applyAlignment="1">
      <alignment vertical="center"/>
    </xf>
    <xf numFmtId="165" fontId="0" fillId="9" borderId="0" xfId="5" applyFont="1" applyFill="1" applyBorder="1" applyAlignment="1">
      <alignment vertical="center"/>
    </xf>
    <xf numFmtId="166" fontId="0" fillId="7" borderId="3" xfId="5" applyNumberFormat="1" applyFont="1" applyFill="1" applyBorder="1" applyAlignment="1">
      <alignment vertical="center"/>
    </xf>
    <xf numFmtId="165" fontId="6" fillId="8" borderId="0" xfId="5" applyFont="1" applyFill="1" applyBorder="1" applyAlignment="1">
      <alignment vertical="center"/>
    </xf>
    <xf numFmtId="165" fontId="6" fillId="11" borderId="0" xfId="5" applyFont="1" applyFill="1" applyBorder="1" applyAlignment="1">
      <alignment vertical="center"/>
    </xf>
    <xf numFmtId="165" fontId="0" fillId="7" borderId="0" xfId="5" applyFont="1" applyFill="1" applyBorder="1" applyAlignment="1">
      <alignment horizontal="right" vertical="center"/>
    </xf>
    <xf numFmtId="171" fontId="0" fillId="7" borderId="0" xfId="5" applyNumberFormat="1" applyFont="1" applyFill="1" applyBorder="1" applyAlignment="1">
      <alignment vertical="center"/>
    </xf>
    <xf numFmtId="166" fontId="0" fillId="7" borderId="30" xfId="5" applyNumberFormat="1" applyFont="1" applyFill="1" applyBorder="1" applyAlignment="1">
      <alignment vertical="center"/>
    </xf>
    <xf numFmtId="165" fontId="0" fillId="15" borderId="0" xfId="5" applyFont="1" applyFill="1" applyBorder="1" applyAlignment="1">
      <alignment vertical="center"/>
    </xf>
    <xf numFmtId="166" fontId="2" fillId="18" borderId="0" xfId="5" applyNumberFormat="1" applyFont="1" applyFill="1" applyBorder="1" applyAlignment="1">
      <alignment vertical="center"/>
    </xf>
    <xf numFmtId="168" fontId="0" fillId="0" borderId="0" xfId="6" applyNumberFormat="1" applyFont="1" applyBorder="1" applyAlignment="1">
      <alignment vertical="center"/>
    </xf>
    <xf numFmtId="166" fontId="0" fillId="7" borderId="44" xfId="5" applyNumberFormat="1" applyFont="1" applyFill="1" applyBorder="1" applyAlignment="1">
      <alignment horizontal="right" vertical="center"/>
    </xf>
    <xf numFmtId="166" fontId="6" fillId="8" borderId="44" xfId="5" applyNumberFormat="1" applyFont="1" applyFill="1" applyBorder="1" applyAlignment="1">
      <alignment horizontal="right" vertical="center"/>
    </xf>
    <xf numFmtId="165" fontId="0" fillId="7" borderId="44" xfId="5" applyFont="1" applyFill="1" applyBorder="1" applyAlignment="1">
      <alignment vertical="center"/>
    </xf>
    <xf numFmtId="166" fontId="0" fillId="7" borderId="45" xfId="5" applyNumberFormat="1" applyFont="1" applyFill="1" applyBorder="1" applyAlignment="1">
      <alignment vertical="center"/>
    </xf>
    <xf numFmtId="166" fontId="0" fillId="7" borderId="44" xfId="5" applyNumberFormat="1" applyFont="1" applyFill="1" applyBorder="1" applyAlignment="1">
      <alignment vertical="center"/>
    </xf>
    <xf numFmtId="165" fontId="6" fillId="8" borderId="44" xfId="5" applyFont="1" applyFill="1" applyBorder="1" applyAlignment="1">
      <alignment vertical="center"/>
    </xf>
    <xf numFmtId="9" fontId="0" fillId="7" borderId="44" xfId="6" applyFont="1" applyFill="1" applyBorder="1" applyAlignment="1">
      <alignment vertical="center"/>
    </xf>
    <xf numFmtId="165" fontId="0" fillId="8" borderId="44" xfId="5" applyFont="1" applyFill="1" applyBorder="1" applyAlignment="1">
      <alignment vertical="center"/>
    </xf>
    <xf numFmtId="165" fontId="8" fillId="8" borderId="44" xfId="5" applyFont="1" applyFill="1" applyBorder="1" applyAlignment="1">
      <alignment vertical="center"/>
    </xf>
    <xf numFmtId="166" fontId="0" fillId="13" borderId="0" xfId="5" applyNumberFormat="1" applyFont="1" applyFill="1" applyBorder="1" applyAlignment="1">
      <alignment vertical="center"/>
    </xf>
    <xf numFmtId="166" fontId="0" fillId="14" borderId="0" xfId="5" applyNumberFormat="1" applyFont="1" applyFill="1" applyBorder="1" applyAlignment="1">
      <alignment vertical="center"/>
    </xf>
    <xf numFmtId="166" fontId="0" fillId="2" borderId="38" xfId="5" applyNumberFormat="1" applyFont="1" applyFill="1" applyBorder="1" applyAlignment="1">
      <alignment vertical="center"/>
    </xf>
    <xf numFmtId="166" fontId="2" fillId="13" borderId="6" xfId="5" applyNumberFormat="1" applyFont="1" applyFill="1" applyBorder="1" applyAlignment="1">
      <alignment horizontal="left" vertical="center"/>
    </xf>
    <xf numFmtId="166" fontId="2" fillId="10" borderId="0" xfId="5" applyNumberFormat="1" applyFont="1" applyFill="1" applyBorder="1" applyAlignment="1">
      <alignment vertical="center"/>
    </xf>
    <xf numFmtId="165" fontId="2" fillId="18" borderId="0" xfId="5" applyFont="1" applyFill="1" applyBorder="1" applyAlignment="1">
      <alignment vertical="center"/>
    </xf>
    <xf numFmtId="165" fontId="0" fillId="16" borderId="0" xfId="5" applyFont="1" applyFill="1" applyBorder="1" applyAlignment="1">
      <alignment vertical="center"/>
    </xf>
    <xf numFmtId="166" fontId="0" fillId="19" borderId="1" xfId="5" applyNumberFormat="1" applyFont="1" applyFill="1" applyBorder="1" applyAlignment="1">
      <alignment vertical="center"/>
    </xf>
    <xf numFmtId="0" fontId="2" fillId="19" borderId="5" xfId="4" applyFont="1" applyFill="1" applyBorder="1" applyAlignment="1">
      <alignment vertical="center"/>
    </xf>
    <xf numFmtId="0" fontId="1" fillId="19" borderId="6" xfId="4" applyFill="1" applyBorder="1" applyAlignment="1">
      <alignment vertical="center"/>
    </xf>
    <xf numFmtId="0" fontId="0" fillId="19" borderId="6" xfId="4" applyFont="1" applyFill="1" applyBorder="1" applyAlignment="1">
      <alignment vertical="center"/>
    </xf>
    <xf numFmtId="166" fontId="0" fillId="19" borderId="34" xfId="5" applyNumberFormat="1" applyFont="1" applyFill="1" applyBorder="1" applyAlignment="1">
      <alignment vertical="center"/>
    </xf>
    <xf numFmtId="179" fontId="2" fillId="19" borderId="35" xfId="2" applyNumberFormat="1" applyFont="1" applyFill="1" applyBorder="1" applyAlignment="1">
      <alignment vertical="center"/>
    </xf>
    <xf numFmtId="0" fontId="0" fillId="0" borderId="46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" fillId="16" borderId="50" xfId="0" applyFont="1" applyFill="1" applyBorder="1" applyAlignment="1">
      <alignment horizontal="center" vertical="center" wrapText="1"/>
    </xf>
    <xf numFmtId="0" fontId="2" fillId="16" borderId="51" xfId="0" applyFont="1" applyFill="1" applyBorder="1" applyAlignment="1">
      <alignment horizontal="center" vertical="center" wrapText="1"/>
    </xf>
    <xf numFmtId="10" fontId="0" fillId="0" borderId="25" xfId="3" applyNumberFormat="1" applyFont="1" applyBorder="1" applyAlignment="1">
      <alignment horizontal="center" vertical="center"/>
    </xf>
    <xf numFmtId="10" fontId="0" fillId="0" borderId="47" xfId="3" applyNumberFormat="1" applyFont="1" applyBorder="1" applyAlignment="1">
      <alignment horizontal="center" vertical="center"/>
    </xf>
    <xf numFmtId="10" fontId="0" fillId="0" borderId="49" xfId="3" applyNumberFormat="1" applyFont="1" applyBorder="1" applyAlignment="1">
      <alignment horizontal="center" vertical="center"/>
    </xf>
    <xf numFmtId="179" fontId="0" fillId="0" borderId="45" xfId="0" applyNumberFormat="1" applyBorder="1"/>
    <xf numFmtId="179" fontId="0" fillId="0" borderId="55" xfId="0" applyNumberFormat="1" applyBorder="1"/>
    <xf numFmtId="0" fontId="0" fillId="0" borderId="57" xfId="0" applyBorder="1"/>
    <xf numFmtId="0" fontId="0" fillId="0" borderId="58" xfId="0" applyBorder="1"/>
    <xf numFmtId="0" fontId="2" fillId="0" borderId="59" xfId="0" applyFont="1" applyBorder="1"/>
    <xf numFmtId="179" fontId="2" fillId="0" borderId="56" xfId="0" applyNumberFormat="1" applyFont="1" applyBorder="1"/>
    <xf numFmtId="0" fontId="2" fillId="21" borderId="43" xfId="0" applyFont="1" applyFill="1" applyBorder="1" applyAlignment="1">
      <alignment horizontal="center" vertical="center"/>
    </xf>
    <xf numFmtId="0" fontId="2" fillId="21" borderId="54" xfId="0" applyFont="1" applyFill="1" applyBorder="1" applyAlignment="1">
      <alignment horizontal="center" vertical="center"/>
    </xf>
    <xf numFmtId="0" fontId="2" fillId="21" borderId="51" xfId="0" applyFont="1" applyFill="1" applyBorder="1" applyAlignment="1">
      <alignment horizontal="center" vertical="center"/>
    </xf>
    <xf numFmtId="180" fontId="0" fillId="7" borderId="18" xfId="5" applyNumberFormat="1" applyFont="1" applyFill="1" applyBorder="1" applyAlignment="1">
      <alignment vertical="center"/>
    </xf>
    <xf numFmtId="180" fontId="0" fillId="7" borderId="18" xfId="6" applyNumberFormat="1" applyFont="1" applyFill="1" applyBorder="1" applyAlignment="1">
      <alignment vertical="center"/>
    </xf>
    <xf numFmtId="0" fontId="0" fillId="0" borderId="60" xfId="0" applyBorder="1"/>
    <xf numFmtId="43" fontId="0" fillId="0" borderId="60" xfId="1" applyFont="1" applyBorder="1"/>
    <xf numFmtId="43" fontId="0" fillId="0" borderId="0" xfId="1" applyFont="1" applyBorder="1"/>
    <xf numFmtId="10" fontId="0" fillId="0" borderId="60" xfId="3" applyNumberFormat="1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2" fillId="20" borderId="60" xfId="0" applyFont="1" applyFill="1" applyBorder="1" applyAlignment="1">
      <alignment horizontal="center" vertical="center"/>
    </xf>
    <xf numFmtId="0" fontId="2" fillId="12" borderId="60" xfId="0" applyFont="1" applyFill="1" applyBorder="1" applyAlignment="1">
      <alignment horizontal="center" vertical="center"/>
    </xf>
    <xf numFmtId="0" fontId="2" fillId="20" borderId="60" xfId="0" applyFont="1" applyFill="1" applyBorder="1"/>
    <xf numFmtId="3" fontId="0" fillId="0" borderId="0" xfId="0" applyNumberFormat="1"/>
    <xf numFmtId="3" fontId="0" fillId="0" borderId="60" xfId="0" applyNumberFormat="1" applyBorder="1"/>
    <xf numFmtId="177" fontId="0" fillId="0" borderId="60" xfId="1" applyNumberFormat="1" applyFont="1" applyBorder="1"/>
    <xf numFmtId="177" fontId="0" fillId="0" borderId="60" xfId="0" applyNumberFormat="1" applyBorder="1"/>
    <xf numFmtId="0" fontId="2" fillId="22" borderId="60" xfId="0" applyFont="1" applyFill="1" applyBorder="1" applyAlignment="1">
      <alignment horizontal="center" vertical="center"/>
    </xf>
    <xf numFmtId="3" fontId="2" fillId="20" borderId="60" xfId="0" applyNumberFormat="1" applyFont="1" applyFill="1" applyBorder="1"/>
    <xf numFmtId="0" fontId="15" fillId="0" borderId="0" xfId="0" applyFont="1"/>
    <xf numFmtId="0" fontId="2" fillId="23" borderId="60" xfId="0" applyFont="1" applyFill="1" applyBorder="1" applyAlignment="1">
      <alignment horizontal="center" vertical="center"/>
    </xf>
    <xf numFmtId="3" fontId="2" fillId="23" borderId="60" xfId="0" applyNumberFormat="1" applyFont="1" applyFill="1" applyBorder="1"/>
    <xf numFmtId="3" fontId="0" fillId="0" borderId="60" xfId="0" applyNumberFormat="1" applyBorder="1" applyAlignment="1">
      <alignment vertical="center"/>
    </xf>
    <xf numFmtId="43" fontId="0" fillId="0" borderId="0" xfId="0" applyNumberFormat="1"/>
    <xf numFmtId="0" fontId="18" fillId="0" borderId="0" xfId="0" applyFont="1"/>
    <xf numFmtId="10" fontId="0" fillId="7" borderId="25" xfId="3" applyNumberFormat="1" applyFont="1" applyFill="1" applyBorder="1" applyAlignment="1">
      <alignment vertical="center"/>
    </xf>
    <xf numFmtId="10" fontId="0" fillId="7" borderId="18" xfId="6" applyNumberFormat="1" applyFont="1" applyFill="1" applyBorder="1" applyAlignment="1">
      <alignment vertical="center"/>
    </xf>
    <xf numFmtId="166" fontId="0" fillId="0" borderId="14" xfId="5" applyNumberFormat="1" applyFont="1" applyFill="1" applyBorder="1" applyAlignment="1">
      <alignment horizontal="right" vertical="center"/>
    </xf>
    <xf numFmtId="166" fontId="0" fillId="0" borderId="23" xfId="5" applyNumberFormat="1" applyFont="1" applyFill="1" applyBorder="1" applyAlignment="1">
      <alignment horizontal="right" vertical="center"/>
    </xf>
    <xf numFmtId="165" fontId="0" fillId="0" borderId="14" xfId="5" applyFont="1" applyFill="1" applyBorder="1" applyAlignment="1">
      <alignment vertical="center"/>
    </xf>
    <xf numFmtId="165" fontId="0" fillId="0" borderId="23" xfId="5" applyFont="1" applyFill="1" applyBorder="1" applyAlignment="1">
      <alignment vertical="center"/>
    </xf>
    <xf numFmtId="166" fontId="0" fillId="0" borderId="24" xfId="5" applyNumberFormat="1" applyFont="1" applyFill="1" applyBorder="1" applyAlignment="1">
      <alignment vertical="center"/>
    </xf>
    <xf numFmtId="165" fontId="0" fillId="0" borderId="25" xfId="5" applyFont="1" applyFill="1" applyBorder="1" applyAlignment="1">
      <alignment vertical="center"/>
    </xf>
    <xf numFmtId="166" fontId="0" fillId="0" borderId="14" xfId="5" applyNumberFormat="1" applyFont="1" applyFill="1" applyBorder="1" applyAlignment="1">
      <alignment vertical="center"/>
    </xf>
    <xf numFmtId="166" fontId="0" fillId="0" borderId="23" xfId="5" applyNumberFormat="1" applyFont="1" applyFill="1" applyBorder="1" applyAlignment="1">
      <alignment vertical="center"/>
    </xf>
    <xf numFmtId="9" fontId="0" fillId="0" borderId="14" xfId="6" applyFont="1" applyFill="1" applyBorder="1" applyAlignment="1">
      <alignment vertical="center"/>
    </xf>
    <xf numFmtId="9" fontId="0" fillId="0" borderId="23" xfId="6" applyFont="1" applyFill="1" applyBorder="1" applyAlignment="1">
      <alignment vertical="center"/>
    </xf>
    <xf numFmtId="166" fontId="0" fillId="0" borderId="25" xfId="5" applyNumberFormat="1" applyFont="1" applyFill="1" applyBorder="1" applyAlignment="1">
      <alignment vertical="center"/>
    </xf>
    <xf numFmtId="166" fontId="0" fillId="0" borderId="18" xfId="5" applyNumberFormat="1" applyFont="1" applyFill="1" applyBorder="1" applyAlignment="1">
      <alignment vertical="center"/>
    </xf>
    <xf numFmtId="166" fontId="0" fillId="0" borderId="27" xfId="5" applyNumberFormat="1" applyFont="1" applyFill="1" applyBorder="1" applyAlignment="1">
      <alignment vertical="center"/>
    </xf>
    <xf numFmtId="168" fontId="0" fillId="0" borderId="18" xfId="6" applyNumberFormat="1" applyFont="1" applyFill="1" applyBorder="1" applyAlignment="1">
      <alignment vertical="center"/>
    </xf>
    <xf numFmtId="168" fontId="0" fillId="0" borderId="23" xfId="6" applyNumberFormat="1" applyFont="1" applyFill="1" applyBorder="1" applyAlignment="1">
      <alignment vertical="center"/>
    </xf>
    <xf numFmtId="165" fontId="0" fillId="0" borderId="18" xfId="5" applyFont="1" applyFill="1" applyBorder="1" applyAlignment="1">
      <alignment vertical="center"/>
    </xf>
    <xf numFmtId="166" fontId="0" fillId="0" borderId="16" xfId="5" applyNumberFormat="1" applyFont="1" applyFill="1" applyBorder="1" applyAlignment="1">
      <alignment vertical="center"/>
    </xf>
    <xf numFmtId="166" fontId="0" fillId="0" borderId="21" xfId="5" applyNumberFormat="1" applyFont="1" applyFill="1" applyBorder="1" applyAlignment="1">
      <alignment vertical="center"/>
    </xf>
    <xf numFmtId="166" fontId="0" fillId="0" borderId="17" xfId="5" applyNumberFormat="1" applyFont="1" applyFill="1" applyBorder="1" applyAlignment="1">
      <alignment vertical="center"/>
    </xf>
    <xf numFmtId="180" fontId="0" fillId="0" borderId="18" xfId="5" applyNumberFormat="1" applyFont="1" applyFill="1" applyBorder="1" applyAlignment="1">
      <alignment vertical="center"/>
    </xf>
    <xf numFmtId="165" fontId="0" fillId="0" borderId="19" xfId="5" applyFont="1" applyFill="1" applyBorder="1" applyAlignment="1">
      <alignment vertical="center"/>
    </xf>
    <xf numFmtId="9" fontId="0" fillId="0" borderId="18" xfId="6" applyFont="1" applyFill="1" applyBorder="1" applyAlignment="1">
      <alignment vertical="center"/>
    </xf>
    <xf numFmtId="9" fontId="0" fillId="0" borderId="19" xfId="6" applyFont="1" applyFill="1" applyBorder="1" applyAlignment="1">
      <alignment vertical="center"/>
    </xf>
    <xf numFmtId="180" fontId="0" fillId="0" borderId="18" xfId="6" applyNumberFormat="1" applyFont="1" applyFill="1" applyBorder="1" applyAlignment="1">
      <alignment vertical="center"/>
    </xf>
    <xf numFmtId="166" fontId="0" fillId="0" borderId="19" xfId="5" applyNumberFormat="1" applyFont="1" applyFill="1" applyBorder="1" applyAlignment="1">
      <alignment vertical="center"/>
    </xf>
    <xf numFmtId="166" fontId="0" fillId="0" borderId="18" xfId="5" applyNumberFormat="1" applyFont="1" applyFill="1" applyBorder="1" applyAlignment="1">
      <alignment horizontal="right" vertical="center"/>
    </xf>
    <xf numFmtId="165" fontId="0" fillId="0" borderId="19" xfId="5" applyFont="1" applyFill="1" applyBorder="1" applyAlignment="1">
      <alignment horizontal="right" vertical="center"/>
    </xf>
    <xf numFmtId="171" fontId="0" fillId="0" borderId="18" xfId="5" applyNumberFormat="1" applyFont="1" applyFill="1" applyBorder="1" applyAlignment="1">
      <alignment vertical="center"/>
    </xf>
    <xf numFmtId="171" fontId="0" fillId="0" borderId="19" xfId="5" applyNumberFormat="1" applyFont="1" applyFill="1" applyBorder="1" applyAlignment="1">
      <alignment vertical="center"/>
    </xf>
    <xf numFmtId="166" fontId="0" fillId="0" borderId="28" xfId="5" applyNumberFormat="1" applyFont="1" applyFill="1" applyBorder="1" applyAlignment="1">
      <alignment vertical="center"/>
    </xf>
    <xf numFmtId="166" fontId="0" fillId="0" borderId="31" xfId="5" applyNumberFormat="1" applyFont="1" applyFill="1" applyBorder="1" applyAlignment="1">
      <alignment vertical="center"/>
    </xf>
    <xf numFmtId="172" fontId="0" fillId="0" borderId="19" xfId="5" applyNumberFormat="1" applyFont="1" applyFill="1" applyBorder="1" applyAlignment="1">
      <alignment vertical="center"/>
    </xf>
    <xf numFmtId="165" fontId="0" fillId="0" borderId="18" xfId="5" applyFont="1" applyFill="1" applyBorder="1" applyAlignment="1">
      <alignment horizontal="right" vertical="center"/>
    </xf>
    <xf numFmtId="168" fontId="6" fillId="0" borderId="18" xfId="6" applyNumberFormat="1" applyFont="1" applyFill="1" applyBorder="1" applyAlignment="1">
      <alignment vertical="center"/>
    </xf>
    <xf numFmtId="9" fontId="6" fillId="0" borderId="19" xfId="6" applyFont="1" applyFill="1" applyBorder="1" applyAlignment="1">
      <alignment vertical="center"/>
    </xf>
    <xf numFmtId="165" fontId="6" fillId="0" borderId="19" xfId="6" applyNumberFormat="1" applyFont="1" applyFill="1" applyBorder="1" applyAlignment="1">
      <alignment vertical="center"/>
    </xf>
    <xf numFmtId="166" fontId="0" fillId="0" borderId="19" xfId="5" applyNumberFormat="1" applyFont="1" applyFill="1" applyBorder="1" applyAlignment="1">
      <alignment horizontal="right" vertical="center"/>
    </xf>
    <xf numFmtId="178" fontId="6" fillId="0" borderId="19" xfId="6" applyNumberFormat="1" applyFont="1" applyFill="1" applyBorder="1" applyAlignment="1">
      <alignment vertical="center"/>
    </xf>
    <xf numFmtId="9" fontId="0" fillId="0" borderId="60" xfId="3" applyFont="1" applyBorder="1"/>
    <xf numFmtId="3" fontId="16" fillId="24" borderId="60" xfId="0" applyNumberFormat="1" applyFont="1" applyFill="1" applyBorder="1" applyAlignment="1">
      <alignment vertical="center"/>
    </xf>
    <xf numFmtId="9" fontId="16" fillId="24" borderId="60" xfId="3" applyFont="1" applyFill="1" applyBorder="1" applyAlignment="1">
      <alignment vertical="center"/>
    </xf>
    <xf numFmtId="177" fontId="1" fillId="24" borderId="60" xfId="1" applyNumberFormat="1" applyFont="1" applyFill="1" applyBorder="1" applyAlignment="1">
      <alignment vertical="center"/>
    </xf>
    <xf numFmtId="168" fontId="16" fillId="24" borderId="60" xfId="3" applyNumberFormat="1" applyFont="1" applyFill="1" applyBorder="1" applyAlignment="1">
      <alignment vertical="center"/>
    </xf>
    <xf numFmtId="9" fontId="16" fillId="25" borderId="60" xfId="3" applyFont="1" applyFill="1" applyBorder="1" applyAlignment="1">
      <alignment vertical="center"/>
    </xf>
    <xf numFmtId="3" fontId="0" fillId="20" borderId="60" xfId="0" applyNumberFormat="1" applyFill="1" applyBorder="1" applyAlignment="1">
      <alignment vertical="center"/>
    </xf>
    <xf numFmtId="9" fontId="16" fillId="20" borderId="60" xfId="3" applyFont="1" applyFill="1" applyBorder="1" applyAlignment="1">
      <alignment vertical="center"/>
    </xf>
    <xf numFmtId="43" fontId="16" fillId="20" borderId="60" xfId="1" applyFont="1" applyFill="1" applyBorder="1" applyAlignment="1">
      <alignment vertical="center"/>
    </xf>
    <xf numFmtId="177" fontId="1" fillId="20" borderId="60" xfId="1" applyNumberFormat="1" applyFont="1" applyFill="1" applyBorder="1" applyAlignment="1">
      <alignment vertical="center"/>
    </xf>
    <xf numFmtId="168" fontId="16" fillId="20" borderId="60" xfId="3" applyNumberFormat="1" applyFont="1" applyFill="1" applyBorder="1" applyAlignment="1">
      <alignment vertical="center"/>
    </xf>
    <xf numFmtId="0" fontId="2" fillId="21" borderId="60" xfId="0" applyFont="1" applyFill="1" applyBorder="1" applyAlignment="1">
      <alignment horizontal="center" vertical="center"/>
    </xf>
    <xf numFmtId="9" fontId="17" fillId="21" borderId="60" xfId="3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 wrapText="1"/>
    </xf>
    <xf numFmtId="9" fontId="17" fillId="21" borderId="60" xfId="3" applyFont="1" applyFill="1" applyBorder="1" applyAlignment="1">
      <alignment horizontal="center" vertical="center" wrapText="1"/>
    </xf>
    <xf numFmtId="3" fontId="0" fillId="26" borderId="60" xfId="0" applyNumberFormat="1" applyFill="1" applyBorder="1" applyAlignment="1">
      <alignment vertical="center"/>
    </xf>
    <xf numFmtId="9" fontId="16" fillId="26" borderId="60" xfId="3" applyFont="1" applyFill="1" applyBorder="1" applyAlignment="1">
      <alignment vertical="center"/>
    </xf>
    <xf numFmtId="43" fontId="16" fillId="26" borderId="60" xfId="1" applyFont="1" applyFill="1" applyBorder="1" applyAlignment="1">
      <alignment vertical="center"/>
    </xf>
    <xf numFmtId="177" fontId="1" fillId="26" borderId="60" xfId="1" applyNumberFormat="1" applyFont="1" applyFill="1" applyBorder="1" applyAlignment="1">
      <alignment vertical="center"/>
    </xf>
    <xf numFmtId="168" fontId="16" fillId="26" borderId="60" xfId="3" applyNumberFormat="1" applyFont="1" applyFill="1" applyBorder="1" applyAlignment="1">
      <alignment vertical="center"/>
    </xf>
    <xf numFmtId="0" fontId="2" fillId="0" borderId="60" xfId="0" applyFont="1" applyBorder="1" applyAlignment="1">
      <alignment horizontal="left" vertical="center" indent="1"/>
    </xf>
    <xf numFmtId="0" fontId="17" fillId="24" borderId="60" xfId="0" applyFont="1" applyFill="1" applyBorder="1" applyAlignment="1">
      <alignment horizontal="left" vertical="center" indent="1"/>
    </xf>
    <xf numFmtId="0" fontId="2" fillId="21" borderId="60" xfId="0" applyFont="1" applyFill="1" applyBorder="1" applyAlignment="1">
      <alignment horizontal="left" vertical="center" indent="1"/>
    </xf>
    <xf numFmtId="9" fontId="18" fillId="0" borderId="0" xfId="0" quotePrefix="1" applyNumberFormat="1" applyFont="1"/>
    <xf numFmtId="177" fontId="0" fillId="0" borderId="0" xfId="0" applyNumberFormat="1"/>
    <xf numFmtId="177" fontId="15" fillId="0" borderId="0" xfId="0" applyNumberFormat="1" applyFont="1"/>
    <xf numFmtId="177" fontId="0" fillId="0" borderId="0" xfId="1" applyNumberFormat="1" applyFont="1"/>
    <xf numFmtId="0" fontId="19" fillId="21" borderId="60" xfId="0" applyFont="1" applyFill="1" applyBorder="1" applyAlignment="1">
      <alignment horizontal="center" vertical="center" wrapText="1"/>
    </xf>
    <xf numFmtId="168" fontId="16" fillId="12" borderId="60" xfId="3" applyNumberFormat="1" applyFont="1" applyFill="1" applyBorder="1" applyAlignment="1">
      <alignment vertical="center"/>
    </xf>
    <xf numFmtId="168" fontId="16" fillId="22" borderId="60" xfId="3" applyNumberFormat="1" applyFont="1" applyFill="1" applyBorder="1" applyAlignment="1">
      <alignment vertical="center"/>
    </xf>
    <xf numFmtId="168" fontId="16" fillId="27" borderId="60" xfId="3" applyNumberFormat="1" applyFont="1" applyFill="1" applyBorder="1" applyAlignment="1">
      <alignment vertical="center"/>
    </xf>
    <xf numFmtId="0" fontId="17" fillId="28" borderId="60" xfId="0" applyFont="1" applyFill="1" applyBorder="1" applyAlignment="1">
      <alignment horizontal="left" vertical="center" indent="1"/>
    </xf>
    <xf numFmtId="3" fontId="16" fillId="28" borderId="60" xfId="0" applyNumberFormat="1" applyFont="1" applyFill="1" applyBorder="1" applyAlignment="1">
      <alignment vertical="center"/>
    </xf>
    <xf numFmtId="9" fontId="16" fillId="28" borderId="60" xfId="3" applyFont="1" applyFill="1" applyBorder="1" applyAlignment="1">
      <alignment vertical="center"/>
    </xf>
    <xf numFmtId="168" fontId="16" fillId="28" borderId="60" xfId="3" applyNumberFormat="1" applyFont="1" applyFill="1" applyBorder="1" applyAlignment="1">
      <alignment vertical="center"/>
    </xf>
    <xf numFmtId="177" fontId="1" fillId="28" borderId="60" xfId="1" applyNumberFormat="1" applyFont="1" applyFill="1" applyBorder="1" applyAlignment="1">
      <alignment vertical="center"/>
    </xf>
    <xf numFmtId="0" fontId="2" fillId="16" borderId="0" xfId="0" applyFont="1" applyFill="1" applyAlignment="1">
      <alignment horizontal="center" vertical="center" wrapText="1"/>
    </xf>
    <xf numFmtId="43" fontId="0" fillId="0" borderId="0" xfId="1" applyFont="1"/>
    <xf numFmtId="43" fontId="6" fillId="6" borderId="18" xfId="1" applyFont="1" applyFill="1" applyBorder="1" applyAlignment="1">
      <alignment vertical="center"/>
    </xf>
    <xf numFmtId="3" fontId="0" fillId="29" borderId="60" xfId="0" applyNumberFormat="1" applyFill="1" applyBorder="1" applyAlignment="1">
      <alignment vertical="center"/>
    </xf>
    <xf numFmtId="9" fontId="16" fillId="29" borderId="60" xfId="3" applyFont="1" applyFill="1" applyBorder="1" applyAlignment="1">
      <alignment vertical="center"/>
    </xf>
    <xf numFmtId="168" fontId="16" fillId="29" borderId="60" xfId="3" applyNumberFormat="1" applyFont="1" applyFill="1" applyBorder="1" applyAlignment="1">
      <alignment vertical="center"/>
    </xf>
    <xf numFmtId="177" fontId="1" fillId="29" borderId="60" xfId="1" applyNumberFormat="1" applyFont="1" applyFill="1" applyBorder="1" applyAlignment="1">
      <alignment vertical="center"/>
    </xf>
    <xf numFmtId="0" fontId="10" fillId="29" borderId="60" xfId="0" applyFont="1" applyFill="1" applyBorder="1" applyAlignment="1">
      <alignment horizontal="left" vertical="center" indent="1"/>
    </xf>
    <xf numFmtId="177" fontId="0" fillId="7" borderId="18" xfId="5" applyNumberFormat="1" applyFont="1" applyFill="1" applyBorder="1" applyAlignment="1">
      <alignment vertical="center"/>
    </xf>
    <xf numFmtId="3" fontId="0" fillId="20" borderId="45" xfId="0" applyNumberFormat="1" applyFill="1" applyBorder="1"/>
    <xf numFmtId="3" fontId="0" fillId="20" borderId="1" xfId="0" applyNumberFormat="1" applyFill="1" applyBorder="1"/>
    <xf numFmtId="3" fontId="0" fillId="20" borderId="20" xfId="0" applyNumberFormat="1" applyFill="1" applyBorder="1"/>
    <xf numFmtId="3" fontId="22" fillId="20" borderId="45" xfId="0" applyNumberFormat="1" applyFont="1" applyFill="1" applyBorder="1"/>
    <xf numFmtId="3" fontId="22" fillId="20" borderId="1" xfId="0" applyNumberFormat="1" applyFont="1" applyFill="1" applyBorder="1"/>
    <xf numFmtId="3" fontId="22" fillId="20" borderId="20" xfId="0" applyNumberFormat="1" applyFont="1" applyFill="1" applyBorder="1"/>
    <xf numFmtId="3" fontId="0" fillId="0" borderId="44" xfId="0" applyNumberFormat="1" applyBorder="1"/>
    <xf numFmtId="3" fontId="0" fillId="0" borderId="15" xfId="0" applyNumberFormat="1" applyBorder="1"/>
    <xf numFmtId="0" fontId="0" fillId="0" borderId="44" xfId="0" applyBorder="1"/>
    <xf numFmtId="0" fontId="0" fillId="0" borderId="15" xfId="0" applyBorder="1"/>
    <xf numFmtId="3" fontId="0" fillId="0" borderId="4" xfId="0" applyNumberFormat="1" applyBorder="1"/>
    <xf numFmtId="3" fontId="0" fillId="0" borderId="3" xfId="0" applyNumberFormat="1" applyBorder="1"/>
    <xf numFmtId="3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168" fontId="16" fillId="30" borderId="44" xfId="3" applyNumberFormat="1" applyFont="1" applyFill="1" applyBorder="1"/>
    <xf numFmtId="168" fontId="16" fillId="30" borderId="0" xfId="3" applyNumberFormat="1" applyFont="1" applyFill="1" applyBorder="1"/>
    <xf numFmtId="181" fontId="23" fillId="30" borderId="44" xfId="3" applyNumberFormat="1" applyFont="1" applyFill="1" applyBorder="1"/>
    <xf numFmtId="181" fontId="23" fillId="30" borderId="0" xfId="3" applyNumberFormat="1" applyFont="1" applyFill="1" applyBorder="1"/>
    <xf numFmtId="181" fontId="23" fillId="30" borderId="15" xfId="3" applyNumberFormat="1" applyFont="1" applyFill="1" applyBorder="1"/>
    <xf numFmtId="3" fontId="0" fillId="31" borderId="44" xfId="0" applyNumberFormat="1" applyFill="1" applyBorder="1"/>
    <xf numFmtId="3" fontId="0" fillId="31" borderId="0" xfId="0" applyNumberFormat="1" applyFill="1"/>
    <xf numFmtId="3" fontId="22" fillId="32" borderId="44" xfId="0" applyNumberFormat="1" applyFont="1" applyFill="1" applyBorder="1"/>
    <xf numFmtId="3" fontId="22" fillId="32" borderId="0" xfId="0" applyNumberFormat="1" applyFont="1" applyFill="1"/>
    <xf numFmtId="3" fontId="22" fillId="32" borderId="15" xfId="0" applyNumberFormat="1" applyFont="1" applyFill="1" applyBorder="1"/>
    <xf numFmtId="181" fontId="16" fillId="0" borderId="44" xfId="3" applyNumberFormat="1" applyFont="1" applyBorder="1"/>
    <xf numFmtId="181" fontId="16" fillId="0" borderId="0" xfId="3" applyNumberFormat="1" applyFont="1" applyBorder="1"/>
    <xf numFmtId="181" fontId="24" fillId="32" borderId="44" xfId="3" applyNumberFormat="1" applyFont="1" applyFill="1" applyBorder="1"/>
    <xf numFmtId="181" fontId="24" fillId="32" borderId="0" xfId="3" applyNumberFormat="1" applyFont="1" applyFill="1" applyBorder="1"/>
    <xf numFmtId="181" fontId="24" fillId="32" borderId="15" xfId="3" applyNumberFormat="1" applyFont="1" applyFill="1" applyBorder="1"/>
    <xf numFmtId="3" fontId="22" fillId="32" borderId="4" xfId="0" applyNumberFormat="1" applyFont="1" applyFill="1" applyBorder="1"/>
    <xf numFmtId="3" fontId="22" fillId="32" borderId="3" xfId="0" applyNumberFormat="1" applyFont="1" applyFill="1" applyBorder="1"/>
    <xf numFmtId="3" fontId="22" fillId="32" borderId="2" xfId="0" applyNumberFormat="1" applyFont="1" applyFill="1" applyBorder="1"/>
    <xf numFmtId="3" fontId="0" fillId="18" borderId="44" xfId="0" applyNumberFormat="1" applyFill="1" applyBorder="1"/>
    <xf numFmtId="3" fontId="0" fillId="18" borderId="0" xfId="0" applyNumberFormat="1" applyFill="1"/>
    <xf numFmtId="3" fontId="0" fillId="18" borderId="15" xfId="0" applyNumberFormat="1" applyFill="1" applyBorder="1"/>
    <xf numFmtId="182" fontId="0" fillId="0" borderId="44" xfId="7" applyNumberFormat="1" applyFont="1" applyBorder="1"/>
    <xf numFmtId="182" fontId="0" fillId="0" borderId="0" xfId="7" applyNumberFormat="1" applyFont="1" applyBorder="1"/>
    <xf numFmtId="182" fontId="0" fillId="0" borderId="15" xfId="7" applyNumberFormat="1" applyFont="1" applyBorder="1"/>
    <xf numFmtId="183" fontId="0" fillId="0" borderId="44" xfId="7" applyNumberFormat="1" applyFont="1" applyBorder="1"/>
    <xf numFmtId="183" fontId="0" fillId="0" borderId="0" xfId="7" applyNumberFormat="1" applyFont="1" applyBorder="1"/>
    <xf numFmtId="183" fontId="0" fillId="0" borderId="15" xfId="7" applyNumberFormat="1" applyFont="1" applyBorder="1"/>
    <xf numFmtId="3" fontId="10" fillId="30" borderId="44" xfId="0" applyNumberFormat="1" applyFont="1" applyFill="1" applyBorder="1"/>
    <xf numFmtId="3" fontId="10" fillId="30" borderId="0" xfId="0" applyNumberFormat="1" applyFont="1" applyFill="1"/>
    <xf numFmtId="3" fontId="10" fillId="30" borderId="15" xfId="0" applyNumberFormat="1" applyFont="1" applyFill="1" applyBorder="1"/>
    <xf numFmtId="3" fontId="0" fillId="33" borderId="44" xfId="0" applyNumberFormat="1" applyFill="1" applyBorder="1"/>
    <xf numFmtId="3" fontId="0" fillId="33" borderId="0" xfId="0" applyNumberFormat="1" applyFill="1"/>
    <xf numFmtId="3" fontId="0" fillId="33" borderId="15" xfId="0" applyNumberFormat="1" applyFill="1" applyBorder="1"/>
    <xf numFmtId="0" fontId="0" fillId="0" borderId="55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1" xfId="0" applyBorder="1" applyAlignment="1">
      <alignment horizontal="center"/>
    </xf>
    <xf numFmtId="10" fontId="0" fillId="0" borderId="0" xfId="3" applyNumberFormat="1" applyFon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16" fillId="30" borderId="45" xfId="3" applyNumberFormat="1" applyFont="1" applyFill="1" applyBorder="1"/>
    <xf numFmtId="168" fontId="16" fillId="30" borderId="1" xfId="3" applyNumberFormat="1" applyFont="1" applyFill="1" applyBorder="1"/>
    <xf numFmtId="181" fontId="23" fillId="30" borderId="45" xfId="3" applyNumberFormat="1" applyFont="1" applyFill="1" applyBorder="1"/>
    <xf numFmtId="181" fontId="23" fillId="30" borderId="1" xfId="3" applyNumberFormat="1" applyFont="1" applyFill="1" applyBorder="1"/>
    <xf numFmtId="181" fontId="23" fillId="30" borderId="20" xfId="3" applyNumberFormat="1" applyFont="1" applyFill="1" applyBorder="1"/>
    <xf numFmtId="3" fontId="0" fillId="31" borderId="45" xfId="0" applyNumberFormat="1" applyFill="1" applyBorder="1"/>
    <xf numFmtId="3" fontId="0" fillId="31" borderId="1" xfId="0" applyNumberFormat="1" applyFill="1" applyBorder="1"/>
    <xf numFmtId="3" fontId="0" fillId="31" borderId="20" xfId="0" applyNumberFormat="1" applyFill="1" applyBorder="1"/>
    <xf numFmtId="3" fontId="25" fillId="31" borderId="1" xfId="0" applyNumberFormat="1" applyFont="1" applyFill="1" applyBorder="1"/>
    <xf numFmtId="0" fontId="0" fillId="31" borderId="62" xfId="0" applyFill="1" applyBorder="1"/>
    <xf numFmtId="0" fontId="0" fillId="18" borderId="63" xfId="0" applyFill="1" applyBorder="1"/>
    <xf numFmtId="0" fontId="16" fillId="30" borderId="63" xfId="0" applyFont="1" applyFill="1" applyBorder="1" applyAlignment="1">
      <alignment horizontal="left" indent="2"/>
    </xf>
    <xf numFmtId="0" fontId="0" fillId="0" borderId="63" xfId="0" applyBorder="1"/>
    <xf numFmtId="0" fontId="0" fillId="0" borderId="64" xfId="0" applyBorder="1"/>
    <xf numFmtId="0" fontId="10" fillId="30" borderId="63" xfId="0" applyFont="1" applyFill="1" applyBorder="1" applyAlignment="1">
      <alignment horizontal="left" indent="2"/>
    </xf>
    <xf numFmtId="0" fontId="26" fillId="0" borderId="0" xfId="0" applyFont="1"/>
    <xf numFmtId="168" fontId="0" fillId="30" borderId="15" xfId="3" applyNumberFormat="1" applyFont="1" applyFill="1" applyBorder="1" applyAlignment="1"/>
    <xf numFmtId="168" fontId="0" fillId="30" borderId="0" xfId="3" applyNumberFormat="1" applyFont="1" applyFill="1" applyBorder="1" applyAlignment="1"/>
    <xf numFmtId="168" fontId="0" fillId="30" borderId="44" xfId="3" applyNumberFormat="1" applyFont="1" applyFill="1" applyBorder="1" applyAlignment="1"/>
    <xf numFmtId="168" fontId="10" fillId="30" borderId="15" xfId="3" applyNumberFormat="1" applyFont="1" applyFill="1" applyBorder="1" applyAlignment="1"/>
    <xf numFmtId="168" fontId="10" fillId="30" borderId="0" xfId="3" applyNumberFormat="1" applyFont="1" applyFill="1" applyBorder="1" applyAlignment="1"/>
    <xf numFmtId="168" fontId="10" fillId="30" borderId="44" xfId="3" applyNumberFormat="1" applyFont="1" applyFill="1" applyBorder="1" applyAlignment="1"/>
    <xf numFmtId="168" fontId="16" fillId="30" borderId="15" xfId="3" applyNumberFormat="1" applyFont="1" applyFill="1" applyBorder="1" applyAlignment="1"/>
    <xf numFmtId="168" fontId="16" fillId="30" borderId="0" xfId="3" applyNumberFormat="1" applyFont="1" applyFill="1" applyBorder="1" applyAlignment="1"/>
    <xf numFmtId="168" fontId="16" fillId="30" borderId="44" xfId="3" applyNumberFormat="1" applyFont="1" applyFill="1" applyBorder="1" applyAlignment="1"/>
    <xf numFmtId="10" fontId="16" fillId="30" borderId="15" xfId="3" applyNumberFormat="1" applyFont="1" applyFill="1" applyBorder="1" applyAlignment="1"/>
    <xf numFmtId="10" fontId="16" fillId="30" borderId="0" xfId="3" applyNumberFormat="1" applyFont="1" applyFill="1" applyBorder="1" applyAlignment="1"/>
    <xf numFmtId="10" fontId="16" fillId="30" borderId="44" xfId="3" applyNumberFormat="1" applyFont="1" applyFill="1" applyBorder="1" applyAlignment="1"/>
    <xf numFmtId="168" fontId="10" fillId="30" borderId="20" xfId="3" applyNumberFormat="1" applyFont="1" applyFill="1" applyBorder="1" applyAlignment="1"/>
    <xf numFmtId="168" fontId="10" fillId="30" borderId="1" xfId="3" applyNumberFormat="1" applyFont="1" applyFill="1" applyBorder="1" applyAlignment="1"/>
    <xf numFmtId="168" fontId="10" fillId="30" borderId="45" xfId="3" applyNumberFormat="1" applyFont="1" applyFill="1" applyBorder="1" applyAlignment="1"/>
    <xf numFmtId="184" fontId="0" fillId="0" borderId="44" xfId="0" applyNumberFormat="1" applyBorder="1"/>
    <xf numFmtId="184" fontId="0" fillId="0" borderId="0" xfId="0" applyNumberFormat="1"/>
    <xf numFmtId="3" fontId="16" fillId="0" borderId="65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185" fontId="0" fillId="0" borderId="0" xfId="0" applyNumberFormat="1"/>
    <xf numFmtId="3" fontId="2" fillId="34" borderId="65" xfId="0" applyNumberFormat="1" applyFont="1" applyFill="1" applyBorder="1" applyAlignment="1">
      <alignment horizontal="center" vertical="center"/>
    </xf>
    <xf numFmtId="3" fontId="2" fillId="34" borderId="55" xfId="0" applyNumberFormat="1" applyFont="1" applyFill="1" applyBorder="1" applyAlignment="1">
      <alignment horizontal="center" vertical="center"/>
    </xf>
    <xf numFmtId="3" fontId="2" fillId="0" borderId="65" xfId="0" applyNumberFormat="1" applyFont="1" applyBorder="1" applyAlignment="1">
      <alignment horizontal="center" vertical="center"/>
    </xf>
    <xf numFmtId="3" fontId="2" fillId="0" borderId="55" xfId="0" applyNumberFormat="1" applyFont="1" applyBorder="1" applyAlignment="1">
      <alignment horizontal="center" vertical="center"/>
    </xf>
    <xf numFmtId="0" fontId="15" fillId="7" borderId="0" xfId="4" applyFont="1" applyFill="1" applyAlignment="1">
      <alignment vertical="center"/>
    </xf>
    <xf numFmtId="0" fontId="16" fillId="30" borderId="62" xfId="0" applyFont="1" applyFill="1" applyBorder="1" applyAlignment="1">
      <alignment horizontal="left" indent="2"/>
    </xf>
    <xf numFmtId="0" fontId="16" fillId="30" borderId="60" xfId="0" applyFont="1" applyFill="1" applyBorder="1" applyAlignment="1">
      <alignment horizontal="left" indent="2"/>
    </xf>
    <xf numFmtId="0" fontId="16" fillId="0" borderId="63" xfId="0" applyFont="1" applyBorder="1" applyAlignment="1">
      <alignment horizontal="left" indent="2"/>
    </xf>
    <xf numFmtId="181" fontId="16" fillId="0" borderId="15" xfId="3" applyNumberFormat="1" applyFont="1" applyBorder="1"/>
    <xf numFmtId="168" fontId="16" fillId="30" borderId="15" xfId="3" applyNumberFormat="1" applyFont="1" applyFill="1" applyBorder="1"/>
    <xf numFmtId="168" fontId="16" fillId="30" borderId="20" xfId="3" applyNumberFormat="1" applyFont="1" applyFill="1" applyBorder="1"/>
    <xf numFmtId="0" fontId="0" fillId="0" borderId="62" xfId="0" applyBorder="1"/>
    <xf numFmtId="0" fontId="0" fillId="31" borderId="63" xfId="0" applyFill="1" applyBorder="1"/>
    <xf numFmtId="0" fontId="0" fillId="20" borderId="62" xfId="0" applyFill="1" applyBorder="1"/>
    <xf numFmtId="0" fontId="2" fillId="34" borderId="61" xfId="0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16" borderId="61" xfId="0" applyFont="1" applyFill="1" applyBorder="1" applyAlignment="1">
      <alignment horizontal="center" vertical="center"/>
    </xf>
    <xf numFmtId="0" fontId="2" fillId="16" borderId="65" xfId="0" applyFont="1" applyFill="1" applyBorder="1" applyAlignment="1">
      <alignment horizontal="center" vertical="center"/>
    </xf>
    <xf numFmtId="0" fontId="2" fillId="16" borderId="55" xfId="0" applyFont="1" applyFill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43" fontId="0" fillId="0" borderId="60" xfId="3" applyNumberFormat="1" applyFont="1" applyBorder="1"/>
    <xf numFmtId="9" fontId="0" fillId="0" borderId="60" xfId="1" applyNumberFormat="1" applyFont="1" applyBorder="1"/>
    <xf numFmtId="43" fontId="0" fillId="0" borderId="60" xfId="0" applyNumberFormat="1" applyBorder="1"/>
    <xf numFmtId="0" fontId="0" fillId="0" borderId="0" xfId="0" applyAlignment="1">
      <alignment horizontal="center"/>
    </xf>
    <xf numFmtId="177" fontId="27" fillId="0" borderId="0" xfId="1" applyNumberFormat="1" applyFont="1"/>
    <xf numFmtId="9" fontId="6" fillId="0" borderId="19" xfId="3" applyFont="1" applyFill="1" applyBorder="1" applyAlignment="1">
      <alignment vertical="center"/>
    </xf>
    <xf numFmtId="9" fontId="6" fillId="0" borderId="18" xfId="3" applyFont="1" applyFill="1" applyBorder="1" applyAlignment="1">
      <alignment vertical="center"/>
    </xf>
    <xf numFmtId="10" fontId="0" fillId="0" borderId="18" xfId="3" applyNumberFormat="1" applyFont="1" applyFill="1" applyBorder="1" applyAlignment="1">
      <alignment vertical="center"/>
    </xf>
    <xf numFmtId="168" fontId="6" fillId="8" borderId="18" xfId="3" applyNumberFormat="1" applyFont="1" applyFill="1" applyBorder="1" applyAlignment="1">
      <alignment vertical="center"/>
    </xf>
    <xf numFmtId="168" fontId="6" fillId="11" borderId="18" xfId="3" applyNumberFormat="1" applyFont="1" applyFill="1" applyBorder="1" applyAlignment="1">
      <alignment vertical="center"/>
    </xf>
    <xf numFmtId="168" fontId="0" fillId="8" borderId="18" xfId="3" applyNumberFormat="1" applyFont="1" applyFill="1" applyBorder="1" applyAlignment="1">
      <alignment vertical="center"/>
    </xf>
    <xf numFmtId="168" fontId="0" fillId="0" borderId="21" xfId="3" applyNumberFormat="1" applyFont="1" applyFill="1" applyBorder="1" applyAlignment="1">
      <alignment vertical="center"/>
    </xf>
    <xf numFmtId="0" fontId="15" fillId="7" borderId="2" xfId="4" applyFont="1" applyFill="1" applyBorder="1" applyAlignment="1">
      <alignment vertical="center"/>
    </xf>
    <xf numFmtId="0" fontId="15" fillId="7" borderId="3" xfId="4" applyFont="1" applyFill="1" applyBorder="1" applyAlignment="1">
      <alignment vertical="center"/>
    </xf>
    <xf numFmtId="166" fontId="15" fillId="7" borderId="16" xfId="5" applyNumberFormat="1" applyFont="1" applyFill="1" applyBorder="1" applyAlignment="1">
      <alignment vertical="center"/>
    </xf>
    <xf numFmtId="166" fontId="15" fillId="0" borderId="17" xfId="5" applyNumberFormat="1" applyFont="1" applyFill="1" applyBorder="1" applyAlignment="1">
      <alignment vertical="center"/>
    </xf>
    <xf numFmtId="166" fontId="15" fillId="0" borderId="16" xfId="5" applyNumberFormat="1" applyFont="1" applyFill="1" applyBorder="1" applyAlignment="1">
      <alignment vertical="center"/>
    </xf>
    <xf numFmtId="0" fontId="0" fillId="0" borderId="60" xfId="0" applyBorder="1" applyAlignment="1">
      <alignment horizontal="center" vertical="center"/>
    </xf>
    <xf numFmtId="10" fontId="0" fillId="0" borderId="19" xfId="3" applyNumberFormat="1" applyFont="1" applyFill="1" applyBorder="1" applyAlignment="1">
      <alignment vertical="center"/>
    </xf>
    <xf numFmtId="0" fontId="28" fillId="0" borderId="0" xfId="4" applyFont="1" applyAlignment="1">
      <alignment vertical="center"/>
    </xf>
    <xf numFmtId="9" fontId="0" fillId="0" borderId="60" xfId="3" applyFont="1" applyBorder="1" applyAlignment="1"/>
    <xf numFmtId="10" fontId="0" fillId="0" borderId="60" xfId="3" applyNumberFormat="1" applyFont="1" applyBorder="1" applyAlignment="1"/>
    <xf numFmtId="0" fontId="2" fillId="28" borderId="67" xfId="0" applyFont="1" applyFill="1" applyBorder="1" applyAlignment="1">
      <alignment horizontal="center" vertical="center"/>
    </xf>
    <xf numFmtId="0" fontId="2" fillId="34" borderId="67" xfId="0" applyFont="1" applyFill="1" applyBorder="1" applyAlignment="1">
      <alignment horizontal="center" vertical="center"/>
    </xf>
    <xf numFmtId="0" fontId="2" fillId="13" borderId="67" xfId="0" applyFont="1" applyFill="1" applyBorder="1" applyAlignment="1">
      <alignment horizontal="center" vertical="center"/>
    </xf>
    <xf numFmtId="0" fontId="2" fillId="36" borderId="68" xfId="4" applyFont="1" applyFill="1" applyBorder="1" applyAlignment="1">
      <alignment vertical="center"/>
    </xf>
    <xf numFmtId="0" fontId="2" fillId="37" borderId="49" xfId="4" applyFont="1" applyFill="1" applyBorder="1" applyAlignment="1">
      <alignment vertical="center" wrapText="1"/>
    </xf>
    <xf numFmtId="0" fontId="0" fillId="0" borderId="13" xfId="0" applyBorder="1"/>
    <xf numFmtId="0" fontId="0" fillId="0" borderId="69" xfId="0" applyBorder="1"/>
    <xf numFmtId="0" fontId="2" fillId="0" borderId="21" xfId="0" applyFont="1" applyBorder="1" applyAlignment="1">
      <alignment horizontal="left" indent="1"/>
    </xf>
    <xf numFmtId="0" fontId="2" fillId="0" borderId="70" xfId="0" applyFont="1" applyBorder="1" applyAlignment="1">
      <alignment horizontal="left" indent="1"/>
    </xf>
    <xf numFmtId="0" fontId="2" fillId="28" borderId="66" xfId="0" applyFont="1" applyFill="1" applyBorder="1" applyAlignment="1">
      <alignment horizontal="center" vertical="center"/>
    </xf>
    <xf numFmtId="0" fontId="2" fillId="28" borderId="71" xfId="0" applyFont="1" applyFill="1" applyBorder="1" applyAlignment="1">
      <alignment horizontal="center" vertical="center"/>
    </xf>
    <xf numFmtId="0" fontId="2" fillId="35" borderId="48" xfId="4" applyFont="1" applyFill="1" applyBorder="1" applyAlignment="1">
      <alignment vertical="center"/>
    </xf>
    <xf numFmtId="0" fontId="2" fillId="34" borderId="66" xfId="0" applyFont="1" applyFill="1" applyBorder="1" applyAlignment="1">
      <alignment horizontal="center" vertical="center"/>
    </xf>
    <xf numFmtId="0" fontId="2" fillId="34" borderId="71" xfId="0" applyFont="1" applyFill="1" applyBorder="1" applyAlignment="1">
      <alignment horizontal="center" vertical="center"/>
    </xf>
    <xf numFmtId="0" fontId="2" fillId="13" borderId="66" xfId="0" applyFont="1" applyFill="1" applyBorder="1" applyAlignment="1">
      <alignment horizontal="center" vertical="center"/>
    </xf>
    <xf numFmtId="0" fontId="2" fillId="13" borderId="71" xfId="0" applyFont="1" applyFill="1" applyBorder="1" applyAlignment="1">
      <alignment horizontal="center" vertical="center"/>
    </xf>
    <xf numFmtId="0" fontId="2" fillId="38" borderId="66" xfId="0" applyFont="1" applyFill="1" applyBorder="1" applyAlignment="1">
      <alignment horizontal="center" vertical="center"/>
    </xf>
    <xf numFmtId="0" fontId="2" fillId="38" borderId="71" xfId="0" applyFont="1" applyFill="1" applyBorder="1" applyAlignment="1">
      <alignment horizontal="center" vertical="center"/>
    </xf>
    <xf numFmtId="0" fontId="2" fillId="25" borderId="15" xfId="4" applyFont="1" applyFill="1" applyBorder="1" applyAlignment="1">
      <alignment vertical="center"/>
    </xf>
    <xf numFmtId="0" fontId="2" fillId="25" borderId="0" xfId="4" applyFont="1" applyFill="1" applyAlignment="1">
      <alignment vertical="center"/>
    </xf>
    <xf numFmtId="0" fontId="2" fillId="25" borderId="0" xfId="4" applyFont="1" applyFill="1" applyAlignment="1">
      <alignment horizontal="right" vertical="center"/>
    </xf>
    <xf numFmtId="165" fontId="2" fillId="25" borderId="18" xfId="5" applyFont="1" applyFill="1" applyBorder="1" applyAlignment="1">
      <alignment vertical="center"/>
    </xf>
    <xf numFmtId="177" fontId="2" fillId="25" borderId="19" xfId="5" applyNumberFormat="1" applyFont="1" applyFill="1" applyBorder="1" applyAlignment="1">
      <alignment vertical="center"/>
    </xf>
    <xf numFmtId="165" fontId="2" fillId="25" borderId="0" xfId="5" applyFont="1" applyFill="1" applyBorder="1" applyAlignment="1">
      <alignment vertical="center"/>
    </xf>
    <xf numFmtId="179" fontId="2" fillId="16" borderId="19" xfId="2" applyNumberFormat="1" applyFont="1" applyFill="1" applyBorder="1" applyAlignment="1">
      <alignment vertical="center"/>
    </xf>
    <xf numFmtId="186" fontId="0" fillId="0" borderId="0" xfId="0" applyNumberFormat="1"/>
    <xf numFmtId="43" fontId="6" fillId="16" borderId="19" xfId="1" applyFont="1" applyFill="1" applyBorder="1" applyAlignment="1">
      <alignment vertical="center"/>
    </xf>
    <xf numFmtId="43" fontId="6" fillId="16" borderId="18" xfId="1" applyFont="1" applyFill="1" applyBorder="1" applyAlignment="1">
      <alignment vertical="center"/>
    </xf>
    <xf numFmtId="43" fontId="6" fillId="16" borderId="0" xfId="1" applyFont="1" applyFill="1" applyBorder="1" applyAlignment="1">
      <alignment vertical="center"/>
    </xf>
    <xf numFmtId="187" fontId="0" fillId="0" borderId="0" xfId="0" applyNumberFormat="1"/>
    <xf numFmtId="165" fontId="0" fillId="12" borderId="19" xfId="5" applyFont="1" applyFill="1" applyBorder="1" applyAlignment="1">
      <alignment vertical="center"/>
    </xf>
    <xf numFmtId="165" fontId="0" fillId="0" borderId="31" xfId="5" applyFont="1" applyFill="1" applyBorder="1" applyAlignment="1">
      <alignment vertical="center"/>
    </xf>
    <xf numFmtId="165" fontId="0" fillId="14" borderId="19" xfId="5" applyFont="1" applyFill="1" applyBorder="1" applyAlignment="1">
      <alignment vertical="center"/>
    </xf>
    <xf numFmtId="165" fontId="0" fillId="0" borderId="19" xfId="3" applyNumberFormat="1" applyFont="1" applyFill="1" applyBorder="1" applyAlignment="1">
      <alignment vertical="center"/>
    </xf>
    <xf numFmtId="165" fontId="6" fillId="0" borderId="18" xfId="6" applyNumberFormat="1" applyFont="1" applyFill="1" applyBorder="1" applyAlignment="1">
      <alignment vertical="center"/>
    </xf>
    <xf numFmtId="165" fontId="8" fillId="15" borderId="19" xfId="6" applyNumberFormat="1" applyFont="1" applyFill="1" applyBorder="1" applyAlignment="1">
      <alignment vertical="center"/>
    </xf>
    <xf numFmtId="165" fontId="6" fillId="15" borderId="18" xfId="6" applyNumberFormat="1" applyFont="1" applyFill="1" applyBorder="1" applyAlignment="1">
      <alignment vertical="center"/>
    </xf>
    <xf numFmtId="165" fontId="8" fillId="6" borderId="19" xfId="6" applyNumberFormat="1" applyFont="1" applyFill="1" applyBorder="1" applyAlignment="1">
      <alignment vertical="center"/>
    </xf>
    <xf numFmtId="165" fontId="6" fillId="6" borderId="18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vertical="center"/>
    </xf>
    <xf numFmtId="165" fontId="8" fillId="20" borderId="19" xfId="6" applyNumberFormat="1" applyFont="1" applyFill="1" applyBorder="1" applyAlignment="1">
      <alignment vertical="center"/>
    </xf>
    <xf numFmtId="9" fontId="12" fillId="16" borderId="35" xfId="3" applyFont="1" applyFill="1" applyBorder="1" applyAlignment="1">
      <alignment vertical="center"/>
    </xf>
    <xf numFmtId="188" fontId="0" fillId="0" borderId="0" xfId="0" applyNumberFormat="1"/>
    <xf numFmtId="171" fontId="0" fillId="0" borderId="19" xfId="5" applyNumberFormat="1" applyFont="1" applyFill="1" applyBorder="1" applyAlignment="1">
      <alignment horizontal="right" vertical="center"/>
    </xf>
    <xf numFmtId="171" fontId="0" fillId="0" borderId="18" xfId="5" applyNumberFormat="1" applyFont="1" applyFill="1" applyBorder="1" applyAlignment="1">
      <alignment horizontal="right" vertical="center"/>
    </xf>
    <xf numFmtId="168" fontId="12" fillId="16" borderId="35" xfId="3" applyNumberFormat="1" applyFont="1" applyFill="1" applyBorder="1" applyAlignment="1">
      <alignment vertical="center"/>
    </xf>
    <xf numFmtId="168" fontId="6" fillId="16" borderId="34" xfId="3" applyNumberFormat="1" applyFont="1" applyFill="1" applyBorder="1" applyAlignment="1">
      <alignment vertical="center"/>
    </xf>
    <xf numFmtId="168" fontId="6" fillId="0" borderId="19" xfId="3" applyNumberFormat="1" applyFont="1" applyFill="1" applyBorder="1" applyAlignment="1">
      <alignment vertical="center"/>
    </xf>
    <xf numFmtId="168" fontId="6" fillId="0" borderId="18" xfId="3" applyNumberFormat="1" applyFont="1" applyFill="1" applyBorder="1" applyAlignment="1">
      <alignment vertical="center"/>
    </xf>
    <xf numFmtId="171" fontId="6" fillId="0" borderId="19" xfId="6" applyNumberFormat="1" applyFont="1" applyFill="1" applyBorder="1" applyAlignment="1">
      <alignment vertical="center"/>
    </xf>
    <xf numFmtId="171" fontId="6" fillId="0" borderId="18" xfId="6" applyNumberFormat="1" applyFont="1" applyFill="1" applyBorder="1" applyAlignment="1">
      <alignment vertical="center"/>
    </xf>
    <xf numFmtId="171" fontId="8" fillId="20" borderId="19" xfId="6" applyNumberFormat="1" applyFont="1" applyFill="1" applyBorder="1" applyAlignment="1">
      <alignment vertical="center"/>
    </xf>
    <xf numFmtId="171" fontId="6" fillId="20" borderId="18" xfId="6" applyNumberFormat="1" applyFont="1" applyFill="1" applyBorder="1" applyAlignment="1">
      <alignment vertical="center"/>
    </xf>
    <xf numFmtId="189" fontId="0" fillId="0" borderId="18" xfId="5" applyNumberFormat="1" applyFont="1" applyFill="1" applyBorder="1" applyAlignment="1">
      <alignment horizontal="right" vertical="center"/>
    </xf>
    <xf numFmtId="165" fontId="6" fillId="16" borderId="18" xfId="6" applyNumberFormat="1" applyFont="1" applyFill="1" applyBorder="1" applyAlignment="1">
      <alignment vertical="center"/>
    </xf>
    <xf numFmtId="0" fontId="2" fillId="4" borderId="10" xfId="4" applyFont="1" applyFill="1" applyBorder="1" applyAlignment="1">
      <alignment horizontal="center" vertical="center"/>
    </xf>
    <xf numFmtId="0" fontId="14" fillId="7" borderId="0" xfId="4" applyFont="1" applyFill="1" applyAlignment="1">
      <alignment horizontal="center" vertical="top" wrapText="1"/>
    </xf>
    <xf numFmtId="0" fontId="2" fillId="37" borderId="43" xfId="4" applyFont="1" applyFill="1" applyBorder="1" applyAlignment="1">
      <alignment horizontal="center" vertical="center" wrapText="1"/>
    </xf>
    <xf numFmtId="165" fontId="0" fillId="10" borderId="19" xfId="5" applyFont="1" applyFill="1" applyBorder="1" applyAlignment="1">
      <alignment horizontal="right" vertical="center"/>
    </xf>
    <xf numFmtId="0" fontId="2" fillId="0" borderId="10" xfId="4" applyFont="1" applyBorder="1" applyAlignment="1">
      <alignment horizontal="center" vertical="center"/>
    </xf>
    <xf numFmtId="0" fontId="2" fillId="37" borderId="52" xfId="4" applyFont="1" applyFill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top" wrapText="1"/>
    </xf>
    <xf numFmtId="2" fontId="6" fillId="0" borderId="0" xfId="1" applyNumberFormat="1" applyFont="1" applyFill="1" applyBorder="1" applyAlignment="1">
      <alignment horizontal="center" vertical="top" wrapText="1"/>
    </xf>
    <xf numFmtId="0" fontId="7" fillId="0" borderId="1" xfId="4" applyFont="1" applyBorder="1" applyAlignment="1">
      <alignment horizontal="center" vertical="center" wrapText="1"/>
    </xf>
    <xf numFmtId="166" fontId="0" fillId="0" borderId="0" xfId="5" applyNumberFormat="1" applyFont="1" applyFill="1" applyBorder="1" applyAlignment="1">
      <alignment horizontal="right" vertical="center"/>
    </xf>
    <xf numFmtId="166" fontId="6" fillId="8" borderId="0" xfId="5" applyNumberFormat="1" applyFont="1" applyFill="1" applyBorder="1" applyAlignment="1">
      <alignment horizontal="right" vertical="center"/>
    </xf>
    <xf numFmtId="165" fontId="0" fillId="0" borderId="0" xfId="5" applyFont="1" applyFill="1" applyBorder="1" applyAlignment="1">
      <alignment vertical="center"/>
    </xf>
    <xf numFmtId="165" fontId="0" fillId="0" borderId="1" xfId="5" applyFont="1" applyFill="1" applyBorder="1" applyAlignment="1">
      <alignment vertical="center"/>
    </xf>
    <xf numFmtId="166" fontId="0" fillId="0" borderId="0" xfId="5" applyNumberFormat="1" applyFont="1" applyFill="1" applyBorder="1" applyAlignment="1">
      <alignment vertical="center"/>
    </xf>
    <xf numFmtId="9" fontId="0" fillId="0" borderId="0" xfId="6" applyFont="1" applyFill="1" applyBorder="1" applyAlignment="1">
      <alignment vertical="center"/>
    </xf>
    <xf numFmtId="166" fontId="0" fillId="0" borderId="1" xfId="5" applyNumberFormat="1" applyFont="1" applyFill="1" applyBorder="1" applyAlignment="1">
      <alignment vertical="center"/>
    </xf>
    <xf numFmtId="168" fontId="0" fillId="0" borderId="0" xfId="6" applyNumberFormat="1" applyFont="1" applyFill="1" applyBorder="1" applyAlignment="1">
      <alignment vertical="center"/>
    </xf>
    <xf numFmtId="165" fontId="0" fillId="10" borderId="0" xfId="5" applyFont="1" applyFill="1" applyBorder="1" applyAlignment="1">
      <alignment vertical="center"/>
    </xf>
    <xf numFmtId="166" fontId="0" fillId="0" borderId="3" xfId="5" applyNumberFormat="1" applyFont="1" applyFill="1" applyBorder="1" applyAlignment="1">
      <alignment vertical="center"/>
    </xf>
    <xf numFmtId="166" fontId="15" fillId="0" borderId="3" xfId="5" applyNumberFormat="1" applyFont="1" applyFill="1" applyBorder="1" applyAlignment="1">
      <alignment vertical="center"/>
    </xf>
    <xf numFmtId="165" fontId="0" fillId="0" borderId="0" xfId="5" applyFont="1" applyFill="1" applyBorder="1" applyAlignment="1">
      <alignment horizontal="right" vertical="center"/>
    </xf>
    <xf numFmtId="165" fontId="0" fillId="12" borderId="0" xfId="5" applyFont="1" applyFill="1" applyBorder="1" applyAlignment="1">
      <alignment vertical="center"/>
    </xf>
    <xf numFmtId="165" fontId="0" fillId="0" borderId="30" xfId="5" applyFont="1" applyFill="1" applyBorder="1" applyAlignment="1">
      <alignment vertical="center"/>
    </xf>
    <xf numFmtId="165" fontId="0" fillId="13" borderId="0" xfId="5" applyFont="1" applyFill="1" applyBorder="1" applyAlignment="1">
      <alignment vertical="center"/>
    </xf>
    <xf numFmtId="165" fontId="0" fillId="14" borderId="0" xfId="5" applyFont="1" applyFill="1" applyBorder="1" applyAlignment="1">
      <alignment vertical="center"/>
    </xf>
    <xf numFmtId="165" fontId="0" fillId="0" borderId="0" xfId="3" applyNumberFormat="1" applyFont="1" applyFill="1" applyBorder="1" applyAlignment="1">
      <alignment vertical="center"/>
    </xf>
    <xf numFmtId="9" fontId="6" fillId="0" borderId="0" xfId="3" applyFont="1" applyFill="1" applyBorder="1" applyAlignment="1">
      <alignment vertical="center"/>
    </xf>
    <xf numFmtId="165" fontId="6" fillId="0" borderId="0" xfId="6" applyNumberFormat="1" applyFont="1" applyFill="1" applyBorder="1" applyAlignment="1">
      <alignment vertical="center"/>
    </xf>
    <xf numFmtId="165" fontId="8" fillId="15" borderId="0" xfId="6" applyNumberFormat="1" applyFont="1" applyFill="1" applyBorder="1" applyAlignment="1">
      <alignment vertical="center"/>
    </xf>
    <xf numFmtId="165" fontId="8" fillId="6" borderId="0" xfId="6" applyNumberFormat="1" applyFont="1" applyFill="1" applyBorder="1" applyAlignment="1">
      <alignment vertical="center"/>
    </xf>
    <xf numFmtId="165" fontId="8" fillId="20" borderId="0" xfId="6" applyNumberFormat="1" applyFont="1" applyFill="1" applyBorder="1" applyAlignment="1">
      <alignment vertical="center"/>
    </xf>
    <xf numFmtId="165" fontId="6" fillId="16" borderId="0" xfId="1" applyNumberFormat="1" applyFont="1" applyFill="1" applyBorder="1" applyAlignment="1">
      <alignment vertical="center"/>
    </xf>
    <xf numFmtId="9" fontId="12" fillId="16" borderId="6" xfId="3" applyFont="1" applyFill="1" applyBorder="1" applyAlignment="1">
      <alignment vertical="center"/>
    </xf>
    <xf numFmtId="165" fontId="0" fillId="2" borderId="38" xfId="5" applyFont="1" applyFill="1" applyBorder="1" applyAlignment="1">
      <alignment vertical="center"/>
    </xf>
    <xf numFmtId="165" fontId="2" fillId="17" borderId="0" xfId="5" applyFont="1" applyFill="1" applyBorder="1" applyAlignment="1">
      <alignment horizontal="right" vertical="center"/>
    </xf>
    <xf numFmtId="9" fontId="2" fillId="17" borderId="0" xfId="3" applyFont="1" applyFill="1" applyBorder="1" applyAlignment="1">
      <alignment vertical="center"/>
    </xf>
    <xf numFmtId="9" fontId="2" fillId="2" borderId="0" xfId="3" applyFont="1" applyFill="1" applyBorder="1" applyAlignment="1">
      <alignment vertical="center"/>
    </xf>
    <xf numFmtId="2" fontId="6" fillId="13" borderId="0" xfId="6" applyNumberFormat="1" applyFont="1" applyFill="1" applyBorder="1" applyAlignment="1">
      <alignment vertical="center"/>
    </xf>
    <xf numFmtId="177" fontId="6" fillId="13" borderId="0" xfId="1" applyNumberFormat="1" applyFont="1" applyFill="1" applyBorder="1" applyAlignment="1">
      <alignment vertical="center"/>
    </xf>
    <xf numFmtId="43" fontId="2" fillId="13" borderId="6" xfId="5" applyNumberFormat="1" applyFont="1" applyFill="1" applyBorder="1" applyAlignment="1">
      <alignment vertical="center"/>
    </xf>
    <xf numFmtId="177" fontId="2" fillId="10" borderId="0" xfId="5" applyNumberFormat="1" applyFont="1" applyFill="1" applyBorder="1" applyAlignment="1">
      <alignment vertical="center"/>
    </xf>
    <xf numFmtId="177" fontId="2" fillId="18" borderId="0" xfId="5" applyNumberFormat="1" applyFont="1" applyFill="1" applyBorder="1" applyAlignment="1">
      <alignment vertical="center"/>
    </xf>
    <xf numFmtId="177" fontId="2" fillId="25" borderId="0" xfId="5" applyNumberFormat="1" applyFont="1" applyFill="1" applyBorder="1" applyAlignment="1">
      <alignment vertical="center"/>
    </xf>
    <xf numFmtId="171" fontId="0" fillId="0" borderId="0" xfId="5" applyNumberFormat="1" applyFont="1" applyFill="1" applyBorder="1" applyAlignment="1">
      <alignment vertical="center"/>
    </xf>
    <xf numFmtId="44" fontId="2" fillId="16" borderId="0" xfId="2" applyFont="1" applyFill="1" applyBorder="1" applyAlignment="1">
      <alignment vertical="center"/>
    </xf>
    <xf numFmtId="179" fontId="2" fillId="16" borderId="0" xfId="2" applyNumberFormat="1" applyFont="1" applyFill="1" applyBorder="1" applyAlignment="1">
      <alignment vertical="center"/>
    </xf>
    <xf numFmtId="178" fontId="6" fillId="0" borderId="0" xfId="6" applyNumberFormat="1" applyFont="1" applyFill="1" applyBorder="1" applyAlignment="1">
      <alignment vertical="center"/>
    </xf>
    <xf numFmtId="179" fontId="2" fillId="19" borderId="6" xfId="2" applyNumberFormat="1" applyFont="1" applyFill="1" applyBorder="1" applyAlignment="1">
      <alignment vertical="center"/>
    </xf>
    <xf numFmtId="0" fontId="2" fillId="34" borderId="38" xfId="4" applyFont="1" applyFill="1" applyBorder="1" applyAlignment="1">
      <alignment horizontal="center" vertical="center"/>
    </xf>
    <xf numFmtId="0" fontId="2" fillId="34" borderId="6" xfId="4" applyFont="1" applyFill="1" applyBorder="1" applyAlignment="1">
      <alignment horizontal="center" vertical="center"/>
    </xf>
    <xf numFmtId="166" fontId="0" fillId="12" borderId="0" xfId="5" applyNumberFormat="1" applyFont="1" applyFill="1" applyBorder="1" applyAlignment="1">
      <alignment vertical="center"/>
    </xf>
    <xf numFmtId="166" fontId="0" fillId="0" borderId="30" xfId="5" applyNumberFormat="1" applyFont="1" applyFill="1" applyBorder="1" applyAlignment="1">
      <alignment vertical="center"/>
    </xf>
    <xf numFmtId="43" fontId="0" fillId="14" borderId="0" xfId="5" applyNumberFormat="1" applyFont="1" applyFill="1" applyBorder="1" applyAlignment="1">
      <alignment vertical="center"/>
    </xf>
    <xf numFmtId="9" fontId="6" fillId="0" borderId="0" xfId="6" applyFont="1" applyFill="1" applyBorder="1" applyAlignment="1">
      <alignment vertical="center"/>
    </xf>
    <xf numFmtId="2" fontId="8" fillId="15" borderId="0" xfId="6" applyNumberFormat="1" applyFont="1" applyFill="1" applyBorder="1" applyAlignment="1">
      <alignment vertical="center"/>
    </xf>
    <xf numFmtId="2" fontId="8" fillId="6" borderId="0" xfId="6" applyNumberFormat="1" applyFont="1" applyFill="1" applyBorder="1" applyAlignment="1">
      <alignment vertical="center"/>
    </xf>
    <xf numFmtId="2" fontId="8" fillId="20" borderId="0" xfId="6" applyNumberFormat="1" applyFont="1" applyFill="1" applyBorder="1" applyAlignment="1">
      <alignment vertical="center"/>
    </xf>
    <xf numFmtId="166" fontId="0" fillId="2" borderId="0" xfId="5" applyNumberFormat="1" applyFont="1" applyFill="1" applyBorder="1" applyAlignment="1">
      <alignment horizontal="right" vertical="center"/>
    </xf>
    <xf numFmtId="0" fontId="2" fillId="13" borderId="38" xfId="4" applyFont="1" applyFill="1" applyBorder="1" applyAlignment="1">
      <alignment horizontal="center" vertical="center"/>
    </xf>
    <xf numFmtId="0" fontId="2" fillId="13" borderId="6" xfId="4" applyFont="1" applyFill="1" applyBorder="1" applyAlignment="1">
      <alignment horizontal="center" vertical="center"/>
    </xf>
    <xf numFmtId="172" fontId="0" fillId="0" borderId="0" xfId="5" applyNumberFormat="1" applyFont="1" applyFill="1" applyBorder="1" applyAlignment="1">
      <alignment vertical="center"/>
    </xf>
    <xf numFmtId="0" fontId="2" fillId="40" borderId="38" xfId="4" applyFont="1" applyFill="1" applyBorder="1" applyAlignment="1">
      <alignment horizontal="center" vertical="center"/>
    </xf>
    <xf numFmtId="0" fontId="2" fillId="40" borderId="6" xfId="4" applyFont="1" applyFill="1" applyBorder="1" applyAlignment="1">
      <alignment horizontal="center" vertical="center"/>
    </xf>
    <xf numFmtId="165" fontId="29" fillId="0" borderId="19" xfId="3" applyNumberFormat="1" applyFont="1" applyFill="1" applyBorder="1" applyAlignment="1">
      <alignment vertical="center"/>
    </xf>
    <xf numFmtId="43" fontId="6" fillId="16" borderId="18" xfId="6" applyNumberFormat="1" applyFont="1" applyFill="1" applyBorder="1" applyAlignment="1">
      <alignment vertical="center"/>
    </xf>
    <xf numFmtId="10" fontId="0" fillId="0" borderId="18" xfId="3" applyNumberFormat="1" applyFont="1" applyFill="1" applyBorder="1" applyAlignment="1">
      <alignment horizontal="right" vertical="center"/>
    </xf>
    <xf numFmtId="44" fontId="29" fillId="0" borderId="19" xfId="2" applyFont="1" applyFill="1" applyBorder="1" applyAlignment="1">
      <alignment vertical="center"/>
    </xf>
    <xf numFmtId="0" fontId="2" fillId="0" borderId="52" xfId="4" applyFont="1" applyBorder="1" applyAlignment="1">
      <alignment horizontal="center" vertical="center" wrapText="1"/>
    </xf>
    <xf numFmtId="0" fontId="2" fillId="0" borderId="38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166" fontId="6" fillId="0" borderId="0" xfId="5" applyNumberFormat="1" applyFont="1" applyFill="1" applyBorder="1" applyAlignment="1">
      <alignment horizontal="right" vertical="center"/>
    </xf>
    <xf numFmtId="165" fontId="8" fillId="0" borderId="0" xfId="5" applyFont="1" applyFill="1" applyBorder="1" applyAlignment="1">
      <alignment vertical="center"/>
    </xf>
    <xf numFmtId="165" fontId="6" fillId="0" borderId="0" xfId="5" applyFont="1" applyFill="1" applyBorder="1" applyAlignment="1">
      <alignment vertical="center"/>
    </xf>
    <xf numFmtId="165" fontId="0" fillId="0" borderId="38" xfId="5" applyFont="1" applyFill="1" applyBorder="1" applyAlignment="1">
      <alignment vertical="center"/>
    </xf>
    <xf numFmtId="43" fontId="0" fillId="0" borderId="0" xfId="5" applyNumberFormat="1" applyFont="1" applyFill="1" applyBorder="1" applyAlignment="1">
      <alignment vertical="center"/>
    </xf>
    <xf numFmtId="165" fontId="2" fillId="0" borderId="0" xfId="5" applyFont="1" applyFill="1" applyBorder="1" applyAlignment="1">
      <alignment horizontal="right" vertical="center"/>
    </xf>
    <xf numFmtId="9" fontId="2" fillId="0" borderId="0" xfId="3" applyFont="1" applyFill="1" applyBorder="1" applyAlignment="1">
      <alignment vertical="center"/>
    </xf>
    <xf numFmtId="2" fontId="6" fillId="0" borderId="0" xfId="6" applyNumberFormat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43" fontId="2" fillId="0" borderId="6" xfId="5" applyNumberFormat="1" applyFont="1" applyFill="1" applyBorder="1" applyAlignment="1">
      <alignment vertical="center"/>
    </xf>
    <xf numFmtId="177" fontId="2" fillId="0" borderId="0" xfId="5" applyNumberFormat="1" applyFont="1" applyFill="1" applyBorder="1" applyAlignment="1">
      <alignment vertical="center"/>
    </xf>
    <xf numFmtId="166" fontId="2" fillId="0" borderId="0" xfId="5" applyNumberFormat="1" applyFont="1" applyFill="1" applyBorder="1" applyAlignment="1">
      <alignment vertical="center"/>
    </xf>
    <xf numFmtId="44" fontId="2" fillId="0" borderId="0" xfId="2" applyFont="1" applyFill="1" applyBorder="1" applyAlignment="1">
      <alignment vertical="center"/>
    </xf>
    <xf numFmtId="179" fontId="2" fillId="0" borderId="0" xfId="2" applyNumberFormat="1" applyFont="1" applyFill="1" applyBorder="1" applyAlignment="1">
      <alignment vertical="center"/>
    </xf>
    <xf numFmtId="179" fontId="2" fillId="0" borderId="6" xfId="2" applyNumberFormat="1" applyFont="1" applyFill="1" applyBorder="1" applyAlignment="1">
      <alignment vertical="center"/>
    </xf>
    <xf numFmtId="9" fontId="0" fillId="0" borderId="25" xfId="5" applyNumberFormat="1" applyFont="1" applyFill="1" applyBorder="1" applyAlignment="1">
      <alignment vertical="center"/>
    </xf>
    <xf numFmtId="0" fontId="14" fillId="0" borderId="0" xfId="4" applyFont="1" applyAlignment="1">
      <alignment horizontal="center" vertical="top" wrapText="1"/>
    </xf>
    <xf numFmtId="0" fontId="2" fillId="0" borderId="43" xfId="4" applyFont="1" applyBorder="1" applyAlignment="1">
      <alignment horizontal="center" vertical="center" wrapText="1"/>
    </xf>
    <xf numFmtId="0" fontId="14" fillId="7" borderId="0" xfId="4" applyFont="1" applyFill="1" applyAlignment="1">
      <alignment vertical="top" wrapText="1"/>
    </xf>
    <xf numFmtId="0" fontId="15" fillId="42" borderId="0" xfId="0" applyFont="1" applyFill="1" applyAlignment="1">
      <alignment horizontal="center"/>
    </xf>
    <xf numFmtId="44" fontId="29" fillId="0" borderId="17" xfId="2" applyFont="1" applyFill="1" applyBorder="1" applyAlignment="1">
      <alignment vertical="center"/>
    </xf>
    <xf numFmtId="43" fontId="0" fillId="7" borderId="18" xfId="5" applyNumberFormat="1" applyFont="1" applyFill="1" applyBorder="1" applyAlignment="1">
      <alignment vertical="center"/>
    </xf>
    <xf numFmtId="171" fontId="6" fillId="0" borderId="0" xfId="5" applyNumberFormat="1" applyFont="1" applyFill="1" applyBorder="1" applyAlignment="1">
      <alignment vertical="center"/>
    </xf>
    <xf numFmtId="2" fontId="8" fillId="0" borderId="0" xfId="6" applyNumberFormat="1" applyFont="1" applyFill="1" applyBorder="1" applyAlignment="1">
      <alignment vertical="center"/>
    </xf>
    <xf numFmtId="43" fontId="6" fillId="0" borderId="0" xfId="1" applyFont="1" applyFill="1" applyBorder="1" applyAlignment="1">
      <alignment vertical="center"/>
    </xf>
    <xf numFmtId="9" fontId="12" fillId="0" borderId="6" xfId="6" applyFont="1" applyFill="1" applyBorder="1" applyAlignment="1">
      <alignment vertical="center"/>
    </xf>
    <xf numFmtId="0" fontId="2" fillId="40" borderId="0" xfId="4" applyFont="1" applyFill="1" applyAlignment="1">
      <alignment horizontal="center" vertical="center" wrapText="1"/>
    </xf>
    <xf numFmtId="0" fontId="2" fillId="20" borderId="0" xfId="4" applyFont="1" applyFill="1" applyAlignment="1">
      <alignment horizontal="center" vertical="center"/>
    </xf>
    <xf numFmtId="0" fontId="2" fillId="4" borderId="0" xfId="4" applyFont="1" applyFill="1" applyAlignment="1">
      <alignment horizontal="center" vertical="center"/>
    </xf>
    <xf numFmtId="0" fontId="6" fillId="0" borderId="0" xfId="4" applyFont="1" applyAlignment="1">
      <alignment horizontal="center" vertical="top" wrapText="1"/>
    </xf>
    <xf numFmtId="0" fontId="7" fillId="0" borderId="0" xfId="4" applyFont="1" applyAlignment="1">
      <alignment horizontal="center" vertical="center" wrapText="1"/>
    </xf>
    <xf numFmtId="9" fontId="12" fillId="16" borderId="0" xfId="6" applyFont="1" applyFill="1" applyBorder="1" applyAlignment="1">
      <alignment vertical="center"/>
    </xf>
    <xf numFmtId="43" fontId="2" fillId="13" borderId="0" xfId="5" applyNumberFormat="1" applyFont="1" applyFill="1" applyBorder="1" applyAlignment="1">
      <alignment vertical="center"/>
    </xf>
    <xf numFmtId="179" fontId="2" fillId="19" borderId="0" xfId="2" applyNumberFormat="1" applyFont="1" applyFill="1" applyBorder="1" applyAlignment="1">
      <alignment vertical="center"/>
    </xf>
    <xf numFmtId="9" fontId="0" fillId="7" borderId="0" xfId="3" applyFont="1" applyFill="1" applyBorder="1" applyAlignment="1">
      <alignment vertical="center"/>
    </xf>
    <xf numFmtId="9" fontId="0" fillId="8" borderId="0" xfId="3" applyFont="1" applyFill="1" applyBorder="1" applyAlignment="1">
      <alignment vertical="center"/>
    </xf>
    <xf numFmtId="9" fontId="0" fillId="0" borderId="0" xfId="3" applyFont="1" applyFill="1" applyBorder="1" applyAlignment="1">
      <alignment vertical="center"/>
    </xf>
    <xf numFmtId="9" fontId="6" fillId="8" borderId="0" xfId="3" applyFont="1" applyFill="1" applyBorder="1" applyAlignment="1">
      <alignment vertical="center"/>
    </xf>
    <xf numFmtId="9" fontId="6" fillId="11" borderId="0" xfId="3" applyFont="1" applyFill="1" applyBorder="1" applyAlignment="1">
      <alignment vertical="center"/>
    </xf>
    <xf numFmtId="9" fontId="0" fillId="0" borderId="0" xfId="3" applyFont="1" applyFill="1" applyBorder="1" applyAlignment="1">
      <alignment horizontal="right" vertical="center"/>
    </xf>
    <xf numFmtId="9" fontId="0" fillId="12" borderId="0" xfId="3" applyFont="1" applyFill="1" applyBorder="1" applyAlignment="1">
      <alignment vertical="center"/>
    </xf>
    <xf numFmtId="9" fontId="0" fillId="13" borderId="0" xfId="3" applyFont="1" applyFill="1" applyBorder="1" applyAlignment="1">
      <alignment vertical="center"/>
    </xf>
    <xf numFmtId="9" fontId="0" fillId="14" borderId="0" xfId="3" applyFont="1" applyFill="1" applyBorder="1" applyAlignment="1">
      <alignment vertical="center"/>
    </xf>
    <xf numFmtId="9" fontId="0" fillId="10" borderId="0" xfId="3" applyFont="1" applyFill="1" applyBorder="1" applyAlignment="1">
      <alignment horizontal="right" vertical="center"/>
    </xf>
    <xf numFmtId="9" fontId="0" fillId="15" borderId="0" xfId="3" applyFont="1" applyFill="1" applyBorder="1" applyAlignment="1">
      <alignment vertical="center"/>
    </xf>
    <xf numFmtId="9" fontId="8" fillId="15" borderId="0" xfId="3" applyFont="1" applyFill="1" applyBorder="1" applyAlignment="1">
      <alignment vertical="center"/>
    </xf>
    <xf numFmtId="9" fontId="8" fillId="6" borderId="0" xfId="3" applyFont="1" applyFill="1" applyBorder="1" applyAlignment="1">
      <alignment vertical="center"/>
    </xf>
    <xf numFmtId="9" fontId="8" fillId="20" borderId="0" xfId="3" applyFont="1" applyFill="1" applyBorder="1" applyAlignment="1">
      <alignment vertical="center"/>
    </xf>
    <xf numFmtId="9" fontId="6" fillId="16" borderId="0" xfId="3" applyFont="1" applyFill="1" applyBorder="1" applyAlignment="1">
      <alignment vertical="center"/>
    </xf>
    <xf numFmtId="0" fontId="0" fillId="0" borderId="35" xfId="0" applyBorder="1"/>
    <xf numFmtId="0" fontId="0" fillId="16" borderId="60" xfId="0" applyFill="1" applyBorder="1"/>
    <xf numFmtId="177" fontId="0" fillId="16" borderId="60" xfId="1" applyNumberFormat="1" applyFont="1" applyFill="1" applyBorder="1"/>
    <xf numFmtId="0" fontId="30" fillId="0" borderId="0" xfId="0" applyFont="1"/>
    <xf numFmtId="9" fontId="0" fillId="9" borderId="18" xfId="3" applyFont="1" applyFill="1" applyBorder="1" applyAlignment="1">
      <alignment vertical="center"/>
    </xf>
    <xf numFmtId="9" fontId="0" fillId="9" borderId="0" xfId="3" applyFont="1" applyFill="1" applyBorder="1" applyAlignment="1">
      <alignment vertical="center"/>
    </xf>
    <xf numFmtId="9" fontId="0" fillId="10" borderId="19" xfId="3" applyFont="1" applyFill="1" applyBorder="1" applyAlignment="1">
      <alignment vertical="center"/>
    </xf>
    <xf numFmtId="9" fontId="0" fillId="0" borderId="18" xfId="3" applyFont="1" applyFill="1" applyBorder="1" applyAlignment="1">
      <alignment vertical="center"/>
    </xf>
    <xf numFmtId="9" fontId="0" fillId="0" borderId="19" xfId="3" applyFont="1" applyFill="1" applyBorder="1" applyAlignment="1">
      <alignment vertical="center"/>
    </xf>
    <xf numFmtId="9" fontId="0" fillId="0" borderId="16" xfId="3" applyFont="1" applyFill="1" applyBorder="1" applyAlignment="1">
      <alignment vertical="center"/>
    </xf>
    <xf numFmtId="9" fontId="0" fillId="0" borderId="3" xfId="3" applyFont="1" applyFill="1" applyBorder="1" applyAlignment="1">
      <alignment vertical="center"/>
    </xf>
    <xf numFmtId="9" fontId="0" fillId="0" borderId="17" xfId="3" applyFont="1" applyFill="1" applyBorder="1" applyAlignment="1">
      <alignment vertical="center"/>
    </xf>
    <xf numFmtId="9" fontId="0" fillId="9" borderId="19" xfId="3" applyFont="1" applyFill="1" applyBorder="1" applyAlignment="1">
      <alignment vertical="center"/>
    </xf>
    <xf numFmtId="9" fontId="0" fillId="0" borderId="21" xfId="3" applyFont="1" applyFill="1" applyBorder="1" applyAlignment="1">
      <alignment vertical="center"/>
    </xf>
    <xf numFmtId="9" fontId="0" fillId="0" borderId="1" xfId="3" applyFont="1" applyFill="1" applyBorder="1" applyAlignment="1">
      <alignment vertical="center"/>
    </xf>
    <xf numFmtId="9" fontId="0" fillId="0" borderId="22" xfId="3" applyFont="1" applyFill="1" applyBorder="1" applyAlignment="1">
      <alignment vertical="center"/>
    </xf>
    <xf numFmtId="9" fontId="0" fillId="7" borderId="18" xfId="3" applyFont="1" applyFill="1" applyBorder="1" applyAlignment="1">
      <alignment vertical="center"/>
    </xf>
    <xf numFmtId="9" fontId="0" fillId="7" borderId="19" xfId="3" applyFont="1" applyFill="1" applyBorder="1" applyAlignment="1">
      <alignment vertical="center"/>
    </xf>
    <xf numFmtId="9" fontId="2" fillId="13" borderId="52" xfId="3" quotePrefix="1" applyFont="1" applyFill="1" applyBorder="1" applyAlignment="1">
      <alignment vertical="center" wrapText="1"/>
    </xf>
    <xf numFmtId="9" fontId="2" fillId="13" borderId="72" xfId="3" quotePrefix="1" applyFont="1" applyFill="1" applyBorder="1" applyAlignment="1">
      <alignment vertical="center" wrapText="1"/>
    </xf>
    <xf numFmtId="9" fontId="2" fillId="13" borderId="53" xfId="3" applyFont="1" applyFill="1" applyBorder="1" applyAlignment="1">
      <alignment vertical="center" wrapText="1"/>
    </xf>
    <xf numFmtId="9" fontId="2" fillId="41" borderId="37" xfId="3" applyFont="1" applyFill="1" applyBorder="1" applyAlignment="1">
      <alignment vertical="center"/>
    </xf>
    <xf numFmtId="9" fontId="2" fillId="41" borderId="38" xfId="3" applyFont="1" applyFill="1" applyBorder="1" applyAlignment="1">
      <alignment vertical="center"/>
    </xf>
    <xf numFmtId="9" fontId="2" fillId="41" borderId="36" xfId="3" applyFont="1" applyFill="1" applyBorder="1" applyAlignment="1">
      <alignment vertical="center"/>
    </xf>
    <xf numFmtId="9" fontId="2" fillId="41" borderId="34" xfId="3" applyFont="1" applyFill="1" applyBorder="1" applyAlignment="1">
      <alignment vertical="center"/>
    </xf>
    <xf numFmtId="9" fontId="2" fillId="41" borderId="6" xfId="3" applyFont="1" applyFill="1" applyBorder="1" applyAlignment="1">
      <alignment vertical="center"/>
    </xf>
    <xf numFmtId="9" fontId="2" fillId="41" borderId="35" xfId="3" applyFont="1" applyFill="1" applyBorder="1" applyAlignment="1">
      <alignment vertical="center"/>
    </xf>
    <xf numFmtId="9" fontId="2" fillId="4" borderId="10" xfId="3" applyFont="1" applyFill="1" applyBorder="1" applyAlignment="1">
      <alignment vertical="center"/>
    </xf>
    <xf numFmtId="9" fontId="2" fillId="4" borderId="11" xfId="3" applyFont="1" applyFill="1" applyBorder="1" applyAlignment="1">
      <alignment vertical="center"/>
    </xf>
    <xf numFmtId="9" fontId="6" fillId="0" borderId="16" xfId="3" applyFont="1" applyFill="1" applyBorder="1" applyAlignment="1">
      <alignment vertical="top" wrapText="1"/>
    </xf>
    <xf numFmtId="9" fontId="6" fillId="0" borderId="3" xfId="3" applyFont="1" applyFill="1" applyBorder="1" applyAlignment="1">
      <alignment vertical="top" wrapText="1"/>
    </xf>
    <xf numFmtId="9" fontId="6" fillId="0" borderId="17" xfId="3" applyFont="1" applyFill="1" applyBorder="1" applyAlignment="1">
      <alignment vertical="top" wrapText="1"/>
    </xf>
    <xf numFmtId="9" fontId="6" fillId="0" borderId="18" xfId="3" applyFont="1" applyFill="1" applyBorder="1" applyAlignment="1">
      <alignment vertical="top" wrapText="1"/>
    </xf>
    <xf numFmtId="9" fontId="6" fillId="0" borderId="0" xfId="3" applyFont="1" applyFill="1" applyBorder="1" applyAlignment="1">
      <alignment vertical="top" wrapText="1"/>
    </xf>
    <xf numFmtId="9" fontId="6" fillId="0" borderId="19" xfId="3" applyFont="1" applyFill="1" applyBorder="1" applyAlignment="1">
      <alignment vertical="top" wrapText="1"/>
    </xf>
    <xf numFmtId="9" fontId="7" fillId="0" borderId="21" xfId="3" applyFont="1" applyFill="1" applyBorder="1" applyAlignment="1">
      <alignment vertical="center" wrapText="1"/>
    </xf>
    <xf numFmtId="9" fontId="7" fillId="0" borderId="1" xfId="3" applyFont="1" applyFill="1" applyBorder="1" applyAlignment="1">
      <alignment vertical="center" wrapText="1"/>
    </xf>
    <xf numFmtId="9" fontId="7" fillId="0" borderId="22" xfId="3" applyFont="1" applyFill="1" applyBorder="1" applyAlignment="1">
      <alignment vertical="center" wrapText="1"/>
    </xf>
    <xf numFmtId="9" fontId="0" fillId="0" borderId="18" xfId="3" applyFont="1" applyFill="1" applyBorder="1" applyAlignment="1">
      <alignment horizontal="right" vertical="center"/>
    </xf>
    <xf numFmtId="9" fontId="0" fillId="0" borderId="19" xfId="3" applyFont="1" applyFill="1" applyBorder="1" applyAlignment="1">
      <alignment horizontal="right" vertical="center"/>
    </xf>
    <xf numFmtId="9" fontId="6" fillId="8" borderId="18" xfId="3" applyFont="1" applyFill="1" applyBorder="1" applyAlignment="1">
      <alignment horizontal="right" vertical="center"/>
    </xf>
    <xf numFmtId="9" fontId="6" fillId="8" borderId="0" xfId="3" applyFont="1" applyFill="1" applyBorder="1" applyAlignment="1">
      <alignment horizontal="right" vertical="center"/>
    </xf>
    <xf numFmtId="9" fontId="6" fillId="8" borderId="19" xfId="3" applyFont="1" applyFill="1" applyBorder="1" applyAlignment="1">
      <alignment horizontal="right" vertical="center"/>
    </xf>
    <xf numFmtId="9" fontId="6" fillId="8" borderId="18" xfId="3" applyFont="1" applyFill="1" applyBorder="1" applyAlignment="1">
      <alignment vertical="center"/>
    </xf>
    <xf numFmtId="9" fontId="0" fillId="8" borderId="19" xfId="3" applyFont="1" applyFill="1" applyBorder="1" applyAlignment="1">
      <alignment vertical="center"/>
    </xf>
    <xf numFmtId="9" fontId="0" fillId="8" borderId="18" xfId="3" applyFont="1" applyFill="1" applyBorder="1" applyAlignment="1">
      <alignment vertical="center"/>
    </xf>
    <xf numFmtId="9" fontId="8" fillId="8" borderId="18" xfId="3" applyFont="1" applyFill="1" applyBorder="1" applyAlignment="1">
      <alignment vertical="center"/>
    </xf>
    <xf numFmtId="9" fontId="8" fillId="8" borderId="0" xfId="3" applyFont="1" applyFill="1" applyBorder="1" applyAlignment="1">
      <alignment vertical="center"/>
    </xf>
    <xf numFmtId="9" fontId="8" fillId="8" borderId="19" xfId="3" applyFont="1" applyFill="1" applyBorder="1" applyAlignment="1">
      <alignment vertical="center"/>
    </xf>
    <xf numFmtId="9" fontId="15" fillId="0" borderId="16" xfId="3" applyFont="1" applyFill="1" applyBorder="1" applyAlignment="1">
      <alignment vertical="center"/>
    </xf>
    <xf numFmtId="9" fontId="15" fillId="0" borderId="3" xfId="3" applyFont="1" applyFill="1" applyBorder="1" applyAlignment="1">
      <alignment vertical="center"/>
    </xf>
    <xf numFmtId="9" fontId="29" fillId="0" borderId="17" xfId="3" applyFont="1" applyFill="1" applyBorder="1" applyAlignment="1">
      <alignment vertical="center"/>
    </xf>
    <xf numFmtId="9" fontId="6" fillId="8" borderId="19" xfId="3" applyFont="1" applyFill="1" applyBorder="1" applyAlignment="1">
      <alignment vertical="center"/>
    </xf>
    <xf numFmtId="9" fontId="6" fillId="11" borderId="18" xfId="3" applyFont="1" applyFill="1" applyBorder="1" applyAlignment="1">
      <alignment vertical="center"/>
    </xf>
    <xf numFmtId="9" fontId="6" fillId="11" borderId="19" xfId="3" applyFont="1" applyFill="1" applyBorder="1" applyAlignment="1">
      <alignment vertical="center"/>
    </xf>
    <xf numFmtId="9" fontId="0" fillId="12" borderId="19" xfId="3" applyFont="1" applyFill="1" applyBorder="1" applyAlignment="1">
      <alignment vertical="center"/>
    </xf>
    <xf numFmtId="9" fontId="0" fillId="0" borderId="28" xfId="3" applyFont="1" applyFill="1" applyBorder="1" applyAlignment="1">
      <alignment vertical="center"/>
    </xf>
    <xf numFmtId="9" fontId="0" fillId="0" borderId="30" xfId="3" applyFont="1" applyFill="1" applyBorder="1" applyAlignment="1">
      <alignment vertical="center"/>
    </xf>
    <xf numFmtId="9" fontId="0" fillId="0" borderId="31" xfId="3" applyFont="1" applyFill="1" applyBorder="1" applyAlignment="1">
      <alignment vertical="center"/>
    </xf>
    <xf numFmtId="9" fontId="0" fillId="13" borderId="18" xfId="3" applyFont="1" applyFill="1" applyBorder="1" applyAlignment="1">
      <alignment vertical="center"/>
    </xf>
    <xf numFmtId="9" fontId="0" fillId="13" borderId="19" xfId="3" applyFont="1" applyFill="1" applyBorder="1" applyAlignment="1">
      <alignment vertical="center"/>
    </xf>
    <xf numFmtId="9" fontId="0" fillId="14" borderId="18" xfId="3" applyFont="1" applyFill="1" applyBorder="1" applyAlignment="1">
      <alignment vertical="center"/>
    </xf>
    <xf numFmtId="9" fontId="0" fillId="14" borderId="19" xfId="3" applyFont="1" applyFill="1" applyBorder="1" applyAlignment="1">
      <alignment vertical="center"/>
    </xf>
    <xf numFmtId="9" fontId="0" fillId="10" borderId="19" xfId="3" applyFont="1" applyFill="1" applyBorder="1" applyAlignment="1">
      <alignment horizontal="right" vertical="center"/>
    </xf>
    <xf numFmtId="9" fontId="0" fillId="15" borderId="18" xfId="3" applyFont="1" applyFill="1" applyBorder="1" applyAlignment="1">
      <alignment vertical="center"/>
    </xf>
    <xf numFmtId="9" fontId="0" fillId="15" borderId="19" xfId="3" applyFont="1" applyFill="1" applyBorder="1" applyAlignment="1">
      <alignment vertical="center"/>
    </xf>
    <xf numFmtId="9" fontId="6" fillId="15" borderId="18" xfId="3" applyFont="1" applyFill="1" applyBorder="1" applyAlignment="1">
      <alignment vertical="center"/>
    </xf>
    <xf numFmtId="9" fontId="6" fillId="15" borderId="0" xfId="3" applyFont="1" applyFill="1" applyBorder="1" applyAlignment="1">
      <alignment vertical="center"/>
    </xf>
    <xf numFmtId="9" fontId="8" fillId="15" borderId="19" xfId="3" applyFont="1" applyFill="1" applyBorder="1" applyAlignment="1">
      <alignment vertical="center"/>
    </xf>
    <xf numFmtId="9" fontId="6" fillId="6" borderId="18" xfId="3" applyFont="1" applyFill="1" applyBorder="1" applyAlignment="1">
      <alignment vertical="center"/>
    </xf>
    <xf numFmtId="9" fontId="6" fillId="6" borderId="0" xfId="3" applyFont="1" applyFill="1" applyBorder="1" applyAlignment="1">
      <alignment vertical="center"/>
    </xf>
    <xf numFmtId="9" fontId="8" fillId="6" borderId="19" xfId="3" applyFont="1" applyFill="1" applyBorder="1" applyAlignment="1">
      <alignment vertical="center"/>
    </xf>
    <xf numFmtId="9" fontId="6" fillId="20" borderId="18" xfId="3" applyFont="1" applyFill="1" applyBorder="1" applyAlignment="1">
      <alignment vertical="center"/>
    </xf>
    <xf numFmtId="9" fontId="6" fillId="20" borderId="0" xfId="3" applyFont="1" applyFill="1" applyBorder="1" applyAlignment="1">
      <alignment vertical="center"/>
    </xf>
    <xf numFmtId="9" fontId="8" fillId="20" borderId="19" xfId="3" applyFont="1" applyFill="1" applyBorder="1" applyAlignment="1">
      <alignment vertical="center"/>
    </xf>
    <xf numFmtId="9" fontId="6" fillId="16" borderId="18" xfId="3" applyFont="1" applyFill="1" applyBorder="1" applyAlignment="1">
      <alignment vertical="center"/>
    </xf>
    <xf numFmtId="9" fontId="6" fillId="16" borderId="19" xfId="3" applyFont="1" applyFill="1" applyBorder="1" applyAlignment="1">
      <alignment vertical="center"/>
    </xf>
    <xf numFmtId="9" fontId="6" fillId="16" borderId="34" xfId="3" applyFont="1" applyFill="1" applyBorder="1" applyAlignment="1">
      <alignment vertical="center"/>
    </xf>
    <xf numFmtId="9" fontId="6" fillId="16" borderId="6" xfId="3" applyFont="1" applyFill="1" applyBorder="1" applyAlignment="1">
      <alignment vertical="center"/>
    </xf>
    <xf numFmtId="9" fontId="0" fillId="2" borderId="37" xfId="3" applyFont="1" applyFill="1" applyBorder="1" applyAlignment="1">
      <alignment vertical="center"/>
    </xf>
    <xf numFmtId="9" fontId="0" fillId="2" borderId="38" xfId="3" applyFont="1" applyFill="1" applyBorder="1" applyAlignment="1">
      <alignment vertical="center"/>
    </xf>
    <xf numFmtId="9" fontId="0" fillId="2" borderId="36" xfId="3" applyFont="1" applyFill="1" applyBorder="1" applyAlignment="1">
      <alignment vertical="center"/>
    </xf>
    <xf numFmtId="9" fontId="0" fillId="2" borderId="18" xfId="3" applyFont="1" applyFill="1" applyBorder="1" applyAlignment="1">
      <alignment vertical="center"/>
    </xf>
    <xf numFmtId="9" fontId="0" fillId="2" borderId="0" xfId="3" applyFont="1" applyFill="1" applyBorder="1" applyAlignment="1">
      <alignment vertical="center"/>
    </xf>
    <xf numFmtId="9" fontId="0" fillId="2" borderId="19" xfId="3" applyFont="1" applyFill="1" applyBorder="1" applyAlignment="1">
      <alignment vertical="center"/>
    </xf>
    <xf numFmtId="9" fontId="0" fillId="2" borderId="18" xfId="3" applyFont="1" applyFill="1" applyBorder="1" applyAlignment="1">
      <alignment horizontal="right" vertical="center"/>
    </xf>
    <xf numFmtId="9" fontId="0" fillId="2" borderId="0" xfId="3" applyFont="1" applyFill="1" applyBorder="1" applyAlignment="1">
      <alignment horizontal="right" vertical="center"/>
    </xf>
    <xf numFmtId="9" fontId="0" fillId="2" borderId="19" xfId="3" applyFont="1" applyFill="1" applyBorder="1" applyAlignment="1">
      <alignment horizontal="right" vertical="center"/>
    </xf>
    <xf numFmtId="9" fontId="0" fillId="17" borderId="18" xfId="3" applyFont="1" applyFill="1" applyBorder="1" applyAlignment="1">
      <alignment horizontal="right" vertical="center"/>
    </xf>
    <xf numFmtId="9" fontId="0" fillId="17" borderId="0" xfId="3" applyFont="1" applyFill="1" applyBorder="1" applyAlignment="1">
      <alignment horizontal="right" vertical="center"/>
    </xf>
    <xf numFmtId="9" fontId="2" fillId="17" borderId="19" xfId="3" applyFont="1" applyFill="1" applyBorder="1" applyAlignment="1">
      <alignment horizontal="right" vertical="center"/>
    </xf>
    <xf numFmtId="9" fontId="0" fillId="17" borderId="18" xfId="3" applyFont="1" applyFill="1" applyBorder="1" applyAlignment="1">
      <alignment vertical="center"/>
    </xf>
    <xf numFmtId="9" fontId="0" fillId="17" borderId="0" xfId="3" applyFont="1" applyFill="1" applyBorder="1" applyAlignment="1">
      <alignment vertical="center"/>
    </xf>
    <xf numFmtId="9" fontId="6" fillId="13" borderId="18" xfId="3" applyFont="1" applyFill="1" applyBorder="1" applyAlignment="1">
      <alignment vertical="center"/>
    </xf>
    <xf numFmtId="9" fontId="6" fillId="13" borderId="0" xfId="3" applyFont="1" applyFill="1" applyBorder="1" applyAlignment="1">
      <alignment vertical="center"/>
    </xf>
    <xf numFmtId="9" fontId="6" fillId="13" borderId="19" xfId="3" applyFont="1" applyFill="1" applyBorder="1" applyAlignment="1">
      <alignment vertical="center"/>
    </xf>
    <xf numFmtId="9" fontId="2" fillId="13" borderId="34" xfId="3" applyFont="1" applyFill="1" applyBorder="1" applyAlignment="1">
      <alignment horizontal="left" vertical="center"/>
    </xf>
    <xf numFmtId="9" fontId="2" fillId="13" borderId="6" xfId="3" applyFont="1" applyFill="1" applyBorder="1" applyAlignment="1">
      <alignment horizontal="left" vertical="center"/>
    </xf>
    <xf numFmtId="9" fontId="2" fillId="13" borderId="35" xfId="3" applyFont="1" applyFill="1" applyBorder="1" applyAlignment="1">
      <alignment vertical="center"/>
    </xf>
    <xf numFmtId="9" fontId="2" fillId="10" borderId="18" xfId="3" applyFont="1" applyFill="1" applyBorder="1" applyAlignment="1">
      <alignment vertical="center"/>
    </xf>
    <xf numFmtId="9" fontId="2" fillId="10" borderId="0" xfId="3" applyFont="1" applyFill="1" applyBorder="1" applyAlignment="1">
      <alignment vertical="center"/>
    </xf>
    <xf numFmtId="9" fontId="2" fillId="10" borderId="19" xfId="3" applyFont="1" applyFill="1" applyBorder="1" applyAlignment="1">
      <alignment vertical="center"/>
    </xf>
    <xf numFmtId="9" fontId="2" fillId="18" borderId="18" xfId="3" applyFont="1" applyFill="1" applyBorder="1" applyAlignment="1">
      <alignment vertical="center"/>
    </xf>
    <xf numFmtId="9" fontId="2" fillId="18" borderId="0" xfId="3" applyFont="1" applyFill="1" applyBorder="1" applyAlignment="1">
      <alignment vertical="center"/>
    </xf>
    <xf numFmtId="9" fontId="2" fillId="18" borderId="19" xfId="3" applyFont="1" applyFill="1" applyBorder="1" applyAlignment="1">
      <alignment vertical="center"/>
    </xf>
    <xf numFmtId="9" fontId="2" fillId="25" borderId="18" xfId="3" applyFont="1" applyFill="1" applyBorder="1" applyAlignment="1">
      <alignment vertical="center"/>
    </xf>
    <xf numFmtId="9" fontId="2" fillId="25" borderId="0" xfId="3" applyFont="1" applyFill="1" applyBorder="1" applyAlignment="1">
      <alignment vertical="center"/>
    </xf>
    <xf numFmtId="9" fontId="2" fillId="25" borderId="19" xfId="3" applyFont="1" applyFill="1" applyBorder="1" applyAlignment="1">
      <alignment vertical="center"/>
    </xf>
    <xf numFmtId="9" fontId="0" fillId="16" borderId="18" xfId="3" applyFont="1" applyFill="1" applyBorder="1" applyAlignment="1">
      <alignment vertical="center"/>
    </xf>
    <xf numFmtId="9" fontId="0" fillId="16" borderId="0" xfId="3" applyFont="1" applyFill="1" applyBorder="1" applyAlignment="1">
      <alignment vertical="center"/>
    </xf>
    <xf numFmtId="9" fontId="2" fillId="16" borderId="19" xfId="3" applyFont="1" applyFill="1" applyBorder="1" applyAlignment="1">
      <alignment vertical="center"/>
    </xf>
    <xf numFmtId="9" fontId="0" fillId="19" borderId="34" xfId="3" applyFont="1" applyFill="1" applyBorder="1" applyAlignment="1">
      <alignment vertical="center"/>
    </xf>
    <xf numFmtId="9" fontId="0" fillId="19" borderId="6" xfId="3" applyFont="1" applyFill="1" applyBorder="1" applyAlignment="1">
      <alignment vertical="center"/>
    </xf>
    <xf numFmtId="9" fontId="2" fillId="19" borderId="35" xfId="3" applyFont="1" applyFill="1" applyBorder="1" applyAlignment="1">
      <alignment vertical="center"/>
    </xf>
    <xf numFmtId="9" fontId="0" fillId="10" borderId="0" xfId="3" applyFont="1" applyFill="1" applyBorder="1" applyAlignment="1">
      <alignment vertical="center"/>
    </xf>
    <xf numFmtId="9" fontId="29" fillId="0" borderId="3" xfId="3" applyFont="1" applyFill="1" applyBorder="1" applyAlignment="1">
      <alignment vertical="center"/>
    </xf>
    <xf numFmtId="9" fontId="2" fillId="17" borderId="0" xfId="3" applyFont="1" applyFill="1" applyBorder="1" applyAlignment="1">
      <alignment horizontal="right" vertical="center"/>
    </xf>
    <xf numFmtId="9" fontId="2" fillId="13" borderId="6" xfId="3" applyFont="1" applyFill="1" applyBorder="1" applyAlignment="1">
      <alignment vertical="center"/>
    </xf>
    <xf numFmtId="9" fontId="2" fillId="16" borderId="0" xfId="3" applyFont="1" applyFill="1" applyBorder="1" applyAlignment="1">
      <alignment vertical="center"/>
    </xf>
    <xf numFmtId="9" fontId="2" fillId="19" borderId="6" xfId="3" applyFont="1" applyFill="1" applyBorder="1" applyAlignment="1">
      <alignment vertical="center"/>
    </xf>
    <xf numFmtId="43" fontId="0" fillId="0" borderId="21" xfId="1" applyFont="1" applyFill="1" applyBorder="1" applyAlignment="1">
      <alignment vertical="center"/>
    </xf>
    <xf numFmtId="10" fontId="0" fillId="0" borderId="25" xfId="3" applyNumberFormat="1" applyFont="1" applyFill="1" applyBorder="1" applyAlignment="1">
      <alignment vertical="center"/>
    </xf>
    <xf numFmtId="190" fontId="0" fillId="0" borderId="18" xfId="2" applyNumberFormat="1" applyFont="1" applyFill="1" applyBorder="1" applyAlignment="1">
      <alignment vertical="center"/>
    </xf>
    <xf numFmtId="0" fontId="0" fillId="0" borderId="0" xfId="4" applyFont="1" applyAlignment="1">
      <alignment vertical="center"/>
    </xf>
    <xf numFmtId="0" fontId="0" fillId="43" borderId="60" xfId="0" applyFill="1" applyBorder="1"/>
    <xf numFmtId="177" fontId="0" fillId="43" borderId="60" xfId="1" applyNumberFormat="1" applyFont="1" applyFill="1" applyBorder="1"/>
    <xf numFmtId="0" fontId="0" fillId="0" borderId="60" xfId="0" applyBorder="1" applyAlignment="1">
      <alignment horizontal="left" indent="2"/>
    </xf>
    <xf numFmtId="0" fontId="0" fillId="18" borderId="60" xfId="0" applyFill="1" applyBorder="1"/>
    <xf numFmtId="177" fontId="0" fillId="18" borderId="60" xfId="1" applyNumberFormat="1" applyFont="1" applyFill="1" applyBorder="1"/>
    <xf numFmtId="43" fontId="0" fillId="24" borderId="60" xfId="1" applyFont="1" applyFill="1" applyBorder="1"/>
    <xf numFmtId="168" fontId="0" fillId="0" borderId="60" xfId="0" applyNumberFormat="1" applyBorder="1"/>
    <xf numFmtId="168" fontId="0" fillId="24" borderId="60" xfId="0" applyNumberFormat="1" applyFill="1" applyBorder="1"/>
    <xf numFmtId="0" fontId="15" fillId="44" borderId="60" xfId="0" applyFont="1" applyFill="1" applyBorder="1" applyAlignment="1">
      <alignment horizontal="center"/>
    </xf>
    <xf numFmtId="0" fontId="0" fillId="28" borderId="60" xfId="0" applyFill="1" applyBorder="1" applyAlignment="1">
      <alignment horizontal="center"/>
    </xf>
    <xf numFmtId="43" fontId="0" fillId="0" borderId="60" xfId="1" quotePrefix="1" applyFont="1" applyBorder="1"/>
    <xf numFmtId="0" fontId="31" fillId="0" borderId="0" xfId="0" applyFont="1" applyAlignment="1">
      <alignment horizontal="left" indent="2"/>
    </xf>
    <xf numFmtId="10" fontId="31" fillId="0" borderId="0" xfId="3" applyNumberFormat="1" applyFont="1" applyBorder="1" applyAlignment="1"/>
    <xf numFmtId="0" fontId="0" fillId="0" borderId="0" xfId="0" applyAlignment="1">
      <alignment horizontal="left" indent="2"/>
    </xf>
    <xf numFmtId="177" fontId="0" fillId="0" borderId="0" xfId="1" applyNumberFormat="1" applyFont="1" applyBorder="1"/>
    <xf numFmtId="0" fontId="15" fillId="45" borderId="60" xfId="0" applyFont="1" applyFill="1" applyBorder="1"/>
    <xf numFmtId="0" fontId="15" fillId="46" borderId="60" xfId="0" applyFont="1" applyFill="1" applyBorder="1"/>
    <xf numFmtId="0" fontId="0" fillId="13" borderId="60" xfId="0" applyFill="1" applyBorder="1"/>
    <xf numFmtId="177" fontId="0" fillId="13" borderId="60" xfId="1" applyNumberFormat="1" applyFont="1" applyFill="1" applyBorder="1"/>
    <xf numFmtId="177" fontId="0" fillId="0" borderId="0" xfId="1" applyNumberFormat="1" applyFont="1" applyFill="1" applyBorder="1"/>
    <xf numFmtId="0" fontId="0" fillId="4" borderId="60" xfId="0" applyFill="1" applyBorder="1"/>
    <xf numFmtId="0" fontId="0" fillId="0" borderId="73" xfId="0" applyBorder="1"/>
    <xf numFmtId="44" fontId="0" fillId="0" borderId="11" xfId="2" applyFont="1" applyBorder="1"/>
    <xf numFmtId="44" fontId="0" fillId="0" borderId="55" xfId="2" applyFont="1" applyBorder="1"/>
    <xf numFmtId="0" fontId="16" fillId="0" borderId="59" xfId="0" applyFont="1" applyBorder="1"/>
    <xf numFmtId="168" fontId="16" fillId="0" borderId="56" xfId="0" applyNumberFormat="1" applyFont="1" applyBorder="1"/>
    <xf numFmtId="0" fontId="0" fillId="6" borderId="60" xfId="0" applyFill="1" applyBorder="1"/>
    <xf numFmtId="177" fontId="0" fillId="6" borderId="60" xfId="0" applyNumberFormat="1" applyFill="1" applyBorder="1"/>
    <xf numFmtId="0" fontId="31" fillId="6" borderId="60" xfId="0" applyFont="1" applyFill="1" applyBorder="1" applyAlignment="1">
      <alignment horizontal="left" indent="2"/>
    </xf>
    <xf numFmtId="10" fontId="31" fillId="6" borderId="60" xfId="3" applyNumberFormat="1" applyFont="1" applyFill="1" applyBorder="1" applyAlignment="1"/>
    <xf numFmtId="0" fontId="31" fillId="6" borderId="60" xfId="0" applyFont="1" applyFill="1" applyBorder="1"/>
    <xf numFmtId="0" fontId="31" fillId="47" borderId="60" xfId="0" applyFont="1" applyFill="1" applyBorder="1" applyAlignment="1">
      <alignment horizontal="left" indent="2"/>
    </xf>
    <xf numFmtId="10" fontId="31" fillId="47" borderId="60" xfId="3" applyNumberFormat="1" applyFont="1" applyFill="1" applyBorder="1" applyAlignment="1"/>
    <xf numFmtId="0" fontId="0" fillId="47" borderId="60" xfId="0" applyFill="1" applyBorder="1"/>
    <xf numFmtId="177" fontId="0" fillId="47" borderId="60" xfId="0" applyNumberFormat="1" applyFill="1" applyBorder="1"/>
    <xf numFmtId="0" fontId="2" fillId="24" borderId="60" xfId="0" applyFont="1" applyFill="1" applyBorder="1" applyAlignment="1">
      <alignment horizontal="center" vertical="center"/>
    </xf>
    <xf numFmtId="0" fontId="2" fillId="10" borderId="60" xfId="0" applyFont="1" applyFill="1" applyBorder="1" applyAlignment="1">
      <alignment horizontal="center" vertical="center"/>
    </xf>
    <xf numFmtId="0" fontId="32" fillId="48" borderId="60" xfId="0" applyFont="1" applyFill="1" applyBorder="1" applyAlignment="1">
      <alignment horizontal="center" vertical="center"/>
    </xf>
    <xf numFmtId="0" fontId="2" fillId="6" borderId="60" xfId="0" applyFont="1" applyFill="1" applyBorder="1"/>
    <xf numFmtId="0" fontId="2" fillId="6" borderId="60" xfId="0" quotePrefix="1" applyFont="1" applyFill="1" applyBorder="1"/>
    <xf numFmtId="0" fontId="2" fillId="41" borderId="60" xfId="0" applyFont="1" applyFill="1" applyBorder="1"/>
    <xf numFmtId="0" fontId="2" fillId="41" borderId="60" xfId="0" quotePrefix="1" applyFont="1" applyFill="1" applyBorder="1"/>
    <xf numFmtId="0" fontId="0" fillId="41" borderId="60" xfId="0" applyFill="1" applyBorder="1"/>
    <xf numFmtId="0" fontId="32" fillId="48" borderId="60" xfId="0" applyFont="1" applyFill="1" applyBorder="1" applyAlignment="1">
      <alignment horizontal="center" vertical="center" wrapText="1"/>
    </xf>
    <xf numFmtId="0" fontId="32" fillId="48" borderId="63" xfId="0" applyFont="1" applyFill="1" applyBorder="1" applyAlignment="1">
      <alignment horizontal="center" vertical="center" wrapText="1"/>
    </xf>
    <xf numFmtId="0" fontId="33" fillId="48" borderId="63" xfId="0" applyFont="1" applyFill="1" applyBorder="1" applyAlignment="1">
      <alignment horizontal="center" vertical="center" wrapText="1"/>
    </xf>
    <xf numFmtId="0" fontId="2" fillId="49" borderId="60" xfId="0" applyFont="1" applyFill="1" applyBorder="1"/>
    <xf numFmtId="0" fontId="2" fillId="49" borderId="60" xfId="0" quotePrefix="1" applyFont="1" applyFill="1" applyBorder="1"/>
    <xf numFmtId="0" fontId="0" fillId="49" borderId="60" xfId="0" applyFill="1" applyBorder="1"/>
    <xf numFmtId="0" fontId="2" fillId="41" borderId="60" xfId="0" quotePrefix="1" applyFont="1" applyFill="1" applyBorder="1" applyAlignment="1">
      <alignment horizontal="center"/>
    </xf>
    <xf numFmtId="0" fontId="2" fillId="49" borderId="60" xfId="0" quotePrefix="1" applyFont="1" applyFill="1" applyBorder="1" applyAlignment="1">
      <alignment horizontal="center"/>
    </xf>
    <xf numFmtId="0" fontId="2" fillId="6" borderId="60" xfId="0" quotePrefix="1" applyFont="1" applyFill="1" applyBorder="1" applyAlignment="1">
      <alignment horizontal="center"/>
    </xf>
    <xf numFmtId="44" fontId="0" fillId="13" borderId="60" xfId="2" applyFont="1" applyFill="1" applyBorder="1" applyAlignment="1">
      <alignment horizontal="center"/>
    </xf>
    <xf numFmtId="44" fontId="0" fillId="41" borderId="60" xfId="2" applyFont="1" applyFill="1" applyBorder="1" applyAlignment="1">
      <alignment horizontal="center"/>
    </xf>
    <xf numFmtId="168" fontId="31" fillId="41" borderId="60" xfId="2" applyNumberFormat="1" applyFont="1" applyFill="1" applyBorder="1" applyAlignment="1">
      <alignment horizontal="center"/>
    </xf>
    <xf numFmtId="44" fontId="0" fillId="34" borderId="60" xfId="2" applyFont="1" applyFill="1" applyBorder="1" applyAlignment="1">
      <alignment horizontal="center"/>
    </xf>
    <xf numFmtId="44" fontId="0" fillId="49" borderId="60" xfId="2" applyFont="1" applyFill="1" applyBorder="1" applyAlignment="1">
      <alignment horizontal="center"/>
    </xf>
    <xf numFmtId="168" fontId="31" fillId="49" borderId="60" xfId="2" applyNumberFormat="1" applyFont="1" applyFill="1" applyBorder="1" applyAlignment="1">
      <alignment horizontal="center"/>
    </xf>
    <xf numFmtId="44" fontId="0" fillId="12" borderId="60" xfId="2" applyFont="1" applyFill="1" applyBorder="1" applyAlignment="1">
      <alignment horizontal="center"/>
    </xf>
    <xf numFmtId="44" fontId="0" fillId="6" borderId="60" xfId="2" applyFont="1" applyFill="1" applyBorder="1" applyAlignment="1">
      <alignment horizontal="center"/>
    </xf>
    <xf numFmtId="168" fontId="31" fillId="6" borderId="60" xfId="2" applyNumberFormat="1" applyFont="1" applyFill="1" applyBorder="1" applyAlignment="1">
      <alignment horizontal="center"/>
    </xf>
    <xf numFmtId="9" fontId="2" fillId="13" borderId="72" xfId="3" applyFont="1" applyFill="1" applyBorder="1" applyAlignment="1">
      <alignment vertical="center" wrapText="1"/>
    </xf>
    <xf numFmtId="9" fontId="0" fillId="0" borderId="0" xfId="6" applyFont="1" applyBorder="1" applyAlignment="1">
      <alignment vertical="center"/>
    </xf>
    <xf numFmtId="166" fontId="15" fillId="0" borderId="0" xfId="5" applyNumberFormat="1" applyFont="1" applyFill="1" applyBorder="1" applyAlignment="1">
      <alignment vertical="center"/>
    </xf>
    <xf numFmtId="171" fontId="0" fillId="0" borderId="0" xfId="5" applyNumberFormat="1" applyFont="1" applyBorder="1" applyAlignment="1">
      <alignment vertical="center"/>
    </xf>
    <xf numFmtId="179" fontId="0" fillId="47" borderId="60" xfId="2" applyNumberFormat="1" applyFont="1" applyFill="1" applyBorder="1" applyAlignment="1"/>
    <xf numFmtId="179" fontId="0" fillId="6" borderId="60" xfId="2" applyNumberFormat="1" applyFont="1" applyFill="1" applyBorder="1" applyAlignment="1"/>
    <xf numFmtId="0" fontId="0" fillId="0" borderId="43" xfId="0" applyBorder="1"/>
    <xf numFmtId="44" fontId="0" fillId="41" borderId="60" xfId="2" applyFont="1" applyFill="1" applyBorder="1"/>
    <xf numFmtId="44" fontId="0" fillId="49" borderId="60" xfId="2" applyFont="1" applyFill="1" applyBorder="1"/>
    <xf numFmtId="44" fontId="0" fillId="6" borderId="60" xfId="2" applyFont="1" applyFill="1" applyBorder="1"/>
    <xf numFmtId="177" fontId="0" fillId="0" borderId="0" xfId="1" applyNumberFormat="1" applyFont="1" applyAlignment="1">
      <alignment vertical="center"/>
    </xf>
    <xf numFmtId="44" fontId="0" fillId="0" borderId="0" xfId="2" applyFont="1"/>
    <xf numFmtId="180" fontId="6" fillId="8" borderId="18" xfId="5" applyNumberFormat="1" applyFont="1" applyFill="1" applyBorder="1" applyAlignment="1">
      <alignment vertical="center"/>
    </xf>
    <xf numFmtId="0" fontId="2" fillId="38" borderId="67" xfId="0" applyFont="1" applyFill="1" applyBorder="1" applyAlignment="1">
      <alignment horizontal="center" vertical="center"/>
    </xf>
    <xf numFmtId="0" fontId="2" fillId="36" borderId="46" xfId="4" applyFont="1" applyFill="1" applyBorder="1" applyAlignment="1">
      <alignment vertical="center"/>
    </xf>
    <xf numFmtId="0" fontId="2" fillId="37" borderId="47" xfId="4" applyFont="1" applyFill="1" applyBorder="1" applyAlignment="1">
      <alignment vertical="center" wrapText="1"/>
    </xf>
    <xf numFmtId="44" fontId="0" fillId="0" borderId="60" xfId="2" applyFont="1" applyBorder="1"/>
    <xf numFmtId="168" fontId="16" fillId="0" borderId="55" xfId="0" applyNumberFormat="1" applyFont="1" applyBorder="1"/>
    <xf numFmtId="168" fontId="16" fillId="0" borderId="60" xfId="0" applyNumberFormat="1" applyFont="1" applyBorder="1"/>
    <xf numFmtId="168" fontId="16" fillId="0" borderId="68" xfId="0" applyNumberFormat="1" applyFont="1" applyBorder="1"/>
    <xf numFmtId="0" fontId="2" fillId="38" borderId="43" xfId="0" applyFont="1" applyFill="1" applyBorder="1" applyAlignment="1">
      <alignment horizontal="center" vertical="center"/>
    </xf>
    <xf numFmtId="0" fontId="2" fillId="37" borderId="60" xfId="4" applyFont="1" applyFill="1" applyBorder="1" applyAlignment="1">
      <alignment vertical="center" wrapText="1"/>
    </xf>
    <xf numFmtId="44" fontId="1" fillId="50" borderId="46" xfId="2" applyFont="1" applyFill="1" applyBorder="1"/>
    <xf numFmtId="44" fontId="1" fillId="50" borderId="60" xfId="2" applyFont="1" applyFill="1" applyBorder="1"/>
    <xf numFmtId="44" fontId="1" fillId="50" borderId="47" xfId="2" applyFont="1" applyFill="1" applyBorder="1"/>
    <xf numFmtId="0" fontId="2" fillId="50" borderId="70" xfId="0" applyFont="1" applyFill="1" applyBorder="1" applyAlignment="1">
      <alignment horizontal="left" indent="1"/>
    </xf>
    <xf numFmtId="0" fontId="29" fillId="0" borderId="0" xfId="0" applyFont="1"/>
    <xf numFmtId="0" fontId="29" fillId="0" borderId="0" xfId="0" applyFont="1" applyAlignment="1">
      <alignment horizontal="center"/>
    </xf>
    <xf numFmtId="0" fontId="16" fillId="0" borderId="0" xfId="0" applyFont="1"/>
    <xf numFmtId="168" fontId="16" fillId="0" borderId="0" xfId="0" applyNumberFormat="1" applyFont="1"/>
    <xf numFmtId="44" fontId="35" fillId="0" borderId="0" xfId="2" applyFont="1" applyBorder="1"/>
    <xf numFmtId="44" fontId="15" fillId="0" borderId="0" xfId="0" applyNumberFormat="1" applyFont="1"/>
    <xf numFmtId="168" fontId="16" fillId="10" borderId="56" xfId="0" applyNumberFormat="1" applyFont="1" applyFill="1" applyBorder="1"/>
    <xf numFmtId="44" fontId="0" fillId="10" borderId="55" xfId="2" applyFont="1" applyFill="1" applyBorder="1"/>
    <xf numFmtId="0" fontId="2" fillId="50" borderId="52" xfId="0" applyFont="1" applyFill="1" applyBorder="1" applyAlignment="1">
      <alignment horizontal="left" indent="1"/>
    </xf>
    <xf numFmtId="44" fontId="1" fillId="50" borderId="50" xfId="2" applyFont="1" applyFill="1" applyBorder="1"/>
    <xf numFmtId="44" fontId="1" fillId="50" borderId="74" xfId="2" applyFont="1" applyFill="1" applyBorder="1"/>
    <xf numFmtId="44" fontId="1" fillId="50" borderId="51" xfId="2" applyFont="1" applyFill="1" applyBorder="1"/>
    <xf numFmtId="44" fontId="1" fillId="10" borderId="74" xfId="2" applyFont="1" applyFill="1" applyBorder="1"/>
    <xf numFmtId="44" fontId="1" fillId="51" borderId="74" xfId="2" applyFont="1" applyFill="1" applyBorder="1"/>
    <xf numFmtId="44" fontId="0" fillId="51" borderId="55" xfId="2" applyFont="1" applyFill="1" applyBorder="1"/>
    <xf numFmtId="168" fontId="16" fillId="51" borderId="56" xfId="0" applyNumberFormat="1" applyFont="1" applyFill="1" applyBorder="1"/>
    <xf numFmtId="0" fontId="31" fillId="33" borderId="61" xfId="0" applyFont="1" applyFill="1" applyBorder="1"/>
    <xf numFmtId="0" fontId="31" fillId="33" borderId="65" xfId="0" applyFont="1" applyFill="1" applyBorder="1"/>
    <xf numFmtId="0" fontId="31" fillId="33" borderId="55" xfId="0" applyFont="1" applyFill="1" applyBorder="1"/>
    <xf numFmtId="44" fontId="0" fillId="0" borderId="54" xfId="2" applyFont="1" applyBorder="1"/>
    <xf numFmtId="44" fontId="0" fillId="0" borderId="74" xfId="2" applyFont="1" applyBorder="1"/>
    <xf numFmtId="44" fontId="0" fillId="0" borderId="51" xfId="2" applyFont="1" applyBorder="1"/>
    <xf numFmtId="177" fontId="0" fillId="50" borderId="54" xfId="1" applyNumberFormat="1" applyFont="1" applyFill="1" applyBorder="1"/>
    <xf numFmtId="44" fontId="0" fillId="50" borderId="54" xfId="2" applyFont="1" applyFill="1" applyBorder="1"/>
    <xf numFmtId="43" fontId="0" fillId="0" borderId="27" xfId="1" applyFont="1" applyFill="1" applyBorder="1" applyAlignment="1">
      <alignment vertical="center"/>
    </xf>
    <xf numFmtId="43" fontId="0" fillId="0" borderId="23" xfId="1" applyFont="1" applyFill="1" applyBorder="1" applyAlignment="1">
      <alignment vertical="center"/>
    </xf>
    <xf numFmtId="9" fontId="0" fillId="0" borderId="23" xfId="3" applyFont="1" applyFill="1" applyBorder="1" applyAlignment="1">
      <alignment vertical="center"/>
    </xf>
    <xf numFmtId="10" fontId="27" fillId="7" borderId="18" xfId="3" applyNumberFormat="1" applyFont="1" applyFill="1" applyBorder="1" applyAlignment="1">
      <alignment vertical="center"/>
    </xf>
    <xf numFmtId="10" fontId="0" fillId="0" borderId="18" xfId="5" applyNumberFormat="1" applyFont="1" applyFill="1" applyBorder="1" applyAlignment="1">
      <alignment horizontal="right" vertical="center"/>
    </xf>
    <xf numFmtId="0" fontId="2" fillId="28" borderId="1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5" xfId="0" applyBorder="1" applyAlignment="1">
      <alignment wrapText="1"/>
    </xf>
    <xf numFmtId="0" fontId="2" fillId="34" borderId="12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168" fontId="16" fillId="16" borderId="60" xfId="3" applyNumberFormat="1" applyFont="1" applyFill="1" applyBorder="1"/>
    <xf numFmtId="168" fontId="0" fillId="0" borderId="0" xfId="0" applyNumberFormat="1"/>
    <xf numFmtId="168" fontId="16" fillId="16" borderId="68" xfId="3" applyNumberFormat="1" applyFont="1" applyFill="1" applyBorder="1"/>
    <xf numFmtId="8" fontId="0" fillId="0" borderId="24" xfId="1" applyNumberFormat="1" applyFont="1" applyBorder="1"/>
    <xf numFmtId="8" fontId="0" fillId="0" borderId="62" xfId="1" applyNumberFormat="1" applyFont="1" applyBorder="1"/>
    <xf numFmtId="8" fontId="0" fillId="0" borderId="25" xfId="1" applyNumberFormat="1" applyFont="1" applyBorder="1"/>
    <xf numFmtId="8" fontId="0" fillId="16" borderId="62" xfId="1" applyNumberFormat="1" applyFont="1" applyFill="1" applyBorder="1"/>
    <xf numFmtId="8" fontId="0" fillId="0" borderId="46" xfId="1" applyNumberFormat="1" applyFont="1" applyBorder="1"/>
    <xf numFmtId="8" fontId="0" fillId="0" borderId="60" xfId="1" applyNumberFormat="1" applyFont="1" applyBorder="1"/>
    <xf numFmtId="8" fontId="0" fillId="0" borderId="47" xfId="1" applyNumberFormat="1" applyFont="1" applyBorder="1"/>
    <xf numFmtId="8" fontId="0" fillId="16" borderId="60" xfId="1" applyNumberFormat="1" applyFont="1" applyFill="1" applyBorder="1"/>
    <xf numFmtId="8" fontId="0" fillId="0" borderId="60" xfId="0" applyNumberFormat="1" applyBorder="1"/>
    <xf numFmtId="8" fontId="0" fillId="0" borderId="47" xfId="0" applyNumberFormat="1" applyBorder="1"/>
    <xf numFmtId="8" fontId="0" fillId="0" borderId="46" xfId="0" applyNumberFormat="1" applyBorder="1"/>
    <xf numFmtId="8" fontId="0" fillId="47" borderId="60" xfId="1" applyNumberFormat="1" applyFont="1" applyFill="1" applyBorder="1"/>
    <xf numFmtId="8" fontId="0" fillId="47" borderId="47" xfId="1" applyNumberFormat="1" applyFont="1" applyFill="1" applyBorder="1"/>
    <xf numFmtId="8" fontId="0" fillId="47" borderId="46" xfId="1" applyNumberFormat="1" applyFont="1" applyFill="1" applyBorder="1"/>
    <xf numFmtId="8" fontId="2" fillId="0" borderId="70" xfId="0" applyNumberFormat="1" applyFont="1" applyBorder="1" applyAlignment="1">
      <alignment horizontal="left" indent="1"/>
    </xf>
    <xf numFmtId="8" fontId="0" fillId="16" borderId="60" xfId="0" applyNumberFormat="1" applyFill="1" applyBorder="1"/>
    <xf numFmtId="8" fontId="2" fillId="47" borderId="70" xfId="0" applyNumberFormat="1" applyFont="1" applyFill="1" applyBorder="1" applyAlignment="1">
      <alignment horizontal="left" indent="1"/>
    </xf>
    <xf numFmtId="168" fontId="17" fillId="16" borderId="70" xfId="0" applyNumberFormat="1" applyFont="1" applyFill="1" applyBorder="1" applyAlignment="1">
      <alignment horizontal="left" indent="2"/>
    </xf>
    <xf numFmtId="168" fontId="16" fillId="16" borderId="46" xfId="3" applyNumberFormat="1" applyFont="1" applyFill="1" applyBorder="1"/>
    <xf numFmtId="168" fontId="16" fillId="16" borderId="47" xfId="3" applyNumberFormat="1" applyFont="1" applyFill="1" applyBorder="1"/>
    <xf numFmtId="168" fontId="2" fillId="16" borderId="70" xfId="0" applyNumberFormat="1" applyFont="1" applyFill="1" applyBorder="1" applyAlignment="1">
      <alignment horizontal="left" indent="1"/>
    </xf>
    <xf numFmtId="168" fontId="17" fillId="16" borderId="69" xfId="0" applyNumberFormat="1" applyFont="1" applyFill="1" applyBorder="1" applyAlignment="1">
      <alignment horizontal="left" indent="2"/>
    </xf>
    <xf numFmtId="168" fontId="16" fillId="16" borderId="48" xfId="3" applyNumberFormat="1" applyFont="1" applyFill="1" applyBorder="1"/>
    <xf numFmtId="168" fontId="16" fillId="16" borderId="49" xfId="3" applyNumberFormat="1" applyFont="1" applyFill="1" applyBorder="1"/>
    <xf numFmtId="0" fontId="2" fillId="0" borderId="50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7" fillId="0" borderId="0" xfId="0" applyFont="1"/>
    <xf numFmtId="43" fontId="27" fillId="0" borderId="0" xfId="0" applyNumberFormat="1" applyFont="1"/>
    <xf numFmtId="0" fontId="35" fillId="0" borderId="0" xfId="0" applyFont="1"/>
    <xf numFmtId="168" fontId="35" fillId="0" borderId="0" xfId="0" applyNumberFormat="1" applyFont="1"/>
    <xf numFmtId="9" fontId="0" fillId="0" borderId="0" xfId="0" applyNumberFormat="1"/>
    <xf numFmtId="168" fontId="0" fillId="0" borderId="0" xfId="3" applyNumberFormat="1" applyFont="1"/>
    <xf numFmtId="10" fontId="1" fillId="0" borderId="0" xfId="3" applyNumberFormat="1" applyAlignment="1">
      <alignment vertical="center"/>
    </xf>
    <xf numFmtId="168" fontId="0" fillId="0" borderId="18" xfId="3" applyNumberFormat="1" applyFont="1" applyFill="1" applyBorder="1" applyAlignment="1">
      <alignment vertical="center"/>
    </xf>
    <xf numFmtId="168" fontId="0" fillId="0" borderId="23" xfId="3" applyNumberFormat="1" applyFont="1" applyFill="1" applyBorder="1" applyAlignment="1">
      <alignment vertical="center"/>
    </xf>
    <xf numFmtId="168" fontId="0" fillId="0" borderId="0" xfId="3" applyNumberFormat="1" applyFont="1" applyFill="1" applyBorder="1" applyAlignment="1">
      <alignment vertical="center"/>
    </xf>
    <xf numFmtId="168" fontId="0" fillId="0" borderId="19" xfId="3" applyNumberFormat="1" applyFont="1" applyFill="1" applyBorder="1" applyAlignment="1">
      <alignment vertical="center"/>
    </xf>
    <xf numFmtId="10" fontId="0" fillId="14" borderId="18" xfId="3" applyNumberFormat="1" applyFont="1" applyFill="1" applyBorder="1" applyAlignment="1">
      <alignment vertical="center"/>
    </xf>
    <xf numFmtId="177" fontId="0" fillId="41" borderId="60" xfId="0" applyNumberFormat="1" applyFill="1" applyBorder="1"/>
    <xf numFmtId="10" fontId="31" fillId="41" borderId="60" xfId="3" applyNumberFormat="1" applyFont="1" applyFill="1" applyBorder="1" applyAlignment="1"/>
    <xf numFmtId="177" fontId="0" fillId="49" borderId="60" xfId="0" applyNumberFormat="1" applyFill="1" applyBorder="1"/>
    <xf numFmtId="10" fontId="31" fillId="49" borderId="60" xfId="3" applyNumberFormat="1" applyFont="1" applyFill="1" applyBorder="1" applyAlignment="1"/>
    <xf numFmtId="0" fontId="2" fillId="48" borderId="60" xfId="0" applyFont="1" applyFill="1" applyBorder="1" applyAlignment="1">
      <alignment horizontal="center" vertical="center"/>
    </xf>
    <xf numFmtId="177" fontId="0" fillId="12" borderId="60" xfId="0" applyNumberFormat="1" applyFill="1" applyBorder="1"/>
    <xf numFmtId="10" fontId="31" fillId="12" borderId="60" xfId="3" applyNumberFormat="1" applyFont="1" applyFill="1" applyBorder="1" applyAlignment="1"/>
    <xf numFmtId="177" fontId="0" fillId="53" borderId="60" xfId="0" applyNumberFormat="1" applyFill="1" applyBorder="1"/>
    <xf numFmtId="10" fontId="31" fillId="53" borderId="60" xfId="3" applyNumberFormat="1" applyFont="1" applyFill="1" applyBorder="1" applyAlignment="1"/>
    <xf numFmtId="0" fontId="0" fillId="12" borderId="60" xfId="0" applyFill="1" applyBorder="1"/>
    <xf numFmtId="0" fontId="31" fillId="12" borderId="60" xfId="0" applyFont="1" applyFill="1" applyBorder="1" applyAlignment="1">
      <alignment horizontal="left" indent="2"/>
    </xf>
    <xf numFmtId="0" fontId="31" fillId="12" borderId="60" xfId="0" applyFont="1" applyFill="1" applyBorder="1"/>
    <xf numFmtId="0" fontId="0" fillId="53" borderId="60" xfId="0" applyFill="1" applyBorder="1"/>
    <xf numFmtId="0" fontId="31" fillId="53" borderId="60" xfId="0" applyFont="1" applyFill="1" applyBorder="1" applyAlignment="1">
      <alignment horizontal="left" indent="2"/>
    </xf>
    <xf numFmtId="0" fontId="0" fillId="0" borderId="55" xfId="0" applyBorder="1"/>
    <xf numFmtId="44" fontId="0" fillId="0" borderId="61" xfId="2" applyFont="1" applyBorder="1"/>
    <xf numFmtId="0" fontId="0" fillId="0" borderId="45" xfId="0" applyBorder="1"/>
    <xf numFmtId="0" fontId="0" fillId="0" borderId="20" xfId="0" applyBorder="1"/>
    <xf numFmtId="44" fontId="0" fillId="0" borderId="64" xfId="2" applyFont="1" applyBorder="1"/>
    <xf numFmtId="44" fontId="0" fillId="0" borderId="2" xfId="2" applyFont="1" applyBorder="1"/>
    <xf numFmtId="9" fontId="0" fillId="0" borderId="0" xfId="3" applyFont="1" applyBorder="1"/>
    <xf numFmtId="4" fontId="0" fillId="0" borderId="61" xfId="0" applyNumberFormat="1" applyBorder="1"/>
    <xf numFmtId="4" fontId="0" fillId="0" borderId="2" xfId="0" applyNumberFormat="1" applyBorder="1"/>
    <xf numFmtId="10" fontId="0" fillId="16" borderId="60" xfId="3" applyNumberFormat="1" applyFont="1" applyFill="1" applyBorder="1"/>
    <xf numFmtId="10" fontId="0" fillId="0" borderId="0" xfId="0" applyNumberFormat="1"/>
    <xf numFmtId="177" fontId="2" fillId="0" borderId="0" xfId="0" applyNumberFormat="1" applyFont="1"/>
    <xf numFmtId="9" fontId="15" fillId="0" borderId="0" xfId="0" applyNumberFormat="1" applyFont="1"/>
    <xf numFmtId="9" fontId="0" fillId="16" borderId="60" xfId="1" applyNumberFormat="1" applyFont="1" applyFill="1" applyBorder="1"/>
    <xf numFmtId="177" fontId="0" fillId="19" borderId="60" xfId="1" applyNumberFormat="1" applyFont="1" applyFill="1" applyBorder="1"/>
    <xf numFmtId="0" fontId="0" fillId="0" borderId="60" xfId="0" applyBorder="1" applyAlignment="1">
      <alignment horizontal="center"/>
    </xf>
    <xf numFmtId="4" fontId="0" fillId="0" borderId="60" xfId="0" applyNumberFormat="1" applyBorder="1" applyAlignment="1">
      <alignment horizontal="center"/>
    </xf>
    <xf numFmtId="4" fontId="0" fillId="0" borderId="0" xfId="0" applyNumberFormat="1"/>
    <xf numFmtId="0" fontId="0" fillId="4" borderId="60" xfId="0" applyFill="1" applyBorder="1" applyAlignment="1">
      <alignment horizontal="center" vertical="center"/>
    </xf>
    <xf numFmtId="10" fontId="0" fillId="16" borderId="60" xfId="1" applyNumberFormat="1" applyFont="1" applyFill="1" applyBorder="1"/>
    <xf numFmtId="3" fontId="0" fillId="41" borderId="60" xfId="0" applyNumberFormat="1" applyFill="1" applyBorder="1"/>
    <xf numFmtId="10" fontId="0" fillId="41" borderId="60" xfId="3" applyNumberFormat="1" applyFont="1" applyFill="1" applyBorder="1"/>
    <xf numFmtId="0" fontId="10" fillId="16" borderId="60" xfId="0" applyFont="1" applyFill="1" applyBorder="1"/>
    <xf numFmtId="9" fontId="10" fillId="16" borderId="60" xfId="1" applyNumberFormat="1" applyFont="1" applyFill="1" applyBorder="1"/>
    <xf numFmtId="9" fontId="0" fillId="4" borderId="60" xfId="0" applyNumberFormat="1" applyFill="1" applyBorder="1"/>
    <xf numFmtId="0" fontId="29" fillId="16" borderId="60" xfId="0" applyFont="1" applyFill="1" applyBorder="1"/>
    <xf numFmtId="177" fontId="29" fillId="16" borderId="60" xfId="1" applyNumberFormat="1" applyFont="1" applyFill="1" applyBorder="1"/>
    <xf numFmtId="3" fontId="0" fillId="13" borderId="60" xfId="0" applyNumberFormat="1" applyFill="1" applyBorder="1"/>
    <xf numFmtId="10" fontId="0" fillId="13" borderId="60" xfId="0" applyNumberFormat="1" applyFill="1" applyBorder="1"/>
    <xf numFmtId="10" fontId="0" fillId="13" borderId="60" xfId="3" applyNumberFormat="1" applyFont="1" applyFill="1" applyBorder="1"/>
    <xf numFmtId="10" fontId="0" fillId="18" borderId="60" xfId="3" applyNumberFormat="1" applyFont="1" applyFill="1" applyBorder="1"/>
    <xf numFmtId="0" fontId="0" fillId="4" borderId="61" xfId="0" applyFill="1" applyBorder="1"/>
    <xf numFmtId="43" fontId="0" fillId="6" borderId="60" xfId="0" applyNumberFormat="1" applyFill="1" applyBorder="1"/>
    <xf numFmtId="4" fontId="6" fillId="6" borderId="18" xfId="6" applyNumberFormat="1" applyFont="1" applyFill="1" applyBorder="1" applyAlignment="1">
      <alignment vertical="center"/>
    </xf>
    <xf numFmtId="4" fontId="0" fillId="8" borderId="18" xfId="5" applyNumberFormat="1" applyFont="1" applyFill="1" applyBorder="1" applyAlignment="1">
      <alignment vertical="center"/>
    </xf>
    <xf numFmtId="4" fontId="0" fillId="0" borderId="18" xfId="5" applyNumberFormat="1" applyFont="1" applyFill="1" applyBorder="1" applyAlignment="1">
      <alignment vertical="center"/>
    </xf>
    <xf numFmtId="4" fontId="6" fillId="0" borderId="18" xfId="6" applyNumberFormat="1" applyFont="1" applyFill="1" applyBorder="1" applyAlignment="1">
      <alignment vertical="center"/>
    </xf>
    <xf numFmtId="4" fontId="0" fillId="15" borderId="18" xfId="5" applyNumberFormat="1" applyFont="1" applyFill="1" applyBorder="1" applyAlignment="1">
      <alignment vertical="center"/>
    </xf>
    <xf numFmtId="4" fontId="6" fillId="15" borderId="18" xfId="6" applyNumberFormat="1" applyFont="1" applyFill="1" applyBorder="1" applyAlignment="1">
      <alignment vertical="center"/>
    </xf>
    <xf numFmtId="4" fontId="6" fillId="20" borderId="18" xfId="6" applyNumberFormat="1" applyFont="1" applyFill="1" applyBorder="1" applyAlignment="1">
      <alignment vertical="center"/>
    </xf>
    <xf numFmtId="4" fontId="6" fillId="16" borderId="18" xfId="1" applyNumberFormat="1" applyFont="1" applyFill="1" applyBorder="1" applyAlignment="1">
      <alignment vertical="center"/>
    </xf>
    <xf numFmtId="9" fontId="6" fillId="8" borderId="18" xfId="5" applyNumberFormat="1" applyFont="1" applyFill="1" applyBorder="1" applyAlignment="1">
      <alignment vertical="center"/>
    </xf>
    <xf numFmtId="168" fontId="0" fillId="0" borderId="19" xfId="6" applyNumberFormat="1" applyFont="1" applyFill="1" applyBorder="1" applyAlignment="1">
      <alignment vertical="center"/>
    </xf>
    <xf numFmtId="168" fontId="0" fillId="7" borderId="19" xfId="6" applyNumberFormat="1" applyFont="1" applyFill="1" applyBorder="1" applyAlignment="1">
      <alignment vertical="center"/>
    </xf>
    <xf numFmtId="168" fontId="0" fillId="0" borderId="18" xfId="1" applyNumberFormat="1" applyFont="1" applyFill="1" applyBorder="1" applyAlignment="1">
      <alignment vertical="center"/>
    </xf>
    <xf numFmtId="168" fontId="0" fillId="7" borderId="18" xfId="5" applyNumberFormat="1" applyFont="1" applyFill="1" applyBorder="1" applyAlignment="1">
      <alignment vertical="center"/>
    </xf>
    <xf numFmtId="168" fontId="0" fillId="7" borderId="23" xfId="5" applyNumberFormat="1" applyFont="1" applyFill="1" applyBorder="1" applyAlignment="1">
      <alignment vertical="center"/>
    </xf>
    <xf numFmtId="4" fontId="0" fillId="0" borderId="0" xfId="6" applyNumberFormat="1" applyFont="1" applyBorder="1" applyAlignment="1">
      <alignment vertical="center"/>
    </xf>
    <xf numFmtId="43" fontId="1" fillId="0" borderId="0" xfId="4" applyNumberFormat="1" applyAlignment="1">
      <alignment vertical="center"/>
    </xf>
    <xf numFmtId="165" fontId="1" fillId="0" borderId="0" xfId="4" applyNumberFormat="1" applyAlignment="1">
      <alignment vertical="center"/>
    </xf>
    <xf numFmtId="43" fontId="0" fillId="0" borderId="0" xfId="1" applyFont="1" applyAlignment="1">
      <alignment vertical="center"/>
    </xf>
    <xf numFmtId="168" fontId="0" fillId="10" borderId="0" xfId="6" applyNumberFormat="1" applyFont="1" applyFill="1" applyAlignment="1">
      <alignment vertical="center"/>
    </xf>
    <xf numFmtId="4" fontId="1" fillId="0" borderId="0" xfId="4" applyNumberFormat="1" applyAlignment="1">
      <alignment vertical="center"/>
    </xf>
    <xf numFmtId="3" fontId="1" fillId="0" borderId="0" xfId="3" applyNumberFormat="1" applyAlignment="1">
      <alignment vertical="center"/>
    </xf>
    <xf numFmtId="9" fontId="1" fillId="0" borderId="0" xfId="4" applyNumberFormat="1" applyAlignment="1">
      <alignment vertical="center"/>
    </xf>
    <xf numFmtId="168" fontId="15" fillId="54" borderId="19" xfId="5" applyNumberFormat="1" applyFont="1" applyFill="1" applyBorder="1" applyAlignment="1">
      <alignment vertical="center"/>
    </xf>
    <xf numFmtId="168" fontId="15" fillId="54" borderId="18" xfId="5" applyNumberFormat="1" applyFont="1" applyFill="1" applyBorder="1" applyAlignment="1">
      <alignment vertical="center"/>
    </xf>
    <xf numFmtId="168" fontId="6" fillId="0" borderId="19" xfId="6" applyNumberFormat="1" applyFont="1" applyFill="1" applyBorder="1" applyAlignment="1">
      <alignment vertical="center"/>
    </xf>
    <xf numFmtId="168" fontId="12" fillId="16" borderId="35" xfId="6" applyNumberFormat="1" applyFont="1" applyFill="1" applyBorder="1" applyAlignment="1">
      <alignment vertical="center"/>
    </xf>
    <xf numFmtId="181" fontId="0" fillId="0" borderId="0" xfId="0" applyNumberFormat="1"/>
    <xf numFmtId="180" fontId="6" fillId="0" borderId="19" xfId="6" applyNumberFormat="1" applyFont="1" applyFill="1" applyBorder="1" applyAlignment="1">
      <alignment vertical="center"/>
    </xf>
    <xf numFmtId="181" fontId="15" fillId="54" borderId="19" xfId="5" applyNumberFormat="1" applyFont="1" applyFill="1" applyBorder="1" applyAlignment="1">
      <alignment vertical="center"/>
    </xf>
    <xf numFmtId="4" fontId="6" fillId="11" borderId="19" xfId="5" applyNumberFormat="1" applyFont="1" applyFill="1" applyBorder="1" applyAlignment="1">
      <alignment vertical="center"/>
    </xf>
    <xf numFmtId="179" fontId="0" fillId="16" borderId="18" xfId="5" applyNumberFormat="1" applyFont="1" applyFill="1" applyBorder="1" applyAlignment="1">
      <alignment vertical="center"/>
    </xf>
    <xf numFmtId="6" fontId="0" fillId="0" borderId="60" xfId="0" applyNumberFormat="1" applyBorder="1"/>
    <xf numFmtId="165" fontId="0" fillId="0" borderId="60" xfId="0" applyNumberFormat="1" applyBorder="1"/>
    <xf numFmtId="6" fontId="0" fillId="0" borderId="0" xfId="0" applyNumberFormat="1"/>
    <xf numFmtId="0" fontId="37" fillId="0" borderId="0" xfId="0" applyFont="1"/>
    <xf numFmtId="0" fontId="0" fillId="30" borderId="60" xfId="0" applyFill="1" applyBorder="1"/>
    <xf numFmtId="3" fontId="0" fillId="30" borderId="60" xfId="0" applyNumberFormat="1" applyFill="1" applyBorder="1"/>
    <xf numFmtId="168" fontId="0" fillId="30" borderId="60" xfId="0" applyNumberFormat="1" applyFill="1" applyBorder="1"/>
    <xf numFmtId="6" fontId="0" fillId="30" borderId="60" xfId="0" applyNumberFormat="1" applyFill="1" applyBorder="1"/>
    <xf numFmtId="10" fontId="0" fillId="30" borderId="60" xfId="0" applyNumberFormat="1" applyFill="1" applyBorder="1"/>
    <xf numFmtId="10" fontId="0" fillId="6" borderId="60" xfId="0" applyNumberFormat="1" applyFill="1" applyBorder="1"/>
    <xf numFmtId="8" fontId="0" fillId="6" borderId="60" xfId="0" applyNumberFormat="1" applyFill="1" applyBorder="1"/>
    <xf numFmtId="0" fontId="2" fillId="4" borderId="64" xfId="0" applyFont="1" applyFill="1" applyBorder="1" applyAlignment="1">
      <alignment horizontal="center" vertical="center"/>
    </xf>
    <xf numFmtId="0" fontId="2" fillId="4" borderId="6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8" fontId="0" fillId="6" borderId="61" xfId="0" applyNumberFormat="1" applyFill="1" applyBorder="1"/>
    <xf numFmtId="168" fontId="0" fillId="30" borderId="64" xfId="0" applyNumberFormat="1" applyFill="1" applyBorder="1"/>
    <xf numFmtId="168" fontId="0" fillId="6" borderId="61" xfId="0" applyNumberFormat="1" applyFill="1" applyBorder="1"/>
    <xf numFmtId="168" fontId="12" fillId="16" borderId="6" xfId="3" applyNumberFormat="1" applyFont="1" applyFill="1" applyBorder="1" applyAlignment="1">
      <alignment vertical="center"/>
    </xf>
    <xf numFmtId="168" fontId="28" fillId="0" borderId="0" xfId="4" applyNumberFormat="1" applyFont="1" applyAlignment="1">
      <alignment vertical="center"/>
    </xf>
    <xf numFmtId="168" fontId="6" fillId="7" borderId="42" xfId="4" applyNumberFormat="1" applyFont="1" applyFill="1" applyBorder="1" applyAlignment="1">
      <alignment vertical="center" textRotation="90"/>
    </xf>
    <xf numFmtId="168" fontId="12" fillId="16" borderId="6" xfId="6" applyNumberFormat="1" applyFont="1" applyFill="1" applyBorder="1" applyAlignment="1">
      <alignment vertical="center"/>
    </xf>
    <xf numFmtId="191" fontId="0" fillId="0" borderId="0" xfId="0" applyNumberFormat="1"/>
    <xf numFmtId="181" fontId="6" fillId="0" borderId="18" xfId="6" applyNumberFormat="1" applyFont="1" applyFill="1" applyBorder="1" applyAlignment="1">
      <alignment vertical="center"/>
    </xf>
    <xf numFmtId="192" fontId="0" fillId="0" borderId="0" xfId="0" applyNumberFormat="1"/>
    <xf numFmtId="6" fontId="0" fillId="2" borderId="0" xfId="0" applyNumberFormat="1" applyFill="1"/>
    <xf numFmtId="6" fontId="2" fillId="4" borderId="64" xfId="0" applyNumberFormat="1" applyFont="1" applyFill="1" applyBorder="1" applyAlignment="1">
      <alignment horizontal="center" vertical="center"/>
    </xf>
    <xf numFmtId="0" fontId="2" fillId="24" borderId="64" xfId="0" applyFont="1" applyFill="1" applyBorder="1" applyAlignment="1">
      <alignment horizontal="center" vertical="center"/>
    </xf>
    <xf numFmtId="10" fontId="0" fillId="0" borderId="15" xfId="0" applyNumberFormat="1" applyBorder="1"/>
    <xf numFmtId="0" fontId="6" fillId="7" borderId="57" xfId="4" applyFont="1" applyFill="1" applyBorder="1" applyAlignment="1">
      <alignment vertical="center" textRotation="90"/>
    </xf>
    <xf numFmtId="168" fontId="6" fillId="7" borderId="21" xfId="6" applyNumberFormat="1" applyFont="1" applyFill="1" applyBorder="1" applyAlignment="1">
      <alignment vertical="center"/>
    </xf>
    <xf numFmtId="168" fontId="6" fillId="7" borderId="1" xfId="6" applyNumberFormat="1" applyFont="1" applyFill="1" applyBorder="1" applyAlignment="1">
      <alignment vertical="center"/>
    </xf>
    <xf numFmtId="9" fontId="6" fillId="7" borderId="22" xfId="6" applyFont="1" applyFill="1" applyBorder="1" applyAlignment="1">
      <alignment vertical="center"/>
    </xf>
    <xf numFmtId="168" fontId="6" fillId="0" borderId="21" xfId="6" applyNumberFormat="1" applyFont="1" applyFill="1" applyBorder="1" applyAlignment="1">
      <alignment vertical="center"/>
    </xf>
    <xf numFmtId="168" fontId="6" fillId="0" borderId="22" xfId="3" applyNumberFormat="1" applyFont="1" applyFill="1" applyBorder="1" applyAlignment="1">
      <alignment vertical="center"/>
    </xf>
    <xf numFmtId="9" fontId="6" fillId="0" borderId="1" xfId="3" applyFont="1" applyFill="1" applyBorder="1" applyAlignment="1">
      <alignment vertical="center"/>
    </xf>
    <xf numFmtId="193" fontId="0" fillId="0" borderId="23" xfId="5" applyNumberFormat="1" applyFont="1" applyFill="1" applyBorder="1" applyAlignment="1">
      <alignment horizontal="right" vertical="center"/>
    </xf>
    <xf numFmtId="193" fontId="6" fillId="8" borderId="23" xfId="5" applyNumberFormat="1" applyFont="1" applyFill="1" applyBorder="1" applyAlignment="1">
      <alignment horizontal="right" vertical="center"/>
    </xf>
    <xf numFmtId="17" fontId="0" fillId="0" borderId="0" xfId="0" applyNumberFormat="1"/>
    <xf numFmtId="3" fontId="0" fillId="24" borderId="0" xfId="0" applyNumberFormat="1" applyFill="1"/>
    <xf numFmtId="0" fontId="0" fillId="0" borderId="0" xfId="0" quotePrefix="1"/>
    <xf numFmtId="168" fontId="6" fillId="7" borderId="19" xfId="6" applyNumberFormat="1" applyFont="1" applyFill="1" applyBorder="1" applyAlignment="1">
      <alignment vertical="center"/>
    </xf>
    <xf numFmtId="8" fontId="0" fillId="7" borderId="23" xfId="6" applyNumberFormat="1" applyFont="1" applyFill="1" applyBorder="1" applyAlignment="1">
      <alignment vertical="center"/>
    </xf>
    <xf numFmtId="4" fontId="0" fillId="0" borderId="18" xfId="5" applyNumberFormat="1" applyFont="1" applyFill="1" applyBorder="1" applyAlignment="1">
      <alignment horizontal="right" vertical="center"/>
    </xf>
    <xf numFmtId="2" fontId="6" fillId="7" borderId="0" xfId="1" applyNumberFormat="1" applyFont="1" applyFill="1" applyBorder="1" applyAlignment="1">
      <alignment horizontal="center" vertical="top" wrapText="1"/>
    </xf>
    <xf numFmtId="0" fontId="2" fillId="37" borderId="0" xfId="4" quotePrefix="1" applyFont="1" applyFill="1" applyAlignment="1">
      <alignment horizontal="center" vertical="center" wrapText="1"/>
    </xf>
    <xf numFmtId="0" fontId="6" fillId="7" borderId="0" xfId="4" applyFont="1" applyFill="1" applyAlignment="1">
      <alignment horizontal="center" vertical="top" wrapText="1"/>
    </xf>
    <xf numFmtId="0" fontId="7" fillId="7" borderId="0" xfId="4" applyFont="1" applyFill="1" applyAlignment="1">
      <alignment horizontal="center" vertical="center" wrapText="1"/>
    </xf>
    <xf numFmtId="8" fontId="0" fillId="7" borderId="0" xfId="6" applyNumberFormat="1" applyFont="1" applyFill="1" applyBorder="1" applyAlignment="1">
      <alignment vertical="center"/>
    </xf>
    <xf numFmtId="172" fontId="0" fillId="7" borderId="0" xfId="5" applyNumberFormat="1" applyFont="1" applyFill="1" applyBorder="1" applyAlignment="1">
      <alignment vertical="center"/>
    </xf>
    <xf numFmtId="9" fontId="6" fillId="7" borderId="0" xfId="6" applyFont="1" applyFill="1" applyBorder="1" applyAlignment="1">
      <alignment vertical="center"/>
    </xf>
    <xf numFmtId="168" fontId="12" fillId="16" borderId="0" xfId="6" applyNumberFormat="1" applyFont="1" applyFill="1" applyBorder="1" applyAlignment="1">
      <alignment vertical="center"/>
    </xf>
    <xf numFmtId="178" fontId="6" fillId="2" borderId="0" xfId="6" applyNumberFormat="1" applyFont="1" applyFill="1" applyBorder="1" applyAlignment="1">
      <alignment vertical="center"/>
    </xf>
    <xf numFmtId="166" fontId="0" fillId="7" borderId="60" xfId="5" applyNumberFormat="1" applyFont="1" applyFill="1" applyBorder="1" applyAlignment="1">
      <alignment vertical="center"/>
    </xf>
    <xf numFmtId="168" fontId="0" fillId="7" borderId="60" xfId="6" applyNumberFormat="1" applyFont="1" applyFill="1" applyBorder="1" applyAlignment="1">
      <alignment vertical="center"/>
    </xf>
    <xf numFmtId="177" fontId="0" fillId="7" borderId="60" xfId="1" applyNumberFormat="1" applyFont="1" applyFill="1" applyBorder="1" applyAlignment="1">
      <alignment vertical="center"/>
    </xf>
    <xf numFmtId="165" fontId="0" fillId="7" borderId="60" xfId="5" applyFont="1" applyFill="1" applyBorder="1" applyAlignment="1">
      <alignment vertical="center"/>
    </xf>
    <xf numFmtId="165" fontId="0" fillId="9" borderId="60" xfId="5" applyFont="1" applyFill="1" applyBorder="1" applyAlignment="1">
      <alignment vertical="center"/>
    </xf>
    <xf numFmtId="165" fontId="0" fillId="10" borderId="60" xfId="5" applyFont="1" applyFill="1" applyBorder="1" applyAlignment="1">
      <alignment vertical="center"/>
    </xf>
    <xf numFmtId="9" fontId="0" fillId="7" borderId="60" xfId="3" applyFont="1" applyFill="1" applyBorder="1" applyAlignment="1">
      <alignment vertical="center"/>
    </xf>
    <xf numFmtId="166" fontId="0" fillId="10" borderId="60" xfId="5" applyNumberFormat="1" applyFont="1" applyFill="1" applyBorder="1" applyAlignment="1">
      <alignment vertical="center"/>
    </xf>
    <xf numFmtId="171" fontId="0" fillId="9" borderId="0" xfId="5" applyNumberFormat="1" applyFont="1" applyFill="1" applyBorder="1" applyAlignment="1">
      <alignment vertical="center"/>
    </xf>
    <xf numFmtId="194" fontId="0" fillId="2" borderId="60" xfId="5" applyNumberFormat="1" applyFont="1" applyFill="1" applyBorder="1" applyAlignment="1">
      <alignment horizontal="left" vertical="center"/>
    </xf>
    <xf numFmtId="43" fontId="0" fillId="2" borderId="60" xfId="1" applyFont="1" applyFill="1" applyBorder="1" applyAlignment="1">
      <alignment vertical="center"/>
    </xf>
    <xf numFmtId="194" fontId="0" fillId="2" borderId="60" xfId="6" applyNumberFormat="1" applyFont="1" applyFill="1" applyBorder="1" applyAlignment="1">
      <alignment horizontal="left" vertical="center"/>
    </xf>
    <xf numFmtId="168" fontId="0" fillId="2" borderId="60" xfId="3" applyNumberFormat="1" applyFont="1" applyFill="1" applyBorder="1" applyAlignment="1">
      <alignment vertical="center"/>
    </xf>
    <xf numFmtId="165" fontId="0" fillId="2" borderId="60" xfId="5" applyFont="1" applyFill="1" applyBorder="1" applyAlignment="1">
      <alignment vertical="center"/>
    </xf>
    <xf numFmtId="194" fontId="0" fillId="2" borderId="60" xfId="5" applyNumberFormat="1" applyFont="1" applyFill="1" applyBorder="1" applyAlignment="1">
      <alignment vertical="center"/>
    </xf>
    <xf numFmtId="165" fontId="0" fillId="0" borderId="16" xfId="5" applyFont="1" applyFill="1" applyBorder="1" applyAlignment="1">
      <alignment vertical="center"/>
    </xf>
    <xf numFmtId="177" fontId="0" fillId="10" borderId="0" xfId="1" applyNumberFormat="1" applyFont="1" applyFill="1"/>
    <xf numFmtId="0" fontId="14" fillId="7" borderId="6" xfId="4" applyFont="1" applyFill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9" fontId="1" fillId="0" borderId="0" xfId="3" applyAlignment="1">
      <alignment vertical="center"/>
    </xf>
    <xf numFmtId="0" fontId="6" fillId="7" borderId="18" xfId="4" applyFont="1" applyFill="1" applyBorder="1" applyAlignment="1">
      <alignment horizontal="center" vertical="center" textRotation="90"/>
    </xf>
    <xf numFmtId="166" fontId="6" fillId="8" borderId="14" xfId="5" applyNumberFormat="1" applyFont="1" applyFill="1" applyBorder="1" applyAlignment="1">
      <alignment vertical="center"/>
    </xf>
    <xf numFmtId="166" fontId="0" fillId="8" borderId="14" xfId="5" applyNumberFormat="1" applyFont="1" applyFill="1" applyBorder="1" applyAlignment="1">
      <alignment vertical="center"/>
    </xf>
    <xf numFmtId="166" fontId="8" fillId="8" borderId="14" xfId="5" applyNumberFormat="1" applyFont="1" applyFill="1" applyBorder="1" applyAlignment="1">
      <alignment vertical="center"/>
    </xf>
    <xf numFmtId="166" fontId="0" fillId="9" borderId="18" xfId="5" applyNumberFormat="1" applyFont="1" applyFill="1" applyBorder="1" applyAlignment="1">
      <alignment vertical="center"/>
    </xf>
    <xf numFmtId="166" fontId="0" fillId="8" borderId="18" xfId="5" applyNumberFormat="1" applyFont="1" applyFill="1" applyBorder="1" applyAlignment="1">
      <alignment vertical="center"/>
    </xf>
    <xf numFmtId="166" fontId="8" fillId="8" borderId="18" xfId="5" applyNumberFormat="1" applyFont="1" applyFill="1" applyBorder="1" applyAlignment="1">
      <alignment vertical="center"/>
    </xf>
    <xf numFmtId="166" fontId="0" fillId="7" borderId="19" xfId="5" applyNumberFormat="1" applyFont="1" applyFill="1" applyBorder="1" applyAlignment="1">
      <alignment horizontal="right" vertical="center"/>
    </xf>
    <xf numFmtId="0" fontId="6" fillId="7" borderId="16" xfId="4" applyFont="1" applyFill="1" applyBorder="1" applyAlignment="1">
      <alignment horizontal="center" vertical="center" textRotation="90" wrapText="1"/>
    </xf>
    <xf numFmtId="0" fontId="6" fillId="7" borderId="18" xfId="4" applyFont="1" applyFill="1" applyBorder="1" applyAlignment="1">
      <alignment horizontal="center" vertical="center" textRotation="90" wrapText="1"/>
    </xf>
    <xf numFmtId="0" fontId="6" fillId="7" borderId="28" xfId="4" applyFont="1" applyFill="1" applyBorder="1" applyAlignment="1">
      <alignment horizontal="center" vertical="center" textRotation="90" wrapText="1"/>
    </xf>
    <xf numFmtId="0" fontId="6" fillId="7" borderId="32" xfId="4" applyFont="1" applyFill="1" applyBorder="1" applyAlignment="1">
      <alignment horizontal="center" vertical="center" textRotation="90"/>
    </xf>
    <xf numFmtId="0" fontId="6" fillId="7" borderId="14" xfId="4" applyFont="1" applyFill="1" applyBorder="1" applyAlignment="1">
      <alignment horizontal="center" vertical="center" textRotation="90"/>
    </xf>
    <xf numFmtId="0" fontId="6" fillId="7" borderId="33" xfId="4" applyFont="1" applyFill="1" applyBorder="1" applyAlignment="1">
      <alignment horizontal="center" vertical="center" textRotation="90"/>
    </xf>
    <xf numFmtId="0" fontId="6" fillId="7" borderId="24" xfId="4" applyFont="1" applyFill="1" applyBorder="1" applyAlignment="1">
      <alignment horizontal="center" vertical="center" textRotation="90"/>
    </xf>
    <xf numFmtId="0" fontId="7" fillId="7" borderId="21" xfId="4" applyFont="1" applyFill="1" applyBorder="1" applyAlignment="1">
      <alignment horizontal="center" vertical="center" wrapText="1"/>
    </xf>
    <xf numFmtId="0" fontId="7" fillId="7" borderId="22" xfId="4" applyFont="1" applyFill="1" applyBorder="1" applyAlignment="1">
      <alignment horizontal="center" vertical="center" wrapText="1"/>
    </xf>
    <xf numFmtId="167" fontId="8" fillId="7" borderId="0" xfId="4" applyNumberFormat="1" applyFont="1" applyFill="1" applyAlignment="1">
      <alignment horizontal="left" vertical="center"/>
    </xf>
    <xf numFmtId="167" fontId="1" fillId="7" borderId="0" xfId="4" applyNumberFormat="1" applyFill="1" applyAlignment="1">
      <alignment horizontal="left" vertical="center"/>
    </xf>
    <xf numFmtId="0" fontId="6" fillId="7" borderId="18" xfId="4" applyFont="1" applyFill="1" applyBorder="1" applyAlignment="1">
      <alignment horizontal="center" vertical="center" textRotation="90"/>
    </xf>
    <xf numFmtId="0" fontId="6" fillId="7" borderId="21" xfId="4" applyFont="1" applyFill="1" applyBorder="1" applyAlignment="1">
      <alignment horizontal="center" vertical="center" textRotation="90"/>
    </xf>
    <xf numFmtId="0" fontId="6" fillId="7" borderId="26" xfId="4" applyFont="1" applyFill="1" applyBorder="1" applyAlignment="1">
      <alignment horizontal="center" vertical="center" textRotation="90"/>
    </xf>
    <xf numFmtId="0" fontId="6" fillId="7" borderId="16" xfId="4" applyFont="1" applyFill="1" applyBorder="1" applyAlignment="1">
      <alignment horizontal="center" vertical="center" textRotation="90"/>
    </xf>
    <xf numFmtId="0" fontId="6" fillId="7" borderId="18" xfId="4" applyFont="1" applyFill="1" applyBorder="1" applyAlignment="1">
      <alignment horizontal="center" vertical="top" wrapText="1"/>
    </xf>
    <xf numFmtId="0" fontId="6" fillId="7" borderId="19" xfId="4" applyFont="1" applyFill="1" applyBorder="1" applyAlignment="1">
      <alignment horizontal="center" vertical="top" wrapText="1"/>
    </xf>
    <xf numFmtId="0" fontId="6" fillId="7" borderId="16" xfId="4" applyFont="1" applyFill="1" applyBorder="1" applyAlignment="1">
      <alignment horizontal="center" vertical="top" wrapText="1"/>
    </xf>
    <xf numFmtId="0" fontId="6" fillId="7" borderId="17" xfId="4" applyFont="1" applyFill="1" applyBorder="1" applyAlignment="1">
      <alignment horizontal="center" vertical="top" wrapText="1"/>
    </xf>
    <xf numFmtId="0" fontId="6" fillId="7" borderId="8" xfId="4" applyFont="1" applyFill="1" applyBorder="1" applyAlignment="1">
      <alignment horizontal="center" vertical="center" textRotation="90" wrapText="1"/>
    </xf>
    <xf numFmtId="0" fontId="6" fillId="7" borderId="14" xfId="4" applyFont="1" applyFill="1" applyBorder="1" applyAlignment="1">
      <alignment horizontal="center" vertical="center" textRotation="90" wrapText="1"/>
    </xf>
    <xf numFmtId="0" fontId="6" fillId="7" borderId="24" xfId="4" applyFont="1" applyFill="1" applyBorder="1" applyAlignment="1">
      <alignment horizontal="center" vertical="center" textRotation="90" wrapText="1"/>
    </xf>
    <xf numFmtId="0" fontId="2" fillId="4" borderId="9" xfId="4" applyFont="1" applyFill="1" applyBorder="1" applyAlignment="1">
      <alignment horizontal="center" vertical="center"/>
    </xf>
    <xf numFmtId="0" fontId="2" fillId="4" borderId="11" xfId="4" applyFont="1" applyFill="1" applyBorder="1" applyAlignment="1">
      <alignment horizontal="center" vertical="center"/>
    </xf>
    <xf numFmtId="0" fontId="2" fillId="4" borderId="12" xfId="4" applyFont="1" applyFill="1" applyBorder="1" applyAlignment="1">
      <alignment horizontal="center" vertical="center"/>
    </xf>
    <xf numFmtId="0" fontId="6" fillId="5" borderId="13" xfId="4" applyFont="1" applyFill="1" applyBorder="1" applyAlignment="1">
      <alignment horizontal="center" vertical="center"/>
    </xf>
    <xf numFmtId="0" fontId="6" fillId="5" borderId="12" xfId="4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2" fillId="4" borderId="3" xfId="4" applyFont="1" applyFill="1" applyBorder="1" applyAlignment="1">
      <alignment horizontal="center" vertical="center"/>
    </xf>
    <xf numFmtId="0" fontId="2" fillId="4" borderId="4" xfId="4" applyFont="1" applyFill="1" applyBorder="1" applyAlignment="1">
      <alignment horizontal="center" vertical="center"/>
    </xf>
    <xf numFmtId="0" fontId="2" fillId="4" borderId="5" xfId="4" applyFont="1" applyFill="1" applyBorder="1" applyAlignment="1">
      <alignment horizontal="center" vertical="center"/>
    </xf>
    <xf numFmtId="0" fontId="2" fillId="4" borderId="6" xfId="4" applyFont="1" applyFill="1" applyBorder="1" applyAlignment="1">
      <alignment horizontal="center" vertical="center"/>
    </xf>
    <xf numFmtId="0" fontId="2" fillId="4" borderId="7" xfId="4" applyFont="1" applyFill="1" applyBorder="1" applyAlignment="1">
      <alignment horizontal="center" vertical="center"/>
    </xf>
    <xf numFmtId="0" fontId="2" fillId="5" borderId="2" xfId="4" applyFont="1" applyFill="1" applyBorder="1" applyAlignment="1">
      <alignment horizontal="center" vertical="center"/>
    </xf>
    <xf numFmtId="0" fontId="2" fillId="5" borderId="3" xfId="4" applyFont="1" applyFill="1" applyBorder="1" applyAlignment="1">
      <alignment horizontal="center" vertical="center"/>
    </xf>
    <xf numFmtId="0" fontId="2" fillId="5" borderId="4" xfId="4" applyFont="1" applyFill="1" applyBorder="1" applyAlignment="1">
      <alignment horizontal="center" vertical="center"/>
    </xf>
    <xf numFmtId="0" fontId="2" fillId="5" borderId="5" xfId="4" applyFont="1" applyFill="1" applyBorder="1" applyAlignment="1">
      <alignment horizontal="center" vertical="center"/>
    </xf>
    <xf numFmtId="0" fontId="2" fillId="5" borderId="6" xfId="4" applyFont="1" applyFill="1" applyBorder="1" applyAlignment="1">
      <alignment horizontal="center" vertical="center"/>
    </xf>
    <xf numFmtId="0" fontId="2" fillId="5" borderId="7" xfId="4" applyFont="1" applyFill="1" applyBorder="1" applyAlignment="1">
      <alignment horizontal="center" vertical="center"/>
    </xf>
    <xf numFmtId="0" fontId="2" fillId="6" borderId="2" xfId="4" applyFont="1" applyFill="1" applyBorder="1" applyAlignment="1">
      <alignment horizontal="center" vertical="center"/>
    </xf>
    <xf numFmtId="0" fontId="2" fillId="6" borderId="3" xfId="4" applyFont="1" applyFill="1" applyBorder="1" applyAlignment="1">
      <alignment horizontal="center" vertical="center"/>
    </xf>
    <xf numFmtId="0" fontId="2" fillId="6" borderId="4" xfId="4" applyFont="1" applyFill="1" applyBorder="1" applyAlignment="1">
      <alignment horizontal="center" vertical="center"/>
    </xf>
    <xf numFmtId="0" fontId="2" fillId="6" borderId="5" xfId="4" applyFont="1" applyFill="1" applyBorder="1" applyAlignment="1">
      <alignment horizontal="center" vertical="center"/>
    </xf>
    <xf numFmtId="0" fontId="2" fillId="6" borderId="6" xfId="4" applyFont="1" applyFill="1" applyBorder="1" applyAlignment="1">
      <alignment horizontal="center" vertical="center"/>
    </xf>
    <xf numFmtId="0" fontId="2" fillId="6" borderId="7" xfId="4" applyFont="1" applyFill="1" applyBorder="1" applyAlignment="1">
      <alignment horizontal="center" vertical="center"/>
    </xf>
    <xf numFmtId="0" fontId="6" fillId="6" borderId="13" xfId="4" applyFont="1" applyFill="1" applyBorder="1" applyAlignment="1">
      <alignment horizontal="center" vertical="center"/>
    </xf>
    <xf numFmtId="0" fontId="6" fillId="6" borderId="12" xfId="4" applyFont="1" applyFill="1" applyBorder="1" applyAlignment="1">
      <alignment horizontal="center" vertical="center"/>
    </xf>
    <xf numFmtId="0" fontId="14" fillId="7" borderId="6" xfId="4" applyFont="1" applyFill="1" applyBorder="1" applyAlignment="1">
      <alignment horizontal="center" vertical="top" wrapText="1"/>
    </xf>
    <xf numFmtId="2" fontId="6" fillId="7" borderId="18" xfId="1" applyNumberFormat="1" applyFont="1" applyFill="1" applyBorder="1" applyAlignment="1">
      <alignment horizontal="center" vertical="top" wrapText="1"/>
    </xf>
    <xf numFmtId="2" fontId="6" fillId="7" borderId="19" xfId="1" applyNumberFormat="1" applyFont="1" applyFill="1" applyBorder="1" applyAlignment="1">
      <alignment horizontal="center" vertical="top" wrapText="1"/>
    </xf>
    <xf numFmtId="0" fontId="2" fillId="4" borderId="10" xfId="4" applyFont="1" applyFill="1" applyBorder="1" applyAlignment="1">
      <alignment horizontal="center" vertical="center"/>
    </xf>
    <xf numFmtId="0" fontId="6" fillId="7" borderId="8" xfId="4" applyFont="1" applyFill="1" applyBorder="1" applyAlignment="1">
      <alignment horizontal="center" vertical="center" textRotation="90"/>
    </xf>
    <xf numFmtId="0" fontId="2" fillId="4" borderId="18" xfId="4" applyFont="1" applyFill="1" applyBorder="1" applyAlignment="1">
      <alignment horizontal="center" vertical="center"/>
    </xf>
    <xf numFmtId="0" fontId="2" fillId="4" borderId="19" xfId="4" applyFont="1" applyFill="1" applyBorder="1" applyAlignment="1">
      <alignment horizontal="center" vertical="center"/>
    </xf>
    <xf numFmtId="0" fontId="2" fillId="4" borderId="34" xfId="4" applyFont="1" applyFill="1" applyBorder="1" applyAlignment="1">
      <alignment horizontal="center" vertical="center"/>
    </xf>
    <xf numFmtId="0" fontId="2" fillId="4" borderId="35" xfId="4" applyFont="1" applyFill="1" applyBorder="1" applyAlignment="1">
      <alignment horizontal="center" vertical="center"/>
    </xf>
    <xf numFmtId="0" fontId="6" fillId="7" borderId="40" xfId="4" applyFont="1" applyFill="1" applyBorder="1" applyAlignment="1">
      <alignment horizontal="center" vertical="center" textRotation="90"/>
    </xf>
    <xf numFmtId="0" fontId="6" fillId="7" borderId="41" xfId="4" applyFont="1" applyFill="1" applyBorder="1" applyAlignment="1">
      <alignment horizontal="center" vertical="center" textRotation="90"/>
    </xf>
    <xf numFmtId="0" fontId="6" fillId="7" borderId="42" xfId="4" applyFont="1" applyFill="1" applyBorder="1" applyAlignment="1">
      <alignment horizontal="center" vertical="center" textRotation="90"/>
    </xf>
    <xf numFmtId="0" fontId="31" fillId="33" borderId="61" xfId="0" applyFont="1" applyFill="1" applyBorder="1" applyAlignment="1">
      <alignment horizontal="center"/>
    </xf>
    <xf numFmtId="0" fontId="31" fillId="33" borderId="65" xfId="0" applyFont="1" applyFill="1" applyBorder="1" applyAlignment="1">
      <alignment horizontal="center"/>
    </xf>
    <xf numFmtId="0" fontId="31" fillId="33" borderId="55" xfId="0" applyFont="1" applyFill="1" applyBorder="1" applyAlignment="1">
      <alignment horizontal="center"/>
    </xf>
    <xf numFmtId="0" fontId="34" fillId="33" borderId="61" xfId="0" applyFont="1" applyFill="1" applyBorder="1" applyAlignment="1">
      <alignment horizontal="center"/>
    </xf>
    <xf numFmtId="0" fontId="34" fillId="33" borderId="65" xfId="0" applyFont="1" applyFill="1" applyBorder="1" applyAlignment="1">
      <alignment horizontal="center"/>
    </xf>
    <xf numFmtId="0" fontId="34" fillId="33" borderId="55" xfId="0" applyFont="1" applyFill="1" applyBorder="1" applyAlignment="1">
      <alignment horizontal="center"/>
    </xf>
    <xf numFmtId="0" fontId="0" fillId="28" borderId="61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6" fontId="0" fillId="7" borderId="60" xfId="5" applyNumberFormat="1" applyFont="1" applyFill="1" applyBorder="1" applyAlignment="1">
      <alignment vertical="center"/>
    </xf>
    <xf numFmtId="43" fontId="39" fillId="7" borderId="6" xfId="4" applyNumberFormat="1" applyFont="1" applyFill="1" applyBorder="1" applyAlignment="1">
      <alignment horizontal="center" vertical="top" wrapText="1"/>
    </xf>
    <xf numFmtId="0" fontId="39" fillId="7" borderId="6" xfId="4" applyFont="1" applyFill="1" applyBorder="1" applyAlignment="1">
      <alignment horizontal="center" vertical="top" wrapText="1"/>
    </xf>
    <xf numFmtId="0" fontId="2" fillId="37" borderId="52" xfId="4" quotePrefix="1" applyFont="1" applyFill="1" applyBorder="1" applyAlignment="1">
      <alignment horizontal="center" vertical="center" wrapText="1"/>
    </xf>
    <xf numFmtId="0" fontId="2" fillId="37" borderId="53" xfId="4" quotePrefix="1" applyFont="1" applyFill="1" applyBorder="1" applyAlignment="1">
      <alignment horizontal="center" vertical="center" wrapText="1"/>
    </xf>
    <xf numFmtId="0" fontId="2" fillId="25" borderId="37" xfId="4" applyFont="1" applyFill="1" applyBorder="1" applyAlignment="1">
      <alignment horizontal="center" vertical="center"/>
    </xf>
    <xf numFmtId="0" fontId="2" fillId="25" borderId="36" xfId="4" applyFont="1" applyFill="1" applyBorder="1" applyAlignment="1">
      <alignment horizontal="center" vertical="center"/>
    </xf>
    <xf numFmtId="0" fontId="2" fillId="25" borderId="34" xfId="4" applyFont="1" applyFill="1" applyBorder="1" applyAlignment="1">
      <alignment horizontal="center" vertical="center"/>
    </xf>
    <xf numFmtId="0" fontId="2" fillId="25" borderId="35" xfId="4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" fontId="2" fillId="37" borderId="43" xfId="4" quotePrefix="1" applyNumberFormat="1" applyFont="1" applyFill="1" applyBorder="1" applyAlignment="1">
      <alignment horizontal="center" vertical="center" wrapText="1"/>
    </xf>
    <xf numFmtId="0" fontId="2" fillId="37" borderId="43" xfId="4" applyFont="1" applyFill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top" wrapText="1"/>
    </xf>
    <xf numFmtId="0" fontId="6" fillId="0" borderId="17" xfId="4" applyFont="1" applyBorder="1" applyAlignment="1">
      <alignment horizontal="center" vertical="top" wrapText="1"/>
    </xf>
    <xf numFmtId="2" fontId="6" fillId="0" borderId="18" xfId="1" applyNumberFormat="1" applyFont="1" applyFill="1" applyBorder="1" applyAlignment="1">
      <alignment horizontal="center" vertical="top" wrapText="1"/>
    </xf>
    <xf numFmtId="2" fontId="6" fillId="0" borderId="19" xfId="1" applyNumberFormat="1" applyFont="1" applyFill="1" applyBorder="1" applyAlignment="1">
      <alignment horizontal="center" vertical="top" wrapText="1"/>
    </xf>
    <xf numFmtId="0" fontId="7" fillId="0" borderId="21" xfId="4" applyFont="1" applyBorder="1" applyAlignment="1">
      <alignment horizontal="center" vertical="center" wrapText="1"/>
    </xf>
    <xf numFmtId="0" fontId="7" fillId="0" borderId="22" xfId="4" applyFont="1" applyBorder="1" applyAlignment="1">
      <alignment horizontal="center" vertical="center" wrapText="1"/>
    </xf>
    <xf numFmtId="0" fontId="14" fillId="7" borderId="0" xfId="4" applyFont="1" applyFill="1" applyAlignment="1">
      <alignment horizontal="center" vertical="top" wrapText="1"/>
    </xf>
    <xf numFmtId="0" fontId="2" fillId="4" borderId="43" xfId="4" applyFont="1" applyFill="1" applyBorder="1" applyAlignment="1">
      <alignment horizontal="center" vertical="center"/>
    </xf>
    <xf numFmtId="0" fontId="2" fillId="4" borderId="37" xfId="4" applyFont="1" applyFill="1" applyBorder="1" applyAlignment="1">
      <alignment horizontal="center" vertical="center"/>
    </xf>
    <xf numFmtId="0" fontId="2" fillId="4" borderId="36" xfId="4" applyFont="1" applyFill="1" applyBorder="1" applyAlignment="1">
      <alignment horizontal="center" vertical="center"/>
    </xf>
    <xf numFmtId="0" fontId="2" fillId="4" borderId="13" xfId="4" applyFont="1" applyFill="1" applyBorder="1" applyAlignment="1">
      <alignment horizontal="center" vertical="center"/>
    </xf>
    <xf numFmtId="0" fontId="1" fillId="0" borderId="60" xfId="4" applyBorder="1" applyAlignment="1">
      <alignment vertical="center" wrapText="1"/>
    </xf>
    <xf numFmtId="0" fontId="6" fillId="7" borderId="16" xfId="4" quotePrefix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4" fillId="7" borderId="34" xfId="4" applyFont="1" applyFill="1" applyBorder="1" applyAlignment="1">
      <alignment horizontal="center" vertical="top" wrapText="1"/>
    </xf>
    <xf numFmtId="0" fontId="6" fillId="0" borderId="16" xfId="4" applyFont="1" applyBorder="1" applyAlignment="1">
      <alignment horizontal="center" vertical="center" wrapText="1"/>
    </xf>
    <xf numFmtId="0" fontId="6" fillId="0" borderId="17" xfId="4" applyFont="1" applyBorder="1" applyAlignment="1">
      <alignment horizontal="center" vertical="center" wrapText="1"/>
    </xf>
    <xf numFmtId="0" fontId="0" fillId="25" borderId="60" xfId="0" applyFill="1" applyBorder="1" applyAlignment="1">
      <alignment horizontal="center"/>
    </xf>
    <xf numFmtId="0" fontId="0" fillId="10" borderId="61" xfId="0" applyFill="1" applyBorder="1" applyAlignment="1">
      <alignment horizontal="center"/>
    </xf>
    <xf numFmtId="0" fontId="0" fillId="10" borderId="65" xfId="0" applyFill="1" applyBorder="1" applyAlignment="1">
      <alignment horizontal="center"/>
    </xf>
    <xf numFmtId="0" fontId="0" fillId="10" borderId="55" xfId="0" applyFill="1" applyBorder="1" applyAlignment="1">
      <alignment horizontal="center"/>
    </xf>
    <xf numFmtId="0" fontId="2" fillId="25" borderId="9" xfId="4" applyFont="1" applyFill="1" applyBorder="1" applyAlignment="1">
      <alignment horizontal="center" vertical="center"/>
    </xf>
    <xf numFmtId="0" fontId="2" fillId="25" borderId="11" xfId="4" applyFont="1" applyFill="1" applyBorder="1" applyAlignment="1">
      <alignment horizontal="center" vertical="center"/>
    </xf>
    <xf numFmtId="0" fontId="6" fillId="10" borderId="16" xfId="4" applyFont="1" applyFill="1" applyBorder="1" applyAlignment="1">
      <alignment horizontal="center" vertical="top" wrapText="1"/>
    </xf>
    <xf numFmtId="0" fontId="6" fillId="10" borderId="17" xfId="4" applyFont="1" applyFill="1" applyBorder="1" applyAlignment="1">
      <alignment horizontal="center" vertical="top" wrapText="1"/>
    </xf>
    <xf numFmtId="0" fontId="2" fillId="19" borderId="37" xfId="4" applyFont="1" applyFill="1" applyBorder="1" applyAlignment="1">
      <alignment horizontal="center" vertical="center"/>
    </xf>
    <xf numFmtId="0" fontId="2" fillId="19" borderId="36" xfId="4" applyFont="1" applyFill="1" applyBorder="1" applyAlignment="1">
      <alignment horizontal="center" vertical="center"/>
    </xf>
    <xf numFmtId="0" fontId="2" fillId="19" borderId="34" xfId="4" applyFont="1" applyFill="1" applyBorder="1" applyAlignment="1">
      <alignment horizontal="center" vertical="center"/>
    </xf>
    <xf numFmtId="0" fontId="2" fillId="19" borderId="35" xfId="4" applyFont="1" applyFill="1" applyBorder="1" applyAlignment="1">
      <alignment horizontal="center" vertical="center"/>
    </xf>
    <xf numFmtId="0" fontId="2" fillId="24" borderId="37" xfId="4" applyFont="1" applyFill="1" applyBorder="1" applyAlignment="1">
      <alignment horizontal="center" vertical="center"/>
    </xf>
    <xf numFmtId="0" fontId="2" fillId="24" borderId="36" xfId="4" applyFont="1" applyFill="1" applyBorder="1" applyAlignment="1">
      <alignment horizontal="center" vertical="center"/>
    </xf>
    <xf numFmtId="0" fontId="2" fillId="24" borderId="34" xfId="4" applyFont="1" applyFill="1" applyBorder="1" applyAlignment="1">
      <alignment horizontal="center" vertical="center"/>
    </xf>
    <xf numFmtId="0" fontId="2" fillId="24" borderId="35" xfId="4" applyFont="1" applyFill="1" applyBorder="1" applyAlignment="1">
      <alignment horizontal="center" vertical="center"/>
    </xf>
    <xf numFmtId="0" fontId="2" fillId="25" borderId="43" xfId="4" applyFont="1" applyFill="1" applyBorder="1" applyAlignment="1">
      <alignment horizontal="center" vertical="center"/>
    </xf>
    <xf numFmtId="0" fontId="2" fillId="39" borderId="37" xfId="4" applyFont="1" applyFill="1" applyBorder="1" applyAlignment="1">
      <alignment horizontal="center" vertical="center"/>
    </xf>
    <xf numFmtId="0" fontId="2" fillId="39" borderId="36" xfId="4" applyFont="1" applyFill="1" applyBorder="1" applyAlignment="1">
      <alignment horizontal="center" vertical="center"/>
    </xf>
    <xf numFmtId="0" fontId="2" fillId="39" borderId="34" xfId="4" applyFont="1" applyFill="1" applyBorder="1" applyAlignment="1">
      <alignment horizontal="center" vertical="center"/>
    </xf>
    <xf numFmtId="0" fontId="2" fillId="39" borderId="35" xfId="4" applyFont="1" applyFill="1" applyBorder="1" applyAlignment="1">
      <alignment horizontal="center" vertical="center"/>
    </xf>
    <xf numFmtId="0" fontId="2" fillId="28" borderId="37" xfId="4" applyFont="1" applyFill="1" applyBorder="1" applyAlignment="1">
      <alignment horizontal="center" vertical="center"/>
    </xf>
    <xf numFmtId="0" fontId="2" fillId="28" borderId="36" xfId="4" applyFont="1" applyFill="1" applyBorder="1" applyAlignment="1">
      <alignment horizontal="center" vertical="center"/>
    </xf>
    <xf numFmtId="0" fontId="2" fillId="28" borderId="34" xfId="4" applyFont="1" applyFill="1" applyBorder="1" applyAlignment="1">
      <alignment horizontal="center" vertical="center"/>
    </xf>
    <xf numFmtId="0" fontId="2" fillId="28" borderId="35" xfId="4" applyFont="1" applyFill="1" applyBorder="1" applyAlignment="1">
      <alignment horizontal="center" vertical="center"/>
    </xf>
    <xf numFmtId="0" fontId="2" fillId="25" borderId="6" xfId="0" applyFont="1" applyFill="1" applyBorder="1" applyAlignment="1">
      <alignment horizontal="center"/>
    </xf>
    <xf numFmtId="0" fontId="2" fillId="13" borderId="37" xfId="4" applyFont="1" applyFill="1" applyBorder="1" applyAlignment="1">
      <alignment horizontal="center" vertical="center"/>
    </xf>
    <xf numFmtId="0" fontId="2" fillId="13" borderId="36" xfId="4" applyFont="1" applyFill="1" applyBorder="1" applyAlignment="1">
      <alignment horizontal="center" vertical="center"/>
    </xf>
    <xf numFmtId="0" fontId="2" fillId="13" borderId="34" xfId="4" applyFont="1" applyFill="1" applyBorder="1" applyAlignment="1">
      <alignment horizontal="center" vertical="center"/>
    </xf>
    <xf numFmtId="0" fontId="2" fillId="13" borderId="35" xfId="4" applyFont="1" applyFill="1" applyBorder="1" applyAlignment="1">
      <alignment horizontal="center" vertical="center"/>
    </xf>
    <xf numFmtId="0" fontId="2" fillId="34" borderId="37" xfId="4" applyFont="1" applyFill="1" applyBorder="1" applyAlignment="1">
      <alignment horizontal="center" vertical="center"/>
    </xf>
    <xf numFmtId="0" fontId="2" fillId="34" borderId="36" xfId="4" applyFont="1" applyFill="1" applyBorder="1" applyAlignment="1">
      <alignment horizontal="center" vertical="center"/>
    </xf>
    <xf numFmtId="0" fontId="2" fillId="34" borderId="34" xfId="4" applyFont="1" applyFill="1" applyBorder="1" applyAlignment="1">
      <alignment horizontal="center" vertical="center"/>
    </xf>
    <xf numFmtId="0" fontId="2" fillId="34" borderId="35" xfId="4" applyFont="1" applyFill="1" applyBorder="1" applyAlignment="1">
      <alignment horizontal="center" vertical="center"/>
    </xf>
    <xf numFmtId="0" fontId="2" fillId="37" borderId="43" xfId="4" quotePrefix="1" applyFont="1" applyFill="1" applyBorder="1" applyAlignment="1">
      <alignment horizontal="center" vertical="center" wrapText="1"/>
    </xf>
    <xf numFmtId="0" fontId="2" fillId="10" borderId="43" xfId="4" quotePrefix="1" applyFont="1" applyFill="1" applyBorder="1" applyAlignment="1">
      <alignment horizontal="center" vertical="center" wrapText="1"/>
    </xf>
    <xf numFmtId="0" fontId="2" fillId="10" borderId="43" xfId="4" applyFont="1" applyFill="1" applyBorder="1" applyAlignment="1">
      <alignment horizontal="center" vertical="center" wrapText="1"/>
    </xf>
    <xf numFmtId="0" fontId="2" fillId="23" borderId="43" xfId="4" quotePrefix="1" applyFont="1" applyFill="1" applyBorder="1" applyAlignment="1">
      <alignment horizontal="center" vertical="center" wrapText="1"/>
    </xf>
    <xf numFmtId="0" fontId="2" fillId="23" borderId="43" xfId="4" applyFont="1" applyFill="1" applyBorder="1" applyAlignment="1">
      <alignment horizontal="center" vertical="center" wrapText="1"/>
    </xf>
    <xf numFmtId="0" fontId="2" fillId="13" borderId="43" xfId="4" quotePrefix="1" applyFont="1" applyFill="1" applyBorder="1" applyAlignment="1">
      <alignment horizontal="center" vertical="center" wrapText="1"/>
    </xf>
    <xf numFmtId="0" fontId="2" fillId="13" borderId="43" xfId="4" applyFont="1" applyFill="1" applyBorder="1" applyAlignment="1">
      <alignment horizontal="center" vertical="center" wrapText="1"/>
    </xf>
    <xf numFmtId="0" fontId="2" fillId="51" borderId="43" xfId="4" quotePrefix="1" applyFont="1" applyFill="1" applyBorder="1" applyAlignment="1">
      <alignment horizontal="center" vertical="center" wrapText="1"/>
    </xf>
    <xf numFmtId="0" fontId="2" fillId="51" borderId="43" xfId="4" applyFont="1" applyFill="1" applyBorder="1" applyAlignment="1">
      <alignment horizontal="center" vertical="center" wrapText="1"/>
    </xf>
    <xf numFmtId="0" fontId="2" fillId="35" borderId="52" xfId="4" applyFont="1" applyFill="1" applyBorder="1" applyAlignment="1">
      <alignment horizontal="center" vertical="center"/>
    </xf>
    <xf numFmtId="0" fontId="2" fillId="35" borderId="53" xfId="4" applyFont="1" applyFill="1" applyBorder="1" applyAlignment="1">
      <alignment horizontal="center" vertical="center"/>
    </xf>
    <xf numFmtId="0" fontId="2" fillId="36" borderId="43" xfId="4" applyFont="1" applyFill="1" applyBorder="1" applyAlignment="1">
      <alignment horizontal="center" vertical="center"/>
    </xf>
    <xf numFmtId="0" fontId="15" fillId="42" borderId="0" xfId="0" applyFont="1" applyFill="1" applyAlignment="1">
      <alignment horizontal="center"/>
    </xf>
    <xf numFmtId="0" fontId="2" fillId="10" borderId="52" xfId="4" quotePrefix="1" applyFont="1" applyFill="1" applyBorder="1" applyAlignment="1">
      <alignment horizontal="center" vertical="center" wrapText="1"/>
    </xf>
    <xf numFmtId="0" fontId="2" fillId="10" borderId="53" xfId="4" quotePrefix="1" applyFont="1" applyFill="1" applyBorder="1" applyAlignment="1">
      <alignment horizontal="center" vertical="center" wrapText="1"/>
    </xf>
    <xf numFmtId="0" fontId="2" fillId="51" borderId="52" xfId="4" quotePrefix="1" applyFont="1" applyFill="1" applyBorder="1" applyAlignment="1">
      <alignment horizontal="center" vertical="center" wrapText="1"/>
    </xf>
    <xf numFmtId="0" fontId="2" fillId="51" borderId="53" xfId="4" quotePrefix="1" applyFont="1" applyFill="1" applyBorder="1" applyAlignment="1">
      <alignment horizontal="center" vertical="center" wrapText="1"/>
    </xf>
    <xf numFmtId="0" fontId="2" fillId="34" borderId="52" xfId="4" quotePrefix="1" applyFont="1" applyFill="1" applyBorder="1" applyAlignment="1">
      <alignment horizontal="center" vertical="center" wrapText="1"/>
    </xf>
    <xf numFmtId="0" fontId="2" fillId="34" borderId="53" xfId="4" quotePrefix="1" applyFont="1" applyFill="1" applyBorder="1" applyAlignment="1">
      <alignment horizontal="center" vertical="center" wrapText="1"/>
    </xf>
    <xf numFmtId="0" fontId="2" fillId="23" borderId="52" xfId="4" quotePrefix="1" applyFont="1" applyFill="1" applyBorder="1" applyAlignment="1">
      <alignment horizontal="center" vertical="center" wrapText="1"/>
    </xf>
    <xf numFmtId="0" fontId="2" fillId="23" borderId="53" xfId="4" quotePrefix="1" applyFont="1" applyFill="1" applyBorder="1" applyAlignment="1">
      <alignment horizontal="center" vertical="center" wrapText="1"/>
    </xf>
    <xf numFmtId="0" fontId="2" fillId="36" borderId="52" xfId="4" applyFont="1" applyFill="1" applyBorder="1" applyAlignment="1">
      <alignment horizontal="center" vertical="center"/>
    </xf>
    <xf numFmtId="0" fontId="2" fillId="36" borderId="53" xfId="4" applyFont="1" applyFill="1" applyBorder="1" applyAlignment="1">
      <alignment horizontal="center" vertical="center"/>
    </xf>
    <xf numFmtId="0" fontId="32" fillId="42" borderId="43" xfId="4" quotePrefix="1" applyFont="1" applyFill="1" applyBorder="1" applyAlignment="1">
      <alignment horizontal="center" vertical="center" wrapText="1"/>
    </xf>
    <xf numFmtId="0" fontId="32" fillId="42" borderId="43" xfId="4" applyFont="1" applyFill="1" applyBorder="1" applyAlignment="1">
      <alignment horizontal="center" vertical="center" wrapText="1"/>
    </xf>
    <xf numFmtId="0" fontId="2" fillId="3" borderId="43" xfId="4" quotePrefix="1" applyFont="1" applyFill="1" applyBorder="1" applyAlignment="1">
      <alignment horizontal="center" vertical="center" wrapText="1"/>
    </xf>
    <xf numFmtId="0" fontId="2" fillId="3" borderId="43" xfId="4" applyFont="1" applyFill="1" applyBorder="1" applyAlignment="1">
      <alignment horizontal="center" vertical="center" wrapText="1"/>
    </xf>
    <xf numFmtId="0" fontId="2" fillId="41" borderId="37" xfId="4" applyFont="1" applyFill="1" applyBorder="1" applyAlignment="1">
      <alignment horizontal="center" vertical="center"/>
    </xf>
    <xf numFmtId="0" fontId="2" fillId="41" borderId="36" xfId="4" applyFont="1" applyFill="1" applyBorder="1" applyAlignment="1">
      <alignment horizontal="center" vertical="center"/>
    </xf>
    <xf numFmtId="0" fontId="2" fillId="41" borderId="34" xfId="4" applyFont="1" applyFill="1" applyBorder="1" applyAlignment="1">
      <alignment horizontal="center" vertical="center"/>
    </xf>
    <xf numFmtId="0" fontId="2" fillId="41" borderId="35" xfId="4" applyFont="1" applyFill="1" applyBorder="1" applyAlignment="1">
      <alignment horizontal="center" vertical="center"/>
    </xf>
    <xf numFmtId="0" fontId="32" fillId="42" borderId="37" xfId="4" quotePrefix="1" applyFont="1" applyFill="1" applyBorder="1" applyAlignment="1">
      <alignment horizontal="center" vertical="center" wrapText="1"/>
    </xf>
    <xf numFmtId="0" fontId="32" fillId="42" borderId="36" xfId="4" quotePrefix="1" applyFont="1" applyFill="1" applyBorder="1" applyAlignment="1">
      <alignment horizontal="center" vertical="center" wrapText="1"/>
    </xf>
    <xf numFmtId="0" fontId="32" fillId="42" borderId="34" xfId="4" quotePrefix="1" applyFont="1" applyFill="1" applyBorder="1" applyAlignment="1">
      <alignment horizontal="center" vertical="center" wrapText="1"/>
    </xf>
    <xf numFmtId="0" fontId="32" fillId="42" borderId="35" xfId="4" quotePrefix="1" applyFont="1" applyFill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37" borderId="53" xfId="4" applyFont="1" applyFill="1" applyBorder="1" applyAlignment="1">
      <alignment horizontal="center" vertical="center" wrapText="1"/>
    </xf>
    <xf numFmtId="0" fontId="6" fillId="7" borderId="3" xfId="4" applyFont="1" applyFill="1" applyBorder="1" applyAlignment="1">
      <alignment horizontal="center" vertical="top" wrapText="1"/>
    </xf>
    <xf numFmtId="2" fontId="6" fillId="7" borderId="0" xfId="1" applyNumberFormat="1" applyFont="1" applyFill="1" applyBorder="1" applyAlignment="1">
      <alignment horizontal="center" vertical="top" wrapText="1"/>
    </xf>
    <xf numFmtId="0" fontId="7" fillId="7" borderId="1" xfId="4" applyFont="1" applyFill="1" applyBorder="1" applyAlignment="1">
      <alignment horizontal="center" vertical="center" wrapText="1"/>
    </xf>
    <xf numFmtId="0" fontId="2" fillId="34" borderId="43" xfId="4" quotePrefix="1" applyFont="1" applyFill="1" applyBorder="1" applyAlignment="1">
      <alignment horizontal="center" vertical="center" wrapText="1"/>
    </xf>
    <xf numFmtId="0" fontId="2" fillId="34" borderId="43" xfId="4" applyFont="1" applyFill="1" applyBorder="1" applyAlignment="1">
      <alignment horizontal="center" vertical="center" wrapText="1"/>
    </xf>
    <xf numFmtId="0" fontId="1" fillId="0" borderId="16" xfId="4" applyBorder="1" applyAlignment="1">
      <alignment vertical="center" wrapText="1"/>
    </xf>
    <xf numFmtId="0" fontId="1" fillId="0" borderId="4" xfId="4" applyBorder="1" applyAlignment="1">
      <alignment vertical="center" wrapText="1"/>
    </xf>
    <xf numFmtId="0" fontId="1" fillId="0" borderId="18" xfId="4" applyBorder="1" applyAlignment="1">
      <alignment vertical="center" wrapText="1"/>
    </xf>
    <xf numFmtId="0" fontId="1" fillId="0" borderId="44" xfId="4" applyBorder="1" applyAlignment="1">
      <alignment vertical="center" wrapText="1"/>
    </xf>
    <xf numFmtId="0" fontId="1" fillId="0" borderId="21" xfId="4" applyBorder="1" applyAlignment="1">
      <alignment vertical="center" wrapText="1"/>
    </xf>
    <xf numFmtId="0" fontId="1" fillId="0" borderId="45" xfId="4" applyBorder="1" applyAlignment="1">
      <alignment vertical="center" wrapText="1"/>
    </xf>
    <xf numFmtId="0" fontId="2" fillId="13" borderId="52" xfId="4" quotePrefix="1" applyFont="1" applyFill="1" applyBorder="1" applyAlignment="1">
      <alignment horizontal="center" vertical="center" wrapText="1"/>
    </xf>
    <xf numFmtId="0" fontId="2" fillId="13" borderId="53" xfId="4" quotePrefix="1" applyFont="1" applyFill="1" applyBorder="1" applyAlignment="1">
      <alignment horizontal="center" vertical="center" wrapText="1"/>
    </xf>
    <xf numFmtId="0" fontId="36" fillId="22" borderId="0" xfId="0" applyFont="1" applyFill="1" applyAlignment="1">
      <alignment horizontal="center"/>
    </xf>
    <xf numFmtId="0" fontId="15" fillId="52" borderId="0" xfId="0" applyFont="1" applyFill="1" applyAlignment="1">
      <alignment horizontal="center"/>
    </xf>
    <xf numFmtId="0" fontId="2" fillId="40" borderId="43" xfId="4" quotePrefix="1" applyFont="1" applyFill="1" applyBorder="1" applyAlignment="1">
      <alignment horizontal="center" vertical="center" wrapText="1"/>
    </xf>
    <xf numFmtId="0" fontId="2" fillId="40" borderId="43" xfId="4" applyFont="1" applyFill="1" applyBorder="1" applyAlignment="1">
      <alignment horizontal="center" vertical="center" wrapText="1"/>
    </xf>
    <xf numFmtId="0" fontId="2" fillId="40" borderId="52" xfId="4" quotePrefix="1" applyFont="1" applyFill="1" applyBorder="1" applyAlignment="1">
      <alignment horizontal="center" vertical="center" wrapText="1"/>
    </xf>
    <xf numFmtId="0" fontId="2" fillId="40" borderId="53" xfId="4" quotePrefix="1" applyFont="1" applyFill="1" applyBorder="1" applyAlignment="1">
      <alignment horizontal="center" vertical="center" wrapText="1"/>
    </xf>
    <xf numFmtId="0" fontId="2" fillId="20" borderId="37" xfId="4" applyFont="1" applyFill="1" applyBorder="1" applyAlignment="1">
      <alignment horizontal="center" vertical="center"/>
    </xf>
    <xf numFmtId="0" fontId="2" fillId="20" borderId="36" xfId="4" applyFont="1" applyFill="1" applyBorder="1" applyAlignment="1">
      <alignment horizontal="center" vertical="center"/>
    </xf>
    <xf numFmtId="0" fontId="2" fillId="20" borderId="34" xfId="4" applyFont="1" applyFill="1" applyBorder="1" applyAlignment="1">
      <alignment horizontal="center" vertical="center"/>
    </xf>
    <xf numFmtId="0" fontId="2" fillId="20" borderId="35" xfId="4" applyFont="1" applyFill="1" applyBorder="1" applyAlignment="1">
      <alignment horizontal="center" vertical="center"/>
    </xf>
    <xf numFmtId="0" fontId="2" fillId="22" borderId="20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0" borderId="61" xfId="0" applyFont="1" applyFill="1" applyBorder="1" applyAlignment="1">
      <alignment horizontal="center" vertical="center"/>
    </xf>
    <xf numFmtId="0" fontId="2" fillId="20" borderId="55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12" borderId="60" xfId="0" applyFont="1" applyFill="1" applyBorder="1" applyAlignment="1">
      <alignment horizontal="center" vertical="center"/>
    </xf>
    <xf numFmtId="0" fontId="2" fillId="23" borderId="60" xfId="0" applyFont="1" applyFill="1" applyBorder="1" applyAlignment="1">
      <alignment horizontal="center" vertical="center"/>
    </xf>
    <xf numFmtId="0" fontId="2" fillId="22" borderId="61" xfId="0" applyFont="1" applyFill="1" applyBorder="1" applyAlignment="1">
      <alignment horizontal="center" vertical="center"/>
    </xf>
    <xf numFmtId="0" fontId="2" fillId="22" borderId="55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64" xfId="0" applyFill="1" applyBorder="1" applyAlignment="1">
      <alignment horizontal="center"/>
    </xf>
    <xf numFmtId="0" fontId="0" fillId="3" borderId="64" xfId="0" applyFill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31" borderId="60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8" fontId="10" fillId="30" borderId="20" xfId="3" applyNumberFormat="1" applyFont="1" applyFill="1" applyBorder="1" applyAlignment="1">
      <alignment horizontal="center"/>
    </xf>
    <xf numFmtId="168" fontId="10" fillId="30" borderId="1" xfId="3" applyNumberFormat="1" applyFont="1" applyFill="1" applyBorder="1" applyAlignment="1">
      <alignment horizontal="center"/>
    </xf>
    <xf numFmtId="168" fontId="10" fillId="30" borderId="45" xfId="3" applyNumberFormat="1" applyFont="1" applyFill="1" applyBorder="1" applyAlignment="1">
      <alignment horizontal="center"/>
    </xf>
    <xf numFmtId="0" fontId="0" fillId="20" borderId="64" xfId="0" applyFill="1" applyBorder="1" applyAlignment="1">
      <alignment horizontal="center" vertical="center"/>
    </xf>
    <xf numFmtId="0" fontId="0" fillId="20" borderId="63" xfId="0" applyFill="1" applyBorder="1" applyAlignment="1">
      <alignment horizontal="center" vertical="center"/>
    </xf>
    <xf numFmtId="0" fontId="0" fillId="20" borderId="62" xfId="0" applyFill="1" applyBorder="1" applyAlignment="1">
      <alignment horizontal="center" vertical="center"/>
    </xf>
    <xf numFmtId="0" fontId="0" fillId="18" borderId="61" xfId="0" applyFill="1" applyBorder="1" applyAlignment="1">
      <alignment horizontal="center" vertical="center"/>
    </xf>
    <xf numFmtId="181" fontId="10" fillId="30" borderId="20" xfId="3" applyNumberFormat="1" applyFont="1" applyFill="1" applyBorder="1" applyAlignment="1">
      <alignment horizontal="center"/>
    </xf>
    <xf numFmtId="181" fontId="10" fillId="30" borderId="1" xfId="3" applyNumberFormat="1" applyFont="1" applyFill="1" applyBorder="1" applyAlignment="1">
      <alignment horizontal="center"/>
    </xf>
    <xf numFmtId="181" fontId="10" fillId="30" borderId="45" xfId="3" applyNumberFormat="1" applyFont="1" applyFill="1" applyBorder="1" applyAlignment="1">
      <alignment horizontal="center"/>
    </xf>
    <xf numFmtId="0" fontId="2" fillId="21" borderId="52" xfId="0" applyFont="1" applyFill="1" applyBorder="1" applyAlignment="1">
      <alignment horizontal="center" vertical="center" wrapText="1"/>
    </xf>
    <xf numFmtId="0" fontId="2" fillId="21" borderId="53" xfId="0" applyFont="1" applyFill="1" applyBorder="1" applyAlignment="1">
      <alignment horizontal="center" vertical="center" wrapText="1"/>
    </xf>
    <xf numFmtId="0" fontId="5" fillId="21" borderId="18" xfId="0" applyFont="1" applyFill="1" applyBorder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43" fontId="2" fillId="17" borderId="19" xfId="1" applyNumberFormat="1" applyFont="1" applyFill="1" applyBorder="1" applyAlignment="1">
      <alignment horizontal="right" vertical="center"/>
    </xf>
  </cellXfs>
  <cellStyles count="8">
    <cellStyle name="Comma" xfId="1" builtinId="3"/>
    <cellStyle name="Comma [0] 2" xfId="7" xr:uid="{F280EE3E-CD07-49C9-BB93-4DE10607E157}"/>
    <cellStyle name="Comma 2 2" xfId="5" xr:uid="{00000000-0005-0000-0000-000001000000}"/>
    <cellStyle name="Currency" xfId="2" builtinId="4"/>
    <cellStyle name="Normal" xfId="0" builtinId="0"/>
    <cellStyle name="Normal 2 7" xfId="4" xr:uid="{00000000-0005-0000-0000-000004000000}"/>
    <cellStyle name="Percent" xfId="3" builtinId="5"/>
    <cellStyle name="Percent 2 2" xfId="6" xr:uid="{00000000-0005-0000-0000-000006000000}"/>
  </cellStyles>
  <dxfs count="8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fill>
        <patternFill patternType="solid">
          <fgColor indexed="64"/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66CC"/>
      <color rgb="FFFF9999"/>
      <color rgb="FF65FF7F"/>
      <color rgb="FFFFD1D1"/>
      <color rgb="FFAFFFBC"/>
      <color rgb="FF8ED0B2"/>
      <color rgb="FFFF4F4F"/>
      <color rgb="FFF59383"/>
      <color rgb="FFFDB7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13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Ryan/Ryan%20NEW/AOP%20&amp;%20LE/AOP%20&amp;%20LE%202019/LE%20III%20-%202019%20PNG%20Yu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Users/Sanusi/Documents/AOP%20BTL%20BUDGET%20AND%20ESTIMATION%202014%20-%20update%20per%2027nov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ales\2013\DAILY%20SALES\October\Daily%20Sales%20All%20Product1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indofood.sharepoint.com/Users/adnans/AppData/Local/Microsoft/Windows/Temporary%20Internet%20Files/Content.Outlook/DA4NJYC0/My%20Work/Folder/Folder%20Excel/LIST%20OF%20PROPOSED%20COSTUMER%20FOR%20TACTICAL%20AND%20GONDOLA%202013%20001.xlsx?3FCD35AF" TargetMode="External"/><Relationship Id="rId1" Type="http://schemas.openxmlformats.org/officeDocument/2006/relationships/externalLinkPath" Target="file:///\\3FCD35AF\LIST%20OF%20PROPOSED%20COSTUMER%20FOR%20TACTICAL%20AND%20GONDOLA%202013%200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MIDDLE%20EAST/JORDAN/SHIPMENT%20UPDATE/2018/Shipment%20Update%20Tasali%202018%20W31%20Pop%20Mie%20Reguler%20n%20Prom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Users/bahalwanm/AppData/Local/Microsoft/Windows/Temporary%20Internet%20Files/Content.Outlook/UJQFK7T0/Display%20%20Bonou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Users/dio.susanto/Desktop/P&amp;L%20AOP%20OMAN%202016-Alann%202016050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o.susanto/Desktop/P&amp;L%20AOP%20OMAN%202016-Alann%20201605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Users/BIA/Desktop/Delete_Profit%20&amp;%20Loss%20by%20Month_SVS%20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IA/Desktop/Delete_Profit%20&amp;%20Loss%20by%20Month_SVS%20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ofood.sharepoint.com/sites/JohnWiiShare/Shared%20Documents/NOODLE/STD%20Report.xlsx" TargetMode="External"/><Relationship Id="rId1" Type="http://schemas.openxmlformats.org/officeDocument/2006/relationships/externalLinkPath" Target="https://indofood.sharepoint.com/sites/JohnWiiShare/Shared%20Documents/NOODLE/STD%20Repor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ofood.sharepoint.com/sites/JohnWiiShare/Shared%20Documents/Monthly%20Report%20Project/6.%20Pricing/CAMBODIA%20-%20Pricing%20Structure%20-%20PMAL%20Vlok.xlsx" TargetMode="External"/><Relationship Id="rId1" Type="http://schemas.openxmlformats.org/officeDocument/2006/relationships/externalLinkPath" Target="https://indofood.sharepoint.com/sites/JohnWiiShare/Shared%20Documents/Monthly%20Report%20Project/6.%20Pricing/CAMBODIA%20-%20Pricing%20Structure%20-%20PMAL%20Vlok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ofood.sharepoint.com/sites/JohnWiiShare/Shared%20Documents/NOODLE/Pricing%20Update%2020231110/CAMBODIA%20-%20Pricing%20Structure%20-%20Breakdown%20By%20Month.xlsx" TargetMode="External"/><Relationship Id="rId1" Type="http://schemas.openxmlformats.org/officeDocument/2006/relationships/externalLinkPath" Target="https://indofood.sharepoint.com/sites/JohnWiiShare/Shared%20Documents/NOODLE/Pricing%20Update%2020231110/CAMBODIA%20-%20Pricing%20Structure%20-%20Breakdown%20By%20Month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sites/JohnWiiShare/Shared%20Documents/NOODLE/Data%20Backup%2020220427/CAMBODIA%20-%20Pricing%20Structure%20-%20Compare%202020%20v%202021%20-%20v211008%20-%206%25%20-%20Constant%20GP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Monthly%20Report%20Project/1.%20Noodle/1.%20Report/STD%20Repor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ofood.sharepoint.com/sites/JohnWiiShare/Shared%20Documents/NOODLE/Data%20Backup%2020220427/CAMBODIA%20-%20Pricing%20Structure%20Jan%202021%20-%20v21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 Vol"/>
      <sheetName val="Adjustment Vol+A&amp;P "/>
      <sheetName val="Volume"/>
      <sheetName val="Price and Discount"/>
      <sheetName val="A&amp;P"/>
      <sheetName val="List A&amp;P"/>
      <sheetName val="Pivot A&amp;P"/>
      <sheetName val="Product"/>
      <sheetName val="LE III - 2019 PNG Y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Yr Ach. + AOP'14"/>
      <sheetName val="AOP-2014 per 12oct2013"/>
      <sheetName val="budget HO 2014"/>
      <sheetName val="Local 2014 budget source"/>
      <sheetName val="Import 2014 budget source"/>
      <sheetName val="2014 budget source"/>
      <sheetName val="STT by channel-est aop 2014"/>
      <sheetName val="STT by channel-est LE 2013 "/>
      <sheetName val="BALANCE ORDER"/>
      <sheetName val="AOP 2013 by Flavor &amp; Month"/>
      <sheetName val="budget HO 2013"/>
      <sheetName val="all agreement"/>
      <sheetName val="panda trade term2013"/>
      <sheetName val="MATAJERtrade term2013"/>
      <sheetName val="ABU HARB"/>
      <sheetName val="KA-NKA 2011"/>
      <sheetName val="KA-NKA 2012"/>
      <sheetName val="KA-NKA 2013"/>
      <sheetName val="KA-NKA 2013 (2)"/>
      <sheetName val="display contract 2013sourcedata"/>
      <sheetName val="display contract 2013 all"/>
      <sheetName val="display contract 2013 cup"/>
      <sheetName val="Indomie Import Plan 2013 at RTI"/>
      <sheetName val="sum monthly free Pillow 2014"/>
      <sheetName val="MF Cup noodle"/>
      <sheetName val="Sheet1"/>
      <sheetName val="CONT-NKA-OCT"/>
      <sheetName val="CONTKA13-OCT"/>
      <sheetName val="AOP-2013per9oct2013"/>
      <sheetName val="2_Yr_Ach__+_AOP'141"/>
      <sheetName val="AOP-2014_per_12oct2013"/>
      <sheetName val="budget_HO_2014"/>
      <sheetName val="Local_2014_budget_source"/>
      <sheetName val="Import_2014_budget_source"/>
      <sheetName val="2014_budget_source"/>
      <sheetName val="STT_by_channel-est_aop_2014"/>
      <sheetName val="STT_by_channel-est_LE_2013_"/>
      <sheetName val="BALANCE_ORDER"/>
      <sheetName val="AOP_2013_by_Flavor_&amp;_Month"/>
      <sheetName val="budget_HO_2013"/>
      <sheetName val="all_agreement"/>
      <sheetName val="panda_trade_term2013"/>
      <sheetName val="MATAJERtrade_term2013"/>
      <sheetName val="ABU_HARB"/>
      <sheetName val="KA-NKA_2011"/>
      <sheetName val="KA-NKA_2012"/>
      <sheetName val="KA-NKA_2013"/>
      <sheetName val="KA-NKA_2013_(2)"/>
      <sheetName val="display_contract_2013sourcedata"/>
      <sheetName val="display_contract_2013_all"/>
      <sheetName val="display_contract_2013_cup"/>
      <sheetName val="Indomie_Import_Plan_2013_at_RTI"/>
      <sheetName val="sum_monthly_free_Pillow_2014"/>
      <sheetName val="MF_Cup_noodle"/>
      <sheetName val="2_Yr_Ach__+_AOP'14"/>
      <sheetName val="Regional_Sales"/>
      <sheetName val="DATA_CUSTOM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rod Prv Stock"/>
      <sheetName val=" Prod Stock In"/>
      <sheetName val="PAFL Prod (Sales)"/>
      <sheetName val="summary"/>
      <sheetName val="NON indomie Prod (Sales)"/>
      <sheetName val=" Prod Ending Balance(Stock)"/>
      <sheetName val="Qunfudah"/>
      <sheetName val="Gasim"/>
      <sheetName val="Baha"/>
      <sheetName val="Hufuf"/>
      <sheetName val="Khobar"/>
      <sheetName val="Riyadh"/>
      <sheetName val="Jubail"/>
      <sheetName val="Makkah"/>
      <sheetName val="Tabuk"/>
      <sheetName val="Khamis"/>
      <sheetName val="Madinah"/>
      <sheetName val="Jizan"/>
      <sheetName val="Hail"/>
      <sheetName val="Najran"/>
      <sheetName val="Taif"/>
      <sheetName val="Skaka"/>
      <sheetName val="Yanbu"/>
      <sheetName val="Bisha"/>
      <sheetName val="Hafer Batin"/>
      <sheetName val="Wadi Dawasir"/>
      <sheetName val="Dawadmi"/>
      <sheetName val="Jeddah"/>
      <sheetName val="Item Master Sheet"/>
      <sheetName val="by region"/>
      <sheetName val="Regional Sales"/>
      <sheetName val="_Prod_Prv_Stock"/>
      <sheetName val="_Prod_Stock_In"/>
      <sheetName val="PAFL_Prod_(Sales)"/>
      <sheetName val="NON_indomie_Prod_(Sales)"/>
      <sheetName val="_Prod_Ending_Balance(Stock)"/>
      <sheetName val="Hafer_Batin"/>
      <sheetName val="Wadi_Dawasir"/>
      <sheetName val="Item_Master_Sheet"/>
      <sheetName val="by_region"/>
      <sheetName val="Regional_Sales"/>
    </sheetNames>
    <sheetDataSet>
      <sheetData sheetId="0"/>
      <sheetData sheetId="1">
        <row r="2">
          <cell r="D2">
            <v>41578</v>
          </cell>
        </row>
      </sheetData>
      <sheetData sheetId="2"/>
      <sheetData sheetId="3"/>
      <sheetData sheetId="4"/>
      <sheetData sheetId="5"/>
      <sheetData sheetId="6">
        <row r="1">
          <cell r="D1" t="str">
            <v xml:space="preserve">Daily  Stock  Movement  Report  by  Product </v>
          </cell>
        </row>
      </sheetData>
      <sheetData sheetId="7">
        <row r="1">
          <cell r="C1" t="str">
            <v>Daily  Sto</v>
          </cell>
        </row>
      </sheetData>
      <sheetData sheetId="8">
        <row r="1">
          <cell r="C1" t="str">
            <v>Daily  Stock</v>
          </cell>
        </row>
      </sheetData>
      <sheetData sheetId="9">
        <row r="1">
          <cell r="C1" t="str">
            <v>Daily  Stock</v>
          </cell>
        </row>
      </sheetData>
      <sheetData sheetId="10">
        <row r="1">
          <cell r="C1" t="str">
            <v>Daily  Stock</v>
          </cell>
        </row>
      </sheetData>
      <sheetData sheetId="11">
        <row r="8">
          <cell r="B8">
            <v>1</v>
          </cell>
        </row>
      </sheetData>
      <sheetData sheetId="12">
        <row r="1">
          <cell r="C1" t="str">
            <v>Daily  Stock</v>
          </cell>
        </row>
      </sheetData>
      <sheetData sheetId="13">
        <row r="1">
          <cell r="C1" t="str">
            <v>Daily  Stock</v>
          </cell>
        </row>
      </sheetData>
      <sheetData sheetId="14">
        <row r="1">
          <cell r="C1" t="str">
            <v>Daily  Stock</v>
          </cell>
        </row>
      </sheetData>
      <sheetData sheetId="15">
        <row r="1">
          <cell r="C1" t="str">
            <v>Daily  Stock</v>
          </cell>
        </row>
      </sheetData>
      <sheetData sheetId="16">
        <row r="1">
          <cell r="C1" t="str">
            <v>Daily  Sto</v>
          </cell>
        </row>
      </sheetData>
      <sheetData sheetId="17">
        <row r="1">
          <cell r="C1" t="str">
            <v>Daily  Sto</v>
          </cell>
        </row>
      </sheetData>
      <sheetData sheetId="18">
        <row r="1">
          <cell r="C1" t="str">
            <v>Daily  Stock</v>
          </cell>
        </row>
      </sheetData>
      <sheetData sheetId="19">
        <row r="1">
          <cell r="B1" t="str">
            <v>Dai</v>
          </cell>
        </row>
      </sheetData>
      <sheetData sheetId="20">
        <row r="1">
          <cell r="C1" t="str">
            <v>Daily  St</v>
          </cell>
        </row>
      </sheetData>
      <sheetData sheetId="21">
        <row r="1">
          <cell r="C1" t="str">
            <v>Daily  Stock</v>
          </cell>
        </row>
      </sheetData>
      <sheetData sheetId="22">
        <row r="1">
          <cell r="C1" t="str">
            <v>Daily  Stock</v>
          </cell>
        </row>
      </sheetData>
      <sheetData sheetId="23">
        <row r="1">
          <cell r="C1" t="str">
            <v>Daily  Sto</v>
          </cell>
        </row>
      </sheetData>
      <sheetData sheetId="24">
        <row r="1">
          <cell r="C1" t="str">
            <v>Daily  Stock</v>
          </cell>
        </row>
      </sheetData>
      <sheetData sheetId="25">
        <row r="1">
          <cell r="B1" t="str">
            <v>Dai</v>
          </cell>
        </row>
      </sheetData>
      <sheetData sheetId="26">
        <row r="1">
          <cell r="C1" t="str">
            <v>Daily  Stock</v>
          </cell>
        </row>
      </sheetData>
      <sheetData sheetId="27">
        <row r="1">
          <cell r="A1">
            <v>1</v>
          </cell>
        </row>
      </sheetData>
      <sheetData sheetId="28">
        <row r="1">
          <cell r="A1" t="str">
            <v>ITEMNO</v>
          </cell>
        </row>
      </sheetData>
      <sheetData sheetId="29"/>
      <sheetData sheetId="30">
        <row r="1">
          <cell r="A1">
            <v>0</v>
          </cell>
        </row>
        <row r="22">
          <cell r="B22" t="str">
            <v>INDOMIE</v>
          </cell>
          <cell r="C22">
            <v>331780</v>
          </cell>
          <cell r="D22">
            <v>279807.56779999996</v>
          </cell>
          <cell r="E22">
            <v>16799</v>
          </cell>
          <cell r="F22">
            <v>89860.42</v>
          </cell>
          <cell r="G22">
            <v>11721.21</v>
          </cell>
          <cell r="H22">
            <v>35444.5</v>
          </cell>
          <cell r="I22">
            <v>22536.58</v>
          </cell>
          <cell r="J22">
            <v>42093.159999999996</v>
          </cell>
          <cell r="K22">
            <v>7384.03</v>
          </cell>
          <cell r="L22">
            <v>13607.960000000001</v>
          </cell>
          <cell r="M22">
            <v>16469</v>
          </cell>
          <cell r="N22">
            <v>57645.5</v>
          </cell>
          <cell r="O22">
            <v>19116.16</v>
          </cell>
          <cell r="P22">
            <v>27992.5</v>
          </cell>
          <cell r="Q22">
            <v>107798</v>
          </cell>
          <cell r="R22">
            <v>30476.5</v>
          </cell>
          <cell r="S22">
            <v>9116</v>
          </cell>
          <cell r="T22">
            <v>18657</v>
          </cell>
          <cell r="U22">
            <v>91008</v>
          </cell>
          <cell r="V22">
            <v>10624.5</v>
          </cell>
          <cell r="W22">
            <v>4935</v>
          </cell>
          <cell r="X22">
            <v>46254</v>
          </cell>
          <cell r="Y22">
            <v>1291126.5877999999</v>
          </cell>
          <cell r="Z22">
            <v>0.9315000494117377</v>
          </cell>
          <cell r="AA22" t="str">
            <v>INDOMIE (93%)</v>
          </cell>
        </row>
        <row r="23">
          <cell r="B23" t="str">
            <v>NON-INDOMIE</v>
          </cell>
          <cell r="C23">
            <v>23228</v>
          </cell>
          <cell r="D23">
            <v>22512.786699999997</v>
          </cell>
          <cell r="E23">
            <v>2037.8899999999999</v>
          </cell>
          <cell r="F23">
            <v>8830.57</v>
          </cell>
          <cell r="G23">
            <v>1185.83</v>
          </cell>
          <cell r="H23">
            <v>1787.93</v>
          </cell>
          <cell r="I23">
            <v>1600.95</v>
          </cell>
          <cell r="J23">
            <v>2303.94</v>
          </cell>
          <cell r="K23">
            <v>1197.3399999999999</v>
          </cell>
          <cell r="L23">
            <v>1026.9000000000001</v>
          </cell>
          <cell r="M23">
            <v>1507.04</v>
          </cell>
          <cell r="N23">
            <v>3589.75</v>
          </cell>
          <cell r="O23">
            <v>1316.88</v>
          </cell>
          <cell r="P23">
            <v>1475.51</v>
          </cell>
          <cell r="Q23">
            <v>7781.32</v>
          </cell>
          <cell r="R23">
            <v>2150.15</v>
          </cell>
          <cell r="S23">
            <v>851.02</v>
          </cell>
          <cell r="T23">
            <v>1092.48</v>
          </cell>
          <cell r="U23">
            <v>3689</v>
          </cell>
          <cell r="V23">
            <v>1097.83</v>
          </cell>
          <cell r="W23">
            <v>448.33</v>
          </cell>
          <cell r="X23">
            <v>4234.45</v>
          </cell>
          <cell r="Y23">
            <v>94945.896699999968</v>
          </cell>
          <cell r="Z23">
            <v>6.8499950588262318E-2</v>
          </cell>
          <cell r="AA23" t="str">
            <v>NON-INDOMIE (7%)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 xml:space="preserve"> (0%)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 xml:space="preserve"> (0%)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 xml:space="preserve"> (0%)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B"/>
      <sheetName val="GD "/>
      <sheetName val="GD"/>
      <sheetName val="Customer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Inv"/>
      <sheetName val="byWeek"/>
      <sheetName val="byMth"/>
      <sheetName val="AOP"/>
      <sheetName val="BalbyPO"/>
      <sheetName val="Flv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KAKA"/>
      <sheetName val="DATA CUSTOMERS"/>
      <sheetName val="AR'AR"/>
      <sheetName val="QURAYAT"/>
      <sheetName val="AR'AR (2)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"/>
      <sheetName val="OMN"/>
      <sheetName val="OMN (2)"/>
      <sheetName val="OMN-"/>
      <sheetName val="OMN- (2)"/>
      <sheetName val="OrderMonitoring_Weekly (2)"/>
      <sheetName val="OrderMonitoring_Monthly (2)"/>
      <sheetName val="STD&amp;STT_weekly (2)"/>
      <sheetName val="STD&amp;STT_Monthly (2)"/>
      <sheetName val="AOP"/>
      <sheetName val="AOP (2)"/>
      <sheetName val="LE (2)"/>
      <sheetName val="AOP vs LE (2)"/>
      <sheetName val="STD&amp;STT_weekly"/>
      <sheetName val="STD&amp;STT_Monthly"/>
      <sheetName val="OrderMonitoring_Weekly"/>
      <sheetName val="OrderMonitoring_Monthly"/>
      <sheetName val="LE"/>
      <sheetName val="AOP vs LE"/>
      <sheetName val="TravEx AOP"/>
      <sheetName val="TravEx LE"/>
      <sheetName val="List"/>
      <sheetName val="A&amp;PData"/>
      <sheetName val="ByBrand&amp;Activity AOP"/>
      <sheetName val="ByBrand&amp;Activit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3">
          <cell r="C13" t="str">
            <v>Indomie</v>
          </cell>
        </row>
        <row r="14">
          <cell r="C14" t="str">
            <v>Supermi</v>
          </cell>
        </row>
        <row r="15">
          <cell r="C15" t="str">
            <v>Sarimi</v>
          </cell>
        </row>
        <row r="16">
          <cell r="C16" t="str">
            <v>Indofood</v>
          </cell>
        </row>
        <row r="17">
          <cell r="C17" t="str">
            <v>Pop Mie</v>
          </cell>
        </row>
        <row r="18">
          <cell r="C18" t="str">
            <v>ALL</v>
          </cell>
        </row>
      </sheetData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"/>
      <sheetName val="OMN"/>
      <sheetName val="OMN (2)"/>
      <sheetName val="OMN-"/>
      <sheetName val="OMN- (2)"/>
      <sheetName val="OrderMonitoring_Weekly (2)"/>
      <sheetName val="OrderMonitoring_Monthly (2)"/>
      <sheetName val="STD&amp;STT_weekly (2)"/>
      <sheetName val="STD&amp;STT_Monthly (2)"/>
      <sheetName val="AOP"/>
      <sheetName val="AOP (2)"/>
      <sheetName val="LE (2)"/>
      <sheetName val="AOP vs LE (2)"/>
      <sheetName val="STD&amp;STT_weekly"/>
      <sheetName val="STD&amp;STT_Monthly"/>
      <sheetName val="OrderMonitoring_Weekly"/>
      <sheetName val="OrderMonitoring_Monthly"/>
      <sheetName val="LE"/>
      <sheetName val="AOP vs LE"/>
      <sheetName val="TravEx AOP"/>
      <sheetName val="TravEx LE"/>
      <sheetName val="List"/>
      <sheetName val="A&amp;PData"/>
      <sheetName val="ByBrand&amp;Activity AOP"/>
      <sheetName val="ByBrand&amp;Activit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"/>
      <sheetName val="SVS"/>
      <sheetName val="SVS-"/>
      <sheetName val="STD&amp;STT_weekly"/>
      <sheetName val="STD&amp;STT_Monthly"/>
      <sheetName val="FORECAST"/>
      <sheetName val="OrderMonitoring (Forecast)"/>
      <sheetName val="OrderMonitoring_Weekly"/>
      <sheetName val="OrderMonitoring_Monthly"/>
      <sheetName val="AOP"/>
      <sheetName val="LE"/>
      <sheetName val="AOP vs LE"/>
      <sheetName val="TravEx AOP"/>
      <sheetName val="TravEx LE"/>
      <sheetName val="List"/>
      <sheetName val="A&amp;PData"/>
      <sheetName val="ByBrand&amp;Activity AOP"/>
      <sheetName val="ByBrand&amp;Activity LE"/>
      <sheetName val="Nood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3">
          <cell r="A13" t="str">
            <v>01. Television Airtime</v>
          </cell>
        </row>
        <row r="14">
          <cell r="A14" t="str">
            <v>02. Radio Airtime</v>
          </cell>
        </row>
        <row r="15">
          <cell r="A15" t="str">
            <v>03. Newspaper Space</v>
          </cell>
        </row>
        <row r="16">
          <cell r="A16" t="str">
            <v>04. Magazine Space</v>
          </cell>
        </row>
        <row r="17">
          <cell r="A17" t="str">
            <v>05. Outdoor Space - Tax (Billboard)</v>
          </cell>
        </row>
        <row r="18">
          <cell r="A18" t="str">
            <v>06. POS Material</v>
          </cell>
        </row>
        <row r="19">
          <cell r="A19" t="str">
            <v>07. Literature/ Brochure/Mailer</v>
          </cell>
        </row>
        <row r="20">
          <cell r="A20" t="str">
            <v>08. Media Others</v>
          </cell>
        </row>
        <row r="21">
          <cell r="A21" t="str">
            <v>01. Television Production Cost</v>
          </cell>
        </row>
        <row r="22">
          <cell r="A22" t="str">
            <v>02. Radio Production Cost</v>
          </cell>
        </row>
        <row r="23">
          <cell r="A23" t="str">
            <v>03. Newspaper Production Cost</v>
          </cell>
        </row>
        <row r="24">
          <cell r="A24" t="str">
            <v>04. Magazine Production Cost</v>
          </cell>
        </row>
        <row r="25">
          <cell r="A25" t="str">
            <v>05. Outdoor Production Cost</v>
          </cell>
        </row>
        <row r="26">
          <cell r="A26" t="str">
            <v>06. POS Material Production Cost</v>
          </cell>
        </row>
        <row r="27">
          <cell r="A27" t="str">
            <v>07. Literature/ Brochure/Mailer Production Cost</v>
          </cell>
        </row>
        <row r="28">
          <cell r="A28" t="str">
            <v>08. Others</v>
          </cell>
        </row>
        <row r="29">
          <cell r="A29" t="str">
            <v>01. Sampling / Cooking Demos</v>
          </cell>
        </row>
        <row r="30">
          <cell r="A30" t="str">
            <v>02. Bonus Product</v>
          </cell>
        </row>
        <row r="31">
          <cell r="A31" t="str">
            <v>03. Price Off</v>
          </cell>
        </row>
        <row r="32">
          <cell r="A32" t="str">
            <v>04. Premium</v>
          </cell>
        </row>
        <row r="33">
          <cell r="A33" t="str">
            <v>05. Game / Lottery</v>
          </cell>
        </row>
        <row r="34">
          <cell r="A34" t="str">
            <v>06. Others</v>
          </cell>
        </row>
        <row r="35">
          <cell r="A35" t="str">
            <v>01. Quantity Discount</v>
          </cell>
        </row>
        <row r="36">
          <cell r="A36" t="str">
            <v>02. Display Expenses</v>
          </cell>
        </row>
        <row r="37">
          <cell r="A37" t="str">
            <v>03. Cooperative Advertising</v>
          </cell>
        </row>
        <row r="38">
          <cell r="A38" t="str">
            <v>04. Cooperative Promotion</v>
          </cell>
        </row>
        <row r="39">
          <cell r="A39" t="str">
            <v>05. Prized/Awards/Giveways</v>
          </cell>
        </row>
        <row r="40">
          <cell r="A40" t="str">
            <v>06. Van Subsidi</v>
          </cell>
        </row>
        <row r="41">
          <cell r="A41" t="str">
            <v>07. Price Off</v>
          </cell>
        </row>
        <row r="42">
          <cell r="A42" t="str">
            <v>01. Sponsorship</v>
          </cell>
        </row>
        <row r="43">
          <cell r="A43" t="str">
            <v>02. Show / Exhibition</v>
          </cell>
        </row>
        <row r="44">
          <cell r="A44" t="str">
            <v>03. Product Samples</v>
          </cell>
        </row>
        <row r="45">
          <cell r="A45" t="str">
            <v>04. Sales Promotion Girls</v>
          </cell>
        </row>
        <row r="46">
          <cell r="A46" t="str">
            <v>05. Others - Marketing Operational Expense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"/>
      <sheetName val="SVS"/>
      <sheetName val="SVS-"/>
      <sheetName val="STD&amp;STT_weekly"/>
      <sheetName val="STD&amp;STT_Monthly"/>
      <sheetName val="FORECAST"/>
      <sheetName val="OrderMonitoring (Forecast)"/>
      <sheetName val="OrderMonitoring_Weekly"/>
      <sheetName val="OrderMonitoring_Monthly"/>
      <sheetName val="AOP"/>
      <sheetName val="LE"/>
      <sheetName val="AOP vs LE"/>
      <sheetName val="TravEx AOP"/>
      <sheetName val="TravEx LE"/>
      <sheetName val="List"/>
      <sheetName val="A&amp;PData"/>
      <sheetName val="ByBrand&amp;Activity AOP"/>
      <sheetName val="ByBrand&amp;Activity LE"/>
      <sheetName val="Nood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b0zQ55BiUWSThr42rdcwdAijFqJoU9BhvSAOn2KzZvQVelTkRUlRIuJTaCoHGRZ" itemId="01PESQM5IVAPSVZJWHKRDJ7PWDXCWO4RNC">
      <xxl21:absoluteUrl r:id="rId2"/>
    </xxl21:alternateUrls>
    <sheetNames>
      <sheetName val="School details - sent in Eng 1"/>
      <sheetName val="Area with scribbles for PTS"/>
      <sheetName val="SKU Contribution"/>
      <sheetName val="Month Reference"/>
      <sheetName val="Weekly - Actual"/>
      <sheetName val="Weekly (2)"/>
      <sheetName val="Sheet3"/>
      <sheetName val="Weekly (3)"/>
      <sheetName val="TP &amp; MF (2)"/>
      <sheetName val="STT AOP"/>
      <sheetName val="AOP Internal"/>
      <sheetName val="Pivot Raw Data"/>
      <sheetName val="Format Shipment PKS"/>
      <sheetName val="Weekly"/>
      <sheetName val="Raw Data"/>
      <sheetName val="Daily Inventory Monitoring"/>
      <sheetName val="Weekly for 5.5mio"/>
      <sheetName val="Inventory Monitoring Incoming"/>
      <sheetName val="Monthly"/>
      <sheetName val="Sheet1"/>
      <sheetName val="Sheet2"/>
      <sheetName val="STT with 5 mio"/>
      <sheetName val="STT for 5.5mio"/>
      <sheetName val="Monthly Analysis"/>
      <sheetName val="TP &amp; MF"/>
      <sheetName val="STD&amp;STT_monthly"/>
      <sheetName val="Flavor Contr"/>
      <sheetName val="STD&amp;STT A&amp;P &amp; Val"/>
      <sheetName val="Sheet4"/>
      <sheetName val="P&amp;L"/>
      <sheetName val="P&amp;L (2)"/>
      <sheetName val="P&amp;L (3)"/>
      <sheetName val="P&amp;L (4)"/>
      <sheetName val="Price Discount Reference"/>
      <sheetName val="WK"/>
      <sheetName val="STT code 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32">
          <cell r="WS232">
            <v>40036</v>
          </cell>
          <cell r="WT232">
            <v>165695</v>
          </cell>
          <cell r="WU232">
            <v>57364</v>
          </cell>
          <cell r="WV232">
            <v>80058</v>
          </cell>
          <cell r="WW232">
            <v>132780</v>
          </cell>
          <cell r="WX232">
            <v>246726</v>
          </cell>
          <cell r="WY232">
            <v>118490</v>
          </cell>
          <cell r="WZ232">
            <v>150006</v>
          </cell>
          <cell r="XA232">
            <v>315089</v>
          </cell>
          <cell r="XB232">
            <v>96120</v>
          </cell>
          <cell r="XC232">
            <v>166907</v>
          </cell>
          <cell r="XD232">
            <v>287909</v>
          </cell>
          <cell r="XE232">
            <v>369225</v>
          </cell>
          <cell r="XF232">
            <v>53072</v>
          </cell>
          <cell r="XG232">
            <v>296806</v>
          </cell>
          <cell r="XH232">
            <v>231719</v>
          </cell>
          <cell r="XI232">
            <v>144025</v>
          </cell>
          <cell r="XJ232">
            <v>256046</v>
          </cell>
          <cell r="XK232">
            <v>45800</v>
          </cell>
          <cell r="XL232">
            <v>157307</v>
          </cell>
          <cell r="XM232">
            <v>182509</v>
          </cell>
          <cell r="XN232">
            <v>76451</v>
          </cell>
          <cell r="XO232">
            <v>141813</v>
          </cell>
          <cell r="XP232">
            <v>157957</v>
          </cell>
          <cell r="XQ232">
            <v>164401</v>
          </cell>
          <cell r="XR232">
            <v>52960</v>
          </cell>
          <cell r="XS232">
            <v>175523</v>
          </cell>
          <cell r="XT232">
            <v>42190</v>
          </cell>
          <cell r="XU232">
            <v>114665</v>
          </cell>
          <cell r="XV232">
            <v>92386</v>
          </cell>
          <cell r="XW232">
            <v>60430</v>
          </cell>
          <cell r="XX232">
            <v>165270</v>
          </cell>
          <cell r="XY232">
            <v>69637</v>
          </cell>
          <cell r="XZ232">
            <v>252126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 Structure"/>
      <sheetName val="All SKU Pricing Structure"/>
      <sheetName val="P&amp;L by Ctn"/>
      <sheetName val="P&amp;L TOTAL 150"/>
      <sheetName val="P&amp;L TOTAL"/>
      <sheetName val="P&amp;L TOTAL &lt;150"/>
      <sheetName val="STT STD - By SKU 150"/>
      <sheetName val="Trading Term Summary"/>
      <sheetName val="STT STD - By Province"/>
      <sheetName val="STT STD - By SKU &lt;150"/>
      <sheetName val="STT STD - By SKU By Province"/>
      <sheetName val="COGS Comparison"/>
      <sheetName val="PMAD PGAG CGSS ex"/>
      <sheetName val="Pricing Structure - GSS"/>
      <sheetName val="Pricing Structure - IIP (2)"/>
      <sheetName val="Pricing Structure - IIP"/>
      <sheetName val="Pricing Structure - All SKU"/>
      <sheetName val="Pricing Structure - IHAG"/>
      <sheetName val="Pricing Structure - GPD GRS"/>
      <sheetName val="Sheet1"/>
      <sheetName val="Pricing Structure - PMAP"/>
      <sheetName val="Pricing Structure - PGAG"/>
      <sheetName val="Pricing Structure - PMAD"/>
      <sheetName val="Pricing Structure - PMAJ"/>
      <sheetName val="Pricing Structure - PMAJ "/>
      <sheetName val="Pricing Structure - TORI MISO"/>
      <sheetName val="Sales Volume"/>
      <sheetName val="Pricing Structure - GSS - FS"/>
      <sheetName val="Pricing Structure - IHAG - FS"/>
      <sheetName val="P&amp;L 130mio"/>
      <sheetName val="Pricing &amp; Profitability By SKU"/>
      <sheetName val="Pricing &amp; Profitability - New"/>
      <sheetName val="P&amp;L - Current v Proposed"/>
      <sheetName val="P&amp;L - Current v Proposed (New)"/>
      <sheetName val="Distributor Profitability"/>
      <sheetName val="Regular Promotion &amp; GP Summary"/>
      <sheetName val="CAMBODIA - Pricing Structure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6">
          <cell r="O86">
            <v>14329</v>
          </cell>
          <cell r="U86">
            <v>14353</v>
          </cell>
          <cell r="W86">
            <v>14347</v>
          </cell>
          <cell r="Y86">
            <v>14367</v>
          </cell>
          <cell r="AA86">
            <v>14617</v>
          </cell>
          <cell r="AC86">
            <v>14673</v>
          </cell>
          <cell r="AE86">
            <v>14979</v>
          </cell>
          <cell r="AG86">
            <v>14853</v>
          </cell>
          <cell r="AI86">
            <v>15037</v>
          </cell>
          <cell r="AK86">
            <v>15418</v>
          </cell>
          <cell r="AM86">
            <v>15645</v>
          </cell>
          <cell r="AO86">
            <v>15623</v>
          </cell>
          <cell r="AQ86">
            <v>15331</v>
          </cell>
          <cell r="AS86">
            <v>15091</v>
          </cell>
          <cell r="AU86">
            <v>15275</v>
          </cell>
          <cell r="AW86">
            <v>14857</v>
          </cell>
          <cell r="AY86">
            <v>14781</v>
          </cell>
          <cell r="BA86">
            <v>14931</v>
          </cell>
          <cell r="BC86">
            <v>15024</v>
          </cell>
          <cell r="BE86">
            <v>15236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8">
          <cell r="P8">
            <v>167064</v>
          </cell>
          <cell r="Q8">
            <v>110580</v>
          </cell>
          <cell r="R8">
            <v>0</v>
          </cell>
          <cell r="S8">
            <v>53136</v>
          </cell>
          <cell r="T8">
            <v>0</v>
          </cell>
          <cell r="U8">
            <v>60312</v>
          </cell>
          <cell r="V8">
            <v>0</v>
          </cell>
          <cell r="W8">
            <v>0</v>
          </cell>
          <cell r="X8">
            <v>117252</v>
          </cell>
          <cell r="Y8">
            <v>59640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 Structure"/>
      <sheetName val="All SKU Pricing Structure"/>
      <sheetName val="Pricing Structure Compile All"/>
      <sheetName val="Summary"/>
      <sheetName val="Pricing Structure - All SKU"/>
      <sheetName val="P&amp;L by Ctn"/>
      <sheetName val="P&amp;L TOTAL 150"/>
      <sheetName val="P&amp;L TOTAL"/>
      <sheetName val="P&amp;L TOTAL &lt;150"/>
      <sheetName val="STT STD - By SKU 150"/>
      <sheetName val="Trading Term Summary"/>
      <sheetName val="STT STD - By Province"/>
      <sheetName val="STT STD - By SKU &lt;150"/>
      <sheetName val="STT STD - By SKU By Province"/>
      <sheetName val="COGS Comparison"/>
      <sheetName val="Pricing Structure - GSS"/>
      <sheetName val="Pricing Structure - IIP (2)"/>
      <sheetName val="Pricing Structure - IIP"/>
      <sheetName val="Pricing Structure - IHAG"/>
      <sheetName val="Pricing Structure - GRS"/>
      <sheetName val="Pricing Structure - CGSS"/>
      <sheetName val="Pricing Structure - PMAD"/>
      <sheetName val="Pricing Structure - PMAJ"/>
      <sheetName val="Pricing Structure - TORI MISO"/>
      <sheetName val="Sales Volume"/>
      <sheetName val="Pricing Structure - GSS - FS"/>
      <sheetName val="Pricing Structure - IHAG - FS"/>
      <sheetName val="P&amp;L 130mio"/>
      <sheetName val="Pricing &amp; Profitability By SKU"/>
      <sheetName val="Pricing &amp; Profitability - New"/>
      <sheetName val="P&amp;L - Current v Proposed"/>
      <sheetName val="P&amp;L - Current v Proposed (New)"/>
      <sheetName val="Distributor Profitability"/>
      <sheetName val="Regular Promotion &amp; GP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Structure"/>
      <sheetName val="All SKU Pricing Structure"/>
      <sheetName val="Pricing Structure - Old v New"/>
      <sheetName val="Pricing &amp; Profitability By SKU"/>
      <sheetName val="P&amp;L - Current v Proposed"/>
      <sheetName val="Regular Promotion &amp; GP Summary"/>
    </sheetNames>
    <sheetDataSet>
      <sheetData sheetId="0"/>
      <sheetData sheetId="1"/>
      <sheetData sheetId="2"/>
      <sheetData sheetId="3"/>
      <sheetData sheetId="4">
        <row r="7">
          <cell r="K7">
            <v>693228.72190629132</v>
          </cell>
        </row>
        <row r="8">
          <cell r="K8">
            <v>656848.07854908332</v>
          </cell>
        </row>
        <row r="9">
          <cell r="K9">
            <v>654122.71610351466</v>
          </cell>
        </row>
        <row r="10">
          <cell r="K10">
            <v>2725.3624455686659</v>
          </cell>
        </row>
        <row r="11">
          <cell r="K11">
            <v>641611.4653333337</v>
          </cell>
        </row>
        <row r="12">
          <cell r="K12">
            <v>487790.12833333341</v>
          </cell>
        </row>
        <row r="13">
          <cell r="K13">
            <v>153821.33700000006</v>
          </cell>
        </row>
        <row r="14">
          <cell r="K14">
            <v>0</v>
          </cell>
        </row>
        <row r="15">
          <cell r="K15">
            <v>-638886.10288776504</v>
          </cell>
        </row>
        <row r="16">
          <cell r="K16">
            <v>0</v>
          </cell>
        </row>
        <row r="17">
          <cell r="K17">
            <v>-638886.10288776504</v>
          </cell>
        </row>
      </sheetData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ool details - sent in Eng 1"/>
      <sheetName val="Area with scribbles for PTS"/>
      <sheetName val="SKU Contribution"/>
      <sheetName val="Month Reference"/>
      <sheetName val="Weekly"/>
      <sheetName val="Weekly - Actual"/>
      <sheetName val="Weekly (2)"/>
      <sheetName val="Sheet3"/>
      <sheetName val="Sheet6"/>
      <sheetName val="Sheet7"/>
      <sheetName val="Monthly"/>
      <sheetName val="Raw Data"/>
      <sheetName val="Sheet1"/>
      <sheetName val="Shipment_Arrival_Pivot"/>
      <sheetName val="Pivot Raw Data"/>
      <sheetName val="Sheet2"/>
      <sheetName val="Sheet4"/>
      <sheetName val="Pivot Raw Data (2)"/>
      <sheetName val="Sheet5"/>
      <sheetName val="STD&amp;STT A&amp;P &amp; Val"/>
      <sheetName val="STD&amp;STT_monthly"/>
      <sheetName val="Price Discount Reference"/>
      <sheetName val="P&amp;L"/>
      <sheetName val="P&amp;L (2)"/>
      <sheetName val="P&amp;L (3)"/>
      <sheetName val="P&amp;L (4)"/>
      <sheetName val="STT code reference"/>
      <sheetName val="WK"/>
      <sheetName val="STD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26">
          <cell r="P226">
            <v>1131119.0499999998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Structure"/>
      <sheetName val="All SKU Pricing Structure"/>
      <sheetName val="IHAG PS (7.8)"/>
      <sheetName val="IHAG PS (8)"/>
      <sheetName val="IHAG PS (8.2)"/>
      <sheetName val="Distributor Profitability"/>
    </sheetNames>
    <sheetDataSet>
      <sheetData sheetId="0"/>
      <sheetData sheetId="1">
        <row r="48">
          <cell r="G48">
            <v>0.4</v>
          </cell>
          <cell r="I48">
            <v>0.4</v>
          </cell>
          <cell r="K48">
            <v>0.4</v>
          </cell>
        </row>
        <row r="82">
          <cell r="G82">
            <v>1</v>
          </cell>
          <cell r="I82">
            <v>0.75</v>
          </cell>
          <cell r="K82">
            <v>0</v>
          </cell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urence Thalia" id="{C9FC775E-193D-4311-BFEE-2E4725E3D6B4}" userId="S::Laurence.Thalia@indofoodglobal.com::a556f50b-6f67-4bec-adfe-a55ca4dd404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D4C86-298B-485E-AA42-25FF5963D3FE}" name="Table4" displayName="Table4" ref="K51:L58" totalsRowShown="0" headerRowDxfId="84" headerRowBorderDxfId="83" tableBorderDxfId="82" totalsRowBorderDxfId="81">
  <autoFilter ref="K51:L58" xr:uid="{06E137E2-C878-4625-ABF9-826568909ED7}"/>
  <tableColumns count="2">
    <tableColumn id="1" xr3:uid="{BE78D3CD-2884-4B64-B0F2-3298B6C325FB}" name="Province" dataDxfId="80"/>
    <tableColumn id="2" xr3:uid="{29DA96B8-1A96-4698-87BF-0B5EB79876D9}" name="2022" dataDxfId="7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896F00-8897-4C17-94A6-BAC73838DD41}" name="Table47" displayName="Table47" ref="W19:X26" totalsRowShown="0" headerRowDxfId="78" headerRowBorderDxfId="77" tableBorderDxfId="76" totalsRowBorderDxfId="75">
  <autoFilter ref="W19:X26" xr:uid="{06E137E2-C878-4625-ABF9-826568909ED7}"/>
  <tableColumns count="2">
    <tableColumn id="1" xr3:uid="{AF62D8D2-6C7F-4E52-BC63-B468445F4B37}" name="Province" dataDxfId="74"/>
    <tableColumn id="2" xr3:uid="{6DD55C29-38B8-4161-8FBC-2396348595C8}" name="2022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9110FF-5C31-4EE8-ABDC-930C438A5F04}" name="Table3" displayName="Table3" ref="B7:F14" totalsRowShown="0" headerRowDxfId="72" headerRowBorderDxfId="71" tableBorderDxfId="70" totalsRowBorderDxfId="69">
  <autoFilter ref="B7:F14" xr:uid="{4219AF49-8490-4A83-A861-818A9BFB92A9}"/>
  <tableColumns count="5">
    <tableColumn id="1" xr3:uid="{33EE47D3-4F1D-4C4C-80DF-0D8C3AE49704}" name="SKU" dataDxfId="68"/>
    <tableColumn id="2" xr3:uid="{F3F19F12-20A0-4ECE-AC6D-E34A6E40A1C6}" name="Q2" dataDxfId="67"/>
    <tableColumn id="3" xr3:uid="{AE787DED-D7C9-4A55-A09B-E1C2C946000F}" name="Q2 (USD)" dataDxfId="66" dataCellStyle="Currency">
      <calculatedColumnFormula>C8/14200*RIGHT($B8,2)</calculatedColumnFormula>
    </tableColumn>
    <tableColumn id="4" xr3:uid="{3FEBE07A-ECBA-4F89-85B4-E590C858EA56}" name="Q4" dataDxfId="65"/>
    <tableColumn id="5" xr3:uid="{03B627B1-B333-4785-B9D3-67867E5F0B70}" name="Q4 (USD)" dataDxfId="64" dataCellStyle="Currency">
      <calculatedColumnFormula>E8/14200*RIGHT($B8,2)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2D525F-2FC8-4C15-BF51-51C0DBC9983A}" name="Table5" displayName="Table5" ref="B4:Y11" totalsRowCount="1">
  <autoFilter ref="B4:Y10" xr:uid="{492D525F-2FC8-4C15-BF51-51C0DBC9983A}"/>
  <tableColumns count="24">
    <tableColumn id="1" xr3:uid="{1A6F837B-CDC2-410A-85C8-592367079BE0}" name="SKU"/>
    <tableColumn id="2" xr3:uid="{49365E10-8F2C-4182-AA91-44C83BFEFE4D}" name="Jan" totalsRowFunction="custom" dataDxfId="63" totalsRowDxfId="62">
      <totalsRowFormula>SUBTOTAL(109,C5:C10)</totalsRowFormula>
    </tableColumn>
    <tableColumn id="3" xr3:uid="{9CE5F878-D2D1-42C5-930B-03328FF240A9}" name="Feb" totalsRowFunction="custom" dataDxfId="61" totalsRowDxfId="60">
      <totalsRowFormula>SUBTOTAL(109,D5:D10)</totalsRowFormula>
    </tableColumn>
    <tableColumn id="4" xr3:uid="{06BB9E9C-2A51-499A-AD81-C44E00A6E5CD}" name="Mar" totalsRowFunction="custom" dataDxfId="59" totalsRowDxfId="58">
      <totalsRowFormula>SUBTOTAL(109,E5:E10)</totalsRowFormula>
    </tableColumn>
    <tableColumn id="5" xr3:uid="{6EFF0532-DB18-4EC6-A766-CAEDAE75EB2C}" name="Apr" totalsRowFunction="custom" dataDxfId="57" totalsRowDxfId="56">
      <totalsRowFormula>SUBTOTAL(109,F5:F10)</totalsRowFormula>
    </tableColumn>
    <tableColumn id="6" xr3:uid="{FAF76BF3-6D95-4076-948E-B88D4A00CF8E}" name="May" totalsRowFunction="custom" dataDxfId="55" totalsRowDxfId="54">
      <totalsRowFormula>SUBTOTAL(109,G5:G10)</totalsRowFormula>
    </tableColumn>
    <tableColumn id="7" xr3:uid="{DB9C01AE-0783-4C2B-AD30-E7BA43087C43}" name="Jun" totalsRowFunction="custom" dataDxfId="53" totalsRowDxfId="52">
      <totalsRowFormula>SUBTOTAL(109,H5:H10)</totalsRowFormula>
    </tableColumn>
    <tableColumn id="8" xr3:uid="{E3ED9E85-17F4-4819-B166-F66C030B7162}" name="Jul" totalsRowFunction="custom" dataDxfId="51" totalsRowDxfId="50">
      <totalsRowFormula>SUBTOTAL(109,I5:I10)</totalsRowFormula>
    </tableColumn>
    <tableColumn id="9" xr3:uid="{2416E479-2092-4119-84BF-8DA3C366BA05}" name="Aug" totalsRowFunction="custom" dataDxfId="49" totalsRowDxfId="48">
      <totalsRowFormula>SUBTOTAL(109,J5:J10)</totalsRowFormula>
    </tableColumn>
    <tableColumn id="10" xr3:uid="{2F9DD741-EAE3-4A13-897A-5AC500FCAC7D}" name="Sep" totalsRowFunction="custom" dataDxfId="47" totalsRowDxfId="46">
      <totalsRowFormula>SUBTOTAL(109,K5:K10)</totalsRowFormula>
    </tableColumn>
    <tableColumn id="12" xr3:uid="{DFED9885-1E18-42F7-AC2B-A1511C5774F5}" name="Oct" totalsRowFunction="sum" dataDxfId="45" totalsRowDxfId="44"/>
    <tableColumn id="13" xr3:uid="{FE47D2AF-70FE-4529-B0AB-9FEB93794D2E}" name="Nov" totalsRowFunction="sum" dataDxfId="43" totalsRowDxfId="42"/>
    <tableColumn id="14" xr3:uid="{E43C1434-18B9-4274-9003-A01807CF69E2}" name="Dec" totalsRowFunction="sum" dataDxfId="41" totalsRowDxfId="40"/>
    <tableColumn id="11" xr3:uid="{624AF354-6D78-4AD6-8B7B-DF7D56FD6CA0}" name="Total" totalsRowFunction="sum" dataDxfId="39" totalsRowDxfId="38">
      <calculatedColumnFormula>SUM(Table5[[#This Row],[Jan]:[Dec]])</calculatedColumnFormula>
    </tableColumn>
    <tableColumn id="15" xr3:uid="{674D5BBF-6DCD-468F-A133-814E046B09A7}" name="Jan2" totalsRowFunction="custom" dataDxfId="37" totalsRowDxfId="36">
      <totalsRowFormula>SUM(Table5[Jan2])</totalsRowFormula>
    </tableColumn>
    <tableColumn id="16" xr3:uid="{A2D5C1C6-018C-4FAA-9FE0-183984CA8AF7}" name="Feb2" totalsRowFunction="custom" dataDxfId="35" totalsRowDxfId="34">
      <totalsRowFormula>SUM(Table5[Feb2])</totalsRowFormula>
    </tableColumn>
    <tableColumn id="17" xr3:uid="{4B1B2792-3221-4572-AD4F-E1E9B864A887}" name="Mar2" totalsRowFunction="custom" dataDxfId="33" totalsRowDxfId="32">
      <totalsRowFormula>SUM(Table5[Mar2])</totalsRowFormula>
    </tableColumn>
    <tableColumn id="18" xr3:uid="{06B5E9EE-5586-4709-8268-C41B163BF4FC}" name="Apr2" totalsRowFunction="custom" dataDxfId="31" totalsRowDxfId="30">
      <totalsRowFormula>SUM(Table5[Apr2])</totalsRowFormula>
    </tableColumn>
    <tableColumn id="19" xr3:uid="{8078B2B9-E2C5-4A01-80E0-D5372D6671DC}" name="May2" totalsRowFunction="custom" dataDxfId="29" totalsRowDxfId="28">
      <totalsRowFormula>SUM(Table5[May2])</totalsRowFormula>
    </tableColumn>
    <tableColumn id="20" xr3:uid="{11502DB5-1B22-4D93-ABCE-B669B589C221}" name="Jun2" totalsRowFunction="custom" dataDxfId="27" totalsRowDxfId="26">
      <totalsRowFormula>SUM(Table5[Jun2])</totalsRowFormula>
    </tableColumn>
    <tableColumn id="21" xr3:uid="{91950F24-5235-40DF-911D-C7A099FB4438}" name="Jul2" totalsRowFunction="custom" dataDxfId="25" totalsRowDxfId="24">
      <totalsRowFormula>SUM(Table5[Jul2])</totalsRowFormula>
    </tableColumn>
    <tableColumn id="22" xr3:uid="{1BDDB63B-121B-4766-96AA-71D515298229}" name="Aug2" totalsRowFunction="sum" dataDxfId="23"/>
    <tableColumn id="23" xr3:uid="{41FD7F2F-4A94-4854-976D-3F3B4D120C22}" name="Sep2" totalsRowFunction="sum" dataDxfId="22"/>
    <tableColumn id="24" xr3:uid="{D0477B1E-4037-409F-853A-53271A48A3BC}" name="Oct2" totalsRowFunction="sum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7A06F1-2F1D-416E-ADCE-5457D20794AC}" name="Table2" displayName="Table2" ref="U7:AD15" totalsRowShown="0">
  <autoFilter ref="U7:AD15" xr:uid="{2B1438C6-21EA-4170-9E74-8DC5A4AFA2E7}"/>
  <tableColumns count="10">
    <tableColumn id="1" xr3:uid="{78B23170-889D-4106-A4C2-423EAC3739F5}" name="Row Labels"/>
    <tableColumn id="2" xr3:uid="{56CC71E6-D3FC-4B0E-BE64-ED4FC5D9E417}" name="Sum of Oct"/>
    <tableColumn id="3" xr3:uid="{8161514E-BCD8-4DBB-8B46-21D16CEC6C10}" name="Sum of Nov"/>
    <tableColumn id="4" xr3:uid="{D277BF0B-5955-43D7-83EF-EB5644D5F0CD}" name="Sum of Dec"/>
    <tableColumn id="5" xr3:uid="{BE8C8071-6CC4-44D9-AE52-1302D2947039}" name="Oct" dataDxfId="20" dataCellStyle="Comma"/>
    <tableColumn id="6" xr3:uid="{862F3D05-64C6-4741-8014-A7DF3908DBC8}" name="Nov" dataDxfId="19" dataCellStyle="Comma"/>
    <tableColumn id="7" xr3:uid="{BF98B820-043B-4979-9529-7A4E5AFA29BE}" name="Dec" dataDxfId="18" dataCellStyle="Comma"/>
    <tableColumn id="8" xr3:uid="{6EA76A86-CA1E-4879-B64D-2DB482B3F92D}" name="Oct2" dataDxfId="17" dataCellStyle="Comma">
      <calculatedColumnFormula>Y8/4</calculatedColumnFormula>
    </tableColumn>
    <tableColumn id="9" xr3:uid="{25F50965-B04E-463E-ADC1-C2A76E4BEC04}" name="Nov3" dataDxfId="16" dataCellStyle="Comma">
      <calculatedColumnFormula>Z8/4</calculatedColumnFormula>
    </tableColumn>
    <tableColumn id="10" xr3:uid="{8A326956-37E5-484B-8CA1-8F959BE725E6}" name="Dec4" dataDxfId="15" dataCellStyle="Comma">
      <calculatedColumnFormula>AA8/5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C0EF6-BBE0-4095-888E-8C0EDA3A4AB2}" name="Table22" displayName="Table22" ref="AA7:AJ15" totalsRowShown="0">
  <autoFilter ref="AA7:AJ15" xr:uid="{2B1438C6-21EA-4170-9E74-8DC5A4AFA2E7}"/>
  <tableColumns count="10">
    <tableColumn id="1" xr3:uid="{4E9985B1-CA74-49B2-86A8-0D91AD1C1049}" name="Row Labels"/>
    <tableColumn id="2" xr3:uid="{7D6C96A2-1012-4CF5-8100-2B4095A0CEE7}" name="Sum of Oct"/>
    <tableColumn id="3" xr3:uid="{BFA291EC-BA3A-4060-A979-390F382588A8}" name="Sum of Nov"/>
    <tableColumn id="4" xr3:uid="{50491AAC-6C30-4D70-AB40-151041681246}" name="Sum of Dec"/>
    <tableColumn id="5" xr3:uid="{19D95B9B-3531-4830-BE52-8BC83FCE138B}" name="Oct" dataDxfId="14" dataCellStyle="Comma">
      <calculatedColumnFormula>AB8/RIGHT(Table22[[#This Row],[Row Labels]],2)</calculatedColumnFormula>
    </tableColumn>
    <tableColumn id="6" xr3:uid="{11219F76-6AFA-4FC3-BDD9-5B0E5DAC517E}" name="Nov" dataDxfId="13" dataCellStyle="Comma">
      <calculatedColumnFormula>AC8/RIGHT(Table22[[#This Row],[Row Labels]],2)</calculatedColumnFormula>
    </tableColumn>
    <tableColumn id="7" xr3:uid="{477BD9FF-22DD-407E-B09D-E97ACC21A62B}" name="Dec" dataDxfId="12" dataCellStyle="Comma">
      <calculatedColumnFormula>AD8/RIGHT(Table22[[#This Row],[Row Labels]],2)</calculatedColumnFormula>
    </tableColumn>
    <tableColumn id="8" xr3:uid="{6467DEA2-358F-4825-8DCB-64CF40650F7F}" name="Oct2" dataDxfId="11" dataCellStyle="Comma">
      <calculatedColumnFormula>AE8/4</calculatedColumnFormula>
    </tableColumn>
    <tableColumn id="9" xr3:uid="{7DE32B01-6A76-49AD-8BC2-87CD6AFC4BFB}" name="Nov3" dataDxfId="10" dataCellStyle="Comma">
      <calculatedColumnFormula>AF8/4</calculatedColumnFormula>
    </tableColumn>
    <tableColumn id="10" xr3:uid="{E5120F38-0040-4CFC-9E64-CEECAC571210}" name="Dec4" dataDxfId="9" dataCellStyle="Comma">
      <calculatedColumnFormula>AG8/5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G92" dT="2024-07-13T03:40:28.17" personId="{C9FC775E-193D-4311-BFEE-2E4725E3D6B4}" id="{312F374C-3B19-465D-BCB7-77F24953D846}">
    <text>1 container MF: $0.85, 1 container MF: $0.3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K92" dT="2024-07-13T03:40:28.17" personId="{C9FC775E-193D-4311-BFEE-2E4725E3D6B4}" id="{3F09F1FE-402B-4EE2-B6DA-79007D3174BB}">
    <text>1 container MF: $0.85, 1 container MF: $0.3</text>
  </threadedComment>
  <threadedComment ref="BM92" dT="2024-07-13T03:40:28.17" personId="{C9FC775E-193D-4311-BFEE-2E4725E3D6B4}" id="{6DCDA6E1-39B7-46EA-B1CE-E3784E29A6D0}">
    <text>1 container MF: $0.85, 1 container MF: $0.3</text>
  </threadedComment>
  <threadedComment ref="BO92" dT="2024-07-13T03:40:28.17" personId="{C9FC775E-193D-4311-BFEE-2E4725E3D6B4}" id="{4A075321-B62B-4C67-AC05-D6CADE848359}">
    <text>1 container MF: $0.85, 1 container MF: $0.3</text>
  </threadedComment>
  <threadedComment ref="BQ92" dT="2024-07-13T03:40:28.17" personId="{C9FC775E-193D-4311-BFEE-2E4725E3D6B4}" id="{BA229ABF-B749-48D4-BB8D-C30E5F5D3BF6}">
    <text>1 container MF: $0.85, 1 container MF: $0.3</text>
  </threadedComment>
  <threadedComment ref="BS92" dT="2024-07-13T03:40:28.17" personId="{C9FC775E-193D-4311-BFEE-2E4725E3D6B4}" id="{CA61C789-5A59-4FC1-BEAB-D9153C7AB0D3}">
    <text>1 container MF: $0.85, 1 container MF: $0.3</text>
  </threadedComment>
  <threadedComment ref="BY92" dT="2024-07-13T03:40:28.17" personId="{C9FC775E-193D-4311-BFEE-2E4725E3D6B4}" id="{088522E9-2FBE-4B34-AF9E-EE43619AA4DD}">
    <text>1 container MF: $0.85, 1 container MF: $0.3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customProperty" Target="../customProperty22.bin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7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customProperty" Target="../customProperty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customProperty" Target="../customProperty29.bin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customProperty" Target="../customProperty30.bin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2.bin"/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3.bin"/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34.bin"/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customProperty" Target="../customProperty35.bin"/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6.bin"/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7.bin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C127"/>
  <sheetViews>
    <sheetView showGridLines="0" zoomScale="80" zoomScaleNormal="80" zoomScaleSheetLayoutView="8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T8" sqref="T8:U8"/>
    </sheetView>
  </sheetViews>
  <sheetFormatPr defaultRowHeight="14.25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2.73046875" customWidth="1"/>
    <col min="7" max="7" width="13.3984375" bestFit="1" customWidth="1"/>
    <col min="8" max="8" width="12.73046875" customWidth="1"/>
    <col min="9" max="9" width="13.3984375" bestFit="1" customWidth="1"/>
    <col min="10" max="10" width="12.73046875" customWidth="1"/>
    <col min="11" max="11" width="13.3984375" bestFit="1" customWidth="1"/>
    <col min="12" max="12" width="12.73046875" customWidth="1"/>
    <col min="13" max="13" width="13.3984375" bestFit="1" customWidth="1"/>
    <col min="14" max="14" width="11.265625" style="1" customWidth="1"/>
    <col min="15" max="15" width="13.3984375" style="1" bestFit="1" customWidth="1"/>
    <col min="16" max="16" width="11.265625" customWidth="1"/>
    <col min="17" max="17" width="13.3984375" customWidth="1"/>
    <col min="18" max="18" width="11.265625" customWidth="1"/>
    <col min="19" max="19" width="13.3984375" customWidth="1"/>
    <col min="20" max="20" width="11.265625" customWidth="1"/>
    <col min="21" max="21" width="13.3984375" customWidth="1"/>
    <col min="22" max="22" width="11.265625" bestFit="1" customWidth="1"/>
    <col min="23" max="23" width="13.3984375" bestFit="1" customWidth="1"/>
    <col min="24" max="24" width="11.265625" bestFit="1" customWidth="1"/>
    <col min="25" max="25" width="13.3984375" bestFit="1" customWidth="1"/>
    <col min="26" max="26" width="11.265625" bestFit="1" customWidth="1"/>
    <col min="27" max="27" width="13.3984375" bestFit="1" customWidth="1"/>
    <col min="28" max="28" width="11.265625" bestFit="1" customWidth="1"/>
    <col min="29" max="29" width="13.3984375" bestFit="1" customWidth="1"/>
  </cols>
  <sheetData>
    <row r="2" spans="2:29" s="4" customFormat="1" ht="21" customHeight="1" x14ac:dyDescent="0.45">
      <c r="B2" s="2" t="s">
        <v>0</v>
      </c>
      <c r="C2" s="3"/>
      <c r="E2" s="5"/>
      <c r="F2" s="5"/>
      <c r="G2" s="5"/>
      <c r="H2"/>
      <c r="I2"/>
      <c r="J2"/>
      <c r="K2"/>
      <c r="L2" s="1210" t="s">
        <v>1</v>
      </c>
      <c r="M2" s="1210"/>
      <c r="N2" s="1"/>
      <c r="O2" s="1"/>
      <c r="T2" s="1210" t="s">
        <v>1</v>
      </c>
      <c r="U2" s="1210"/>
      <c r="AB2" s="1210" t="s">
        <v>1</v>
      </c>
      <c r="AC2" s="1210"/>
    </row>
    <row r="3" spans="2:29" s="4" customFormat="1" ht="21" x14ac:dyDescent="0.45">
      <c r="B3" s="2"/>
      <c r="C3" s="3"/>
      <c r="D3" s="6"/>
      <c r="F3" s="1211" t="s">
        <v>2</v>
      </c>
      <c r="G3" s="1212"/>
      <c r="H3" s="1212"/>
      <c r="I3" s="1212"/>
      <c r="J3" s="1212"/>
      <c r="K3" s="1212"/>
      <c r="L3" s="1212"/>
      <c r="M3" s="1213"/>
      <c r="N3" s="1217" t="s">
        <v>3</v>
      </c>
      <c r="O3" s="1218"/>
      <c r="P3" s="1218"/>
      <c r="Q3" s="1218"/>
      <c r="R3" s="1218"/>
      <c r="S3" s="1218"/>
      <c r="T3" s="1218"/>
      <c r="U3" s="1219"/>
      <c r="V3" s="1223" t="s">
        <v>4</v>
      </c>
      <c r="W3" s="1224"/>
      <c r="X3" s="1224"/>
      <c r="Y3" s="1224"/>
      <c r="Z3" s="1224"/>
      <c r="AA3" s="1224"/>
      <c r="AB3" s="1224"/>
      <c r="AC3" s="1225"/>
    </row>
    <row r="4" spans="2:29" s="4" customFormat="1" ht="14.65" thickBot="1" x14ac:dyDescent="0.5">
      <c r="B4" s="7"/>
      <c r="F4" s="1214"/>
      <c r="G4" s="1215"/>
      <c r="H4" s="1215"/>
      <c r="I4" s="1215"/>
      <c r="J4" s="1215"/>
      <c r="K4" s="1215"/>
      <c r="L4" s="1215"/>
      <c r="M4" s="1216"/>
      <c r="N4" s="1220"/>
      <c r="O4" s="1221"/>
      <c r="P4" s="1221"/>
      <c r="Q4" s="1221"/>
      <c r="R4" s="1221"/>
      <c r="S4" s="1221"/>
      <c r="T4" s="1221"/>
      <c r="U4" s="1222"/>
      <c r="V4" s="1226"/>
      <c r="W4" s="1227"/>
      <c r="X4" s="1227"/>
      <c r="Y4" s="1227"/>
      <c r="Z4" s="1227"/>
      <c r="AA4" s="1227"/>
      <c r="AB4" s="1227"/>
      <c r="AC4" s="1228"/>
    </row>
    <row r="5" spans="2:29" s="7" customFormat="1" ht="15.75" customHeight="1" thickTop="1" x14ac:dyDescent="0.45">
      <c r="B5" s="1202" t="s">
        <v>5</v>
      </c>
      <c r="C5" s="8" t="s">
        <v>6</v>
      </c>
      <c r="D5" s="9"/>
      <c r="E5" s="9"/>
      <c r="F5" s="1205" t="s">
        <v>7</v>
      </c>
      <c r="G5" s="1206"/>
      <c r="H5" s="1205" t="s">
        <v>8</v>
      </c>
      <c r="I5" s="1206"/>
      <c r="J5" s="1205" t="s">
        <v>9</v>
      </c>
      <c r="K5" s="1206"/>
      <c r="L5" s="1205" t="s">
        <v>10</v>
      </c>
      <c r="M5" s="1207"/>
      <c r="N5" s="1208" t="s">
        <v>7</v>
      </c>
      <c r="O5" s="1209"/>
      <c r="P5" s="1208" t="s">
        <v>8</v>
      </c>
      <c r="Q5" s="1209"/>
      <c r="R5" s="1208" t="s">
        <v>9</v>
      </c>
      <c r="S5" s="1209"/>
      <c r="T5" s="1208" t="s">
        <v>10</v>
      </c>
      <c r="U5" s="1209"/>
      <c r="V5" s="1229" t="s">
        <v>7</v>
      </c>
      <c r="W5" s="1230"/>
      <c r="X5" s="1229" t="s">
        <v>8</v>
      </c>
      <c r="Y5" s="1230"/>
      <c r="Z5" s="1229" t="s">
        <v>9</v>
      </c>
      <c r="AA5" s="1230"/>
      <c r="AB5" s="1229" t="s">
        <v>10</v>
      </c>
      <c r="AC5" s="1230"/>
    </row>
    <row r="6" spans="2:29" s="7" customFormat="1" ht="36.75" customHeight="1" x14ac:dyDescent="0.45">
      <c r="B6" s="1203"/>
      <c r="C6" s="10" t="s">
        <v>11</v>
      </c>
      <c r="D6" s="11"/>
      <c r="E6" s="11"/>
      <c r="F6" s="1200" t="s">
        <v>2</v>
      </c>
      <c r="G6" s="1201"/>
      <c r="H6" s="1200" t="str">
        <f>F6</f>
        <v>GSS LOKAL 40</v>
      </c>
      <c r="I6" s="1201"/>
      <c r="J6" s="1200" t="str">
        <f>F6</f>
        <v>GSS LOKAL 40</v>
      </c>
      <c r="K6" s="1201"/>
      <c r="L6" s="1200" t="str">
        <f>F6</f>
        <v>GSS LOKAL 40</v>
      </c>
      <c r="M6" s="1201"/>
      <c r="N6" s="1200" t="s">
        <v>3</v>
      </c>
      <c r="O6" s="1201"/>
      <c r="P6" s="1200" t="str">
        <f>N6</f>
        <v>IIP LOKAL 40</v>
      </c>
      <c r="Q6" s="1201"/>
      <c r="R6" s="1200" t="str">
        <f>N6</f>
        <v>IIP LOKAL 40</v>
      </c>
      <c r="S6" s="1201"/>
      <c r="T6" s="1200" t="str">
        <f>N6</f>
        <v>IIP LOKAL 40</v>
      </c>
      <c r="U6" s="1201"/>
      <c r="V6" s="1200" t="s">
        <v>4</v>
      </c>
      <c r="W6" s="1201"/>
      <c r="X6" s="1200" t="str">
        <f>V6</f>
        <v>IHAG LOKAL 40</v>
      </c>
      <c r="Y6" s="1201"/>
      <c r="Z6" s="1200" t="str">
        <f>V6</f>
        <v>IHAG LOKAL 40</v>
      </c>
      <c r="AA6" s="1201"/>
      <c r="AB6" s="1200" t="str">
        <f>V6</f>
        <v>IHAG LOKAL 40</v>
      </c>
      <c r="AC6" s="1201"/>
    </row>
    <row r="7" spans="2:29" s="7" customFormat="1" ht="15" customHeight="1" x14ac:dyDescent="0.45">
      <c r="B7" s="1203"/>
      <c r="C7" s="12" t="s">
        <v>12</v>
      </c>
      <c r="D7" s="11"/>
      <c r="E7" s="11"/>
      <c r="F7" s="1198" t="s">
        <v>13</v>
      </c>
      <c r="G7" s="1199"/>
      <c r="H7" s="1198"/>
      <c r="I7" s="1199"/>
      <c r="J7" s="1198"/>
      <c r="K7" s="1199"/>
      <c r="L7" s="1198"/>
      <c r="M7" s="1199"/>
      <c r="N7" s="1198" t="s">
        <v>13</v>
      </c>
      <c r="O7" s="1199"/>
      <c r="P7" s="1198"/>
      <c r="Q7" s="1199"/>
      <c r="R7" s="1198"/>
      <c r="S7" s="1199"/>
      <c r="T7" s="1198"/>
      <c r="U7" s="1199"/>
      <c r="V7" s="1198" t="s">
        <v>13</v>
      </c>
      <c r="W7" s="1199"/>
      <c r="X7" s="1198"/>
      <c r="Y7" s="1199"/>
      <c r="Z7" s="1198"/>
      <c r="AA7" s="1199"/>
      <c r="AB7" s="1198"/>
      <c r="AC7" s="1199"/>
    </row>
    <row r="8" spans="2:29" s="7" customFormat="1" ht="39" customHeight="1" x14ac:dyDescent="0.45">
      <c r="B8" s="1203"/>
      <c r="C8" s="13" t="s">
        <v>14</v>
      </c>
      <c r="D8" s="14"/>
      <c r="E8" s="14"/>
      <c r="F8" s="1190" t="s">
        <v>15</v>
      </c>
      <c r="G8" s="1191"/>
      <c r="H8" s="1190" t="s">
        <v>15</v>
      </c>
      <c r="I8" s="1191"/>
      <c r="J8" s="1190" t="s">
        <v>16</v>
      </c>
      <c r="K8" s="1191"/>
      <c r="L8" s="1190" t="s">
        <v>17</v>
      </c>
      <c r="M8" s="1191"/>
      <c r="N8" s="1190" t="s">
        <v>18</v>
      </c>
      <c r="O8" s="1191"/>
      <c r="P8" s="1190" t="s">
        <v>18</v>
      </c>
      <c r="Q8" s="1191"/>
      <c r="R8" s="1190" t="s">
        <v>19</v>
      </c>
      <c r="S8" s="1191"/>
      <c r="T8" s="1190" t="s">
        <v>20</v>
      </c>
      <c r="U8" s="1191"/>
      <c r="V8" s="1190" t="s">
        <v>21</v>
      </c>
      <c r="W8" s="1191"/>
      <c r="X8" s="1190" t="s">
        <v>21</v>
      </c>
      <c r="Y8" s="1191"/>
      <c r="Z8" s="1190" t="s">
        <v>21</v>
      </c>
      <c r="AA8" s="1191"/>
      <c r="AB8" s="1190" t="s">
        <v>22</v>
      </c>
      <c r="AC8" s="1191"/>
    </row>
    <row r="9" spans="2:29" s="4" customFormat="1" x14ac:dyDescent="0.45">
      <c r="B9" s="1203"/>
      <c r="C9" s="15" t="s">
        <v>23</v>
      </c>
      <c r="D9" s="16"/>
      <c r="E9" s="16"/>
      <c r="F9" s="17">
        <v>40</v>
      </c>
      <c r="G9" s="18">
        <f>+F9</f>
        <v>40</v>
      </c>
      <c r="H9" s="17">
        <v>40</v>
      </c>
      <c r="I9" s="18">
        <f>+H9</f>
        <v>40</v>
      </c>
      <c r="J9" s="17">
        <v>40</v>
      </c>
      <c r="K9" s="18">
        <f>+J9</f>
        <v>40</v>
      </c>
      <c r="L9" s="17">
        <v>40</v>
      </c>
      <c r="M9" s="18">
        <f>+L9</f>
        <v>40</v>
      </c>
      <c r="N9" s="17">
        <v>40</v>
      </c>
      <c r="O9" s="18">
        <f>+N9</f>
        <v>40</v>
      </c>
      <c r="P9" s="17">
        <v>40</v>
      </c>
      <c r="Q9" s="18">
        <f>+P9</f>
        <v>40</v>
      </c>
      <c r="R9" s="17">
        <v>40</v>
      </c>
      <c r="S9" s="18">
        <f>+R9</f>
        <v>40</v>
      </c>
      <c r="T9" s="17">
        <v>40</v>
      </c>
      <c r="U9" s="18">
        <f>+T9</f>
        <v>40</v>
      </c>
      <c r="V9" s="17">
        <v>40</v>
      </c>
      <c r="W9" s="18">
        <f>+V9</f>
        <v>40</v>
      </c>
      <c r="X9" s="17">
        <v>40</v>
      </c>
      <c r="Y9" s="18">
        <f>+X9</f>
        <v>40</v>
      </c>
      <c r="Z9" s="17">
        <v>40</v>
      </c>
      <c r="AA9" s="18">
        <f>+Z9</f>
        <v>40</v>
      </c>
      <c r="AB9" s="17">
        <v>40</v>
      </c>
      <c r="AC9" s="18">
        <f>+AB9</f>
        <v>40</v>
      </c>
    </row>
    <row r="10" spans="2:29" s="4" customFormat="1" x14ac:dyDescent="0.45">
      <c r="B10" s="1203"/>
      <c r="C10" s="19" t="s">
        <v>24</v>
      </c>
      <c r="D10" s="20"/>
      <c r="E10" s="20"/>
      <c r="F10" s="21" t="s">
        <v>25</v>
      </c>
      <c r="G10" s="22" t="s">
        <v>26</v>
      </c>
      <c r="H10" s="21" t="str">
        <f>F10</f>
        <v>KHR</v>
      </c>
      <c r="I10" s="22" t="s">
        <v>26</v>
      </c>
      <c r="J10" s="21" t="str">
        <f>H10</f>
        <v>KHR</v>
      </c>
      <c r="K10" s="22" t="s">
        <v>26</v>
      </c>
      <c r="L10" s="21" t="str">
        <f>J10</f>
        <v>KHR</v>
      </c>
      <c r="M10" s="22" t="s">
        <v>26</v>
      </c>
      <c r="N10" s="21" t="s">
        <v>25</v>
      </c>
      <c r="O10" s="22" t="s">
        <v>26</v>
      </c>
      <c r="P10" s="21" t="str">
        <f>N10</f>
        <v>KHR</v>
      </c>
      <c r="Q10" s="22" t="s">
        <v>26</v>
      </c>
      <c r="R10" s="21" t="str">
        <f>P10</f>
        <v>KHR</v>
      </c>
      <c r="S10" s="22" t="s">
        <v>26</v>
      </c>
      <c r="T10" s="21" t="str">
        <f>R10</f>
        <v>KHR</v>
      </c>
      <c r="U10" s="22" t="s">
        <v>26</v>
      </c>
      <c r="V10" s="21" t="s">
        <v>25</v>
      </c>
      <c r="W10" s="22" t="s">
        <v>26</v>
      </c>
      <c r="X10" s="21" t="str">
        <f>V10</f>
        <v>KHR</v>
      </c>
      <c r="Y10" s="22" t="s">
        <v>26</v>
      </c>
      <c r="Z10" s="21" t="str">
        <f>X10</f>
        <v>KHR</v>
      </c>
      <c r="AA10" s="22" t="s">
        <v>26</v>
      </c>
      <c r="AB10" s="21" t="str">
        <f>Z10</f>
        <v>KHR</v>
      </c>
      <c r="AC10" s="22" t="s">
        <v>26</v>
      </c>
    </row>
    <row r="11" spans="2:29" s="4" customFormat="1" x14ac:dyDescent="0.45">
      <c r="B11" s="1203"/>
      <c r="C11" s="15" t="s">
        <v>27</v>
      </c>
      <c r="D11" s="1192">
        <v>44217</v>
      </c>
      <c r="E11" s="1193"/>
      <c r="F11" s="23">
        <v>4080</v>
      </c>
      <c r="G11" s="24"/>
      <c r="H11" s="23">
        <f>F11</f>
        <v>4080</v>
      </c>
      <c r="I11" s="24"/>
      <c r="J11" s="23">
        <f>H11</f>
        <v>4080</v>
      </c>
      <c r="K11" s="24"/>
      <c r="L11" s="23">
        <f>J11</f>
        <v>4080</v>
      </c>
      <c r="M11" s="24"/>
      <c r="N11" s="23">
        <v>4080</v>
      </c>
      <c r="O11" s="24"/>
      <c r="P11" s="23">
        <f>N11</f>
        <v>4080</v>
      </c>
      <c r="Q11" s="24"/>
      <c r="R11" s="23">
        <f>P11</f>
        <v>4080</v>
      </c>
      <c r="S11" s="24"/>
      <c r="T11" s="23">
        <f>R11</f>
        <v>4080</v>
      </c>
      <c r="U11" s="24"/>
      <c r="V11" s="23">
        <v>4080</v>
      </c>
      <c r="W11" s="24"/>
      <c r="X11" s="23">
        <f>V11</f>
        <v>4080</v>
      </c>
      <c r="Y11" s="24"/>
      <c r="Z11" s="23">
        <f>X11</f>
        <v>4080</v>
      </c>
      <c r="AA11" s="24"/>
      <c r="AB11" s="23">
        <f>Z11</f>
        <v>4080</v>
      </c>
      <c r="AC11" s="24"/>
    </row>
    <row r="12" spans="2:29" s="4" customFormat="1" x14ac:dyDescent="0.45">
      <c r="B12" s="1204"/>
      <c r="C12" s="25"/>
      <c r="D12" s="26"/>
      <c r="E12" s="26"/>
      <c r="F12" s="27"/>
      <c r="G12" s="28"/>
      <c r="H12" s="27"/>
      <c r="I12" s="28"/>
      <c r="J12" s="27"/>
      <c r="K12" s="28"/>
      <c r="L12" s="27"/>
      <c r="M12" s="28"/>
      <c r="N12" s="27"/>
      <c r="O12" s="28"/>
      <c r="P12" s="27"/>
      <c r="Q12" s="28"/>
      <c r="R12" s="27"/>
      <c r="S12" s="28"/>
      <c r="T12" s="27"/>
      <c r="U12" s="28"/>
      <c r="V12" s="27"/>
      <c r="W12" s="28"/>
      <c r="X12" s="27"/>
      <c r="Y12" s="28"/>
      <c r="Z12" s="27"/>
      <c r="AA12" s="28"/>
      <c r="AB12" s="27"/>
      <c r="AC12" s="28"/>
    </row>
    <row r="13" spans="2:29" s="4" customFormat="1" x14ac:dyDescent="0.45">
      <c r="B13" s="29"/>
      <c r="C13" s="15"/>
      <c r="D13" s="16"/>
      <c r="E13" s="16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17"/>
      <c r="S13" s="18"/>
      <c r="T13" s="17"/>
      <c r="U13" s="18"/>
      <c r="V13" s="17"/>
      <c r="W13" s="18"/>
      <c r="X13" s="17"/>
      <c r="Y13" s="18"/>
      <c r="Z13" s="17"/>
      <c r="AA13" s="18"/>
      <c r="AB13" s="17"/>
      <c r="AC13" s="18"/>
    </row>
    <row r="14" spans="2:29" s="4" customFormat="1" ht="18" customHeight="1" x14ac:dyDescent="0.45">
      <c r="B14" s="1194" t="s">
        <v>28</v>
      </c>
      <c r="C14" s="19" t="s">
        <v>29</v>
      </c>
      <c r="D14" s="20"/>
      <c r="E14" s="30"/>
      <c r="F14" s="31">
        <v>1000</v>
      </c>
      <c r="G14" s="32">
        <f>+F14/$H$11</f>
        <v>0.24509803921568626</v>
      </c>
      <c r="H14" s="31">
        <v>1000</v>
      </c>
      <c r="I14" s="32">
        <f>+H14/$H$11</f>
        <v>0.24509803921568626</v>
      </c>
      <c r="J14" s="31">
        <f>H14</f>
        <v>1000</v>
      </c>
      <c r="K14" s="32">
        <f>+J14/$H$11</f>
        <v>0.24509803921568626</v>
      </c>
      <c r="L14" s="31">
        <f>J14</f>
        <v>1000</v>
      </c>
      <c r="M14" s="32">
        <f>+L14/$H$11</f>
        <v>0.24509803921568626</v>
      </c>
      <c r="N14" s="31">
        <v>1000</v>
      </c>
      <c r="O14" s="32">
        <f>+N14/$H$11</f>
        <v>0.24509803921568626</v>
      </c>
      <c r="P14" s="31">
        <v>1000</v>
      </c>
      <c r="Q14" s="32">
        <f>+P14/$H$11</f>
        <v>0.24509803921568626</v>
      </c>
      <c r="R14" s="31">
        <f>P14</f>
        <v>1000</v>
      </c>
      <c r="S14" s="32">
        <f>+R14/$H$11</f>
        <v>0.24509803921568626</v>
      </c>
      <c r="T14" s="31">
        <f>R14</f>
        <v>1000</v>
      </c>
      <c r="U14" s="32">
        <f>+T14/$H$11</f>
        <v>0.24509803921568626</v>
      </c>
      <c r="V14" s="31">
        <v>1000</v>
      </c>
      <c r="W14" s="32">
        <f>+V14/$H$11</f>
        <v>0.24509803921568626</v>
      </c>
      <c r="X14" s="31">
        <v>1000</v>
      </c>
      <c r="Y14" s="32">
        <f>+X14/$H$11</f>
        <v>0.24509803921568626</v>
      </c>
      <c r="Z14" s="31">
        <f>X14</f>
        <v>1000</v>
      </c>
      <c r="AA14" s="32">
        <f>+Z14/$H$11</f>
        <v>0.24509803921568626</v>
      </c>
      <c r="AB14" s="31">
        <f>Z14</f>
        <v>1000</v>
      </c>
      <c r="AC14" s="32">
        <f>+AB14/$H$11</f>
        <v>0.24509803921568626</v>
      </c>
    </row>
    <row r="15" spans="2:29" s="4" customFormat="1" ht="18" customHeight="1" x14ac:dyDescent="0.45">
      <c r="B15" s="1194"/>
      <c r="C15" s="33" t="s">
        <v>30</v>
      </c>
      <c r="D15" s="20"/>
      <c r="E15" s="30"/>
      <c r="F15" s="31">
        <f>+F14*F9</f>
        <v>40000</v>
      </c>
      <c r="G15" s="32">
        <f>+G14*G9</f>
        <v>9.8039215686274499</v>
      </c>
      <c r="H15" s="31">
        <f>+H14*H9</f>
        <v>40000</v>
      </c>
      <c r="I15" s="32">
        <f>+I14*I9</f>
        <v>9.8039215686274499</v>
      </c>
      <c r="J15" s="31">
        <f t="shared" ref="J15:Y15" si="0">+J14*J9</f>
        <v>40000</v>
      </c>
      <c r="K15" s="32">
        <f t="shared" si="0"/>
        <v>9.8039215686274499</v>
      </c>
      <c r="L15" s="31">
        <f t="shared" si="0"/>
        <v>40000</v>
      </c>
      <c r="M15" s="32">
        <f t="shared" si="0"/>
        <v>9.8039215686274499</v>
      </c>
      <c r="N15" s="31">
        <f t="shared" si="0"/>
        <v>40000</v>
      </c>
      <c r="O15" s="32">
        <f t="shared" si="0"/>
        <v>9.8039215686274499</v>
      </c>
      <c r="P15" s="31">
        <f t="shared" si="0"/>
        <v>40000</v>
      </c>
      <c r="Q15" s="32">
        <f t="shared" si="0"/>
        <v>9.8039215686274499</v>
      </c>
      <c r="R15" s="31">
        <f t="shared" si="0"/>
        <v>40000</v>
      </c>
      <c r="S15" s="32">
        <f t="shared" si="0"/>
        <v>9.8039215686274499</v>
      </c>
      <c r="T15" s="31">
        <f t="shared" si="0"/>
        <v>40000</v>
      </c>
      <c r="U15" s="32">
        <f t="shared" si="0"/>
        <v>9.8039215686274499</v>
      </c>
      <c r="V15" s="31">
        <f t="shared" si="0"/>
        <v>40000</v>
      </c>
      <c r="W15" s="32">
        <f t="shared" si="0"/>
        <v>9.8039215686274499</v>
      </c>
      <c r="X15" s="31">
        <f t="shared" si="0"/>
        <v>40000</v>
      </c>
      <c r="Y15" s="32">
        <f t="shared" si="0"/>
        <v>9.8039215686274499</v>
      </c>
      <c r="Z15" s="31">
        <f>+Z14*Z9</f>
        <v>40000</v>
      </c>
      <c r="AA15" s="32">
        <f>+AA14*AA9</f>
        <v>9.8039215686274499</v>
      </c>
      <c r="AB15" s="31">
        <f>+AB14*AB9</f>
        <v>40000</v>
      </c>
      <c r="AC15" s="32">
        <f>+AC14*AC9</f>
        <v>9.8039215686274499</v>
      </c>
    </row>
    <row r="16" spans="2:29" s="4" customFormat="1" ht="18" customHeight="1" x14ac:dyDescent="0.45">
      <c r="B16" s="1194"/>
      <c r="C16" s="15" t="s">
        <v>31</v>
      </c>
      <c r="D16" s="34" t="s">
        <v>32</v>
      </c>
      <c r="E16" s="35"/>
      <c r="F16" s="23">
        <v>0</v>
      </c>
      <c r="G16" s="24">
        <v>0</v>
      </c>
      <c r="H16" s="23">
        <v>0</v>
      </c>
      <c r="I16" s="24">
        <v>0</v>
      </c>
      <c r="J16" s="23">
        <v>0</v>
      </c>
      <c r="K16" s="24">
        <v>0</v>
      </c>
      <c r="L16" s="23">
        <v>0</v>
      </c>
      <c r="M16" s="24">
        <v>0</v>
      </c>
      <c r="N16" s="23">
        <v>0</v>
      </c>
      <c r="O16" s="24">
        <v>0</v>
      </c>
      <c r="P16" s="23">
        <v>0</v>
      </c>
      <c r="Q16" s="24">
        <v>0</v>
      </c>
      <c r="R16" s="23">
        <v>0</v>
      </c>
      <c r="S16" s="24">
        <v>0</v>
      </c>
      <c r="T16" s="23">
        <v>0</v>
      </c>
      <c r="U16" s="24">
        <v>0</v>
      </c>
      <c r="V16" s="23">
        <v>0</v>
      </c>
      <c r="W16" s="24">
        <v>0</v>
      </c>
      <c r="X16" s="23">
        <v>0</v>
      </c>
      <c r="Y16" s="24">
        <v>0</v>
      </c>
      <c r="Z16" s="23">
        <v>0</v>
      </c>
      <c r="AA16" s="24">
        <v>0</v>
      </c>
      <c r="AB16" s="23">
        <v>0</v>
      </c>
      <c r="AC16" s="24">
        <v>0</v>
      </c>
    </row>
    <row r="17" spans="2:29" s="4" customFormat="1" ht="18" customHeight="1" x14ac:dyDescent="0.45">
      <c r="B17" s="1194"/>
      <c r="C17" s="15" t="s">
        <v>33</v>
      </c>
      <c r="D17" s="16"/>
      <c r="E17" s="16"/>
      <c r="F17" s="36">
        <v>0</v>
      </c>
      <c r="G17" s="37">
        <v>0</v>
      </c>
      <c r="H17" s="36">
        <v>0</v>
      </c>
      <c r="I17" s="37">
        <v>0</v>
      </c>
      <c r="J17" s="36">
        <v>0</v>
      </c>
      <c r="K17" s="37">
        <v>0</v>
      </c>
      <c r="L17" s="36">
        <v>0</v>
      </c>
      <c r="M17" s="37">
        <v>0</v>
      </c>
      <c r="N17" s="36">
        <v>0</v>
      </c>
      <c r="O17" s="37">
        <v>0</v>
      </c>
      <c r="P17" s="36">
        <v>0</v>
      </c>
      <c r="Q17" s="37">
        <v>0</v>
      </c>
      <c r="R17" s="36">
        <v>0</v>
      </c>
      <c r="S17" s="37">
        <v>0</v>
      </c>
      <c r="T17" s="36">
        <v>0</v>
      </c>
      <c r="U17" s="37">
        <v>0</v>
      </c>
      <c r="V17" s="36">
        <v>0</v>
      </c>
      <c r="W17" s="37">
        <v>0</v>
      </c>
      <c r="X17" s="36">
        <v>0</v>
      </c>
      <c r="Y17" s="37">
        <v>0</v>
      </c>
      <c r="Z17" s="36">
        <v>0</v>
      </c>
      <c r="AA17" s="37">
        <v>0</v>
      </c>
      <c r="AB17" s="36">
        <v>0</v>
      </c>
      <c r="AC17" s="37">
        <v>0</v>
      </c>
    </row>
    <row r="18" spans="2:29" s="4" customFormat="1" ht="18" customHeight="1" x14ac:dyDescent="0.45">
      <c r="B18" s="1194"/>
      <c r="C18" s="19" t="s">
        <v>34</v>
      </c>
      <c r="D18" s="20"/>
      <c r="E18" s="30"/>
      <c r="F18" s="38">
        <f t="shared" ref="F18:AC18" si="1">F14-F16</f>
        <v>1000</v>
      </c>
      <c r="G18" s="32">
        <f t="shared" si="1"/>
        <v>0.24509803921568626</v>
      </c>
      <c r="H18" s="38">
        <f t="shared" si="1"/>
        <v>1000</v>
      </c>
      <c r="I18" s="32">
        <f t="shared" si="1"/>
        <v>0.24509803921568626</v>
      </c>
      <c r="J18" s="38">
        <f t="shared" si="1"/>
        <v>1000</v>
      </c>
      <c r="K18" s="32">
        <f t="shared" si="1"/>
        <v>0.24509803921568626</v>
      </c>
      <c r="L18" s="38">
        <f t="shared" si="1"/>
        <v>1000</v>
      </c>
      <c r="M18" s="32">
        <f t="shared" si="1"/>
        <v>0.24509803921568626</v>
      </c>
      <c r="N18" s="38">
        <f t="shared" si="1"/>
        <v>1000</v>
      </c>
      <c r="O18" s="32">
        <f t="shared" si="1"/>
        <v>0.24509803921568626</v>
      </c>
      <c r="P18" s="38">
        <f t="shared" si="1"/>
        <v>1000</v>
      </c>
      <c r="Q18" s="32">
        <f t="shared" si="1"/>
        <v>0.24509803921568626</v>
      </c>
      <c r="R18" s="38">
        <f t="shared" si="1"/>
        <v>1000</v>
      </c>
      <c r="S18" s="32">
        <f t="shared" si="1"/>
        <v>0.24509803921568626</v>
      </c>
      <c r="T18" s="38">
        <f t="shared" si="1"/>
        <v>1000</v>
      </c>
      <c r="U18" s="32">
        <f t="shared" si="1"/>
        <v>0.24509803921568626</v>
      </c>
      <c r="V18" s="38">
        <f t="shared" si="1"/>
        <v>1000</v>
      </c>
      <c r="W18" s="32">
        <f t="shared" si="1"/>
        <v>0.24509803921568626</v>
      </c>
      <c r="X18" s="38">
        <f t="shared" si="1"/>
        <v>1000</v>
      </c>
      <c r="Y18" s="32">
        <f t="shared" si="1"/>
        <v>0.24509803921568626</v>
      </c>
      <c r="Z18" s="38">
        <f t="shared" si="1"/>
        <v>1000</v>
      </c>
      <c r="AA18" s="32">
        <f t="shared" si="1"/>
        <v>0.24509803921568626</v>
      </c>
      <c r="AB18" s="38">
        <f t="shared" si="1"/>
        <v>1000</v>
      </c>
      <c r="AC18" s="32">
        <f t="shared" si="1"/>
        <v>0.24509803921568626</v>
      </c>
    </row>
    <row r="19" spans="2:29" s="4" customFormat="1" ht="18" customHeight="1" x14ac:dyDescent="0.45">
      <c r="B19" s="1194"/>
      <c r="C19" s="19" t="s">
        <v>35</v>
      </c>
      <c r="D19" s="20"/>
      <c r="E19" s="30"/>
      <c r="F19" s="39">
        <f t="shared" ref="F19:AC19" si="2">1/(1+F17)*F15</f>
        <v>40000</v>
      </c>
      <c r="G19" s="40">
        <f t="shared" si="2"/>
        <v>9.8039215686274499</v>
      </c>
      <c r="H19" s="39">
        <f t="shared" si="2"/>
        <v>40000</v>
      </c>
      <c r="I19" s="40">
        <f t="shared" si="2"/>
        <v>9.8039215686274499</v>
      </c>
      <c r="J19" s="39">
        <f t="shared" si="2"/>
        <v>40000</v>
      </c>
      <c r="K19" s="40">
        <f t="shared" si="2"/>
        <v>9.8039215686274499</v>
      </c>
      <c r="L19" s="39">
        <f t="shared" si="2"/>
        <v>40000</v>
      </c>
      <c r="M19" s="40">
        <f t="shared" si="2"/>
        <v>9.8039215686274499</v>
      </c>
      <c r="N19" s="39">
        <f t="shared" si="2"/>
        <v>40000</v>
      </c>
      <c r="O19" s="40">
        <f t="shared" si="2"/>
        <v>9.8039215686274499</v>
      </c>
      <c r="P19" s="39">
        <f t="shared" si="2"/>
        <v>40000</v>
      </c>
      <c r="Q19" s="40">
        <f t="shared" si="2"/>
        <v>9.8039215686274499</v>
      </c>
      <c r="R19" s="39">
        <f t="shared" si="2"/>
        <v>40000</v>
      </c>
      <c r="S19" s="40">
        <f t="shared" si="2"/>
        <v>9.8039215686274499</v>
      </c>
      <c r="T19" s="39">
        <f t="shared" si="2"/>
        <v>40000</v>
      </c>
      <c r="U19" s="40">
        <f t="shared" si="2"/>
        <v>9.8039215686274499</v>
      </c>
      <c r="V19" s="39">
        <f t="shared" si="2"/>
        <v>40000</v>
      </c>
      <c r="W19" s="40">
        <f t="shared" si="2"/>
        <v>9.8039215686274499</v>
      </c>
      <c r="X19" s="39">
        <f t="shared" si="2"/>
        <v>40000</v>
      </c>
      <c r="Y19" s="40">
        <f t="shared" si="2"/>
        <v>9.8039215686274499</v>
      </c>
      <c r="Z19" s="39">
        <f t="shared" si="2"/>
        <v>40000</v>
      </c>
      <c r="AA19" s="40">
        <f t="shared" si="2"/>
        <v>9.8039215686274499</v>
      </c>
      <c r="AB19" s="39">
        <f t="shared" si="2"/>
        <v>40000</v>
      </c>
      <c r="AC19" s="40">
        <f t="shared" si="2"/>
        <v>9.8039215686274499</v>
      </c>
    </row>
    <row r="20" spans="2:29" s="4" customFormat="1" ht="18" customHeight="1" x14ac:dyDescent="0.45">
      <c r="B20" s="1195"/>
      <c r="C20" s="25"/>
      <c r="D20" s="26"/>
      <c r="E20" s="26"/>
      <c r="F20" s="27"/>
      <c r="G20" s="41"/>
      <c r="H20" s="27"/>
      <c r="I20" s="41"/>
      <c r="J20" s="27"/>
      <c r="K20" s="41"/>
      <c r="L20" s="27"/>
      <c r="M20" s="41"/>
      <c r="N20" s="27"/>
      <c r="O20" s="41"/>
      <c r="P20" s="27"/>
      <c r="Q20" s="41"/>
      <c r="R20" s="27"/>
      <c r="S20" s="41"/>
      <c r="T20" s="27"/>
      <c r="U20" s="41"/>
      <c r="V20" s="27"/>
      <c r="W20" s="41"/>
      <c r="X20" s="27"/>
      <c r="Y20" s="41"/>
      <c r="Z20" s="27"/>
      <c r="AA20" s="41"/>
      <c r="AB20" s="27"/>
      <c r="AC20" s="41"/>
    </row>
    <row r="21" spans="2:29" s="4" customFormat="1" ht="18" customHeight="1" x14ac:dyDescent="0.45">
      <c r="B21" s="1196" t="s">
        <v>36</v>
      </c>
      <c r="C21" s="15"/>
      <c r="D21" s="16"/>
      <c r="E21" s="16"/>
      <c r="F21" s="42"/>
      <c r="G21" s="43"/>
      <c r="H21" s="42"/>
      <c r="I21" s="43"/>
      <c r="J21" s="42"/>
      <c r="K21" s="43"/>
      <c r="L21" s="42"/>
      <c r="M21" s="43"/>
      <c r="N21" s="42"/>
      <c r="O21" s="43"/>
      <c r="P21" s="42"/>
      <c r="Q21" s="43"/>
      <c r="R21" s="42"/>
      <c r="S21" s="43"/>
      <c r="T21" s="42"/>
      <c r="U21" s="43"/>
      <c r="V21" s="42"/>
      <c r="W21" s="43"/>
      <c r="X21" s="42"/>
      <c r="Y21" s="43"/>
      <c r="Z21" s="42"/>
      <c r="AA21" s="43"/>
      <c r="AB21" s="42"/>
      <c r="AC21" s="43"/>
    </row>
    <row r="22" spans="2:29" s="49" customFormat="1" ht="18" customHeight="1" x14ac:dyDescent="0.45">
      <c r="B22" s="1187"/>
      <c r="C22" s="44" t="s">
        <v>37</v>
      </c>
      <c r="D22" s="45"/>
      <c r="E22" s="46"/>
      <c r="F22" s="47">
        <f>F23/F19</f>
        <v>0.19000000000000009</v>
      </c>
      <c r="G22" s="48">
        <f>G23/G19</f>
        <v>0.18999999999999997</v>
      </c>
      <c r="H22" s="47">
        <f>H23/H19</f>
        <v>0.19000000000000009</v>
      </c>
      <c r="I22" s="48">
        <f>I23/I19</f>
        <v>0.18999999999999997</v>
      </c>
      <c r="J22" s="47">
        <f t="shared" ref="J22:Y22" si="3">J23/J19</f>
        <v>0.19000000000000009</v>
      </c>
      <c r="K22" s="48">
        <f t="shared" si="3"/>
        <v>0.18999999999999997</v>
      </c>
      <c r="L22" s="47">
        <f t="shared" si="3"/>
        <v>0.19000000000000009</v>
      </c>
      <c r="M22" s="48">
        <f t="shared" si="3"/>
        <v>0.18999999999999997</v>
      </c>
      <c r="N22" s="47">
        <f t="shared" si="3"/>
        <v>0.19000000000000009</v>
      </c>
      <c r="O22" s="48">
        <f t="shared" si="3"/>
        <v>0.18999999999999997</v>
      </c>
      <c r="P22" s="47">
        <f t="shared" si="3"/>
        <v>0.19000000000000009</v>
      </c>
      <c r="Q22" s="48">
        <f t="shared" si="3"/>
        <v>0.18999999999999997</v>
      </c>
      <c r="R22" s="47">
        <f t="shared" si="3"/>
        <v>0.19000000000000009</v>
      </c>
      <c r="S22" s="48">
        <f t="shared" si="3"/>
        <v>0.18999999999999997</v>
      </c>
      <c r="T22" s="47">
        <f t="shared" si="3"/>
        <v>0.19000000000000009</v>
      </c>
      <c r="U22" s="48">
        <f t="shared" si="3"/>
        <v>0.18999999999999997</v>
      </c>
      <c r="V22" s="47">
        <f t="shared" si="3"/>
        <v>0.19000000000000009</v>
      </c>
      <c r="W22" s="48">
        <f t="shared" si="3"/>
        <v>0.18999999999999997</v>
      </c>
      <c r="X22" s="47">
        <f t="shared" si="3"/>
        <v>0.19000000000000009</v>
      </c>
      <c r="Y22" s="48">
        <f t="shared" si="3"/>
        <v>0.18999999999999997</v>
      </c>
      <c r="Z22" s="47">
        <f>Z23/Z19</f>
        <v>0.19000000000000009</v>
      </c>
      <c r="AA22" s="48">
        <f>AA23/AA19</f>
        <v>0.18999999999999997</v>
      </c>
      <c r="AB22" s="47">
        <f>AB23/AB19</f>
        <v>0.19000000000000009</v>
      </c>
      <c r="AC22" s="48">
        <f>AC23/AC19</f>
        <v>0.18999999999999997</v>
      </c>
    </row>
    <row r="23" spans="2:29" s="4" customFormat="1" ht="18" customHeight="1" x14ac:dyDescent="0.45">
      <c r="B23" s="1187"/>
      <c r="C23" s="15" t="s">
        <v>38</v>
      </c>
      <c r="D23" s="16"/>
      <c r="E23" s="35"/>
      <c r="F23" s="50">
        <f>F19-F25</f>
        <v>7600.0000000000036</v>
      </c>
      <c r="G23" s="24">
        <f>G19-G25</f>
        <v>1.8627450980392153</v>
      </c>
      <c r="H23" s="50">
        <f>H19-H25</f>
        <v>7600.0000000000036</v>
      </c>
      <c r="I23" s="24">
        <f>I19-I25</f>
        <v>1.8627450980392153</v>
      </c>
      <c r="J23" s="50">
        <f t="shared" ref="J23:Y23" si="4">J19-J25</f>
        <v>7600.0000000000036</v>
      </c>
      <c r="K23" s="24">
        <f t="shared" si="4"/>
        <v>1.8627450980392153</v>
      </c>
      <c r="L23" s="50">
        <f t="shared" si="4"/>
        <v>7600.0000000000036</v>
      </c>
      <c r="M23" s="24">
        <f t="shared" si="4"/>
        <v>1.8627450980392153</v>
      </c>
      <c r="N23" s="50">
        <f t="shared" si="4"/>
        <v>7600.0000000000036</v>
      </c>
      <c r="O23" s="24">
        <f t="shared" si="4"/>
        <v>1.8627450980392153</v>
      </c>
      <c r="P23" s="50">
        <f t="shared" si="4"/>
        <v>7600.0000000000036</v>
      </c>
      <c r="Q23" s="24">
        <f t="shared" si="4"/>
        <v>1.8627450980392153</v>
      </c>
      <c r="R23" s="50">
        <f t="shared" si="4"/>
        <v>7600.0000000000036</v>
      </c>
      <c r="S23" s="24">
        <f t="shared" si="4"/>
        <v>1.8627450980392153</v>
      </c>
      <c r="T23" s="50">
        <f t="shared" si="4"/>
        <v>7600.0000000000036</v>
      </c>
      <c r="U23" s="24">
        <f t="shared" si="4"/>
        <v>1.8627450980392153</v>
      </c>
      <c r="V23" s="50">
        <f t="shared" si="4"/>
        <v>7600.0000000000036</v>
      </c>
      <c r="W23" s="24">
        <f t="shared" si="4"/>
        <v>1.8627450980392153</v>
      </c>
      <c r="X23" s="50">
        <f t="shared" si="4"/>
        <v>7600.0000000000036</v>
      </c>
      <c r="Y23" s="24">
        <f t="shared" si="4"/>
        <v>1.8627450980392153</v>
      </c>
      <c r="Z23" s="50">
        <f>Z19-Z25</f>
        <v>7600.0000000000036</v>
      </c>
      <c r="AA23" s="24">
        <f>AA19-AA25</f>
        <v>1.8627450980392153</v>
      </c>
      <c r="AB23" s="50">
        <f>AB19-AB25</f>
        <v>7600.0000000000036</v>
      </c>
      <c r="AC23" s="24">
        <f>AC19-AC25</f>
        <v>1.8627450980392153</v>
      </c>
    </row>
    <row r="24" spans="2:29" s="4" customFormat="1" ht="18" customHeight="1" x14ac:dyDescent="0.45">
      <c r="B24" s="1187"/>
      <c r="C24" s="51" t="s">
        <v>39</v>
      </c>
      <c r="D24" s="52"/>
      <c r="E24" s="53"/>
      <c r="F24" s="54">
        <f t="shared" ref="F24:AC24" si="5">F25</f>
        <v>32399.999999999996</v>
      </c>
      <c r="G24" s="55">
        <f t="shared" si="5"/>
        <v>7.9411764705882346</v>
      </c>
      <c r="H24" s="54">
        <f t="shared" si="5"/>
        <v>32399.999999999996</v>
      </c>
      <c r="I24" s="55">
        <f t="shared" si="5"/>
        <v>7.9411764705882346</v>
      </c>
      <c r="J24" s="54">
        <f t="shared" si="5"/>
        <v>32399.999999999996</v>
      </c>
      <c r="K24" s="55">
        <f t="shared" si="5"/>
        <v>7.9411764705882346</v>
      </c>
      <c r="L24" s="54">
        <f t="shared" si="5"/>
        <v>32399.999999999996</v>
      </c>
      <c r="M24" s="55">
        <f t="shared" si="5"/>
        <v>7.9411764705882346</v>
      </c>
      <c r="N24" s="54">
        <f t="shared" si="5"/>
        <v>32399.999999999996</v>
      </c>
      <c r="O24" s="55">
        <f t="shared" si="5"/>
        <v>7.9411764705882346</v>
      </c>
      <c r="P24" s="54">
        <f t="shared" si="5"/>
        <v>32399.999999999996</v>
      </c>
      <c r="Q24" s="55">
        <f t="shared" si="5"/>
        <v>7.9411764705882346</v>
      </c>
      <c r="R24" s="54">
        <f t="shared" si="5"/>
        <v>32399.999999999996</v>
      </c>
      <c r="S24" s="55">
        <f t="shared" si="5"/>
        <v>7.9411764705882346</v>
      </c>
      <c r="T24" s="54">
        <f t="shared" si="5"/>
        <v>32399.999999999996</v>
      </c>
      <c r="U24" s="55">
        <f t="shared" si="5"/>
        <v>7.9411764705882346</v>
      </c>
      <c r="V24" s="54">
        <f t="shared" si="5"/>
        <v>32399.999999999996</v>
      </c>
      <c r="W24" s="55">
        <f t="shared" si="5"/>
        <v>7.9411764705882346</v>
      </c>
      <c r="X24" s="54">
        <f t="shared" si="5"/>
        <v>32399.999999999996</v>
      </c>
      <c r="Y24" s="55">
        <f t="shared" si="5"/>
        <v>7.9411764705882346</v>
      </c>
      <c r="Z24" s="54">
        <f t="shared" si="5"/>
        <v>32399.999999999996</v>
      </c>
      <c r="AA24" s="55">
        <f t="shared" si="5"/>
        <v>7.9411764705882346</v>
      </c>
      <c r="AB24" s="54">
        <f t="shared" si="5"/>
        <v>32399.999999999996</v>
      </c>
      <c r="AC24" s="55">
        <f t="shared" si="5"/>
        <v>7.9411764705882346</v>
      </c>
    </row>
    <row r="25" spans="2:29" s="4" customFormat="1" ht="18" customHeight="1" x14ac:dyDescent="0.45">
      <c r="B25" s="1187"/>
      <c r="C25" s="56" t="s">
        <v>40</v>
      </c>
      <c r="D25" s="52"/>
      <c r="E25" s="53"/>
      <c r="F25" s="54">
        <v>32399.999999999996</v>
      </c>
      <c r="G25" s="57">
        <f>+F25/$H$11</f>
        <v>7.9411764705882346</v>
      </c>
      <c r="H25" s="54">
        <f>F25</f>
        <v>32399.999999999996</v>
      </c>
      <c r="I25" s="57">
        <f>+H25/$H$11</f>
        <v>7.9411764705882346</v>
      </c>
      <c r="J25" s="54">
        <f>H25</f>
        <v>32399.999999999996</v>
      </c>
      <c r="K25" s="57">
        <f>+J25/$H$11</f>
        <v>7.9411764705882346</v>
      </c>
      <c r="L25" s="54">
        <f>J25</f>
        <v>32399.999999999996</v>
      </c>
      <c r="M25" s="57">
        <f>+L25/$H$11</f>
        <v>7.9411764705882346</v>
      </c>
      <c r="N25" s="54">
        <v>32399.999999999996</v>
      </c>
      <c r="O25" s="57">
        <f>+N25/$H$11</f>
        <v>7.9411764705882346</v>
      </c>
      <c r="P25" s="54">
        <f>N25</f>
        <v>32399.999999999996</v>
      </c>
      <c r="Q25" s="57">
        <f>+P25/$H$11</f>
        <v>7.9411764705882346</v>
      </c>
      <c r="R25" s="54">
        <f>P25</f>
        <v>32399.999999999996</v>
      </c>
      <c r="S25" s="57">
        <f>+R25/$H$11</f>
        <v>7.9411764705882346</v>
      </c>
      <c r="T25" s="54">
        <f>R25</f>
        <v>32399.999999999996</v>
      </c>
      <c r="U25" s="57">
        <f>+T25/$H$11</f>
        <v>7.9411764705882346</v>
      </c>
      <c r="V25" s="54">
        <v>32399.999999999996</v>
      </c>
      <c r="W25" s="57">
        <f>+V25/$H$11</f>
        <v>7.9411764705882346</v>
      </c>
      <c r="X25" s="54">
        <f>V25</f>
        <v>32399.999999999996</v>
      </c>
      <c r="Y25" s="57">
        <f>+X25/$H$11</f>
        <v>7.9411764705882346</v>
      </c>
      <c r="Z25" s="54">
        <f>X25</f>
        <v>32399.999999999996</v>
      </c>
      <c r="AA25" s="57">
        <f>+Z25/$H$11</f>
        <v>7.9411764705882346</v>
      </c>
      <c r="AB25" s="54">
        <f>Z25</f>
        <v>32399.999999999996</v>
      </c>
      <c r="AC25" s="57">
        <f>+AB25/$H$11</f>
        <v>7.9411764705882346</v>
      </c>
    </row>
    <row r="26" spans="2:29" s="4" customFormat="1" ht="18" customHeight="1" x14ac:dyDescent="0.45">
      <c r="B26" s="1189"/>
      <c r="C26" s="15"/>
      <c r="D26" s="16"/>
      <c r="E26" s="16"/>
      <c r="F26" s="42"/>
      <c r="G26" s="18"/>
      <c r="H26" s="42"/>
      <c r="I26" s="18"/>
      <c r="J26" s="42"/>
      <c r="K26" s="18"/>
      <c r="L26" s="42"/>
      <c r="M26" s="18"/>
      <c r="N26" s="42"/>
      <c r="O26" s="18"/>
      <c r="P26" s="42"/>
      <c r="Q26" s="18"/>
      <c r="R26" s="42"/>
      <c r="S26" s="18"/>
      <c r="T26" s="42"/>
      <c r="U26" s="18"/>
      <c r="V26" s="42"/>
      <c r="W26" s="18"/>
      <c r="X26" s="42"/>
      <c r="Y26" s="18"/>
      <c r="Z26" s="42"/>
      <c r="AA26" s="18"/>
      <c r="AB26" s="42"/>
      <c r="AC26" s="18"/>
    </row>
    <row r="27" spans="2:29" s="4" customFormat="1" ht="18" customHeight="1" x14ac:dyDescent="0.45">
      <c r="B27" s="1197" t="s">
        <v>41</v>
      </c>
      <c r="C27" s="58"/>
      <c r="D27" s="59"/>
      <c r="E27" s="59"/>
      <c r="F27" s="60"/>
      <c r="G27" s="43"/>
      <c r="H27" s="60"/>
      <c r="I27" s="43"/>
      <c r="J27" s="60"/>
      <c r="K27" s="43"/>
      <c r="L27" s="60"/>
      <c r="M27" s="43"/>
      <c r="N27" s="60"/>
      <c r="O27" s="43"/>
      <c r="P27" s="60"/>
      <c r="Q27" s="43"/>
      <c r="R27" s="60"/>
      <c r="S27" s="43"/>
      <c r="T27" s="60"/>
      <c r="U27" s="43"/>
      <c r="V27" s="60"/>
      <c r="W27" s="43"/>
      <c r="X27" s="60"/>
      <c r="Y27" s="43"/>
      <c r="Z27" s="60"/>
      <c r="AA27" s="43"/>
      <c r="AB27" s="60"/>
      <c r="AC27" s="43"/>
    </row>
    <row r="28" spans="2:29" s="49" customFormat="1" ht="18" customHeight="1" x14ac:dyDescent="0.45">
      <c r="B28" s="1194"/>
      <c r="C28" s="44" t="s">
        <v>42</v>
      </c>
      <c r="D28" s="45"/>
      <c r="E28" s="46"/>
      <c r="F28" s="47">
        <f>F29/F25</f>
        <v>7.1541433227013035E-2</v>
      </c>
      <c r="G28" s="48">
        <f>G29/G25</f>
        <v>7.1541433227013021E-2</v>
      </c>
      <c r="H28" s="47">
        <f>H29/H25</f>
        <v>7.1541433227013035E-2</v>
      </c>
      <c r="I28" s="48">
        <f>I29/I25</f>
        <v>7.1541433227013021E-2</v>
      </c>
      <c r="J28" s="47">
        <f t="shared" ref="J28:Y28" si="6">J29/J25</f>
        <v>7.1541433227013035E-2</v>
      </c>
      <c r="K28" s="48">
        <f t="shared" si="6"/>
        <v>7.1541433227013021E-2</v>
      </c>
      <c r="L28" s="47">
        <f t="shared" si="6"/>
        <v>7.1541433227013035E-2</v>
      </c>
      <c r="M28" s="48">
        <f t="shared" si="6"/>
        <v>7.1541433227013021E-2</v>
      </c>
      <c r="N28" s="47">
        <f t="shared" si="6"/>
        <v>7.1541433227013035E-2</v>
      </c>
      <c r="O28" s="48">
        <f t="shared" si="6"/>
        <v>7.1541433227013021E-2</v>
      </c>
      <c r="P28" s="47">
        <f t="shared" si="6"/>
        <v>7.1541433227013035E-2</v>
      </c>
      <c r="Q28" s="48">
        <f t="shared" si="6"/>
        <v>7.1541433227013021E-2</v>
      </c>
      <c r="R28" s="47">
        <f t="shared" si="6"/>
        <v>7.1541433227013035E-2</v>
      </c>
      <c r="S28" s="48">
        <f t="shared" si="6"/>
        <v>7.1541433227013021E-2</v>
      </c>
      <c r="T28" s="47">
        <f t="shared" si="6"/>
        <v>7.1541433227013035E-2</v>
      </c>
      <c r="U28" s="48">
        <f t="shared" si="6"/>
        <v>7.1541433227013021E-2</v>
      </c>
      <c r="V28" s="47">
        <f t="shared" si="6"/>
        <v>7.1541433227013035E-2</v>
      </c>
      <c r="W28" s="48">
        <f t="shared" si="6"/>
        <v>7.1541433227013021E-2</v>
      </c>
      <c r="X28" s="47">
        <f t="shared" si="6"/>
        <v>7.1541433227013035E-2</v>
      </c>
      <c r="Y28" s="48">
        <f t="shared" si="6"/>
        <v>7.1541433227013021E-2</v>
      </c>
      <c r="Z28" s="47">
        <f>Z29/Z25</f>
        <v>7.1541433227013035E-2</v>
      </c>
      <c r="AA28" s="48">
        <f>AA29/AA25</f>
        <v>7.1541433227013021E-2</v>
      </c>
      <c r="AB28" s="47">
        <f>AB29/AB25</f>
        <v>7.1541433227013035E-2</v>
      </c>
      <c r="AC28" s="48">
        <f>AC29/AC25</f>
        <v>7.1541433227013021E-2</v>
      </c>
    </row>
    <row r="29" spans="2:29" s="4" customFormat="1" ht="18" customHeight="1" x14ac:dyDescent="0.45">
      <c r="B29" s="1194"/>
      <c r="C29" s="15" t="s">
        <v>43</v>
      </c>
      <c r="D29" s="16"/>
      <c r="E29" s="35"/>
      <c r="F29" s="50">
        <f>F25-F31</f>
        <v>2317.9424365552222</v>
      </c>
      <c r="G29" s="24">
        <f>G25-G31</f>
        <v>0.5681231462145151</v>
      </c>
      <c r="H29" s="50">
        <f>H25-H31</f>
        <v>2317.9424365552222</v>
      </c>
      <c r="I29" s="24">
        <f>I25-I31</f>
        <v>0.5681231462145151</v>
      </c>
      <c r="J29" s="50">
        <f t="shared" ref="J29:Y29" si="7">J25-J31</f>
        <v>2317.9424365552222</v>
      </c>
      <c r="K29" s="24">
        <f t="shared" si="7"/>
        <v>0.5681231462145151</v>
      </c>
      <c r="L29" s="50">
        <f t="shared" si="7"/>
        <v>2317.9424365552222</v>
      </c>
      <c r="M29" s="24">
        <f t="shared" si="7"/>
        <v>0.5681231462145151</v>
      </c>
      <c r="N29" s="50">
        <f t="shared" si="7"/>
        <v>2317.9424365552222</v>
      </c>
      <c r="O29" s="24">
        <f t="shared" si="7"/>
        <v>0.5681231462145151</v>
      </c>
      <c r="P29" s="50">
        <f t="shared" si="7"/>
        <v>2317.9424365552222</v>
      </c>
      <c r="Q29" s="24">
        <f t="shared" si="7"/>
        <v>0.5681231462145151</v>
      </c>
      <c r="R29" s="50">
        <f t="shared" si="7"/>
        <v>2317.9424365552222</v>
      </c>
      <c r="S29" s="24">
        <f t="shared" si="7"/>
        <v>0.5681231462145151</v>
      </c>
      <c r="T29" s="50">
        <f t="shared" si="7"/>
        <v>2317.9424365552222</v>
      </c>
      <c r="U29" s="24">
        <f t="shared" si="7"/>
        <v>0.5681231462145151</v>
      </c>
      <c r="V29" s="50">
        <f t="shared" si="7"/>
        <v>2317.9424365552222</v>
      </c>
      <c r="W29" s="24">
        <f t="shared" si="7"/>
        <v>0.5681231462145151</v>
      </c>
      <c r="X29" s="50">
        <f t="shared" si="7"/>
        <v>2317.9424365552222</v>
      </c>
      <c r="Y29" s="24">
        <f t="shared" si="7"/>
        <v>0.5681231462145151</v>
      </c>
      <c r="Z29" s="50">
        <f>Z25-Z31</f>
        <v>2317.9424365552222</v>
      </c>
      <c r="AA29" s="24">
        <f>AA25-AA31</f>
        <v>0.5681231462145151</v>
      </c>
      <c r="AB29" s="50">
        <f>AB25-AB31</f>
        <v>2317.9424365552222</v>
      </c>
      <c r="AC29" s="24">
        <f>AC25-AC31</f>
        <v>0.5681231462145151</v>
      </c>
    </row>
    <row r="30" spans="2:29" s="4" customFormat="1" ht="18" customHeight="1" x14ac:dyDescent="0.45">
      <c r="B30" s="1194"/>
      <c r="C30" s="51" t="s">
        <v>44</v>
      </c>
      <c r="D30" s="52"/>
      <c r="E30" s="53"/>
      <c r="F30" s="54">
        <f>+F31</f>
        <v>30082.057563444774</v>
      </c>
      <c r="G30" s="55">
        <f>G31</f>
        <v>7.3730533243737195</v>
      </c>
      <c r="H30" s="54">
        <f>+H31</f>
        <v>30082.057563444774</v>
      </c>
      <c r="I30" s="55">
        <f>I31</f>
        <v>7.3730533243737195</v>
      </c>
      <c r="J30" s="54">
        <f>+J31</f>
        <v>30082.057563444774</v>
      </c>
      <c r="K30" s="55">
        <f>K31</f>
        <v>7.3730533243737195</v>
      </c>
      <c r="L30" s="54">
        <f>+L31</f>
        <v>30082.057563444774</v>
      </c>
      <c r="M30" s="55">
        <f>M31</f>
        <v>7.3730533243737195</v>
      </c>
      <c r="N30" s="54">
        <f>+N31</f>
        <v>30082.057563444774</v>
      </c>
      <c r="O30" s="55">
        <f>O31</f>
        <v>7.3730533243737195</v>
      </c>
      <c r="P30" s="54">
        <f>+P31</f>
        <v>30082.057563444774</v>
      </c>
      <c r="Q30" s="55">
        <f>Q31</f>
        <v>7.3730533243737195</v>
      </c>
      <c r="R30" s="54">
        <f>+R31</f>
        <v>30082.057563444774</v>
      </c>
      <c r="S30" s="55">
        <f>S31</f>
        <v>7.3730533243737195</v>
      </c>
      <c r="T30" s="54">
        <f>+T31</f>
        <v>30082.057563444774</v>
      </c>
      <c r="U30" s="55">
        <f>U31</f>
        <v>7.3730533243737195</v>
      </c>
      <c r="V30" s="54">
        <f>+V31</f>
        <v>30082.057563444774</v>
      </c>
      <c r="W30" s="55">
        <f>W31</f>
        <v>7.3730533243737195</v>
      </c>
      <c r="X30" s="54">
        <f>+X31</f>
        <v>30082.057563444774</v>
      </c>
      <c r="Y30" s="55">
        <f>Y31</f>
        <v>7.3730533243737195</v>
      </c>
      <c r="Z30" s="54">
        <f>+Z31</f>
        <v>30082.057563444774</v>
      </c>
      <c r="AA30" s="55">
        <f>AA31</f>
        <v>7.3730533243737195</v>
      </c>
      <c r="AB30" s="54">
        <f>+AB31</f>
        <v>30082.057563444774</v>
      </c>
      <c r="AC30" s="55">
        <f>AC31</f>
        <v>7.3730533243737195</v>
      </c>
    </row>
    <row r="31" spans="2:29" s="4" customFormat="1" ht="18" customHeight="1" x14ac:dyDescent="0.45">
      <c r="B31" s="1194"/>
      <c r="C31" s="56" t="s">
        <v>45</v>
      </c>
      <c r="D31" s="52"/>
      <c r="E31" s="53"/>
      <c r="F31" s="54">
        <v>30082.057563444774</v>
      </c>
      <c r="G31" s="55">
        <f>+F31/$H$11</f>
        <v>7.3730533243737195</v>
      </c>
      <c r="H31" s="54">
        <v>30082.057563444774</v>
      </c>
      <c r="I31" s="55">
        <f>+H31/$H$11</f>
        <v>7.3730533243737195</v>
      </c>
      <c r="J31" s="54">
        <v>30082.057563444774</v>
      </c>
      <c r="K31" s="55">
        <f>+J31/$H$11</f>
        <v>7.3730533243737195</v>
      </c>
      <c r="L31" s="54">
        <v>30082.057563444774</v>
      </c>
      <c r="M31" s="55">
        <f>+L31/$H$11</f>
        <v>7.3730533243737195</v>
      </c>
      <c r="N31" s="54">
        <v>30082.057563444774</v>
      </c>
      <c r="O31" s="55">
        <f>+N31/$H$11</f>
        <v>7.3730533243737195</v>
      </c>
      <c r="P31" s="54">
        <v>30082.057563444774</v>
      </c>
      <c r="Q31" s="55">
        <f>+P31/$H$11</f>
        <v>7.3730533243737195</v>
      </c>
      <c r="R31" s="54">
        <v>30082.057563444774</v>
      </c>
      <c r="S31" s="55">
        <f>+R31/$H$11</f>
        <v>7.3730533243737195</v>
      </c>
      <c r="T31" s="54">
        <v>30082.057563444774</v>
      </c>
      <c r="U31" s="55">
        <f>+T31/$H$11</f>
        <v>7.3730533243737195</v>
      </c>
      <c r="V31" s="54">
        <v>30082.057563444774</v>
      </c>
      <c r="W31" s="55">
        <f>+V31/$H$11</f>
        <v>7.3730533243737195</v>
      </c>
      <c r="X31" s="54">
        <v>30082.057563444774</v>
      </c>
      <c r="Y31" s="55">
        <f>+X31/$H$11</f>
        <v>7.3730533243737195</v>
      </c>
      <c r="Z31" s="54">
        <v>30082.057563444774</v>
      </c>
      <c r="AA31" s="55">
        <f>+Z31/$H$11</f>
        <v>7.3730533243737195</v>
      </c>
      <c r="AB31" s="54">
        <v>30082.057563444774</v>
      </c>
      <c r="AC31" s="55">
        <f>+AB31/$H$11</f>
        <v>7.3730533243737195</v>
      </c>
    </row>
    <row r="32" spans="2:29" s="4" customFormat="1" ht="18" customHeight="1" x14ac:dyDescent="0.45">
      <c r="B32" s="1195"/>
      <c r="C32" s="25"/>
      <c r="D32" s="26"/>
      <c r="E32" s="26"/>
      <c r="F32" s="61"/>
      <c r="G32" s="41"/>
      <c r="H32" s="61"/>
      <c r="I32" s="41"/>
      <c r="J32" s="61"/>
      <c r="K32" s="41"/>
      <c r="L32" s="61"/>
      <c r="M32" s="41"/>
      <c r="N32" s="61"/>
      <c r="O32" s="41"/>
      <c r="P32" s="61"/>
      <c r="Q32" s="41"/>
      <c r="R32" s="61"/>
      <c r="S32" s="41"/>
      <c r="T32" s="61"/>
      <c r="U32" s="41"/>
      <c r="V32" s="61"/>
      <c r="W32" s="41"/>
      <c r="X32" s="61"/>
      <c r="Y32" s="41"/>
      <c r="Z32" s="61"/>
      <c r="AA32" s="41"/>
      <c r="AB32" s="61"/>
      <c r="AC32" s="41"/>
    </row>
    <row r="33" spans="2:29" s="4" customFormat="1" ht="18" customHeight="1" x14ac:dyDescent="0.45">
      <c r="B33" s="1197" t="s">
        <v>46</v>
      </c>
      <c r="C33" s="58"/>
      <c r="D33" s="59"/>
      <c r="E33" s="59"/>
      <c r="F33" s="60"/>
      <c r="G33" s="43"/>
      <c r="H33" s="60"/>
      <c r="I33" s="43"/>
      <c r="J33" s="60"/>
      <c r="K33" s="43"/>
      <c r="L33" s="60"/>
      <c r="M33" s="43"/>
      <c r="N33" s="60"/>
      <c r="O33" s="43"/>
      <c r="P33" s="60"/>
      <c r="Q33" s="43"/>
      <c r="R33" s="60"/>
      <c r="S33" s="43"/>
      <c r="T33" s="60"/>
      <c r="U33" s="43"/>
      <c r="V33" s="60"/>
      <c r="W33" s="43"/>
      <c r="X33" s="60"/>
      <c r="Y33" s="43"/>
      <c r="Z33" s="60"/>
      <c r="AA33" s="43"/>
      <c r="AB33" s="60"/>
      <c r="AC33" s="43"/>
    </row>
    <row r="34" spans="2:29" s="65" customFormat="1" ht="18" customHeight="1" x14ac:dyDescent="0.45">
      <c r="B34" s="1194"/>
      <c r="C34" s="62" t="s">
        <v>47</v>
      </c>
      <c r="D34" s="63"/>
      <c r="E34" s="64"/>
      <c r="F34" s="47">
        <f t="shared" ref="F34:AC34" si="8">+F35/F31</f>
        <v>0.13332702858206563</v>
      </c>
      <c r="G34" s="48">
        <f t="shared" si="8"/>
        <v>0.13332702858206566</v>
      </c>
      <c r="H34" s="47">
        <f t="shared" si="8"/>
        <v>0.1098293007916977</v>
      </c>
      <c r="I34" s="48">
        <f t="shared" si="8"/>
        <v>0.10982930079169768</v>
      </c>
      <c r="J34" s="47">
        <f t="shared" si="8"/>
        <v>0.13332702858206563</v>
      </c>
      <c r="K34" s="48">
        <f t="shared" si="8"/>
        <v>0.13332702858206566</v>
      </c>
      <c r="L34" s="47">
        <f t="shared" si="8"/>
        <v>0.12236142227989392</v>
      </c>
      <c r="M34" s="48">
        <f t="shared" si="8"/>
        <v>0.12236142227989391</v>
      </c>
      <c r="N34" s="47">
        <f t="shared" si="8"/>
        <v>0.13534465037366097</v>
      </c>
      <c r="O34" s="48">
        <f t="shared" si="8"/>
        <v>0.13534465037366097</v>
      </c>
      <c r="P34" s="47">
        <f t="shared" si="8"/>
        <v>0.11184692258329304</v>
      </c>
      <c r="Q34" s="48">
        <f t="shared" si="8"/>
        <v>0.11184692258329314</v>
      </c>
      <c r="R34" s="47">
        <f t="shared" si="8"/>
        <v>0.13534465037366097</v>
      </c>
      <c r="S34" s="48">
        <f t="shared" si="8"/>
        <v>0.13534465037366097</v>
      </c>
      <c r="T34" s="47">
        <f t="shared" si="8"/>
        <v>0.12437904407148927</v>
      </c>
      <c r="U34" s="48">
        <f t="shared" si="8"/>
        <v>0.12437904407148936</v>
      </c>
      <c r="V34" s="47">
        <f t="shared" si="8"/>
        <v>0.12760806540518427</v>
      </c>
      <c r="W34" s="48">
        <f t="shared" si="8"/>
        <v>0.1276080654051843</v>
      </c>
      <c r="X34" s="47">
        <f t="shared" si="8"/>
        <v>0.10411033761481646</v>
      </c>
      <c r="Y34" s="48">
        <f t="shared" si="8"/>
        <v>0.10411033761481644</v>
      </c>
      <c r="Z34" s="47">
        <f t="shared" si="8"/>
        <v>0.12760806540518427</v>
      </c>
      <c r="AA34" s="48">
        <f t="shared" si="8"/>
        <v>0.1276080654051843</v>
      </c>
      <c r="AB34" s="47">
        <f t="shared" si="8"/>
        <v>0.11664245910301269</v>
      </c>
      <c r="AC34" s="48">
        <f t="shared" si="8"/>
        <v>0.11664245910301267</v>
      </c>
    </row>
    <row r="35" spans="2:29" s="4" customFormat="1" ht="18" customHeight="1" x14ac:dyDescent="0.45">
      <c r="B35" s="1194"/>
      <c r="C35" s="15" t="s">
        <v>48</v>
      </c>
      <c r="D35" s="16"/>
      <c r="E35" s="35"/>
      <c r="F35" s="50">
        <f t="shared" ref="F35:AC35" si="9">+F31-F36</f>
        <v>4010.751348568745</v>
      </c>
      <c r="G35" s="24">
        <f t="shared" si="9"/>
        <v>0.98302729131586908</v>
      </c>
      <c r="H35" s="50">
        <f t="shared" si="9"/>
        <v>3303.8913485687408</v>
      </c>
      <c r="I35" s="24">
        <f t="shared" si="9"/>
        <v>0.80977729131586784</v>
      </c>
      <c r="J35" s="50">
        <f t="shared" si="9"/>
        <v>4010.751348568745</v>
      </c>
      <c r="K35" s="24">
        <f t="shared" si="9"/>
        <v>0.98302729131586908</v>
      </c>
      <c r="L35" s="50">
        <f t="shared" si="9"/>
        <v>3680.8833485687428</v>
      </c>
      <c r="M35" s="24">
        <f t="shared" si="9"/>
        <v>0.90217729131586832</v>
      </c>
      <c r="N35" s="50">
        <f t="shared" si="9"/>
        <v>4071.4455634447768</v>
      </c>
      <c r="O35" s="24">
        <f t="shared" si="9"/>
        <v>0.99790332437371987</v>
      </c>
      <c r="P35" s="50">
        <f t="shared" si="9"/>
        <v>3364.5855634447726</v>
      </c>
      <c r="Q35" s="24">
        <f t="shared" si="9"/>
        <v>0.82465332437371952</v>
      </c>
      <c r="R35" s="50">
        <f t="shared" si="9"/>
        <v>4071.4455634447768</v>
      </c>
      <c r="S35" s="24">
        <f t="shared" si="9"/>
        <v>0.99790332437371987</v>
      </c>
      <c r="T35" s="50">
        <f t="shared" si="9"/>
        <v>3741.5775634447746</v>
      </c>
      <c r="U35" s="24">
        <f t="shared" si="9"/>
        <v>0.91705332437372</v>
      </c>
      <c r="V35" s="50">
        <f t="shared" si="9"/>
        <v>3838.7131690785791</v>
      </c>
      <c r="W35" s="24">
        <f t="shared" si="9"/>
        <v>0.94086107085259307</v>
      </c>
      <c r="X35" s="50">
        <f t="shared" si="9"/>
        <v>3131.8531690785785</v>
      </c>
      <c r="Y35" s="24">
        <f t="shared" si="9"/>
        <v>0.76761107085259273</v>
      </c>
      <c r="Z35" s="50">
        <f t="shared" si="9"/>
        <v>3838.7131690785791</v>
      </c>
      <c r="AA35" s="24">
        <f t="shared" si="9"/>
        <v>0.94086107085259307</v>
      </c>
      <c r="AB35" s="50">
        <f t="shared" si="9"/>
        <v>3508.8451690785805</v>
      </c>
      <c r="AC35" s="24">
        <f t="shared" si="9"/>
        <v>0.86001107085259321</v>
      </c>
    </row>
    <row r="36" spans="2:29" s="4" customFormat="1" ht="18" customHeight="1" x14ac:dyDescent="0.45">
      <c r="B36" s="1194"/>
      <c r="C36" s="19" t="s">
        <v>49</v>
      </c>
      <c r="D36" s="20"/>
      <c r="E36" s="30"/>
      <c r="F36" s="66">
        <f>+G40*F11</f>
        <v>26071.306214876029</v>
      </c>
      <c r="G36" s="32">
        <f>+G40</f>
        <v>6.3900260330578504</v>
      </c>
      <c r="H36" s="66">
        <f>+I40*H11</f>
        <v>26778.166214876033</v>
      </c>
      <c r="I36" s="32">
        <f>+I40</f>
        <v>6.5632760330578517</v>
      </c>
      <c r="J36" s="66">
        <f>+K40*J11</f>
        <v>26071.306214876029</v>
      </c>
      <c r="K36" s="32">
        <f>+K40</f>
        <v>6.3900260330578504</v>
      </c>
      <c r="L36" s="66">
        <f>+M40*L11</f>
        <v>26401.174214876031</v>
      </c>
      <c r="M36" s="32">
        <f>+M40</f>
        <v>6.4708760330578512</v>
      </c>
      <c r="N36" s="66">
        <f>+O40*N11</f>
        <v>26010.611999999997</v>
      </c>
      <c r="O36" s="32">
        <f>+O40</f>
        <v>6.3751499999999997</v>
      </c>
      <c r="P36" s="66">
        <f>+Q40*P11</f>
        <v>26717.472000000002</v>
      </c>
      <c r="Q36" s="32">
        <f>+Q40</f>
        <v>6.5484</v>
      </c>
      <c r="R36" s="66">
        <f>+S40*R11</f>
        <v>26010.611999999997</v>
      </c>
      <c r="S36" s="32">
        <f>+S40</f>
        <v>6.3751499999999997</v>
      </c>
      <c r="T36" s="66">
        <f>+U40*T11</f>
        <v>26340.48</v>
      </c>
      <c r="U36" s="32">
        <f>+U40</f>
        <v>6.4559999999999995</v>
      </c>
      <c r="V36" s="66">
        <f>+W40*V11</f>
        <v>26243.344394366195</v>
      </c>
      <c r="W36" s="32">
        <f>+W40</f>
        <v>6.4321922535211264</v>
      </c>
      <c r="X36" s="66">
        <f>+Y40*X11</f>
        <v>26950.204394366196</v>
      </c>
      <c r="Y36" s="32">
        <f>+Y40</f>
        <v>6.6054422535211268</v>
      </c>
      <c r="Z36" s="66">
        <f>+AA40*Z11</f>
        <v>26243.344394366195</v>
      </c>
      <c r="AA36" s="32">
        <f>+AA40</f>
        <v>6.4321922535211264</v>
      </c>
      <c r="AB36" s="66">
        <f>+AC40*AB11</f>
        <v>26573.212394366194</v>
      </c>
      <c r="AC36" s="32">
        <f>+AC40</f>
        <v>6.5130422535211263</v>
      </c>
    </row>
    <row r="37" spans="2:29" s="4" customFormat="1" ht="18" customHeight="1" x14ac:dyDescent="0.45">
      <c r="B37" s="1195"/>
      <c r="C37" s="67" t="s">
        <v>50</v>
      </c>
      <c r="D37" s="26"/>
      <c r="E37" s="26"/>
      <c r="F37" s="27">
        <v>0</v>
      </c>
      <c r="G37" s="41"/>
      <c r="H37" s="27">
        <v>0</v>
      </c>
      <c r="I37" s="41"/>
      <c r="J37" s="27">
        <v>0</v>
      </c>
      <c r="K37" s="41"/>
      <c r="L37" s="27">
        <v>0</v>
      </c>
      <c r="M37" s="41"/>
      <c r="N37" s="27">
        <v>0</v>
      </c>
      <c r="O37" s="41"/>
      <c r="P37" s="27">
        <v>0</v>
      </c>
      <c r="Q37" s="41"/>
      <c r="R37" s="27">
        <v>0</v>
      </c>
      <c r="S37" s="41"/>
      <c r="T37" s="27">
        <v>0</v>
      </c>
      <c r="U37" s="41"/>
      <c r="V37" s="27">
        <v>0</v>
      </c>
      <c r="W37" s="41"/>
      <c r="X37" s="27">
        <v>0</v>
      </c>
      <c r="Y37" s="41"/>
      <c r="Z37" s="27">
        <v>0</v>
      </c>
      <c r="AA37" s="41"/>
      <c r="AB37" s="27">
        <v>0</v>
      </c>
      <c r="AC37" s="41"/>
    </row>
    <row r="38" spans="2:29" s="4" customFormat="1" ht="18" customHeight="1" x14ac:dyDescent="0.45">
      <c r="B38" s="1183" t="s">
        <v>51</v>
      </c>
      <c r="C38" s="58"/>
      <c r="D38" s="59"/>
      <c r="E38" s="59"/>
      <c r="F38" s="60"/>
      <c r="G38" s="68"/>
      <c r="H38" s="60"/>
      <c r="I38" s="68"/>
      <c r="J38" s="60"/>
      <c r="K38" s="68"/>
      <c r="L38" s="60"/>
      <c r="M38" s="68"/>
      <c r="N38" s="60"/>
      <c r="O38" s="68"/>
      <c r="P38" s="60"/>
      <c r="Q38" s="68"/>
      <c r="R38" s="60"/>
      <c r="S38" s="68"/>
      <c r="T38" s="60"/>
      <c r="U38" s="68"/>
      <c r="V38" s="60"/>
      <c r="W38" s="68"/>
      <c r="X38" s="60"/>
      <c r="Y38" s="68"/>
      <c r="Z38" s="60"/>
      <c r="AA38" s="68"/>
      <c r="AB38" s="60"/>
      <c r="AC38" s="68"/>
    </row>
    <row r="39" spans="2:29" s="4" customFormat="1" ht="18" customHeight="1" x14ac:dyDescent="0.45">
      <c r="B39" s="1184"/>
      <c r="C39" s="19" t="s">
        <v>52</v>
      </c>
      <c r="D39" s="20"/>
      <c r="E39" s="30" t="s">
        <v>53</v>
      </c>
      <c r="F39" s="69">
        <f t="shared" ref="F39:U39" si="10">+F40/F9</f>
        <v>651.78265537190077</v>
      </c>
      <c r="G39" s="70">
        <f t="shared" si="10"/>
        <v>0.15975065082644627</v>
      </c>
      <c r="H39" s="69">
        <f t="shared" si="10"/>
        <v>669.45415537190081</v>
      </c>
      <c r="I39" s="70">
        <f t="shared" si="10"/>
        <v>0.1640819008264463</v>
      </c>
      <c r="J39" s="69">
        <f t="shared" si="10"/>
        <v>651.78265537190077</v>
      </c>
      <c r="K39" s="70">
        <f t="shared" si="10"/>
        <v>0.15975065082644627</v>
      </c>
      <c r="L39" s="69">
        <f t="shared" si="10"/>
        <v>660.02935537190081</v>
      </c>
      <c r="M39" s="70">
        <f t="shared" si="10"/>
        <v>0.16177190082644627</v>
      </c>
      <c r="N39" s="69">
        <f t="shared" si="10"/>
        <v>650.26529999999991</v>
      </c>
      <c r="O39" s="70">
        <f t="shared" si="10"/>
        <v>0.15937874999999999</v>
      </c>
      <c r="P39" s="69">
        <f t="shared" si="10"/>
        <v>667.93680000000006</v>
      </c>
      <c r="Q39" s="70">
        <f t="shared" si="10"/>
        <v>0.16370999999999999</v>
      </c>
      <c r="R39" s="69">
        <f t="shared" si="10"/>
        <v>650.26529999999991</v>
      </c>
      <c r="S39" s="70">
        <f t="shared" si="10"/>
        <v>0.15937874999999999</v>
      </c>
      <c r="T39" s="69">
        <f t="shared" si="10"/>
        <v>658.51199999999994</v>
      </c>
      <c r="U39" s="70">
        <f t="shared" si="10"/>
        <v>0.16139999999999999</v>
      </c>
      <c r="V39" s="69">
        <f>+V40/V9</f>
        <v>656.08360985915488</v>
      </c>
      <c r="W39" s="70">
        <f t="shared" ref="W39:AC39" si="11">+W40/W9</f>
        <v>0.16080480633802816</v>
      </c>
      <c r="X39" s="69">
        <f t="shared" si="11"/>
        <v>673.75510985915491</v>
      </c>
      <c r="Y39" s="70">
        <f t="shared" si="11"/>
        <v>0.16513605633802816</v>
      </c>
      <c r="Z39" s="69">
        <f t="shared" si="11"/>
        <v>656.08360985915488</v>
      </c>
      <c r="AA39" s="70">
        <f t="shared" si="11"/>
        <v>0.16080480633802816</v>
      </c>
      <c r="AB39" s="69">
        <f t="shared" si="11"/>
        <v>664.3303098591548</v>
      </c>
      <c r="AC39" s="70">
        <f t="shared" si="11"/>
        <v>0.16282605633802816</v>
      </c>
    </row>
    <row r="40" spans="2:29" s="4" customFormat="1" ht="18" customHeight="1" x14ac:dyDescent="0.45">
      <c r="B40" s="1184"/>
      <c r="C40" s="19" t="s">
        <v>54</v>
      </c>
      <c r="D40" s="20"/>
      <c r="E40" s="30" t="s">
        <v>53</v>
      </c>
      <c r="F40" s="69">
        <f>+G40*F11</f>
        <v>26071.306214876029</v>
      </c>
      <c r="G40" s="70">
        <f>+G41+G43+G47+G45</f>
        <v>6.3900260330578504</v>
      </c>
      <c r="H40" s="69">
        <f>+I40*H11</f>
        <v>26778.166214876033</v>
      </c>
      <c r="I40" s="70">
        <f>+I41+I43+I47+I45</f>
        <v>6.5632760330578517</v>
      </c>
      <c r="J40" s="69">
        <f>+K40*J11</f>
        <v>26071.306214876029</v>
      </c>
      <c r="K40" s="70">
        <f>+K41+K43+K47+K45</f>
        <v>6.3900260330578504</v>
      </c>
      <c r="L40" s="69">
        <f>+M40*L11</f>
        <v>26401.174214876031</v>
      </c>
      <c r="M40" s="70">
        <f>+M41+M43+M47+M45</f>
        <v>6.4708760330578512</v>
      </c>
      <c r="N40" s="69">
        <f>+O40*N11</f>
        <v>26010.611999999997</v>
      </c>
      <c r="O40" s="70">
        <f>+O41+O43+O47+O45</f>
        <v>6.3751499999999997</v>
      </c>
      <c r="P40" s="69">
        <f>+Q40*P11</f>
        <v>26717.472000000002</v>
      </c>
      <c r="Q40" s="70">
        <f>+Q41+Q43+Q47+Q45</f>
        <v>6.5484</v>
      </c>
      <c r="R40" s="69">
        <f>+S40*R11</f>
        <v>26010.611999999997</v>
      </c>
      <c r="S40" s="70">
        <f>+S41+S43+S47+S45</f>
        <v>6.3751499999999997</v>
      </c>
      <c r="T40" s="69">
        <f>+U40*T11</f>
        <v>26340.48</v>
      </c>
      <c r="U40" s="70">
        <f>+U41+U43+U47+U45</f>
        <v>6.4559999999999995</v>
      </c>
      <c r="V40" s="69">
        <f>+W40*V11</f>
        <v>26243.344394366195</v>
      </c>
      <c r="W40" s="70">
        <f>+W41+W43+W47+W45</f>
        <v>6.4321922535211264</v>
      </c>
      <c r="X40" s="69">
        <f>+Y40*X11</f>
        <v>26950.204394366196</v>
      </c>
      <c r="Y40" s="70">
        <f>+Y41+Y43+Y47+Y45</f>
        <v>6.6054422535211268</v>
      </c>
      <c r="Z40" s="69">
        <f>+AA40*Z11</f>
        <v>26243.344394366195</v>
      </c>
      <c r="AA40" s="70">
        <f>+AA41+AA43+AA47+AA45</f>
        <v>6.4321922535211264</v>
      </c>
      <c r="AB40" s="69">
        <f>+AC40*AB11</f>
        <v>26573.212394366194</v>
      </c>
      <c r="AC40" s="70">
        <f>+AC41+AC43+AC47+AC45</f>
        <v>6.5130422535211263</v>
      </c>
    </row>
    <row r="41" spans="2:29" s="4" customFormat="1" ht="18" customHeight="1" x14ac:dyDescent="0.45">
      <c r="B41" s="1184"/>
      <c r="C41" s="71" t="s">
        <v>55</v>
      </c>
      <c r="D41" s="16"/>
      <c r="E41" s="35" t="s">
        <v>53</v>
      </c>
      <c r="F41" s="50"/>
      <c r="G41" s="72">
        <f>+G42*G47</f>
        <v>0.25650000000000001</v>
      </c>
      <c r="H41" s="50"/>
      <c r="I41" s="72">
        <f>+I42*I47</f>
        <v>0.26400000000000001</v>
      </c>
      <c r="J41" s="50"/>
      <c r="K41" s="72">
        <f>+K42*K47</f>
        <v>0.25650000000000001</v>
      </c>
      <c r="L41" s="50"/>
      <c r="M41" s="72">
        <f>+M42*M47</f>
        <v>0.25999999999999995</v>
      </c>
      <c r="N41" s="50"/>
      <c r="O41" s="72">
        <f>+O42*O47</f>
        <v>0.25650000000000001</v>
      </c>
      <c r="P41" s="50"/>
      <c r="Q41" s="72">
        <f>+Q42*Q47</f>
        <v>0.26400000000000001</v>
      </c>
      <c r="R41" s="50"/>
      <c r="S41" s="72">
        <f>+S42*S47</f>
        <v>0.25650000000000001</v>
      </c>
      <c r="T41" s="50"/>
      <c r="U41" s="72">
        <f>+U42*U47</f>
        <v>0.25999999999999995</v>
      </c>
      <c r="V41" s="50"/>
      <c r="W41" s="72">
        <f>+W42*W47</f>
        <v>0.25650000000000001</v>
      </c>
      <c r="X41" s="50"/>
      <c r="Y41" s="72">
        <f>+Y42*Y47</f>
        <v>0.26400000000000001</v>
      </c>
      <c r="Z41" s="50"/>
      <c r="AA41" s="72">
        <f>+AA42*AA47</f>
        <v>0.25650000000000001</v>
      </c>
      <c r="AB41" s="50"/>
      <c r="AC41" s="72">
        <f>+AC42*AC47</f>
        <v>0.25999999999999995</v>
      </c>
    </row>
    <row r="42" spans="2:29" s="4" customFormat="1" ht="18" customHeight="1" x14ac:dyDescent="0.45">
      <c r="B42" s="1184"/>
      <c r="C42" s="15" t="s">
        <v>56</v>
      </c>
      <c r="D42" s="16"/>
      <c r="E42" s="16"/>
      <c r="F42" s="73"/>
      <c r="G42" s="74">
        <v>0.05</v>
      </c>
      <c r="H42" s="73"/>
      <c r="I42" s="74">
        <f>G42</f>
        <v>0.05</v>
      </c>
      <c r="J42" s="73"/>
      <c r="K42" s="74">
        <f>I42</f>
        <v>0.05</v>
      </c>
      <c r="L42" s="73"/>
      <c r="M42" s="74">
        <f>K42</f>
        <v>0.05</v>
      </c>
      <c r="N42" s="73"/>
      <c r="O42" s="74">
        <v>0.05</v>
      </c>
      <c r="P42" s="73"/>
      <c r="Q42" s="74">
        <f>O42</f>
        <v>0.05</v>
      </c>
      <c r="R42" s="73"/>
      <c r="S42" s="74">
        <f>Q42</f>
        <v>0.05</v>
      </c>
      <c r="T42" s="73"/>
      <c r="U42" s="74">
        <f>S42</f>
        <v>0.05</v>
      </c>
      <c r="V42" s="73"/>
      <c r="W42" s="74">
        <v>0.05</v>
      </c>
      <c r="X42" s="73"/>
      <c r="Y42" s="74">
        <f>W42</f>
        <v>0.05</v>
      </c>
      <c r="Z42" s="73"/>
      <c r="AA42" s="74">
        <f>Y42</f>
        <v>0.05</v>
      </c>
      <c r="AB42" s="73"/>
      <c r="AC42" s="74">
        <f>AA42</f>
        <v>0.05</v>
      </c>
    </row>
    <row r="43" spans="2:29" s="4" customFormat="1" ht="18" customHeight="1" x14ac:dyDescent="0.45">
      <c r="B43" s="1184"/>
      <c r="C43" s="71" t="s">
        <v>57</v>
      </c>
      <c r="D43" s="75"/>
      <c r="E43" s="35" t="s">
        <v>53</v>
      </c>
      <c r="F43" s="50"/>
      <c r="G43" s="72">
        <f>$D$44/G56</f>
        <v>0.46487603305785125</v>
      </c>
      <c r="H43" s="50"/>
      <c r="I43" s="72">
        <f>$D$44/I56</f>
        <v>0.46487603305785125</v>
      </c>
      <c r="J43" s="50"/>
      <c r="K43" s="72">
        <f>$D$44/K56</f>
        <v>0.46487603305785125</v>
      </c>
      <c r="L43" s="50"/>
      <c r="M43" s="72">
        <f>$D$44/M56</f>
        <v>0.46487603305785125</v>
      </c>
      <c r="N43" s="50"/>
      <c r="O43" s="72">
        <f>$D$44/O56</f>
        <v>0.45</v>
      </c>
      <c r="P43" s="50"/>
      <c r="Q43" s="72">
        <f>$D$44/Q56</f>
        <v>0.45</v>
      </c>
      <c r="R43" s="50"/>
      <c r="S43" s="72">
        <f>$D$44/S56</f>
        <v>0.45</v>
      </c>
      <c r="T43" s="50"/>
      <c r="U43" s="72">
        <f>$D$44/U56</f>
        <v>0.45</v>
      </c>
      <c r="V43" s="50"/>
      <c r="W43" s="72">
        <f>$D$44/W56</f>
        <v>0.50704225352112675</v>
      </c>
      <c r="X43" s="50"/>
      <c r="Y43" s="72">
        <f>$D$44/Y56</f>
        <v>0.50704225352112675</v>
      </c>
      <c r="Z43" s="50"/>
      <c r="AA43" s="72">
        <f>$D$44/AA56</f>
        <v>0.50704225352112675</v>
      </c>
      <c r="AB43" s="50"/>
      <c r="AC43" s="72">
        <f>$D$44/AC56</f>
        <v>0.50704225352112675</v>
      </c>
    </row>
    <row r="44" spans="2:29" s="4" customFormat="1" ht="18" customHeight="1" x14ac:dyDescent="0.45">
      <c r="B44" s="1184"/>
      <c r="C44" s="71" t="s">
        <v>58</v>
      </c>
      <c r="D44" s="76">
        <v>1800</v>
      </c>
      <c r="E44" s="16"/>
      <c r="F44" s="73"/>
      <c r="G44" s="74">
        <f>G43/G47</f>
        <v>9.0619109757865746E-2</v>
      </c>
      <c r="H44" s="73"/>
      <c r="I44" s="74">
        <f>I43/I47</f>
        <v>8.8044703230653637E-2</v>
      </c>
      <c r="J44" s="73"/>
      <c r="K44" s="74">
        <f>K43/K47</f>
        <v>9.0619109757865746E-2</v>
      </c>
      <c r="L44" s="73"/>
      <c r="M44" s="74">
        <f>M43/M47</f>
        <v>8.9399237126509865E-2</v>
      </c>
      <c r="N44" s="73"/>
      <c r="O44" s="74">
        <f>O43/O47</f>
        <v>8.7719298245614044E-2</v>
      </c>
      <c r="P44" s="73"/>
      <c r="Q44" s="74">
        <f>Q43/Q47</f>
        <v>8.5227272727272721E-2</v>
      </c>
      <c r="R44" s="73"/>
      <c r="S44" s="74">
        <f>S43/S47</f>
        <v>8.7719298245614044E-2</v>
      </c>
      <c r="T44" s="73"/>
      <c r="U44" s="74">
        <f>U43/U47</f>
        <v>8.653846153846155E-2</v>
      </c>
      <c r="V44" s="73"/>
      <c r="W44" s="74">
        <f>W43/W47</f>
        <v>9.8838645910551026E-2</v>
      </c>
      <c r="X44" s="73"/>
      <c r="Y44" s="74">
        <f>Y43/Y47</f>
        <v>9.6030729833546727E-2</v>
      </c>
      <c r="Z44" s="73"/>
      <c r="AA44" s="74">
        <f>AA43/AA47</f>
        <v>9.8838645910551026E-2</v>
      </c>
      <c r="AB44" s="73"/>
      <c r="AC44" s="74">
        <f>AC43/AC47</f>
        <v>9.7508125677139776E-2</v>
      </c>
    </row>
    <row r="45" spans="2:29" s="4" customFormat="1" ht="18" customHeight="1" x14ac:dyDescent="0.45">
      <c r="B45" s="1184"/>
      <c r="C45" s="77" t="s">
        <v>59</v>
      </c>
      <c r="D45" s="76"/>
      <c r="E45" s="16"/>
      <c r="F45" s="73"/>
      <c r="G45" s="72">
        <f>(G46*(G47+G41))</f>
        <v>0.53864999999999996</v>
      </c>
      <c r="H45" s="73"/>
      <c r="I45" s="72">
        <f>(I46*(I47+I41))</f>
        <v>0.55440000000000011</v>
      </c>
      <c r="J45" s="73"/>
      <c r="K45" s="72">
        <f>(K46*(K47+K41))</f>
        <v>0.53864999999999996</v>
      </c>
      <c r="L45" s="73"/>
      <c r="M45" s="72">
        <f>(M46*(M47+M41))</f>
        <v>0.54599999999999993</v>
      </c>
      <c r="N45" s="73"/>
      <c r="O45" s="72">
        <f>(O46*(O47+O41))</f>
        <v>0.53864999999999996</v>
      </c>
      <c r="P45" s="73"/>
      <c r="Q45" s="72">
        <f>(Q46*(Q47+Q41))</f>
        <v>0.55440000000000011</v>
      </c>
      <c r="R45" s="73"/>
      <c r="S45" s="72">
        <f>(S46*(S47+S41))</f>
        <v>0.53864999999999996</v>
      </c>
      <c r="T45" s="73"/>
      <c r="U45" s="72">
        <f>(U46*(U47+U41))</f>
        <v>0.54599999999999993</v>
      </c>
      <c r="V45" s="73"/>
      <c r="W45" s="72">
        <f>(W46*(W47+W41))</f>
        <v>0.53864999999999996</v>
      </c>
      <c r="X45" s="73"/>
      <c r="Y45" s="72">
        <f>(Y46*(Y47+Y41))</f>
        <v>0.55440000000000011</v>
      </c>
      <c r="Z45" s="73"/>
      <c r="AA45" s="72">
        <f>(AA46*(AA47+AA41))</f>
        <v>0.53864999999999996</v>
      </c>
      <c r="AB45" s="73"/>
      <c r="AC45" s="72">
        <f>(AC46*(AC47+AC41))</f>
        <v>0.54599999999999993</v>
      </c>
    </row>
    <row r="46" spans="2:29" s="4" customFormat="1" ht="18" customHeight="1" x14ac:dyDescent="0.45">
      <c r="B46" s="1184"/>
      <c r="C46" s="77" t="s">
        <v>60</v>
      </c>
      <c r="D46" s="76"/>
      <c r="E46" s="16"/>
      <c r="F46" s="73"/>
      <c r="G46" s="74">
        <v>0.1</v>
      </c>
      <c r="H46" s="73"/>
      <c r="I46" s="74">
        <v>0.1</v>
      </c>
      <c r="J46" s="73"/>
      <c r="K46" s="74">
        <v>0.1</v>
      </c>
      <c r="L46" s="73"/>
      <c r="M46" s="74">
        <v>0.1</v>
      </c>
      <c r="N46" s="73"/>
      <c r="O46" s="74">
        <v>0.1</v>
      </c>
      <c r="P46" s="73"/>
      <c r="Q46" s="74">
        <v>0.1</v>
      </c>
      <c r="R46" s="73"/>
      <c r="S46" s="74">
        <v>0.1</v>
      </c>
      <c r="T46" s="73"/>
      <c r="U46" s="74">
        <v>0.1</v>
      </c>
      <c r="V46" s="73"/>
      <c r="W46" s="74">
        <v>0.1</v>
      </c>
      <c r="X46" s="73"/>
      <c r="Y46" s="74">
        <v>0.1</v>
      </c>
      <c r="Z46" s="73"/>
      <c r="AA46" s="74">
        <v>0.1</v>
      </c>
      <c r="AB46" s="73"/>
      <c r="AC46" s="74">
        <v>0.1</v>
      </c>
    </row>
    <row r="47" spans="2:29" s="4" customFormat="1" ht="18" customHeight="1" x14ac:dyDescent="0.45">
      <c r="B47" s="1184"/>
      <c r="C47" s="78" t="s">
        <v>61</v>
      </c>
      <c r="D47" s="79"/>
      <c r="E47" s="80" t="s">
        <v>53</v>
      </c>
      <c r="F47" s="81"/>
      <c r="G47" s="82">
        <f>G51-G48+G49</f>
        <v>5.13</v>
      </c>
      <c r="H47" s="81"/>
      <c r="I47" s="82">
        <f>I51-I48+I49</f>
        <v>5.28</v>
      </c>
      <c r="J47" s="81"/>
      <c r="K47" s="82">
        <f>K51-K48+K49</f>
        <v>5.13</v>
      </c>
      <c r="L47" s="81"/>
      <c r="M47" s="82">
        <f>M51-M48+M49</f>
        <v>5.1999999999999993</v>
      </c>
      <c r="N47" s="81"/>
      <c r="O47" s="82">
        <f>O51-O48+O49</f>
        <v>5.13</v>
      </c>
      <c r="P47" s="81"/>
      <c r="Q47" s="82">
        <f>Q51-Q48+Q49</f>
        <v>5.28</v>
      </c>
      <c r="R47" s="81"/>
      <c r="S47" s="82">
        <f>S51-S48+S49</f>
        <v>5.13</v>
      </c>
      <c r="T47" s="81"/>
      <c r="U47" s="82">
        <f>U51-U48+U49</f>
        <v>5.1999999999999993</v>
      </c>
      <c r="V47" s="81"/>
      <c r="W47" s="82">
        <f>W51-W48+W49</f>
        <v>5.13</v>
      </c>
      <c r="X47" s="81"/>
      <c r="Y47" s="82">
        <f>Y51-Y48+Y49</f>
        <v>5.28</v>
      </c>
      <c r="Z47" s="81"/>
      <c r="AA47" s="82">
        <f>AA51-AA48+AA49</f>
        <v>5.13</v>
      </c>
      <c r="AB47" s="81"/>
      <c r="AC47" s="82">
        <f>AC51-AC48+AC49</f>
        <v>5.1999999999999993</v>
      </c>
    </row>
    <row r="48" spans="2:29" s="4" customFormat="1" ht="18" customHeight="1" x14ac:dyDescent="0.45">
      <c r="B48" s="1184"/>
      <c r="C48" s="83" t="s">
        <v>62</v>
      </c>
      <c r="D48" s="83"/>
      <c r="E48" s="84" t="str">
        <f>+E47</f>
        <v xml:space="preserve">USD </v>
      </c>
      <c r="F48" s="85"/>
      <c r="G48" s="86">
        <v>0.47</v>
      </c>
      <c r="H48" s="85"/>
      <c r="I48" s="86">
        <f>G48</f>
        <v>0.47</v>
      </c>
      <c r="J48" s="85"/>
      <c r="K48" s="86">
        <v>0.47</v>
      </c>
      <c r="L48" s="85"/>
      <c r="M48" s="86">
        <v>0.4</v>
      </c>
      <c r="N48" s="85"/>
      <c r="O48" s="86">
        <v>0.47</v>
      </c>
      <c r="P48" s="85"/>
      <c r="Q48" s="86">
        <f>O48</f>
        <v>0.47</v>
      </c>
      <c r="R48" s="85"/>
      <c r="S48" s="86">
        <v>0.47</v>
      </c>
      <c r="T48" s="85"/>
      <c r="U48" s="86">
        <v>0.4</v>
      </c>
      <c r="V48" s="85"/>
      <c r="W48" s="86">
        <v>0.47</v>
      </c>
      <c r="X48" s="85"/>
      <c r="Y48" s="86">
        <f>W48</f>
        <v>0.47</v>
      </c>
      <c r="Z48" s="85"/>
      <c r="AA48" s="86">
        <v>0.47</v>
      </c>
      <c r="AB48" s="85"/>
      <c r="AC48" s="86">
        <v>0.4</v>
      </c>
    </row>
    <row r="49" spans="2:29" s="4" customFormat="1" ht="18" customHeight="1" x14ac:dyDescent="0.45">
      <c r="B49" s="1184"/>
      <c r="C49" s="87" t="s">
        <v>63</v>
      </c>
      <c r="D49" s="83"/>
      <c r="E49" s="84" t="str">
        <f>+E48</f>
        <v xml:space="preserve">USD </v>
      </c>
      <c r="F49" s="85"/>
      <c r="G49" s="86">
        <v>0</v>
      </c>
      <c r="H49" s="85"/>
      <c r="I49" s="86">
        <v>0</v>
      </c>
      <c r="J49" s="85"/>
      <c r="K49" s="86">
        <v>0</v>
      </c>
      <c r="L49" s="85"/>
      <c r="M49" s="86">
        <v>0</v>
      </c>
      <c r="N49" s="85"/>
      <c r="O49" s="86">
        <v>0</v>
      </c>
      <c r="P49" s="85"/>
      <c r="Q49" s="86">
        <v>0</v>
      </c>
      <c r="R49" s="85"/>
      <c r="S49" s="86">
        <v>0</v>
      </c>
      <c r="T49" s="85"/>
      <c r="U49" s="86">
        <v>0</v>
      </c>
      <c r="V49" s="85"/>
      <c r="W49" s="86">
        <v>0</v>
      </c>
      <c r="X49" s="85"/>
      <c r="Y49" s="86">
        <v>0</v>
      </c>
      <c r="Z49" s="85"/>
      <c r="AA49" s="86">
        <v>0</v>
      </c>
      <c r="AB49" s="85"/>
      <c r="AC49" s="86">
        <v>0</v>
      </c>
    </row>
    <row r="50" spans="2:29" s="4" customFormat="1" ht="18" hidden="1" customHeight="1" x14ac:dyDescent="0.45">
      <c r="B50" s="1184"/>
      <c r="C50" s="87" t="s">
        <v>64</v>
      </c>
      <c r="D50" s="83"/>
      <c r="E50" s="84" t="s">
        <v>53</v>
      </c>
      <c r="F50" s="85"/>
      <c r="G50" s="86">
        <f>+G53+G55+G57</f>
        <v>5.6030799999999994</v>
      </c>
      <c r="H50" s="85"/>
      <c r="I50" s="86">
        <f>+I53+I55+I57</f>
        <v>5.7531625000000002</v>
      </c>
      <c r="J50" s="85"/>
      <c r="K50" s="86">
        <f>+K53+K55+K57</f>
        <v>5.6030799999999994</v>
      </c>
      <c r="L50" s="85"/>
      <c r="M50" s="86">
        <f>+M53+M55+M57</f>
        <v>5.6030799999999994</v>
      </c>
      <c r="N50" s="85"/>
      <c r="O50" s="86">
        <f>+O53+O55+O57</f>
        <v>5.6030799999999994</v>
      </c>
      <c r="P50" s="85"/>
      <c r="Q50" s="86">
        <f>+Q53+Q55+Q57</f>
        <v>5.7531625000000002</v>
      </c>
      <c r="R50" s="85"/>
      <c r="S50" s="86">
        <f>+S53+S55+S57</f>
        <v>5.6030799999999994</v>
      </c>
      <c r="T50" s="85"/>
      <c r="U50" s="86">
        <f>+U53+U55+U57</f>
        <v>5.6030799999999994</v>
      </c>
      <c r="V50" s="85"/>
      <c r="W50" s="86">
        <f>+W53+W55+W57</f>
        <v>5.6030800000000003</v>
      </c>
      <c r="X50" s="85"/>
      <c r="Y50" s="86">
        <f>+Y53+Y55+Y57</f>
        <v>5.7531625000000002</v>
      </c>
      <c r="Z50" s="85"/>
      <c r="AA50" s="86">
        <f>+AA53+AA55+AA57</f>
        <v>5.6030800000000003</v>
      </c>
      <c r="AB50" s="85"/>
      <c r="AC50" s="86">
        <f>+AC53+AC55+AC57</f>
        <v>5.6030800000000003</v>
      </c>
    </row>
    <row r="51" spans="2:29" s="4" customFormat="1" ht="18" customHeight="1" x14ac:dyDescent="0.45">
      <c r="B51" s="1184"/>
      <c r="C51" s="78" t="s">
        <v>65</v>
      </c>
      <c r="D51" s="79"/>
      <c r="E51" s="80" t="s">
        <v>53</v>
      </c>
      <c r="F51" s="81"/>
      <c r="G51" s="82">
        <v>5.6</v>
      </c>
      <c r="H51" s="81"/>
      <c r="I51" s="82">
        <v>5.75</v>
      </c>
      <c r="J51" s="81"/>
      <c r="K51" s="82">
        <v>5.6</v>
      </c>
      <c r="L51" s="81"/>
      <c r="M51" s="82">
        <v>5.6</v>
      </c>
      <c r="N51" s="81"/>
      <c r="O51" s="82">
        <v>5.6</v>
      </c>
      <c r="P51" s="81"/>
      <c r="Q51" s="82">
        <v>5.75</v>
      </c>
      <c r="R51" s="81"/>
      <c r="S51" s="82">
        <v>5.6</v>
      </c>
      <c r="T51" s="81"/>
      <c r="U51" s="82">
        <v>5.6</v>
      </c>
      <c r="V51" s="81"/>
      <c r="W51" s="82">
        <v>5.6</v>
      </c>
      <c r="X51" s="81"/>
      <c r="Y51" s="82">
        <v>5.75</v>
      </c>
      <c r="Z51" s="81"/>
      <c r="AA51" s="82">
        <v>5.6</v>
      </c>
      <c r="AB51" s="81"/>
      <c r="AC51" s="82">
        <v>5.6</v>
      </c>
    </row>
    <row r="52" spans="2:29" s="4" customFormat="1" ht="18" customHeight="1" x14ac:dyDescent="0.45">
      <c r="B52" s="1184"/>
      <c r="C52" s="12" t="s">
        <v>66</v>
      </c>
      <c r="D52" s="11"/>
      <c r="E52" s="16"/>
      <c r="F52" s="42"/>
      <c r="G52" s="88"/>
      <c r="H52" s="42"/>
      <c r="I52" s="88"/>
      <c r="J52" s="42"/>
      <c r="K52" s="88"/>
      <c r="L52" s="42"/>
      <c r="M52" s="88"/>
      <c r="N52" s="42"/>
      <c r="O52" s="88"/>
      <c r="P52" s="42"/>
      <c r="Q52" s="88"/>
      <c r="R52" s="42"/>
      <c r="S52" s="88"/>
      <c r="T52" s="42"/>
      <c r="U52" s="88"/>
      <c r="V52" s="42"/>
      <c r="W52" s="88"/>
      <c r="X52" s="42"/>
      <c r="Y52" s="88"/>
      <c r="Z52" s="42"/>
      <c r="AA52" s="88"/>
      <c r="AB52" s="42"/>
      <c r="AC52" s="88"/>
    </row>
    <row r="53" spans="2:29" s="4" customFormat="1" ht="18" customHeight="1" x14ac:dyDescent="0.45">
      <c r="B53" s="1184"/>
      <c r="C53" s="15" t="s">
        <v>67</v>
      </c>
      <c r="D53" s="16"/>
      <c r="E53" s="35" t="s">
        <v>68</v>
      </c>
      <c r="F53" s="89"/>
      <c r="G53" s="90">
        <f>0.055/100*(G57+(G54/G56))</f>
        <v>3.0799999999999998E-3</v>
      </c>
      <c r="H53" s="89"/>
      <c r="I53" s="90">
        <f>0.055/100*(I57+(I54/I56))</f>
        <v>3.1625000000000004E-3</v>
      </c>
      <c r="J53" s="89"/>
      <c r="K53" s="90">
        <f>0.055/100*(K57+(K54/K56))</f>
        <v>3.0799999999999998E-3</v>
      </c>
      <c r="L53" s="89"/>
      <c r="M53" s="90">
        <f>0.055/100*(M57+(M54/M56))</f>
        <v>3.0799999999999998E-3</v>
      </c>
      <c r="N53" s="89"/>
      <c r="O53" s="90">
        <f>0.055/100*(O57+(O54/O56))</f>
        <v>3.0799999999999998E-3</v>
      </c>
      <c r="P53" s="89"/>
      <c r="Q53" s="90">
        <f>0.055/100*(Q57+(Q54/Q56))</f>
        <v>3.1625000000000004E-3</v>
      </c>
      <c r="R53" s="89"/>
      <c r="S53" s="90">
        <f>0.055/100*(S57+(S54/S56))</f>
        <v>3.0799999999999998E-3</v>
      </c>
      <c r="T53" s="89"/>
      <c r="U53" s="90">
        <f>0.055/100*(U57+(U54/U56))</f>
        <v>3.0799999999999998E-3</v>
      </c>
      <c r="V53" s="89"/>
      <c r="W53" s="90">
        <f>0.055/100*(W57+(W54/W56))</f>
        <v>3.0799999999999998E-3</v>
      </c>
      <c r="X53" s="89"/>
      <c r="Y53" s="90">
        <f>0.055/100*(Y57+(Y54/Y56))</f>
        <v>3.1625000000000004E-3</v>
      </c>
      <c r="Z53" s="89"/>
      <c r="AA53" s="90">
        <f>0.055/100*(AA57+(AA54/AA56))</f>
        <v>3.0799999999999998E-3</v>
      </c>
      <c r="AB53" s="89"/>
      <c r="AC53" s="90">
        <f>0.055/100*(AC57+(AC54/AC56))</f>
        <v>3.0799999999999998E-3</v>
      </c>
    </row>
    <row r="54" spans="2:29" s="4" customFormat="1" ht="18" customHeight="1" x14ac:dyDescent="0.45">
      <c r="B54" s="1184"/>
      <c r="C54" s="15" t="s">
        <v>69</v>
      </c>
      <c r="D54" s="34" t="s">
        <v>70</v>
      </c>
      <c r="E54" s="16"/>
      <c r="F54" s="42"/>
      <c r="G54" s="91">
        <v>620</v>
      </c>
      <c r="H54" s="42"/>
      <c r="I54" s="91">
        <f>G54</f>
        <v>620</v>
      </c>
      <c r="J54" s="42"/>
      <c r="K54" s="91">
        <f>I54</f>
        <v>620</v>
      </c>
      <c r="L54" s="42"/>
      <c r="M54" s="91">
        <f>K54</f>
        <v>620</v>
      </c>
      <c r="N54" s="42"/>
      <c r="O54" s="91">
        <v>620</v>
      </c>
      <c r="P54" s="42"/>
      <c r="Q54" s="91">
        <f>O54</f>
        <v>620</v>
      </c>
      <c r="R54" s="42"/>
      <c r="S54" s="91">
        <f>Q54</f>
        <v>620</v>
      </c>
      <c r="T54" s="42"/>
      <c r="U54" s="91">
        <f>S54</f>
        <v>620</v>
      </c>
      <c r="V54" s="42"/>
      <c r="W54" s="91">
        <v>620</v>
      </c>
      <c r="X54" s="42"/>
      <c r="Y54" s="91">
        <f>W54</f>
        <v>620</v>
      </c>
      <c r="Z54" s="42"/>
      <c r="AA54" s="91">
        <f>Y54</f>
        <v>620</v>
      </c>
      <c r="AB54" s="42"/>
      <c r="AC54" s="91">
        <f>AA54</f>
        <v>620</v>
      </c>
    </row>
    <row r="55" spans="2:29" s="97" customFormat="1" ht="18" customHeight="1" x14ac:dyDescent="0.45">
      <c r="B55" s="1184"/>
      <c r="C55" s="92" t="str">
        <f>+C54</f>
        <v>Freight cost</v>
      </c>
      <c r="D55" s="93"/>
      <c r="E55" s="94" t="str">
        <f>+E53</f>
        <v xml:space="preserve">per carton USD </v>
      </c>
      <c r="F55" s="95"/>
      <c r="G55" s="96">
        <f>+G54/G56</f>
        <v>0.16012396694214875</v>
      </c>
      <c r="H55" s="95"/>
      <c r="I55" s="96">
        <f>+I54/I56</f>
        <v>0.16012396694214875</v>
      </c>
      <c r="J55" s="95"/>
      <c r="K55" s="96">
        <f>+K54/K56</f>
        <v>0.16012396694214875</v>
      </c>
      <c r="L55" s="95"/>
      <c r="M55" s="96">
        <f>+M54/M56</f>
        <v>0.16012396694214875</v>
      </c>
      <c r="N55" s="95"/>
      <c r="O55" s="96">
        <f>+O54/O56</f>
        <v>0.155</v>
      </c>
      <c r="P55" s="95"/>
      <c r="Q55" s="96">
        <f>+Q54/Q56</f>
        <v>0.155</v>
      </c>
      <c r="R55" s="95"/>
      <c r="S55" s="96">
        <f>+S54/S56</f>
        <v>0.155</v>
      </c>
      <c r="T55" s="95"/>
      <c r="U55" s="96">
        <f>+U54/U56</f>
        <v>0.155</v>
      </c>
      <c r="V55" s="95"/>
      <c r="W55" s="96">
        <f>+W54/W56</f>
        <v>0.17464788732394365</v>
      </c>
      <c r="X55" s="95"/>
      <c r="Y55" s="96">
        <f>+Y54/Y56</f>
        <v>0.17464788732394365</v>
      </c>
      <c r="Z55" s="95"/>
      <c r="AA55" s="96">
        <f>+AA54/AA56</f>
        <v>0.17464788732394365</v>
      </c>
      <c r="AB55" s="95"/>
      <c r="AC55" s="96">
        <f>+AC54/AC56</f>
        <v>0.17464788732394365</v>
      </c>
    </row>
    <row r="56" spans="2:29" s="4" customFormat="1" ht="18" customHeight="1" x14ac:dyDescent="0.45">
      <c r="B56" s="1184"/>
      <c r="C56" s="15" t="s">
        <v>71</v>
      </c>
      <c r="D56" s="16"/>
      <c r="E56" s="35" t="s">
        <v>68</v>
      </c>
      <c r="F56" s="42"/>
      <c r="G56" s="88">
        <v>3872</v>
      </c>
      <c r="H56" s="42"/>
      <c r="I56" s="88">
        <f>G56</f>
        <v>3872</v>
      </c>
      <c r="J56" s="42"/>
      <c r="K56" s="88">
        <f>I56</f>
        <v>3872</v>
      </c>
      <c r="L56" s="42"/>
      <c r="M56" s="88">
        <f>K56</f>
        <v>3872</v>
      </c>
      <c r="N56" s="42"/>
      <c r="O56" s="88">
        <v>4000</v>
      </c>
      <c r="P56" s="42"/>
      <c r="Q56" s="88">
        <f>O56</f>
        <v>4000</v>
      </c>
      <c r="R56" s="42"/>
      <c r="S56" s="88">
        <f>Q56</f>
        <v>4000</v>
      </c>
      <c r="T56" s="42"/>
      <c r="U56" s="88">
        <f>S56</f>
        <v>4000</v>
      </c>
      <c r="V56" s="42"/>
      <c r="W56" s="88">
        <v>3550</v>
      </c>
      <c r="X56" s="42"/>
      <c r="Y56" s="88">
        <f>W56</f>
        <v>3550</v>
      </c>
      <c r="Z56" s="42"/>
      <c r="AA56" s="88">
        <f>Y56</f>
        <v>3550</v>
      </c>
      <c r="AB56" s="42"/>
      <c r="AC56" s="88">
        <f>AA56</f>
        <v>3550</v>
      </c>
    </row>
    <row r="57" spans="2:29" s="7" customFormat="1" ht="18" customHeight="1" x14ac:dyDescent="0.45">
      <c r="B57" s="1184"/>
      <c r="C57" s="78" t="s">
        <v>72</v>
      </c>
      <c r="D57" s="79"/>
      <c r="E57" s="80" t="s">
        <v>68</v>
      </c>
      <c r="F57" s="81"/>
      <c r="G57" s="82">
        <f>G51-G55</f>
        <v>5.4398760330578506</v>
      </c>
      <c r="H57" s="81"/>
      <c r="I57" s="82">
        <f>I51-I55</f>
        <v>5.589876033057851</v>
      </c>
      <c r="J57" s="81"/>
      <c r="K57" s="82">
        <f>K51-K55</f>
        <v>5.4398760330578506</v>
      </c>
      <c r="L57" s="81"/>
      <c r="M57" s="82">
        <f>M51-M55</f>
        <v>5.4398760330578506</v>
      </c>
      <c r="N57" s="81"/>
      <c r="O57" s="82">
        <f>O51-O55</f>
        <v>5.4449999999999994</v>
      </c>
      <c r="P57" s="81"/>
      <c r="Q57" s="82">
        <f>Q51-Q55</f>
        <v>5.5949999999999998</v>
      </c>
      <c r="R57" s="81"/>
      <c r="S57" s="82">
        <f>S51-S55</f>
        <v>5.4449999999999994</v>
      </c>
      <c r="T57" s="81"/>
      <c r="U57" s="82">
        <f>U51-U55</f>
        <v>5.4449999999999994</v>
      </c>
      <c r="V57" s="81"/>
      <c r="W57" s="82">
        <f>W51-W55</f>
        <v>5.4253521126760562</v>
      </c>
      <c r="X57" s="81"/>
      <c r="Y57" s="82">
        <f>Y51-Y55</f>
        <v>5.5753521126760566</v>
      </c>
      <c r="Z57" s="81"/>
      <c r="AA57" s="82">
        <f>AA51-AA55</f>
        <v>5.4253521126760562</v>
      </c>
      <c r="AB57" s="81"/>
      <c r="AC57" s="82">
        <f>AC51-AC55</f>
        <v>5.4253521126760562</v>
      </c>
    </row>
    <row r="58" spans="2:29" s="7" customFormat="1" ht="18" customHeight="1" x14ac:dyDescent="0.45">
      <c r="B58" s="1184"/>
      <c r="C58" s="78" t="s">
        <v>73</v>
      </c>
      <c r="D58" s="79"/>
      <c r="E58" s="80" t="s">
        <v>68</v>
      </c>
      <c r="F58" s="81"/>
      <c r="G58" s="82">
        <f>G47-G55</f>
        <v>4.9698760330578509</v>
      </c>
      <c r="H58" s="81"/>
      <c r="I58" s="82">
        <f>I47-I55</f>
        <v>5.1198760330578512</v>
      </c>
      <c r="J58" s="81"/>
      <c r="K58" s="82">
        <f>K47-K55</f>
        <v>4.9698760330578509</v>
      </c>
      <c r="L58" s="81"/>
      <c r="M58" s="82">
        <f>M47-M55</f>
        <v>5.0398760330578503</v>
      </c>
      <c r="N58" s="81"/>
      <c r="O58" s="82">
        <f>O47-O55</f>
        <v>4.9749999999999996</v>
      </c>
      <c r="P58" s="81"/>
      <c r="Q58" s="82">
        <f>Q47-Q55</f>
        <v>5.125</v>
      </c>
      <c r="R58" s="81"/>
      <c r="S58" s="82">
        <f>S47-S55</f>
        <v>4.9749999999999996</v>
      </c>
      <c r="T58" s="81"/>
      <c r="U58" s="82">
        <f>U47-U55</f>
        <v>5.044999999999999</v>
      </c>
      <c r="V58" s="81"/>
      <c r="W58" s="82">
        <f>W47-W55</f>
        <v>4.9553521126760565</v>
      </c>
      <c r="X58" s="81"/>
      <c r="Y58" s="82">
        <f>Y47-Y55</f>
        <v>5.1053521126760568</v>
      </c>
      <c r="Z58" s="81"/>
      <c r="AA58" s="82">
        <f>AA47-AA55</f>
        <v>4.9553521126760565</v>
      </c>
      <c r="AB58" s="81"/>
      <c r="AC58" s="82">
        <f>AC47-AC55</f>
        <v>5.0253521126760559</v>
      </c>
    </row>
    <row r="59" spans="2:29" s="103" customFormat="1" ht="18" customHeight="1" x14ac:dyDescent="0.45">
      <c r="B59" s="1184"/>
      <c r="C59" s="98"/>
      <c r="D59" s="99"/>
      <c r="E59" s="100" t="s">
        <v>74</v>
      </c>
      <c r="F59" s="101"/>
      <c r="G59" s="102">
        <f>+G57/G9</f>
        <v>0.13599690082644628</v>
      </c>
      <c r="H59" s="101"/>
      <c r="I59" s="102">
        <f>+I57/I9</f>
        <v>0.13974690082644628</v>
      </c>
      <c r="J59" s="101"/>
      <c r="K59" s="102">
        <f>+K57/K9</f>
        <v>0.13599690082644628</v>
      </c>
      <c r="L59" s="101"/>
      <c r="M59" s="102">
        <f>+M57/M9</f>
        <v>0.13599690082644628</v>
      </c>
      <c r="N59" s="101"/>
      <c r="O59" s="102">
        <f>+O57/O9</f>
        <v>0.136125</v>
      </c>
      <c r="P59" s="101"/>
      <c r="Q59" s="102">
        <f>+Q57/Q9</f>
        <v>0.139875</v>
      </c>
      <c r="R59" s="101"/>
      <c r="S59" s="102">
        <f>+S57/S9</f>
        <v>0.136125</v>
      </c>
      <c r="T59" s="101"/>
      <c r="U59" s="102">
        <f>+U57/U9</f>
        <v>0.136125</v>
      </c>
      <c r="V59" s="101"/>
      <c r="W59" s="102">
        <f>+W57/W9</f>
        <v>0.13563380281690141</v>
      </c>
      <c r="X59" s="101"/>
      <c r="Y59" s="102">
        <f>+Y57/Y9</f>
        <v>0.13938380281690141</v>
      </c>
      <c r="Z59" s="101"/>
      <c r="AA59" s="102">
        <f>+AA57/AA9</f>
        <v>0.13563380281690141</v>
      </c>
      <c r="AB59" s="101"/>
      <c r="AC59" s="102">
        <f>+AC57/AC9</f>
        <v>0.13563380281690141</v>
      </c>
    </row>
    <row r="60" spans="2:29" s="4" customFormat="1" ht="18" customHeight="1" thickBot="1" x14ac:dyDescent="0.5">
      <c r="B60" s="1185"/>
      <c r="C60" s="104"/>
      <c r="D60" s="105"/>
      <c r="E60" s="105"/>
      <c r="F60" s="106"/>
      <c r="G60" s="107"/>
      <c r="H60" s="106"/>
      <c r="I60" s="107"/>
      <c r="J60" s="106"/>
      <c r="K60" s="107"/>
      <c r="L60" s="106"/>
      <c r="M60" s="107"/>
      <c r="N60" s="106"/>
      <c r="O60" s="107"/>
      <c r="P60" s="106"/>
      <c r="Q60" s="107"/>
      <c r="R60" s="106"/>
      <c r="S60" s="107"/>
      <c r="T60" s="106"/>
      <c r="U60" s="107"/>
      <c r="V60" s="106"/>
      <c r="W60" s="107"/>
      <c r="X60" s="106"/>
      <c r="Y60" s="107"/>
      <c r="Z60" s="106"/>
      <c r="AA60" s="107"/>
      <c r="AB60" s="106"/>
      <c r="AC60" s="107"/>
    </row>
    <row r="61" spans="2:29" s="4" customFormat="1" ht="18" hidden="1" customHeight="1" x14ac:dyDescent="0.45">
      <c r="B61" s="1186" t="s">
        <v>75</v>
      </c>
      <c r="C61" s="108" t="s">
        <v>76</v>
      </c>
      <c r="D61" s="109"/>
      <c r="E61" s="110" t="s">
        <v>77</v>
      </c>
      <c r="F61" s="111"/>
      <c r="G61" s="112">
        <f>G64+G62</f>
        <v>3.6441779811097992</v>
      </c>
      <c r="H61" s="111"/>
      <c r="I61" s="112">
        <f>I64+I62</f>
        <v>3.6441779811097992</v>
      </c>
      <c r="J61" s="111"/>
      <c r="K61" s="112">
        <f>K64+K62</f>
        <v>3.6441779811097992</v>
      </c>
      <c r="L61" s="111"/>
      <c r="M61" s="112">
        <f>M64+M62</f>
        <v>3.6441779811097992</v>
      </c>
      <c r="N61" s="111"/>
      <c r="O61" s="112">
        <f>O64+O62</f>
        <v>3.9280357142857145</v>
      </c>
      <c r="P61" s="111"/>
      <c r="Q61" s="112">
        <f>Q64+Q62</f>
        <v>3.9280357142857145</v>
      </c>
      <c r="R61" s="111"/>
      <c r="S61" s="112">
        <f>S64+S62</f>
        <v>3.9280357142857145</v>
      </c>
      <c r="T61" s="111"/>
      <c r="U61" s="112">
        <f>U64+U62</f>
        <v>3.9280357142857145</v>
      </c>
      <c r="V61" s="111"/>
      <c r="W61" s="112">
        <f>W64+W62</f>
        <v>4.8437877263581495</v>
      </c>
      <c r="X61" s="111"/>
      <c r="Y61" s="112">
        <f>Y64+Y62</f>
        <v>4.8437877263581495</v>
      </c>
      <c r="Z61" s="111"/>
      <c r="AA61" s="112">
        <f>AA64+AA62</f>
        <v>4.8437877263581495</v>
      </c>
      <c r="AB61" s="111"/>
      <c r="AC61" s="112">
        <f>AC64+AC62</f>
        <v>4.8437877263581495</v>
      </c>
    </row>
    <row r="62" spans="2:29" s="4" customFormat="1" ht="18" customHeight="1" x14ac:dyDescent="0.45">
      <c r="B62" s="1187"/>
      <c r="C62" s="113" t="s">
        <v>78</v>
      </c>
      <c r="D62" s="114"/>
      <c r="E62" s="115" t="s">
        <v>77</v>
      </c>
      <c r="F62" s="116"/>
      <c r="G62" s="117">
        <f>G103</f>
        <v>0.11917798110979928</v>
      </c>
      <c r="H62" s="116"/>
      <c r="I62" s="117">
        <f>I103</f>
        <v>0.11917798110979928</v>
      </c>
      <c r="J62" s="116"/>
      <c r="K62" s="117">
        <f>K103</f>
        <v>0.11917798110979928</v>
      </c>
      <c r="L62" s="116"/>
      <c r="M62" s="117">
        <f>M103</f>
        <v>0.11917798110979928</v>
      </c>
      <c r="N62" s="116"/>
      <c r="O62" s="117">
        <f>O103</f>
        <v>0.1155357142857143</v>
      </c>
      <c r="P62" s="116"/>
      <c r="Q62" s="117">
        <f>Q103</f>
        <v>0.1155357142857143</v>
      </c>
      <c r="R62" s="116"/>
      <c r="S62" s="117">
        <f>S103</f>
        <v>0.1155357142857143</v>
      </c>
      <c r="T62" s="116"/>
      <c r="U62" s="117">
        <f>U103</f>
        <v>0.1155357142857143</v>
      </c>
      <c r="V62" s="116"/>
      <c r="W62" s="117">
        <f>W103</f>
        <v>0.12950201207243461</v>
      </c>
      <c r="X62" s="116"/>
      <c r="Y62" s="117">
        <f>Y103</f>
        <v>0.12950201207243461</v>
      </c>
      <c r="Z62" s="116"/>
      <c r="AA62" s="117">
        <f>AA103</f>
        <v>0.12950201207243461</v>
      </c>
      <c r="AB62" s="116"/>
      <c r="AC62" s="117">
        <f>AC103</f>
        <v>0.12950201207243461</v>
      </c>
    </row>
    <row r="63" spans="2:29" s="4" customFormat="1" ht="18" customHeight="1" x14ac:dyDescent="0.45">
      <c r="B63" s="1187"/>
      <c r="C63" s="15"/>
      <c r="D63" s="16"/>
      <c r="E63" s="16"/>
      <c r="F63" s="42"/>
      <c r="G63" s="118"/>
      <c r="H63" s="42"/>
      <c r="I63" s="88"/>
      <c r="J63" s="42"/>
      <c r="K63" s="88"/>
      <c r="L63" s="42"/>
      <c r="M63" s="119"/>
      <c r="N63" s="42"/>
      <c r="O63" s="88"/>
      <c r="P63" s="42"/>
      <c r="Q63" s="88"/>
      <c r="R63" s="42"/>
      <c r="S63" s="88"/>
      <c r="T63" s="42"/>
      <c r="U63" s="88"/>
      <c r="V63" s="42"/>
      <c r="W63" s="88"/>
      <c r="X63" s="42"/>
      <c r="Y63" s="88"/>
      <c r="Z63" s="42"/>
      <c r="AA63" s="88"/>
      <c r="AB63" s="42"/>
      <c r="AC63" s="120"/>
    </row>
    <row r="64" spans="2:29" s="4" customFormat="1" ht="18" customHeight="1" x14ac:dyDescent="0.45">
      <c r="B64" s="1187"/>
      <c r="C64" s="19" t="s">
        <v>79</v>
      </c>
      <c r="D64" s="20"/>
      <c r="E64" s="30" t="str">
        <f>+E57</f>
        <v xml:space="preserve">per carton USD </v>
      </c>
      <c r="F64" s="66"/>
      <c r="G64" s="70">
        <f>+G66*G9/G68</f>
        <v>3.5249999999999999</v>
      </c>
      <c r="H64" s="66"/>
      <c r="I64" s="70">
        <f>+I66*I9/I68</f>
        <v>3.5249999999999999</v>
      </c>
      <c r="J64" s="66"/>
      <c r="K64" s="70">
        <f>+K66*K9/K68</f>
        <v>3.5249999999999999</v>
      </c>
      <c r="L64" s="66"/>
      <c r="M64" s="70">
        <f>+M66*M9/M68</f>
        <v>3.5249999999999999</v>
      </c>
      <c r="N64" s="66"/>
      <c r="O64" s="70">
        <f>+O66*O9/O68</f>
        <v>3.8125</v>
      </c>
      <c r="P64" s="66"/>
      <c r="Q64" s="70">
        <f>+Q66*Q9/Q68</f>
        <v>3.8125</v>
      </c>
      <c r="R64" s="66"/>
      <c r="S64" s="70">
        <f>+S66*S9/S68</f>
        <v>3.8125</v>
      </c>
      <c r="T64" s="66"/>
      <c r="U64" s="70">
        <f>+U66*U9/U68</f>
        <v>3.8125</v>
      </c>
      <c r="V64" s="66"/>
      <c r="W64" s="70">
        <f>+W66*W9/W68</f>
        <v>4.7142857142857144</v>
      </c>
      <c r="X64" s="66"/>
      <c r="Y64" s="70">
        <f>+Y66*Y9/Y68</f>
        <v>4.7142857142857144</v>
      </c>
      <c r="Z64" s="66"/>
      <c r="AA64" s="70">
        <f>+AA66*AA9/AA68</f>
        <v>4.7142857142857144</v>
      </c>
      <c r="AB64" s="66"/>
      <c r="AC64" s="70">
        <f>+AC66*AC9/AC68</f>
        <v>4.7142857142857144</v>
      </c>
    </row>
    <row r="65" spans="2:29" s="97" customFormat="1" ht="18" customHeight="1" x14ac:dyDescent="0.45">
      <c r="B65" s="1187"/>
      <c r="C65" s="121"/>
      <c r="D65" s="122"/>
      <c r="E65" s="123" t="str">
        <f>+E59</f>
        <v xml:space="preserve">per pack USD </v>
      </c>
      <c r="F65" s="124"/>
      <c r="G65" s="125">
        <f>+G64/G9</f>
        <v>8.8124999999999995E-2</v>
      </c>
      <c r="H65" s="124"/>
      <c r="I65" s="125">
        <f>+I64/I9</f>
        <v>8.8124999999999995E-2</v>
      </c>
      <c r="J65" s="124"/>
      <c r="K65" s="125">
        <f>+K64/K9</f>
        <v>8.8124999999999995E-2</v>
      </c>
      <c r="L65" s="124"/>
      <c r="M65" s="125">
        <f>+M64/M9</f>
        <v>8.8124999999999995E-2</v>
      </c>
      <c r="N65" s="124"/>
      <c r="O65" s="125">
        <f>+O64/O9</f>
        <v>9.5312499999999994E-2</v>
      </c>
      <c r="P65" s="124"/>
      <c r="Q65" s="125">
        <f>+Q64/Q9</f>
        <v>9.5312499999999994E-2</v>
      </c>
      <c r="R65" s="124"/>
      <c r="S65" s="125">
        <f>+S64/S9</f>
        <v>9.5312499999999994E-2</v>
      </c>
      <c r="T65" s="124"/>
      <c r="U65" s="125">
        <f>+U64/U9</f>
        <v>9.5312499999999994E-2</v>
      </c>
      <c r="V65" s="124"/>
      <c r="W65" s="125">
        <f>+W64/W9</f>
        <v>0.11785714285714285</v>
      </c>
      <c r="X65" s="124"/>
      <c r="Y65" s="125">
        <f>+Y64/Y9</f>
        <v>0.11785714285714285</v>
      </c>
      <c r="Z65" s="124"/>
      <c r="AA65" s="125">
        <f>+AA64/AA9</f>
        <v>0.11785714285714285</v>
      </c>
      <c r="AB65" s="124"/>
      <c r="AC65" s="125">
        <f>+AC64/AC9</f>
        <v>0.11785714285714285</v>
      </c>
    </row>
    <row r="66" spans="2:29" s="4" customFormat="1" ht="18" customHeight="1" x14ac:dyDescent="0.45">
      <c r="B66" s="1187"/>
      <c r="C66" s="15" t="s">
        <v>80</v>
      </c>
      <c r="D66" s="16"/>
      <c r="E66" s="126" t="s">
        <v>81</v>
      </c>
      <c r="F66" s="127"/>
      <c r="G66" s="90">
        <f>49350/40</f>
        <v>1233.75</v>
      </c>
      <c r="H66" s="127"/>
      <c r="I66" s="90">
        <v>1233.75</v>
      </c>
      <c r="J66" s="127"/>
      <c r="K66" s="90">
        <v>1233.75</v>
      </c>
      <c r="L66" s="127"/>
      <c r="M66" s="90">
        <v>1233.75</v>
      </c>
      <c r="N66" s="127"/>
      <c r="O66" s="128">
        <f>53375/40</f>
        <v>1334.375</v>
      </c>
      <c r="P66" s="127"/>
      <c r="Q66" s="90">
        <f>O66</f>
        <v>1334.375</v>
      </c>
      <c r="R66" s="127"/>
      <c r="S66" s="90">
        <f>Q66</f>
        <v>1334.375</v>
      </c>
      <c r="T66" s="127"/>
      <c r="U66" s="90">
        <f>S66</f>
        <v>1334.375</v>
      </c>
      <c r="V66" s="127"/>
      <c r="W66" s="128">
        <v>1650</v>
      </c>
      <c r="X66" s="127"/>
      <c r="Y66" s="90">
        <f>W66</f>
        <v>1650</v>
      </c>
      <c r="Z66" s="127"/>
      <c r="AA66" s="90">
        <f>Y66</f>
        <v>1650</v>
      </c>
      <c r="AB66" s="127"/>
      <c r="AC66" s="90">
        <f>AA66</f>
        <v>1650</v>
      </c>
    </row>
    <row r="67" spans="2:29" s="4" customFormat="1" ht="18" customHeight="1" x14ac:dyDescent="0.45">
      <c r="B67" s="1187"/>
      <c r="C67" s="129"/>
      <c r="D67" s="16"/>
      <c r="E67" s="126"/>
      <c r="F67" s="127"/>
      <c r="G67" s="90"/>
      <c r="H67" s="127"/>
      <c r="I67" s="90"/>
      <c r="J67" s="127"/>
      <c r="K67" s="90"/>
      <c r="L67" s="127"/>
      <c r="M67" s="90"/>
      <c r="N67" s="127"/>
      <c r="O67" s="90"/>
      <c r="P67" s="127"/>
      <c r="Q67" s="90"/>
      <c r="R67" s="127"/>
      <c r="S67" s="90"/>
      <c r="T67" s="127"/>
      <c r="U67" s="90"/>
      <c r="V67" s="127"/>
      <c r="W67" s="90"/>
      <c r="X67" s="127"/>
      <c r="Y67" s="90"/>
      <c r="Z67" s="127"/>
      <c r="AA67" s="90"/>
      <c r="AB67" s="127"/>
      <c r="AC67" s="90"/>
    </row>
    <row r="68" spans="2:29" s="4" customFormat="1" ht="18" customHeight="1" x14ac:dyDescent="0.45">
      <c r="B68" s="1187"/>
      <c r="C68" s="15" t="s">
        <v>82</v>
      </c>
      <c r="D68" s="16"/>
      <c r="E68" s="35" t="s">
        <v>83</v>
      </c>
      <c r="F68" s="42"/>
      <c r="G68" s="88">
        <v>14000</v>
      </c>
      <c r="H68" s="42"/>
      <c r="I68" s="88">
        <f>G68</f>
        <v>14000</v>
      </c>
      <c r="J68" s="42"/>
      <c r="K68" s="88">
        <f>I68</f>
        <v>14000</v>
      </c>
      <c r="L68" s="42"/>
      <c r="M68" s="88">
        <f>K68</f>
        <v>14000</v>
      </c>
      <c r="N68" s="42"/>
      <c r="O68" s="88">
        <v>14000</v>
      </c>
      <c r="P68" s="42"/>
      <c r="Q68" s="88">
        <f>O68</f>
        <v>14000</v>
      </c>
      <c r="R68" s="42"/>
      <c r="S68" s="88">
        <f>Q68</f>
        <v>14000</v>
      </c>
      <c r="T68" s="42"/>
      <c r="U68" s="88">
        <f>S68</f>
        <v>14000</v>
      </c>
      <c r="V68" s="42"/>
      <c r="W68" s="88">
        <v>14000</v>
      </c>
      <c r="X68" s="42"/>
      <c r="Y68" s="88">
        <f>W68</f>
        <v>14000</v>
      </c>
      <c r="Z68" s="42"/>
      <c r="AA68" s="88">
        <f>Y68</f>
        <v>14000</v>
      </c>
      <c r="AB68" s="42"/>
      <c r="AC68" s="88">
        <f>AA68</f>
        <v>14000</v>
      </c>
    </row>
    <row r="69" spans="2:29" s="4" customFormat="1" ht="18" customHeight="1" x14ac:dyDescent="0.45">
      <c r="B69" s="1187"/>
      <c r="C69" s="15" t="s">
        <v>84</v>
      </c>
      <c r="D69" s="16"/>
      <c r="E69" s="35" t="str">
        <f>+E64</f>
        <v xml:space="preserve">per carton USD </v>
      </c>
      <c r="F69" s="50"/>
      <c r="G69" s="72">
        <f>+G57-G64</f>
        <v>1.9148760330578507</v>
      </c>
      <c r="H69" s="50"/>
      <c r="I69" s="72">
        <f>+I57-I64</f>
        <v>2.0648760330578511</v>
      </c>
      <c r="J69" s="50"/>
      <c r="K69" s="72">
        <f>+K57-K64</f>
        <v>1.9148760330578507</v>
      </c>
      <c r="L69" s="50"/>
      <c r="M69" s="72">
        <f>+M57-M64</f>
        <v>1.9148760330578507</v>
      </c>
      <c r="N69" s="50"/>
      <c r="O69" s="72">
        <f>+O57-O64</f>
        <v>1.6324999999999994</v>
      </c>
      <c r="P69" s="50"/>
      <c r="Q69" s="72">
        <f>+Q57-Q64</f>
        <v>1.7824999999999998</v>
      </c>
      <c r="R69" s="50"/>
      <c r="S69" s="72">
        <f>+S57-S64</f>
        <v>1.6324999999999994</v>
      </c>
      <c r="T69" s="50"/>
      <c r="U69" s="72">
        <f>+U57-U64</f>
        <v>1.6324999999999994</v>
      </c>
      <c r="V69" s="50"/>
      <c r="W69" s="72">
        <f>+W57-W64</f>
        <v>0.7110663983903418</v>
      </c>
      <c r="X69" s="50"/>
      <c r="Y69" s="72">
        <f>+Y57-Y64</f>
        <v>0.86106639839034216</v>
      </c>
      <c r="Z69" s="50"/>
      <c r="AA69" s="72">
        <f>+AA57-AA64</f>
        <v>0.7110663983903418</v>
      </c>
      <c r="AB69" s="50"/>
      <c r="AC69" s="72">
        <f>+AC57-AC64</f>
        <v>0.7110663983903418</v>
      </c>
    </row>
    <row r="70" spans="2:29" s="4" customFormat="1" ht="18" customHeight="1" x14ac:dyDescent="0.45">
      <c r="B70" s="1187"/>
      <c r="C70" s="15"/>
      <c r="D70" s="16"/>
      <c r="E70" s="35" t="str">
        <f>+E65</f>
        <v xml:space="preserve">per pack USD </v>
      </c>
      <c r="F70" s="50"/>
      <c r="G70" s="72">
        <f>+G69/G9</f>
        <v>4.7871900826446268E-2</v>
      </c>
      <c r="H70" s="50"/>
      <c r="I70" s="72">
        <f>+I69/I9</f>
        <v>5.1621900826446278E-2</v>
      </c>
      <c r="J70" s="50"/>
      <c r="K70" s="72">
        <f>+K69/K9</f>
        <v>4.7871900826446268E-2</v>
      </c>
      <c r="L70" s="50"/>
      <c r="M70" s="72">
        <f>+M69/M9</f>
        <v>4.7871900826446268E-2</v>
      </c>
      <c r="N70" s="50"/>
      <c r="O70" s="72">
        <f>+O69/O9</f>
        <v>4.0812499999999988E-2</v>
      </c>
      <c r="P70" s="50"/>
      <c r="Q70" s="72">
        <f>+Q69/Q9</f>
        <v>4.4562499999999991E-2</v>
      </c>
      <c r="R70" s="50"/>
      <c r="S70" s="72">
        <f>+S69/S9</f>
        <v>4.0812499999999988E-2</v>
      </c>
      <c r="T70" s="50"/>
      <c r="U70" s="72">
        <f>+U69/U9</f>
        <v>4.0812499999999988E-2</v>
      </c>
      <c r="V70" s="50"/>
      <c r="W70" s="72">
        <f>+W69/W9</f>
        <v>1.7776659959758544E-2</v>
      </c>
      <c r="X70" s="50"/>
      <c r="Y70" s="72">
        <f>+Y69/Y9</f>
        <v>2.1526659959758554E-2</v>
      </c>
      <c r="Z70" s="50"/>
      <c r="AA70" s="72">
        <f>+AA69/AA9</f>
        <v>1.7776659959758544E-2</v>
      </c>
      <c r="AB70" s="50"/>
      <c r="AC70" s="72">
        <f>+AC69/AC9</f>
        <v>1.7776659959758544E-2</v>
      </c>
    </row>
    <row r="71" spans="2:29" s="65" customFormat="1" ht="18" customHeight="1" x14ac:dyDescent="0.45">
      <c r="B71" s="1187"/>
      <c r="C71" s="130" t="s">
        <v>85</v>
      </c>
      <c r="D71" s="131"/>
      <c r="E71" s="131"/>
      <c r="F71" s="132"/>
      <c r="G71" s="133">
        <f>+G69/G57</f>
        <v>0.35200729233924566</v>
      </c>
      <c r="H71" s="132"/>
      <c r="I71" s="133">
        <f>+I69/I57</f>
        <v>0.36939567547588242</v>
      </c>
      <c r="J71" s="132"/>
      <c r="K71" s="133">
        <f>+K69/K57</f>
        <v>0.35200729233924566</v>
      </c>
      <c r="L71" s="132"/>
      <c r="M71" s="133">
        <f>+M69/M57</f>
        <v>0.35200729233924566</v>
      </c>
      <c r="N71" s="132"/>
      <c r="O71" s="133">
        <f>+O69/O57</f>
        <v>0.29981634527089063</v>
      </c>
      <c r="P71" s="132"/>
      <c r="Q71" s="133">
        <f>+Q69/Q57</f>
        <v>0.31858802502234135</v>
      </c>
      <c r="R71" s="132"/>
      <c r="S71" s="133">
        <f>+S69/S57</f>
        <v>0.29981634527089063</v>
      </c>
      <c r="T71" s="132"/>
      <c r="U71" s="133">
        <f>+U69/U57</f>
        <v>0.29981634527089063</v>
      </c>
      <c r="V71" s="132"/>
      <c r="W71" s="133">
        <f>+W69/W57</f>
        <v>0.13106364040943475</v>
      </c>
      <c r="X71" s="132"/>
      <c r="Y71" s="133">
        <f>+Y69/Y57</f>
        <v>0.15444161749580471</v>
      </c>
      <c r="Z71" s="132"/>
      <c r="AA71" s="133">
        <f>+AA69/AA57</f>
        <v>0.13106364040943475</v>
      </c>
      <c r="AB71" s="132"/>
      <c r="AC71" s="133">
        <f>+AC69/AC57</f>
        <v>0.13106364040943475</v>
      </c>
    </row>
    <row r="72" spans="2:29" s="65" customFormat="1" ht="18" customHeight="1" x14ac:dyDescent="0.45">
      <c r="B72" s="1187"/>
      <c r="C72" s="134" t="s">
        <v>86</v>
      </c>
      <c r="D72" s="135"/>
      <c r="E72" s="136" t="str">
        <f>E69</f>
        <v xml:space="preserve">per carton USD </v>
      </c>
      <c r="F72" s="137"/>
      <c r="G72" s="138">
        <f>G69-G48</f>
        <v>1.4448760330578507</v>
      </c>
      <c r="H72" s="137"/>
      <c r="I72" s="138">
        <f>I69-I48</f>
        <v>1.5948760330578511</v>
      </c>
      <c r="J72" s="137"/>
      <c r="K72" s="138">
        <f>K69-K48</f>
        <v>1.4448760330578507</v>
      </c>
      <c r="L72" s="137"/>
      <c r="M72" s="138">
        <f>M69-M48</f>
        <v>1.5148760330578508</v>
      </c>
      <c r="N72" s="137"/>
      <c r="O72" s="138">
        <f>O69-O48</f>
        <v>1.1624999999999994</v>
      </c>
      <c r="P72" s="137"/>
      <c r="Q72" s="138">
        <f>Q69-Q48</f>
        <v>1.3124999999999998</v>
      </c>
      <c r="R72" s="137"/>
      <c r="S72" s="138">
        <f>S69-S48</f>
        <v>1.1624999999999994</v>
      </c>
      <c r="T72" s="137"/>
      <c r="U72" s="138">
        <f>U69-U48</f>
        <v>1.2324999999999995</v>
      </c>
      <c r="V72" s="137"/>
      <c r="W72" s="138">
        <f>W69-W48</f>
        <v>0.24106639839034183</v>
      </c>
      <c r="X72" s="137"/>
      <c r="Y72" s="138">
        <f>Y69-Y48</f>
        <v>0.39106639839034218</v>
      </c>
      <c r="Z72" s="137"/>
      <c r="AA72" s="138">
        <f>AA69-AA48</f>
        <v>0.24106639839034183</v>
      </c>
      <c r="AB72" s="137"/>
      <c r="AC72" s="138">
        <f>AC69-AC48</f>
        <v>0.31106639839034178</v>
      </c>
    </row>
    <row r="73" spans="2:29" s="65" customFormat="1" ht="18" customHeight="1" x14ac:dyDescent="0.45">
      <c r="B73" s="1187"/>
      <c r="C73" s="130" t="s">
        <v>87</v>
      </c>
      <c r="D73" s="131"/>
      <c r="E73" s="131"/>
      <c r="F73" s="132"/>
      <c r="G73" s="133">
        <f>G72/G57</f>
        <v>0.26560826465114507</v>
      </c>
      <c r="H73" s="132"/>
      <c r="I73" s="133">
        <f>I72/I57</f>
        <v>0.28531509887266676</v>
      </c>
      <c r="J73" s="132"/>
      <c r="K73" s="133">
        <f>K72/K57</f>
        <v>0.26560826465114507</v>
      </c>
      <c r="L73" s="132"/>
      <c r="M73" s="133">
        <f>M72/M57</f>
        <v>0.27847620494511749</v>
      </c>
      <c r="N73" s="132"/>
      <c r="O73" s="133">
        <f>O72/O57</f>
        <v>0.21349862258953159</v>
      </c>
      <c r="P73" s="132"/>
      <c r="Q73" s="133">
        <f>Q72/Q57</f>
        <v>0.23458445040214473</v>
      </c>
      <c r="R73" s="132"/>
      <c r="S73" s="133">
        <f>S72/S57</f>
        <v>0.21349862258953159</v>
      </c>
      <c r="T73" s="132"/>
      <c r="U73" s="133">
        <f>U72/U57</f>
        <v>0.22635445362718082</v>
      </c>
      <c r="V73" s="132"/>
      <c r="W73" s="133">
        <f>W72/W57</f>
        <v>4.4433318498739022E-2</v>
      </c>
      <c r="X73" s="132"/>
      <c r="Y73" s="133">
        <f>Y72/Y57</f>
        <v>7.0142009058265231E-2</v>
      </c>
      <c r="Z73" s="132"/>
      <c r="AA73" s="133">
        <f>AA72/AA57</f>
        <v>4.4433318498739022E-2</v>
      </c>
      <c r="AB73" s="132"/>
      <c r="AC73" s="133">
        <f>AC72/AC57</f>
        <v>5.7335706868417102E-2</v>
      </c>
    </row>
    <row r="74" spans="2:29" s="65" customFormat="1" ht="6.75" customHeight="1" x14ac:dyDescent="0.45">
      <c r="B74" s="1187"/>
      <c r="C74" s="130"/>
      <c r="D74" s="131"/>
      <c r="E74" s="131"/>
      <c r="F74" s="132"/>
      <c r="G74" s="133"/>
      <c r="H74" s="132"/>
      <c r="I74" s="133"/>
      <c r="J74" s="132"/>
      <c r="K74" s="133"/>
      <c r="L74" s="132"/>
      <c r="M74" s="133"/>
      <c r="N74" s="132"/>
      <c r="O74" s="133"/>
      <c r="P74" s="132"/>
      <c r="Q74" s="133"/>
      <c r="R74" s="132"/>
      <c r="S74" s="133"/>
      <c r="T74" s="132"/>
      <c r="U74" s="133"/>
      <c r="V74" s="132"/>
      <c r="W74" s="133"/>
      <c r="X74" s="132"/>
      <c r="Y74" s="133"/>
      <c r="Z74" s="132"/>
      <c r="AA74" s="133"/>
      <c r="AB74" s="132"/>
      <c r="AC74" s="133"/>
    </row>
    <row r="75" spans="2:29" s="65" customFormat="1" ht="18" customHeight="1" x14ac:dyDescent="0.45">
      <c r="B75" s="1187"/>
      <c r="C75" s="139" t="s">
        <v>88</v>
      </c>
      <c r="D75" s="140"/>
      <c r="E75" s="136" t="str">
        <f>E72</f>
        <v xml:space="preserve">per carton USD </v>
      </c>
      <c r="F75" s="141"/>
      <c r="G75" s="142">
        <f>G72-G62</f>
        <v>1.3256980519480515</v>
      </c>
      <c r="H75" s="141"/>
      <c r="I75" s="142">
        <f>I72-I62</f>
        <v>1.4756980519480518</v>
      </c>
      <c r="J75" s="141"/>
      <c r="K75" s="142">
        <f>K72-K62</f>
        <v>1.3256980519480515</v>
      </c>
      <c r="L75" s="141"/>
      <c r="M75" s="142">
        <f>M72-M62</f>
        <v>1.3956980519480515</v>
      </c>
      <c r="N75" s="141"/>
      <c r="O75" s="142">
        <f>O72-O62</f>
        <v>1.0469642857142851</v>
      </c>
      <c r="P75" s="141"/>
      <c r="Q75" s="142">
        <f>Q72-Q62</f>
        <v>1.1969642857142855</v>
      </c>
      <c r="R75" s="141"/>
      <c r="S75" s="142">
        <f>S72-S62</f>
        <v>1.0469642857142851</v>
      </c>
      <c r="T75" s="141"/>
      <c r="U75" s="142">
        <f>U72-U62</f>
        <v>1.1169642857142852</v>
      </c>
      <c r="V75" s="141"/>
      <c r="W75" s="142">
        <f>W72-W62</f>
        <v>0.11156438631790722</v>
      </c>
      <c r="X75" s="141"/>
      <c r="Y75" s="142">
        <f>Y72-Y62</f>
        <v>0.26156438631790757</v>
      </c>
      <c r="Z75" s="141"/>
      <c r="AA75" s="142">
        <f>AA72-AA62</f>
        <v>0.11156438631790722</v>
      </c>
      <c r="AB75" s="141"/>
      <c r="AC75" s="142">
        <f>AC72-AC62</f>
        <v>0.18156438631790717</v>
      </c>
    </row>
    <row r="76" spans="2:29" s="65" customFormat="1" ht="18" customHeight="1" x14ac:dyDescent="0.45">
      <c r="B76" s="1187"/>
      <c r="C76" s="130" t="s">
        <v>89</v>
      </c>
      <c r="D76" s="131"/>
      <c r="E76" s="131"/>
      <c r="F76" s="132"/>
      <c r="G76" s="133">
        <f>G75/G57</f>
        <v>0.24370004829004405</v>
      </c>
      <c r="H76" s="132"/>
      <c r="I76" s="133">
        <f>I75/I57</f>
        <v>0.26399477255326448</v>
      </c>
      <c r="J76" s="132"/>
      <c r="K76" s="133">
        <f>K75/K57</f>
        <v>0.24370004829004405</v>
      </c>
      <c r="L76" s="132"/>
      <c r="M76" s="133">
        <f>M75/M57</f>
        <v>0.25656798858401647</v>
      </c>
      <c r="N76" s="132"/>
      <c r="O76" s="133">
        <f>O75/O57</f>
        <v>0.19227994227994219</v>
      </c>
      <c r="P76" s="132"/>
      <c r="Q76" s="133">
        <f>Q75/Q57</f>
        <v>0.21393463551640493</v>
      </c>
      <c r="R76" s="132"/>
      <c r="S76" s="133">
        <f>S75/S57</f>
        <v>0.19227994227994219</v>
      </c>
      <c r="T76" s="132"/>
      <c r="U76" s="133">
        <f>U75/U57</f>
        <v>0.20513577331759142</v>
      </c>
      <c r="V76" s="132"/>
      <c r="W76" s="133">
        <f>W75/W57</f>
        <v>2.0563529149977708E-2</v>
      </c>
      <c r="X76" s="132"/>
      <c r="Y76" s="133">
        <f>Y75/Y57</f>
        <v>4.6914415633627478E-2</v>
      </c>
      <c r="Z76" s="132"/>
      <c r="AA76" s="133">
        <f>AA75/AA57</f>
        <v>2.0563529149977708E-2</v>
      </c>
      <c r="AB76" s="132"/>
      <c r="AC76" s="133">
        <f>AC75/AC57</f>
        <v>3.3465917519655788E-2</v>
      </c>
    </row>
    <row r="77" spans="2:29" s="65" customFormat="1" ht="6.75" customHeight="1" x14ac:dyDescent="0.45">
      <c r="B77" s="1187"/>
      <c r="C77" s="130"/>
      <c r="D77" s="131"/>
      <c r="E77" s="131"/>
      <c r="F77" s="132"/>
      <c r="G77" s="133"/>
      <c r="H77" s="132"/>
      <c r="I77" s="133"/>
      <c r="J77" s="132"/>
      <c r="K77" s="133"/>
      <c r="L77" s="132"/>
      <c r="M77" s="133"/>
      <c r="N77" s="132"/>
      <c r="O77" s="133"/>
      <c r="P77" s="132"/>
      <c r="Q77" s="133"/>
      <c r="R77" s="132"/>
      <c r="S77" s="133"/>
      <c r="T77" s="132"/>
      <c r="U77" s="133"/>
      <c r="V77" s="132"/>
      <c r="W77" s="133"/>
      <c r="X77" s="132"/>
      <c r="Y77" s="133"/>
      <c r="Z77" s="132"/>
      <c r="AA77" s="133"/>
      <c r="AB77" s="132"/>
      <c r="AC77" s="133"/>
    </row>
    <row r="78" spans="2:29" s="65" customFormat="1" ht="18" customHeight="1" x14ac:dyDescent="0.45">
      <c r="B78" s="1187"/>
      <c r="C78" s="143" t="s">
        <v>90</v>
      </c>
      <c r="D78" s="144"/>
      <c r="E78" s="145" t="str">
        <f>E75</f>
        <v xml:space="preserve">per carton USD </v>
      </c>
      <c r="F78" s="146"/>
      <c r="G78" s="147">
        <f>G75</f>
        <v>1.3256980519480515</v>
      </c>
      <c r="H78" s="146"/>
      <c r="I78" s="147">
        <f>I75</f>
        <v>1.4756980519480518</v>
      </c>
      <c r="J78" s="146"/>
      <c r="K78" s="147">
        <f>K75</f>
        <v>1.3256980519480515</v>
      </c>
      <c r="L78" s="146"/>
      <c r="M78" s="147">
        <f>M75</f>
        <v>1.3956980519480515</v>
      </c>
      <c r="N78" s="146"/>
      <c r="O78" s="147">
        <f>O75</f>
        <v>1.0469642857142851</v>
      </c>
      <c r="P78" s="146"/>
      <c r="Q78" s="147">
        <f>Q75</f>
        <v>1.1969642857142855</v>
      </c>
      <c r="R78" s="146"/>
      <c r="S78" s="147">
        <f>S75</f>
        <v>1.0469642857142851</v>
      </c>
      <c r="T78" s="146"/>
      <c r="U78" s="147">
        <f>U75</f>
        <v>1.1169642857142852</v>
      </c>
      <c r="V78" s="146"/>
      <c r="W78" s="147">
        <f>W75</f>
        <v>0.11156438631790722</v>
      </c>
      <c r="X78" s="146"/>
      <c r="Y78" s="147">
        <f>Y75</f>
        <v>0.26156438631790757</v>
      </c>
      <c r="Z78" s="146"/>
      <c r="AA78" s="147">
        <f>AA75</f>
        <v>0.11156438631790722</v>
      </c>
      <c r="AB78" s="146"/>
      <c r="AC78" s="147">
        <f>AC75</f>
        <v>0.18156438631790717</v>
      </c>
    </row>
    <row r="79" spans="2:29" s="65" customFormat="1" ht="18" customHeight="1" x14ac:dyDescent="0.45">
      <c r="B79" s="1187"/>
      <c r="C79" s="130" t="s">
        <v>91</v>
      </c>
      <c r="D79" s="131"/>
      <c r="E79" s="131"/>
      <c r="F79" s="132"/>
      <c r="G79" s="133">
        <f>G78/G57</f>
        <v>0.24370004829004405</v>
      </c>
      <c r="H79" s="132"/>
      <c r="I79" s="133">
        <f>I78/I57</f>
        <v>0.26399477255326448</v>
      </c>
      <c r="J79" s="132"/>
      <c r="K79" s="133">
        <f>K78/K57</f>
        <v>0.24370004829004405</v>
      </c>
      <c r="L79" s="132"/>
      <c r="M79" s="133">
        <f>M78/M57</f>
        <v>0.25656798858401647</v>
      </c>
      <c r="N79" s="132"/>
      <c r="O79" s="133">
        <f>O78/O57</f>
        <v>0.19227994227994219</v>
      </c>
      <c r="P79" s="132"/>
      <c r="Q79" s="133">
        <f>Q78/Q57</f>
        <v>0.21393463551640493</v>
      </c>
      <c r="R79" s="132"/>
      <c r="S79" s="133">
        <f>S78/S57</f>
        <v>0.19227994227994219</v>
      </c>
      <c r="T79" s="132"/>
      <c r="U79" s="133">
        <f>U78/U57</f>
        <v>0.20513577331759142</v>
      </c>
      <c r="V79" s="132"/>
      <c r="W79" s="133">
        <f>W78/W57</f>
        <v>2.0563529149977708E-2</v>
      </c>
      <c r="X79" s="132"/>
      <c r="Y79" s="133">
        <f>Y78/Y57</f>
        <v>4.6914415633627478E-2</v>
      </c>
      <c r="Z79" s="132"/>
      <c r="AA79" s="133">
        <f>AA78/AA57</f>
        <v>2.0563529149977708E-2</v>
      </c>
      <c r="AB79" s="132"/>
      <c r="AC79" s="133">
        <f>AC78/AC57</f>
        <v>3.3465917519655788E-2</v>
      </c>
    </row>
    <row r="80" spans="2:29" s="65" customFormat="1" ht="6.75" customHeight="1" x14ac:dyDescent="0.45">
      <c r="B80" s="1187"/>
      <c r="C80" s="130"/>
      <c r="D80" s="131"/>
      <c r="E80" s="131"/>
      <c r="F80" s="132"/>
      <c r="G80" s="133"/>
      <c r="H80" s="132"/>
      <c r="I80" s="133"/>
      <c r="J80" s="132"/>
      <c r="K80" s="133"/>
      <c r="L80" s="132"/>
      <c r="M80" s="133"/>
      <c r="N80" s="132"/>
      <c r="O80" s="133"/>
      <c r="P80" s="132"/>
      <c r="Q80" s="133"/>
      <c r="R80" s="132"/>
      <c r="S80" s="133"/>
      <c r="T80" s="132"/>
      <c r="U80" s="133"/>
      <c r="V80" s="132"/>
      <c r="W80" s="133"/>
      <c r="X80" s="132"/>
      <c r="Y80" s="133"/>
      <c r="Z80" s="132"/>
      <c r="AA80" s="133"/>
      <c r="AB80" s="132"/>
      <c r="AC80" s="133"/>
    </row>
    <row r="81" spans="2:29" s="65" customFormat="1" ht="18" customHeight="1" x14ac:dyDescent="0.45">
      <c r="B81" s="1187"/>
      <c r="C81" s="143" t="s">
        <v>92</v>
      </c>
      <c r="D81" s="144"/>
      <c r="E81" s="148" t="s">
        <v>77</v>
      </c>
      <c r="F81" s="146"/>
      <c r="G81" s="147">
        <f>G78-1.1</f>
        <v>0.22569805194805137</v>
      </c>
      <c r="H81" s="146"/>
      <c r="I81" s="147">
        <f>I78-1.1</f>
        <v>0.37569805194805173</v>
      </c>
      <c r="J81" s="146"/>
      <c r="K81" s="147">
        <f>K78-0.9</f>
        <v>0.42569805194805144</v>
      </c>
      <c r="L81" s="146"/>
      <c r="M81" s="147">
        <f>M78-1</f>
        <v>0.39569805194805152</v>
      </c>
      <c r="N81" s="146"/>
      <c r="O81" s="147">
        <f>O78-0.9</f>
        <v>0.1469642857142851</v>
      </c>
      <c r="P81" s="146"/>
      <c r="Q81" s="147">
        <f>Q78-0.9</f>
        <v>0.29696428571428546</v>
      </c>
      <c r="R81" s="146"/>
      <c r="S81" s="147">
        <f>S78-0.6</f>
        <v>0.44696428571428515</v>
      </c>
      <c r="T81" s="146"/>
      <c r="U81" s="147">
        <f>U78-0.75</f>
        <v>0.36696428571428519</v>
      </c>
      <c r="V81" s="146"/>
      <c r="W81" s="147">
        <f>W78</f>
        <v>0.11156438631790722</v>
      </c>
      <c r="X81" s="146"/>
      <c r="Y81" s="147">
        <f>Y78</f>
        <v>0.26156438631790757</v>
      </c>
      <c r="Z81" s="146"/>
      <c r="AA81" s="147">
        <f>AA78</f>
        <v>0.11156438631790722</v>
      </c>
      <c r="AB81" s="146"/>
      <c r="AC81" s="147">
        <f>AC78</f>
        <v>0.18156438631790717</v>
      </c>
    </row>
    <row r="82" spans="2:29" s="65" customFormat="1" ht="18" customHeight="1" x14ac:dyDescent="0.45">
      <c r="B82" s="1187"/>
      <c r="C82" s="130" t="s">
        <v>93</v>
      </c>
      <c r="D82" s="131"/>
      <c r="E82" s="149"/>
      <c r="F82" s="132"/>
      <c r="G82" s="133">
        <f>G81/G57</f>
        <v>4.1489557956191601E-2</v>
      </c>
      <c r="H82" s="132"/>
      <c r="I82" s="133">
        <f>I81/I57</f>
        <v>6.7210444332972477E-2</v>
      </c>
      <c r="J82" s="132"/>
      <c r="K82" s="133">
        <f>K81/K57</f>
        <v>7.8255101653255693E-2</v>
      </c>
      <c r="L82" s="132"/>
      <c r="M82" s="133">
        <f>M81/M57</f>
        <v>7.2740270098696103E-2</v>
      </c>
      <c r="N82" s="132"/>
      <c r="O82" s="133">
        <f>O81/O57</f>
        <v>2.6990686081595064E-2</v>
      </c>
      <c r="P82" s="132"/>
      <c r="Q82" s="133">
        <f>Q81/Q57</f>
        <v>5.307672666921992E-2</v>
      </c>
      <c r="R82" s="132"/>
      <c r="S82" s="133">
        <f>S81/S57</f>
        <v>8.2087104814377448E-2</v>
      </c>
      <c r="T82" s="132"/>
      <c r="U82" s="133">
        <f>U81/U57</f>
        <v>6.7394726485635492E-2</v>
      </c>
      <c r="V82" s="132"/>
      <c r="W82" s="133">
        <f>W81/W57</f>
        <v>2.0563529149977708E-2</v>
      </c>
      <c r="X82" s="132"/>
      <c r="Y82" s="133">
        <f>Y81/Y57</f>
        <v>4.6914415633627478E-2</v>
      </c>
      <c r="Z82" s="132"/>
      <c r="AA82" s="133">
        <f>AA81/AA57</f>
        <v>2.0563529149977708E-2</v>
      </c>
      <c r="AB82" s="132"/>
      <c r="AC82" s="133">
        <f>AC81/AC57</f>
        <v>3.3465917519655788E-2</v>
      </c>
    </row>
    <row r="83" spans="2:29" s="65" customFormat="1" ht="6.75" customHeight="1" x14ac:dyDescent="0.45">
      <c r="B83" s="1187"/>
      <c r="C83" s="130"/>
      <c r="D83" s="131"/>
      <c r="E83" s="131"/>
      <c r="F83" s="132"/>
      <c r="G83" s="133"/>
      <c r="H83" s="132"/>
      <c r="I83" s="133"/>
      <c r="J83" s="132"/>
      <c r="K83" s="133"/>
      <c r="L83" s="132"/>
      <c r="M83" s="133"/>
      <c r="N83" s="132"/>
      <c r="O83" s="133"/>
      <c r="P83" s="132"/>
      <c r="Q83" s="133"/>
      <c r="R83" s="132"/>
      <c r="S83" s="133"/>
      <c r="T83" s="132"/>
      <c r="U83" s="133"/>
      <c r="V83" s="132"/>
      <c r="W83" s="133"/>
      <c r="X83" s="132"/>
      <c r="Y83" s="133"/>
      <c r="Z83" s="132"/>
      <c r="AA83" s="133"/>
      <c r="AB83" s="132"/>
      <c r="AC83" s="133"/>
    </row>
    <row r="84" spans="2:29" s="65" customFormat="1" ht="18" customHeight="1" x14ac:dyDescent="0.45">
      <c r="B84" s="1187"/>
      <c r="C84" s="150" t="s">
        <v>94</v>
      </c>
      <c r="D84" s="131"/>
      <c r="E84" s="131"/>
      <c r="F84" s="132"/>
      <c r="G84" s="151">
        <f>(G119-G118)/G56</f>
        <v>0.1368801652892562</v>
      </c>
      <c r="H84" s="152"/>
      <c r="I84" s="151">
        <f>(I119-I118)/I56</f>
        <v>0.1368801652892562</v>
      </c>
      <c r="J84" s="132"/>
      <c r="K84" s="151">
        <f>(K119-K118)/K56</f>
        <v>0.1368801652892562</v>
      </c>
      <c r="L84" s="152"/>
      <c r="M84" s="151">
        <f>(M119-M118)/M56</f>
        <v>0.1368801652892562</v>
      </c>
      <c r="N84" s="132"/>
      <c r="O84" s="151">
        <f>(O119-O118)/O56</f>
        <v>0.13250000000000001</v>
      </c>
      <c r="P84" s="152"/>
      <c r="Q84" s="151">
        <f>(Q119-Q118)/Q56</f>
        <v>0.13250000000000001</v>
      </c>
      <c r="R84" s="132"/>
      <c r="S84" s="151">
        <f>(S119-S118)/S56</f>
        <v>0.13250000000000001</v>
      </c>
      <c r="T84" s="152"/>
      <c r="U84" s="151">
        <f>(U119-U118)/U56</f>
        <v>0.13250000000000001</v>
      </c>
      <c r="V84" s="132"/>
      <c r="W84" s="151">
        <f>(W119-W118)/W56</f>
        <v>0.14929577464788732</v>
      </c>
      <c r="X84" s="152"/>
      <c r="Y84" s="151">
        <f>(Y119-Y118)/Y56</f>
        <v>0.14929577464788732</v>
      </c>
      <c r="Z84" s="132"/>
      <c r="AA84" s="151">
        <f>(AA119-AA118)/AA56</f>
        <v>0.14929577464788732</v>
      </c>
      <c r="AB84" s="152"/>
      <c r="AC84" s="151">
        <f>(AC119-AC118)/AC56</f>
        <v>0.14929577464788732</v>
      </c>
    </row>
    <row r="85" spans="2:29" s="65" customFormat="1" ht="6.75" customHeight="1" x14ac:dyDescent="0.45">
      <c r="B85" s="1187"/>
      <c r="C85" s="130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  <c r="T85" s="132"/>
      <c r="U85" s="133"/>
      <c r="V85" s="132"/>
      <c r="W85" s="133"/>
      <c r="X85" s="132"/>
      <c r="Y85" s="133"/>
      <c r="Z85" s="132"/>
      <c r="AA85" s="133"/>
      <c r="AB85" s="132"/>
      <c r="AC85" s="133"/>
    </row>
    <row r="86" spans="2:29" s="65" customFormat="1" ht="18" customHeight="1" x14ac:dyDescent="0.45">
      <c r="B86" s="1187"/>
      <c r="C86" s="153" t="s">
        <v>95</v>
      </c>
      <c r="D86" s="154"/>
      <c r="E86" s="154" t="s">
        <v>77</v>
      </c>
      <c r="F86" s="155"/>
      <c r="G86" s="156">
        <f>G81-G84</f>
        <v>8.881788665879517E-2</v>
      </c>
      <c r="H86" s="155"/>
      <c r="I86" s="156">
        <f>I81-I84</f>
        <v>0.23881788665879553</v>
      </c>
      <c r="J86" s="155"/>
      <c r="K86" s="156">
        <f>K81-K84</f>
        <v>0.28881788665879526</v>
      </c>
      <c r="L86" s="155"/>
      <c r="M86" s="156">
        <f>M81-M84</f>
        <v>0.25881788665879535</v>
      </c>
      <c r="N86" s="155"/>
      <c r="O86" s="156">
        <f>O81-O84</f>
        <v>1.4464285714285097E-2</v>
      </c>
      <c r="P86" s="155"/>
      <c r="Q86" s="156">
        <f>Q81-Q84</f>
        <v>0.16446428571428545</v>
      </c>
      <c r="R86" s="155"/>
      <c r="S86" s="156">
        <f>S81-S84</f>
        <v>0.31446428571428514</v>
      </c>
      <c r="T86" s="155"/>
      <c r="U86" s="156">
        <f>U81-U84</f>
        <v>0.23446428571428518</v>
      </c>
      <c r="V86" s="155"/>
      <c r="W86" s="156">
        <f>W81-W84</f>
        <v>-3.7731388329980103E-2</v>
      </c>
      <c r="X86" s="155"/>
      <c r="Y86" s="156">
        <f>Y81-Y84</f>
        <v>0.11226861167002025</v>
      </c>
      <c r="Z86" s="155"/>
      <c r="AA86" s="156">
        <f>AA81-AA84</f>
        <v>-3.7731388329980103E-2</v>
      </c>
      <c r="AB86" s="155"/>
      <c r="AC86" s="156">
        <f>AC81-AC84</f>
        <v>3.2268611670019848E-2</v>
      </c>
    </row>
    <row r="87" spans="2:29" s="65" customFormat="1" ht="18" customHeight="1" thickBot="1" x14ac:dyDescent="0.5">
      <c r="B87" s="1188"/>
      <c r="C87" s="157" t="s">
        <v>96</v>
      </c>
      <c r="D87" s="158"/>
      <c r="E87" s="158"/>
      <c r="F87" s="159"/>
      <c r="G87" s="160">
        <f>G86/G57</f>
        <v>1.6327189465174093E-2</v>
      </c>
      <c r="H87" s="159"/>
      <c r="I87" s="160">
        <f>I86/I57</f>
        <v>4.2723288539219015E-2</v>
      </c>
      <c r="J87" s="159"/>
      <c r="K87" s="160">
        <f>K86/K57</f>
        <v>5.3092733162238184E-2</v>
      </c>
      <c r="L87" s="159"/>
      <c r="M87" s="160">
        <f>M86/M57</f>
        <v>4.7577901607678594E-2</v>
      </c>
      <c r="N87" s="159"/>
      <c r="O87" s="160">
        <f>O86/O57</f>
        <v>2.6564344746161797E-3</v>
      </c>
      <c r="P87" s="159"/>
      <c r="Q87" s="160">
        <f>Q86/Q57</f>
        <v>2.9394867866717689E-2</v>
      </c>
      <c r="R87" s="159"/>
      <c r="S87" s="160">
        <f>S86/S57</f>
        <v>5.7752853207398563E-2</v>
      </c>
      <c r="T87" s="159"/>
      <c r="U87" s="160">
        <f>U86/U57</f>
        <v>4.30604748786566E-2</v>
      </c>
      <c r="V87" s="159"/>
      <c r="W87" s="160">
        <f>W86/W57</f>
        <v>-6.9546432280077558E-3</v>
      </c>
      <c r="X87" s="159"/>
      <c r="Y87" s="160">
        <f>Y86/Y57</f>
        <v>2.0136595752359321E-2</v>
      </c>
      <c r="Z87" s="159"/>
      <c r="AA87" s="160">
        <f>AA86/AA57</f>
        <v>-6.9546432280077558E-3</v>
      </c>
      <c r="AB87" s="159"/>
      <c r="AC87" s="160">
        <f>AC86/AC57</f>
        <v>5.9477451416703247E-3</v>
      </c>
    </row>
    <row r="88" spans="2:29" s="4" customFormat="1" ht="18" customHeight="1" thickTop="1" x14ac:dyDescent="0.45">
      <c r="B88" s="1187" t="s">
        <v>97</v>
      </c>
      <c r="C88" s="161" t="s">
        <v>98</v>
      </c>
      <c r="D88" s="162"/>
      <c r="E88" s="163" t="s">
        <v>99</v>
      </c>
      <c r="F88" s="164"/>
      <c r="G88" s="165">
        <v>620</v>
      </c>
      <c r="H88" s="164"/>
      <c r="I88" s="166"/>
      <c r="J88" s="164"/>
      <c r="K88" s="166"/>
      <c r="L88" s="164"/>
      <c r="M88" s="167"/>
      <c r="N88" s="164"/>
      <c r="O88" s="165">
        <v>620</v>
      </c>
      <c r="P88" s="164"/>
      <c r="Q88" s="166"/>
      <c r="R88" s="164"/>
      <c r="S88" s="166"/>
      <c r="T88" s="164"/>
      <c r="U88" s="167"/>
      <c r="V88" s="164"/>
      <c r="W88" s="165">
        <v>620</v>
      </c>
      <c r="X88" s="164"/>
      <c r="Y88" s="166"/>
      <c r="Z88" s="164"/>
      <c r="AA88" s="166"/>
      <c r="AB88" s="164"/>
      <c r="AC88" s="167"/>
    </row>
    <row r="89" spans="2:29" s="4" customFormat="1" ht="18" customHeight="1" x14ac:dyDescent="0.45">
      <c r="B89" s="1187"/>
      <c r="C89" s="161" t="s">
        <v>100</v>
      </c>
      <c r="D89" s="162"/>
      <c r="E89" s="163" t="s">
        <v>99</v>
      </c>
      <c r="F89" s="164"/>
      <c r="G89" s="168">
        <v>1150</v>
      </c>
      <c r="H89" s="164"/>
      <c r="I89" s="169"/>
      <c r="J89" s="164"/>
      <c r="K89" s="169"/>
      <c r="L89" s="164"/>
      <c r="M89" s="168"/>
      <c r="N89" s="164"/>
      <c r="O89" s="168">
        <v>1150</v>
      </c>
      <c r="P89" s="164"/>
      <c r="Q89" s="169"/>
      <c r="R89" s="164"/>
      <c r="S89" s="169"/>
      <c r="T89" s="164"/>
      <c r="U89" s="168"/>
      <c r="V89" s="164"/>
      <c r="W89" s="168">
        <v>1150</v>
      </c>
      <c r="X89" s="164"/>
      <c r="Y89" s="169"/>
      <c r="Z89" s="164"/>
      <c r="AA89" s="169"/>
      <c r="AB89" s="164"/>
      <c r="AC89" s="168"/>
    </row>
    <row r="90" spans="2:29" s="4" customFormat="1" ht="18" customHeight="1" x14ac:dyDescent="0.45">
      <c r="B90" s="1187"/>
      <c r="C90" s="161" t="s">
        <v>101</v>
      </c>
      <c r="D90" s="162"/>
      <c r="E90" s="163" t="s">
        <v>99</v>
      </c>
      <c r="F90" s="164"/>
      <c r="G90" s="168">
        <v>750</v>
      </c>
      <c r="H90" s="164"/>
      <c r="I90" s="169"/>
      <c r="J90" s="164"/>
      <c r="K90" s="169"/>
      <c r="L90" s="164"/>
      <c r="M90" s="168"/>
      <c r="N90" s="164"/>
      <c r="O90" s="168">
        <v>750</v>
      </c>
      <c r="P90" s="164"/>
      <c r="Q90" s="169"/>
      <c r="R90" s="164"/>
      <c r="S90" s="169"/>
      <c r="T90" s="164"/>
      <c r="U90" s="168"/>
      <c r="V90" s="164"/>
      <c r="W90" s="168">
        <v>750</v>
      </c>
      <c r="X90" s="164"/>
      <c r="Y90" s="169"/>
      <c r="Z90" s="164"/>
      <c r="AA90" s="169"/>
      <c r="AB90" s="164"/>
      <c r="AC90" s="168"/>
    </row>
    <row r="91" spans="2:29" s="4" customFormat="1" ht="18" customHeight="1" x14ac:dyDescent="0.45">
      <c r="B91" s="1187"/>
      <c r="C91" s="170"/>
      <c r="D91" s="162"/>
      <c r="E91" s="162"/>
      <c r="F91" s="164"/>
      <c r="G91" s="171"/>
      <c r="H91" s="164"/>
      <c r="I91" s="172"/>
      <c r="J91" s="164"/>
      <c r="K91" s="172"/>
      <c r="L91" s="164"/>
      <c r="M91" s="171"/>
      <c r="N91" s="164"/>
      <c r="O91" s="171"/>
      <c r="P91" s="164"/>
      <c r="Q91" s="172"/>
      <c r="R91" s="164"/>
      <c r="S91" s="172"/>
      <c r="T91" s="164"/>
      <c r="U91" s="171"/>
      <c r="V91" s="164"/>
      <c r="W91" s="171"/>
      <c r="X91" s="164"/>
      <c r="Y91" s="172"/>
      <c r="Z91" s="164"/>
      <c r="AA91" s="172"/>
      <c r="AB91" s="164"/>
      <c r="AC91" s="171"/>
    </row>
    <row r="92" spans="2:29" s="4" customFormat="1" ht="18" customHeight="1" x14ac:dyDescent="0.45">
      <c r="B92" s="1187"/>
      <c r="C92" s="161" t="s">
        <v>102</v>
      </c>
      <c r="D92" s="162"/>
      <c r="E92" s="163" t="s">
        <v>99</v>
      </c>
      <c r="F92" s="173"/>
      <c r="G92" s="165">
        <f>G89-G88</f>
        <v>530</v>
      </c>
      <c r="H92" s="173"/>
      <c r="I92" s="166"/>
      <c r="J92" s="173"/>
      <c r="K92" s="166"/>
      <c r="L92" s="173"/>
      <c r="M92" s="165"/>
      <c r="N92" s="173"/>
      <c r="O92" s="165">
        <f>O89-O88</f>
        <v>530</v>
      </c>
      <c r="P92" s="173"/>
      <c r="Q92" s="166"/>
      <c r="R92" s="173"/>
      <c r="S92" s="166"/>
      <c r="T92" s="173"/>
      <c r="U92" s="165"/>
      <c r="V92" s="173"/>
      <c r="W92" s="165">
        <f>W89-W88</f>
        <v>530</v>
      </c>
      <c r="X92" s="173"/>
      <c r="Y92" s="166"/>
      <c r="Z92" s="173"/>
      <c r="AA92" s="166"/>
      <c r="AB92" s="173"/>
      <c r="AC92" s="165"/>
    </row>
    <row r="93" spans="2:29" s="97" customFormat="1" ht="18" customHeight="1" x14ac:dyDescent="0.45">
      <c r="B93" s="1187"/>
      <c r="C93" s="174" t="s">
        <v>103</v>
      </c>
      <c r="D93" s="175"/>
      <c r="E93" s="176" t="s">
        <v>104</v>
      </c>
      <c r="F93" s="177"/>
      <c r="G93" s="178">
        <f>G92/G56</f>
        <v>0.1368801652892562</v>
      </c>
      <c r="H93" s="177"/>
      <c r="I93" s="175"/>
      <c r="J93" s="177"/>
      <c r="K93" s="175"/>
      <c r="L93" s="177"/>
      <c r="M93" s="178"/>
      <c r="N93" s="177"/>
      <c r="O93" s="178">
        <f>O92/O56</f>
        <v>0.13250000000000001</v>
      </c>
      <c r="P93" s="177"/>
      <c r="Q93" s="175"/>
      <c r="R93" s="177"/>
      <c r="S93" s="175"/>
      <c r="T93" s="177"/>
      <c r="U93" s="178"/>
      <c r="V93" s="177"/>
      <c r="W93" s="178">
        <f>W92/W56</f>
        <v>0.14929577464788732</v>
      </c>
      <c r="X93" s="177"/>
      <c r="Y93" s="175"/>
      <c r="Z93" s="177"/>
      <c r="AA93" s="175"/>
      <c r="AB93" s="177"/>
      <c r="AC93" s="178"/>
    </row>
    <row r="94" spans="2:29" s="97" customFormat="1" ht="18" customHeight="1" x14ac:dyDescent="0.45">
      <c r="B94" s="1187"/>
      <c r="C94" s="174" t="s">
        <v>105</v>
      </c>
      <c r="D94" s="175"/>
      <c r="E94" s="176" t="s">
        <v>104</v>
      </c>
      <c r="F94" s="177"/>
      <c r="G94" s="178">
        <f>(G89-G90)/G56</f>
        <v>0.10330578512396695</v>
      </c>
      <c r="H94" s="177"/>
      <c r="I94" s="175"/>
      <c r="J94" s="177"/>
      <c r="K94" s="175"/>
      <c r="L94" s="177"/>
      <c r="M94" s="178"/>
      <c r="N94" s="177"/>
      <c r="O94" s="178">
        <f>(O89-O90)/O56</f>
        <v>0.1</v>
      </c>
      <c r="P94" s="177"/>
      <c r="Q94" s="175"/>
      <c r="R94" s="177"/>
      <c r="S94" s="175"/>
      <c r="T94" s="177"/>
      <c r="U94" s="178"/>
      <c r="V94" s="177"/>
      <c r="W94" s="178">
        <f>(W89-W90)/W56</f>
        <v>0.11267605633802817</v>
      </c>
      <c r="X94" s="177"/>
      <c r="Y94" s="175"/>
      <c r="Z94" s="177"/>
      <c r="AA94" s="175"/>
      <c r="AB94" s="177"/>
      <c r="AC94" s="178"/>
    </row>
    <row r="95" spans="2:29" s="4" customFormat="1" ht="18" customHeight="1" x14ac:dyDescent="0.45">
      <c r="B95" s="1187"/>
      <c r="C95" s="170"/>
      <c r="D95" s="162"/>
      <c r="E95" s="179"/>
      <c r="F95" s="180"/>
      <c r="G95" s="181"/>
      <c r="H95" s="180"/>
      <c r="I95" s="182"/>
      <c r="J95" s="180"/>
      <c r="K95" s="182"/>
      <c r="L95" s="180"/>
      <c r="M95" s="181"/>
      <c r="N95" s="180"/>
      <c r="O95" s="181"/>
      <c r="P95" s="180"/>
      <c r="Q95" s="182"/>
      <c r="R95" s="180"/>
      <c r="S95" s="182"/>
      <c r="T95" s="180"/>
      <c r="U95" s="181"/>
      <c r="V95" s="180"/>
      <c r="W95" s="181"/>
      <c r="X95" s="180"/>
      <c r="Y95" s="182"/>
      <c r="Z95" s="180"/>
      <c r="AA95" s="182"/>
      <c r="AB95" s="180"/>
      <c r="AC95" s="181"/>
    </row>
    <row r="96" spans="2:29" s="4" customFormat="1" ht="18" customHeight="1" x14ac:dyDescent="0.45">
      <c r="B96" s="1187"/>
      <c r="C96" s="183" t="s">
        <v>106</v>
      </c>
      <c r="D96" s="184"/>
      <c r="E96" s="185"/>
      <c r="F96" s="186"/>
      <c r="G96" s="187">
        <f>G51-(G89/G56)-G64</f>
        <v>1.777995867768595</v>
      </c>
      <c r="H96" s="186"/>
      <c r="I96" s="188"/>
      <c r="J96" s="186"/>
      <c r="K96" s="188"/>
      <c r="L96" s="186"/>
      <c r="M96" s="189"/>
      <c r="N96" s="186"/>
      <c r="O96" s="187">
        <f>O51-(O89/O56)-O64</f>
        <v>1.5</v>
      </c>
      <c r="P96" s="186"/>
      <c r="Q96" s="188"/>
      <c r="R96" s="186"/>
      <c r="S96" s="188"/>
      <c r="T96" s="186"/>
      <c r="U96" s="189"/>
      <c r="V96" s="186"/>
      <c r="W96" s="187">
        <f>W51-(W89/W56)-W64</f>
        <v>0.56177062374245423</v>
      </c>
      <c r="X96" s="186"/>
      <c r="Y96" s="188"/>
      <c r="Z96" s="186"/>
      <c r="AA96" s="188"/>
      <c r="AB96" s="186"/>
      <c r="AC96" s="189"/>
    </row>
    <row r="97" spans="2:29" s="4" customFormat="1" ht="18" customHeight="1" x14ac:dyDescent="0.45">
      <c r="B97" s="1187"/>
      <c r="C97" s="190" t="s">
        <v>107</v>
      </c>
      <c r="D97" s="184"/>
      <c r="E97" s="191"/>
      <c r="F97" s="192"/>
      <c r="G97" s="193">
        <f>G96/G57</f>
        <v>0.32684492384822822</v>
      </c>
      <c r="H97" s="192"/>
      <c r="I97" s="194"/>
      <c r="J97" s="192"/>
      <c r="K97" s="194"/>
      <c r="L97" s="192"/>
      <c r="M97" s="195"/>
      <c r="N97" s="192"/>
      <c r="O97" s="193">
        <f>O96/O57</f>
        <v>0.27548209366391185</v>
      </c>
      <c r="P97" s="192"/>
      <c r="Q97" s="194"/>
      <c r="R97" s="192"/>
      <c r="S97" s="194"/>
      <c r="T97" s="192"/>
      <c r="U97" s="195"/>
      <c r="V97" s="192"/>
      <c r="W97" s="193">
        <f>W96/W57</f>
        <v>0.10354546803144925</v>
      </c>
      <c r="X97" s="192"/>
      <c r="Y97" s="194"/>
      <c r="Z97" s="192"/>
      <c r="AA97" s="194"/>
      <c r="AB97" s="192"/>
      <c r="AC97" s="195"/>
    </row>
    <row r="98" spans="2:29" s="162" customFormat="1" ht="18" customHeight="1" x14ac:dyDescent="0.45">
      <c r="B98" s="1187"/>
      <c r="C98" s="196"/>
      <c r="E98" s="197"/>
      <c r="F98" s="164"/>
      <c r="G98" s="198"/>
      <c r="H98" s="164"/>
      <c r="I98" s="172"/>
      <c r="J98" s="164"/>
      <c r="K98" s="172"/>
      <c r="L98" s="164"/>
      <c r="M98" s="171"/>
      <c r="N98" s="164"/>
      <c r="O98" s="198"/>
      <c r="P98" s="164"/>
      <c r="Q98" s="172"/>
      <c r="R98" s="164"/>
      <c r="S98" s="172"/>
      <c r="T98" s="164"/>
      <c r="U98" s="171"/>
      <c r="V98" s="164"/>
      <c r="W98" s="198"/>
      <c r="X98" s="164"/>
      <c r="Y98" s="172"/>
      <c r="Z98" s="164"/>
      <c r="AA98" s="172"/>
      <c r="AB98" s="164"/>
      <c r="AC98" s="171"/>
    </row>
    <row r="99" spans="2:29" s="4" customFormat="1" ht="18" customHeight="1" x14ac:dyDescent="0.45">
      <c r="B99" s="1187"/>
      <c r="C99" s="183" t="s">
        <v>108</v>
      </c>
      <c r="D99" s="184"/>
      <c r="E99" s="185"/>
      <c r="F99" s="186"/>
      <c r="G99" s="187">
        <f>G51-(G90/G56)-G64</f>
        <v>1.8813016528925615</v>
      </c>
      <c r="H99" s="186"/>
      <c r="I99" s="188"/>
      <c r="J99" s="186"/>
      <c r="K99" s="188"/>
      <c r="L99" s="186"/>
      <c r="M99" s="189"/>
      <c r="N99" s="186"/>
      <c r="O99" s="187">
        <f>O51-(O90/O56)-O64</f>
        <v>1.5999999999999996</v>
      </c>
      <c r="P99" s="186"/>
      <c r="Q99" s="188"/>
      <c r="R99" s="186"/>
      <c r="S99" s="188"/>
      <c r="T99" s="186"/>
      <c r="U99" s="189"/>
      <c r="V99" s="186"/>
      <c r="W99" s="187">
        <f>W51-(W90/W56)-W64</f>
        <v>0.67444668008048225</v>
      </c>
      <c r="X99" s="186"/>
      <c r="Y99" s="188"/>
      <c r="Z99" s="186"/>
      <c r="AA99" s="188"/>
      <c r="AB99" s="186"/>
      <c r="AC99" s="189"/>
    </row>
    <row r="100" spans="2:29" s="4" customFormat="1" ht="18" customHeight="1" x14ac:dyDescent="0.45">
      <c r="B100" s="1187"/>
      <c r="C100" s="190" t="s">
        <v>109</v>
      </c>
      <c r="D100" s="184"/>
      <c r="E100" s="191"/>
      <c r="F100" s="192"/>
      <c r="G100" s="193">
        <f>G99/G57</f>
        <v>0.34583539063390173</v>
      </c>
      <c r="H100" s="192"/>
      <c r="I100" s="194"/>
      <c r="J100" s="192"/>
      <c r="K100" s="194"/>
      <c r="L100" s="192"/>
      <c r="M100" s="195"/>
      <c r="N100" s="192"/>
      <c r="O100" s="193">
        <f>O99/O57</f>
        <v>0.29384756657483929</v>
      </c>
      <c r="P100" s="192"/>
      <c r="Q100" s="194"/>
      <c r="R100" s="192"/>
      <c r="S100" s="194"/>
      <c r="T100" s="192"/>
      <c r="U100" s="195"/>
      <c r="V100" s="192"/>
      <c r="W100" s="193">
        <f>W99/W57</f>
        <v>0.12431390001483447</v>
      </c>
      <c r="X100" s="192"/>
      <c r="Y100" s="194"/>
      <c r="Z100" s="192"/>
      <c r="AA100" s="194"/>
      <c r="AB100" s="192"/>
      <c r="AC100" s="195"/>
    </row>
    <row r="101" spans="2:29" s="4" customFormat="1" ht="18" customHeight="1" x14ac:dyDescent="0.45">
      <c r="B101" s="1187"/>
      <c r="C101" s="170"/>
      <c r="D101" s="162"/>
      <c r="E101" s="197"/>
      <c r="F101" s="173"/>
      <c r="G101" s="165"/>
      <c r="H101" s="173"/>
      <c r="I101" s="166"/>
      <c r="J101" s="173"/>
      <c r="K101" s="166"/>
      <c r="L101" s="173"/>
      <c r="M101" s="165"/>
      <c r="N101" s="173"/>
      <c r="O101" s="165"/>
      <c r="P101" s="173"/>
      <c r="Q101" s="166"/>
      <c r="R101" s="173"/>
      <c r="S101" s="166"/>
      <c r="T101" s="173"/>
      <c r="U101" s="165"/>
      <c r="V101" s="173"/>
      <c r="W101" s="165"/>
      <c r="X101" s="173"/>
      <c r="Y101" s="166"/>
      <c r="Z101" s="173"/>
      <c r="AA101" s="166"/>
      <c r="AB101" s="173"/>
      <c r="AC101" s="165"/>
    </row>
    <row r="102" spans="2:29" s="65" customFormat="1" ht="18" customHeight="1" x14ac:dyDescent="0.45">
      <c r="B102" s="199"/>
      <c r="C102" s="200" t="s">
        <v>110</v>
      </c>
      <c r="D102" s="201"/>
      <c r="E102" s="201"/>
      <c r="F102" s="202" t="s">
        <v>111</v>
      </c>
      <c r="G102" s="203">
        <f>G104/G68</f>
        <v>461.4571428571428</v>
      </c>
      <c r="H102" s="202" t="s">
        <v>111</v>
      </c>
      <c r="I102" s="203">
        <f>I104/I68</f>
        <v>461.4571428571428</v>
      </c>
      <c r="J102" s="202" t="s">
        <v>111</v>
      </c>
      <c r="K102" s="203">
        <f>K104/K68</f>
        <v>461.4571428571428</v>
      </c>
      <c r="L102" s="202" t="s">
        <v>111</v>
      </c>
      <c r="M102" s="203">
        <f>M104/M68</f>
        <v>461.4571428571428</v>
      </c>
      <c r="N102" s="202" t="s">
        <v>111</v>
      </c>
      <c r="O102" s="203">
        <f>O104/O68</f>
        <v>462.14285714285717</v>
      </c>
      <c r="P102" s="202" t="s">
        <v>111</v>
      </c>
      <c r="Q102" s="203">
        <f>Q104/Q68</f>
        <v>462.14285714285717</v>
      </c>
      <c r="R102" s="202" t="s">
        <v>111</v>
      </c>
      <c r="S102" s="203">
        <f>S104/S68</f>
        <v>462.14285714285717</v>
      </c>
      <c r="T102" s="202" t="s">
        <v>111</v>
      </c>
      <c r="U102" s="203">
        <f>U104/U68</f>
        <v>462.14285714285717</v>
      </c>
      <c r="V102" s="202" t="s">
        <v>111</v>
      </c>
      <c r="W102" s="203">
        <f>W104/W68</f>
        <v>459.73214285714283</v>
      </c>
      <c r="X102" s="202" t="s">
        <v>111</v>
      </c>
      <c r="Y102" s="203">
        <f>Y104/Y68</f>
        <v>459.73214285714283</v>
      </c>
      <c r="Z102" s="202" t="s">
        <v>111</v>
      </c>
      <c r="AA102" s="203">
        <f>AA104/AA68</f>
        <v>459.73214285714283</v>
      </c>
      <c r="AB102" s="202" t="s">
        <v>111</v>
      </c>
      <c r="AC102" s="203">
        <f>AC104/AC68</f>
        <v>459.73214285714283</v>
      </c>
    </row>
    <row r="103" spans="2:29" s="65" customFormat="1" ht="18" customHeight="1" x14ac:dyDescent="0.45">
      <c r="B103" s="199"/>
      <c r="C103" s="200" t="s">
        <v>112</v>
      </c>
      <c r="D103" s="201"/>
      <c r="E103" s="201"/>
      <c r="F103" s="202" t="s">
        <v>111</v>
      </c>
      <c r="G103" s="203">
        <f>G102/G56</f>
        <v>0.11917798110979928</v>
      </c>
      <c r="H103" s="202" t="s">
        <v>111</v>
      </c>
      <c r="I103" s="203">
        <f>I102/I56</f>
        <v>0.11917798110979928</v>
      </c>
      <c r="J103" s="202" t="s">
        <v>111</v>
      </c>
      <c r="K103" s="203">
        <f>K102/K56</f>
        <v>0.11917798110979928</v>
      </c>
      <c r="L103" s="202" t="s">
        <v>111</v>
      </c>
      <c r="M103" s="203">
        <f>M102/M56</f>
        <v>0.11917798110979928</v>
      </c>
      <c r="N103" s="202" t="s">
        <v>111</v>
      </c>
      <c r="O103" s="203">
        <f>O102/O56</f>
        <v>0.1155357142857143</v>
      </c>
      <c r="P103" s="202" t="s">
        <v>111</v>
      </c>
      <c r="Q103" s="203">
        <f>Q102/Q56</f>
        <v>0.1155357142857143</v>
      </c>
      <c r="R103" s="202" t="s">
        <v>111</v>
      </c>
      <c r="S103" s="203">
        <f>S102/S56</f>
        <v>0.1155357142857143</v>
      </c>
      <c r="T103" s="202" t="s">
        <v>111</v>
      </c>
      <c r="U103" s="203">
        <f>U102/U56</f>
        <v>0.1155357142857143</v>
      </c>
      <c r="V103" s="202" t="s">
        <v>111</v>
      </c>
      <c r="W103" s="203">
        <f>W102/W56</f>
        <v>0.12950201207243461</v>
      </c>
      <c r="X103" s="202" t="s">
        <v>111</v>
      </c>
      <c r="Y103" s="203">
        <f>Y102/Y56</f>
        <v>0.12950201207243461</v>
      </c>
      <c r="Z103" s="202" t="s">
        <v>111</v>
      </c>
      <c r="AA103" s="203">
        <f>AA102/AA56</f>
        <v>0.12950201207243461</v>
      </c>
      <c r="AB103" s="202" t="s">
        <v>111</v>
      </c>
      <c r="AC103" s="203">
        <f>AC102/AC56</f>
        <v>0.12950201207243461</v>
      </c>
    </row>
    <row r="104" spans="2:29" s="65" customFormat="1" ht="18" customHeight="1" x14ac:dyDescent="0.45">
      <c r="B104" s="199"/>
      <c r="C104" s="200" t="s">
        <v>113</v>
      </c>
      <c r="D104" s="201"/>
      <c r="E104" s="201"/>
      <c r="F104" s="202" t="s">
        <v>114</v>
      </c>
      <c r="G104" s="204">
        <f>G105*G56</f>
        <v>6460399.9999999991</v>
      </c>
      <c r="H104" s="202" t="s">
        <v>114</v>
      </c>
      <c r="I104" s="204">
        <f>I105*I56</f>
        <v>6460399.9999999991</v>
      </c>
      <c r="J104" s="202" t="s">
        <v>114</v>
      </c>
      <c r="K104" s="204">
        <f>K105*K56</f>
        <v>6460399.9999999991</v>
      </c>
      <c r="L104" s="202" t="s">
        <v>114</v>
      </c>
      <c r="M104" s="204">
        <f>M105*M56</f>
        <v>6460399.9999999991</v>
      </c>
      <c r="N104" s="202" t="s">
        <v>114</v>
      </c>
      <c r="O104" s="204">
        <f>O105*O56</f>
        <v>6470000</v>
      </c>
      <c r="P104" s="202" t="s">
        <v>114</v>
      </c>
      <c r="Q104" s="204">
        <f>Q105*Q56</f>
        <v>6470000</v>
      </c>
      <c r="R104" s="202" t="s">
        <v>114</v>
      </c>
      <c r="S104" s="204">
        <f>S105*S56</f>
        <v>6470000</v>
      </c>
      <c r="T104" s="202" t="s">
        <v>114</v>
      </c>
      <c r="U104" s="204">
        <f>U105*U56</f>
        <v>6470000</v>
      </c>
      <c r="V104" s="202" t="s">
        <v>114</v>
      </c>
      <c r="W104" s="204">
        <f>W105*W56</f>
        <v>6436250</v>
      </c>
      <c r="X104" s="202" t="s">
        <v>114</v>
      </c>
      <c r="Y104" s="204">
        <f>Y105*Y56</f>
        <v>6436250</v>
      </c>
      <c r="Z104" s="202" t="s">
        <v>114</v>
      </c>
      <c r="AA104" s="204">
        <f>AA105*AA56</f>
        <v>6436250</v>
      </c>
      <c r="AB104" s="202" t="s">
        <v>114</v>
      </c>
      <c r="AC104" s="204">
        <f>AC105*AC56</f>
        <v>6436250</v>
      </c>
    </row>
    <row r="105" spans="2:29" s="65" customFormat="1" ht="18" customHeight="1" x14ac:dyDescent="0.45">
      <c r="B105" s="199"/>
      <c r="C105" s="200" t="s">
        <v>115</v>
      </c>
      <c r="D105" s="201"/>
      <c r="E105" s="201"/>
      <c r="F105" s="202" t="s">
        <v>114</v>
      </c>
      <c r="G105" s="204">
        <f>SUM(G106:G111)</f>
        <v>1668.4917355371899</v>
      </c>
      <c r="H105" s="202" t="s">
        <v>114</v>
      </c>
      <c r="I105" s="204">
        <f>SUM(I106:I111)</f>
        <v>1668.4917355371899</v>
      </c>
      <c r="J105" s="202" t="s">
        <v>114</v>
      </c>
      <c r="K105" s="204">
        <f>SUM(K106:K111)</f>
        <v>1668.4917355371899</v>
      </c>
      <c r="L105" s="202" t="s">
        <v>114</v>
      </c>
      <c r="M105" s="204">
        <f>SUM(M106:M111)</f>
        <v>1668.4917355371899</v>
      </c>
      <c r="N105" s="202" t="s">
        <v>114</v>
      </c>
      <c r="O105" s="204">
        <f>SUM(O106:O111)</f>
        <v>1617.5</v>
      </c>
      <c r="P105" s="202" t="s">
        <v>114</v>
      </c>
      <c r="Q105" s="204">
        <f>SUM(Q106:Q111)</f>
        <v>1617.5</v>
      </c>
      <c r="R105" s="202" t="s">
        <v>114</v>
      </c>
      <c r="S105" s="204">
        <f>SUM(S106:S111)</f>
        <v>1617.5</v>
      </c>
      <c r="T105" s="202" t="s">
        <v>114</v>
      </c>
      <c r="U105" s="204">
        <f>SUM(U106:U111)</f>
        <v>1617.5</v>
      </c>
      <c r="V105" s="202" t="s">
        <v>114</v>
      </c>
      <c r="W105" s="204">
        <f>SUM(W106:W111)</f>
        <v>1813.0281690140846</v>
      </c>
      <c r="X105" s="202" t="s">
        <v>114</v>
      </c>
      <c r="Y105" s="204">
        <f>SUM(Y106:Y111)</f>
        <v>1813.0281690140846</v>
      </c>
      <c r="Z105" s="202" t="s">
        <v>114</v>
      </c>
      <c r="AA105" s="204">
        <f>SUM(AA106:AA111)</f>
        <v>1813.0281690140846</v>
      </c>
      <c r="AB105" s="202" t="s">
        <v>114</v>
      </c>
      <c r="AC105" s="204">
        <f>SUM(AC106:AC111)</f>
        <v>1813.0281690140846</v>
      </c>
    </row>
    <row r="106" spans="2:29" s="65" customFormat="1" ht="18" customHeight="1" x14ac:dyDescent="0.45">
      <c r="B106" s="199"/>
      <c r="C106" s="200" t="s">
        <v>116</v>
      </c>
      <c r="D106" s="201"/>
      <c r="E106" s="201"/>
      <c r="F106" s="202" t="s">
        <v>114</v>
      </c>
      <c r="G106" s="204">
        <v>75</v>
      </c>
      <c r="H106" s="202" t="s">
        <v>114</v>
      </c>
      <c r="I106" s="204">
        <v>75</v>
      </c>
      <c r="J106" s="202" t="s">
        <v>114</v>
      </c>
      <c r="K106" s="204">
        <v>75</v>
      </c>
      <c r="L106" s="202" t="s">
        <v>114</v>
      </c>
      <c r="M106" s="204">
        <v>75</v>
      </c>
      <c r="N106" s="202" t="s">
        <v>114</v>
      </c>
      <c r="O106" s="204">
        <v>75</v>
      </c>
      <c r="P106" s="202" t="s">
        <v>114</v>
      </c>
      <c r="Q106" s="204">
        <v>75</v>
      </c>
      <c r="R106" s="202" t="s">
        <v>114</v>
      </c>
      <c r="S106" s="204">
        <v>75</v>
      </c>
      <c r="T106" s="202" t="s">
        <v>114</v>
      </c>
      <c r="U106" s="204">
        <v>75</v>
      </c>
      <c r="V106" s="202" t="s">
        <v>114</v>
      </c>
      <c r="W106" s="204">
        <v>75</v>
      </c>
      <c r="X106" s="202" t="s">
        <v>114</v>
      </c>
      <c r="Y106" s="204">
        <v>75</v>
      </c>
      <c r="Z106" s="202" t="s">
        <v>114</v>
      </c>
      <c r="AA106" s="204">
        <v>75</v>
      </c>
      <c r="AB106" s="202" t="s">
        <v>114</v>
      </c>
      <c r="AC106" s="204">
        <v>75</v>
      </c>
    </row>
    <row r="107" spans="2:29" s="65" customFormat="1" ht="18" customHeight="1" x14ac:dyDescent="0.45">
      <c r="B107" s="199"/>
      <c r="C107" s="200" t="s">
        <v>117</v>
      </c>
      <c r="D107" s="201"/>
      <c r="E107" s="201"/>
      <c r="F107" s="202" t="s">
        <v>114</v>
      </c>
      <c r="G107" s="204">
        <f>1940000/G56</f>
        <v>501.03305785123968</v>
      </c>
      <c r="H107" s="202" t="s">
        <v>114</v>
      </c>
      <c r="I107" s="204">
        <f>1940000/I56</f>
        <v>501.03305785123968</v>
      </c>
      <c r="J107" s="202" t="s">
        <v>114</v>
      </c>
      <c r="K107" s="204">
        <f>1940000/K56</f>
        <v>501.03305785123968</v>
      </c>
      <c r="L107" s="202" t="s">
        <v>114</v>
      </c>
      <c r="M107" s="204">
        <f>1940000/M56</f>
        <v>501.03305785123968</v>
      </c>
      <c r="N107" s="202" t="s">
        <v>114</v>
      </c>
      <c r="O107" s="204">
        <f>1940000/O56</f>
        <v>485</v>
      </c>
      <c r="P107" s="202" t="s">
        <v>114</v>
      </c>
      <c r="Q107" s="204">
        <f>1940000/Q56</f>
        <v>485</v>
      </c>
      <c r="R107" s="202" t="s">
        <v>114</v>
      </c>
      <c r="S107" s="204">
        <f>1940000/S56</f>
        <v>485</v>
      </c>
      <c r="T107" s="202" t="s">
        <v>114</v>
      </c>
      <c r="U107" s="204">
        <f>1940000/U56</f>
        <v>485</v>
      </c>
      <c r="V107" s="202" t="s">
        <v>114</v>
      </c>
      <c r="W107" s="204">
        <f>1940000/W56</f>
        <v>546.47887323943667</v>
      </c>
      <c r="X107" s="202" t="s">
        <v>114</v>
      </c>
      <c r="Y107" s="204">
        <f>1940000/Y56</f>
        <v>546.47887323943667</v>
      </c>
      <c r="Z107" s="202" t="s">
        <v>114</v>
      </c>
      <c r="AA107" s="204">
        <f>1940000/AA56</f>
        <v>546.47887323943667</v>
      </c>
      <c r="AB107" s="202" t="s">
        <v>114</v>
      </c>
      <c r="AC107" s="204">
        <f>1940000/AC56</f>
        <v>546.47887323943667</v>
      </c>
    </row>
    <row r="108" spans="2:29" s="65" customFormat="1" ht="18" customHeight="1" x14ac:dyDescent="0.45">
      <c r="B108" s="199"/>
      <c r="C108" s="200" t="s">
        <v>118</v>
      </c>
      <c r="D108" s="201"/>
      <c r="E108" s="201"/>
      <c r="F108" s="202" t="s">
        <v>114</v>
      </c>
      <c r="G108" s="204">
        <f>275000/G56</f>
        <v>71.022727272727266</v>
      </c>
      <c r="H108" s="202" t="s">
        <v>114</v>
      </c>
      <c r="I108" s="204">
        <f>275000/I56</f>
        <v>71.022727272727266</v>
      </c>
      <c r="J108" s="202" t="s">
        <v>114</v>
      </c>
      <c r="K108" s="204">
        <f>275000/K56</f>
        <v>71.022727272727266</v>
      </c>
      <c r="L108" s="202" t="s">
        <v>114</v>
      </c>
      <c r="M108" s="204">
        <f>275000/M56</f>
        <v>71.022727272727266</v>
      </c>
      <c r="N108" s="202" t="s">
        <v>114</v>
      </c>
      <c r="O108" s="204">
        <f>275000/O56</f>
        <v>68.75</v>
      </c>
      <c r="P108" s="202" t="s">
        <v>114</v>
      </c>
      <c r="Q108" s="204">
        <f>275000/Q56</f>
        <v>68.75</v>
      </c>
      <c r="R108" s="202" t="s">
        <v>114</v>
      </c>
      <c r="S108" s="204">
        <f>275000/S56</f>
        <v>68.75</v>
      </c>
      <c r="T108" s="202" t="s">
        <v>114</v>
      </c>
      <c r="U108" s="204">
        <f>275000/U56</f>
        <v>68.75</v>
      </c>
      <c r="V108" s="202" t="s">
        <v>114</v>
      </c>
      <c r="W108" s="204">
        <f>275000/W56</f>
        <v>77.464788732394368</v>
      </c>
      <c r="X108" s="202" t="s">
        <v>114</v>
      </c>
      <c r="Y108" s="204">
        <f>275000/Y56</f>
        <v>77.464788732394368</v>
      </c>
      <c r="Z108" s="202" t="s">
        <v>114</v>
      </c>
      <c r="AA108" s="204">
        <f>275000/AA56</f>
        <v>77.464788732394368</v>
      </c>
      <c r="AB108" s="202" t="s">
        <v>114</v>
      </c>
      <c r="AC108" s="204">
        <f>275000/AC56</f>
        <v>77.464788732394368</v>
      </c>
    </row>
    <row r="109" spans="2:29" s="65" customFormat="1" ht="18" customHeight="1" x14ac:dyDescent="0.45">
      <c r="B109" s="199"/>
      <c r="C109" s="200" t="s">
        <v>119</v>
      </c>
      <c r="D109" s="201"/>
      <c r="E109" s="201"/>
      <c r="F109" s="202" t="s">
        <v>114</v>
      </c>
      <c r="G109" s="204">
        <f>1280000/G56</f>
        <v>330.57851239669424</v>
      </c>
      <c r="H109" s="202" t="s">
        <v>114</v>
      </c>
      <c r="I109" s="204">
        <f>1280000/I56</f>
        <v>330.57851239669424</v>
      </c>
      <c r="J109" s="202" t="s">
        <v>114</v>
      </c>
      <c r="K109" s="204">
        <f>1280000/K56</f>
        <v>330.57851239669424</v>
      </c>
      <c r="L109" s="202" t="s">
        <v>114</v>
      </c>
      <c r="M109" s="204">
        <f>1280000/M56</f>
        <v>330.57851239669424</v>
      </c>
      <c r="N109" s="202" t="s">
        <v>114</v>
      </c>
      <c r="O109" s="204">
        <f>1280000/O56</f>
        <v>320</v>
      </c>
      <c r="P109" s="202" t="s">
        <v>114</v>
      </c>
      <c r="Q109" s="204">
        <f>1280000/Q56</f>
        <v>320</v>
      </c>
      <c r="R109" s="202" t="s">
        <v>114</v>
      </c>
      <c r="S109" s="204">
        <f>1280000/S56</f>
        <v>320</v>
      </c>
      <c r="T109" s="202" t="s">
        <v>114</v>
      </c>
      <c r="U109" s="204">
        <f>1280000/U56</f>
        <v>320</v>
      </c>
      <c r="V109" s="202" t="s">
        <v>114</v>
      </c>
      <c r="W109" s="204">
        <f>1280000/W56</f>
        <v>360.56338028169012</v>
      </c>
      <c r="X109" s="202" t="s">
        <v>114</v>
      </c>
      <c r="Y109" s="204">
        <f>1280000/Y56</f>
        <v>360.56338028169012</v>
      </c>
      <c r="Z109" s="202" t="s">
        <v>114</v>
      </c>
      <c r="AA109" s="204">
        <f>1280000/AA56</f>
        <v>360.56338028169012</v>
      </c>
      <c r="AB109" s="202" t="s">
        <v>114</v>
      </c>
      <c r="AC109" s="204">
        <f>1280000/AC56</f>
        <v>360.56338028169012</v>
      </c>
    </row>
    <row r="110" spans="2:29" s="65" customFormat="1" ht="18" customHeight="1" x14ac:dyDescent="0.45">
      <c r="B110" s="199"/>
      <c r="C110" s="200" t="s">
        <v>120</v>
      </c>
      <c r="D110" s="201"/>
      <c r="E110" s="201"/>
      <c r="F110" s="202" t="s">
        <v>114</v>
      </c>
      <c r="G110" s="204">
        <f>225000/G56</f>
        <v>58.109504132231407</v>
      </c>
      <c r="H110" s="202" t="s">
        <v>114</v>
      </c>
      <c r="I110" s="204">
        <f>225000/I56</f>
        <v>58.109504132231407</v>
      </c>
      <c r="J110" s="202" t="s">
        <v>114</v>
      </c>
      <c r="K110" s="204">
        <f>225000/K56</f>
        <v>58.109504132231407</v>
      </c>
      <c r="L110" s="202" t="s">
        <v>114</v>
      </c>
      <c r="M110" s="204">
        <f>225000/M56</f>
        <v>58.109504132231407</v>
      </c>
      <c r="N110" s="202" t="s">
        <v>114</v>
      </c>
      <c r="O110" s="204">
        <f>225000/O56</f>
        <v>56.25</v>
      </c>
      <c r="P110" s="202" t="s">
        <v>114</v>
      </c>
      <c r="Q110" s="204">
        <f>225000/Q56</f>
        <v>56.25</v>
      </c>
      <c r="R110" s="202" t="s">
        <v>114</v>
      </c>
      <c r="S110" s="204">
        <f>225000/S56</f>
        <v>56.25</v>
      </c>
      <c r="T110" s="202" t="s">
        <v>114</v>
      </c>
      <c r="U110" s="204">
        <f>225000/U56</f>
        <v>56.25</v>
      </c>
      <c r="V110" s="202" t="s">
        <v>114</v>
      </c>
      <c r="W110" s="204">
        <f>225000/W56</f>
        <v>63.380281690140848</v>
      </c>
      <c r="X110" s="202" t="s">
        <v>114</v>
      </c>
      <c r="Y110" s="204">
        <f>225000/Y56</f>
        <v>63.380281690140848</v>
      </c>
      <c r="Z110" s="202" t="s">
        <v>114</v>
      </c>
      <c r="AA110" s="204">
        <f>225000/AA56</f>
        <v>63.380281690140848</v>
      </c>
      <c r="AB110" s="202" t="s">
        <v>114</v>
      </c>
      <c r="AC110" s="204">
        <f>225000/AC56</f>
        <v>63.380281690140848</v>
      </c>
    </row>
    <row r="111" spans="2:29" s="4" customFormat="1" ht="18" customHeight="1" thickBot="1" x14ac:dyDescent="0.5">
      <c r="B111" s="205"/>
      <c r="C111" s="206" t="s">
        <v>121</v>
      </c>
      <c r="D111" s="207"/>
      <c r="E111" s="207"/>
      <c r="F111" s="208" t="s">
        <v>114</v>
      </c>
      <c r="G111" s="209">
        <f>(175*G68)/G56</f>
        <v>632.74793388429748</v>
      </c>
      <c r="H111" s="208" t="s">
        <v>114</v>
      </c>
      <c r="I111" s="209">
        <f>(175*I68)/I56</f>
        <v>632.74793388429748</v>
      </c>
      <c r="J111" s="208" t="s">
        <v>114</v>
      </c>
      <c r="K111" s="209">
        <f>(175*K68)/K56</f>
        <v>632.74793388429748</v>
      </c>
      <c r="L111" s="208" t="s">
        <v>114</v>
      </c>
      <c r="M111" s="209">
        <f>(175*M68)/M56</f>
        <v>632.74793388429748</v>
      </c>
      <c r="N111" s="208" t="s">
        <v>114</v>
      </c>
      <c r="O111" s="209">
        <f>(175*O68)/O56</f>
        <v>612.5</v>
      </c>
      <c r="P111" s="208" t="s">
        <v>114</v>
      </c>
      <c r="Q111" s="209">
        <f>(175*Q68)/Q56</f>
        <v>612.5</v>
      </c>
      <c r="R111" s="208" t="s">
        <v>114</v>
      </c>
      <c r="S111" s="209">
        <f>(175*S68)/S56</f>
        <v>612.5</v>
      </c>
      <c r="T111" s="208" t="s">
        <v>114</v>
      </c>
      <c r="U111" s="209">
        <f>(175*U68)/U56</f>
        <v>612.5</v>
      </c>
      <c r="V111" s="208" t="s">
        <v>114</v>
      </c>
      <c r="W111" s="209">
        <f>(175*W68)/W56</f>
        <v>690.14084507042253</v>
      </c>
      <c r="X111" s="208" t="s">
        <v>114</v>
      </c>
      <c r="Y111" s="209">
        <f>(175*Y68)/Y56</f>
        <v>690.14084507042253</v>
      </c>
      <c r="Z111" s="208" t="s">
        <v>114</v>
      </c>
      <c r="AA111" s="209">
        <f>(175*AA68)/AA56</f>
        <v>690.14084507042253</v>
      </c>
      <c r="AB111" s="208" t="s">
        <v>114</v>
      </c>
      <c r="AC111" s="209">
        <f>(175*AC68)/AC56</f>
        <v>690.14084507042253</v>
      </c>
    </row>
    <row r="112" spans="2:29" ht="15" customHeight="1" thickTop="1" x14ac:dyDescent="0.45">
      <c r="B112" s="1187"/>
      <c r="C112" s="161"/>
      <c r="D112" s="162"/>
      <c r="E112" s="210"/>
      <c r="F112" s="164"/>
      <c r="G112" s="165"/>
      <c r="H112" s="164"/>
      <c r="I112" s="165"/>
      <c r="J112" s="164"/>
      <c r="K112" s="165"/>
      <c r="L112" s="164"/>
      <c r="M112" s="165"/>
      <c r="N112" s="164"/>
      <c r="O112" s="165"/>
      <c r="P112" s="164"/>
      <c r="Q112" s="165"/>
      <c r="R112" s="164"/>
      <c r="S112" s="165"/>
      <c r="T112" s="164"/>
      <c r="U112" s="165"/>
      <c r="V112" s="164"/>
      <c r="W112" s="165"/>
      <c r="X112" s="164"/>
      <c r="Y112" s="165"/>
      <c r="Z112" s="164"/>
      <c r="AA112" s="165"/>
      <c r="AB112" s="164"/>
      <c r="AC112" s="165"/>
    </row>
    <row r="113" spans="2:29" ht="15" customHeight="1" x14ac:dyDescent="0.45">
      <c r="B113" s="1187"/>
      <c r="C113" s="211" t="s">
        <v>122</v>
      </c>
      <c r="D113" s="212"/>
      <c r="E113" s="213" t="s">
        <v>123</v>
      </c>
      <c r="F113" s="214"/>
      <c r="G113" s="215">
        <v>33580560</v>
      </c>
      <c r="H113" s="214"/>
      <c r="I113" s="215">
        <f>G113</f>
        <v>33580560</v>
      </c>
      <c r="J113" s="214"/>
      <c r="K113" s="215">
        <f>I113</f>
        <v>33580560</v>
      </c>
      <c r="L113" s="214"/>
      <c r="M113" s="215">
        <f>K113</f>
        <v>33580560</v>
      </c>
      <c r="N113" s="214"/>
      <c r="O113" s="215">
        <v>8114880</v>
      </c>
      <c r="P113" s="214"/>
      <c r="Q113" s="215">
        <f>O113</f>
        <v>8114880</v>
      </c>
      <c r="R113" s="214"/>
      <c r="S113" s="215">
        <f>Q113</f>
        <v>8114880</v>
      </c>
      <c r="T113" s="214"/>
      <c r="U113" s="215">
        <f>S113</f>
        <v>8114880</v>
      </c>
      <c r="V113" s="214"/>
      <c r="W113" s="215">
        <v>11492280</v>
      </c>
      <c r="X113" s="214"/>
      <c r="Y113" s="215">
        <f>W113</f>
        <v>11492280</v>
      </c>
      <c r="Z113" s="214"/>
      <c r="AA113" s="215">
        <f>Y113</f>
        <v>11492280</v>
      </c>
      <c r="AB113" s="214"/>
      <c r="AC113" s="215">
        <f>AA113</f>
        <v>11492280</v>
      </c>
    </row>
    <row r="114" spans="2:29" x14ac:dyDescent="0.45">
      <c r="B114" s="1187"/>
      <c r="C114" s="216" t="s">
        <v>124</v>
      </c>
      <c r="D114" s="217"/>
      <c r="E114" s="218" t="s">
        <v>123</v>
      </c>
      <c r="F114" s="219"/>
      <c r="G114" s="220">
        <v>44153968</v>
      </c>
      <c r="H114" s="219"/>
      <c r="I114" s="220">
        <f>G114</f>
        <v>44153968</v>
      </c>
      <c r="J114" s="219"/>
      <c r="K114" s="220">
        <f>I114</f>
        <v>44153968</v>
      </c>
      <c r="L114" s="219"/>
      <c r="M114" s="220">
        <f>K114</f>
        <v>44153968</v>
      </c>
      <c r="N114" s="219"/>
      <c r="O114" s="220">
        <v>10000000</v>
      </c>
      <c r="P114" s="219"/>
      <c r="Q114" s="220">
        <f>O114</f>
        <v>10000000</v>
      </c>
      <c r="R114" s="219"/>
      <c r="S114" s="220">
        <f>Q114</f>
        <v>10000000</v>
      </c>
      <c r="T114" s="219"/>
      <c r="U114" s="220">
        <f>S114</f>
        <v>10000000</v>
      </c>
      <c r="V114" s="219"/>
      <c r="W114" s="220">
        <v>23655905</v>
      </c>
      <c r="X114" s="219"/>
      <c r="Y114" s="220">
        <f>W114</f>
        <v>23655905</v>
      </c>
      <c r="Z114" s="219"/>
      <c r="AA114" s="220">
        <f>Y114</f>
        <v>23655905</v>
      </c>
      <c r="AB114" s="219"/>
      <c r="AC114" s="220">
        <f>AA114</f>
        <v>23655905</v>
      </c>
    </row>
    <row r="115" spans="2:29" x14ac:dyDescent="0.45">
      <c r="B115" s="1187"/>
      <c r="C115" s="216"/>
      <c r="D115" s="217"/>
      <c r="E115" s="218" t="s">
        <v>125</v>
      </c>
      <c r="F115" s="219"/>
      <c r="G115" s="221">
        <f>G114/40</f>
        <v>1103849.2</v>
      </c>
      <c r="H115" s="219"/>
      <c r="I115" s="221">
        <f>I114/40</f>
        <v>1103849.2</v>
      </c>
      <c r="J115" s="219"/>
      <c r="K115" s="221">
        <f>K114/40</f>
        <v>1103849.2</v>
      </c>
      <c r="L115" s="219"/>
      <c r="M115" s="221">
        <f>M114/40</f>
        <v>1103849.2</v>
      </c>
      <c r="N115" s="219"/>
      <c r="O115" s="221">
        <f>O114/40</f>
        <v>250000</v>
      </c>
      <c r="P115" s="219"/>
      <c r="Q115" s="221">
        <f>Q114/40</f>
        <v>250000</v>
      </c>
      <c r="R115" s="219"/>
      <c r="S115" s="221">
        <f>S114/40</f>
        <v>250000</v>
      </c>
      <c r="T115" s="219"/>
      <c r="U115" s="221">
        <f>U114/40</f>
        <v>250000</v>
      </c>
      <c r="V115" s="219"/>
      <c r="W115" s="221">
        <f>W114/40</f>
        <v>591397.625</v>
      </c>
      <c r="X115" s="219"/>
      <c r="Y115" s="221">
        <f>Y114/40</f>
        <v>591397.625</v>
      </c>
      <c r="Z115" s="219"/>
      <c r="AA115" s="221">
        <f>AA114/40</f>
        <v>591397.625</v>
      </c>
      <c r="AB115" s="219"/>
      <c r="AC115" s="221">
        <f>AC114/40</f>
        <v>591397.625</v>
      </c>
    </row>
    <row r="116" spans="2:29" x14ac:dyDescent="0.45">
      <c r="B116" s="1187"/>
      <c r="C116" s="216"/>
      <c r="D116" s="217"/>
      <c r="E116" s="218" t="s">
        <v>126</v>
      </c>
      <c r="F116" s="222"/>
      <c r="G116" s="220">
        <f>G115/G56</f>
        <v>285.08502066115699</v>
      </c>
      <c r="H116" s="222"/>
      <c r="I116" s="220">
        <f>I115/I56</f>
        <v>285.08502066115699</v>
      </c>
      <c r="J116" s="222"/>
      <c r="K116" s="220">
        <f>K115/K56</f>
        <v>285.08502066115699</v>
      </c>
      <c r="L116" s="222"/>
      <c r="M116" s="220">
        <f>M115/M56</f>
        <v>285.08502066115699</v>
      </c>
      <c r="N116" s="222"/>
      <c r="O116" s="220">
        <f>O115/O56</f>
        <v>62.5</v>
      </c>
      <c r="P116" s="222"/>
      <c r="Q116" s="220">
        <f>Q115/Q56</f>
        <v>62.5</v>
      </c>
      <c r="R116" s="222"/>
      <c r="S116" s="220">
        <f>S115/S56</f>
        <v>62.5</v>
      </c>
      <c r="T116" s="222"/>
      <c r="U116" s="220">
        <f>U115/U56</f>
        <v>62.5</v>
      </c>
      <c r="V116" s="222"/>
      <c r="W116" s="220">
        <f>W115/W56</f>
        <v>166.59088028169015</v>
      </c>
      <c r="X116" s="222"/>
      <c r="Y116" s="220">
        <f>Y115/Y56</f>
        <v>166.59088028169015</v>
      </c>
      <c r="Z116" s="222"/>
      <c r="AA116" s="220">
        <f>AA115/AA56</f>
        <v>166.59088028169015</v>
      </c>
      <c r="AB116" s="222"/>
      <c r="AC116" s="220">
        <f>AC115/AC56</f>
        <v>166.59088028169015</v>
      </c>
    </row>
    <row r="117" spans="2:29" x14ac:dyDescent="0.45">
      <c r="B117" s="1187"/>
      <c r="C117" s="223"/>
      <c r="D117" s="175"/>
      <c r="E117" s="176"/>
      <c r="F117" s="177"/>
      <c r="G117" s="178"/>
      <c r="H117" s="177"/>
      <c r="I117" s="178"/>
      <c r="J117" s="177"/>
      <c r="K117" s="178"/>
      <c r="L117" s="177"/>
      <c r="M117" s="178"/>
      <c r="N117" s="177"/>
      <c r="O117" s="178"/>
      <c r="P117" s="177"/>
      <c r="Q117" s="178"/>
      <c r="R117" s="177"/>
      <c r="S117" s="178"/>
      <c r="T117" s="177"/>
      <c r="U117" s="178"/>
      <c r="V117" s="177"/>
      <c r="W117" s="178"/>
      <c r="X117" s="177"/>
      <c r="Y117" s="178"/>
      <c r="Z117" s="177"/>
      <c r="AA117" s="178"/>
      <c r="AB117" s="177"/>
      <c r="AC117" s="178"/>
    </row>
    <row r="118" spans="2:29" x14ac:dyDescent="0.45">
      <c r="B118" s="1187"/>
      <c r="C118" s="161" t="s">
        <v>127</v>
      </c>
      <c r="D118" s="162"/>
      <c r="E118" s="179" t="s">
        <v>128</v>
      </c>
      <c r="F118" s="180"/>
      <c r="G118" s="224">
        <f>G54</f>
        <v>620</v>
      </c>
      <c r="H118" s="180"/>
      <c r="I118" s="224">
        <f>I54</f>
        <v>620</v>
      </c>
      <c r="J118" s="180"/>
      <c r="K118" s="224">
        <f>K54</f>
        <v>620</v>
      </c>
      <c r="L118" s="180"/>
      <c r="M118" s="224">
        <f>M54</f>
        <v>620</v>
      </c>
      <c r="N118" s="180"/>
      <c r="O118" s="224">
        <f>O54</f>
        <v>620</v>
      </c>
      <c r="P118" s="180"/>
      <c r="Q118" s="224">
        <f>Q54</f>
        <v>620</v>
      </c>
      <c r="R118" s="180"/>
      <c r="S118" s="224">
        <f>S54</f>
        <v>620</v>
      </c>
      <c r="T118" s="180"/>
      <c r="U118" s="224">
        <f>U54</f>
        <v>620</v>
      </c>
      <c r="V118" s="180"/>
      <c r="W118" s="224">
        <f>W54</f>
        <v>620</v>
      </c>
      <c r="X118" s="180"/>
      <c r="Y118" s="224">
        <f>Y54</f>
        <v>620</v>
      </c>
      <c r="Z118" s="180"/>
      <c r="AA118" s="224">
        <f>AA54</f>
        <v>620</v>
      </c>
      <c r="AB118" s="180"/>
      <c r="AC118" s="224">
        <f>AC54</f>
        <v>620</v>
      </c>
    </row>
    <row r="119" spans="2:29" x14ac:dyDescent="0.45">
      <c r="B119" s="1187"/>
      <c r="C119" s="225" t="s">
        <v>129</v>
      </c>
      <c r="D119" s="162"/>
      <c r="E119" s="179" t="s">
        <v>128</v>
      </c>
      <c r="F119" s="180"/>
      <c r="G119" s="224">
        <v>1150</v>
      </c>
      <c r="H119" s="180"/>
      <c r="I119" s="224">
        <f>G119</f>
        <v>1150</v>
      </c>
      <c r="J119" s="180"/>
      <c r="K119" s="224">
        <f>I119</f>
        <v>1150</v>
      </c>
      <c r="L119" s="180"/>
      <c r="M119" s="224">
        <f>K119</f>
        <v>1150</v>
      </c>
      <c r="N119" s="180"/>
      <c r="O119" s="224">
        <v>1150</v>
      </c>
      <c r="P119" s="180"/>
      <c r="Q119" s="224">
        <f>O119</f>
        <v>1150</v>
      </c>
      <c r="R119" s="180"/>
      <c r="S119" s="224">
        <f>Q119</f>
        <v>1150</v>
      </c>
      <c r="T119" s="180"/>
      <c r="U119" s="224">
        <f>S119</f>
        <v>1150</v>
      </c>
      <c r="V119" s="180"/>
      <c r="W119" s="224">
        <v>1150</v>
      </c>
      <c r="X119" s="180"/>
      <c r="Y119" s="224">
        <f>W119</f>
        <v>1150</v>
      </c>
      <c r="Z119" s="180"/>
      <c r="AA119" s="224">
        <f>Y119</f>
        <v>1150</v>
      </c>
      <c r="AB119" s="180"/>
      <c r="AC119" s="224">
        <f>AA119</f>
        <v>1150</v>
      </c>
    </row>
    <row r="120" spans="2:29" x14ac:dyDescent="0.45">
      <c r="B120" s="1187"/>
      <c r="C120" s="225" t="s">
        <v>130</v>
      </c>
      <c r="D120" s="162"/>
      <c r="E120" s="179"/>
      <c r="F120" s="180"/>
      <c r="G120" s="224">
        <v>750</v>
      </c>
      <c r="H120" s="180"/>
      <c r="I120" s="224">
        <f>G120</f>
        <v>750</v>
      </c>
      <c r="J120" s="180"/>
      <c r="K120" s="224">
        <f>I120</f>
        <v>750</v>
      </c>
      <c r="L120" s="180"/>
      <c r="M120" s="224">
        <f>K120</f>
        <v>750</v>
      </c>
      <c r="N120" s="180"/>
      <c r="O120" s="224">
        <v>750</v>
      </c>
      <c r="P120" s="180"/>
      <c r="Q120" s="224">
        <f>O120</f>
        <v>750</v>
      </c>
      <c r="R120" s="180"/>
      <c r="S120" s="224">
        <f>Q120</f>
        <v>750</v>
      </c>
      <c r="T120" s="180"/>
      <c r="U120" s="224">
        <f>S120</f>
        <v>750</v>
      </c>
      <c r="V120" s="180"/>
      <c r="W120" s="224">
        <v>750</v>
      </c>
      <c r="X120" s="180"/>
      <c r="Y120" s="224">
        <f>W120</f>
        <v>750</v>
      </c>
      <c r="Z120" s="180"/>
      <c r="AA120" s="224">
        <f>Y120</f>
        <v>750</v>
      </c>
      <c r="AB120" s="180"/>
      <c r="AC120" s="224">
        <f>AA120</f>
        <v>750</v>
      </c>
    </row>
    <row r="121" spans="2:29" x14ac:dyDescent="0.45">
      <c r="B121" s="1187"/>
      <c r="C121" s="170"/>
      <c r="D121" s="162"/>
      <c r="E121" s="197"/>
      <c r="F121" s="164"/>
      <c r="G121" s="171"/>
      <c r="H121" s="164"/>
      <c r="I121" s="171"/>
      <c r="J121" s="164"/>
      <c r="K121" s="171"/>
      <c r="L121" s="164"/>
      <c r="M121" s="171"/>
      <c r="N121" s="164"/>
      <c r="O121" s="171"/>
      <c r="P121" s="164"/>
      <c r="Q121" s="171"/>
      <c r="R121" s="164"/>
      <c r="S121" s="171"/>
      <c r="T121" s="164"/>
      <c r="U121" s="171"/>
      <c r="V121" s="164"/>
      <c r="W121" s="171"/>
      <c r="X121" s="164"/>
      <c r="Y121" s="171"/>
      <c r="Z121" s="164"/>
      <c r="AA121" s="171"/>
      <c r="AB121" s="164"/>
      <c r="AC121" s="171"/>
    </row>
    <row r="122" spans="2:29" x14ac:dyDescent="0.45">
      <c r="B122" s="1187"/>
      <c r="C122" s="226" t="s">
        <v>131</v>
      </c>
      <c r="D122" s="227"/>
      <c r="E122" s="228" t="s">
        <v>132</v>
      </c>
      <c r="F122" s="229"/>
      <c r="G122" s="230">
        <f>G119-G118</f>
        <v>530</v>
      </c>
      <c r="H122" s="231"/>
      <c r="I122" s="230">
        <f>I119-I118</f>
        <v>530</v>
      </c>
      <c r="J122" s="231"/>
      <c r="K122" s="230">
        <f>K119-K118</f>
        <v>530</v>
      </c>
      <c r="L122" s="231"/>
      <c r="M122" s="230">
        <f>M119-M118</f>
        <v>530</v>
      </c>
      <c r="N122" s="229"/>
      <c r="O122" s="230">
        <f>O119-O118</f>
        <v>530</v>
      </c>
      <c r="P122" s="231"/>
      <c r="Q122" s="230">
        <f>Q119-Q118</f>
        <v>530</v>
      </c>
      <c r="R122" s="231"/>
      <c r="S122" s="230">
        <f>S119-S118</f>
        <v>530</v>
      </c>
      <c r="T122" s="231"/>
      <c r="U122" s="230">
        <f>U119-U118</f>
        <v>530</v>
      </c>
      <c r="V122" s="229"/>
      <c r="W122" s="230">
        <f>W119-W118</f>
        <v>530</v>
      </c>
      <c r="X122" s="231"/>
      <c r="Y122" s="230">
        <f>Y119-Y118</f>
        <v>530</v>
      </c>
      <c r="Z122" s="231"/>
      <c r="AA122" s="230">
        <f>AA119-AA118</f>
        <v>530</v>
      </c>
      <c r="AB122" s="231"/>
      <c r="AC122" s="230">
        <f>AC119-AC118</f>
        <v>530</v>
      </c>
    </row>
    <row r="123" spans="2:29" x14ac:dyDescent="0.45">
      <c r="B123" s="1187"/>
      <c r="C123" s="232"/>
      <c r="D123" s="227"/>
      <c r="E123" s="228" t="s">
        <v>133</v>
      </c>
      <c r="F123" s="229"/>
      <c r="G123" s="230">
        <f>G122*G116</f>
        <v>151095.0609504132</v>
      </c>
      <c r="H123" s="231"/>
      <c r="I123" s="230">
        <f>I122*I116</f>
        <v>151095.0609504132</v>
      </c>
      <c r="J123" s="231"/>
      <c r="K123" s="230">
        <f>K122*K116</f>
        <v>151095.0609504132</v>
      </c>
      <c r="L123" s="231"/>
      <c r="M123" s="230">
        <f>M122*M116</f>
        <v>151095.0609504132</v>
      </c>
      <c r="N123" s="229"/>
      <c r="O123" s="230">
        <f>O122*O116</f>
        <v>33125</v>
      </c>
      <c r="P123" s="231"/>
      <c r="Q123" s="230">
        <f>Q122*Q116</f>
        <v>33125</v>
      </c>
      <c r="R123" s="231"/>
      <c r="S123" s="230">
        <f>S122*S116</f>
        <v>33125</v>
      </c>
      <c r="T123" s="231"/>
      <c r="U123" s="230">
        <f>U122*U116</f>
        <v>33125</v>
      </c>
      <c r="V123" s="229"/>
      <c r="W123" s="230">
        <f>W122*W116</f>
        <v>88293.166549295784</v>
      </c>
      <c r="X123" s="231"/>
      <c r="Y123" s="230">
        <f>Y122*Y116</f>
        <v>88293.166549295784</v>
      </c>
      <c r="Z123" s="231"/>
      <c r="AA123" s="230">
        <f>AA122*AA116</f>
        <v>88293.166549295784</v>
      </c>
      <c r="AB123" s="231"/>
      <c r="AC123" s="230">
        <f>AC122*AC116</f>
        <v>88293.166549295784</v>
      </c>
    </row>
    <row r="124" spans="2:29" x14ac:dyDescent="0.45">
      <c r="B124" s="1187"/>
      <c r="C124" s="233"/>
      <c r="D124" s="234"/>
      <c r="E124" s="234"/>
      <c r="F124" s="235"/>
      <c r="G124" s="236"/>
      <c r="H124" s="237"/>
      <c r="I124" s="236"/>
      <c r="J124" s="237"/>
      <c r="K124" s="236"/>
      <c r="L124" s="237"/>
      <c r="M124" s="236"/>
      <c r="N124" s="235"/>
      <c r="O124" s="236"/>
      <c r="P124" s="237"/>
      <c r="Q124" s="236"/>
      <c r="R124" s="237"/>
      <c r="S124" s="236"/>
      <c r="T124" s="237"/>
      <c r="U124" s="236"/>
      <c r="V124" s="235"/>
      <c r="W124" s="236"/>
      <c r="X124" s="237"/>
      <c r="Y124" s="236"/>
      <c r="Z124" s="237"/>
      <c r="AA124" s="236"/>
      <c r="AB124" s="237"/>
      <c r="AC124" s="236"/>
    </row>
    <row r="125" spans="2:29" x14ac:dyDescent="0.45">
      <c r="B125" s="1189"/>
      <c r="C125" s="238" t="s">
        <v>134</v>
      </c>
      <c r="D125" s="239"/>
      <c r="E125" s="240"/>
      <c r="F125" s="241"/>
      <c r="G125" s="242">
        <f>G86*G115</f>
        <v>98041.553134001719</v>
      </c>
      <c r="H125" s="241"/>
      <c r="I125" s="242">
        <f>I86*I115</f>
        <v>263618.93313400209</v>
      </c>
      <c r="J125" s="241"/>
      <c r="K125" s="242">
        <f>K86*K115</f>
        <v>318811.39313400182</v>
      </c>
      <c r="L125" s="241"/>
      <c r="M125" s="242">
        <f>M86*M115</f>
        <v>285695.91713400191</v>
      </c>
      <c r="N125" s="241"/>
      <c r="O125" s="242">
        <f>O86*O115</f>
        <v>3616.0714285712743</v>
      </c>
      <c r="P125" s="241"/>
      <c r="Q125" s="242">
        <f>Q86*Q115</f>
        <v>41116.071428571362</v>
      </c>
      <c r="R125" s="241"/>
      <c r="S125" s="242">
        <f>S86*S115</f>
        <v>78616.071428571289</v>
      </c>
      <c r="T125" s="241"/>
      <c r="U125" s="242">
        <f>U86*U115</f>
        <v>58616.071428571297</v>
      </c>
      <c r="V125" s="241"/>
      <c r="W125" s="242">
        <f>W86*W115</f>
        <v>-22314.253446302948</v>
      </c>
      <c r="X125" s="241"/>
      <c r="Y125" s="242">
        <f>Y86*Y115</f>
        <v>66395.390303697262</v>
      </c>
      <c r="Z125" s="241"/>
      <c r="AA125" s="242">
        <f>AA86*AA115</f>
        <v>-22314.253446302948</v>
      </c>
      <c r="AB125" s="241"/>
      <c r="AC125" s="242">
        <f>AC86*AC115</f>
        <v>19083.580303697021</v>
      </c>
    </row>
    <row r="126" spans="2:29" x14ac:dyDescent="0.45">
      <c r="I126" s="243"/>
    </row>
    <row r="127" spans="2:29" x14ac:dyDescent="0.45">
      <c r="K127" s="244"/>
    </row>
  </sheetData>
  <mergeCells count="64">
    <mergeCell ref="N5:O5"/>
    <mergeCell ref="L2:M2"/>
    <mergeCell ref="T2:U2"/>
    <mergeCell ref="AB2:AC2"/>
    <mergeCell ref="F3:M4"/>
    <mergeCell ref="N3:U4"/>
    <mergeCell ref="V3:AC4"/>
    <mergeCell ref="AB5:AC5"/>
    <mergeCell ref="P5:Q5"/>
    <mergeCell ref="R5:S5"/>
    <mergeCell ref="T5:U5"/>
    <mergeCell ref="V5:W5"/>
    <mergeCell ref="X5:Y5"/>
    <mergeCell ref="Z5:AA5"/>
    <mergeCell ref="B5:B12"/>
    <mergeCell ref="F5:G5"/>
    <mergeCell ref="H5:I5"/>
    <mergeCell ref="J5:K5"/>
    <mergeCell ref="L5:M5"/>
    <mergeCell ref="F6:G6"/>
    <mergeCell ref="H6:I6"/>
    <mergeCell ref="J6:K6"/>
    <mergeCell ref="L6:M6"/>
    <mergeCell ref="F8:G8"/>
    <mergeCell ref="H8:I8"/>
    <mergeCell ref="J8:K8"/>
    <mergeCell ref="L8:M8"/>
    <mergeCell ref="X6:Y6"/>
    <mergeCell ref="Z6:AA6"/>
    <mergeCell ref="AB6:AC6"/>
    <mergeCell ref="F7:G7"/>
    <mergeCell ref="H7:I7"/>
    <mergeCell ref="J7:K7"/>
    <mergeCell ref="L7:M7"/>
    <mergeCell ref="N7:O7"/>
    <mergeCell ref="P7:Q7"/>
    <mergeCell ref="R7:S7"/>
    <mergeCell ref="AB7:AC7"/>
    <mergeCell ref="N6:O6"/>
    <mergeCell ref="P6:Q6"/>
    <mergeCell ref="R6:S6"/>
    <mergeCell ref="T6:U6"/>
    <mergeCell ref="V6:W6"/>
    <mergeCell ref="N8:O8"/>
    <mergeCell ref="T7:U7"/>
    <mergeCell ref="V7:W7"/>
    <mergeCell ref="X7:Y7"/>
    <mergeCell ref="Z7:AA7"/>
    <mergeCell ref="B38:B60"/>
    <mergeCell ref="B61:B87"/>
    <mergeCell ref="B88:B101"/>
    <mergeCell ref="B112:B125"/>
    <mergeCell ref="AB8:AC8"/>
    <mergeCell ref="D11:E11"/>
    <mergeCell ref="B14:B20"/>
    <mergeCell ref="B21:B26"/>
    <mergeCell ref="B27:B32"/>
    <mergeCell ref="B33:B37"/>
    <mergeCell ref="P8:Q8"/>
    <mergeCell ref="R8:S8"/>
    <mergeCell ref="T8:U8"/>
    <mergeCell ref="V8:W8"/>
    <mergeCell ref="X8:Y8"/>
    <mergeCell ref="Z8:AA8"/>
  </mergeCells>
  <pageMargins left="0.7" right="0.7" top="0.75" bottom="0.75" header="0.3" footer="0.3"/>
  <pageSetup paperSize="8" scale="50" orientation="landscape" verticalDpi="598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S128"/>
  <sheetViews>
    <sheetView showGridLines="0" zoomScale="80" zoomScaleNormal="80" zoomScaleSheetLayoutView="8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K69" sqref="K69"/>
    </sheetView>
  </sheetViews>
  <sheetFormatPr defaultRowHeight="14.25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2.73046875" customWidth="1"/>
    <col min="7" max="7" width="13.3984375" bestFit="1" customWidth="1"/>
    <col min="8" max="8" width="11.265625" style="1" customWidth="1"/>
    <col min="9" max="9" width="13.3984375" style="1" bestFit="1" customWidth="1"/>
    <col min="10" max="10" width="11.265625" bestFit="1" customWidth="1"/>
    <col min="11" max="11" width="13.3984375" bestFit="1" customWidth="1"/>
    <col min="12" max="12" width="12.73046875" customWidth="1"/>
    <col min="13" max="13" width="13.1328125" customWidth="1"/>
    <col min="14" max="14" width="11.265625" bestFit="1" customWidth="1"/>
    <col min="15" max="15" width="12.265625" bestFit="1" customWidth="1"/>
    <col min="16" max="19" width="11.265625" bestFit="1" customWidth="1"/>
  </cols>
  <sheetData>
    <row r="2" spans="2:19" s="4" customFormat="1" ht="21" customHeight="1" thickBot="1" x14ac:dyDescent="0.5">
      <c r="B2" s="2" t="s">
        <v>0</v>
      </c>
      <c r="C2" s="3"/>
      <c r="E2" s="5"/>
      <c r="F2" s="1231" t="str">
        <f>F3</f>
        <v>GSS LOKAL 40</v>
      </c>
      <c r="G2" s="1231"/>
      <c r="H2" s="1231" t="str">
        <f>H3</f>
        <v>IIP LOKAL 40</v>
      </c>
      <c r="I2" s="1231"/>
      <c r="J2" s="1231" t="str">
        <f>J3</f>
        <v>IHAG LOKAL 40</v>
      </c>
      <c r="K2" s="1231"/>
      <c r="L2" s="1231" t="str">
        <f>L3</f>
        <v>GPD LOKAL 40</v>
      </c>
      <c r="M2" s="1231"/>
      <c r="N2" s="1231" t="str">
        <f>N3</f>
        <v>CGSS MA 12</v>
      </c>
      <c r="O2" s="1231"/>
      <c r="P2" s="1231" t="str">
        <f>P3</f>
        <v>PMAD LOKAL 12</v>
      </c>
      <c r="Q2" s="1231"/>
      <c r="R2" s="1231" t="str">
        <f>R3</f>
        <v>PMAJ LOKAL 24</v>
      </c>
      <c r="S2" s="1231"/>
    </row>
    <row r="3" spans="2:19" s="4" customFormat="1" ht="21.4" thickTop="1" x14ac:dyDescent="0.45">
      <c r="B3" s="2"/>
      <c r="C3" s="3"/>
      <c r="D3" s="6"/>
      <c r="E3" s="245"/>
      <c r="F3" s="1236" t="s">
        <v>2</v>
      </c>
      <c r="G3" s="1237"/>
      <c r="H3" s="1236" t="s">
        <v>3</v>
      </c>
      <c r="I3" s="1237"/>
      <c r="J3" s="1236" t="s">
        <v>4</v>
      </c>
      <c r="K3" s="1237"/>
      <c r="L3" s="1236" t="s">
        <v>135</v>
      </c>
      <c r="M3" s="1237"/>
      <c r="N3" s="1236" t="s">
        <v>136</v>
      </c>
      <c r="O3" s="1237"/>
      <c r="P3" s="1236" t="s">
        <v>137</v>
      </c>
      <c r="Q3" s="1237"/>
      <c r="R3" s="1236" t="s">
        <v>138</v>
      </c>
      <c r="S3" s="1237"/>
    </row>
    <row r="4" spans="2:19" s="4" customFormat="1" ht="14.65" thickBot="1" x14ac:dyDescent="0.5">
      <c r="B4" s="7"/>
      <c r="E4" s="245"/>
      <c r="F4" s="1238"/>
      <c r="G4" s="1239"/>
      <c r="H4" s="1238"/>
      <c r="I4" s="1239"/>
      <c r="J4" s="1238"/>
      <c r="K4" s="1239"/>
      <c r="L4" s="1238"/>
      <c r="M4" s="1239"/>
      <c r="N4" s="1238"/>
      <c r="O4" s="1239"/>
      <c r="P4" s="1238"/>
      <c r="Q4" s="1239"/>
      <c r="R4" s="1238"/>
      <c r="S4" s="1239"/>
    </row>
    <row r="5" spans="2:19" s="7" customFormat="1" ht="15.75" customHeight="1" thickTop="1" x14ac:dyDescent="0.45">
      <c r="B5" s="1202" t="s">
        <v>5</v>
      </c>
      <c r="C5" s="8" t="s">
        <v>6</v>
      </c>
      <c r="D5" s="9"/>
      <c r="E5" s="246"/>
      <c r="F5" s="1234"/>
      <c r="G5" s="1206"/>
      <c r="H5" s="1234"/>
      <c r="I5" s="1206"/>
      <c r="J5" s="1234"/>
      <c r="K5" s="1206"/>
      <c r="L5" s="1234"/>
      <c r="M5" s="1206"/>
      <c r="N5" s="1234"/>
      <c r="O5" s="1206"/>
      <c r="P5" s="1234"/>
      <c r="Q5" s="1206"/>
      <c r="R5" s="1234"/>
      <c r="S5" s="1207"/>
    </row>
    <row r="6" spans="2:19" s="7" customFormat="1" ht="36.75" customHeight="1" x14ac:dyDescent="0.45">
      <c r="B6" s="1203"/>
      <c r="C6" s="10" t="s">
        <v>11</v>
      </c>
      <c r="D6" s="11"/>
      <c r="E6" s="247"/>
      <c r="F6" s="1200">
        <v>100493</v>
      </c>
      <c r="G6" s="1201"/>
      <c r="H6" s="1200">
        <v>141884</v>
      </c>
      <c r="I6" s="1201"/>
      <c r="J6" s="1200">
        <v>199660</v>
      </c>
      <c r="K6" s="1201"/>
      <c r="L6" s="1200">
        <v>100491</v>
      </c>
      <c r="M6" s="1201"/>
      <c r="N6" s="1200">
        <v>123630</v>
      </c>
      <c r="O6" s="1201"/>
      <c r="P6" s="1200">
        <v>184763</v>
      </c>
      <c r="Q6" s="1201"/>
      <c r="R6" s="1200">
        <v>136915</v>
      </c>
      <c r="S6" s="1201"/>
    </row>
    <row r="7" spans="2:19" s="7" customFormat="1" ht="15" customHeight="1" x14ac:dyDescent="0.45">
      <c r="B7" s="1203"/>
      <c r="C7" s="12" t="s">
        <v>12</v>
      </c>
      <c r="D7" s="11"/>
      <c r="E7" s="11"/>
      <c r="F7" s="1232">
        <f>G51</f>
        <v>5.6</v>
      </c>
      <c r="G7" s="1233"/>
      <c r="H7" s="1232">
        <f>I51</f>
        <v>5.6</v>
      </c>
      <c r="I7" s="1233"/>
      <c r="J7" s="1232">
        <f>K51</f>
        <v>5.6</v>
      </c>
      <c r="K7" s="1233"/>
      <c r="L7" s="1232">
        <f>M51</f>
        <v>5.6</v>
      </c>
      <c r="M7" s="1233"/>
      <c r="N7" s="1232">
        <f>O51</f>
        <v>4.5999999999999996</v>
      </c>
      <c r="O7" s="1233"/>
      <c r="P7" s="1232">
        <f>Q51</f>
        <v>4.25</v>
      </c>
      <c r="Q7" s="1233"/>
      <c r="R7" s="1232">
        <f>S51</f>
        <v>6.3</v>
      </c>
      <c r="S7" s="1233"/>
    </row>
    <row r="8" spans="2:19" s="7" customFormat="1" ht="39" customHeight="1" x14ac:dyDescent="0.45">
      <c r="B8" s="1203"/>
      <c r="C8" s="13" t="s">
        <v>14</v>
      </c>
      <c r="D8" s="14"/>
      <c r="E8" s="14"/>
      <c r="F8" s="1190" t="s">
        <v>22</v>
      </c>
      <c r="G8" s="1191"/>
      <c r="H8" s="1190" t="s">
        <v>22</v>
      </c>
      <c r="I8" s="1191"/>
      <c r="J8" s="1190" t="s">
        <v>22</v>
      </c>
      <c r="K8" s="1191"/>
      <c r="L8" s="1190" t="s">
        <v>22</v>
      </c>
      <c r="M8" s="1191"/>
      <c r="N8" s="1190" t="s">
        <v>139</v>
      </c>
      <c r="O8" s="1191"/>
      <c r="P8" s="1190" t="s">
        <v>139</v>
      </c>
      <c r="Q8" s="1191"/>
      <c r="R8" s="1190" t="s">
        <v>140</v>
      </c>
      <c r="S8" s="1191"/>
    </row>
    <row r="9" spans="2:19" s="4" customFormat="1" x14ac:dyDescent="0.45">
      <c r="B9" s="1203"/>
      <c r="C9" s="15" t="s">
        <v>23</v>
      </c>
      <c r="D9" s="16"/>
      <c r="E9" s="16"/>
      <c r="F9" s="252" t="str">
        <f>RIGHT(F2,2)</f>
        <v>40</v>
      </c>
      <c r="G9" s="253" t="str">
        <f>+F9</f>
        <v>40</v>
      </c>
      <c r="H9" s="252" t="str">
        <f>RIGHT(H2,2)</f>
        <v>40</v>
      </c>
      <c r="I9" s="253" t="str">
        <f>+H9</f>
        <v>40</v>
      </c>
      <c r="J9" s="252" t="str">
        <f>RIGHT(J2,2)</f>
        <v>40</v>
      </c>
      <c r="K9" s="253" t="str">
        <f>+J9</f>
        <v>40</v>
      </c>
      <c r="L9" s="252" t="str">
        <f>RIGHT(L2,2)</f>
        <v>40</v>
      </c>
      <c r="M9" s="253" t="str">
        <f>+L9</f>
        <v>40</v>
      </c>
      <c r="N9" s="252" t="str">
        <f>RIGHT(N2,2)</f>
        <v>12</v>
      </c>
      <c r="O9" s="253" t="str">
        <f>+N9</f>
        <v>12</v>
      </c>
      <c r="P9" s="252" t="str">
        <f>RIGHT(P2,2)</f>
        <v>12</v>
      </c>
      <c r="Q9" s="253" t="str">
        <f>+P9</f>
        <v>12</v>
      </c>
      <c r="R9" s="252" t="str">
        <f>RIGHT(R2,2)</f>
        <v>24</v>
      </c>
      <c r="S9" s="253" t="str">
        <f>+R9</f>
        <v>24</v>
      </c>
    </row>
    <row r="10" spans="2:19" s="4" customFormat="1" x14ac:dyDescent="0.45">
      <c r="B10" s="1203"/>
      <c r="C10" s="19" t="s">
        <v>24</v>
      </c>
      <c r="D10" s="20"/>
      <c r="E10" s="20"/>
      <c r="F10" s="21" t="s">
        <v>25</v>
      </c>
      <c r="G10" s="22" t="s">
        <v>26</v>
      </c>
      <c r="H10" s="21" t="s">
        <v>25</v>
      </c>
      <c r="I10" s="22" t="s">
        <v>26</v>
      </c>
      <c r="J10" s="21" t="s">
        <v>25</v>
      </c>
      <c r="K10" s="22" t="s">
        <v>26</v>
      </c>
      <c r="L10" s="21" t="s">
        <v>25</v>
      </c>
      <c r="M10" s="22" t="s">
        <v>26</v>
      </c>
      <c r="N10" s="21" t="s">
        <v>25</v>
      </c>
      <c r="O10" s="22" t="s">
        <v>26</v>
      </c>
      <c r="P10" s="21" t="s">
        <v>25</v>
      </c>
      <c r="Q10" s="22" t="s">
        <v>26</v>
      </c>
      <c r="R10" s="21" t="s">
        <v>25</v>
      </c>
      <c r="S10" s="22" t="s">
        <v>26</v>
      </c>
    </row>
    <row r="11" spans="2:19" s="4" customFormat="1" x14ac:dyDescent="0.45">
      <c r="B11" s="1203"/>
      <c r="C11" s="15" t="s">
        <v>27</v>
      </c>
      <c r="D11" s="1192">
        <v>44407</v>
      </c>
      <c r="E11" s="1193"/>
      <c r="F11" s="23">
        <v>4068.66</v>
      </c>
      <c r="G11" s="24"/>
      <c r="H11" s="23">
        <v>4068.66</v>
      </c>
      <c r="I11" s="24"/>
      <c r="J11" s="23">
        <v>4068.66</v>
      </c>
      <c r="K11" s="24"/>
      <c r="L11" s="23">
        <v>4068.66</v>
      </c>
      <c r="M11" s="24"/>
      <c r="N11" s="23">
        <v>4068.66</v>
      </c>
      <c r="O11" s="24"/>
      <c r="P11" s="23">
        <v>4068.66</v>
      </c>
      <c r="Q11" s="24"/>
      <c r="R11" s="23">
        <v>4068.66</v>
      </c>
      <c r="S11" s="24"/>
    </row>
    <row r="12" spans="2:19" s="4" customFormat="1" x14ac:dyDescent="0.45">
      <c r="B12" s="1204"/>
      <c r="C12" s="25"/>
      <c r="D12" s="26"/>
      <c r="E12" s="26"/>
      <c r="F12" s="27"/>
      <c r="G12" s="28"/>
      <c r="H12" s="27"/>
      <c r="I12" s="28"/>
      <c r="J12" s="27"/>
      <c r="K12" s="28"/>
      <c r="L12" s="27"/>
      <c r="M12" s="28"/>
      <c r="N12" s="27"/>
      <c r="O12" s="28"/>
      <c r="P12" s="27"/>
      <c r="Q12" s="28"/>
      <c r="R12" s="27"/>
      <c r="S12" s="28"/>
    </row>
    <row r="13" spans="2:19" s="4" customFormat="1" x14ac:dyDescent="0.45">
      <c r="B13" s="29"/>
      <c r="C13" s="15"/>
      <c r="D13" s="16"/>
      <c r="E13" s="16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17"/>
      <c r="S13" s="18"/>
    </row>
    <row r="14" spans="2:19" s="4" customFormat="1" ht="18" customHeight="1" x14ac:dyDescent="0.45">
      <c r="B14" s="1194" t="s">
        <v>28</v>
      </c>
      <c r="C14" s="19" t="s">
        <v>29</v>
      </c>
      <c r="D14" s="20"/>
      <c r="E14" s="30"/>
      <c r="F14" s="31">
        <v>1000</v>
      </c>
      <c r="G14" s="32">
        <f>+F14/F11</f>
        <v>0.24578116628079025</v>
      </c>
      <c r="H14" s="31">
        <v>1000</v>
      </c>
      <c r="I14" s="32">
        <f>+H14/H11</f>
        <v>0.24578116628079025</v>
      </c>
      <c r="J14" s="31">
        <v>1000</v>
      </c>
      <c r="K14" s="32">
        <f>+J14/J11</f>
        <v>0.24578116628079025</v>
      </c>
      <c r="L14" s="31">
        <v>1000</v>
      </c>
      <c r="M14" s="32">
        <f>+L14/L11</f>
        <v>0.24578116628079025</v>
      </c>
      <c r="N14" s="31">
        <v>3250</v>
      </c>
      <c r="O14" s="32">
        <f>+N14/N11</f>
        <v>0.79878879041256834</v>
      </c>
      <c r="P14" s="31">
        <v>2400</v>
      </c>
      <c r="Q14" s="32">
        <f>+P14/P11</f>
        <v>0.58987479907389662</v>
      </c>
      <c r="R14" s="31">
        <v>2000</v>
      </c>
      <c r="S14" s="32">
        <f>+R14/R11</f>
        <v>0.4915623325615805</v>
      </c>
    </row>
    <row r="15" spans="2:19" s="4" customFormat="1" ht="18" customHeight="1" x14ac:dyDescent="0.45">
      <c r="B15" s="1194"/>
      <c r="C15" s="33" t="s">
        <v>30</v>
      </c>
      <c r="D15" s="20"/>
      <c r="E15" s="30"/>
      <c r="F15" s="31">
        <f t="shared" ref="F15:K15" si="0">+F14*F9</f>
        <v>40000</v>
      </c>
      <c r="G15" s="32">
        <f t="shared" si="0"/>
        <v>9.8312466512316092</v>
      </c>
      <c r="H15" s="31">
        <f t="shared" si="0"/>
        <v>40000</v>
      </c>
      <c r="I15" s="32">
        <f t="shared" si="0"/>
        <v>9.8312466512316092</v>
      </c>
      <c r="J15" s="31">
        <f t="shared" si="0"/>
        <v>40000</v>
      </c>
      <c r="K15" s="32">
        <f t="shared" si="0"/>
        <v>9.8312466512316092</v>
      </c>
      <c r="L15" s="31">
        <f t="shared" ref="L15:S15" si="1">+L14*L9</f>
        <v>40000</v>
      </c>
      <c r="M15" s="32">
        <f t="shared" si="1"/>
        <v>9.8312466512316092</v>
      </c>
      <c r="N15" s="31">
        <f t="shared" si="1"/>
        <v>39000</v>
      </c>
      <c r="O15" s="32">
        <f t="shared" si="1"/>
        <v>9.5854654849508201</v>
      </c>
      <c r="P15" s="31">
        <f t="shared" si="1"/>
        <v>28800</v>
      </c>
      <c r="Q15" s="32">
        <f t="shared" si="1"/>
        <v>7.0784975888867594</v>
      </c>
      <c r="R15" s="31">
        <f t="shared" si="1"/>
        <v>48000</v>
      </c>
      <c r="S15" s="32">
        <f t="shared" si="1"/>
        <v>11.797495981477931</v>
      </c>
    </row>
    <row r="16" spans="2:19" s="4" customFormat="1" ht="18" customHeight="1" x14ac:dyDescent="0.45">
      <c r="B16" s="1194"/>
      <c r="C16" s="15" t="s">
        <v>31</v>
      </c>
      <c r="D16" s="34" t="s">
        <v>32</v>
      </c>
      <c r="E16" s="35"/>
      <c r="F16" s="23">
        <v>0</v>
      </c>
      <c r="G16" s="24">
        <v>0</v>
      </c>
      <c r="H16" s="23">
        <v>0</v>
      </c>
      <c r="I16" s="24">
        <v>0</v>
      </c>
      <c r="J16" s="23">
        <v>0</v>
      </c>
      <c r="K16" s="24">
        <v>0</v>
      </c>
      <c r="L16" s="23">
        <v>0</v>
      </c>
      <c r="M16" s="24">
        <v>0</v>
      </c>
      <c r="N16" s="23">
        <v>0</v>
      </c>
      <c r="O16" s="24">
        <v>0</v>
      </c>
      <c r="P16" s="23">
        <v>0</v>
      </c>
      <c r="Q16" s="24">
        <v>0</v>
      </c>
      <c r="R16" s="23">
        <v>0</v>
      </c>
      <c r="S16" s="24">
        <v>0</v>
      </c>
    </row>
    <row r="17" spans="2:19" s="4" customFormat="1" ht="18" customHeight="1" x14ac:dyDescent="0.45">
      <c r="B17" s="1194"/>
      <c r="C17" s="15" t="s">
        <v>33</v>
      </c>
      <c r="D17" s="16"/>
      <c r="E17" s="16"/>
      <c r="F17" s="36">
        <v>0</v>
      </c>
      <c r="G17" s="37">
        <v>0</v>
      </c>
      <c r="H17" s="36">
        <v>0</v>
      </c>
      <c r="I17" s="37">
        <v>0</v>
      </c>
      <c r="J17" s="36">
        <v>0</v>
      </c>
      <c r="K17" s="37">
        <v>0</v>
      </c>
      <c r="L17" s="36">
        <v>0</v>
      </c>
      <c r="M17" s="37">
        <v>0</v>
      </c>
      <c r="N17" s="36">
        <v>0</v>
      </c>
      <c r="O17" s="37">
        <v>0</v>
      </c>
      <c r="P17" s="36">
        <v>0</v>
      </c>
      <c r="Q17" s="37">
        <v>0</v>
      </c>
      <c r="R17" s="36">
        <v>0</v>
      </c>
      <c r="S17" s="37">
        <v>0</v>
      </c>
    </row>
    <row r="18" spans="2:19" s="4" customFormat="1" ht="18" customHeight="1" x14ac:dyDescent="0.45">
      <c r="B18" s="1194"/>
      <c r="C18" s="19" t="s">
        <v>34</v>
      </c>
      <c r="D18" s="20"/>
      <c r="E18" s="30"/>
      <c r="F18" s="38">
        <f t="shared" ref="F18:K18" si="2">F14-F16</f>
        <v>1000</v>
      </c>
      <c r="G18" s="32">
        <f>G14-G16</f>
        <v>0.24578116628079025</v>
      </c>
      <c r="H18" s="38">
        <f t="shared" si="2"/>
        <v>1000</v>
      </c>
      <c r="I18" s="32">
        <f t="shared" si="2"/>
        <v>0.24578116628079025</v>
      </c>
      <c r="J18" s="38">
        <f t="shared" si="2"/>
        <v>1000</v>
      </c>
      <c r="K18" s="32">
        <f t="shared" si="2"/>
        <v>0.24578116628079025</v>
      </c>
      <c r="L18" s="38">
        <f t="shared" ref="L18:S18" si="3">L14-L16</f>
        <v>1000</v>
      </c>
      <c r="M18" s="32">
        <f t="shared" si="3"/>
        <v>0.24578116628079025</v>
      </c>
      <c r="N18" s="38">
        <f t="shared" si="3"/>
        <v>3250</v>
      </c>
      <c r="O18" s="32">
        <f t="shared" si="3"/>
        <v>0.79878879041256834</v>
      </c>
      <c r="P18" s="38">
        <f t="shared" si="3"/>
        <v>2400</v>
      </c>
      <c r="Q18" s="32">
        <f t="shared" si="3"/>
        <v>0.58987479907389662</v>
      </c>
      <c r="R18" s="38">
        <f t="shared" si="3"/>
        <v>2000</v>
      </c>
      <c r="S18" s="32">
        <f t="shared" si="3"/>
        <v>0.4915623325615805</v>
      </c>
    </row>
    <row r="19" spans="2:19" s="4" customFormat="1" ht="18" customHeight="1" x14ac:dyDescent="0.45">
      <c r="B19" s="1194"/>
      <c r="C19" s="19" t="s">
        <v>35</v>
      </c>
      <c r="D19" s="20"/>
      <c r="E19" s="30"/>
      <c r="F19" s="39">
        <f t="shared" ref="F19:K19" si="4">1/(1+F17)*F15</f>
        <v>40000</v>
      </c>
      <c r="G19" s="40">
        <f t="shared" si="4"/>
        <v>9.8312466512316092</v>
      </c>
      <c r="H19" s="39">
        <f t="shared" si="4"/>
        <v>40000</v>
      </c>
      <c r="I19" s="40">
        <f t="shared" si="4"/>
        <v>9.8312466512316092</v>
      </c>
      <c r="J19" s="39">
        <f t="shared" si="4"/>
        <v>40000</v>
      </c>
      <c r="K19" s="40">
        <f t="shared" si="4"/>
        <v>9.8312466512316092</v>
      </c>
      <c r="L19" s="39">
        <f t="shared" ref="L19:S19" si="5">1/(1+L17)*L15</f>
        <v>40000</v>
      </c>
      <c r="M19" s="40">
        <f t="shared" si="5"/>
        <v>9.8312466512316092</v>
      </c>
      <c r="N19" s="39">
        <f t="shared" si="5"/>
        <v>39000</v>
      </c>
      <c r="O19" s="40">
        <f t="shared" si="5"/>
        <v>9.5854654849508201</v>
      </c>
      <c r="P19" s="39">
        <f t="shared" si="5"/>
        <v>28800</v>
      </c>
      <c r="Q19" s="40">
        <f t="shared" si="5"/>
        <v>7.0784975888867594</v>
      </c>
      <c r="R19" s="39">
        <f t="shared" si="5"/>
        <v>48000</v>
      </c>
      <c r="S19" s="40">
        <f t="shared" si="5"/>
        <v>11.797495981477931</v>
      </c>
    </row>
    <row r="20" spans="2:19" s="4" customFormat="1" ht="18" customHeight="1" x14ac:dyDescent="0.45">
      <c r="B20" s="1195"/>
      <c r="C20" s="25"/>
      <c r="D20" s="26"/>
      <c r="E20" s="26"/>
      <c r="F20" s="27"/>
      <c r="G20" s="41"/>
      <c r="H20" s="27"/>
      <c r="I20" s="41"/>
      <c r="J20" s="27"/>
      <c r="K20" s="41"/>
      <c r="L20" s="27"/>
      <c r="M20" s="41"/>
      <c r="N20" s="27"/>
      <c r="O20" s="41"/>
      <c r="P20" s="27"/>
      <c r="Q20" s="41"/>
      <c r="R20" s="27"/>
      <c r="S20" s="41"/>
    </row>
    <row r="21" spans="2:19" s="4" customFormat="1" ht="18" customHeight="1" x14ac:dyDescent="0.45">
      <c r="B21" s="1196" t="s">
        <v>36</v>
      </c>
      <c r="C21" s="15"/>
      <c r="D21" s="16"/>
      <c r="E21" s="16"/>
      <c r="F21" s="42"/>
      <c r="G21" s="43"/>
      <c r="H21" s="42"/>
      <c r="I21" s="43"/>
      <c r="J21" s="42"/>
      <c r="K21" s="43"/>
      <c r="L21" s="42"/>
      <c r="M21" s="43"/>
      <c r="N21" s="42"/>
      <c r="O21" s="43"/>
      <c r="P21" s="42"/>
      <c r="Q21" s="43"/>
      <c r="R21" s="42"/>
      <c r="S21" s="43"/>
    </row>
    <row r="22" spans="2:19" s="49" customFormat="1" ht="18" customHeight="1" x14ac:dyDescent="0.45">
      <c r="B22" s="1187"/>
      <c r="C22" s="44" t="s">
        <v>37</v>
      </c>
      <c r="D22" s="45"/>
      <c r="E22" s="46"/>
      <c r="F22" s="47">
        <f t="shared" ref="F22:K22" si="6">F23/F19</f>
        <v>0.19000000000000009</v>
      </c>
      <c r="G22" s="48">
        <f t="shared" si="6"/>
        <v>0.19000000000000006</v>
      </c>
      <c r="H22" s="47">
        <f t="shared" si="6"/>
        <v>0.19000000000000009</v>
      </c>
      <c r="I22" s="48">
        <f t="shared" si="6"/>
        <v>0.19000000000000006</v>
      </c>
      <c r="J22" s="47">
        <f t="shared" si="6"/>
        <v>0.19000000000000009</v>
      </c>
      <c r="K22" s="48">
        <f t="shared" si="6"/>
        <v>0.19000000000000006</v>
      </c>
      <c r="L22" s="47">
        <f t="shared" ref="L22:S22" si="7">L23/L19</f>
        <v>0.19000000000000009</v>
      </c>
      <c r="M22" s="48">
        <f t="shared" si="7"/>
        <v>0.19000000000000006</v>
      </c>
      <c r="N22" s="47">
        <f t="shared" si="7"/>
        <v>0.35615384615384604</v>
      </c>
      <c r="O22" s="48">
        <f t="shared" si="7"/>
        <v>0.3561538461538461</v>
      </c>
      <c r="P22" s="47">
        <f t="shared" si="7"/>
        <v>0.29166666666666702</v>
      </c>
      <c r="Q22" s="48">
        <f t="shared" si="7"/>
        <v>0.29166666666666702</v>
      </c>
      <c r="R22" s="47">
        <f t="shared" si="7"/>
        <v>0.24062500000000001</v>
      </c>
      <c r="S22" s="48">
        <f t="shared" si="7"/>
        <v>0.24062499999999995</v>
      </c>
    </row>
    <row r="23" spans="2:19" s="4" customFormat="1" ht="18" customHeight="1" x14ac:dyDescent="0.45">
      <c r="B23" s="1187"/>
      <c r="C23" s="15" t="s">
        <v>38</v>
      </c>
      <c r="D23" s="16"/>
      <c r="E23" s="35"/>
      <c r="F23" s="50">
        <f t="shared" ref="F23:K23" si="8">F19-F25</f>
        <v>7600.0000000000036</v>
      </c>
      <c r="G23" s="24">
        <f t="shared" si="8"/>
        <v>1.8679368637340064</v>
      </c>
      <c r="H23" s="50">
        <f t="shared" si="8"/>
        <v>7600.0000000000036</v>
      </c>
      <c r="I23" s="24">
        <f t="shared" si="8"/>
        <v>1.8679368637340064</v>
      </c>
      <c r="J23" s="50">
        <f t="shared" si="8"/>
        <v>7600.0000000000036</v>
      </c>
      <c r="K23" s="24">
        <f t="shared" si="8"/>
        <v>1.8679368637340064</v>
      </c>
      <c r="L23" s="50">
        <f t="shared" ref="L23:S23" si="9">L19-L25</f>
        <v>7600.0000000000036</v>
      </c>
      <c r="M23" s="24">
        <f t="shared" si="9"/>
        <v>1.8679368637340064</v>
      </c>
      <c r="N23" s="50">
        <f t="shared" si="9"/>
        <v>13889.999999999996</v>
      </c>
      <c r="O23" s="24">
        <f t="shared" si="9"/>
        <v>3.413900399640176</v>
      </c>
      <c r="P23" s="50">
        <f t="shared" si="9"/>
        <v>8400.0000000000109</v>
      </c>
      <c r="Q23" s="24">
        <f t="shared" si="9"/>
        <v>2.0645617967586407</v>
      </c>
      <c r="R23" s="50">
        <f t="shared" si="9"/>
        <v>11550</v>
      </c>
      <c r="S23" s="24">
        <f t="shared" si="9"/>
        <v>2.8387724705431268</v>
      </c>
    </row>
    <row r="24" spans="2:19" s="4" customFormat="1" ht="18" customHeight="1" x14ac:dyDescent="0.45">
      <c r="B24" s="1187"/>
      <c r="C24" s="51" t="s">
        <v>39</v>
      </c>
      <c r="D24" s="52"/>
      <c r="E24" s="53"/>
      <c r="F24" s="54">
        <f t="shared" ref="F24:S24" si="10">F25</f>
        <v>32399.999999999996</v>
      </c>
      <c r="G24" s="55">
        <f t="shared" si="10"/>
        <v>7.9633097874976029</v>
      </c>
      <c r="H24" s="54">
        <f t="shared" si="10"/>
        <v>32399.999999999996</v>
      </c>
      <c r="I24" s="55">
        <f t="shared" si="10"/>
        <v>7.9633097874976029</v>
      </c>
      <c r="J24" s="54">
        <f t="shared" si="10"/>
        <v>32399.999999999996</v>
      </c>
      <c r="K24" s="55">
        <f t="shared" si="10"/>
        <v>7.9633097874976029</v>
      </c>
      <c r="L24" s="54">
        <f t="shared" si="10"/>
        <v>32399.999999999996</v>
      </c>
      <c r="M24" s="55">
        <f t="shared" si="10"/>
        <v>7.9633097874976029</v>
      </c>
      <c r="N24" s="54">
        <f t="shared" si="10"/>
        <v>25110.000000000004</v>
      </c>
      <c r="O24" s="55">
        <f t="shared" si="10"/>
        <v>6.1715650853106441</v>
      </c>
      <c r="P24" s="54">
        <f t="shared" si="10"/>
        <v>20399.999999999989</v>
      </c>
      <c r="Q24" s="55">
        <f t="shared" si="10"/>
        <v>5.0139357921281187</v>
      </c>
      <c r="R24" s="54">
        <f t="shared" si="10"/>
        <v>36450</v>
      </c>
      <c r="S24" s="55">
        <f t="shared" si="10"/>
        <v>8.9587235109348047</v>
      </c>
    </row>
    <row r="25" spans="2:19" s="4" customFormat="1" ht="18" customHeight="1" x14ac:dyDescent="0.45">
      <c r="B25" s="1187"/>
      <c r="C25" s="56" t="s">
        <v>40</v>
      </c>
      <c r="D25" s="52"/>
      <c r="E25" s="53"/>
      <c r="F25" s="54">
        <v>32399.999999999996</v>
      </c>
      <c r="G25" s="57">
        <f>+F25/F11</f>
        <v>7.9633097874976029</v>
      </c>
      <c r="H25" s="54">
        <v>32399.999999999996</v>
      </c>
      <c r="I25" s="57">
        <f>+H25/H11</f>
        <v>7.9633097874976029</v>
      </c>
      <c r="J25" s="54">
        <v>32399.999999999996</v>
      </c>
      <c r="K25" s="57">
        <f>+J25/J11</f>
        <v>7.9633097874976029</v>
      </c>
      <c r="L25" s="54">
        <v>32399.999999999996</v>
      </c>
      <c r="M25" s="57">
        <f>+L25/L11</f>
        <v>7.9633097874976029</v>
      </c>
      <c r="N25" s="54">
        <v>25110.000000000004</v>
      </c>
      <c r="O25" s="57">
        <f>+N25/N11</f>
        <v>6.1715650853106441</v>
      </c>
      <c r="P25" s="54">
        <v>20399.999999999989</v>
      </c>
      <c r="Q25" s="57">
        <f>+P25/P11</f>
        <v>5.0139357921281187</v>
      </c>
      <c r="R25" s="54">
        <v>36450</v>
      </c>
      <c r="S25" s="57">
        <f>+R25/R11</f>
        <v>8.9587235109348047</v>
      </c>
    </row>
    <row r="26" spans="2:19" s="4" customFormat="1" ht="18" customHeight="1" x14ac:dyDescent="0.45">
      <c r="B26" s="1189"/>
      <c r="C26" s="15"/>
      <c r="D26" s="16"/>
      <c r="E26" s="16"/>
      <c r="F26" s="42"/>
      <c r="G26" s="18"/>
      <c r="H26" s="42"/>
      <c r="I26" s="18"/>
      <c r="J26" s="42"/>
      <c r="K26" s="18"/>
      <c r="L26" s="42"/>
      <c r="M26" s="18"/>
      <c r="N26" s="42"/>
      <c r="O26" s="18"/>
      <c r="P26" s="42"/>
      <c r="Q26" s="18"/>
      <c r="R26" s="42"/>
      <c r="S26" s="18"/>
    </row>
    <row r="27" spans="2:19" s="4" customFormat="1" ht="18" customHeight="1" x14ac:dyDescent="0.45">
      <c r="B27" s="1197" t="s">
        <v>41</v>
      </c>
      <c r="C27" s="58"/>
      <c r="D27" s="59"/>
      <c r="E27" s="59"/>
      <c r="F27" s="60"/>
      <c r="G27" s="43"/>
      <c r="H27" s="60"/>
      <c r="I27" s="43"/>
      <c r="J27" s="60"/>
      <c r="K27" s="43"/>
      <c r="L27" s="60"/>
      <c r="M27" s="43"/>
      <c r="N27" s="60"/>
      <c r="O27" s="43"/>
      <c r="P27" s="60"/>
      <c r="Q27" s="43"/>
      <c r="R27" s="60"/>
      <c r="S27" s="43"/>
    </row>
    <row r="28" spans="2:19" s="49" customFormat="1" ht="18" customHeight="1" x14ac:dyDescent="0.45">
      <c r="B28" s="1194"/>
      <c r="C28" s="44" t="s">
        <v>42</v>
      </c>
      <c r="D28" s="45"/>
      <c r="E28" s="46"/>
      <c r="F28" s="47">
        <f t="shared" ref="F28:K28" si="11">F29/F25</f>
        <v>7.1541433227013035E-2</v>
      </c>
      <c r="G28" s="48">
        <f t="shared" si="11"/>
        <v>7.1541433227013049E-2</v>
      </c>
      <c r="H28" s="47">
        <f t="shared" si="11"/>
        <v>7.1541433227013035E-2</v>
      </c>
      <c r="I28" s="48">
        <f t="shared" si="11"/>
        <v>7.1541433227013049E-2</v>
      </c>
      <c r="J28" s="47">
        <f t="shared" si="11"/>
        <v>7.1541433227013035E-2</v>
      </c>
      <c r="K28" s="48">
        <f t="shared" si="11"/>
        <v>7.1541433227013049E-2</v>
      </c>
      <c r="L28" s="47">
        <f t="shared" ref="L28:S28" si="12">L29/L25</f>
        <v>7.1541433227013035E-2</v>
      </c>
      <c r="M28" s="48">
        <f t="shared" si="12"/>
        <v>7.1541433227013049E-2</v>
      </c>
      <c r="N28" s="47">
        <f t="shared" si="12"/>
        <v>2.5089605734767165E-2</v>
      </c>
      <c r="O28" s="48">
        <f t="shared" si="12"/>
        <v>2.508960573476712E-2</v>
      </c>
      <c r="P28" s="47">
        <f t="shared" si="12"/>
        <v>4.999999999999985E-2</v>
      </c>
      <c r="Q28" s="48">
        <f t="shared" si="12"/>
        <v>4.999999999999994E-2</v>
      </c>
      <c r="R28" s="47">
        <f t="shared" si="12"/>
        <v>8.2139917695473047E-2</v>
      </c>
      <c r="S28" s="48">
        <f t="shared" si="12"/>
        <v>8.2139917695473019E-2</v>
      </c>
    </row>
    <row r="29" spans="2:19" s="4" customFormat="1" ht="18" customHeight="1" x14ac:dyDescent="0.45">
      <c r="B29" s="1194"/>
      <c r="C29" s="15" t="s">
        <v>43</v>
      </c>
      <c r="D29" s="16"/>
      <c r="E29" s="35"/>
      <c r="F29" s="50">
        <f t="shared" ref="F29:K29" si="13">F25-F31</f>
        <v>2317.9424365552222</v>
      </c>
      <c r="G29" s="24">
        <f t="shared" si="13"/>
        <v>0.56970659542827917</v>
      </c>
      <c r="H29" s="50">
        <f t="shared" si="13"/>
        <v>2317.9424365552222</v>
      </c>
      <c r="I29" s="24">
        <f t="shared" si="13"/>
        <v>0.56970659542827917</v>
      </c>
      <c r="J29" s="50">
        <f t="shared" si="13"/>
        <v>2317.9424365552222</v>
      </c>
      <c r="K29" s="24">
        <f t="shared" si="13"/>
        <v>0.56970659542827917</v>
      </c>
      <c r="L29" s="50">
        <f t="shared" ref="L29:S29" si="14">L25-L31</f>
        <v>2317.9424365552222</v>
      </c>
      <c r="M29" s="24">
        <f t="shared" si="14"/>
        <v>0.56970659542827917</v>
      </c>
      <c r="N29" s="50">
        <f t="shared" si="14"/>
        <v>630.00000000000364</v>
      </c>
      <c r="O29" s="24">
        <f t="shared" si="14"/>
        <v>0.15484213475689845</v>
      </c>
      <c r="P29" s="50">
        <f t="shared" si="14"/>
        <v>1019.9999999999964</v>
      </c>
      <c r="Q29" s="24">
        <f t="shared" si="14"/>
        <v>0.25069678960640562</v>
      </c>
      <c r="R29" s="50">
        <f t="shared" si="14"/>
        <v>2993.9999999999927</v>
      </c>
      <c r="S29" s="24">
        <f t="shared" si="14"/>
        <v>0.73586881184468389</v>
      </c>
    </row>
    <row r="30" spans="2:19" s="4" customFormat="1" ht="18" customHeight="1" x14ac:dyDescent="0.45">
      <c r="B30" s="1194"/>
      <c r="C30" s="51" t="s">
        <v>44</v>
      </c>
      <c r="D30" s="52"/>
      <c r="E30" s="53"/>
      <c r="F30" s="54">
        <f>+F31</f>
        <v>30082.057563444774</v>
      </c>
      <c r="G30" s="55">
        <f>G31</f>
        <v>7.3936031920693237</v>
      </c>
      <c r="H30" s="54">
        <f>+H31</f>
        <v>30082.057563444774</v>
      </c>
      <c r="I30" s="55">
        <f>I31</f>
        <v>7.3936031920693237</v>
      </c>
      <c r="J30" s="54">
        <f>+J31</f>
        <v>30082.057563444774</v>
      </c>
      <c r="K30" s="55">
        <f>K31</f>
        <v>7.3936031920693237</v>
      </c>
      <c r="L30" s="54">
        <f>+L31</f>
        <v>30082.057563444774</v>
      </c>
      <c r="M30" s="55">
        <f>M31</f>
        <v>7.3936031920693237</v>
      </c>
      <c r="N30" s="54">
        <f>+N31</f>
        <v>24480</v>
      </c>
      <c r="O30" s="55">
        <f>O31</f>
        <v>6.0167229505537456</v>
      </c>
      <c r="P30" s="54">
        <f>+P31</f>
        <v>19379.999999999993</v>
      </c>
      <c r="Q30" s="55">
        <f>Q31</f>
        <v>4.7632390025217131</v>
      </c>
      <c r="R30" s="54">
        <f>+R31</f>
        <v>33456.000000000007</v>
      </c>
      <c r="S30" s="55">
        <f>S31</f>
        <v>8.2228546990901208</v>
      </c>
    </row>
    <row r="31" spans="2:19" s="4" customFormat="1" ht="18" customHeight="1" x14ac:dyDescent="0.45">
      <c r="B31" s="1194"/>
      <c r="C31" s="56" t="s">
        <v>45</v>
      </c>
      <c r="D31" s="52"/>
      <c r="E31" s="53"/>
      <c r="F31" s="54">
        <v>30082.057563444774</v>
      </c>
      <c r="G31" s="55">
        <f>+F31/F11</f>
        <v>7.3936031920693237</v>
      </c>
      <c r="H31" s="54">
        <v>30082.057563444774</v>
      </c>
      <c r="I31" s="55">
        <f>+H31/H11</f>
        <v>7.3936031920693237</v>
      </c>
      <c r="J31" s="54">
        <v>30082.057563444774</v>
      </c>
      <c r="K31" s="55">
        <f>+J31/J11</f>
        <v>7.3936031920693237</v>
      </c>
      <c r="L31" s="54">
        <v>30082.057563444774</v>
      </c>
      <c r="M31" s="55">
        <f>+L31/L11</f>
        <v>7.3936031920693237</v>
      </c>
      <c r="N31" s="54">
        <v>24480</v>
      </c>
      <c r="O31" s="55">
        <f>+N31/N11</f>
        <v>6.0167229505537456</v>
      </c>
      <c r="P31" s="54">
        <v>19379.999999999993</v>
      </c>
      <c r="Q31" s="55">
        <f>+P31/P11</f>
        <v>4.7632390025217131</v>
      </c>
      <c r="R31" s="54">
        <v>33456.000000000007</v>
      </c>
      <c r="S31" s="55">
        <f>+R31/R11</f>
        <v>8.2228546990901208</v>
      </c>
    </row>
    <row r="32" spans="2:19" s="4" customFormat="1" ht="18" customHeight="1" x14ac:dyDescent="0.45">
      <c r="B32" s="1195"/>
      <c r="C32" s="25"/>
      <c r="D32" s="26"/>
      <c r="E32" s="26"/>
      <c r="F32" s="61"/>
      <c r="G32" s="41"/>
      <c r="H32" s="61"/>
      <c r="I32" s="41"/>
      <c r="J32" s="61"/>
      <c r="K32" s="41"/>
      <c r="L32" s="61"/>
      <c r="M32" s="41"/>
      <c r="N32" s="61"/>
      <c r="O32" s="41"/>
      <c r="P32" s="61"/>
      <c r="Q32" s="41"/>
      <c r="R32" s="61"/>
      <c r="S32" s="41"/>
    </row>
    <row r="33" spans="2:19" s="4" customFormat="1" ht="18" customHeight="1" x14ac:dyDescent="0.45">
      <c r="B33" s="1197" t="s">
        <v>46</v>
      </c>
      <c r="C33" s="58"/>
      <c r="D33" s="59"/>
      <c r="E33" s="59"/>
      <c r="F33" s="60"/>
      <c r="G33" s="43"/>
      <c r="H33" s="60"/>
      <c r="I33" s="43"/>
      <c r="J33" s="60"/>
      <c r="K33" s="43"/>
      <c r="L33" s="60"/>
      <c r="M33" s="43"/>
      <c r="N33" s="60"/>
      <c r="O33" s="43"/>
      <c r="P33" s="60"/>
      <c r="Q33" s="43"/>
      <c r="R33" s="60"/>
      <c r="S33" s="43"/>
    </row>
    <row r="34" spans="2:19" s="65" customFormat="1" ht="18" customHeight="1" x14ac:dyDescent="0.45">
      <c r="B34" s="1194"/>
      <c r="C34" s="62" t="s">
        <v>47</v>
      </c>
      <c r="D34" s="63"/>
      <c r="E34" s="64"/>
      <c r="F34" s="47">
        <f t="shared" ref="F34:K34" si="15">+F35/F31</f>
        <v>0.1248007412679689</v>
      </c>
      <c r="G34" s="48">
        <f t="shared" si="15"/>
        <v>0.12480074126796888</v>
      </c>
      <c r="H34" s="47">
        <f t="shared" si="15"/>
        <v>0.12681275525782004</v>
      </c>
      <c r="I34" s="48">
        <f t="shared" si="15"/>
        <v>0.12681275525782004</v>
      </c>
      <c r="J34" s="47">
        <f t="shared" si="15"/>
        <v>0.11909767344462342</v>
      </c>
      <c r="K34" s="48">
        <f t="shared" si="15"/>
        <v>0.11909767344462338</v>
      </c>
      <c r="L34" s="47">
        <f t="shared" ref="L34:S34" si="16">+L35/L31</f>
        <v>0.1248007412679689</v>
      </c>
      <c r="M34" s="48">
        <f t="shared" si="16"/>
        <v>0.12480074126796888</v>
      </c>
      <c r="N34" s="47">
        <f t="shared" si="16"/>
        <v>0.22916968127828072</v>
      </c>
      <c r="O34" s="48">
        <f t="shared" si="16"/>
        <v>0.22916968127828072</v>
      </c>
      <c r="P34" s="47">
        <f t="shared" si="16"/>
        <v>0.10895716176470555</v>
      </c>
      <c r="Q34" s="48">
        <f t="shared" si="16"/>
        <v>0.10895716176470555</v>
      </c>
      <c r="R34" s="47">
        <f t="shared" si="16"/>
        <v>0.27671104286226705</v>
      </c>
      <c r="S34" s="48">
        <f t="shared" si="16"/>
        <v>0.27671104286226711</v>
      </c>
    </row>
    <row r="35" spans="2:19" s="4" customFormat="1" ht="18" customHeight="1" x14ac:dyDescent="0.45">
      <c r="B35" s="1194"/>
      <c r="C35" s="15" t="s">
        <v>48</v>
      </c>
      <c r="D35" s="16"/>
      <c r="E35" s="35"/>
      <c r="F35" s="50">
        <f t="shared" ref="F35:K35" si="17">+F31-F36</f>
        <v>3754.2630827836183</v>
      </c>
      <c r="G35" s="24">
        <f t="shared" si="17"/>
        <v>0.92272715901147251</v>
      </c>
      <c r="H35" s="50">
        <f t="shared" si="17"/>
        <v>3814.7886034447765</v>
      </c>
      <c r="I35" s="24">
        <f t="shared" si="17"/>
        <v>0.93760319206932419</v>
      </c>
      <c r="J35" s="50">
        <f t="shared" si="17"/>
        <v>3582.7030682335098</v>
      </c>
      <c r="K35" s="24">
        <f t="shared" si="17"/>
        <v>0.88056093854819739</v>
      </c>
      <c r="L35" s="50">
        <f t="shared" ref="L35:S35" si="18">+L31-L36</f>
        <v>3754.2630827836183</v>
      </c>
      <c r="M35" s="24">
        <f t="shared" si="18"/>
        <v>0.92272715901147251</v>
      </c>
      <c r="N35" s="50">
        <f t="shared" si="18"/>
        <v>5610.0737976923119</v>
      </c>
      <c r="O35" s="24">
        <f t="shared" si="18"/>
        <v>1.3788504809181186</v>
      </c>
      <c r="P35" s="50">
        <f t="shared" si="18"/>
        <v>2111.5897949999926</v>
      </c>
      <c r="Q35" s="24">
        <f t="shared" si="18"/>
        <v>0.51898900252171298</v>
      </c>
      <c r="R35" s="50">
        <f t="shared" si="18"/>
        <v>9257.6446500000093</v>
      </c>
      <c r="S35" s="24">
        <f t="shared" si="18"/>
        <v>2.275354699090121</v>
      </c>
    </row>
    <row r="36" spans="2:19" s="4" customFormat="1" ht="18" customHeight="1" x14ac:dyDescent="0.45">
      <c r="B36" s="1194"/>
      <c r="C36" s="19" t="s">
        <v>49</v>
      </c>
      <c r="D36" s="20"/>
      <c r="E36" s="30"/>
      <c r="F36" s="66">
        <f>+G40*F11</f>
        <v>26327.794480661156</v>
      </c>
      <c r="G36" s="32">
        <f>+G40</f>
        <v>6.4708760330578512</v>
      </c>
      <c r="H36" s="66">
        <f>+I40*H11</f>
        <v>26267.268959999998</v>
      </c>
      <c r="I36" s="32">
        <f>+I40</f>
        <v>6.4559999999999995</v>
      </c>
      <c r="J36" s="66">
        <f>+K40*J11</f>
        <v>26499.354495211264</v>
      </c>
      <c r="K36" s="32">
        <f>+K40</f>
        <v>6.5130422535211263</v>
      </c>
      <c r="L36" s="66">
        <f>+M40*L11</f>
        <v>26327.794480661156</v>
      </c>
      <c r="M36" s="32">
        <f>+M40</f>
        <v>6.4708760330578512</v>
      </c>
      <c r="N36" s="66">
        <f>+O40*N11</f>
        <v>18869.926202307688</v>
      </c>
      <c r="O36" s="32">
        <f>+O40</f>
        <v>4.637872469635627</v>
      </c>
      <c r="P36" s="66">
        <f>+Q40*P11</f>
        <v>17268.410205</v>
      </c>
      <c r="Q36" s="32">
        <f>+Q40</f>
        <v>4.2442500000000001</v>
      </c>
      <c r="R36" s="66">
        <f>+S40*R11</f>
        <v>24198.355349999998</v>
      </c>
      <c r="S36" s="32">
        <f>+S40</f>
        <v>5.9474999999999998</v>
      </c>
    </row>
    <row r="37" spans="2:19" s="4" customFormat="1" ht="18" customHeight="1" x14ac:dyDescent="0.45">
      <c r="B37" s="1195"/>
      <c r="C37" s="67" t="s">
        <v>50</v>
      </c>
      <c r="D37" s="26"/>
      <c r="E37" s="26"/>
      <c r="F37" s="27">
        <v>0</v>
      </c>
      <c r="G37" s="41"/>
      <c r="H37" s="27">
        <v>0</v>
      </c>
      <c r="I37" s="41"/>
      <c r="J37" s="27">
        <v>0</v>
      </c>
      <c r="K37" s="41"/>
      <c r="L37" s="27">
        <v>0</v>
      </c>
      <c r="M37" s="41"/>
      <c r="N37" s="27">
        <v>0</v>
      </c>
      <c r="O37" s="41"/>
      <c r="P37" s="27">
        <v>0</v>
      </c>
      <c r="Q37" s="41"/>
      <c r="R37" s="27">
        <v>0</v>
      </c>
      <c r="S37" s="41"/>
    </row>
    <row r="38" spans="2:19" s="4" customFormat="1" ht="18" customHeight="1" x14ac:dyDescent="0.45">
      <c r="B38" s="1183" t="s">
        <v>51</v>
      </c>
      <c r="C38" s="58"/>
      <c r="D38" s="59"/>
      <c r="E38" s="59"/>
      <c r="F38" s="60"/>
      <c r="G38" s="68"/>
      <c r="H38" s="60"/>
      <c r="I38" s="68"/>
      <c r="J38" s="60"/>
      <c r="K38" s="68"/>
      <c r="L38" s="60"/>
      <c r="M38" s="68"/>
      <c r="N38" s="60"/>
      <c r="O38" s="68"/>
      <c r="P38" s="60"/>
      <c r="Q38" s="68"/>
      <c r="R38" s="60"/>
      <c r="S38" s="68"/>
    </row>
    <row r="39" spans="2:19" s="4" customFormat="1" ht="18" customHeight="1" x14ac:dyDescent="0.45">
      <c r="B39" s="1184"/>
      <c r="C39" s="19" t="s">
        <v>52</v>
      </c>
      <c r="D39" s="20"/>
      <c r="E39" s="30" t="s">
        <v>53</v>
      </c>
      <c r="F39" s="69">
        <f t="shared" ref="F39:S39" si="19">+F40/F9</f>
        <v>658.19486201652887</v>
      </c>
      <c r="G39" s="70">
        <f t="shared" si="19"/>
        <v>0.16177190082644627</v>
      </c>
      <c r="H39" s="69">
        <f t="shared" si="19"/>
        <v>656.68172399999992</v>
      </c>
      <c r="I39" s="70">
        <f t="shared" si="19"/>
        <v>0.16139999999999999</v>
      </c>
      <c r="J39" s="69">
        <f t="shared" si="19"/>
        <v>662.48386238028161</v>
      </c>
      <c r="K39" s="70">
        <f t="shared" si="19"/>
        <v>0.16282605633802816</v>
      </c>
      <c r="L39" s="69">
        <f t="shared" si="19"/>
        <v>658.19486201652887</v>
      </c>
      <c r="M39" s="70">
        <f t="shared" si="19"/>
        <v>0.16177190082644627</v>
      </c>
      <c r="N39" s="69">
        <f t="shared" si="19"/>
        <v>1572.4938501923073</v>
      </c>
      <c r="O39" s="70">
        <f t="shared" si="19"/>
        <v>0.38648937246963561</v>
      </c>
      <c r="P39" s="69">
        <f t="shared" si="19"/>
        <v>1439.03418375</v>
      </c>
      <c r="Q39" s="70">
        <f t="shared" si="19"/>
        <v>0.35368749999999999</v>
      </c>
      <c r="R39" s="69">
        <f t="shared" si="19"/>
        <v>1008.2648062499999</v>
      </c>
      <c r="S39" s="70">
        <f t="shared" si="19"/>
        <v>0.24781249999999999</v>
      </c>
    </row>
    <row r="40" spans="2:19" s="4" customFormat="1" ht="18" customHeight="1" x14ac:dyDescent="0.45">
      <c r="B40" s="1184"/>
      <c r="C40" s="19" t="s">
        <v>54</v>
      </c>
      <c r="D40" s="20"/>
      <c r="E40" s="30" t="s">
        <v>53</v>
      </c>
      <c r="F40" s="69">
        <f>+G40*F11</f>
        <v>26327.794480661156</v>
      </c>
      <c r="G40" s="70">
        <f>+G41+G43+G47+G45</f>
        <v>6.4708760330578512</v>
      </c>
      <c r="H40" s="69">
        <f>+I40*H11</f>
        <v>26267.268959999998</v>
      </c>
      <c r="I40" s="70">
        <f>+I41+I43+I47+I45</f>
        <v>6.4559999999999995</v>
      </c>
      <c r="J40" s="69">
        <f>+K40*J11</f>
        <v>26499.354495211264</v>
      </c>
      <c r="K40" s="70">
        <f>+K41+K43+K47+K45</f>
        <v>6.5130422535211263</v>
      </c>
      <c r="L40" s="69">
        <f>+M40*L11</f>
        <v>26327.794480661156</v>
      </c>
      <c r="M40" s="70">
        <f>+M41+M43+M47+M45</f>
        <v>6.4708760330578512</v>
      </c>
      <c r="N40" s="69">
        <f>+O40*N11</f>
        <v>18869.926202307688</v>
      </c>
      <c r="O40" s="70">
        <f>+O41+O43+O47+O45</f>
        <v>4.637872469635627</v>
      </c>
      <c r="P40" s="69">
        <f>+Q40*P11</f>
        <v>17268.410205</v>
      </c>
      <c r="Q40" s="70">
        <f>+Q41+Q43+Q47+Q45</f>
        <v>4.2442500000000001</v>
      </c>
      <c r="R40" s="69">
        <f>+S40*R11</f>
        <v>24198.355349999998</v>
      </c>
      <c r="S40" s="70">
        <f>+S41+S43+S47+S45</f>
        <v>5.9474999999999998</v>
      </c>
    </row>
    <row r="41" spans="2:19" s="4" customFormat="1" ht="18" customHeight="1" x14ac:dyDescent="0.45">
      <c r="B41" s="1184"/>
      <c r="C41" s="71" t="s">
        <v>55</v>
      </c>
      <c r="D41" s="16"/>
      <c r="E41" s="35" t="s">
        <v>53</v>
      </c>
      <c r="F41" s="50"/>
      <c r="G41" s="72">
        <f>+G42*G47</f>
        <v>0.25999999999999995</v>
      </c>
      <c r="H41" s="50"/>
      <c r="I41" s="72">
        <f>+I42*I47</f>
        <v>0.25999999999999995</v>
      </c>
      <c r="J41" s="50"/>
      <c r="K41" s="72">
        <f>+K42*K47</f>
        <v>0.25999999999999995</v>
      </c>
      <c r="L41" s="50"/>
      <c r="M41" s="72">
        <f>+M42*M47</f>
        <v>0.25999999999999995</v>
      </c>
      <c r="N41" s="50"/>
      <c r="O41" s="72">
        <f>+O42*O47</f>
        <v>0.185</v>
      </c>
      <c r="P41" s="50"/>
      <c r="Q41" s="72">
        <f>+Q42*Q47</f>
        <v>0.16750000000000001</v>
      </c>
      <c r="R41" s="50"/>
      <c r="S41" s="72">
        <f>+S42*S47</f>
        <v>0.22500000000000001</v>
      </c>
    </row>
    <row r="42" spans="2:19" s="4" customFormat="1" ht="18" customHeight="1" x14ac:dyDescent="0.45">
      <c r="B42" s="1184"/>
      <c r="C42" s="15" t="s">
        <v>56</v>
      </c>
      <c r="D42" s="16"/>
      <c r="E42" s="16"/>
      <c r="F42" s="73"/>
      <c r="G42" s="74">
        <v>0.05</v>
      </c>
      <c r="H42" s="73"/>
      <c r="I42" s="74">
        <v>0.05</v>
      </c>
      <c r="J42" s="73"/>
      <c r="K42" s="74">
        <v>0.05</v>
      </c>
      <c r="L42" s="73"/>
      <c r="M42" s="74">
        <v>0.05</v>
      </c>
      <c r="N42" s="73"/>
      <c r="O42" s="74">
        <v>0.05</v>
      </c>
      <c r="P42" s="73"/>
      <c r="Q42" s="74">
        <v>0.05</v>
      </c>
      <c r="R42" s="73"/>
      <c r="S42" s="74">
        <v>0.05</v>
      </c>
    </row>
    <row r="43" spans="2:19" s="4" customFormat="1" ht="18" customHeight="1" x14ac:dyDescent="0.45">
      <c r="B43" s="1184"/>
      <c r="C43" s="71" t="s">
        <v>57</v>
      </c>
      <c r="D43" s="75"/>
      <c r="E43" s="35" t="s">
        <v>53</v>
      </c>
      <c r="F43" s="50"/>
      <c r="G43" s="72">
        <f>$D$44/G56</f>
        <v>0.46487603305785125</v>
      </c>
      <c r="H43" s="50"/>
      <c r="I43" s="72">
        <f>$D$44/I56</f>
        <v>0.45</v>
      </c>
      <c r="J43" s="50"/>
      <c r="K43" s="72">
        <f>$D$44/K56</f>
        <v>0.50704225352112675</v>
      </c>
      <c r="L43" s="50"/>
      <c r="M43" s="72">
        <f>$D$44/M56</f>
        <v>0.46487603305785125</v>
      </c>
      <c r="N43" s="50"/>
      <c r="O43" s="72">
        <f>$D$44/O56</f>
        <v>0.36437246963562753</v>
      </c>
      <c r="P43" s="50"/>
      <c r="Q43" s="72">
        <f>$D$44/Q56</f>
        <v>0.375</v>
      </c>
      <c r="R43" s="50"/>
      <c r="S43" s="72">
        <f>$D$44/S56</f>
        <v>0.75</v>
      </c>
    </row>
    <row r="44" spans="2:19" s="4" customFormat="1" ht="18" customHeight="1" x14ac:dyDescent="0.45">
      <c r="B44" s="1184"/>
      <c r="C44" s="71" t="s">
        <v>58</v>
      </c>
      <c r="D44" s="76">
        <v>1800</v>
      </c>
      <c r="E44" s="16"/>
      <c r="F44" s="73"/>
      <c r="G44" s="74">
        <f>G43/G47</f>
        <v>8.9399237126509865E-2</v>
      </c>
      <c r="H44" s="73"/>
      <c r="I44" s="74">
        <f>I43/I47</f>
        <v>8.653846153846155E-2</v>
      </c>
      <c r="J44" s="73"/>
      <c r="K44" s="74">
        <f>K43/K47</f>
        <v>9.7508125677139776E-2</v>
      </c>
      <c r="L44" s="73"/>
      <c r="M44" s="74">
        <f>M43/M47</f>
        <v>8.9399237126509865E-2</v>
      </c>
      <c r="N44" s="73"/>
      <c r="O44" s="74">
        <f>O43/O47</f>
        <v>9.8479045847466903E-2</v>
      </c>
      <c r="P44" s="73"/>
      <c r="Q44" s="74">
        <f>Q43/Q47</f>
        <v>0.11194029850746269</v>
      </c>
      <c r="R44" s="73"/>
      <c r="S44" s="74">
        <f>S43/S47</f>
        <v>0.16666666666666666</v>
      </c>
    </row>
    <row r="45" spans="2:19" s="4" customFormat="1" ht="18" customHeight="1" x14ac:dyDescent="0.45">
      <c r="B45" s="1184"/>
      <c r="C45" s="77" t="s">
        <v>59</v>
      </c>
      <c r="D45" s="76"/>
      <c r="E45" s="16"/>
      <c r="F45" s="73"/>
      <c r="G45" s="72">
        <f>(G46*(G47+G41))</f>
        <v>0.54599999999999993</v>
      </c>
      <c r="H45" s="73"/>
      <c r="I45" s="72">
        <f>(I46*(I47+I41))</f>
        <v>0.54599999999999993</v>
      </c>
      <c r="J45" s="73"/>
      <c r="K45" s="72">
        <f>(K46*(K47+K41))</f>
        <v>0.54599999999999993</v>
      </c>
      <c r="L45" s="73"/>
      <c r="M45" s="72">
        <f>(M46*(M47+M41))</f>
        <v>0.54599999999999993</v>
      </c>
      <c r="N45" s="73"/>
      <c r="O45" s="72">
        <f>(O46*(O47+O41))</f>
        <v>0.38850000000000001</v>
      </c>
      <c r="P45" s="73"/>
      <c r="Q45" s="72">
        <f>(Q46*(Q47+Q41))</f>
        <v>0.35175000000000001</v>
      </c>
      <c r="R45" s="73"/>
      <c r="S45" s="72">
        <f>(S46*(S47+S41))</f>
        <v>0.47249999999999998</v>
      </c>
    </row>
    <row r="46" spans="2:19" s="4" customFormat="1" ht="18" customHeight="1" x14ac:dyDescent="0.45">
      <c r="B46" s="1184"/>
      <c r="C46" s="77" t="s">
        <v>60</v>
      </c>
      <c r="D46" s="76"/>
      <c r="E46" s="16"/>
      <c r="F46" s="73"/>
      <c r="G46" s="74">
        <v>0.1</v>
      </c>
      <c r="H46" s="73"/>
      <c r="I46" s="74">
        <v>0.1</v>
      </c>
      <c r="J46" s="73"/>
      <c r="K46" s="74">
        <v>0.1</v>
      </c>
      <c r="L46" s="73"/>
      <c r="M46" s="74">
        <v>0.1</v>
      </c>
      <c r="N46" s="73"/>
      <c r="O46" s="74">
        <v>0.1</v>
      </c>
      <c r="P46" s="73"/>
      <c r="Q46" s="74">
        <v>0.1</v>
      </c>
      <c r="R46" s="73"/>
      <c r="S46" s="74">
        <v>0.1</v>
      </c>
    </row>
    <row r="47" spans="2:19" s="4" customFormat="1" ht="18" customHeight="1" x14ac:dyDescent="0.45">
      <c r="B47" s="1184"/>
      <c r="C47" s="78" t="s">
        <v>61</v>
      </c>
      <c r="D47" s="79"/>
      <c r="E47" s="80" t="s">
        <v>53</v>
      </c>
      <c r="F47" s="81"/>
      <c r="G47" s="82">
        <f>G51-G48+G49</f>
        <v>5.1999999999999993</v>
      </c>
      <c r="H47" s="81"/>
      <c r="I47" s="82">
        <f>I51-I48+I49</f>
        <v>5.1999999999999993</v>
      </c>
      <c r="J47" s="81"/>
      <c r="K47" s="82">
        <f>K51-K48+K49</f>
        <v>5.1999999999999993</v>
      </c>
      <c r="L47" s="81"/>
      <c r="M47" s="82">
        <f>M51-M48+M49</f>
        <v>5.1999999999999993</v>
      </c>
      <c r="N47" s="81"/>
      <c r="O47" s="82">
        <f>O51-O48+O49</f>
        <v>3.6999999999999997</v>
      </c>
      <c r="P47" s="81"/>
      <c r="Q47" s="82">
        <f>Q51-Q48+Q49</f>
        <v>3.35</v>
      </c>
      <c r="R47" s="81"/>
      <c r="S47" s="82">
        <f>S51-S48+S49</f>
        <v>4.5</v>
      </c>
    </row>
    <row r="48" spans="2:19" s="4" customFormat="1" ht="18" customHeight="1" x14ac:dyDescent="0.45">
      <c r="B48" s="1184"/>
      <c r="C48" s="83" t="s">
        <v>62</v>
      </c>
      <c r="D48" s="83"/>
      <c r="E48" s="84" t="str">
        <f>+E47</f>
        <v xml:space="preserve">USD </v>
      </c>
      <c r="F48" s="85"/>
      <c r="G48" s="86">
        <v>0.4</v>
      </c>
      <c r="H48" s="85"/>
      <c r="I48" s="86">
        <v>0.4</v>
      </c>
      <c r="J48" s="85"/>
      <c r="K48" s="86">
        <v>0.4</v>
      </c>
      <c r="L48" s="85"/>
      <c r="M48" s="86">
        <v>0.4</v>
      </c>
      <c r="N48" s="85"/>
      <c r="O48" s="86">
        <v>0.9</v>
      </c>
      <c r="P48" s="85"/>
      <c r="Q48" s="86">
        <v>0.9</v>
      </c>
      <c r="R48" s="85"/>
      <c r="S48" s="86">
        <v>1.8</v>
      </c>
    </row>
    <row r="49" spans="2:19" s="4" customFormat="1" ht="18" customHeight="1" x14ac:dyDescent="0.45">
      <c r="B49" s="1184"/>
      <c r="C49" s="87" t="s">
        <v>63</v>
      </c>
      <c r="D49" s="83"/>
      <c r="E49" s="84" t="str">
        <f>+E48</f>
        <v xml:space="preserve">USD </v>
      </c>
      <c r="F49" s="85"/>
      <c r="G49" s="86">
        <v>0</v>
      </c>
      <c r="H49" s="85"/>
      <c r="I49" s="86">
        <v>0</v>
      </c>
      <c r="J49" s="85"/>
      <c r="K49" s="86">
        <v>0</v>
      </c>
      <c r="L49" s="85"/>
      <c r="M49" s="86">
        <v>0</v>
      </c>
      <c r="N49" s="85"/>
      <c r="O49" s="86">
        <v>0</v>
      </c>
      <c r="P49" s="85"/>
      <c r="Q49" s="86">
        <v>0</v>
      </c>
      <c r="R49" s="85"/>
      <c r="S49" s="86">
        <v>0</v>
      </c>
    </row>
    <row r="50" spans="2:19" s="4" customFormat="1" ht="18" hidden="1" customHeight="1" x14ac:dyDescent="0.45">
      <c r="B50" s="1184"/>
      <c r="C50" s="87" t="s">
        <v>64</v>
      </c>
      <c r="D50" s="83"/>
      <c r="E50" s="84" t="s">
        <v>53</v>
      </c>
      <c r="F50" s="85"/>
      <c r="G50" s="86">
        <f>+G53+G55+G57</f>
        <v>5.6030800000000003</v>
      </c>
      <c r="H50" s="85"/>
      <c r="I50" s="86">
        <f>+I53+I55+I57</f>
        <v>5.6030800000000003</v>
      </c>
      <c r="J50" s="85"/>
      <c r="K50" s="86">
        <f>+K53+K55+K57</f>
        <v>5.6030799999999994</v>
      </c>
      <c r="L50" s="85"/>
      <c r="M50" s="86">
        <f>+M53+M55+M57</f>
        <v>5.6030800000000003</v>
      </c>
      <c r="N50" s="85"/>
      <c r="O50" s="86">
        <f>+O53+O55+O57</f>
        <v>4.6025299999999998</v>
      </c>
      <c r="P50" s="85"/>
      <c r="Q50" s="86">
        <f>+Q53+Q55+Q57</f>
        <v>4.2523375000000003</v>
      </c>
      <c r="R50" s="85"/>
      <c r="S50" s="86">
        <f>+S53+S55+S57</f>
        <v>6.3034649999999992</v>
      </c>
    </row>
    <row r="51" spans="2:19" s="4" customFormat="1" ht="18" customHeight="1" x14ac:dyDescent="0.45">
      <c r="B51" s="1184"/>
      <c r="C51" s="78" t="s">
        <v>65</v>
      </c>
      <c r="D51" s="79"/>
      <c r="E51" s="80" t="s">
        <v>53</v>
      </c>
      <c r="F51" s="81"/>
      <c r="G51" s="82">
        <v>5.6</v>
      </c>
      <c r="H51" s="81"/>
      <c r="I51" s="82">
        <v>5.6</v>
      </c>
      <c r="J51" s="81"/>
      <c r="K51" s="82">
        <v>5.6</v>
      </c>
      <c r="L51" s="81"/>
      <c r="M51" s="82">
        <v>5.6</v>
      </c>
      <c r="N51" s="81"/>
      <c r="O51" s="82">
        <v>4.5999999999999996</v>
      </c>
      <c r="P51" s="81"/>
      <c r="Q51" s="82">
        <v>4.25</v>
      </c>
      <c r="R51" s="81"/>
      <c r="S51" s="82">
        <v>6.3</v>
      </c>
    </row>
    <row r="52" spans="2:19" s="4" customFormat="1" ht="18" customHeight="1" x14ac:dyDescent="0.45">
      <c r="B52" s="1184"/>
      <c r="C52" s="12" t="s">
        <v>66</v>
      </c>
      <c r="D52" s="11"/>
      <c r="E52" s="16"/>
      <c r="F52" s="42"/>
      <c r="G52" s="88"/>
      <c r="H52" s="42"/>
      <c r="I52" s="88"/>
      <c r="J52" s="42"/>
      <c r="K52" s="88"/>
      <c r="L52" s="42"/>
      <c r="M52" s="88"/>
      <c r="N52" s="42"/>
      <c r="O52" s="88"/>
      <c r="P52" s="42"/>
      <c r="Q52" s="88"/>
      <c r="R52" s="42"/>
      <c r="S52" s="88"/>
    </row>
    <row r="53" spans="2:19" s="4" customFormat="1" ht="18" customHeight="1" x14ac:dyDescent="0.45">
      <c r="B53" s="1184"/>
      <c r="C53" s="15" t="s">
        <v>67</v>
      </c>
      <c r="D53" s="16"/>
      <c r="E53" s="35" t="s">
        <v>68</v>
      </c>
      <c r="F53" s="89"/>
      <c r="G53" s="90">
        <f>0.055/100*(G57+(G54/G56))</f>
        <v>3.0799999999999998E-3</v>
      </c>
      <c r="H53" s="89"/>
      <c r="I53" s="90">
        <f>0.055/100*(I57+(I54/I56))</f>
        <v>3.0799999999999998E-3</v>
      </c>
      <c r="J53" s="89"/>
      <c r="K53" s="90">
        <f>0.055/100*(K57+(K54/K56))</f>
        <v>3.0799999999999998E-3</v>
      </c>
      <c r="L53" s="89"/>
      <c r="M53" s="90">
        <f>0.055/100*(M57+(M54/M56))</f>
        <v>3.0799999999999998E-3</v>
      </c>
      <c r="N53" s="89"/>
      <c r="O53" s="90">
        <f>0.055/100*(O57+(O54/O56))</f>
        <v>2.5300000000000001E-3</v>
      </c>
      <c r="P53" s="89"/>
      <c r="Q53" s="90">
        <f>0.055/100*(Q57+(Q54/Q56))</f>
        <v>2.3375000000000002E-3</v>
      </c>
      <c r="R53" s="89"/>
      <c r="S53" s="90">
        <f>0.055/100*(S57+(S54/S56))</f>
        <v>3.4650000000000002E-3</v>
      </c>
    </row>
    <row r="54" spans="2:19" s="4" customFormat="1" ht="18" customHeight="1" x14ac:dyDescent="0.45">
      <c r="B54" s="1184"/>
      <c r="C54" s="15" t="s">
        <v>69</v>
      </c>
      <c r="D54" s="34" t="s">
        <v>70</v>
      </c>
      <c r="E54" s="16"/>
      <c r="F54" s="42"/>
      <c r="G54" s="91">
        <v>1150</v>
      </c>
      <c r="H54" s="42"/>
      <c r="I54" s="91">
        <v>1150</v>
      </c>
      <c r="J54" s="42"/>
      <c r="K54" s="91">
        <v>1150</v>
      </c>
      <c r="L54" s="42"/>
      <c r="M54" s="91">
        <v>1150</v>
      </c>
      <c r="N54" s="42"/>
      <c r="O54" s="91">
        <v>1150</v>
      </c>
      <c r="P54" s="42"/>
      <c r="Q54" s="91">
        <v>1150</v>
      </c>
      <c r="R54" s="42"/>
      <c r="S54" s="91">
        <v>1150</v>
      </c>
    </row>
    <row r="55" spans="2:19" s="97" customFormat="1" ht="18" customHeight="1" x14ac:dyDescent="0.45">
      <c r="B55" s="1184"/>
      <c r="C55" s="92" t="str">
        <f>+C54</f>
        <v>Freight cost</v>
      </c>
      <c r="D55" s="93"/>
      <c r="E55" s="94" t="str">
        <f>+E53</f>
        <v xml:space="preserve">per carton USD </v>
      </c>
      <c r="F55" s="95"/>
      <c r="G55" s="96">
        <f>+G54/G56</f>
        <v>0.29700413223140498</v>
      </c>
      <c r="H55" s="95"/>
      <c r="I55" s="96">
        <f>+I54/I56</f>
        <v>0.28749999999999998</v>
      </c>
      <c r="J55" s="95"/>
      <c r="K55" s="96">
        <f>+K54/K56</f>
        <v>0.323943661971831</v>
      </c>
      <c r="L55" s="95"/>
      <c r="M55" s="96">
        <f>+M54/M56</f>
        <v>0.29700413223140498</v>
      </c>
      <c r="N55" s="95"/>
      <c r="O55" s="96">
        <f>+O54/O56</f>
        <v>0.23279352226720648</v>
      </c>
      <c r="P55" s="95"/>
      <c r="Q55" s="96">
        <f>+Q54/Q56</f>
        <v>0.23958333333333334</v>
      </c>
      <c r="R55" s="95"/>
      <c r="S55" s="96">
        <f>+S54/S56</f>
        <v>0.47916666666666669</v>
      </c>
    </row>
    <row r="56" spans="2:19" s="4" customFormat="1" ht="18" customHeight="1" x14ac:dyDescent="0.45">
      <c r="B56" s="1184"/>
      <c r="C56" s="15" t="s">
        <v>71</v>
      </c>
      <c r="D56" s="16"/>
      <c r="E56" s="35" t="s">
        <v>68</v>
      </c>
      <c r="F56" s="42"/>
      <c r="G56" s="88">
        <v>3872</v>
      </c>
      <c r="H56" s="42"/>
      <c r="I56" s="88">
        <v>4000</v>
      </c>
      <c r="J56" s="42"/>
      <c r="K56" s="88">
        <v>3550</v>
      </c>
      <c r="L56" s="42"/>
      <c r="M56" s="88">
        <v>3872</v>
      </c>
      <c r="N56" s="42"/>
      <c r="O56" s="88">
        <v>4940</v>
      </c>
      <c r="P56" s="42"/>
      <c r="Q56" s="88">
        <v>4800</v>
      </c>
      <c r="R56" s="42"/>
      <c r="S56" s="88">
        <v>2400</v>
      </c>
    </row>
    <row r="57" spans="2:19" s="7" customFormat="1" ht="18" customHeight="1" x14ac:dyDescent="0.45">
      <c r="B57" s="1184"/>
      <c r="C57" s="78" t="s">
        <v>72</v>
      </c>
      <c r="D57" s="79"/>
      <c r="E57" s="80" t="s">
        <v>68</v>
      </c>
      <c r="F57" s="81"/>
      <c r="G57" s="82">
        <f>G51-G55</f>
        <v>5.3029958677685949</v>
      </c>
      <c r="H57" s="81"/>
      <c r="I57" s="82">
        <f>I51-I55</f>
        <v>5.3125</v>
      </c>
      <c r="J57" s="81"/>
      <c r="K57" s="82">
        <f>K51-K55</f>
        <v>5.2760563380281686</v>
      </c>
      <c r="L57" s="81"/>
      <c r="M57" s="82">
        <f>M51-M55</f>
        <v>5.3029958677685949</v>
      </c>
      <c r="N57" s="81"/>
      <c r="O57" s="82">
        <f>O51-O55</f>
        <v>4.3672064777327932</v>
      </c>
      <c r="P57" s="81"/>
      <c r="Q57" s="82">
        <f>Q51-Q55</f>
        <v>4.010416666666667</v>
      </c>
      <c r="R57" s="81"/>
      <c r="S57" s="82">
        <f>S51-S55</f>
        <v>5.8208333333333329</v>
      </c>
    </row>
    <row r="58" spans="2:19" s="7" customFormat="1" ht="18" customHeight="1" x14ac:dyDescent="0.45">
      <c r="B58" s="1184"/>
      <c r="C58" s="78" t="s">
        <v>73</v>
      </c>
      <c r="D58" s="79"/>
      <c r="E58" s="80" t="s">
        <v>68</v>
      </c>
      <c r="F58" s="81"/>
      <c r="G58" s="82">
        <f>G47-G55</f>
        <v>4.9029958677685945</v>
      </c>
      <c r="H58" s="81"/>
      <c r="I58" s="82">
        <f>I47-I55</f>
        <v>4.9124999999999996</v>
      </c>
      <c r="J58" s="81"/>
      <c r="K58" s="82">
        <f>K47-K55</f>
        <v>4.8760563380281683</v>
      </c>
      <c r="L58" s="81"/>
      <c r="M58" s="82">
        <f>M47-M55</f>
        <v>4.9029958677685945</v>
      </c>
      <c r="N58" s="81"/>
      <c r="O58" s="82">
        <f>O47-O55</f>
        <v>3.4672064777327933</v>
      </c>
      <c r="P58" s="81"/>
      <c r="Q58" s="82">
        <f>Q47-Q55</f>
        <v>3.1104166666666666</v>
      </c>
      <c r="R58" s="81"/>
      <c r="S58" s="82">
        <f>S47-S55</f>
        <v>4.020833333333333</v>
      </c>
    </row>
    <row r="59" spans="2:19" s="103" customFormat="1" ht="18" customHeight="1" x14ac:dyDescent="0.45">
      <c r="B59" s="1184"/>
      <c r="C59" s="98"/>
      <c r="D59" s="99"/>
      <c r="E59" s="100" t="s">
        <v>74</v>
      </c>
      <c r="F59" s="101"/>
      <c r="G59" s="102">
        <f>+G57/G9</f>
        <v>0.13257489669421488</v>
      </c>
      <c r="H59" s="101"/>
      <c r="I59" s="102">
        <f>+I57/I9</f>
        <v>0.1328125</v>
      </c>
      <c r="J59" s="101"/>
      <c r="K59" s="102">
        <f>+K57/K9</f>
        <v>0.13190140845070422</v>
      </c>
      <c r="L59" s="101"/>
      <c r="M59" s="102">
        <f>+M57/M9</f>
        <v>0.13257489669421488</v>
      </c>
      <c r="N59" s="101"/>
      <c r="O59" s="102">
        <f>+O57/O9</f>
        <v>0.36393387314439946</v>
      </c>
      <c r="P59" s="101"/>
      <c r="Q59" s="102">
        <f>+Q57/Q9</f>
        <v>0.3342013888888889</v>
      </c>
      <c r="R59" s="101"/>
      <c r="S59" s="102">
        <f>+S57/S9</f>
        <v>0.24253472222222219</v>
      </c>
    </row>
    <row r="60" spans="2:19" s="4" customFormat="1" ht="18" customHeight="1" thickBot="1" x14ac:dyDescent="0.5">
      <c r="B60" s="1184"/>
      <c r="C60" s="104"/>
      <c r="D60" s="105"/>
      <c r="E60" s="105"/>
      <c r="F60" s="106"/>
      <c r="G60" s="107"/>
      <c r="H60" s="106"/>
      <c r="I60" s="107"/>
      <c r="J60" s="106"/>
      <c r="K60" s="107"/>
      <c r="L60" s="106"/>
      <c r="M60" s="107"/>
      <c r="N60" s="106"/>
      <c r="O60" s="107"/>
      <c r="P60" s="106"/>
      <c r="Q60" s="107"/>
      <c r="R60" s="106"/>
      <c r="S60" s="107"/>
    </row>
    <row r="61" spans="2:19" s="4" customFormat="1" ht="48.75" hidden="1" customHeight="1" thickTop="1" x14ac:dyDescent="0.45">
      <c r="B61" s="1240" t="s">
        <v>75</v>
      </c>
      <c r="C61" s="110" t="s">
        <v>76</v>
      </c>
      <c r="D61" s="109"/>
      <c r="E61" s="110" t="s">
        <v>77</v>
      </c>
      <c r="F61" s="111"/>
      <c r="G61" s="112">
        <f>G64+G62</f>
        <v>3.7179873275623234</v>
      </c>
      <c r="H61" s="111"/>
      <c r="I61" s="112">
        <f>I64+I62</f>
        <v>4.1643804026987139</v>
      </c>
      <c r="J61" s="111"/>
      <c r="K61" s="112">
        <f>K64+K62</f>
        <v>4.7782111814891035</v>
      </c>
      <c r="L61" s="111"/>
      <c r="M61" s="112">
        <f>M64+M62</f>
        <v>3.8179873275623235</v>
      </c>
      <c r="N61" s="111"/>
      <c r="O61" s="112">
        <f>O64+O62</f>
        <v>2.5436186803309546</v>
      </c>
      <c r="P61" s="111"/>
      <c r="Q61" s="112">
        <f>Q64+Q62</f>
        <v>2.5461954898446835</v>
      </c>
      <c r="R61" s="111"/>
      <c r="S61" s="112">
        <f>S64+S62</f>
        <v>3.7371200541148357</v>
      </c>
    </row>
    <row r="62" spans="2:19" s="4" customFormat="1" ht="18" customHeight="1" x14ac:dyDescent="0.45">
      <c r="B62" s="1241"/>
      <c r="C62" s="115" t="s">
        <v>78</v>
      </c>
      <c r="D62" s="114"/>
      <c r="E62" s="115" t="s">
        <v>77</v>
      </c>
      <c r="F62" s="116"/>
      <c r="G62" s="117">
        <f>G105</f>
        <v>0.11798732756232323</v>
      </c>
      <c r="H62" s="116"/>
      <c r="I62" s="117">
        <f>I105</f>
        <v>0.1143804026987139</v>
      </c>
      <c r="J62" s="116"/>
      <c r="K62" s="117">
        <f>K105</f>
        <v>0.12821118148910329</v>
      </c>
      <c r="L62" s="116"/>
      <c r="M62" s="117">
        <f>M105</f>
        <v>0.11798732756232323</v>
      </c>
      <c r="N62" s="116"/>
      <c r="O62" s="117">
        <f>O105</f>
        <v>9.3618680330954385E-2</v>
      </c>
      <c r="P62" s="116"/>
      <c r="Q62" s="117">
        <f>Q105</f>
        <v>9.6195489844683388E-2</v>
      </c>
      <c r="R62" s="116"/>
      <c r="S62" s="117">
        <f>S105</f>
        <v>0.1871200541148359</v>
      </c>
    </row>
    <row r="63" spans="2:19" s="4" customFormat="1" ht="18" customHeight="1" x14ac:dyDescent="0.45">
      <c r="B63" s="1241"/>
      <c r="C63" s="16"/>
      <c r="D63" s="16"/>
      <c r="E63" s="16"/>
      <c r="F63" s="42"/>
      <c r="G63" s="118"/>
      <c r="H63" s="42"/>
      <c r="I63" s="88"/>
      <c r="J63" s="42"/>
      <c r="K63" s="88"/>
      <c r="L63" s="42"/>
      <c r="M63" s="118"/>
      <c r="N63" s="42"/>
      <c r="O63" s="118"/>
      <c r="P63" s="42"/>
      <c r="Q63" s="118"/>
      <c r="R63" s="42"/>
      <c r="S63" s="118"/>
    </row>
    <row r="64" spans="2:19" s="4" customFormat="1" ht="18" customHeight="1" x14ac:dyDescent="0.45">
      <c r="B64" s="1241"/>
      <c r="C64" s="20" t="s">
        <v>79</v>
      </c>
      <c r="D64" s="20"/>
      <c r="E64" s="30" t="str">
        <f>+E57</f>
        <v xml:space="preserve">per carton USD </v>
      </c>
      <c r="F64" s="66"/>
      <c r="G64" s="70">
        <v>3.6</v>
      </c>
      <c r="H64" s="66"/>
      <c r="I64" s="70">
        <v>4.05</v>
      </c>
      <c r="J64" s="66"/>
      <c r="K64" s="70">
        <v>4.6500000000000004</v>
      </c>
      <c r="L64" s="66"/>
      <c r="M64" s="70">
        <v>3.7</v>
      </c>
      <c r="N64" s="66"/>
      <c r="O64" s="70">
        <v>2.4500000000000002</v>
      </c>
      <c r="P64" s="66"/>
      <c r="Q64" s="70">
        <v>2.4500000000000002</v>
      </c>
      <c r="R64" s="66"/>
      <c r="S64" s="70">
        <v>3.55</v>
      </c>
    </row>
    <row r="65" spans="2:19" s="97" customFormat="1" ht="18" customHeight="1" x14ac:dyDescent="0.45">
      <c r="B65" s="1241"/>
      <c r="C65" s="122"/>
      <c r="D65" s="122"/>
      <c r="E65" s="123" t="str">
        <f>+E59</f>
        <v xml:space="preserve">per pack USD </v>
      </c>
      <c r="F65" s="124"/>
      <c r="G65" s="125">
        <f>+G64/G9</f>
        <v>0.09</v>
      </c>
      <c r="H65" s="124"/>
      <c r="I65" s="125">
        <f>+I64/I9</f>
        <v>0.10124999999999999</v>
      </c>
      <c r="J65" s="124"/>
      <c r="K65" s="125">
        <f>+K64/K9</f>
        <v>0.11625000000000001</v>
      </c>
      <c r="L65" s="124"/>
      <c r="M65" s="125">
        <f>+M64/M9</f>
        <v>9.2499999999999999E-2</v>
      </c>
      <c r="N65" s="124"/>
      <c r="O65" s="125">
        <f>+O64/O9</f>
        <v>0.20416666666666669</v>
      </c>
      <c r="P65" s="124"/>
      <c r="Q65" s="125">
        <f>+Q64/Q9</f>
        <v>0.20416666666666669</v>
      </c>
      <c r="R65" s="124"/>
      <c r="S65" s="125">
        <f>+S64/S9</f>
        <v>0.14791666666666667</v>
      </c>
    </row>
    <row r="66" spans="2:19" s="4" customFormat="1" ht="18" customHeight="1" x14ac:dyDescent="0.45">
      <c r="B66" s="1241"/>
      <c r="C66" s="258" t="s">
        <v>141</v>
      </c>
      <c r="D66" s="16"/>
      <c r="E66" s="126" t="s">
        <v>81</v>
      </c>
      <c r="F66" s="127"/>
      <c r="G66" s="90">
        <f>G64*G69</f>
        <v>51224.4</v>
      </c>
      <c r="H66" s="127"/>
      <c r="I66" s="90">
        <f>I64*I69</f>
        <v>57627.45</v>
      </c>
      <c r="J66" s="127"/>
      <c r="K66" s="90">
        <f>K64*K69</f>
        <v>66164.850000000006</v>
      </c>
      <c r="L66" s="127"/>
      <c r="M66" s="90">
        <f>M64*M69</f>
        <v>52647.3</v>
      </c>
      <c r="N66" s="127"/>
      <c r="O66" s="90">
        <f>O64*O69</f>
        <v>34861.050000000003</v>
      </c>
      <c r="P66" s="127"/>
      <c r="Q66" s="90">
        <f>Q64*Q69</f>
        <v>34861.050000000003</v>
      </c>
      <c r="R66" s="127"/>
      <c r="S66" s="90">
        <f>S64*S69</f>
        <v>50512.95</v>
      </c>
    </row>
    <row r="67" spans="2:19" s="4" customFormat="1" ht="18" customHeight="1" x14ac:dyDescent="0.45">
      <c r="B67" s="1241"/>
      <c r="C67" s="16" t="s">
        <v>80</v>
      </c>
      <c r="D67" s="16"/>
      <c r="E67" s="126" t="s">
        <v>81</v>
      </c>
      <c r="F67" s="127"/>
      <c r="G67" s="90">
        <f>G66/G9</f>
        <v>1280.6100000000001</v>
      </c>
      <c r="H67" s="127"/>
      <c r="I67" s="90">
        <f>I66/I9</f>
        <v>1440.68625</v>
      </c>
      <c r="J67" s="127"/>
      <c r="K67" s="90">
        <f>K66/K9</f>
        <v>1654.1212500000001</v>
      </c>
      <c r="L67" s="127"/>
      <c r="M67" s="90">
        <f>M66/M9</f>
        <v>1316.1825000000001</v>
      </c>
      <c r="N67" s="127"/>
      <c r="O67" s="90">
        <f>O66/O9</f>
        <v>2905.0875000000001</v>
      </c>
      <c r="P67" s="127"/>
      <c r="Q67" s="90">
        <f>Q66/Q9</f>
        <v>2905.0875000000001</v>
      </c>
      <c r="R67" s="127"/>
      <c r="S67" s="90">
        <f>S66/S9</f>
        <v>2104.7062499999997</v>
      </c>
    </row>
    <row r="68" spans="2:19" s="4" customFormat="1" ht="18" customHeight="1" x14ac:dyDescent="0.45">
      <c r="B68" s="1241"/>
      <c r="C68" s="259"/>
      <c r="D68" s="16"/>
      <c r="E68" s="126"/>
      <c r="F68" s="127"/>
      <c r="G68" s="90"/>
      <c r="H68" s="127"/>
      <c r="I68" s="90"/>
      <c r="J68" s="127"/>
      <c r="K68" s="90"/>
      <c r="L68" s="127"/>
      <c r="M68" s="90"/>
      <c r="N68" s="127"/>
      <c r="O68" s="90"/>
      <c r="P68" s="127"/>
      <c r="Q68" s="90"/>
      <c r="R68" s="127"/>
      <c r="S68" s="90"/>
    </row>
    <row r="69" spans="2:19" s="4" customFormat="1" ht="18" customHeight="1" x14ac:dyDescent="0.45">
      <c r="B69" s="1241"/>
      <c r="C69" s="16" t="s">
        <v>82</v>
      </c>
      <c r="D69" s="16"/>
      <c r="E69" s="35" t="s">
        <v>83</v>
      </c>
      <c r="F69" s="42"/>
      <c r="G69" s="88">
        <v>14229</v>
      </c>
      <c r="H69" s="42"/>
      <c r="I69" s="88">
        <f>G69</f>
        <v>14229</v>
      </c>
      <c r="J69" s="42"/>
      <c r="K69" s="88">
        <f>I69</f>
        <v>14229</v>
      </c>
      <c r="L69" s="42"/>
      <c r="M69" s="88">
        <f>K69</f>
        <v>14229</v>
      </c>
      <c r="N69" s="42"/>
      <c r="O69" s="88">
        <f>M69</f>
        <v>14229</v>
      </c>
      <c r="P69" s="42"/>
      <c r="Q69" s="88">
        <f>O69</f>
        <v>14229</v>
      </c>
      <c r="R69" s="42"/>
      <c r="S69" s="88">
        <f>Q69</f>
        <v>14229</v>
      </c>
    </row>
    <row r="70" spans="2:19" s="4" customFormat="1" ht="18" customHeight="1" x14ac:dyDescent="0.45">
      <c r="B70" s="1241"/>
      <c r="C70" s="16" t="s">
        <v>84</v>
      </c>
      <c r="D70" s="16"/>
      <c r="E70" s="35" t="str">
        <f>+E64</f>
        <v xml:space="preserve">per carton USD </v>
      </c>
      <c r="F70" s="50"/>
      <c r="G70" s="72">
        <f>+G57-G64</f>
        <v>1.7029958677685948</v>
      </c>
      <c r="H70" s="50"/>
      <c r="I70" s="72">
        <f>+I57-I64</f>
        <v>1.2625000000000002</v>
      </c>
      <c r="J70" s="50"/>
      <c r="K70" s="72">
        <f>+K57-K64</f>
        <v>0.62605633802816829</v>
      </c>
      <c r="L70" s="50"/>
      <c r="M70" s="72">
        <f>+M57-M64</f>
        <v>1.6029958677685947</v>
      </c>
      <c r="N70" s="50"/>
      <c r="O70" s="72">
        <f>+O57-O64</f>
        <v>1.9172064777327931</v>
      </c>
      <c r="P70" s="50"/>
      <c r="Q70" s="72">
        <f>+Q57-Q64</f>
        <v>1.5604166666666668</v>
      </c>
      <c r="R70" s="50"/>
      <c r="S70" s="72">
        <f>+S57-S64</f>
        <v>2.270833333333333</v>
      </c>
    </row>
    <row r="71" spans="2:19" s="4" customFormat="1" ht="18" customHeight="1" x14ac:dyDescent="0.45">
      <c r="B71" s="1241"/>
      <c r="C71" s="16"/>
      <c r="D71" s="16"/>
      <c r="E71" s="35" t="str">
        <f>+E65</f>
        <v xml:space="preserve">per pack USD </v>
      </c>
      <c r="F71" s="50"/>
      <c r="G71" s="72">
        <f>+G70/G9</f>
        <v>4.2574896694214867E-2</v>
      </c>
      <c r="H71" s="50"/>
      <c r="I71" s="72">
        <f>+I70/I9</f>
        <v>3.1562500000000007E-2</v>
      </c>
      <c r="J71" s="50"/>
      <c r="K71" s="72">
        <f>+K70/K9</f>
        <v>1.5651408450704209E-2</v>
      </c>
      <c r="L71" s="50"/>
      <c r="M71" s="72">
        <f>+M70/M9</f>
        <v>4.0074896694214865E-2</v>
      </c>
      <c r="N71" s="50"/>
      <c r="O71" s="72">
        <f>+O70/O9</f>
        <v>0.15976720647773276</v>
      </c>
      <c r="P71" s="50"/>
      <c r="Q71" s="72">
        <f>+Q70/Q9</f>
        <v>0.13003472222222223</v>
      </c>
      <c r="R71" s="50"/>
      <c r="S71" s="72">
        <f>+S70/S9</f>
        <v>9.4618055555555539E-2</v>
      </c>
    </row>
    <row r="72" spans="2:19" s="65" customFormat="1" ht="18" customHeight="1" x14ac:dyDescent="0.45">
      <c r="B72" s="1241"/>
      <c r="C72" s="131" t="s">
        <v>85</v>
      </c>
      <c r="D72" s="131"/>
      <c r="E72" s="131"/>
      <c r="F72" s="132"/>
      <c r="G72" s="133">
        <f>+G70/G57</f>
        <v>0.32113844895096716</v>
      </c>
      <c r="H72" s="132"/>
      <c r="I72" s="133">
        <f>+I70/I57</f>
        <v>0.23764705882352943</v>
      </c>
      <c r="J72" s="132"/>
      <c r="K72" s="133">
        <f>+K70/K57</f>
        <v>0.11865990389749052</v>
      </c>
      <c r="L72" s="132"/>
      <c r="M72" s="133">
        <f>+M70/M57</f>
        <v>0.3022811836440496</v>
      </c>
      <c r="N72" s="132"/>
      <c r="O72" s="133">
        <f>+O70/O57</f>
        <v>0.43900064892926666</v>
      </c>
      <c r="P72" s="132"/>
      <c r="Q72" s="133">
        <f>+Q70/Q57</f>
        <v>0.3890909090909091</v>
      </c>
      <c r="R72" s="132"/>
      <c r="S72" s="133">
        <f>+S70/S57</f>
        <v>0.39012168933428776</v>
      </c>
    </row>
    <row r="73" spans="2:19" s="65" customFormat="1" ht="18" customHeight="1" x14ac:dyDescent="0.45">
      <c r="B73" s="1241"/>
      <c r="C73" s="260" t="s">
        <v>86</v>
      </c>
      <c r="D73" s="135"/>
      <c r="E73" s="136" t="str">
        <f>E70</f>
        <v xml:space="preserve">per carton USD </v>
      </c>
      <c r="F73" s="137"/>
      <c r="G73" s="138">
        <f>G70-G48</f>
        <v>1.3029958677685949</v>
      </c>
      <c r="H73" s="137"/>
      <c r="I73" s="138">
        <f>I70-I48</f>
        <v>0.86250000000000016</v>
      </c>
      <c r="J73" s="137"/>
      <c r="K73" s="138">
        <f>K70-K48</f>
        <v>0.22605633802816827</v>
      </c>
      <c r="L73" s="137"/>
      <c r="M73" s="138">
        <f>M70-M48</f>
        <v>1.2029958677685948</v>
      </c>
      <c r="N73" s="137"/>
      <c r="O73" s="138">
        <f>O70-O48</f>
        <v>1.0172064777327932</v>
      </c>
      <c r="P73" s="137"/>
      <c r="Q73" s="138">
        <f>Q70-Q48</f>
        <v>0.66041666666666676</v>
      </c>
      <c r="R73" s="137"/>
      <c r="S73" s="138">
        <f>S70-S48</f>
        <v>0.47083333333333299</v>
      </c>
    </row>
    <row r="74" spans="2:19" s="65" customFormat="1" ht="18" customHeight="1" x14ac:dyDescent="0.45">
      <c r="B74" s="1241"/>
      <c r="C74" s="131" t="s">
        <v>87</v>
      </c>
      <c r="D74" s="131"/>
      <c r="E74" s="131"/>
      <c r="F74" s="132"/>
      <c r="G74" s="133">
        <f>G73/G57</f>
        <v>0.2457093877232969</v>
      </c>
      <c r="H74" s="132"/>
      <c r="I74" s="133">
        <f>I73/I57</f>
        <v>0.16235294117647062</v>
      </c>
      <c r="J74" s="132"/>
      <c r="K74" s="133">
        <f>K73/K57</f>
        <v>4.2845702082220896E-2</v>
      </c>
      <c r="L74" s="132"/>
      <c r="M74" s="133">
        <f>M73/M57</f>
        <v>0.22685212241637928</v>
      </c>
      <c r="N74" s="132"/>
      <c r="O74" s="133">
        <f>O73/O57</f>
        <v>0.23291925465838503</v>
      </c>
      <c r="P74" s="132"/>
      <c r="Q74" s="133">
        <f>Q73/Q57</f>
        <v>0.1646753246753247</v>
      </c>
      <c r="R74" s="132"/>
      <c r="S74" s="133">
        <f>S73/S57</f>
        <v>8.0887616320687139E-2</v>
      </c>
    </row>
    <row r="75" spans="2:19" s="65" customFormat="1" ht="6.75" customHeight="1" x14ac:dyDescent="0.45">
      <c r="B75" s="1241"/>
      <c r="C75" s="131"/>
      <c r="D75" s="131"/>
      <c r="E75" s="131"/>
      <c r="F75" s="132"/>
      <c r="G75" s="133"/>
      <c r="H75" s="132"/>
      <c r="I75" s="133"/>
      <c r="J75" s="132"/>
      <c r="K75" s="133"/>
      <c r="L75" s="132"/>
      <c r="M75" s="133"/>
      <c r="N75" s="132"/>
      <c r="O75" s="133"/>
      <c r="P75" s="132"/>
      <c r="Q75" s="133"/>
      <c r="R75" s="132"/>
      <c r="S75" s="133"/>
    </row>
    <row r="76" spans="2:19" s="65" customFormat="1" ht="18" customHeight="1" x14ac:dyDescent="0.45">
      <c r="B76" s="1241"/>
      <c r="C76" s="261" t="s">
        <v>88</v>
      </c>
      <c r="D76" s="140"/>
      <c r="E76" s="136" t="str">
        <f>E73</f>
        <v xml:space="preserve">per carton USD </v>
      </c>
      <c r="F76" s="141"/>
      <c r="G76" s="142">
        <f>G73-G62</f>
        <v>1.1850085402062716</v>
      </c>
      <c r="H76" s="141"/>
      <c r="I76" s="142">
        <f>I73-I62</f>
        <v>0.7481195973012863</v>
      </c>
      <c r="J76" s="141"/>
      <c r="K76" s="142">
        <f>K73-K62</f>
        <v>9.7845156539064976E-2</v>
      </c>
      <c r="L76" s="141"/>
      <c r="M76" s="142">
        <f>M73-M62</f>
        <v>1.0850085402062715</v>
      </c>
      <c r="N76" s="141"/>
      <c r="O76" s="142">
        <f>O73-O62</f>
        <v>0.92358779740183872</v>
      </c>
      <c r="P76" s="141"/>
      <c r="Q76" s="142">
        <f>Q73-Q62</f>
        <v>0.56422117682198336</v>
      </c>
      <c r="R76" s="141"/>
      <c r="S76" s="142">
        <f>S73-S62</f>
        <v>0.28371327921849709</v>
      </c>
    </row>
    <row r="77" spans="2:19" s="65" customFormat="1" ht="18" customHeight="1" x14ac:dyDescent="0.45">
      <c r="B77" s="1241"/>
      <c r="C77" s="131" t="s">
        <v>89</v>
      </c>
      <c r="D77" s="131"/>
      <c r="E77" s="131"/>
      <c r="F77" s="132"/>
      <c r="G77" s="133">
        <f>G76/G57</f>
        <v>0.22346020433632768</v>
      </c>
      <c r="H77" s="132"/>
      <c r="I77" s="133">
        <f>I76/I57</f>
        <v>0.14082251243318331</v>
      </c>
      <c r="J77" s="132"/>
      <c r="K77" s="133">
        <f>K76/K57</f>
        <v>1.8545131111248302E-2</v>
      </c>
      <c r="L77" s="132"/>
      <c r="M77" s="133">
        <f>M76/M57</f>
        <v>0.2046029390294101</v>
      </c>
      <c r="N77" s="132"/>
      <c r="O77" s="133">
        <f>O76/O57</f>
        <v>0.21148251224460385</v>
      </c>
      <c r="P77" s="132"/>
      <c r="Q77" s="133">
        <f>Q76/Q57</f>
        <v>0.14068891681794909</v>
      </c>
      <c r="R77" s="132"/>
      <c r="S77" s="133">
        <f>S76/S57</f>
        <v>4.8741007167100434E-2</v>
      </c>
    </row>
    <row r="78" spans="2:19" s="65" customFormat="1" ht="6.75" customHeight="1" x14ac:dyDescent="0.45">
      <c r="B78" s="1241"/>
      <c r="C78" s="131"/>
      <c r="D78" s="131"/>
      <c r="E78" s="131"/>
      <c r="F78" s="132"/>
      <c r="G78" s="133"/>
      <c r="H78" s="132"/>
      <c r="I78" s="133"/>
      <c r="J78" s="132"/>
      <c r="K78" s="133"/>
      <c r="L78" s="132"/>
      <c r="M78" s="133"/>
      <c r="N78" s="132"/>
      <c r="O78" s="133"/>
      <c r="P78" s="132"/>
      <c r="Q78" s="133"/>
      <c r="R78" s="132"/>
      <c r="S78" s="133"/>
    </row>
    <row r="79" spans="2:19" s="65" customFormat="1" ht="18" customHeight="1" x14ac:dyDescent="0.45">
      <c r="B79" s="1241"/>
      <c r="C79" s="148" t="s">
        <v>90</v>
      </c>
      <c r="D79" s="144"/>
      <c r="E79" s="145" t="str">
        <f>E76</f>
        <v xml:space="preserve">per carton USD </v>
      </c>
      <c r="F79" s="146"/>
      <c r="G79" s="147">
        <f>G76</f>
        <v>1.1850085402062716</v>
      </c>
      <c r="H79" s="146"/>
      <c r="I79" s="147">
        <f>I76</f>
        <v>0.7481195973012863</v>
      </c>
      <c r="J79" s="146"/>
      <c r="K79" s="147">
        <f>K76</f>
        <v>9.7845156539064976E-2</v>
      </c>
      <c r="L79" s="146"/>
      <c r="M79" s="147">
        <f>M76</f>
        <v>1.0850085402062715</v>
      </c>
      <c r="N79" s="146"/>
      <c r="O79" s="147">
        <f>O76</f>
        <v>0.92358779740183872</v>
      </c>
      <c r="P79" s="146"/>
      <c r="Q79" s="147">
        <f>Q76</f>
        <v>0.56422117682198336</v>
      </c>
      <c r="R79" s="146"/>
      <c r="S79" s="147">
        <f>S76</f>
        <v>0.28371327921849709</v>
      </c>
    </row>
    <row r="80" spans="2:19" s="65" customFormat="1" ht="18" customHeight="1" thickBot="1" x14ac:dyDescent="0.5">
      <c r="B80" s="1242"/>
      <c r="C80" s="263" t="s">
        <v>91</v>
      </c>
      <c r="D80" s="264"/>
      <c r="E80" s="264"/>
      <c r="F80" s="263"/>
      <c r="G80" s="265">
        <f>G79/G57</f>
        <v>0.22346020433632768</v>
      </c>
      <c r="H80" s="263"/>
      <c r="I80" s="265">
        <f>I79/I57</f>
        <v>0.14082251243318331</v>
      </c>
      <c r="J80" s="263"/>
      <c r="K80" s="265">
        <f>K79/K57</f>
        <v>1.8545131111248302E-2</v>
      </c>
      <c r="L80" s="263"/>
      <c r="M80" s="265">
        <f>M79/M57</f>
        <v>0.2046029390294101</v>
      </c>
      <c r="N80" s="263"/>
      <c r="O80" s="265">
        <f>O79/O57</f>
        <v>0.21148251224460385</v>
      </c>
      <c r="P80" s="263"/>
      <c r="Q80" s="265">
        <f>Q79/Q57</f>
        <v>0.14068891681794909</v>
      </c>
      <c r="R80" s="263"/>
      <c r="S80" s="265">
        <f>S79/S57</f>
        <v>4.8741007167100434E-2</v>
      </c>
    </row>
    <row r="81" spans="2:19" s="65" customFormat="1" ht="6.75" hidden="1" customHeight="1" thickTop="1" x14ac:dyDescent="0.45">
      <c r="B81" s="266"/>
      <c r="C81" s="131"/>
      <c r="D81" s="131"/>
      <c r="E81" s="131"/>
      <c r="F81" s="132"/>
      <c r="G81" s="133"/>
      <c r="H81" s="132"/>
      <c r="I81" s="133"/>
      <c r="J81" s="132"/>
      <c r="K81" s="133"/>
      <c r="L81" s="132"/>
      <c r="M81" s="133"/>
      <c r="N81" s="132"/>
      <c r="O81" s="133"/>
      <c r="P81" s="132"/>
      <c r="Q81" s="133"/>
      <c r="R81" s="132"/>
      <c r="S81" s="133"/>
    </row>
    <row r="82" spans="2:19" s="65" customFormat="1" ht="18" hidden="1" customHeight="1" x14ac:dyDescent="0.45">
      <c r="B82" s="266"/>
      <c r="C82" s="255" t="s">
        <v>142</v>
      </c>
      <c r="D82" s="254"/>
      <c r="E82" s="255" t="s">
        <v>77</v>
      </c>
      <c r="F82" s="256"/>
      <c r="G82" s="257">
        <v>0.25</v>
      </c>
      <c r="H82" s="256"/>
      <c r="I82" s="257">
        <v>0.25</v>
      </c>
      <c r="J82" s="256"/>
      <c r="K82" s="257">
        <v>0</v>
      </c>
      <c r="L82" s="256"/>
      <c r="M82" s="257">
        <v>0</v>
      </c>
      <c r="N82" s="256"/>
      <c r="O82" s="257">
        <v>0</v>
      </c>
      <c r="P82" s="256"/>
      <c r="Q82" s="257">
        <v>0</v>
      </c>
      <c r="R82" s="256"/>
      <c r="S82" s="257">
        <v>0</v>
      </c>
    </row>
    <row r="83" spans="2:19" s="65" customFormat="1" ht="18" hidden="1" customHeight="1" x14ac:dyDescent="0.45">
      <c r="B83" s="266"/>
      <c r="C83" s="148" t="s">
        <v>92</v>
      </c>
      <c r="D83" s="144"/>
      <c r="E83" s="148" t="s">
        <v>77</v>
      </c>
      <c r="F83" s="146"/>
      <c r="G83" s="147">
        <f>G79-G82</f>
        <v>0.93500854020627155</v>
      </c>
      <c r="H83" s="146"/>
      <c r="I83" s="147">
        <f>I79-I82</f>
        <v>0.4981195973012863</v>
      </c>
      <c r="J83" s="146"/>
      <c r="K83" s="147">
        <f>K79-K82</f>
        <v>9.7845156539064976E-2</v>
      </c>
      <c r="L83" s="146"/>
      <c r="M83" s="147">
        <f>M79-M82</f>
        <v>1.0850085402062715</v>
      </c>
      <c r="N83" s="146"/>
      <c r="O83" s="147">
        <f>O79-O82</f>
        <v>0.92358779740183872</v>
      </c>
      <c r="P83" s="146"/>
      <c r="Q83" s="147">
        <f>Q79-Q82</f>
        <v>0.56422117682198336</v>
      </c>
      <c r="R83" s="146"/>
      <c r="S83" s="147">
        <f>S79-S82</f>
        <v>0.28371327921849709</v>
      </c>
    </row>
    <row r="84" spans="2:19" s="65" customFormat="1" ht="18" hidden="1" customHeight="1" x14ac:dyDescent="0.45">
      <c r="B84" s="266"/>
      <c r="C84" s="131" t="s">
        <v>93</v>
      </c>
      <c r="D84" s="131"/>
      <c r="E84" s="149"/>
      <c r="F84" s="132"/>
      <c r="G84" s="133">
        <f>G83/G57</f>
        <v>0.17631704106903373</v>
      </c>
      <c r="H84" s="132"/>
      <c r="I84" s="133">
        <f>I83/I57</f>
        <v>9.3763688903771542E-2</v>
      </c>
      <c r="J84" s="132"/>
      <c r="K84" s="133">
        <f>K83/K57</f>
        <v>1.8545131111248302E-2</v>
      </c>
      <c r="L84" s="132"/>
      <c r="M84" s="133">
        <f>M83/M57</f>
        <v>0.2046029390294101</v>
      </c>
      <c r="N84" s="132"/>
      <c r="O84" s="133">
        <f>O83/O57</f>
        <v>0.21148251224460385</v>
      </c>
      <c r="P84" s="132"/>
      <c r="Q84" s="133">
        <f>Q83/Q57</f>
        <v>0.14068891681794909</v>
      </c>
      <c r="R84" s="132"/>
      <c r="S84" s="133">
        <f>S83/S57</f>
        <v>4.8741007167100434E-2</v>
      </c>
    </row>
    <row r="85" spans="2:19" s="65" customFormat="1" ht="6.75" hidden="1" customHeight="1" x14ac:dyDescent="0.45"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</row>
    <row r="86" spans="2:19" s="65" customFormat="1" ht="18" hidden="1" customHeight="1" x14ac:dyDescent="0.45">
      <c r="B86" s="266"/>
      <c r="C86" s="262" t="s">
        <v>94</v>
      </c>
      <c r="D86" s="131"/>
      <c r="E86" s="131"/>
      <c r="F86" s="132"/>
      <c r="G86" s="151">
        <f>(G121-G120)/G56</f>
        <v>0</v>
      </c>
      <c r="H86" s="132"/>
      <c r="I86" s="151">
        <f>(I121-I120)/I56</f>
        <v>0</v>
      </c>
      <c r="J86" s="132"/>
      <c r="K86" s="151">
        <f>(K121-K120)/K56</f>
        <v>0</v>
      </c>
      <c r="L86" s="132"/>
      <c r="M86" s="151">
        <f>(M121-M120)/M56</f>
        <v>0</v>
      </c>
      <c r="N86" s="132"/>
      <c r="O86" s="151">
        <f>(O121-O120)/O56</f>
        <v>0</v>
      </c>
      <c r="P86" s="132"/>
      <c r="Q86" s="151">
        <f>(Q121-Q120)/Q56</f>
        <v>0</v>
      </c>
      <c r="R86" s="132"/>
      <c r="S86" s="151">
        <f>(S121-S120)/S56</f>
        <v>0</v>
      </c>
    </row>
    <row r="87" spans="2:19" s="65" customFormat="1" ht="6.75" hidden="1" customHeight="1" x14ac:dyDescent="0.45">
      <c r="B87" s="266"/>
      <c r="C87" s="131"/>
      <c r="D87" s="131"/>
      <c r="E87" s="131"/>
      <c r="F87" s="132"/>
      <c r="G87" s="133"/>
      <c r="H87" s="132"/>
      <c r="I87" s="133"/>
      <c r="J87" s="132"/>
      <c r="K87" s="133"/>
      <c r="L87" s="132"/>
      <c r="M87" s="133"/>
      <c r="N87" s="132"/>
      <c r="O87" s="133"/>
      <c r="P87" s="132"/>
      <c r="Q87" s="133"/>
      <c r="R87" s="132"/>
      <c r="S87" s="133"/>
    </row>
    <row r="88" spans="2:19" s="65" customFormat="1" ht="18" hidden="1" customHeight="1" x14ac:dyDescent="0.45">
      <c r="B88" s="266"/>
      <c r="C88" s="154" t="s">
        <v>95</v>
      </c>
      <c r="D88" s="154"/>
      <c r="E88" s="154" t="s">
        <v>77</v>
      </c>
      <c r="F88" s="155"/>
      <c r="G88" s="156">
        <f>G83-G86</f>
        <v>0.93500854020627155</v>
      </c>
      <c r="H88" s="155"/>
      <c r="I88" s="156">
        <f>I83-I86</f>
        <v>0.4981195973012863</v>
      </c>
      <c r="J88" s="155"/>
      <c r="K88" s="156">
        <f>K83-K86</f>
        <v>9.7845156539064976E-2</v>
      </c>
      <c r="L88" s="155"/>
      <c r="M88" s="156">
        <f>M83-M86</f>
        <v>1.0850085402062715</v>
      </c>
      <c r="N88" s="155"/>
      <c r="O88" s="156">
        <f>O83-O86</f>
        <v>0.92358779740183872</v>
      </c>
      <c r="P88" s="155"/>
      <c r="Q88" s="156">
        <f>Q83-Q86</f>
        <v>0.56422117682198336</v>
      </c>
      <c r="R88" s="155"/>
      <c r="S88" s="156">
        <f>S83-S86</f>
        <v>0.28371327921849709</v>
      </c>
    </row>
    <row r="89" spans="2:19" s="65" customFormat="1" ht="18" hidden="1" customHeight="1" thickBot="1" x14ac:dyDescent="0.5">
      <c r="B89" s="267"/>
      <c r="C89" s="158" t="s">
        <v>96</v>
      </c>
      <c r="D89" s="158"/>
      <c r="E89" s="158"/>
      <c r="F89" s="159"/>
      <c r="G89" s="160">
        <f>G88/G57</f>
        <v>0.17631704106903373</v>
      </c>
      <c r="H89" s="159"/>
      <c r="I89" s="160">
        <f>I88/I57</f>
        <v>9.3763688903771542E-2</v>
      </c>
      <c r="J89" s="159"/>
      <c r="K89" s="160">
        <f>K88/K57</f>
        <v>1.8545131111248302E-2</v>
      </c>
      <c r="L89" s="159"/>
      <c r="M89" s="160">
        <f>M88/M57</f>
        <v>0.2046029390294101</v>
      </c>
      <c r="N89" s="159"/>
      <c r="O89" s="160">
        <f>O88/O57</f>
        <v>0.21148251224460385</v>
      </c>
      <c r="P89" s="159"/>
      <c r="Q89" s="160">
        <f>Q88/Q57</f>
        <v>0.14068891681794909</v>
      </c>
      <c r="R89" s="159"/>
      <c r="S89" s="160">
        <f>S88/S57</f>
        <v>4.8741007167100434E-2</v>
      </c>
    </row>
    <row r="90" spans="2:19" s="4" customFormat="1" ht="18" hidden="1" customHeight="1" thickTop="1" x14ac:dyDescent="0.45">
      <c r="B90" s="1235" t="s">
        <v>97</v>
      </c>
      <c r="C90" s="248" t="s">
        <v>98</v>
      </c>
      <c r="D90" s="249"/>
      <c r="E90" s="250" t="s">
        <v>99</v>
      </c>
      <c r="F90" s="251"/>
      <c r="G90" s="167">
        <v>620</v>
      </c>
      <c r="H90" s="251"/>
      <c r="I90" s="167">
        <v>620</v>
      </c>
      <c r="J90" s="251"/>
      <c r="K90" s="167">
        <v>620</v>
      </c>
      <c r="L90" s="251"/>
      <c r="M90" s="167">
        <v>620</v>
      </c>
      <c r="N90" s="251"/>
      <c r="O90" s="167">
        <v>620</v>
      </c>
      <c r="P90" s="251"/>
      <c r="Q90" s="167">
        <v>620</v>
      </c>
      <c r="R90" s="251"/>
      <c r="S90" s="167">
        <v>620</v>
      </c>
    </row>
    <row r="91" spans="2:19" s="4" customFormat="1" ht="18" hidden="1" customHeight="1" x14ac:dyDescent="0.45">
      <c r="B91" s="1187"/>
      <c r="C91" s="161" t="s">
        <v>143</v>
      </c>
      <c r="D91" s="162"/>
      <c r="E91" s="163" t="s">
        <v>99</v>
      </c>
      <c r="F91" s="164"/>
      <c r="G91" s="168">
        <v>1150</v>
      </c>
      <c r="H91" s="164"/>
      <c r="I91" s="168">
        <v>1150</v>
      </c>
      <c r="J91" s="164"/>
      <c r="K91" s="168">
        <v>1150</v>
      </c>
      <c r="L91" s="164"/>
      <c r="M91" s="168">
        <v>1150</v>
      </c>
      <c r="N91" s="164"/>
      <c r="O91" s="168">
        <v>1150</v>
      </c>
      <c r="P91" s="164"/>
      <c r="Q91" s="168">
        <v>1150</v>
      </c>
      <c r="R91" s="164"/>
      <c r="S91" s="168">
        <v>1150</v>
      </c>
    </row>
    <row r="92" spans="2:19" s="4" customFormat="1" ht="18" hidden="1" customHeight="1" x14ac:dyDescent="0.45">
      <c r="B92" s="1187"/>
      <c r="C92" s="161" t="s">
        <v>101</v>
      </c>
      <c r="D92" s="162"/>
      <c r="E92" s="163" t="s">
        <v>99</v>
      </c>
      <c r="F92" s="164"/>
      <c r="G92" s="168">
        <v>750</v>
      </c>
      <c r="H92" s="164"/>
      <c r="I92" s="168">
        <v>750</v>
      </c>
      <c r="J92" s="164"/>
      <c r="K92" s="168">
        <v>750</v>
      </c>
      <c r="L92" s="164"/>
      <c r="M92" s="168">
        <v>750</v>
      </c>
      <c r="N92" s="164"/>
      <c r="O92" s="168">
        <v>750</v>
      </c>
      <c r="P92" s="164"/>
      <c r="Q92" s="168">
        <v>750</v>
      </c>
      <c r="R92" s="164"/>
      <c r="S92" s="168">
        <v>750</v>
      </c>
    </row>
    <row r="93" spans="2:19" s="4" customFormat="1" ht="18" hidden="1" customHeight="1" x14ac:dyDescent="0.45">
      <c r="B93" s="1187"/>
      <c r="C93" s="170"/>
      <c r="D93" s="162"/>
      <c r="E93" s="162"/>
      <c r="F93" s="164"/>
      <c r="G93" s="171"/>
      <c r="H93" s="164"/>
      <c r="I93" s="171"/>
      <c r="J93" s="164"/>
      <c r="K93" s="171"/>
      <c r="L93" s="164"/>
      <c r="M93" s="171"/>
      <c r="N93" s="164"/>
      <c r="O93" s="171"/>
      <c r="P93" s="164"/>
      <c r="Q93" s="171"/>
      <c r="R93" s="164"/>
      <c r="S93" s="171"/>
    </row>
    <row r="94" spans="2:19" s="4" customFormat="1" ht="18" hidden="1" customHeight="1" x14ac:dyDescent="0.45">
      <c r="B94" s="1187"/>
      <c r="C94" s="161" t="s">
        <v>102</v>
      </c>
      <c r="D94" s="162"/>
      <c r="E94" s="163" t="s">
        <v>99</v>
      </c>
      <c r="F94" s="173"/>
      <c r="G94" s="165">
        <f>G91-G90</f>
        <v>530</v>
      </c>
      <c r="H94" s="173"/>
      <c r="I94" s="165">
        <f>I91-I90</f>
        <v>530</v>
      </c>
      <c r="J94" s="173"/>
      <c r="K94" s="165">
        <f>K91-K90</f>
        <v>530</v>
      </c>
      <c r="L94" s="173"/>
      <c r="M94" s="165">
        <f>M91-M90</f>
        <v>530</v>
      </c>
      <c r="N94" s="173"/>
      <c r="O94" s="165">
        <f>O91-O90</f>
        <v>530</v>
      </c>
      <c r="P94" s="173"/>
      <c r="Q94" s="165">
        <f>Q91-Q90</f>
        <v>530</v>
      </c>
      <c r="R94" s="173"/>
      <c r="S94" s="165">
        <f>S91-S90</f>
        <v>530</v>
      </c>
    </row>
    <row r="95" spans="2:19" s="97" customFormat="1" ht="18" hidden="1" customHeight="1" x14ac:dyDescent="0.45">
      <c r="B95" s="1187"/>
      <c r="C95" s="174" t="s">
        <v>103</v>
      </c>
      <c r="D95" s="175"/>
      <c r="E95" s="176" t="s">
        <v>104</v>
      </c>
      <c r="F95" s="177"/>
      <c r="G95" s="178">
        <f>G94/G56</f>
        <v>0.1368801652892562</v>
      </c>
      <c r="H95" s="177"/>
      <c r="I95" s="178">
        <f>I94/I56</f>
        <v>0.13250000000000001</v>
      </c>
      <c r="J95" s="177"/>
      <c r="K95" s="178">
        <f>K94/K56</f>
        <v>0.14929577464788732</v>
      </c>
      <c r="L95" s="177"/>
      <c r="M95" s="178">
        <f>M94/M56</f>
        <v>0.1368801652892562</v>
      </c>
      <c r="N95" s="177"/>
      <c r="O95" s="178">
        <f>O94/O56</f>
        <v>0.10728744939271255</v>
      </c>
      <c r="P95" s="177"/>
      <c r="Q95" s="178">
        <f>Q94/Q56</f>
        <v>0.11041666666666666</v>
      </c>
      <c r="R95" s="177"/>
      <c r="S95" s="178">
        <f>S94/S56</f>
        <v>0.22083333333333333</v>
      </c>
    </row>
    <row r="96" spans="2:19" s="97" customFormat="1" ht="18" hidden="1" customHeight="1" x14ac:dyDescent="0.45">
      <c r="B96" s="1187"/>
      <c r="C96" s="174" t="s">
        <v>105</v>
      </c>
      <c r="D96" s="175"/>
      <c r="E96" s="176" t="s">
        <v>104</v>
      </c>
      <c r="F96" s="177"/>
      <c r="G96" s="178">
        <f>(G91-G92)/G56</f>
        <v>0.10330578512396695</v>
      </c>
      <c r="H96" s="177"/>
      <c r="I96" s="178">
        <f>(I91-I92)/I56</f>
        <v>0.1</v>
      </c>
      <c r="J96" s="177"/>
      <c r="K96" s="178">
        <f>(K91-K92)/K56</f>
        <v>0.11267605633802817</v>
      </c>
      <c r="L96" s="177"/>
      <c r="M96" s="178">
        <f>(M91-M92)/M56</f>
        <v>0.10330578512396695</v>
      </c>
      <c r="N96" s="177"/>
      <c r="O96" s="178">
        <f>(O91-O92)/O56</f>
        <v>8.0971659919028341E-2</v>
      </c>
      <c r="P96" s="177"/>
      <c r="Q96" s="178">
        <f>(Q91-Q92)/Q56</f>
        <v>8.3333333333333329E-2</v>
      </c>
      <c r="R96" s="177"/>
      <c r="S96" s="178">
        <f>(S91-S92)/S56</f>
        <v>0.16666666666666666</v>
      </c>
    </row>
    <row r="97" spans="2:19" s="4" customFormat="1" ht="18" hidden="1" customHeight="1" x14ac:dyDescent="0.45">
      <c r="B97" s="1187"/>
      <c r="C97" s="170"/>
      <c r="D97" s="162"/>
      <c r="E97" s="179"/>
      <c r="F97" s="180"/>
      <c r="G97" s="181"/>
      <c r="H97" s="180"/>
      <c r="I97" s="181"/>
      <c r="J97" s="180"/>
      <c r="K97" s="181"/>
      <c r="L97" s="180"/>
      <c r="M97" s="181"/>
      <c r="N97" s="180"/>
      <c r="O97" s="181"/>
      <c r="P97" s="180"/>
      <c r="Q97" s="181"/>
      <c r="R97" s="180"/>
      <c r="S97" s="181"/>
    </row>
    <row r="98" spans="2:19" s="4" customFormat="1" ht="18" hidden="1" customHeight="1" x14ac:dyDescent="0.45">
      <c r="B98" s="1187"/>
      <c r="C98" s="183" t="s">
        <v>106</v>
      </c>
      <c r="D98" s="184"/>
      <c r="E98" s="185"/>
      <c r="F98" s="186"/>
      <c r="G98" s="187">
        <f>G51-(G91/G56)-G64</f>
        <v>1.7029958677685948</v>
      </c>
      <c r="H98" s="186"/>
      <c r="I98" s="187">
        <f>I51-(I91/I56)-I64</f>
        <v>1.2625000000000002</v>
      </c>
      <c r="J98" s="186"/>
      <c r="K98" s="187">
        <f>K51-(K91/K56)-K64</f>
        <v>0.62605633802816829</v>
      </c>
      <c r="L98" s="186"/>
      <c r="M98" s="187">
        <f>M51-(M91/M56)-M64</f>
        <v>1.6029958677685947</v>
      </c>
      <c r="N98" s="186"/>
      <c r="O98" s="187">
        <f>O51-(O91/O56)-O64</f>
        <v>1.9172064777327931</v>
      </c>
      <c r="P98" s="186"/>
      <c r="Q98" s="187">
        <f>Q51-(Q91/Q56)-Q64</f>
        <v>1.5604166666666668</v>
      </c>
      <c r="R98" s="186"/>
      <c r="S98" s="187">
        <f>S51-(S91/S56)-S64</f>
        <v>2.270833333333333</v>
      </c>
    </row>
    <row r="99" spans="2:19" s="4" customFormat="1" ht="18" hidden="1" customHeight="1" x14ac:dyDescent="0.45">
      <c r="B99" s="1187"/>
      <c r="C99" s="190" t="s">
        <v>107</v>
      </c>
      <c r="D99" s="184"/>
      <c r="E99" s="191"/>
      <c r="F99" s="192"/>
      <c r="G99" s="193">
        <f>G98/G57</f>
        <v>0.32113844895096716</v>
      </c>
      <c r="H99" s="192"/>
      <c r="I99" s="193">
        <f>I98/I57</f>
        <v>0.23764705882352943</v>
      </c>
      <c r="J99" s="192"/>
      <c r="K99" s="193">
        <f>K98/K57</f>
        <v>0.11865990389749052</v>
      </c>
      <c r="L99" s="192"/>
      <c r="M99" s="193">
        <f>M98/M57</f>
        <v>0.3022811836440496</v>
      </c>
      <c r="N99" s="192"/>
      <c r="O99" s="193">
        <f>O98/O57</f>
        <v>0.43900064892926666</v>
      </c>
      <c r="P99" s="192"/>
      <c r="Q99" s="193">
        <f>Q98/Q57</f>
        <v>0.3890909090909091</v>
      </c>
      <c r="R99" s="192"/>
      <c r="S99" s="193">
        <f>S98/S57</f>
        <v>0.39012168933428776</v>
      </c>
    </row>
    <row r="100" spans="2:19" s="162" customFormat="1" ht="18" hidden="1" customHeight="1" x14ac:dyDescent="0.45">
      <c r="B100" s="1187"/>
      <c r="C100" s="196"/>
      <c r="E100" s="197"/>
      <c r="F100" s="164"/>
      <c r="G100" s="198"/>
      <c r="H100" s="164"/>
      <c r="I100" s="198"/>
      <c r="J100" s="164"/>
      <c r="K100" s="198"/>
      <c r="L100" s="164"/>
      <c r="M100" s="198"/>
      <c r="N100" s="164"/>
      <c r="O100" s="198"/>
      <c r="P100" s="164"/>
      <c r="Q100" s="198"/>
      <c r="R100" s="164"/>
      <c r="S100" s="198"/>
    </row>
    <row r="101" spans="2:19" s="4" customFormat="1" ht="18" hidden="1" customHeight="1" x14ac:dyDescent="0.45">
      <c r="B101" s="1187"/>
      <c r="C101" s="183" t="s">
        <v>108</v>
      </c>
      <c r="D101" s="184"/>
      <c r="E101" s="185"/>
      <c r="F101" s="186"/>
      <c r="G101" s="187">
        <f>G51-(G92/G56)-G64</f>
        <v>1.8063016528925613</v>
      </c>
      <c r="H101" s="186"/>
      <c r="I101" s="187">
        <f>I51-(I92/I56)-I64</f>
        <v>1.3624999999999998</v>
      </c>
      <c r="J101" s="186"/>
      <c r="K101" s="187">
        <f>K51-(K92/K56)-K64</f>
        <v>0.73873239436619631</v>
      </c>
      <c r="L101" s="186"/>
      <c r="M101" s="187">
        <f>M51-(M92/M56)-M64</f>
        <v>1.7063016528925612</v>
      </c>
      <c r="N101" s="186"/>
      <c r="O101" s="187">
        <f>O51-(O92/O56)-O64</f>
        <v>1.9981781376518217</v>
      </c>
      <c r="P101" s="186"/>
      <c r="Q101" s="187">
        <f>Q51-(Q92/Q56)-Q64</f>
        <v>1.6437499999999998</v>
      </c>
      <c r="R101" s="186"/>
      <c r="S101" s="187">
        <f>S51-(S92/S56)-S64</f>
        <v>2.4375</v>
      </c>
    </row>
    <row r="102" spans="2:19" s="4" customFormat="1" ht="18" hidden="1" customHeight="1" x14ac:dyDescent="0.45">
      <c r="B102" s="1187"/>
      <c r="C102" s="190" t="s">
        <v>109</v>
      </c>
      <c r="D102" s="184"/>
      <c r="E102" s="191"/>
      <c r="F102" s="192"/>
      <c r="G102" s="193">
        <f>G101/G57</f>
        <v>0.34061909492918774</v>
      </c>
      <c r="H102" s="192"/>
      <c r="I102" s="193">
        <f>I101/I57</f>
        <v>0.25647058823529406</v>
      </c>
      <c r="J102" s="192"/>
      <c r="K102" s="193">
        <f>K101/K57</f>
        <v>0.14001601708489039</v>
      </c>
      <c r="L102" s="192"/>
      <c r="M102" s="193">
        <f>M101/M57</f>
        <v>0.32176182962227012</v>
      </c>
      <c r="N102" s="192"/>
      <c r="O102" s="193">
        <f>O101/O57</f>
        <v>0.45754148512097897</v>
      </c>
      <c r="P102" s="192"/>
      <c r="Q102" s="193">
        <f>Q101/Q57</f>
        <v>0.40987012987012977</v>
      </c>
      <c r="R102" s="192"/>
      <c r="S102" s="193">
        <f>S101/S57</f>
        <v>0.41875447387258413</v>
      </c>
    </row>
    <row r="103" spans="2:19" s="4" customFormat="1" ht="18" hidden="1" customHeight="1" x14ac:dyDescent="0.45">
      <c r="B103" s="1187"/>
      <c r="C103" s="170"/>
      <c r="D103" s="162"/>
      <c r="E103" s="197"/>
      <c r="F103" s="173"/>
      <c r="G103" s="165"/>
      <c r="H103" s="173"/>
      <c r="I103" s="165"/>
      <c r="J103" s="173"/>
      <c r="K103" s="165"/>
      <c r="L103" s="173"/>
      <c r="M103" s="165"/>
      <c r="N103" s="173"/>
      <c r="O103" s="165"/>
      <c r="P103" s="173"/>
      <c r="Q103" s="165"/>
      <c r="R103" s="173"/>
      <c r="S103" s="165"/>
    </row>
    <row r="104" spans="2:19" s="65" customFormat="1" ht="18" hidden="1" customHeight="1" x14ac:dyDescent="0.45">
      <c r="B104" s="199"/>
      <c r="C104" s="200" t="s">
        <v>110</v>
      </c>
      <c r="D104" s="201"/>
      <c r="E104" s="201"/>
      <c r="F104" s="202" t="s">
        <v>111</v>
      </c>
      <c r="G104" s="203">
        <f>G106/G69</f>
        <v>456.84693232131553</v>
      </c>
      <c r="H104" s="202" t="s">
        <v>111</v>
      </c>
      <c r="I104" s="203">
        <f>I106/I69</f>
        <v>457.52161079485558</v>
      </c>
      <c r="J104" s="202" t="s">
        <v>111</v>
      </c>
      <c r="K104" s="203">
        <f>K106/K69</f>
        <v>455.14969428631667</v>
      </c>
      <c r="L104" s="202" t="s">
        <v>111</v>
      </c>
      <c r="M104" s="203">
        <f>M106/M69</f>
        <v>456.84693232131553</v>
      </c>
      <c r="N104" s="202" t="s">
        <v>111</v>
      </c>
      <c r="O104" s="203">
        <f>O106/O69</f>
        <v>462.47628083491463</v>
      </c>
      <c r="P104" s="202" t="s">
        <v>111</v>
      </c>
      <c r="Q104" s="203">
        <f>Q106/Q69</f>
        <v>461.73835125448028</v>
      </c>
      <c r="R104" s="202" t="s">
        <v>111</v>
      </c>
      <c r="S104" s="203">
        <f>S106/S69</f>
        <v>449.08812987560617</v>
      </c>
    </row>
    <row r="105" spans="2:19" s="65" customFormat="1" ht="18" hidden="1" customHeight="1" x14ac:dyDescent="0.45">
      <c r="B105" s="199"/>
      <c r="C105" s="200" t="s">
        <v>112</v>
      </c>
      <c r="D105" s="201"/>
      <c r="E105" s="201"/>
      <c r="F105" s="202" t="s">
        <v>111</v>
      </c>
      <c r="G105" s="203">
        <f>G104/G56</f>
        <v>0.11798732756232323</v>
      </c>
      <c r="H105" s="202" t="s">
        <v>111</v>
      </c>
      <c r="I105" s="203">
        <f>I104/I56</f>
        <v>0.1143804026987139</v>
      </c>
      <c r="J105" s="202" t="s">
        <v>111</v>
      </c>
      <c r="K105" s="203">
        <f>K104/K56</f>
        <v>0.12821118148910329</v>
      </c>
      <c r="L105" s="202" t="s">
        <v>111</v>
      </c>
      <c r="M105" s="203">
        <f>M104/M56</f>
        <v>0.11798732756232323</v>
      </c>
      <c r="N105" s="202" t="s">
        <v>111</v>
      </c>
      <c r="O105" s="203">
        <f>O104/O56</f>
        <v>9.3618680330954385E-2</v>
      </c>
      <c r="P105" s="202" t="s">
        <v>111</v>
      </c>
      <c r="Q105" s="203">
        <f>Q104/Q56</f>
        <v>9.6195489844683388E-2</v>
      </c>
      <c r="R105" s="202" t="s">
        <v>111</v>
      </c>
      <c r="S105" s="203">
        <f>S104/S56</f>
        <v>0.1871200541148359</v>
      </c>
    </row>
    <row r="106" spans="2:19" s="65" customFormat="1" ht="18" hidden="1" customHeight="1" x14ac:dyDescent="0.45">
      <c r="B106" s="199"/>
      <c r="C106" s="200" t="s">
        <v>113</v>
      </c>
      <c r="D106" s="201"/>
      <c r="E106" s="201"/>
      <c r="F106" s="202" t="s">
        <v>114</v>
      </c>
      <c r="G106" s="204">
        <f>G107*G56</f>
        <v>6500474.9999999991</v>
      </c>
      <c r="H106" s="202" t="s">
        <v>114</v>
      </c>
      <c r="I106" s="204">
        <f>I107*I56</f>
        <v>6510075</v>
      </c>
      <c r="J106" s="202" t="s">
        <v>114</v>
      </c>
      <c r="K106" s="204">
        <f>K107*K56</f>
        <v>6476325</v>
      </c>
      <c r="L106" s="202" t="s">
        <v>114</v>
      </c>
      <c r="M106" s="204">
        <f>M107*M56</f>
        <v>6500474.9999999991</v>
      </c>
      <c r="N106" s="202" t="s">
        <v>114</v>
      </c>
      <c r="O106" s="204">
        <f>O107*O56</f>
        <v>6580575</v>
      </c>
      <c r="P106" s="202" t="s">
        <v>114</v>
      </c>
      <c r="Q106" s="204">
        <f>Q107*Q56</f>
        <v>6570075</v>
      </c>
      <c r="R106" s="202" t="s">
        <v>114</v>
      </c>
      <c r="S106" s="204">
        <f>S107*S56</f>
        <v>6390075</v>
      </c>
    </row>
    <row r="107" spans="2:19" s="65" customFormat="1" ht="18" hidden="1" customHeight="1" x14ac:dyDescent="0.45">
      <c r="B107" s="199"/>
      <c r="C107" s="200" t="s">
        <v>115</v>
      </c>
      <c r="D107" s="201"/>
      <c r="E107" s="201"/>
      <c r="F107" s="202" t="s">
        <v>114</v>
      </c>
      <c r="G107" s="204">
        <f>SUM(G108:G113)</f>
        <v>1678.8416838842973</v>
      </c>
      <c r="H107" s="202" t="s">
        <v>114</v>
      </c>
      <c r="I107" s="204">
        <f>SUM(I108:I113)</f>
        <v>1627.51875</v>
      </c>
      <c r="J107" s="202" t="s">
        <v>114</v>
      </c>
      <c r="K107" s="204">
        <f>SUM(K108:K113)</f>
        <v>1824.3169014084508</v>
      </c>
      <c r="L107" s="202" t="s">
        <v>114</v>
      </c>
      <c r="M107" s="204">
        <f>SUM(M108:M113)</f>
        <v>1678.8416838842973</v>
      </c>
      <c r="N107" s="202" t="s">
        <v>114</v>
      </c>
      <c r="O107" s="204">
        <f>SUM(O108:O113)</f>
        <v>1332.1002024291497</v>
      </c>
      <c r="P107" s="202" t="s">
        <v>114</v>
      </c>
      <c r="Q107" s="204">
        <f>SUM(Q108:Q113)</f>
        <v>1368.765625</v>
      </c>
      <c r="R107" s="202" t="s">
        <v>114</v>
      </c>
      <c r="S107" s="204">
        <f>SUM(S108:S113)</f>
        <v>2662.53125</v>
      </c>
    </row>
    <row r="108" spans="2:19" s="65" customFormat="1" ht="18" hidden="1" customHeight="1" x14ac:dyDescent="0.45">
      <c r="B108" s="199"/>
      <c r="C108" s="200" t="s">
        <v>116</v>
      </c>
      <c r="D108" s="201"/>
      <c r="E108" s="201"/>
      <c r="F108" s="202" t="s">
        <v>114</v>
      </c>
      <c r="G108" s="204">
        <v>75</v>
      </c>
      <c r="H108" s="202" t="s">
        <v>114</v>
      </c>
      <c r="I108" s="204">
        <v>75</v>
      </c>
      <c r="J108" s="202" t="s">
        <v>114</v>
      </c>
      <c r="K108" s="204">
        <v>75</v>
      </c>
      <c r="L108" s="202" t="s">
        <v>114</v>
      </c>
      <c r="M108" s="204">
        <v>75</v>
      </c>
      <c r="N108" s="202" t="s">
        <v>114</v>
      </c>
      <c r="O108" s="204">
        <v>75</v>
      </c>
      <c r="P108" s="202" t="s">
        <v>114</v>
      </c>
      <c r="Q108" s="204">
        <v>75</v>
      </c>
      <c r="R108" s="202" t="s">
        <v>114</v>
      </c>
      <c r="S108" s="204">
        <v>75</v>
      </c>
    </row>
    <row r="109" spans="2:19" s="65" customFormat="1" ht="18" hidden="1" customHeight="1" x14ac:dyDescent="0.45">
      <c r="B109" s="199"/>
      <c r="C109" s="200" t="s">
        <v>117</v>
      </c>
      <c r="D109" s="201"/>
      <c r="E109" s="201"/>
      <c r="F109" s="202" t="s">
        <v>114</v>
      </c>
      <c r="G109" s="204">
        <f>1940000/G56</f>
        <v>501.03305785123968</v>
      </c>
      <c r="H109" s="202" t="s">
        <v>114</v>
      </c>
      <c r="I109" s="204">
        <f>1940000/I56</f>
        <v>485</v>
      </c>
      <c r="J109" s="202" t="s">
        <v>114</v>
      </c>
      <c r="K109" s="204">
        <f>1940000/K56</f>
        <v>546.47887323943667</v>
      </c>
      <c r="L109" s="202" t="s">
        <v>114</v>
      </c>
      <c r="M109" s="204">
        <f>1940000/M56</f>
        <v>501.03305785123968</v>
      </c>
      <c r="N109" s="202" t="s">
        <v>114</v>
      </c>
      <c r="O109" s="204">
        <f>1940000/O56</f>
        <v>392.71255060728743</v>
      </c>
      <c r="P109" s="202" t="s">
        <v>114</v>
      </c>
      <c r="Q109" s="204">
        <f>1940000/Q56</f>
        <v>404.16666666666669</v>
      </c>
      <c r="R109" s="202" t="s">
        <v>114</v>
      </c>
      <c r="S109" s="204">
        <f>1940000/S56</f>
        <v>808.33333333333337</v>
      </c>
    </row>
    <row r="110" spans="2:19" s="65" customFormat="1" ht="18" hidden="1" customHeight="1" x14ac:dyDescent="0.45">
      <c r="B110" s="199"/>
      <c r="C110" s="200" t="s">
        <v>118</v>
      </c>
      <c r="D110" s="201"/>
      <c r="E110" s="201"/>
      <c r="F110" s="202" t="s">
        <v>114</v>
      </c>
      <c r="G110" s="204">
        <f>275000/G56</f>
        <v>71.022727272727266</v>
      </c>
      <c r="H110" s="202" t="s">
        <v>114</v>
      </c>
      <c r="I110" s="204">
        <f>275000/I56</f>
        <v>68.75</v>
      </c>
      <c r="J110" s="202" t="s">
        <v>114</v>
      </c>
      <c r="K110" s="204">
        <f>275000/K56</f>
        <v>77.464788732394368</v>
      </c>
      <c r="L110" s="202" t="s">
        <v>114</v>
      </c>
      <c r="M110" s="204">
        <f>275000/M56</f>
        <v>71.022727272727266</v>
      </c>
      <c r="N110" s="202" t="s">
        <v>114</v>
      </c>
      <c r="O110" s="204">
        <f>275000/O56</f>
        <v>55.668016194331983</v>
      </c>
      <c r="P110" s="202" t="s">
        <v>114</v>
      </c>
      <c r="Q110" s="204">
        <f>275000/Q56</f>
        <v>57.291666666666664</v>
      </c>
      <c r="R110" s="202" t="s">
        <v>114</v>
      </c>
      <c r="S110" s="204">
        <f>275000/S56</f>
        <v>114.58333333333333</v>
      </c>
    </row>
    <row r="111" spans="2:19" s="65" customFormat="1" ht="18" hidden="1" customHeight="1" x14ac:dyDescent="0.45">
      <c r="B111" s="199"/>
      <c r="C111" s="200" t="s">
        <v>119</v>
      </c>
      <c r="D111" s="201"/>
      <c r="E111" s="201"/>
      <c r="F111" s="202" t="s">
        <v>114</v>
      </c>
      <c r="G111" s="204">
        <f>1280000/G56</f>
        <v>330.57851239669424</v>
      </c>
      <c r="H111" s="202" t="s">
        <v>114</v>
      </c>
      <c r="I111" s="204">
        <f>1280000/I56</f>
        <v>320</v>
      </c>
      <c r="J111" s="202" t="s">
        <v>114</v>
      </c>
      <c r="K111" s="204">
        <f>1280000/K56</f>
        <v>360.56338028169012</v>
      </c>
      <c r="L111" s="202" t="s">
        <v>114</v>
      </c>
      <c r="M111" s="204">
        <f>1280000/M56</f>
        <v>330.57851239669424</v>
      </c>
      <c r="N111" s="202" t="s">
        <v>114</v>
      </c>
      <c r="O111" s="204">
        <f>1280000/O56</f>
        <v>259.10931174089069</v>
      </c>
      <c r="P111" s="202" t="s">
        <v>114</v>
      </c>
      <c r="Q111" s="204">
        <f>1280000/Q56</f>
        <v>266.66666666666669</v>
      </c>
      <c r="R111" s="202" t="s">
        <v>114</v>
      </c>
      <c r="S111" s="204">
        <f>1280000/S56</f>
        <v>533.33333333333337</v>
      </c>
    </row>
    <row r="112" spans="2:19" s="65" customFormat="1" ht="18" hidden="1" customHeight="1" x14ac:dyDescent="0.45">
      <c r="B112" s="199"/>
      <c r="C112" s="200" t="s">
        <v>120</v>
      </c>
      <c r="D112" s="201"/>
      <c r="E112" s="201"/>
      <c r="F112" s="202" t="s">
        <v>114</v>
      </c>
      <c r="G112" s="204">
        <f>225000/G56</f>
        <v>58.109504132231407</v>
      </c>
      <c r="H112" s="202" t="s">
        <v>114</v>
      </c>
      <c r="I112" s="204">
        <f>225000/I56</f>
        <v>56.25</v>
      </c>
      <c r="J112" s="202" t="s">
        <v>114</v>
      </c>
      <c r="K112" s="204">
        <f>225000/K56</f>
        <v>63.380281690140848</v>
      </c>
      <c r="L112" s="202" t="s">
        <v>114</v>
      </c>
      <c r="M112" s="204">
        <f>225000/M56</f>
        <v>58.109504132231407</v>
      </c>
      <c r="N112" s="202" t="s">
        <v>114</v>
      </c>
      <c r="O112" s="204">
        <f>225000/O56</f>
        <v>45.546558704453439</v>
      </c>
      <c r="P112" s="202" t="s">
        <v>114</v>
      </c>
      <c r="Q112" s="204">
        <f>225000/Q56</f>
        <v>46.875</v>
      </c>
      <c r="R112" s="202" t="s">
        <v>114</v>
      </c>
      <c r="S112" s="204">
        <f>225000/S56</f>
        <v>93.75</v>
      </c>
    </row>
    <row r="113" spans="2:19" s="4" customFormat="1" ht="18" hidden="1" customHeight="1" thickBot="1" x14ac:dyDescent="0.5">
      <c r="B113" s="205"/>
      <c r="C113" s="206" t="s">
        <v>121</v>
      </c>
      <c r="D113" s="207"/>
      <c r="E113" s="207"/>
      <c r="F113" s="208" t="s">
        <v>114</v>
      </c>
      <c r="G113" s="209">
        <f>(175*G69)/G56</f>
        <v>643.09788223140492</v>
      </c>
      <c r="H113" s="208" t="s">
        <v>114</v>
      </c>
      <c r="I113" s="209">
        <f>(175*I69)/I56</f>
        <v>622.51874999999995</v>
      </c>
      <c r="J113" s="208" t="s">
        <v>114</v>
      </c>
      <c r="K113" s="209">
        <f>(175*K69)/K56</f>
        <v>701.42957746478874</v>
      </c>
      <c r="L113" s="208" t="s">
        <v>114</v>
      </c>
      <c r="M113" s="209">
        <f>(175*M69)/M56</f>
        <v>643.09788223140492</v>
      </c>
      <c r="N113" s="208" t="s">
        <v>114</v>
      </c>
      <c r="O113" s="209">
        <f>(175*O69)/O56</f>
        <v>504.06376518218622</v>
      </c>
      <c r="P113" s="208" t="s">
        <v>114</v>
      </c>
      <c r="Q113" s="209">
        <f>(175*Q69)/Q56</f>
        <v>518.765625</v>
      </c>
      <c r="R113" s="208" t="s">
        <v>114</v>
      </c>
      <c r="S113" s="209">
        <f>(175*S69)/S56</f>
        <v>1037.53125</v>
      </c>
    </row>
    <row r="114" spans="2:19" ht="15" hidden="1" customHeight="1" thickTop="1" x14ac:dyDescent="0.45">
      <c r="B114" s="1187"/>
      <c r="C114" s="161"/>
      <c r="D114" s="162"/>
      <c r="E114" s="210"/>
      <c r="F114" s="164"/>
      <c r="G114" s="165"/>
      <c r="H114" s="164"/>
      <c r="I114" s="165"/>
      <c r="J114" s="164"/>
      <c r="K114" s="165"/>
      <c r="L114" s="164"/>
      <c r="M114" s="165"/>
      <c r="N114" s="164"/>
      <c r="O114" s="165"/>
      <c r="P114" s="164"/>
      <c r="Q114" s="165"/>
      <c r="R114" s="164"/>
      <c r="S114" s="165"/>
    </row>
    <row r="115" spans="2:19" ht="15" hidden="1" customHeight="1" x14ac:dyDescent="0.45">
      <c r="B115" s="1187"/>
      <c r="C115" s="211" t="s">
        <v>122</v>
      </c>
      <c r="D115" s="212"/>
      <c r="E115" s="213" t="s">
        <v>123</v>
      </c>
      <c r="F115" s="214"/>
      <c r="G115" s="215">
        <v>33580560</v>
      </c>
      <c r="H115" s="214"/>
      <c r="I115" s="215">
        <v>8114880</v>
      </c>
      <c r="J115" s="214"/>
      <c r="K115" s="215">
        <v>11492280</v>
      </c>
      <c r="L115" s="214"/>
      <c r="M115" s="215">
        <v>429560</v>
      </c>
      <c r="N115" s="214"/>
      <c r="O115" s="215">
        <v>154272</v>
      </c>
      <c r="P115" s="214"/>
      <c r="Q115" s="215">
        <v>291156</v>
      </c>
      <c r="R115" s="214"/>
      <c r="S115" s="215">
        <v>271128</v>
      </c>
    </row>
    <row r="116" spans="2:19" hidden="1" x14ac:dyDescent="0.45">
      <c r="B116" s="1187"/>
      <c r="C116" s="216" t="s">
        <v>124</v>
      </c>
      <c r="D116" s="217"/>
      <c r="E116" s="218" t="s">
        <v>123</v>
      </c>
      <c r="F116" s="219"/>
      <c r="G116" s="220">
        <v>44498720</v>
      </c>
      <c r="H116" s="219"/>
      <c r="I116" s="220">
        <v>12851920</v>
      </c>
      <c r="J116" s="219"/>
      <c r="K116" s="220">
        <v>33398120</v>
      </c>
      <c r="L116" s="219"/>
      <c r="M116" s="220">
        <v>426920</v>
      </c>
      <c r="N116" s="219"/>
      <c r="O116" s="220">
        <v>192132</v>
      </c>
      <c r="P116" s="219"/>
      <c r="Q116" s="220">
        <v>413556</v>
      </c>
      <c r="R116" s="219"/>
      <c r="S116" s="220">
        <v>293304</v>
      </c>
    </row>
    <row r="117" spans="2:19" hidden="1" x14ac:dyDescent="0.45">
      <c r="B117" s="1187"/>
      <c r="C117" s="216"/>
      <c r="D117" s="217"/>
      <c r="E117" s="218" t="s">
        <v>125</v>
      </c>
      <c r="F117" s="219"/>
      <c r="G117" s="221">
        <f>G116/G9</f>
        <v>1112468</v>
      </c>
      <c r="H117" s="219"/>
      <c r="I117" s="221">
        <f>I116/I9</f>
        <v>321298</v>
      </c>
      <c r="J117" s="219"/>
      <c r="K117" s="221">
        <f>K116/K9</f>
        <v>834953</v>
      </c>
      <c r="L117" s="219"/>
      <c r="M117" s="221">
        <f>M116/M9</f>
        <v>10673</v>
      </c>
      <c r="N117" s="219"/>
      <c r="O117" s="221">
        <f>O116/O9</f>
        <v>16011</v>
      </c>
      <c r="P117" s="219"/>
      <c r="Q117" s="221">
        <f>Q116/Q9</f>
        <v>34463</v>
      </c>
      <c r="R117" s="219"/>
      <c r="S117" s="221">
        <f>S116/S9</f>
        <v>12221</v>
      </c>
    </row>
    <row r="118" spans="2:19" hidden="1" x14ac:dyDescent="0.45">
      <c r="B118" s="1187"/>
      <c r="C118" s="216"/>
      <c r="D118" s="217"/>
      <c r="E118" s="218" t="s">
        <v>126</v>
      </c>
      <c r="F118" s="222"/>
      <c r="G118" s="220">
        <f>G117/G56</f>
        <v>287.31095041322317</v>
      </c>
      <c r="H118" s="222"/>
      <c r="I118" s="220">
        <f>I117/I56</f>
        <v>80.3245</v>
      </c>
      <c r="J118" s="222"/>
      <c r="K118" s="220">
        <f>K117/K56</f>
        <v>235.19802816901409</v>
      </c>
      <c r="L118" s="222"/>
      <c r="M118" s="220">
        <f>M117/M56</f>
        <v>2.7564566115702478</v>
      </c>
      <c r="N118" s="222"/>
      <c r="O118" s="220">
        <f>O117/O56</f>
        <v>3.2410931174089068</v>
      </c>
      <c r="P118" s="222"/>
      <c r="Q118" s="220">
        <f>Q117/Q56</f>
        <v>7.1797916666666666</v>
      </c>
      <c r="R118" s="222"/>
      <c r="S118" s="220">
        <f>S117/S56</f>
        <v>5.0920833333333331</v>
      </c>
    </row>
    <row r="119" spans="2:19" hidden="1" x14ac:dyDescent="0.45">
      <c r="B119" s="1187"/>
      <c r="C119" s="223"/>
      <c r="D119" s="175"/>
      <c r="E119" s="176"/>
      <c r="F119" s="177"/>
      <c r="G119" s="178"/>
      <c r="H119" s="177"/>
      <c r="I119" s="178"/>
      <c r="J119" s="177"/>
      <c r="K119" s="178"/>
      <c r="L119" s="177"/>
      <c r="M119" s="178"/>
      <c r="N119" s="177"/>
      <c r="O119" s="178"/>
      <c r="P119" s="177"/>
      <c r="Q119" s="178"/>
      <c r="R119" s="177"/>
      <c r="S119" s="178"/>
    </row>
    <row r="120" spans="2:19" hidden="1" x14ac:dyDescent="0.45">
      <c r="B120" s="1187"/>
      <c r="C120" s="161" t="s">
        <v>127</v>
      </c>
      <c r="D120" s="162"/>
      <c r="E120" s="179" t="s">
        <v>128</v>
      </c>
      <c r="F120" s="180"/>
      <c r="G120" s="224">
        <f>G54</f>
        <v>1150</v>
      </c>
      <c r="H120" s="180"/>
      <c r="I120" s="224">
        <f>I54</f>
        <v>1150</v>
      </c>
      <c r="J120" s="180"/>
      <c r="K120" s="224">
        <f>K54</f>
        <v>1150</v>
      </c>
      <c r="L120" s="180"/>
      <c r="M120" s="224">
        <f>M54</f>
        <v>1150</v>
      </c>
      <c r="N120" s="180"/>
      <c r="O120" s="224">
        <f>O54</f>
        <v>1150</v>
      </c>
      <c r="P120" s="180"/>
      <c r="Q120" s="224">
        <f>Q54</f>
        <v>1150</v>
      </c>
      <c r="R120" s="180"/>
      <c r="S120" s="224">
        <f>S54</f>
        <v>1150</v>
      </c>
    </row>
    <row r="121" spans="2:19" hidden="1" x14ac:dyDescent="0.45">
      <c r="B121" s="1187"/>
      <c r="C121" s="225" t="s">
        <v>144</v>
      </c>
      <c r="D121" s="162"/>
      <c r="E121" s="179" t="s">
        <v>128</v>
      </c>
      <c r="F121" s="180"/>
      <c r="G121" s="224">
        <v>1150</v>
      </c>
      <c r="H121" s="180"/>
      <c r="I121" s="224">
        <v>1150</v>
      </c>
      <c r="J121" s="180"/>
      <c r="K121" s="224">
        <v>1150</v>
      </c>
      <c r="L121" s="180"/>
      <c r="M121" s="224">
        <v>1150</v>
      </c>
      <c r="N121" s="180"/>
      <c r="O121" s="224">
        <v>1150</v>
      </c>
      <c r="P121" s="180"/>
      <c r="Q121" s="224">
        <v>1150</v>
      </c>
      <c r="R121" s="180"/>
      <c r="S121" s="224">
        <v>1150</v>
      </c>
    </row>
    <row r="122" spans="2:19" hidden="1" x14ac:dyDescent="0.45">
      <c r="B122" s="1187"/>
      <c r="C122" s="225" t="s">
        <v>130</v>
      </c>
      <c r="D122" s="162"/>
      <c r="E122" s="179"/>
      <c r="F122" s="180"/>
      <c r="G122" s="224">
        <v>750</v>
      </c>
      <c r="H122" s="180"/>
      <c r="I122" s="224">
        <v>750</v>
      </c>
      <c r="J122" s="180"/>
      <c r="K122" s="224">
        <v>750</v>
      </c>
      <c r="L122" s="180"/>
      <c r="M122" s="224">
        <v>750</v>
      </c>
      <c r="N122" s="180"/>
      <c r="O122" s="224">
        <v>750</v>
      </c>
      <c r="P122" s="180"/>
      <c r="Q122" s="224">
        <v>750</v>
      </c>
      <c r="R122" s="180"/>
      <c r="S122" s="224">
        <v>750</v>
      </c>
    </row>
    <row r="123" spans="2:19" hidden="1" x14ac:dyDescent="0.45">
      <c r="B123" s="1187"/>
      <c r="C123" s="170"/>
      <c r="D123" s="162"/>
      <c r="E123" s="197"/>
      <c r="F123" s="164"/>
      <c r="G123" s="171"/>
      <c r="H123" s="164"/>
      <c r="I123" s="171"/>
      <c r="J123" s="164"/>
      <c r="K123" s="171"/>
      <c r="L123" s="164"/>
      <c r="M123" s="171"/>
      <c r="N123" s="164"/>
      <c r="O123" s="171"/>
      <c r="P123" s="164"/>
      <c r="Q123" s="171"/>
      <c r="R123" s="164"/>
      <c r="S123" s="171"/>
    </row>
    <row r="124" spans="2:19" hidden="1" x14ac:dyDescent="0.45">
      <c r="B124" s="1187"/>
      <c r="C124" s="226" t="s">
        <v>131</v>
      </c>
      <c r="D124" s="227"/>
      <c r="E124" s="228" t="s">
        <v>132</v>
      </c>
      <c r="F124" s="229"/>
      <c r="G124" s="230">
        <f>G121-G120</f>
        <v>0</v>
      </c>
      <c r="H124" s="229"/>
      <c r="I124" s="230">
        <f>I121-I120</f>
        <v>0</v>
      </c>
      <c r="J124" s="229"/>
      <c r="K124" s="230">
        <f>K121-K120</f>
        <v>0</v>
      </c>
      <c r="L124" s="229"/>
      <c r="M124" s="230">
        <f>M121-M120</f>
        <v>0</v>
      </c>
      <c r="N124" s="229"/>
      <c r="O124" s="230">
        <f>O121-O120</f>
        <v>0</v>
      </c>
      <c r="P124" s="229"/>
      <c r="Q124" s="230">
        <f>Q121-Q120</f>
        <v>0</v>
      </c>
      <c r="R124" s="229"/>
      <c r="S124" s="230">
        <f>S121-S120</f>
        <v>0</v>
      </c>
    </row>
    <row r="125" spans="2:19" hidden="1" x14ac:dyDescent="0.45">
      <c r="B125" s="1187"/>
      <c r="C125" s="232"/>
      <c r="D125" s="227"/>
      <c r="E125" s="228" t="s">
        <v>133</v>
      </c>
      <c r="F125" s="229"/>
      <c r="G125" s="230">
        <f>G124*G118</f>
        <v>0</v>
      </c>
      <c r="H125" s="229"/>
      <c r="I125" s="230">
        <f>I124*I118</f>
        <v>0</v>
      </c>
      <c r="J125" s="229"/>
      <c r="K125" s="230">
        <f>K124*K118</f>
        <v>0</v>
      </c>
      <c r="L125" s="229"/>
      <c r="M125" s="230">
        <f>M124*M118</f>
        <v>0</v>
      </c>
      <c r="N125" s="229"/>
      <c r="O125" s="230">
        <f>O124*O118</f>
        <v>0</v>
      </c>
      <c r="P125" s="229"/>
      <c r="Q125" s="230">
        <f>Q124*Q118</f>
        <v>0</v>
      </c>
      <c r="R125" s="229"/>
      <c r="S125" s="230">
        <f>S124*S118</f>
        <v>0</v>
      </c>
    </row>
    <row r="126" spans="2:19" hidden="1" x14ac:dyDescent="0.45">
      <c r="B126" s="1187"/>
      <c r="C126" s="233"/>
      <c r="D126" s="234"/>
      <c r="E126" s="234"/>
      <c r="F126" s="235"/>
      <c r="G126" s="236"/>
      <c r="H126" s="235"/>
      <c r="I126" s="236"/>
      <c r="J126" s="235"/>
      <c r="K126" s="236"/>
      <c r="L126" s="235"/>
      <c r="M126" s="236"/>
      <c r="N126" s="235"/>
      <c r="O126" s="236"/>
      <c r="P126" s="235"/>
      <c r="Q126" s="236"/>
      <c r="R126" s="235"/>
      <c r="S126" s="236"/>
    </row>
    <row r="127" spans="2:19" hidden="1" x14ac:dyDescent="0.45">
      <c r="B127" s="1189"/>
      <c r="C127" s="238" t="s">
        <v>134</v>
      </c>
      <c r="D127" s="239"/>
      <c r="E127" s="240"/>
      <c r="F127" s="241"/>
      <c r="G127" s="242">
        <f>G88*G117</f>
        <v>1040167.0807061906</v>
      </c>
      <c r="H127" s="241"/>
      <c r="I127" s="242">
        <f>I88*I117</f>
        <v>160044.83037370868</v>
      </c>
      <c r="J127" s="241"/>
      <c r="K127" s="242">
        <f>K88*K117</f>
        <v>81696.106987761916</v>
      </c>
      <c r="L127" s="241"/>
      <c r="M127" s="242">
        <f>M88*M117</f>
        <v>11580.296149621536</v>
      </c>
      <c r="N127" s="241"/>
      <c r="O127" s="242">
        <f>O88*O117</f>
        <v>14787.56422420084</v>
      </c>
      <c r="P127" s="241"/>
      <c r="Q127" s="242">
        <f>Q88*Q117</f>
        <v>19444.754416816013</v>
      </c>
      <c r="R127" s="241"/>
      <c r="S127" s="242">
        <f>S88*S117</f>
        <v>3467.2599853292531</v>
      </c>
    </row>
    <row r="128" spans="2:19" ht="14.65" thickTop="1" x14ac:dyDescent="0.45"/>
  </sheetData>
  <mergeCells count="52">
    <mergeCell ref="R6:S6"/>
    <mergeCell ref="J3:K4"/>
    <mergeCell ref="P3:Q4"/>
    <mergeCell ref="R3:S4"/>
    <mergeCell ref="R5:S5"/>
    <mergeCell ref="P2:Q2"/>
    <mergeCell ref="B5:B12"/>
    <mergeCell ref="F5:G5"/>
    <mergeCell ref="H5:I5"/>
    <mergeCell ref="F3:G4"/>
    <mergeCell ref="H3:I4"/>
    <mergeCell ref="L6:M6"/>
    <mergeCell ref="N6:O6"/>
    <mergeCell ref="P6:Q6"/>
    <mergeCell ref="J6:K6"/>
    <mergeCell ref="N2:O2"/>
    <mergeCell ref="J2:K2"/>
    <mergeCell ref="J5:K5"/>
    <mergeCell ref="L5:M5"/>
    <mergeCell ref="N5:O5"/>
    <mergeCell ref="B90:B103"/>
    <mergeCell ref="B114:B127"/>
    <mergeCell ref="L3:M4"/>
    <mergeCell ref="N3:O4"/>
    <mergeCell ref="D11:E11"/>
    <mergeCell ref="B14:B20"/>
    <mergeCell ref="B21:B26"/>
    <mergeCell ref="B27:B32"/>
    <mergeCell ref="B33:B37"/>
    <mergeCell ref="L8:M8"/>
    <mergeCell ref="N8:O8"/>
    <mergeCell ref="J8:K8"/>
    <mergeCell ref="N7:O7"/>
    <mergeCell ref="J7:K7"/>
    <mergeCell ref="L7:M7"/>
    <mergeCell ref="B61:B80"/>
    <mergeCell ref="R2:S2"/>
    <mergeCell ref="R7:S7"/>
    <mergeCell ref="B38:B60"/>
    <mergeCell ref="P8:Q8"/>
    <mergeCell ref="R8:S8"/>
    <mergeCell ref="F8:G8"/>
    <mergeCell ref="H8:I8"/>
    <mergeCell ref="L2:M2"/>
    <mergeCell ref="F7:G7"/>
    <mergeCell ref="H7:I7"/>
    <mergeCell ref="P5:Q5"/>
    <mergeCell ref="F2:G2"/>
    <mergeCell ref="H2:I2"/>
    <mergeCell ref="P7:Q7"/>
    <mergeCell ref="F6:G6"/>
    <mergeCell ref="H6:I6"/>
  </mergeCells>
  <pageMargins left="0.7" right="0.7" top="0.75" bottom="0.75" header="0.3" footer="0.3"/>
  <pageSetup paperSize="8" scale="50" orientation="landscape" verticalDpi="598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4343-876F-4484-B077-2D4A77EEE82D}">
  <dimension ref="A1:AG53"/>
  <sheetViews>
    <sheetView showGridLines="0" topLeftCell="A6" zoomScale="85" zoomScaleNormal="85" workbookViewId="0">
      <pane xSplit="2" topLeftCell="C1" activePane="topRight" state="frozen"/>
      <selection activeCell="CS62" sqref="CS62"/>
      <selection pane="topRight" activeCell="CS62" sqref="CS62"/>
    </sheetView>
  </sheetViews>
  <sheetFormatPr defaultRowHeight="14.25" outlineLevelRow="1" outlineLevelCol="1" x14ac:dyDescent="0.45"/>
  <cols>
    <col min="1" max="1" width="4.3984375" customWidth="1"/>
    <col min="2" max="2" width="25.59765625" customWidth="1"/>
    <col min="3" max="5" width="16.1328125" customWidth="1"/>
    <col min="6" max="6" width="16.1328125" hidden="1" customWidth="1" outlineLevel="1"/>
    <col min="7" max="7" width="16.265625" customWidth="1" collapsed="1"/>
    <col min="8" max="8" width="17" hidden="1" customWidth="1" outlineLevel="1"/>
    <col min="9" max="9" width="16.1328125" customWidth="1" collapsed="1"/>
    <col min="10" max="10" width="16.1328125" customWidth="1"/>
    <col min="11" max="11" width="15.86328125" customWidth="1"/>
    <col min="12" max="12" width="19" hidden="1" customWidth="1" outlineLevel="1"/>
    <col min="13" max="13" width="15.3984375" customWidth="1" collapsed="1"/>
    <col min="14" max="14" width="15.265625" hidden="1" customWidth="1" outlineLevel="1"/>
    <col min="15" max="15" width="17" bestFit="1" customWidth="1" collapsed="1"/>
    <col min="16" max="17" width="15" customWidth="1"/>
    <col min="18" max="19" width="15.1328125" hidden="1" customWidth="1" outlineLevel="1"/>
    <col min="20" max="20" width="15" hidden="1" customWidth="1" outlineLevel="1"/>
    <col min="21" max="21" width="15" customWidth="1" collapsed="1"/>
    <col min="22" max="22" width="16" bestFit="1" customWidth="1"/>
    <col min="23" max="30" width="18" customWidth="1"/>
    <col min="31" max="33" width="15" bestFit="1" customWidth="1"/>
  </cols>
  <sheetData>
    <row r="1" spans="1:33" hidden="1" outlineLevel="1" x14ac:dyDescent="0.45">
      <c r="C1" t="s">
        <v>145</v>
      </c>
      <c r="D1" s="1018" t="e">
        <f>G12/E12-1</f>
        <v>#REF!</v>
      </c>
      <c r="E1" s="934" t="e">
        <f>G12-E12</f>
        <v>#REF!</v>
      </c>
      <c r="I1" t="s">
        <v>145</v>
      </c>
      <c r="J1" s="1018" t="e">
        <f>M12/K12-1</f>
        <v>#REF!</v>
      </c>
      <c r="K1" s="934" t="e">
        <f>M12-K12</f>
        <v>#REF!</v>
      </c>
      <c r="O1" t="s">
        <v>145</v>
      </c>
      <c r="P1" s="1018" t="e">
        <f>T12/Q12-1</f>
        <v>#REF!</v>
      </c>
      <c r="Q1" s="934" t="e">
        <f>T12-Q12</f>
        <v>#REF!</v>
      </c>
    </row>
    <row r="2" spans="1:33" hidden="1" outlineLevel="1" x14ac:dyDescent="0.45">
      <c r="C2" s="1017" t="s">
        <v>146</v>
      </c>
      <c r="D2" s="984" t="e">
        <f>G13/E13-1</f>
        <v>#REF!</v>
      </c>
      <c r="E2" s="934" t="e">
        <f>G13-E13</f>
        <v>#REF!</v>
      </c>
      <c r="I2" s="1017" t="s">
        <v>146</v>
      </c>
      <c r="J2" s="984" t="e">
        <f>M13/K13-1</f>
        <v>#REF!</v>
      </c>
      <c r="K2" s="934" t="e">
        <f>M13-K13</f>
        <v>#REF!</v>
      </c>
      <c r="O2" s="1017" t="s">
        <v>146</v>
      </c>
      <c r="P2" s="984" t="e">
        <f>T13/Q13-1</f>
        <v>#REF!</v>
      </c>
      <c r="Q2" s="934" t="e">
        <f>T13-Q13</f>
        <v>#REF!</v>
      </c>
    </row>
    <row r="3" spans="1:33" hidden="1" outlineLevel="1" x14ac:dyDescent="0.45">
      <c r="C3" t="s">
        <v>147</v>
      </c>
      <c r="D3" s="1018" t="e">
        <f>G19/E19-1</f>
        <v>#REF!</v>
      </c>
      <c r="E3" s="934" t="e">
        <f>G19-E19</f>
        <v>#REF!</v>
      </c>
      <c r="I3" t="s">
        <v>147</v>
      </c>
      <c r="J3" s="1018" t="e">
        <f>M19/K19-1</f>
        <v>#REF!</v>
      </c>
      <c r="K3" s="934" t="e">
        <f>M19-K19</f>
        <v>#REF!</v>
      </c>
      <c r="O3" t="s">
        <v>147</v>
      </c>
      <c r="P3" s="1018" t="e">
        <f>T19/Q19-1</f>
        <v>#REF!</v>
      </c>
      <c r="Q3" s="934" t="e">
        <f>T19-Q19</f>
        <v>#REF!</v>
      </c>
    </row>
    <row r="4" spans="1:33" hidden="1" outlineLevel="1" x14ac:dyDescent="0.45">
      <c r="C4" s="1017" t="s">
        <v>148</v>
      </c>
      <c r="D4" s="984" t="e">
        <f>G14/E14-1</f>
        <v>#REF!</v>
      </c>
      <c r="E4" s="934" t="e">
        <f>G14-E14</f>
        <v>#REF!</v>
      </c>
      <c r="I4" s="1017" t="s">
        <v>148</v>
      </c>
      <c r="J4" s="984" t="e">
        <f>M14/K14-1</f>
        <v>#REF!</v>
      </c>
      <c r="K4" s="934" t="e">
        <f>M14-K14</f>
        <v>#REF!</v>
      </c>
      <c r="O4" s="1017" t="s">
        <v>148</v>
      </c>
      <c r="P4" s="984" t="e">
        <f>T14/Q14-1</f>
        <v>#REF!</v>
      </c>
      <c r="Q4" s="934" t="e">
        <f>T14-Q14</f>
        <v>#REF!</v>
      </c>
    </row>
    <row r="5" spans="1:33" hidden="1" outlineLevel="1" x14ac:dyDescent="0.45">
      <c r="C5" t="s">
        <v>149</v>
      </c>
      <c r="D5" s="1018" t="e">
        <f>G31/E31-1</f>
        <v>#REF!</v>
      </c>
      <c r="E5" s="934" t="e">
        <f>G31-E31</f>
        <v>#REF!</v>
      </c>
      <c r="I5" t="s">
        <v>149</v>
      </c>
      <c r="J5" s="1018" t="e">
        <f>M31/K31-1</f>
        <v>#REF!</v>
      </c>
      <c r="K5" s="934" t="e">
        <f>M31-K31</f>
        <v>#REF!</v>
      </c>
      <c r="O5" t="s">
        <v>149</v>
      </c>
      <c r="P5" s="1018" t="e">
        <f>T31/Q31-1</f>
        <v>#REF!</v>
      </c>
      <c r="Q5" s="934" t="e">
        <f>T31-Q31</f>
        <v>#REF!</v>
      </c>
    </row>
    <row r="6" spans="1:33" collapsed="1" x14ac:dyDescent="0.45">
      <c r="D6" s="1018"/>
      <c r="E6" s="934"/>
      <c r="J6" s="1018"/>
      <c r="K6" s="934"/>
      <c r="P6" s="1018"/>
      <c r="Q6" s="934"/>
    </row>
    <row r="7" spans="1:33" x14ac:dyDescent="0.45">
      <c r="D7" s="1018"/>
      <c r="E7" s="934"/>
      <c r="J7" s="1018"/>
      <c r="K7" s="934"/>
      <c r="P7" s="1018"/>
      <c r="Q7" s="934"/>
    </row>
    <row r="8" spans="1:33" ht="14.65" thickBot="1" x14ac:dyDescent="0.5">
      <c r="C8" s="340">
        <v>1</v>
      </c>
      <c r="D8" s="340">
        <v>2</v>
      </c>
      <c r="E8" s="340">
        <v>3</v>
      </c>
      <c r="F8" s="340">
        <v>4</v>
      </c>
      <c r="G8" s="340">
        <v>5</v>
      </c>
      <c r="H8" s="340">
        <v>6</v>
      </c>
      <c r="I8" s="340">
        <v>7</v>
      </c>
      <c r="J8" s="340">
        <v>8</v>
      </c>
      <c r="K8" s="340">
        <v>9</v>
      </c>
      <c r="L8" s="340">
        <v>10</v>
      </c>
      <c r="M8" s="340">
        <v>11</v>
      </c>
      <c r="N8" s="340">
        <v>12</v>
      </c>
      <c r="O8" s="340">
        <v>13</v>
      </c>
      <c r="P8" s="340">
        <v>14</v>
      </c>
      <c r="Q8" s="340">
        <v>15</v>
      </c>
      <c r="R8" s="340">
        <v>16</v>
      </c>
      <c r="S8" s="340">
        <v>17</v>
      </c>
      <c r="T8" s="340">
        <v>18</v>
      </c>
      <c r="U8" s="340">
        <v>19</v>
      </c>
      <c r="V8" s="340">
        <v>20</v>
      </c>
      <c r="W8" s="340">
        <v>21</v>
      </c>
      <c r="X8" s="340">
        <v>22</v>
      </c>
      <c r="Y8" s="340">
        <v>23</v>
      </c>
      <c r="Z8" s="340">
        <v>24</v>
      </c>
      <c r="AA8" s="340">
        <v>25</v>
      </c>
      <c r="AB8" s="340">
        <v>26</v>
      </c>
      <c r="AC8" s="340">
        <v>27</v>
      </c>
      <c r="AD8" s="340">
        <v>28</v>
      </c>
      <c r="AE8" s="340">
        <v>29</v>
      </c>
      <c r="AF8" s="340">
        <v>30</v>
      </c>
      <c r="AG8" s="340">
        <v>31</v>
      </c>
    </row>
    <row r="9" spans="1:33" ht="29.25" thickTop="1" thickBot="1" x14ac:dyDescent="0.5">
      <c r="E9" s="738"/>
      <c r="F9" s="978" t="s">
        <v>10</v>
      </c>
      <c r="G9" s="978" t="s">
        <v>150</v>
      </c>
      <c r="H9" s="978" t="s">
        <v>151</v>
      </c>
      <c r="I9" s="979"/>
      <c r="J9" s="979"/>
      <c r="K9" s="980"/>
      <c r="L9" s="981" t="str">
        <f>F9</f>
        <v>Scenario 3</v>
      </c>
      <c r="M9" s="981" t="str">
        <f>G9</f>
        <v>Scenario +15%, 1100</v>
      </c>
      <c r="N9" s="981" t="str">
        <f>H9</f>
        <v>Scenario +15%, 1200</v>
      </c>
      <c r="O9" s="979"/>
      <c r="P9" s="979"/>
      <c r="Q9" s="980"/>
      <c r="R9" s="982" t="str">
        <f>L9</f>
        <v>Scenario 3</v>
      </c>
      <c r="S9" s="982" t="s">
        <v>152</v>
      </c>
      <c r="T9" s="982" t="str">
        <f>M9</f>
        <v>Scenario +15%, 1100</v>
      </c>
      <c r="U9" s="982" t="str">
        <f>N9</f>
        <v>Scenario +15%, 1200</v>
      </c>
      <c r="X9" s="943" t="s">
        <v>153</v>
      </c>
      <c r="AA9" s="943" t="s">
        <v>153</v>
      </c>
      <c r="AD9" s="943" t="s">
        <v>153</v>
      </c>
      <c r="AG9" s="943" t="s">
        <v>153</v>
      </c>
    </row>
    <row r="10" spans="1:33" ht="27" customHeight="1" thickTop="1" x14ac:dyDescent="0.45">
      <c r="B10" s="569"/>
      <c r="C10" s="573" t="s">
        <v>2</v>
      </c>
      <c r="D10" s="564" t="s">
        <v>2</v>
      </c>
      <c r="E10" s="574" t="s">
        <v>2</v>
      </c>
      <c r="F10" s="574" t="s">
        <v>2</v>
      </c>
      <c r="G10" s="574" t="s">
        <v>2</v>
      </c>
      <c r="H10" s="574" t="s">
        <v>2</v>
      </c>
      <c r="I10" s="576" t="s">
        <v>3</v>
      </c>
      <c r="J10" s="565" t="s">
        <v>3</v>
      </c>
      <c r="K10" s="577" t="s">
        <v>3</v>
      </c>
      <c r="L10" s="577" t="s">
        <v>3</v>
      </c>
      <c r="M10" s="577" t="s">
        <v>3</v>
      </c>
      <c r="N10" s="577" t="s">
        <v>3</v>
      </c>
      <c r="O10" s="578" t="s">
        <v>4</v>
      </c>
      <c r="P10" s="566" t="s">
        <v>4</v>
      </c>
      <c r="Q10" s="579" t="s">
        <v>4</v>
      </c>
      <c r="R10" s="579" t="s">
        <v>4</v>
      </c>
      <c r="S10" s="579" t="s">
        <v>4</v>
      </c>
      <c r="T10" s="579" t="s">
        <v>4</v>
      </c>
      <c r="U10" s="579" t="s">
        <v>4</v>
      </c>
      <c r="V10" s="580" t="s">
        <v>135</v>
      </c>
      <c r="W10" s="936" t="s">
        <v>135</v>
      </c>
      <c r="X10" s="581" t="s">
        <v>135</v>
      </c>
      <c r="Y10" s="580" t="s">
        <v>137</v>
      </c>
      <c r="Z10" s="936" t="s">
        <v>137</v>
      </c>
      <c r="AA10" s="581" t="s">
        <v>137</v>
      </c>
      <c r="AB10" s="580" t="s">
        <v>154</v>
      </c>
      <c r="AC10" s="936" t="s">
        <v>154</v>
      </c>
      <c r="AD10" s="581" t="s">
        <v>154</v>
      </c>
      <c r="AE10" s="580" t="s">
        <v>138</v>
      </c>
      <c r="AF10" s="936" t="s">
        <v>138</v>
      </c>
      <c r="AG10" s="581" t="s">
        <v>138</v>
      </c>
    </row>
    <row r="11" spans="1:33" ht="14.65" thickBot="1" x14ac:dyDescent="0.5">
      <c r="B11" s="570"/>
      <c r="C11" s="575">
        <v>2020</v>
      </c>
      <c r="D11" s="567">
        <v>2021</v>
      </c>
      <c r="E11" s="568">
        <v>2022</v>
      </c>
      <c r="F11" s="568">
        <v>2022</v>
      </c>
      <c r="G11" s="568">
        <v>2022</v>
      </c>
      <c r="H11" s="568">
        <v>2022</v>
      </c>
      <c r="I11" s="575">
        <v>2020</v>
      </c>
      <c r="J11" s="567">
        <v>2021</v>
      </c>
      <c r="K11" s="568">
        <v>2022</v>
      </c>
      <c r="L11" s="568">
        <v>2022</v>
      </c>
      <c r="M11" s="568">
        <v>2022</v>
      </c>
      <c r="N11" s="568">
        <v>2022</v>
      </c>
      <c r="O11" s="575">
        <v>2020</v>
      </c>
      <c r="P11" s="567">
        <v>2021</v>
      </c>
      <c r="Q11" s="568">
        <v>2022</v>
      </c>
      <c r="R11" s="568">
        <v>2022</v>
      </c>
      <c r="S11" s="568">
        <v>2022</v>
      </c>
      <c r="T11" s="568">
        <v>2022</v>
      </c>
      <c r="U11" s="568">
        <v>2022</v>
      </c>
      <c r="V11" s="937">
        <v>2021</v>
      </c>
      <c r="W11" s="944">
        <v>2022</v>
      </c>
      <c r="X11" s="938">
        <v>2022</v>
      </c>
      <c r="Y11" s="937">
        <v>2021</v>
      </c>
      <c r="Z11" s="944">
        <v>2022</v>
      </c>
      <c r="AA11" s="938">
        <v>2022</v>
      </c>
      <c r="AB11" s="937">
        <v>2021</v>
      </c>
      <c r="AC11" s="944">
        <v>2022</v>
      </c>
      <c r="AD11" s="938">
        <v>2022</v>
      </c>
      <c r="AE11" s="937">
        <v>2021</v>
      </c>
      <c r="AF11" s="944">
        <v>2022</v>
      </c>
      <c r="AG11" s="938">
        <v>2022</v>
      </c>
    </row>
    <row r="12" spans="1:33" ht="14.65" thickTop="1" x14ac:dyDescent="0.45">
      <c r="A12">
        <v>5</v>
      </c>
      <c r="B12" s="571" t="s">
        <v>12</v>
      </c>
      <c r="C12" s="986">
        <f>'Pricing Structure - All SKU'!G60</f>
        <v>5.6</v>
      </c>
      <c r="D12" s="987">
        <f>'Pricing Structure - All SKU'!I60</f>
        <v>5.6</v>
      </c>
      <c r="E12" s="988">
        <f>'Pricing Structure - All SKU'!K60</f>
        <v>6.0429664428105285</v>
      </c>
      <c r="F12" s="989" t="e">
        <f>'Pricing Structure - GSS'!#REF!</f>
        <v>#REF!</v>
      </c>
      <c r="G12" s="989" t="e">
        <f>'Pricing Structure - GSS'!#REF!</f>
        <v>#REF!</v>
      </c>
      <c r="H12" s="989" t="e">
        <f>'Pricing Structure - GSS'!#REF!</f>
        <v>#REF!</v>
      </c>
      <c r="I12" s="986">
        <f>'Pricing Structure - All SKU'!T60</f>
        <v>5.6</v>
      </c>
      <c r="J12" s="987">
        <f>'Pricing Structure - All SKU'!V60</f>
        <v>5.6</v>
      </c>
      <c r="K12" s="988">
        <f>'Pricing Structure - All SKU'!X60</f>
        <v>6.0375315815732744</v>
      </c>
      <c r="L12" s="989" t="e">
        <f>'Pricing Structure - IIP'!#REF!</f>
        <v>#REF!</v>
      </c>
      <c r="M12" s="989" t="e">
        <f>'Pricing Structure - IIP'!#REF!</f>
        <v>#REF!</v>
      </c>
      <c r="N12" s="989" t="e">
        <f>'Pricing Structure - IIP'!#REF!</f>
        <v>#REF!</v>
      </c>
      <c r="O12" s="986">
        <f>'Pricing Structure - All SKU'!AI60</f>
        <v>5.6</v>
      </c>
      <c r="P12" s="987">
        <f>'Pricing Structure - All SKU'!AK60</f>
        <v>5.6</v>
      </c>
      <c r="Q12" s="988">
        <f>'Pricing Structure - All SKU'!AM60</f>
        <v>6.0445945366753771</v>
      </c>
      <c r="R12" s="989" t="e">
        <f>'Pricing Structure - IHAG'!#REF!</f>
        <v>#REF!</v>
      </c>
      <c r="S12" s="989" t="e">
        <f>'Pricing Structure - IHAG'!#REF!</f>
        <v>#REF!</v>
      </c>
      <c r="T12" s="989" t="e">
        <f>'Pricing Structure - IHAG'!#REF!</f>
        <v>#REF!</v>
      </c>
      <c r="U12" s="989" t="e">
        <f>'Pricing Structure - IHAG'!#REF!</f>
        <v>#REF!</v>
      </c>
      <c r="V12" s="990">
        <f>'Pricing Structure - All SKU'!AZ60</f>
        <v>5.6</v>
      </c>
      <c r="W12" s="991">
        <f>'Pricing Structure - All SKU'!BB60</f>
        <v>6.0499173553719015</v>
      </c>
      <c r="X12" s="992">
        <f>'Pricing Structure - All SKU'!BH60</f>
        <v>6.0522123553719016</v>
      </c>
      <c r="Y12" s="990">
        <f>'Pricing Structure - All SKU'!BT60</f>
        <v>4.38</v>
      </c>
      <c r="Z12" s="991">
        <f>'Pricing Structure - All SKU'!BV60</f>
        <v>4.38</v>
      </c>
      <c r="AA12" s="992">
        <f>'Pricing Structure - All SKU'!BZ60</f>
        <v>4.5522524999999998</v>
      </c>
      <c r="AB12" s="990">
        <f>'Pricing Structure - All SKU'!BL60</f>
        <v>4.7229149797570855</v>
      </c>
      <c r="AC12" s="991">
        <f>'Pricing Structure - All SKU'!BN60</f>
        <v>4.7229149797570855</v>
      </c>
      <c r="AD12" s="992">
        <f>'Pricing Structure - All SKU'!BR60</f>
        <v>5.05014875</v>
      </c>
      <c r="AE12" s="990">
        <f>'Pricing Structure - All SKU'!CB60</f>
        <v>6.55</v>
      </c>
      <c r="AF12" s="991">
        <f>'Pricing Structure - All SKU'!CD60</f>
        <v>6.55</v>
      </c>
      <c r="AG12" s="992">
        <f>'Pricing Structure - All SKU'!CH60</f>
        <v>6.5520187500000002</v>
      </c>
    </row>
    <row r="13" spans="1:33" x14ac:dyDescent="0.45">
      <c r="A13">
        <v>6</v>
      </c>
      <c r="B13" s="572" t="s">
        <v>155</v>
      </c>
      <c r="C13" s="990">
        <f>'Pricing Structure - All SKU'!G67</f>
        <v>5.4398760330578506</v>
      </c>
      <c r="D13" s="991">
        <f>'Pricing Structure - All SKU'!I67</f>
        <v>5.3029958677685949</v>
      </c>
      <c r="E13" s="992">
        <f>'Pricing Structure - All SKU'!K67</f>
        <v>5.7331825803018024</v>
      </c>
      <c r="F13" s="993" t="e">
        <f>'Pricing Structure - GSS'!#REF!</f>
        <v>#REF!</v>
      </c>
      <c r="G13" s="993" t="e">
        <f>'Pricing Structure - GSS'!#REF!</f>
        <v>#REF!</v>
      </c>
      <c r="H13" s="993" t="e">
        <f>'Pricing Structure - GSS'!#REF!</f>
        <v>#REF!</v>
      </c>
      <c r="I13" s="990">
        <f>'Pricing Structure - All SKU'!T67</f>
        <v>5.4375</v>
      </c>
      <c r="J13" s="991">
        <f>'Pricing Structure - All SKU'!V67</f>
        <v>5.3125</v>
      </c>
      <c r="K13" s="992">
        <f>'Pricing Structure - All SKU'!X67</f>
        <v>5.7281472905877777</v>
      </c>
      <c r="L13" s="993" t="e">
        <f>'Pricing Structure - IIP'!#REF!</f>
        <v>#REF!</v>
      </c>
      <c r="M13" s="993" t="e">
        <f>'Pricing Structure - IIP'!#REF!</f>
        <v>#REF!</v>
      </c>
      <c r="N13" s="993" t="e">
        <f>'Pricing Structure - IIP'!#REF!</f>
        <v>#REF!</v>
      </c>
      <c r="O13" s="990">
        <f>'Pricing Structure - All SKU'!AI67</f>
        <v>5.3971830985915492</v>
      </c>
      <c r="P13" s="991">
        <f>'Pricing Structure - All SKU'!AK67</f>
        <v>5.2760563380281686</v>
      </c>
      <c r="Q13" s="992">
        <f>'Pricing Structure - All SKU'!AM67</f>
        <v>5.7048347794898051</v>
      </c>
      <c r="R13" s="993" t="e">
        <f>'Pricing Structure - IHAG'!#REF!</f>
        <v>#REF!</v>
      </c>
      <c r="S13" s="993" t="e">
        <f>'Pricing Structure - IHAG'!#REF!</f>
        <v>#REF!</v>
      </c>
      <c r="T13" s="993" t="e">
        <f>'Pricing Structure - IHAG'!#REF!</f>
        <v>#REF!</v>
      </c>
      <c r="U13" s="993" t="e">
        <f>'Pricing Structure - IHAG'!#REF!</f>
        <v>#REF!</v>
      </c>
      <c r="V13" s="990">
        <f>'Pricing Structure - All SKU'!AZ67</f>
        <v>5.3029958677685949</v>
      </c>
      <c r="W13" s="991">
        <f>'Pricing Structure - All SKU'!BB67</f>
        <v>5.74</v>
      </c>
      <c r="X13" s="992">
        <f>'Pricing Structure - All SKU'!BH67</f>
        <v>5.74</v>
      </c>
      <c r="Y13" s="990">
        <f>'Pricing Structure - All SKU'!BT67</f>
        <v>4.13</v>
      </c>
      <c r="Z13" s="991">
        <f>'Pricing Structure - All SKU'!BV67</f>
        <v>4.13</v>
      </c>
      <c r="AA13" s="992">
        <f>'Pricing Structure - All SKU'!BZ67</f>
        <v>4.3</v>
      </c>
      <c r="AB13" s="990">
        <f>'Pricing Structure - All SKU'!BL67</f>
        <v>4.4800000000000004</v>
      </c>
      <c r="AC13" s="991">
        <f>'Pricing Structure - All SKU'!BN67</f>
        <v>4.4800000000000004</v>
      </c>
      <c r="AD13" s="992">
        <f>'Pricing Structure - All SKU'!BR67</f>
        <v>4.8</v>
      </c>
      <c r="AE13" s="990">
        <f>'Pricing Structure - All SKU'!CB67</f>
        <v>6.05</v>
      </c>
      <c r="AF13" s="991">
        <f>'Pricing Structure - All SKU'!CD67</f>
        <v>6.05</v>
      </c>
      <c r="AG13" s="992">
        <f>'Pricing Structure - All SKU'!CH67</f>
        <v>6.05</v>
      </c>
    </row>
    <row r="14" spans="1:33" x14ac:dyDescent="0.45">
      <c r="A14">
        <v>7</v>
      </c>
      <c r="B14" s="572" t="s">
        <v>79</v>
      </c>
      <c r="C14" s="990">
        <f>'Pricing Structure - All SKU'!G74</f>
        <v>3.2951822005833655</v>
      </c>
      <c r="D14" s="991">
        <f>'Pricing Structure - All SKU'!I74</f>
        <v>3.5328331199917153</v>
      </c>
      <c r="E14" s="992">
        <f>'Pricing Structure - All SKU'!K74</f>
        <v>3.8637980914371459</v>
      </c>
      <c r="F14" s="993" t="e">
        <f>'Pricing Structure - GSS'!#REF!</f>
        <v>#REF!</v>
      </c>
      <c r="G14" s="993" t="e">
        <f>'Pricing Structure - GSS'!#REF!</f>
        <v>#REF!</v>
      </c>
      <c r="H14" s="993" t="e">
        <f>'Pricing Structure - GSS'!#REF!</f>
        <v>#REF!</v>
      </c>
      <c r="I14" s="990">
        <f>'Pricing Structure - All SKU'!T74</f>
        <v>3.7</v>
      </c>
      <c r="J14" s="991">
        <f>'Pricing Structure - All SKU'!V74</f>
        <v>3.9789362578498215</v>
      </c>
      <c r="K14" s="992">
        <f>'Pricing Structure - All SKU'!X74</f>
        <v>4.2894638153851465</v>
      </c>
      <c r="L14" s="993" t="e">
        <f>'Pricing Structure - IIP'!#REF!</f>
        <v>#REF!</v>
      </c>
      <c r="M14" s="993" t="e">
        <f>'Pricing Structure - IIP'!#REF!</f>
        <v>#REF!</v>
      </c>
      <c r="N14" s="993" t="e">
        <f>'Pricing Structure - IIP'!#REF!</f>
        <v>#REF!</v>
      </c>
      <c r="O14" s="990">
        <f>'Pricing Structure - All SKU'!AI74</f>
        <v>4.4243786073045168</v>
      </c>
      <c r="P14" s="991">
        <f>'Pricing Structure - All SKU'!AK74</f>
        <v>4.6419622608338678</v>
      </c>
      <c r="Q14" s="992">
        <f>'Pricing Structure - All SKU'!AM74</f>
        <v>5.0750327761335168</v>
      </c>
      <c r="R14" s="993" t="e">
        <f>'Pricing Structure - IHAG'!#REF!</f>
        <v>#REF!</v>
      </c>
      <c r="S14" s="993" t="e">
        <f>'Pricing Structure - IHAG'!#REF!</f>
        <v>#REF!</v>
      </c>
      <c r="T14" s="993" t="e">
        <f>'Pricing Structure - IHAG'!#REF!</f>
        <v>#REF!</v>
      </c>
      <c r="U14" s="993" t="e">
        <f>'Pricing Structure - IHAG'!#REF!</f>
        <v>#REF!</v>
      </c>
      <c r="V14" s="990">
        <f>'Pricing Structure - All SKU'!AZ74</f>
        <v>3.6780718455339394</v>
      </c>
      <c r="W14" s="991">
        <f>'Pricing Structure - All SKU'!BB74</f>
        <v>3.8793986956299698</v>
      </c>
      <c r="X14" s="992">
        <f>'Pricing Structure - All SKU'!BH74</f>
        <v>4.0540540540540544</v>
      </c>
      <c r="Y14" s="990">
        <f>'Pricing Structure - All SKU'!BT74</f>
        <v>2.7993673271680408</v>
      </c>
      <c r="Z14" s="991">
        <f>'Pricing Structure - All SKU'!BV74</f>
        <v>2.8488108224378426</v>
      </c>
      <c r="AA14" s="992">
        <f>'Pricing Structure - All SKU'!BZ74</f>
        <v>3</v>
      </c>
      <c r="AB14" s="990">
        <f>'Pricing Structure - All SKU'!BL74</f>
        <v>2.5589374277120687</v>
      </c>
      <c r="AC14" s="991">
        <f>'Pricing Structure - All SKU'!BN74</f>
        <v>2.6298188999574554</v>
      </c>
      <c r="AD14" s="992">
        <f>'Pricing Structure - All SKU'!BR74</f>
        <v>2.8378378378378377</v>
      </c>
      <c r="AE14" s="990">
        <f>'Pricing Structure - All SKU'!CB74</f>
        <v>4.2400614119853959</v>
      </c>
      <c r="AF14" s="991">
        <f>'Pricing Structure - All SKU'!CD74</f>
        <v>3.940935632656354</v>
      </c>
      <c r="AG14" s="992">
        <f>'Pricing Structure - All SKU'!CH74</f>
        <v>4.2162162162162158</v>
      </c>
    </row>
    <row r="15" spans="1:33" x14ac:dyDescent="0.45">
      <c r="A15">
        <v>8</v>
      </c>
      <c r="B15" s="572" t="s">
        <v>156</v>
      </c>
      <c r="C15" s="990">
        <f t="shared" ref="C15:AG15" si="0">C13-C14</f>
        <v>2.1446938324744851</v>
      </c>
      <c r="D15" s="991">
        <f t="shared" si="0"/>
        <v>1.7701627477768795</v>
      </c>
      <c r="E15" s="992">
        <f t="shared" si="0"/>
        <v>1.8693844888646565</v>
      </c>
      <c r="F15" s="993" t="e">
        <f t="shared" si="0"/>
        <v>#REF!</v>
      </c>
      <c r="G15" s="993" t="e">
        <f t="shared" si="0"/>
        <v>#REF!</v>
      </c>
      <c r="H15" s="993" t="e">
        <f t="shared" si="0"/>
        <v>#REF!</v>
      </c>
      <c r="I15" s="990">
        <f t="shared" si="0"/>
        <v>1.7374999999999998</v>
      </c>
      <c r="J15" s="991">
        <f t="shared" si="0"/>
        <v>1.3335637421501785</v>
      </c>
      <c r="K15" s="992">
        <f t="shared" si="0"/>
        <v>1.4386834752026312</v>
      </c>
      <c r="L15" s="993" t="e">
        <f t="shared" si="0"/>
        <v>#REF!</v>
      </c>
      <c r="M15" s="993" t="e">
        <f t="shared" si="0"/>
        <v>#REF!</v>
      </c>
      <c r="N15" s="993" t="e">
        <f t="shared" si="0"/>
        <v>#REF!</v>
      </c>
      <c r="O15" s="990">
        <f t="shared" si="0"/>
        <v>0.97280449128703239</v>
      </c>
      <c r="P15" s="991">
        <f t="shared" si="0"/>
        <v>0.63409407719430089</v>
      </c>
      <c r="Q15" s="992">
        <f t="shared" si="0"/>
        <v>0.62980200335628833</v>
      </c>
      <c r="R15" s="993" t="e">
        <f t="shared" si="0"/>
        <v>#REF!</v>
      </c>
      <c r="S15" s="993" t="e">
        <f t="shared" si="0"/>
        <v>#REF!</v>
      </c>
      <c r="T15" s="993" t="e">
        <f t="shared" si="0"/>
        <v>#REF!</v>
      </c>
      <c r="U15" s="993" t="e">
        <f t="shared" si="0"/>
        <v>#REF!</v>
      </c>
      <c r="V15" s="990">
        <f t="shared" si="0"/>
        <v>1.6249240222346555</v>
      </c>
      <c r="W15" s="991">
        <f t="shared" si="0"/>
        <v>1.8606013043700305</v>
      </c>
      <c r="X15" s="992">
        <f t="shared" si="0"/>
        <v>1.6859459459459458</v>
      </c>
      <c r="Y15" s="990">
        <f t="shared" si="0"/>
        <v>1.3306326728319591</v>
      </c>
      <c r="Z15" s="991">
        <f t="shared" si="0"/>
        <v>1.2811891775621573</v>
      </c>
      <c r="AA15" s="992">
        <f t="shared" si="0"/>
        <v>1.2999999999999998</v>
      </c>
      <c r="AB15" s="990">
        <f t="shared" si="0"/>
        <v>1.9210625722879318</v>
      </c>
      <c r="AC15" s="991">
        <f t="shared" si="0"/>
        <v>1.850181100042545</v>
      </c>
      <c r="AD15" s="992">
        <f t="shared" si="0"/>
        <v>1.9621621621621621</v>
      </c>
      <c r="AE15" s="990">
        <f t="shared" si="0"/>
        <v>1.8099385880146039</v>
      </c>
      <c r="AF15" s="991">
        <f t="shared" si="0"/>
        <v>2.1090643673436458</v>
      </c>
      <c r="AG15" s="992">
        <f t="shared" si="0"/>
        <v>1.833783783783784</v>
      </c>
    </row>
    <row r="16" spans="1:33" s="984" customFormat="1" x14ac:dyDescent="0.45">
      <c r="A16">
        <v>9</v>
      </c>
      <c r="B16" s="1003" t="s">
        <v>157</v>
      </c>
      <c r="C16" s="1004">
        <f t="shared" ref="C16:AG16" si="1">C15/C$13</f>
        <v>0.39425417407332253</v>
      </c>
      <c r="D16" s="983">
        <f t="shared" si="1"/>
        <v>0.33380428571250842</v>
      </c>
      <c r="E16" s="1005">
        <f t="shared" si="1"/>
        <v>0.32606400767481741</v>
      </c>
      <c r="F16" s="983" t="e">
        <f t="shared" si="1"/>
        <v>#REF!</v>
      </c>
      <c r="G16" s="983" t="e">
        <f t="shared" si="1"/>
        <v>#REF!</v>
      </c>
      <c r="H16" s="983" t="e">
        <f t="shared" si="1"/>
        <v>#REF!</v>
      </c>
      <c r="I16" s="1004">
        <f t="shared" si="1"/>
        <v>0.31954022988505743</v>
      </c>
      <c r="J16" s="983">
        <f t="shared" si="1"/>
        <v>0.25102376322826891</v>
      </c>
      <c r="K16" s="1005">
        <f t="shared" si="1"/>
        <v>0.25116034944956955</v>
      </c>
      <c r="L16" s="983" t="e">
        <f t="shared" si="1"/>
        <v>#REF!</v>
      </c>
      <c r="M16" s="983" t="e">
        <f t="shared" si="1"/>
        <v>#REF!</v>
      </c>
      <c r="N16" s="983" t="e">
        <f t="shared" si="1"/>
        <v>#REF!</v>
      </c>
      <c r="O16" s="1004">
        <f t="shared" si="1"/>
        <v>0.18024300334389171</v>
      </c>
      <c r="P16" s="983">
        <f t="shared" si="1"/>
        <v>0.12018334084568971</v>
      </c>
      <c r="Q16" s="1005">
        <f t="shared" si="1"/>
        <v>0.11039793923928727</v>
      </c>
      <c r="R16" s="983" t="e">
        <f t="shared" si="1"/>
        <v>#REF!</v>
      </c>
      <c r="S16" s="983" t="e">
        <f t="shared" si="1"/>
        <v>#REF!</v>
      </c>
      <c r="T16" s="983" t="e">
        <f t="shared" si="1"/>
        <v>#REF!</v>
      </c>
      <c r="U16" s="983" t="e">
        <f t="shared" si="1"/>
        <v>#REF!</v>
      </c>
      <c r="V16" s="1004">
        <f t="shared" si="1"/>
        <v>0.30641623390862538</v>
      </c>
      <c r="W16" s="983">
        <f t="shared" si="1"/>
        <v>0.32414656870558023</v>
      </c>
      <c r="X16" s="1005">
        <f t="shared" si="1"/>
        <v>0.29371880591392785</v>
      </c>
      <c r="Y16" s="1004">
        <f t="shared" si="1"/>
        <v>0.32218708785277461</v>
      </c>
      <c r="Z16" s="983">
        <f t="shared" si="1"/>
        <v>0.31021529723054658</v>
      </c>
      <c r="AA16" s="1005">
        <f t="shared" si="1"/>
        <v>0.30232558139534882</v>
      </c>
      <c r="AB16" s="1004">
        <f t="shared" si="1"/>
        <v>0.42880860988569902</v>
      </c>
      <c r="AC16" s="983">
        <f t="shared" si="1"/>
        <v>0.41298685268806806</v>
      </c>
      <c r="AD16" s="1005">
        <f t="shared" si="1"/>
        <v>0.40878378378378377</v>
      </c>
      <c r="AE16" s="1004">
        <f t="shared" si="1"/>
        <v>0.29916340297762051</v>
      </c>
      <c r="AF16" s="983">
        <f t="shared" si="1"/>
        <v>0.34860568055266872</v>
      </c>
      <c r="AG16" s="1005">
        <f t="shared" si="1"/>
        <v>0.30310475765021222</v>
      </c>
    </row>
    <row r="17" spans="1:33" x14ac:dyDescent="0.45">
      <c r="A17">
        <v>10</v>
      </c>
      <c r="B17" s="572" t="s">
        <v>158</v>
      </c>
      <c r="C17" s="990">
        <f>'Pricing Structure - All SKU'!G57</f>
        <v>0.5</v>
      </c>
      <c r="D17" s="991">
        <f>'Pricing Structure - All SKU'!I57</f>
        <v>0.4233405501967577</v>
      </c>
      <c r="E17" s="992">
        <f>'Pricing Structure - All SKU'!K57</f>
        <v>0.79380234572890851</v>
      </c>
      <c r="F17" s="993" t="e">
        <f>'Pricing Structure - GSS'!#REF!</f>
        <v>#REF!</v>
      </c>
      <c r="G17" s="993" t="e">
        <f>'Pricing Structure - GSS'!#REF!</f>
        <v>#REF!</v>
      </c>
      <c r="H17" s="993" t="e">
        <f>'Pricing Structure - GSS'!#REF!</f>
        <v>#REF!</v>
      </c>
      <c r="I17" s="990">
        <f>'Pricing Structure - All SKU'!T57</f>
        <v>0.5</v>
      </c>
      <c r="J17" s="991">
        <f>'Pricing Structure - All SKU'!V57</f>
        <v>0.4</v>
      </c>
      <c r="K17" s="992">
        <f>'Pricing Structure - All SKU'!X57</f>
        <v>0.78897422380258353</v>
      </c>
      <c r="L17" s="993" t="e">
        <f>'Pricing Structure - IIP'!#REF!</f>
        <v>#REF!</v>
      </c>
      <c r="M17" s="993" t="e">
        <f>'Pricing Structure - IIP'!#REF!</f>
        <v>#REF!</v>
      </c>
      <c r="N17" s="993" t="e">
        <f>'Pricing Structure - IIP'!#REF!</f>
        <v>#REF!</v>
      </c>
      <c r="O17" s="990">
        <f>'Pricing Structure - All SKU'!AI57</f>
        <v>0.5</v>
      </c>
      <c r="P17" s="991">
        <f>'Pricing Structure - All SKU'!AK57</f>
        <v>0.41917048281140379</v>
      </c>
      <c r="Q17" s="992">
        <f>'Pricing Structure - All SKU'!AM57</f>
        <v>0.64699696481965441</v>
      </c>
      <c r="R17" s="993" t="e">
        <f>'Pricing Structure - IHAG'!#REF!</f>
        <v>#REF!</v>
      </c>
      <c r="S17" s="993" t="e">
        <f>'Pricing Structure - IHAG'!#REF!</f>
        <v>#REF!</v>
      </c>
      <c r="T17" s="993" t="e">
        <f>'Pricing Structure - IHAG'!#REF!</f>
        <v>#REF!</v>
      </c>
      <c r="U17" s="993" t="e">
        <f>'Pricing Structure - IHAG'!#REF!</f>
        <v>#REF!</v>
      </c>
      <c r="V17" s="990">
        <f>'Pricing Structure - All SKU'!AZ57</f>
        <v>0.4</v>
      </c>
      <c r="W17" s="991">
        <f>'Pricing Structure - All SKU'!BB57</f>
        <v>0.8</v>
      </c>
      <c r="X17" s="992">
        <f>'Pricing Structure - All SKU'!BH57</f>
        <v>0.8</v>
      </c>
      <c r="Y17" s="990">
        <f>'Pricing Structure - All SKU'!BT57</f>
        <v>1.03</v>
      </c>
      <c r="Z17" s="991">
        <f>'Pricing Structure - All SKU'!BV57</f>
        <v>1.03</v>
      </c>
      <c r="AA17" s="992">
        <f>'Pricing Structure - All SKU'!BZ57</f>
        <v>0.9</v>
      </c>
      <c r="AB17" s="990">
        <f>'Pricing Structure - All SKU'!BL57</f>
        <v>1.02</v>
      </c>
      <c r="AC17" s="991">
        <f>'Pricing Structure - All SKU'!BN57</f>
        <v>1.02</v>
      </c>
      <c r="AD17" s="992">
        <f>'Pricing Structure - All SKU'!BR57</f>
        <v>1</v>
      </c>
      <c r="AE17" s="990">
        <f>'Pricing Structure - All SKU'!CB57</f>
        <v>1.8</v>
      </c>
      <c r="AF17" s="991">
        <f>'Pricing Structure - All SKU'!CD57</f>
        <v>1.8</v>
      </c>
      <c r="AG17" s="992">
        <f>'Pricing Structure - All SKU'!CH57</f>
        <v>1.45</v>
      </c>
    </row>
    <row r="18" spans="1:33" s="984" customFormat="1" x14ac:dyDescent="0.45">
      <c r="A18">
        <v>11</v>
      </c>
      <c r="B18" s="1006" t="s">
        <v>159</v>
      </c>
      <c r="C18" s="1004">
        <f>C17/C$13</f>
        <v>9.1913859242660198E-2</v>
      </c>
      <c r="D18" s="983">
        <f>D17/D13</f>
        <v>7.9830450702367189E-2</v>
      </c>
      <c r="E18" s="1005">
        <f>E17/E13</f>
        <v>0.13845753813183492</v>
      </c>
      <c r="F18" s="983" t="e">
        <f>F17/F$13</f>
        <v>#REF!</v>
      </c>
      <c r="G18" s="983" t="e">
        <f>G17/G$13</f>
        <v>#REF!</v>
      </c>
      <c r="H18" s="983" t="e">
        <f>H17/H$13</f>
        <v>#REF!</v>
      </c>
      <c r="I18" s="1004">
        <f>I17/I13</f>
        <v>9.1954022988505746E-2</v>
      </c>
      <c r="J18" s="983">
        <f>J17/J13</f>
        <v>7.5294117647058831E-2</v>
      </c>
      <c r="K18" s="1005">
        <f>K17/K13</f>
        <v>0.13773637160116131</v>
      </c>
      <c r="L18" s="983" t="e">
        <f>L17/L$13</f>
        <v>#REF!</v>
      </c>
      <c r="M18" s="983" t="e">
        <f>M17/M$13</f>
        <v>#REF!</v>
      </c>
      <c r="N18" s="983" t="e">
        <f>N17/N$13</f>
        <v>#REF!</v>
      </c>
      <c r="O18" s="1004">
        <f>O17/O13</f>
        <v>9.2640918580375778E-2</v>
      </c>
      <c r="P18" s="983">
        <f>P17/P13</f>
        <v>7.9447688947169443E-2</v>
      </c>
      <c r="Q18" s="1005">
        <f>Q17/Q13</f>
        <v>0.11341204256182098</v>
      </c>
      <c r="R18" s="983" t="e">
        <f>R17/R$13</f>
        <v>#REF!</v>
      </c>
      <c r="S18" s="983" t="e">
        <f>S17/S$13</f>
        <v>#REF!</v>
      </c>
      <c r="T18" s="983" t="e">
        <f>T17/T$13</f>
        <v>#REF!</v>
      </c>
      <c r="U18" s="983" t="e">
        <f>U17/U$13</f>
        <v>#REF!</v>
      </c>
      <c r="V18" s="1004">
        <f t="shared" ref="V18:AG18" si="2">V17/V13</f>
        <v>7.5429061227670319E-2</v>
      </c>
      <c r="W18" s="983">
        <f t="shared" si="2"/>
        <v>0.13937282229965156</v>
      </c>
      <c r="X18" s="1005">
        <f t="shared" si="2"/>
        <v>0.13937282229965156</v>
      </c>
      <c r="Y18" s="1004">
        <f t="shared" si="2"/>
        <v>0.2493946731234867</v>
      </c>
      <c r="Z18" s="983">
        <f t="shared" si="2"/>
        <v>0.2493946731234867</v>
      </c>
      <c r="AA18" s="1005">
        <f t="shared" si="2"/>
        <v>0.20930232558139536</v>
      </c>
      <c r="AB18" s="1004">
        <f t="shared" si="2"/>
        <v>0.22767857142857142</v>
      </c>
      <c r="AC18" s="983">
        <f t="shared" si="2"/>
        <v>0.22767857142857142</v>
      </c>
      <c r="AD18" s="1005">
        <f t="shared" si="2"/>
        <v>0.20833333333333334</v>
      </c>
      <c r="AE18" s="1004">
        <f t="shared" si="2"/>
        <v>0.2975206611570248</v>
      </c>
      <c r="AF18" s="983">
        <f t="shared" si="2"/>
        <v>0.2975206611570248</v>
      </c>
      <c r="AG18" s="1005">
        <f t="shared" si="2"/>
        <v>0.23966942148760331</v>
      </c>
    </row>
    <row r="19" spans="1:33" x14ac:dyDescent="0.45">
      <c r="A19">
        <v>12</v>
      </c>
      <c r="B19" s="948" t="s">
        <v>160</v>
      </c>
      <c r="C19" s="945">
        <f t="shared" ref="C19:AG19" si="3">C12-C17</f>
        <v>5.0999999999999996</v>
      </c>
      <c r="D19" s="946">
        <f t="shared" si="3"/>
        <v>5.1766594498032417</v>
      </c>
      <c r="E19" s="947">
        <f t="shared" si="3"/>
        <v>5.2491640970816196</v>
      </c>
      <c r="F19" s="946" t="e">
        <f t="shared" si="3"/>
        <v>#REF!</v>
      </c>
      <c r="G19" s="946" t="e">
        <f t="shared" si="3"/>
        <v>#REF!</v>
      </c>
      <c r="H19" s="946" t="e">
        <f t="shared" si="3"/>
        <v>#REF!</v>
      </c>
      <c r="I19" s="945">
        <f t="shared" si="3"/>
        <v>5.0999999999999996</v>
      </c>
      <c r="J19" s="946">
        <f t="shared" si="3"/>
        <v>5.1999999999999993</v>
      </c>
      <c r="K19" s="947">
        <f t="shared" si="3"/>
        <v>5.2485573577706912</v>
      </c>
      <c r="L19" s="946" t="e">
        <f t="shared" si="3"/>
        <v>#REF!</v>
      </c>
      <c r="M19" s="946" t="e">
        <f t="shared" si="3"/>
        <v>#REF!</v>
      </c>
      <c r="N19" s="946" t="e">
        <f t="shared" si="3"/>
        <v>#REF!</v>
      </c>
      <c r="O19" s="945">
        <f t="shared" si="3"/>
        <v>5.0999999999999996</v>
      </c>
      <c r="P19" s="946">
        <f t="shared" si="3"/>
        <v>5.1808295171885961</v>
      </c>
      <c r="Q19" s="947">
        <f t="shared" si="3"/>
        <v>5.397597571855723</v>
      </c>
      <c r="R19" s="946" t="e">
        <f t="shared" si="3"/>
        <v>#REF!</v>
      </c>
      <c r="S19" s="946" t="e">
        <f t="shared" si="3"/>
        <v>#REF!</v>
      </c>
      <c r="T19" s="946" t="e">
        <f t="shared" si="3"/>
        <v>#REF!</v>
      </c>
      <c r="U19" s="946" t="e">
        <f t="shared" si="3"/>
        <v>#REF!</v>
      </c>
      <c r="V19" s="945">
        <f t="shared" si="3"/>
        <v>5.1999999999999993</v>
      </c>
      <c r="W19" s="946">
        <f t="shared" si="3"/>
        <v>5.2499173553719016</v>
      </c>
      <c r="X19" s="947">
        <f t="shared" si="3"/>
        <v>5.2522123553719018</v>
      </c>
      <c r="Y19" s="945">
        <f t="shared" si="3"/>
        <v>3.3499999999999996</v>
      </c>
      <c r="Z19" s="946">
        <f t="shared" si="3"/>
        <v>3.3499999999999996</v>
      </c>
      <c r="AA19" s="947">
        <f t="shared" si="3"/>
        <v>3.6522524999999999</v>
      </c>
      <c r="AB19" s="945">
        <f t="shared" si="3"/>
        <v>3.7029149797570855</v>
      </c>
      <c r="AC19" s="946">
        <f t="shared" si="3"/>
        <v>3.7029149797570855</v>
      </c>
      <c r="AD19" s="947">
        <f t="shared" si="3"/>
        <v>4.05014875</v>
      </c>
      <c r="AE19" s="945">
        <f t="shared" si="3"/>
        <v>4.75</v>
      </c>
      <c r="AF19" s="946">
        <f t="shared" si="3"/>
        <v>4.75</v>
      </c>
      <c r="AG19" s="947">
        <f t="shared" si="3"/>
        <v>5.10201875</v>
      </c>
    </row>
    <row r="20" spans="1:33" x14ac:dyDescent="0.45">
      <c r="A20">
        <v>13</v>
      </c>
      <c r="B20" s="1000" t="s">
        <v>161</v>
      </c>
      <c r="C20" s="990">
        <f>'Pricing Structure - All SKU'!G92</f>
        <v>1.0331207698739986</v>
      </c>
      <c r="D20" s="991">
        <f>'Pricing Structure - All SKU'!I92</f>
        <v>0.82389228695456818</v>
      </c>
      <c r="E20" s="992">
        <f>'Pricing Structure - All SKU'!K92</f>
        <v>0.88511290471026527</v>
      </c>
      <c r="F20" s="993" t="e">
        <f>'Pricing Structure - GSS'!#REF!</f>
        <v>#REF!</v>
      </c>
      <c r="G20" s="993" t="e">
        <f>'Pricing Structure - GSS'!#REF!</f>
        <v>#REF!</v>
      </c>
      <c r="H20" s="993" t="e">
        <f>'Pricing Structure - GSS'!#REF!</f>
        <v>#REF!</v>
      </c>
      <c r="I20" s="990">
        <f>'Pricing Structure - All SKU'!T92</f>
        <v>0.9</v>
      </c>
      <c r="J20" s="991">
        <f>'Pricing Structure - All SKU'!V92</f>
        <v>0.55000000000000004</v>
      </c>
      <c r="K20" s="992">
        <f>'Pricing Structure - All SKU'!X92</f>
        <v>0.39456601511220452</v>
      </c>
      <c r="L20" s="993" t="e">
        <f>'Pricing Structure - IIP'!#REF!</f>
        <v>#REF!</v>
      </c>
      <c r="M20" s="993" t="e">
        <f>'Pricing Structure - IIP'!#REF!</f>
        <v>#REF!</v>
      </c>
      <c r="N20" s="993" t="e">
        <f>'Pricing Structure - IIP'!#REF!</f>
        <v>#REF!</v>
      </c>
      <c r="O20" s="990">
        <f>'Pricing Structure - All SKU'!AI92</f>
        <v>0</v>
      </c>
      <c r="P20" s="991">
        <f>'Pricing Structure - All SKU'!AK92</f>
        <v>0</v>
      </c>
      <c r="Q20" s="992">
        <f>'Pricing Structure - All SKU'!AM92</f>
        <v>0</v>
      </c>
      <c r="R20" s="993" t="e">
        <f>'Pricing Structure - IHAG'!#REF!</f>
        <v>#REF!</v>
      </c>
      <c r="S20" s="993" t="e">
        <f>'Pricing Structure - IHAG'!#REF!</f>
        <v>#REF!</v>
      </c>
      <c r="T20" s="993" t="e">
        <f>'Pricing Structure - IHAG'!#REF!</f>
        <v>#REF!</v>
      </c>
      <c r="U20" s="993" t="e">
        <f>'Pricing Structure - IHAG'!#REF!</f>
        <v>#REF!</v>
      </c>
      <c r="V20" s="990">
        <v>0</v>
      </c>
      <c r="W20" s="991">
        <v>0</v>
      </c>
      <c r="X20" s="992">
        <v>0</v>
      </c>
      <c r="Y20" s="990">
        <v>0</v>
      </c>
      <c r="Z20" s="991">
        <v>0</v>
      </c>
      <c r="AA20" s="992">
        <v>0</v>
      </c>
      <c r="AB20" s="990">
        <v>0</v>
      </c>
      <c r="AC20" s="991">
        <v>0</v>
      </c>
      <c r="AD20" s="992">
        <v>0</v>
      </c>
      <c r="AE20" s="990">
        <v>0</v>
      </c>
      <c r="AF20" s="991">
        <v>0</v>
      </c>
      <c r="AG20" s="992">
        <v>0</v>
      </c>
    </row>
    <row r="21" spans="1:33" s="984" customFormat="1" x14ac:dyDescent="0.45">
      <c r="A21">
        <v>14</v>
      </c>
      <c r="B21" s="1006" t="s">
        <v>162</v>
      </c>
      <c r="C21" s="1004">
        <f>C20/C$13</f>
        <v>0.18991623404573488</v>
      </c>
      <c r="D21" s="983">
        <f>D20/D15</f>
        <v>0.46543307274389428</v>
      </c>
      <c r="E21" s="1005">
        <f>E20/E15</f>
        <v>0.4734782544642947</v>
      </c>
      <c r="F21" s="983" t="e">
        <f>F20/F$13</f>
        <v>#REF!</v>
      </c>
      <c r="G21" s="983" t="e">
        <f>G20/G$13</f>
        <v>#REF!</v>
      </c>
      <c r="H21" s="983" t="e">
        <f>H20/H$13</f>
        <v>#REF!</v>
      </c>
      <c r="I21" s="1004">
        <f>I20/I15</f>
        <v>0.51798561151079148</v>
      </c>
      <c r="J21" s="983">
        <f>J20/J15</f>
        <v>0.41242872958828697</v>
      </c>
      <c r="K21" s="1005">
        <f>K20/K15</f>
        <v>0.27425491563155119</v>
      </c>
      <c r="L21" s="983" t="e">
        <f>L20/L$13</f>
        <v>#REF!</v>
      </c>
      <c r="M21" s="983" t="e">
        <f>M20/M$13</f>
        <v>#REF!</v>
      </c>
      <c r="N21" s="983" t="e">
        <f>N20/N$13</f>
        <v>#REF!</v>
      </c>
      <c r="O21" s="1004">
        <f>O20/O15</f>
        <v>0</v>
      </c>
      <c r="P21" s="983">
        <f>P20/P15</f>
        <v>0</v>
      </c>
      <c r="Q21" s="1005">
        <f>Q20/Q15</f>
        <v>0</v>
      </c>
      <c r="R21" s="983" t="e">
        <f>R20/R$13</f>
        <v>#REF!</v>
      </c>
      <c r="S21" s="983" t="e">
        <f>S20/S$13</f>
        <v>#REF!</v>
      </c>
      <c r="T21" s="983" t="e">
        <f>T20/T$13</f>
        <v>#REF!</v>
      </c>
      <c r="U21" s="983" t="e">
        <f>U20/U$13</f>
        <v>#REF!</v>
      </c>
      <c r="V21" s="1004">
        <f t="shared" ref="V21:AG21" si="4">V20/V15</f>
        <v>0</v>
      </c>
      <c r="W21" s="983">
        <f t="shared" si="4"/>
        <v>0</v>
      </c>
      <c r="X21" s="1005">
        <f t="shared" si="4"/>
        <v>0</v>
      </c>
      <c r="Y21" s="1004">
        <f t="shared" si="4"/>
        <v>0</v>
      </c>
      <c r="Z21" s="983">
        <f t="shared" si="4"/>
        <v>0</v>
      </c>
      <c r="AA21" s="1005">
        <f t="shared" si="4"/>
        <v>0</v>
      </c>
      <c r="AB21" s="1004">
        <f t="shared" si="4"/>
        <v>0</v>
      </c>
      <c r="AC21" s="983">
        <f t="shared" si="4"/>
        <v>0</v>
      </c>
      <c r="AD21" s="1005">
        <f t="shared" si="4"/>
        <v>0</v>
      </c>
      <c r="AE21" s="1004">
        <f t="shared" si="4"/>
        <v>0</v>
      </c>
      <c r="AF21" s="983">
        <f t="shared" si="4"/>
        <v>0</v>
      </c>
      <c r="AG21" s="1005">
        <f t="shared" si="4"/>
        <v>0</v>
      </c>
    </row>
    <row r="22" spans="1:33" x14ac:dyDescent="0.45">
      <c r="A22">
        <v>15</v>
      </c>
      <c r="B22" s="1000" t="s">
        <v>78</v>
      </c>
      <c r="C22" s="990">
        <f>'Pricing Structure - All SKU'!G72</f>
        <v>0.11589149097772992</v>
      </c>
      <c r="D22" s="991">
        <f>'Pricing Structure - All SKU'!I72</f>
        <v>0.11746356714276762</v>
      </c>
      <c r="E22" s="992">
        <f>'Pricing Structure - All SKU'!K72</f>
        <v>0.13716873544496627</v>
      </c>
      <c r="F22" s="993" t="e">
        <f>'Pricing Structure - GSS'!#REF!</f>
        <v>#REF!</v>
      </c>
      <c r="G22" s="993" t="e">
        <f>'Pricing Structure - GSS'!#REF!</f>
        <v>#REF!</v>
      </c>
      <c r="H22" s="993" t="e">
        <f>'Pricing Structure - GSS'!#REF!</f>
        <v>#REF!</v>
      </c>
      <c r="I22" s="990">
        <f>'Pricing Structure - All SKU'!T72</f>
        <v>0.11234677646396847</v>
      </c>
      <c r="J22" s="991">
        <f>'Pricing Structure - All SKU'!V72</f>
        <v>0.11387218896785366</v>
      </c>
      <c r="K22" s="992">
        <f>'Pricing Structure - All SKU'!X72</f>
        <v>0.10059002119906213</v>
      </c>
      <c r="L22" s="993" t="e">
        <f>'Pricing Structure - IIP'!#REF!</f>
        <v>#REF!</v>
      </c>
      <c r="M22" s="993" t="e">
        <f>'Pricing Structure - IIP'!#REF!</f>
        <v>#REF!</v>
      </c>
      <c r="N22" s="993" t="e">
        <f>'Pricing Structure - IIP'!#REF!</f>
        <v>#REF!</v>
      </c>
      <c r="O22" s="990">
        <f>'Pricing Structure - All SKU'!AI72</f>
        <v>0.12593900922976509</v>
      </c>
      <c r="P22" s="991">
        <f>'Pricing Structure - All SKU'!AK72</f>
        <v>0.12764335387095693</v>
      </c>
      <c r="Q22" s="992">
        <f>'Pricing Structure - All SKU'!AM72</f>
        <v>0.1095151363248206</v>
      </c>
      <c r="R22" s="993" t="e">
        <f>'Pricing Structure - IHAG'!#REF!</f>
        <v>#REF!</v>
      </c>
      <c r="S22" s="993" t="e">
        <f>'Pricing Structure - IHAG'!#REF!</f>
        <v>#REF!</v>
      </c>
      <c r="T22" s="993" t="e">
        <f>'Pricing Structure - IHAG'!#REF!</f>
        <v>#REF!</v>
      </c>
      <c r="U22" s="993" t="e">
        <f>'Pricing Structure - IHAG'!#REF!</f>
        <v>#REF!</v>
      </c>
      <c r="V22" s="990">
        <f>'Pricing Structure - All SKU'!AZ72</f>
        <v>0.11589149097772992</v>
      </c>
      <c r="W22" s="991">
        <f>'Pricing Structure - All SKU'!BB72</f>
        <v>0.11762591747095878</v>
      </c>
      <c r="X22" s="992">
        <f>'Pricing Structure - All SKU'!BH72</f>
        <v>0.11517897029260665</v>
      </c>
      <c r="Y22" s="990">
        <f>'Pricing Structure - All SKU'!BT72</f>
        <v>4.1738561002834872E-2</v>
      </c>
      <c r="Z22" s="991">
        <f>'Pricing Structure - All SKU'!BV72</f>
        <v>3.839133734496946E-2</v>
      </c>
      <c r="AA22" s="992">
        <f>'Pricing Structure - All SKU'!BZ72</f>
        <v>3.839133734496946E-2</v>
      </c>
      <c r="AB22" s="990">
        <f>'Pricing Structure - All SKU'!BL72</f>
        <v>4.0963349019381999E-2</v>
      </c>
      <c r="AC22" s="991">
        <f>'Pricing Structure - All SKU'!BN72</f>
        <v>3.6717557545812539E-2</v>
      </c>
      <c r="AD22" s="992">
        <f>'Pricing Structure - All SKU'!BR72</f>
        <v>3.6717557545812539E-2</v>
      </c>
      <c r="AE22" s="990">
        <f>'Pricing Structure - All SKU'!CB72</f>
        <v>8.2051203600768244E-2</v>
      </c>
      <c r="AF22" s="991">
        <f>'Pricing Structure - All SKU'!CD72</f>
        <v>8.2651303781473659E-2</v>
      </c>
      <c r="AG22" s="992">
        <f>'Pricing Structure - All SKU'!CH72</f>
        <v>8.2651303781473659E-2</v>
      </c>
    </row>
    <row r="23" spans="1:33" x14ac:dyDescent="0.45">
      <c r="A23">
        <v>16</v>
      </c>
      <c r="B23" s="1000" t="s">
        <v>163</v>
      </c>
      <c r="C23" s="990">
        <f t="shared" ref="C23:AG23" si="5">C15-C17-C20-C22</f>
        <v>0.49568157162275656</v>
      </c>
      <c r="D23" s="991">
        <f t="shared" si="5"/>
        <v>0.40546634348278598</v>
      </c>
      <c r="E23" s="992">
        <f t="shared" si="5"/>
        <v>5.3300502980516418E-2</v>
      </c>
      <c r="F23" s="993" t="e">
        <f t="shared" si="5"/>
        <v>#REF!</v>
      </c>
      <c r="G23" s="993" t="e">
        <f t="shared" si="5"/>
        <v>#REF!</v>
      </c>
      <c r="H23" s="993" t="e">
        <f t="shared" si="5"/>
        <v>#REF!</v>
      </c>
      <c r="I23" s="990">
        <f t="shared" si="5"/>
        <v>0.22515322353603134</v>
      </c>
      <c r="J23" s="991">
        <f t="shared" si="5"/>
        <v>0.26969155318232474</v>
      </c>
      <c r="K23" s="992">
        <f t="shared" si="5"/>
        <v>0.154553215088781</v>
      </c>
      <c r="L23" s="993" t="e">
        <f t="shared" si="5"/>
        <v>#REF!</v>
      </c>
      <c r="M23" s="993" t="e">
        <f t="shared" si="5"/>
        <v>#REF!</v>
      </c>
      <c r="N23" s="993" t="e">
        <f t="shared" si="5"/>
        <v>#REF!</v>
      </c>
      <c r="O23" s="990">
        <f t="shared" si="5"/>
        <v>0.3468654820572673</v>
      </c>
      <c r="P23" s="991">
        <f t="shared" si="5"/>
        <v>8.7280240511940166E-2</v>
      </c>
      <c r="Q23" s="992">
        <f t="shared" si="5"/>
        <v>-0.12671009778818668</v>
      </c>
      <c r="R23" s="993" t="e">
        <f t="shared" si="5"/>
        <v>#REF!</v>
      </c>
      <c r="S23" s="993" t="e">
        <f t="shared" si="5"/>
        <v>#REF!</v>
      </c>
      <c r="T23" s="993" t="e">
        <f t="shared" si="5"/>
        <v>#REF!</v>
      </c>
      <c r="U23" s="993" t="e">
        <f t="shared" si="5"/>
        <v>#REF!</v>
      </c>
      <c r="V23" s="990">
        <f t="shared" si="5"/>
        <v>1.1090325312569256</v>
      </c>
      <c r="W23" s="991">
        <f t="shared" si="5"/>
        <v>0.94297538689907168</v>
      </c>
      <c r="X23" s="992">
        <f t="shared" si="5"/>
        <v>0.77076697565333907</v>
      </c>
      <c r="Y23" s="990">
        <f t="shared" si="5"/>
        <v>0.2588941118291242</v>
      </c>
      <c r="Z23" s="991">
        <f t="shared" si="5"/>
        <v>0.21279784021718784</v>
      </c>
      <c r="AA23" s="992">
        <f t="shared" si="5"/>
        <v>0.36160866265503033</v>
      </c>
      <c r="AB23" s="990">
        <f t="shared" si="5"/>
        <v>0.86009922326854971</v>
      </c>
      <c r="AC23" s="991">
        <f t="shared" si="5"/>
        <v>0.79346354249673245</v>
      </c>
      <c r="AD23" s="992">
        <f t="shared" si="5"/>
        <v>0.92544460461634959</v>
      </c>
      <c r="AE23" s="990">
        <f t="shared" si="5"/>
        <v>-7.2112615586164344E-2</v>
      </c>
      <c r="AF23" s="991">
        <f t="shared" si="5"/>
        <v>0.22641306356217206</v>
      </c>
      <c r="AG23" s="992">
        <f t="shared" si="5"/>
        <v>0.30113248000231041</v>
      </c>
    </row>
    <row r="24" spans="1:33" s="984" customFormat="1" x14ac:dyDescent="0.45">
      <c r="A24">
        <v>17</v>
      </c>
      <c r="B24" s="1003" t="s">
        <v>164</v>
      </c>
      <c r="C24" s="1004">
        <f t="shared" ref="C24:AG24" si="6">C23/C$13</f>
        <v>9.1120012406629272E-2</v>
      </c>
      <c r="D24" s="983">
        <f t="shared" si="6"/>
        <v>7.6459864120806659E-2</v>
      </c>
      <c r="E24" s="1005">
        <f t="shared" si="6"/>
        <v>9.296843809518205E-3</v>
      </c>
      <c r="F24" s="983" t="e">
        <f t="shared" si="6"/>
        <v>#REF!</v>
      </c>
      <c r="G24" s="983" t="e">
        <f t="shared" si="6"/>
        <v>#REF!</v>
      </c>
      <c r="H24" s="983" t="e">
        <f t="shared" si="6"/>
        <v>#REF!</v>
      </c>
      <c r="I24" s="1004">
        <f t="shared" si="6"/>
        <v>4.1407489385936802E-2</v>
      </c>
      <c r="J24" s="983">
        <f t="shared" si="6"/>
        <v>5.0765468834319948E-2</v>
      </c>
      <c r="K24" s="1005">
        <f t="shared" si="6"/>
        <v>2.6981361904351794E-2</v>
      </c>
      <c r="L24" s="983" t="e">
        <f t="shared" si="6"/>
        <v>#REF!</v>
      </c>
      <c r="M24" s="983" t="e">
        <f t="shared" si="6"/>
        <v>#REF!</v>
      </c>
      <c r="N24" s="983" t="e">
        <f t="shared" si="6"/>
        <v>#REF!</v>
      </c>
      <c r="O24" s="1004">
        <f t="shared" si="6"/>
        <v>6.4267873763220199E-2</v>
      </c>
      <c r="P24" s="983">
        <f t="shared" si="6"/>
        <v>1.654270442164376E-2</v>
      </c>
      <c r="Q24" s="1005">
        <f t="shared" si="6"/>
        <v>-2.2211002191288458E-2</v>
      </c>
      <c r="R24" s="983" t="e">
        <f t="shared" si="6"/>
        <v>#REF!</v>
      </c>
      <c r="S24" s="983" t="e">
        <f t="shared" si="6"/>
        <v>#REF!</v>
      </c>
      <c r="T24" s="983" t="e">
        <f t="shared" si="6"/>
        <v>#REF!</v>
      </c>
      <c r="U24" s="983" t="e">
        <f t="shared" si="6"/>
        <v>#REF!</v>
      </c>
      <c r="V24" s="1004">
        <f t="shared" si="6"/>
        <v>0.20913320675914207</v>
      </c>
      <c r="W24" s="983">
        <f t="shared" si="6"/>
        <v>0.16428142628903686</v>
      </c>
      <c r="X24" s="1005">
        <f t="shared" si="6"/>
        <v>0.13427996091521585</v>
      </c>
      <c r="Y24" s="1004">
        <f t="shared" si="6"/>
        <v>6.2686225624485281E-2</v>
      </c>
      <c r="Z24" s="983">
        <f t="shared" si="6"/>
        <v>5.1524900778980108E-2</v>
      </c>
      <c r="AA24" s="1005">
        <f t="shared" si="6"/>
        <v>8.4095037826751248E-2</v>
      </c>
      <c r="AB24" s="1004">
        <f t="shared" si="6"/>
        <v>0.19198643376530125</v>
      </c>
      <c r="AC24" s="983">
        <f t="shared" si="6"/>
        <v>0.1771123978787349</v>
      </c>
      <c r="AD24" s="1005">
        <f t="shared" si="6"/>
        <v>0.19280095929507285</v>
      </c>
      <c r="AE24" s="1004">
        <f t="shared" si="6"/>
        <v>-1.1919440592754437E-2</v>
      </c>
      <c r="AF24" s="983">
        <f t="shared" si="6"/>
        <v>3.7423646869780509E-2</v>
      </c>
      <c r="AG24" s="1005">
        <f t="shared" si="6"/>
        <v>4.9773963636745522E-2</v>
      </c>
    </row>
    <row r="25" spans="1:33" x14ac:dyDescent="0.45">
      <c r="A25">
        <v>18</v>
      </c>
      <c r="B25" s="1000" t="s">
        <v>165</v>
      </c>
      <c r="C25" s="996">
        <f>'Pricing Structure - All SKU'!G78</f>
        <v>0</v>
      </c>
      <c r="D25" s="994">
        <f>'Pricing Structure - All SKU'!I78</f>
        <v>0</v>
      </c>
      <c r="E25" s="995">
        <f>'Pricing Structure - All SKU'!K78</f>
        <v>0</v>
      </c>
      <c r="F25" s="1001">
        <v>0</v>
      </c>
      <c r="G25" s="1001">
        <v>0</v>
      </c>
      <c r="H25" s="1001">
        <v>0</v>
      </c>
      <c r="I25" s="996">
        <f>'Pricing Structure - All SKU'!T78</f>
        <v>0</v>
      </c>
      <c r="J25" s="994">
        <f>'Pricing Structure - All SKU'!V78</f>
        <v>0</v>
      </c>
      <c r="K25" s="995">
        <f>'Pricing Structure - All SKU'!X78</f>
        <v>0</v>
      </c>
      <c r="L25" s="1001">
        <v>0</v>
      </c>
      <c r="M25" s="1001">
        <v>0</v>
      </c>
      <c r="N25" s="1001">
        <v>0</v>
      </c>
      <c r="O25" s="996">
        <f>'Pricing Structure - All SKU'!AI78</f>
        <v>0</v>
      </c>
      <c r="P25" s="994">
        <f>'Pricing Structure - All SKU'!AK78</f>
        <v>0</v>
      </c>
      <c r="Q25" s="995">
        <f>'Pricing Structure - All SKU'!AM78</f>
        <v>0</v>
      </c>
      <c r="R25" s="1001">
        <v>0</v>
      </c>
      <c r="S25" s="1001">
        <v>0</v>
      </c>
      <c r="T25" s="1001">
        <v>0</v>
      </c>
      <c r="U25" s="1001">
        <v>0</v>
      </c>
      <c r="V25" s="996">
        <v>0</v>
      </c>
      <c r="W25" s="994">
        <v>0</v>
      </c>
      <c r="X25" s="995">
        <v>0</v>
      </c>
      <c r="Y25" s="996">
        <v>0</v>
      </c>
      <c r="Z25" s="994">
        <v>0</v>
      </c>
      <c r="AA25" s="995">
        <v>0</v>
      </c>
      <c r="AB25" s="996">
        <v>0</v>
      </c>
      <c r="AC25" s="994">
        <v>0</v>
      </c>
      <c r="AD25" s="995">
        <v>0</v>
      </c>
      <c r="AE25" s="996">
        <v>0</v>
      </c>
      <c r="AF25" s="994">
        <v>0</v>
      </c>
      <c r="AG25" s="995">
        <v>0</v>
      </c>
    </row>
    <row r="26" spans="1:33" x14ac:dyDescent="0.45">
      <c r="A26">
        <v>19</v>
      </c>
      <c r="B26" s="1000" t="s">
        <v>166</v>
      </c>
      <c r="C26" s="990">
        <f t="shared" ref="C26:AG26" si="7">C23-C25</f>
        <v>0.49568157162275656</v>
      </c>
      <c r="D26" s="991">
        <f t="shared" si="7"/>
        <v>0.40546634348278598</v>
      </c>
      <c r="E26" s="992">
        <f t="shared" si="7"/>
        <v>5.3300502980516418E-2</v>
      </c>
      <c r="F26" s="993" t="e">
        <f t="shared" si="7"/>
        <v>#REF!</v>
      </c>
      <c r="G26" s="993" t="e">
        <f t="shared" si="7"/>
        <v>#REF!</v>
      </c>
      <c r="H26" s="993" t="e">
        <f t="shared" si="7"/>
        <v>#REF!</v>
      </c>
      <c r="I26" s="990">
        <f t="shared" si="7"/>
        <v>0.22515322353603134</v>
      </c>
      <c r="J26" s="991">
        <f t="shared" si="7"/>
        <v>0.26969155318232474</v>
      </c>
      <c r="K26" s="992">
        <f t="shared" si="7"/>
        <v>0.154553215088781</v>
      </c>
      <c r="L26" s="993" t="e">
        <f t="shared" si="7"/>
        <v>#REF!</v>
      </c>
      <c r="M26" s="993" t="e">
        <f t="shared" si="7"/>
        <v>#REF!</v>
      </c>
      <c r="N26" s="993" t="e">
        <f t="shared" si="7"/>
        <v>#REF!</v>
      </c>
      <c r="O26" s="990">
        <f t="shared" si="7"/>
        <v>0.3468654820572673</v>
      </c>
      <c r="P26" s="991">
        <f t="shared" si="7"/>
        <v>8.7280240511940166E-2</v>
      </c>
      <c r="Q26" s="992">
        <f t="shared" si="7"/>
        <v>-0.12671009778818668</v>
      </c>
      <c r="R26" s="993" t="e">
        <f t="shared" si="7"/>
        <v>#REF!</v>
      </c>
      <c r="S26" s="993" t="e">
        <f t="shared" si="7"/>
        <v>#REF!</v>
      </c>
      <c r="T26" s="993" t="e">
        <f t="shared" si="7"/>
        <v>#REF!</v>
      </c>
      <c r="U26" s="993" t="e">
        <f t="shared" si="7"/>
        <v>#REF!</v>
      </c>
      <c r="V26" s="990">
        <f t="shared" si="7"/>
        <v>1.1090325312569256</v>
      </c>
      <c r="W26" s="991">
        <f t="shared" si="7"/>
        <v>0.94297538689907168</v>
      </c>
      <c r="X26" s="992">
        <f t="shared" si="7"/>
        <v>0.77076697565333907</v>
      </c>
      <c r="Y26" s="990">
        <f t="shared" si="7"/>
        <v>0.2588941118291242</v>
      </c>
      <c r="Z26" s="991">
        <f t="shared" si="7"/>
        <v>0.21279784021718784</v>
      </c>
      <c r="AA26" s="992">
        <f t="shared" si="7"/>
        <v>0.36160866265503033</v>
      </c>
      <c r="AB26" s="990">
        <f t="shared" si="7"/>
        <v>0.86009922326854971</v>
      </c>
      <c r="AC26" s="991">
        <f t="shared" si="7"/>
        <v>0.79346354249673245</v>
      </c>
      <c r="AD26" s="992">
        <f t="shared" si="7"/>
        <v>0.92544460461634959</v>
      </c>
      <c r="AE26" s="990">
        <f t="shared" si="7"/>
        <v>-7.2112615586164344E-2</v>
      </c>
      <c r="AF26" s="991">
        <f t="shared" si="7"/>
        <v>0.22641306356217206</v>
      </c>
      <c r="AG26" s="992">
        <f t="shared" si="7"/>
        <v>0.30113248000231041</v>
      </c>
    </row>
    <row r="27" spans="1:33" s="984" customFormat="1" x14ac:dyDescent="0.45">
      <c r="A27">
        <v>20</v>
      </c>
      <c r="B27" s="1003" t="s">
        <v>167</v>
      </c>
      <c r="C27" s="1004">
        <f t="shared" ref="C27:AG27" si="8">C26/C$13</f>
        <v>9.1120012406629272E-2</v>
      </c>
      <c r="D27" s="983">
        <f t="shared" si="8"/>
        <v>7.6459864120806659E-2</v>
      </c>
      <c r="E27" s="1005">
        <f t="shared" si="8"/>
        <v>9.296843809518205E-3</v>
      </c>
      <c r="F27" s="983" t="e">
        <f t="shared" si="8"/>
        <v>#REF!</v>
      </c>
      <c r="G27" s="983" t="e">
        <f t="shared" si="8"/>
        <v>#REF!</v>
      </c>
      <c r="H27" s="983" t="e">
        <f t="shared" si="8"/>
        <v>#REF!</v>
      </c>
      <c r="I27" s="1004">
        <f t="shared" si="8"/>
        <v>4.1407489385936802E-2</v>
      </c>
      <c r="J27" s="983">
        <f t="shared" si="8"/>
        <v>5.0765468834319948E-2</v>
      </c>
      <c r="K27" s="1005">
        <f t="shared" si="8"/>
        <v>2.6981361904351794E-2</v>
      </c>
      <c r="L27" s="983" t="e">
        <f t="shared" si="8"/>
        <v>#REF!</v>
      </c>
      <c r="M27" s="983" t="e">
        <f t="shared" si="8"/>
        <v>#REF!</v>
      </c>
      <c r="N27" s="983" t="e">
        <f t="shared" si="8"/>
        <v>#REF!</v>
      </c>
      <c r="O27" s="1004">
        <f t="shared" si="8"/>
        <v>6.4267873763220199E-2</v>
      </c>
      <c r="P27" s="983">
        <f t="shared" si="8"/>
        <v>1.654270442164376E-2</v>
      </c>
      <c r="Q27" s="1005">
        <f t="shared" si="8"/>
        <v>-2.2211002191288458E-2</v>
      </c>
      <c r="R27" s="983" t="e">
        <f t="shared" si="8"/>
        <v>#REF!</v>
      </c>
      <c r="S27" s="983" t="e">
        <f t="shared" si="8"/>
        <v>#REF!</v>
      </c>
      <c r="T27" s="983" t="e">
        <f t="shared" si="8"/>
        <v>#REF!</v>
      </c>
      <c r="U27" s="983" t="e">
        <f t="shared" si="8"/>
        <v>#REF!</v>
      </c>
      <c r="V27" s="1004">
        <f t="shared" si="8"/>
        <v>0.20913320675914207</v>
      </c>
      <c r="W27" s="983">
        <f t="shared" si="8"/>
        <v>0.16428142628903686</v>
      </c>
      <c r="X27" s="1005">
        <f t="shared" si="8"/>
        <v>0.13427996091521585</v>
      </c>
      <c r="Y27" s="1004">
        <f t="shared" si="8"/>
        <v>6.2686225624485281E-2</v>
      </c>
      <c r="Z27" s="983">
        <f t="shared" si="8"/>
        <v>5.1524900778980108E-2</v>
      </c>
      <c r="AA27" s="1005">
        <f t="shared" si="8"/>
        <v>8.4095037826751248E-2</v>
      </c>
      <c r="AB27" s="1004">
        <f t="shared" si="8"/>
        <v>0.19198643376530125</v>
      </c>
      <c r="AC27" s="983">
        <f t="shared" si="8"/>
        <v>0.1771123978787349</v>
      </c>
      <c r="AD27" s="1005">
        <f t="shared" si="8"/>
        <v>0.19280095929507285</v>
      </c>
      <c r="AE27" s="1004">
        <f t="shared" si="8"/>
        <v>-1.1919440592754437E-2</v>
      </c>
      <c r="AF27" s="983">
        <f t="shared" si="8"/>
        <v>3.7423646869780509E-2</v>
      </c>
      <c r="AG27" s="1005">
        <f t="shared" si="8"/>
        <v>4.9773963636745522E-2</v>
      </c>
    </row>
    <row r="28" spans="1:33" x14ac:dyDescent="0.45">
      <c r="A28">
        <v>21</v>
      </c>
      <c r="B28" s="1000" t="s">
        <v>97</v>
      </c>
      <c r="C28" s="996">
        <f>'Pricing Structure - All SKU'!G96</f>
        <v>0.14979338842975207</v>
      </c>
      <c r="D28" s="994">
        <f>'Pricing Structure - All SKU'!I96</f>
        <v>1.2913223140495868E-2</v>
      </c>
      <c r="E28" s="995">
        <f>'Pricing Structure - All SKU'!K96</f>
        <v>-4.5096112572401564E-3</v>
      </c>
      <c r="F28" s="1001" t="e">
        <f>'Pricing Structure - GSS'!#REF!</f>
        <v>#REF!</v>
      </c>
      <c r="G28" s="1001" t="e">
        <f>'Pricing Structure - GSS'!#REF!</f>
        <v>#REF!</v>
      </c>
      <c r="H28" s="1001" t="e">
        <f>'Pricing Structure - GSS'!#REF!</f>
        <v>#REF!</v>
      </c>
      <c r="I28" s="996">
        <f>'Pricing Structure - All SKU'!T96</f>
        <v>0.13737077890844687</v>
      </c>
      <c r="J28" s="994">
        <f>'Pricing Structure - All SKU'!V96</f>
        <v>1.2370778908446879E-2</v>
      </c>
      <c r="K28" s="995">
        <f>'Pricing Structure - All SKU'!X96</f>
        <v>2.7076246801900999E-2</v>
      </c>
      <c r="L28" s="1001" t="e">
        <f>'Pricing Structure - IIP'!#REF!</f>
        <v>#REF!</v>
      </c>
      <c r="M28" s="1001" t="e">
        <f>'Pricing Structure - IIP'!#REF!</f>
        <v>#REF!</v>
      </c>
      <c r="N28" s="1001" t="e">
        <f>'Pricing Structure - IIP'!#REF!</f>
        <v>#REF!</v>
      </c>
      <c r="O28" s="996">
        <f>'Pricing Structure - All SKU'!AI96</f>
        <v>0.16416202882050826</v>
      </c>
      <c r="P28" s="994">
        <f>'Pricing Structure - All SKU'!AK96</f>
        <v>4.3035268257127994E-2</v>
      </c>
      <c r="Q28" s="995">
        <f>'Pricing Structure - All SKU'!AM96</f>
        <v>-8.9872835513708678E-3</v>
      </c>
      <c r="R28" s="1001" t="e">
        <f>'Pricing Structure - IHAG'!#REF!</f>
        <v>#REF!</v>
      </c>
      <c r="S28" s="1001" t="e">
        <f>'Pricing Structure - IHAG'!#REF!</f>
        <v>#REF!</v>
      </c>
      <c r="T28" s="1001" t="e">
        <f>'Pricing Structure - IHAG'!#REF!</f>
        <v>#REF!</v>
      </c>
      <c r="U28" s="1001" t="e">
        <f>'Pricing Structure - IHAG'!#REF!</f>
        <v>#REF!</v>
      </c>
      <c r="V28" s="996">
        <f>'Pricing Structure - All SKU'!AZ96</f>
        <v>6.2609197834233169E-3</v>
      </c>
      <c r="W28" s="994">
        <f>'Pricing Structure - All SKU'!BB96</f>
        <v>-6.6523033570725504E-3</v>
      </c>
      <c r="X28" s="995">
        <f>'Pricing Structure - All SKU'!BH96</f>
        <v>-7.7479338842975212E-2</v>
      </c>
      <c r="Y28" s="996">
        <f>'Pricing Structure - All SKU'!BT96</f>
        <v>4.0847469077679888E-2</v>
      </c>
      <c r="Z28" s="994">
        <f>'Pricing Structure - All SKU'!BV96</f>
        <v>8.2140919624958519E-3</v>
      </c>
      <c r="AA28" s="995">
        <f>'Pricing Structure - All SKU'!BZ96</f>
        <v>-6.25E-2</v>
      </c>
      <c r="AB28" s="996">
        <f>'Pricing Structure - All SKU'!BL96</f>
        <v>2.279212446263364E-2</v>
      </c>
      <c r="AC28" s="994">
        <f>'Pricing Structure - All SKU'!BN96</f>
        <v>2.6609260805193446E-2</v>
      </c>
      <c r="AD28" s="995">
        <f>'Pricing Structure - All SKU'!BR96</f>
        <v>-6.0728744939271252E-2</v>
      </c>
      <c r="AE28" s="996">
        <f>'Pricing Structure - All SKU'!CB96</f>
        <v>-0.16745422726092626</v>
      </c>
      <c r="AF28" s="994">
        <f>'Pricing Structure - All SKU'!CD96</f>
        <v>-0.23874773976562963</v>
      </c>
      <c r="AG28" s="995">
        <f>'Pricing Structure - All SKU'!CH96</f>
        <v>-0.125</v>
      </c>
    </row>
    <row r="29" spans="1:33" x14ac:dyDescent="0.45">
      <c r="A29">
        <v>22</v>
      </c>
      <c r="B29" s="1002" t="s">
        <v>168</v>
      </c>
      <c r="C29" s="999">
        <f t="shared" ref="C29:AG29" si="9">C26-C28</f>
        <v>0.34588818319300452</v>
      </c>
      <c r="D29" s="997">
        <f t="shared" si="9"/>
        <v>0.39255312034229012</v>
      </c>
      <c r="E29" s="998">
        <f t="shared" si="9"/>
        <v>5.7810114237756574E-2</v>
      </c>
      <c r="F29" s="997" t="e">
        <f t="shared" si="9"/>
        <v>#REF!</v>
      </c>
      <c r="G29" s="997" t="e">
        <f t="shared" si="9"/>
        <v>#REF!</v>
      </c>
      <c r="H29" s="997" t="e">
        <f t="shared" si="9"/>
        <v>#REF!</v>
      </c>
      <c r="I29" s="999">
        <f t="shared" si="9"/>
        <v>8.7782444627584472E-2</v>
      </c>
      <c r="J29" s="997">
        <f t="shared" si="9"/>
        <v>0.25732077427387784</v>
      </c>
      <c r="K29" s="998">
        <f t="shared" si="9"/>
        <v>0.12747696828688002</v>
      </c>
      <c r="L29" s="997" t="e">
        <f t="shared" si="9"/>
        <v>#REF!</v>
      </c>
      <c r="M29" s="997" t="e">
        <f t="shared" si="9"/>
        <v>#REF!</v>
      </c>
      <c r="N29" s="997" t="e">
        <f t="shared" si="9"/>
        <v>#REF!</v>
      </c>
      <c r="O29" s="999">
        <f t="shared" si="9"/>
        <v>0.18270345323675904</v>
      </c>
      <c r="P29" s="997">
        <f t="shared" si="9"/>
        <v>4.4244972254812172E-2</v>
      </c>
      <c r="Q29" s="998">
        <f t="shared" si="9"/>
        <v>-0.11772281423681581</v>
      </c>
      <c r="R29" s="997" t="e">
        <f t="shared" si="9"/>
        <v>#REF!</v>
      </c>
      <c r="S29" s="997" t="e">
        <f t="shared" si="9"/>
        <v>#REF!</v>
      </c>
      <c r="T29" s="997" t="e">
        <f t="shared" si="9"/>
        <v>#REF!</v>
      </c>
      <c r="U29" s="997" t="e">
        <f t="shared" si="9"/>
        <v>#REF!</v>
      </c>
      <c r="V29" s="999">
        <f t="shared" si="9"/>
        <v>1.1027716114735022</v>
      </c>
      <c r="W29" s="997">
        <f t="shared" si="9"/>
        <v>0.94962769025614424</v>
      </c>
      <c r="X29" s="998">
        <f t="shared" si="9"/>
        <v>0.84824631449631427</v>
      </c>
      <c r="Y29" s="999">
        <f t="shared" si="9"/>
        <v>0.21804664275144431</v>
      </c>
      <c r="Z29" s="997">
        <f t="shared" si="9"/>
        <v>0.204583748254692</v>
      </c>
      <c r="AA29" s="998">
        <f t="shared" si="9"/>
        <v>0.42410866265503033</v>
      </c>
      <c r="AB29" s="999">
        <f t="shared" si="9"/>
        <v>0.83730709880591603</v>
      </c>
      <c r="AC29" s="997">
        <f t="shared" si="9"/>
        <v>0.76685428169153902</v>
      </c>
      <c r="AD29" s="998">
        <f t="shared" si="9"/>
        <v>0.98617334955562086</v>
      </c>
      <c r="AE29" s="999">
        <f t="shared" si="9"/>
        <v>9.534161167476192E-2</v>
      </c>
      <c r="AF29" s="997">
        <f t="shared" si="9"/>
        <v>0.46516080332780169</v>
      </c>
      <c r="AG29" s="998">
        <f t="shared" si="9"/>
        <v>0.42613248000231041</v>
      </c>
    </row>
    <row r="30" spans="1:33" s="984" customFormat="1" ht="14.65" thickBot="1" x14ac:dyDescent="0.5">
      <c r="A30">
        <v>23</v>
      </c>
      <c r="B30" s="1007" t="s">
        <v>169</v>
      </c>
      <c r="C30" s="1008">
        <f t="shared" ref="C30:AG30" si="10">C29/C$13</f>
        <v>6.3583835567402561E-2</v>
      </c>
      <c r="D30" s="985">
        <f t="shared" si="10"/>
        <v>7.4024783373529079E-2</v>
      </c>
      <c r="E30" s="1009">
        <f t="shared" si="10"/>
        <v>1.0083424594985317E-2</v>
      </c>
      <c r="F30" s="985" t="e">
        <f t="shared" si="10"/>
        <v>#REF!</v>
      </c>
      <c r="G30" s="985" t="e">
        <f t="shared" si="10"/>
        <v>#REF!</v>
      </c>
      <c r="H30" s="985" t="e">
        <f t="shared" si="10"/>
        <v>#REF!</v>
      </c>
      <c r="I30" s="1008">
        <f t="shared" si="10"/>
        <v>1.6143897862544269E-2</v>
      </c>
      <c r="J30" s="985">
        <f t="shared" si="10"/>
        <v>4.8436851628024066E-2</v>
      </c>
      <c r="K30" s="1009">
        <f t="shared" si="10"/>
        <v>2.2254485057733097E-2</v>
      </c>
      <c r="L30" s="985" t="e">
        <f t="shared" si="10"/>
        <v>#REF!</v>
      </c>
      <c r="M30" s="985" t="e">
        <f t="shared" si="10"/>
        <v>#REF!</v>
      </c>
      <c r="N30" s="985" t="e">
        <f t="shared" si="10"/>
        <v>#REF!</v>
      </c>
      <c r="O30" s="1008">
        <f t="shared" si="10"/>
        <v>3.3851631471320177E-2</v>
      </c>
      <c r="P30" s="985">
        <f t="shared" si="10"/>
        <v>8.3859931395933382E-3</v>
      </c>
      <c r="Q30" s="1009">
        <f t="shared" si="10"/>
        <v>-2.0635622027136778E-2</v>
      </c>
      <c r="R30" s="985" t="e">
        <f t="shared" si="10"/>
        <v>#REF!</v>
      </c>
      <c r="S30" s="985" t="e">
        <f t="shared" si="10"/>
        <v>#REF!</v>
      </c>
      <c r="T30" s="985" t="e">
        <f t="shared" si="10"/>
        <v>#REF!</v>
      </c>
      <c r="U30" s="985" t="e">
        <f t="shared" si="10"/>
        <v>#REF!</v>
      </c>
      <c r="V30" s="1008">
        <f t="shared" si="10"/>
        <v>0.20795256850492863</v>
      </c>
      <c r="W30" s="985">
        <f t="shared" si="10"/>
        <v>0.16544036415612268</v>
      </c>
      <c r="X30" s="1009">
        <f t="shared" si="10"/>
        <v>0.14777810357078644</v>
      </c>
      <c r="Y30" s="1008">
        <f t="shared" si="10"/>
        <v>5.2795797276378766E-2</v>
      </c>
      <c r="Z30" s="985">
        <f t="shared" si="10"/>
        <v>4.9536016526559805E-2</v>
      </c>
      <c r="AA30" s="1009">
        <f t="shared" si="10"/>
        <v>9.8629921547681479E-2</v>
      </c>
      <c r="AB30" s="1008">
        <f t="shared" si="10"/>
        <v>0.18689890598346337</v>
      </c>
      <c r="AC30" s="985">
        <f t="shared" si="10"/>
        <v>0.17117283073471851</v>
      </c>
      <c r="AD30" s="1009">
        <f t="shared" si="10"/>
        <v>0.20545278115742102</v>
      </c>
      <c r="AE30" s="1008">
        <f t="shared" si="10"/>
        <v>1.5758944078473044E-2</v>
      </c>
      <c r="AF30" s="985">
        <f t="shared" si="10"/>
        <v>7.6886083194677962E-2</v>
      </c>
      <c r="AG30" s="1009">
        <f t="shared" si="10"/>
        <v>7.0435120661538911E-2</v>
      </c>
    </row>
    <row r="31" spans="1:33" ht="15" thickTop="1" thickBot="1" x14ac:dyDescent="0.5">
      <c r="A31">
        <v>24</v>
      </c>
      <c r="B31" s="957" t="s">
        <v>170</v>
      </c>
      <c r="C31" s="958">
        <f t="shared" ref="C31:AG31" si="11">C29+C20</f>
        <v>1.3790089530670031</v>
      </c>
      <c r="D31" s="959">
        <f t="shared" si="11"/>
        <v>1.2164454072968582</v>
      </c>
      <c r="E31" s="960">
        <f t="shared" si="11"/>
        <v>0.94292301894802188</v>
      </c>
      <c r="F31" s="962" t="e">
        <f t="shared" si="11"/>
        <v>#REF!</v>
      </c>
      <c r="G31" s="961" t="e">
        <f t="shared" si="11"/>
        <v>#REF!</v>
      </c>
      <c r="H31" s="961" t="e">
        <f t="shared" si="11"/>
        <v>#REF!</v>
      </c>
      <c r="I31" s="958">
        <f t="shared" si="11"/>
        <v>0.98778244462758447</v>
      </c>
      <c r="J31" s="959">
        <f t="shared" si="11"/>
        <v>0.80732077427387794</v>
      </c>
      <c r="K31" s="960">
        <f t="shared" si="11"/>
        <v>0.5220429833990845</v>
      </c>
      <c r="L31" s="962" t="e">
        <f t="shared" si="11"/>
        <v>#REF!</v>
      </c>
      <c r="M31" s="961" t="e">
        <f t="shared" si="11"/>
        <v>#REF!</v>
      </c>
      <c r="N31" s="961" t="e">
        <f t="shared" si="11"/>
        <v>#REF!</v>
      </c>
      <c r="O31" s="958">
        <f t="shared" si="11"/>
        <v>0.18270345323675904</v>
      </c>
      <c r="P31" s="959">
        <f t="shared" si="11"/>
        <v>4.4244972254812172E-2</v>
      </c>
      <c r="Q31" s="960">
        <f t="shared" si="11"/>
        <v>-0.11772281423681581</v>
      </c>
      <c r="R31" s="959" t="e">
        <f t="shared" si="11"/>
        <v>#REF!</v>
      </c>
      <c r="S31" s="962" t="e">
        <f t="shared" si="11"/>
        <v>#REF!</v>
      </c>
      <c r="T31" s="961" t="e">
        <f t="shared" si="11"/>
        <v>#REF!</v>
      </c>
      <c r="U31" s="961" t="e">
        <f t="shared" si="11"/>
        <v>#REF!</v>
      </c>
      <c r="V31" s="958">
        <f t="shared" si="11"/>
        <v>1.1027716114735022</v>
      </c>
      <c r="W31" s="959">
        <f t="shared" si="11"/>
        <v>0.94962769025614424</v>
      </c>
      <c r="X31" s="960">
        <f t="shared" si="11"/>
        <v>0.84824631449631427</v>
      </c>
      <c r="Y31" s="958">
        <f t="shared" si="11"/>
        <v>0.21804664275144431</v>
      </c>
      <c r="Z31" s="959">
        <f t="shared" si="11"/>
        <v>0.204583748254692</v>
      </c>
      <c r="AA31" s="960">
        <f t="shared" si="11"/>
        <v>0.42410866265503033</v>
      </c>
      <c r="AB31" s="958">
        <f t="shared" si="11"/>
        <v>0.83730709880591603</v>
      </c>
      <c r="AC31" s="959">
        <f t="shared" si="11"/>
        <v>0.76685428169153902</v>
      </c>
      <c r="AD31" s="960">
        <f t="shared" si="11"/>
        <v>0.98617334955562086</v>
      </c>
      <c r="AE31" s="958">
        <f t="shared" si="11"/>
        <v>9.534161167476192E-2</v>
      </c>
      <c r="AF31" s="959">
        <f t="shared" si="11"/>
        <v>0.46516080332780169</v>
      </c>
      <c r="AG31" s="960">
        <f t="shared" si="11"/>
        <v>0.42613248000231041</v>
      </c>
    </row>
    <row r="32" spans="1:33" ht="15" thickTop="1" thickBot="1" x14ac:dyDescent="0.5">
      <c r="A32">
        <v>25</v>
      </c>
    </row>
    <row r="33" spans="1:33" ht="14.65" thickTop="1" x14ac:dyDescent="0.45">
      <c r="A33">
        <v>26</v>
      </c>
      <c r="B33" s="883" t="s">
        <v>171</v>
      </c>
      <c r="C33" s="884">
        <f>'Pricing Structure - All SKU'!G45</f>
        <v>6.3553760330578504</v>
      </c>
      <c r="D33" s="884">
        <f>'Pricing Structure - All SKU'!I45</f>
        <v>6.443917697580595</v>
      </c>
      <c r="E33" s="884">
        <f>'Pricing Structure - GSS'!O45</f>
        <v>6.525178271863826</v>
      </c>
      <c r="F33" s="884" t="e">
        <f>F47</f>
        <v>#REF!</v>
      </c>
      <c r="G33" s="884" t="e">
        <f>G47</f>
        <v>#REF!</v>
      </c>
      <c r="H33" s="884" t="e">
        <f>H47</f>
        <v>#REF!</v>
      </c>
      <c r="I33" s="884">
        <f>'Pricing Structure - IIP'!G45</f>
        <v>6.3404999999999996</v>
      </c>
      <c r="J33" s="884">
        <f>'Pricing Structure - IIP'!I45</f>
        <v>6.4559999999999995</v>
      </c>
      <c r="K33" s="884">
        <f>'Pricing Structure - IIP'!O45</f>
        <v>6.5214072830578518</v>
      </c>
      <c r="L33" s="884" t="e">
        <f>L47</f>
        <v>#REF!</v>
      </c>
      <c r="M33" s="884" t="e">
        <f t="shared" ref="M33:N33" si="12">M47</f>
        <v>#REF!</v>
      </c>
      <c r="N33" s="884" t="e">
        <f t="shared" si="12"/>
        <v>#REF!</v>
      </c>
      <c r="O33" s="884">
        <f>'Pricing Structure - IHAG'!G45</f>
        <v>6.3975422535211264</v>
      </c>
      <c r="P33" s="884">
        <f>'Pricing Structure - IHAG'!I45</f>
        <v>6.5130422535211263</v>
      </c>
      <c r="Q33" s="884">
        <f>'Pricing Structure - IHAG'!O45</f>
        <v>6.7293686422616155</v>
      </c>
      <c r="R33" s="884" t="e">
        <f t="shared" ref="R33:S35" si="13">R47</f>
        <v>#REF!</v>
      </c>
      <c r="S33" s="884" t="e">
        <f t="shared" si="13"/>
        <v>#REF!</v>
      </c>
      <c r="T33" s="884" t="e">
        <f t="shared" ref="T33:T35" si="14">T47</f>
        <v>#REF!</v>
      </c>
      <c r="U33" s="884" t="e">
        <f t="shared" ref="U33:U35" si="15">U47</f>
        <v>#REF!</v>
      </c>
      <c r="V33" s="884">
        <f>'Pricing Structure - All SKU'!AZ45</f>
        <v>6.4708760330578512</v>
      </c>
      <c r="W33" s="884">
        <f>'Pricing Structure - All SKU'!BB45</f>
        <v>6.528530578512397</v>
      </c>
      <c r="X33" s="884">
        <f>'Pricing Structure - All SKU'!BH45</f>
        <v>6.5311813035123985</v>
      </c>
      <c r="Y33" s="884">
        <f>'Pricing Structure - All SKU'!BT45</f>
        <v>4.2442499999999992</v>
      </c>
      <c r="Z33" s="884">
        <f>'Pricing Structure - All SKU'!BV45</f>
        <v>4.2442499999999992</v>
      </c>
      <c r="AA33" s="884">
        <f>'Pricing Structure - All SKU'!BZ45</f>
        <v>4.5933516375000005</v>
      </c>
      <c r="AB33" s="884">
        <f>'Pricing Structure - All SKU'!BL45</f>
        <v>4.6412392712550607</v>
      </c>
      <c r="AC33" s="884">
        <f>'Pricing Structure - All SKU'!BN45</f>
        <v>4.6412392712550607</v>
      </c>
      <c r="AD33" s="884">
        <f>'Pricing Structure - All SKU'!BR45</f>
        <v>5.0422942758856273</v>
      </c>
      <c r="AE33" s="884">
        <f>'Pricing Structure - All SKU'!CB45</f>
        <v>6.2362500000000001</v>
      </c>
      <c r="AF33" s="884">
        <f>'Pricing Structure - All SKU'!CD45</f>
        <v>6.2362500000000001</v>
      </c>
      <c r="AG33" s="884">
        <f>'Pricing Structure - All SKU'!CH45</f>
        <v>6.6428316562500003</v>
      </c>
    </row>
    <row r="34" spans="1:33" x14ac:dyDescent="0.45">
      <c r="A34">
        <v>27</v>
      </c>
      <c r="B34" s="317" t="s">
        <v>172</v>
      </c>
      <c r="C34" s="885">
        <f>'Pricing Structure - All SKU'!G32</f>
        <v>7.36</v>
      </c>
      <c r="D34" s="885">
        <f>'Pricing Structure - All SKU'!I32</f>
        <v>7.36</v>
      </c>
      <c r="E34" s="885">
        <f>'Pricing Structure - GSS'!O32</f>
        <v>7.3377471611721807</v>
      </c>
      <c r="F34" s="885" t="e">
        <f t="shared" ref="F34:G36" si="16">F48</f>
        <v>#REF!</v>
      </c>
      <c r="G34" s="885" t="e">
        <f t="shared" si="16"/>
        <v>#REF!</v>
      </c>
      <c r="H34" s="885" t="e">
        <f>H48</f>
        <v>#REF!</v>
      </c>
      <c r="I34" s="885">
        <f>'Pricing Structure - IIP'!G32</f>
        <v>7.36</v>
      </c>
      <c r="J34" s="885">
        <f>'Pricing Structure - IIP'!I32</f>
        <v>7.36</v>
      </c>
      <c r="K34" s="885">
        <f>'Pricing Structure - IIP'!O32</f>
        <v>7.3377471611721807</v>
      </c>
      <c r="L34" s="885" t="e">
        <f>L48</f>
        <v>#REF!</v>
      </c>
      <c r="M34" s="885" t="e">
        <f t="shared" ref="M34:N34" si="17">M48</f>
        <v>#REF!</v>
      </c>
      <c r="N34" s="885" t="e">
        <f t="shared" si="17"/>
        <v>#REF!</v>
      </c>
      <c r="O34" s="885">
        <f>'Pricing Structure - IHAG'!G32</f>
        <v>7.36</v>
      </c>
      <c r="P34" s="885">
        <f>'Pricing Structure - IHAG'!I32</f>
        <v>7.36</v>
      </c>
      <c r="Q34" s="885">
        <f>'Pricing Structure - IHAG'!O32</f>
        <v>7.3946098544105521</v>
      </c>
      <c r="R34" s="885" t="e">
        <f t="shared" si="13"/>
        <v>#REF!</v>
      </c>
      <c r="S34" s="885" t="e">
        <f t="shared" si="13"/>
        <v>#REF!</v>
      </c>
      <c r="T34" s="885" t="e">
        <f t="shared" si="14"/>
        <v>#REF!</v>
      </c>
      <c r="U34" s="885" t="e">
        <f t="shared" si="15"/>
        <v>#REF!</v>
      </c>
      <c r="V34" s="885">
        <f>'Pricing Structure - All SKU'!AZ32</f>
        <v>7.36</v>
      </c>
      <c r="W34" s="939">
        <f>'Pricing Structure - All SKU'!BB32</f>
        <v>7.339436349742118</v>
      </c>
      <c r="X34" s="939">
        <f>'Pricing Structure - All SKU'!BH32</f>
        <v>7.3377471611721807</v>
      </c>
      <c r="Y34" s="885">
        <f>'Pricing Structure - All SKU'!BT32</f>
        <v>4.3181818181818183</v>
      </c>
      <c r="Z34" s="939">
        <f>'Pricing Structure - All SKU'!BV32</f>
        <v>4.3181818181818183</v>
      </c>
      <c r="AA34" s="939">
        <f>'Pricing Structure - All SKU'!BZ32</f>
        <v>4.7272727272727275</v>
      </c>
      <c r="AB34" s="885">
        <f>'Pricing Structure - All SKU'!BL32</f>
        <v>6.0167229505537456</v>
      </c>
      <c r="AC34" s="939">
        <f>'Pricing Structure - All SKU'!BN32</f>
        <v>6</v>
      </c>
      <c r="AD34" s="939">
        <f>'Pricing Structure - All SKU'!BR32</f>
        <v>6.1</v>
      </c>
      <c r="AE34" s="885">
        <f>'Pricing Structure - All SKU'!CB32</f>
        <v>8.2228546990901208</v>
      </c>
      <c r="AF34" s="939">
        <f>'Pricing Structure - All SKU'!CD32</f>
        <v>7.2888888888888879</v>
      </c>
      <c r="AG34" s="939">
        <f>'Pricing Structure - All SKU'!CH32</f>
        <v>7.9111111111111123</v>
      </c>
    </row>
    <row r="35" spans="1:33" x14ac:dyDescent="0.45">
      <c r="A35">
        <v>28</v>
      </c>
      <c r="B35" s="317" t="s">
        <v>173</v>
      </c>
      <c r="C35" s="885">
        <f>C34-C$33-'Pricing Structure - All SKU'!G41</f>
        <v>0.87103305785124008</v>
      </c>
      <c r="D35" s="885">
        <f>D34-D$33-'Pricing Structure - All SKU'!I41</f>
        <v>0.79054063555783594</v>
      </c>
      <c r="E35" s="885">
        <f>E34-E$33-'Pricing Structure - GSS'!O41</f>
        <v>0.69643753272960829</v>
      </c>
      <c r="F35" s="963" t="e">
        <f t="shared" si="16"/>
        <v>#REF!</v>
      </c>
      <c r="G35" s="956" t="e">
        <f t="shared" si="16"/>
        <v>#REF!</v>
      </c>
      <c r="H35" s="956" t="e">
        <f>H49</f>
        <v>#REF!</v>
      </c>
      <c r="I35" s="885">
        <f>I34-I$33-'Pricing Structure - IIP'!G41</f>
        <v>0.88590909090909087</v>
      </c>
      <c r="J35" s="885">
        <f>J34-J$33-'Pricing Structure - IIP'!I41</f>
        <v>0.78090909090909089</v>
      </c>
      <c r="K35" s="885">
        <f>K34-K$33-'Pricing Structure - IIP'!O41</f>
        <v>0.69986570437140294</v>
      </c>
      <c r="L35" s="963" t="e">
        <f>L49</f>
        <v>#REF!</v>
      </c>
      <c r="M35" s="956" t="e">
        <f t="shared" ref="M35:N35" si="18">M49</f>
        <v>#REF!</v>
      </c>
      <c r="N35" s="956" t="e">
        <f t="shared" si="18"/>
        <v>#REF!</v>
      </c>
      <c r="O35" s="885">
        <f>O34-O$33-'Pricing Structure - IHAG'!G41</f>
        <v>0.82886683738796407</v>
      </c>
      <c r="P35" s="885">
        <f>P34-P$33-'Pricing Structure - IHAG'!I41</f>
        <v>0.72386683738796409</v>
      </c>
      <c r="Q35" s="885">
        <f>Q34-Q$33-'Pricing Structure - IHAG'!O41</f>
        <v>0.55866998799711221</v>
      </c>
      <c r="R35" s="885" t="e">
        <f t="shared" si="13"/>
        <v>#REF!</v>
      </c>
      <c r="S35" s="963" t="e">
        <f t="shared" si="13"/>
        <v>#REF!</v>
      </c>
      <c r="T35" s="956" t="e">
        <f t="shared" si="14"/>
        <v>#REF!</v>
      </c>
      <c r="U35" s="956" t="e">
        <f t="shared" si="15"/>
        <v>#REF!</v>
      </c>
      <c r="V35" s="885">
        <f>V34-V$33-'Pricing Structure - All SKU'!AZ41</f>
        <v>0.76603305785123921</v>
      </c>
      <c r="W35" s="939">
        <f>W34-W$33-'Pricing Structure - All SKU'!BB41</f>
        <v>0.6949256072035771</v>
      </c>
      <c r="X35" s="939">
        <f>X34-X$33-'Pricing Structure - All SKU'!BH41</f>
        <v>0.69098023123090602</v>
      </c>
      <c r="Y35" s="885">
        <f>Y34-Y$33-'Pricing Structure - All SKU'!BT41</f>
        <v>3.3119834710744644E-2</v>
      </c>
      <c r="Z35" s="939">
        <f>Z34-Z$33-'Pricing Structure - All SKU'!BV41</f>
        <v>3.3119834710744644E-2</v>
      </c>
      <c r="AA35" s="939">
        <f>AA34-AA$33-'Pricing Structure - All SKU'!BZ41</f>
        <v>8.765553615702415E-2</v>
      </c>
      <c r="AB35" s="885">
        <f>AB34-AB$33-'Pricing Structure - All SKU'!BL41</f>
        <v>1.2173149384864745</v>
      </c>
      <c r="AC35" s="939">
        <f>AC34-AC$33-'Pricing Structure - All SKU'!BN41</f>
        <v>1.2021122561648874</v>
      </c>
      <c r="AD35" s="939">
        <f>AD34-AD$33-'Pricing Structure - All SKU'!BR41</f>
        <v>0.92842588831891759</v>
      </c>
      <c r="AE35" s="885">
        <f>AE34-AE$33-'Pricing Structure - All SKU'!CB41</f>
        <v>1.7378224537182907</v>
      </c>
      <c r="AF35" s="939">
        <f>AF34-AF$33-'Pricing Structure - All SKU'!CD41</f>
        <v>0.88876262626262448</v>
      </c>
      <c r="AG35" s="939">
        <f>AG34-AG$33-'Pricing Structure - All SKU'!CH41</f>
        <v>1.0847995044191918</v>
      </c>
    </row>
    <row r="36" spans="1:33" ht="14.65" thickBot="1" x14ac:dyDescent="0.5">
      <c r="A36">
        <v>29</v>
      </c>
      <c r="B36" s="886" t="s">
        <v>174</v>
      </c>
      <c r="C36" s="887">
        <f t="shared" ref="C36:AG36" si="19">IFERROR(C35/C34,0)</f>
        <v>0.11834688286022284</v>
      </c>
      <c r="D36" s="887">
        <f t="shared" si="19"/>
        <v>0.10741041243992336</v>
      </c>
      <c r="E36" s="887">
        <f t="shared" si="19"/>
        <v>9.4911628519284474E-2</v>
      </c>
      <c r="F36" s="887">
        <f t="shared" si="16"/>
        <v>0</v>
      </c>
      <c r="G36" s="887">
        <f t="shared" si="19"/>
        <v>0</v>
      </c>
      <c r="H36" s="887">
        <f t="shared" si="19"/>
        <v>0</v>
      </c>
      <c r="I36" s="887">
        <f t="shared" si="19"/>
        <v>0.12036808300395256</v>
      </c>
      <c r="J36" s="887">
        <f t="shared" si="19"/>
        <v>0.10610177865612648</v>
      </c>
      <c r="K36" s="887">
        <f t="shared" si="19"/>
        <v>9.5378825271434084E-2</v>
      </c>
      <c r="L36" s="887">
        <f t="shared" si="19"/>
        <v>0</v>
      </c>
      <c r="M36" s="887">
        <f t="shared" si="19"/>
        <v>0</v>
      </c>
      <c r="N36" s="887">
        <f t="shared" si="19"/>
        <v>0</v>
      </c>
      <c r="O36" s="887">
        <f t="shared" si="19"/>
        <v>0.11261777681901686</v>
      </c>
      <c r="P36" s="887">
        <f t="shared" si="19"/>
        <v>9.8351472471190762E-2</v>
      </c>
      <c r="Q36" s="887">
        <f t="shared" si="19"/>
        <v>7.5550975507367807E-2</v>
      </c>
      <c r="R36" s="887">
        <f t="shared" si="19"/>
        <v>0</v>
      </c>
      <c r="S36" s="887">
        <f t="shared" si="19"/>
        <v>0</v>
      </c>
      <c r="T36" s="887">
        <f t="shared" ref="T36:U36" si="20">IFERROR(T35/T34,0)</f>
        <v>0</v>
      </c>
      <c r="U36" s="887">
        <f t="shared" si="20"/>
        <v>0</v>
      </c>
      <c r="V36" s="940">
        <f t="shared" si="19"/>
        <v>0.10408057851239663</v>
      </c>
      <c r="W36" s="941">
        <f t="shared" si="19"/>
        <v>9.4683784161163048E-2</v>
      </c>
      <c r="X36" s="941">
        <f t="shared" si="19"/>
        <v>9.4167898682478476E-2</v>
      </c>
      <c r="Y36" s="940">
        <f t="shared" si="19"/>
        <v>7.6698564593303386E-3</v>
      </c>
      <c r="Z36" s="941">
        <f t="shared" si="19"/>
        <v>7.6698564593303386E-3</v>
      </c>
      <c r="AA36" s="941">
        <f t="shared" si="19"/>
        <v>1.8542517263985876E-2</v>
      </c>
      <c r="AB36" s="940">
        <f t="shared" si="19"/>
        <v>0.20232191983751549</v>
      </c>
      <c r="AC36" s="941">
        <f t="shared" si="19"/>
        <v>0.20035204269414789</v>
      </c>
      <c r="AD36" s="941">
        <f t="shared" si="19"/>
        <v>0.15220096529818322</v>
      </c>
      <c r="AE36" s="940">
        <f t="shared" si="19"/>
        <v>0.21134052799334824</v>
      </c>
      <c r="AF36" s="941">
        <f t="shared" si="19"/>
        <v>0.12193389689578692</v>
      </c>
      <c r="AG36" s="941">
        <f t="shared" si="19"/>
        <v>0.13712353286197648</v>
      </c>
    </row>
    <row r="37" spans="1:33" ht="15" thickTop="1" thickBot="1" x14ac:dyDescent="0.5">
      <c r="A37">
        <v>30</v>
      </c>
      <c r="B37" s="886" t="s">
        <v>175</v>
      </c>
      <c r="C37" s="887"/>
      <c r="D37" s="887">
        <f>D35/C35-1</f>
        <v>-9.241029553111535E-2</v>
      </c>
      <c r="E37" s="887">
        <f>E35/D35-1</f>
        <v>-0.11903638927026805</v>
      </c>
      <c r="F37" s="964" t="e">
        <f>F35/E35-1</f>
        <v>#REF!</v>
      </c>
      <c r="G37" s="955" t="e">
        <f>G35/E35-1</f>
        <v>#REF!</v>
      </c>
      <c r="H37" s="955" t="e">
        <f>H35/E35-1</f>
        <v>#REF!</v>
      </c>
      <c r="I37" s="887"/>
      <c r="J37" s="887">
        <f>J35/I35-1</f>
        <v>-0.11852231913801947</v>
      </c>
      <c r="K37" s="887">
        <f>K35/J35-1</f>
        <v>-0.1037808209446528</v>
      </c>
      <c r="L37" s="964" t="e">
        <f>L35/K35-1</f>
        <v>#REF!</v>
      </c>
      <c r="M37" s="955" t="e">
        <f>M35/K35-1</f>
        <v>#REF!</v>
      </c>
      <c r="N37" s="955" t="e">
        <f>N35/K35-1</f>
        <v>#REF!</v>
      </c>
      <c r="O37" s="887"/>
      <c r="P37" s="887">
        <f>P35/O35-1</f>
        <v>-0.12667897334497058</v>
      </c>
      <c r="Q37" s="887">
        <f>Q35/P35-1</f>
        <v>-0.22821441853443125</v>
      </c>
      <c r="R37" s="887" t="e">
        <f>R35/Q35-1</f>
        <v>#REF!</v>
      </c>
      <c r="S37" s="964" t="e">
        <f>S35/Q35-1</f>
        <v>#REF!</v>
      </c>
      <c r="T37" s="955" t="e">
        <f>T35/Q35-1</f>
        <v>#REF!</v>
      </c>
      <c r="U37" s="955" t="e">
        <f>U35/Q35-1</f>
        <v>#REF!</v>
      </c>
      <c r="V37" s="887"/>
      <c r="W37" s="942" t="e">
        <f>W35/S35-1</f>
        <v>#REF!</v>
      </c>
      <c r="X37" s="942">
        <f>X35/V35-1</f>
        <v>-9.7975963114255271E-2</v>
      </c>
      <c r="Y37" s="887"/>
      <c r="Z37" s="942">
        <f>Z35/X35-1</f>
        <v>-0.95206833247349887</v>
      </c>
      <c r="AA37" s="942">
        <f>AA35/Y35-1</f>
        <v>1.6466175608233691</v>
      </c>
      <c r="AB37" s="887"/>
      <c r="AC37" s="942">
        <f>AC35/AA35-1</f>
        <v>12.714048294809931</v>
      </c>
      <c r="AD37" s="942">
        <f>AD35/AB35-1</f>
        <v>-0.23731660643772401</v>
      </c>
      <c r="AE37" s="887"/>
      <c r="AF37" s="942">
        <f>AF35/AD35-1</f>
        <v>-4.2720978115022845E-2</v>
      </c>
      <c r="AG37" s="942">
        <f>AG35/AE35-1</f>
        <v>-0.37577080898101745</v>
      </c>
    </row>
    <row r="38" spans="1:33" ht="15" thickTop="1" thickBot="1" x14ac:dyDescent="0.5">
      <c r="A38">
        <v>31</v>
      </c>
      <c r="B38" s="951"/>
      <c r="C38" s="952"/>
      <c r="D38" s="952"/>
      <c r="E38" s="952"/>
      <c r="F38" s="952"/>
      <c r="G38" s="952"/>
      <c r="H38" s="952"/>
      <c r="I38" s="952"/>
      <c r="J38" s="952"/>
      <c r="K38" s="952"/>
      <c r="L38" s="952"/>
      <c r="M38" s="952"/>
      <c r="N38" s="952"/>
      <c r="O38" s="952"/>
      <c r="P38" s="952"/>
      <c r="Q38" s="952"/>
      <c r="R38" s="952"/>
      <c r="S38" s="952"/>
      <c r="T38" s="952"/>
      <c r="U38" s="952"/>
      <c r="V38" s="952"/>
      <c r="W38" s="952"/>
      <c r="X38" s="952"/>
      <c r="Y38" s="952"/>
      <c r="Z38" s="952"/>
      <c r="AA38" s="952"/>
      <c r="AB38" s="952"/>
      <c r="AC38" s="952"/>
      <c r="AD38" s="952"/>
      <c r="AE38" s="952"/>
      <c r="AF38" s="952"/>
      <c r="AG38" s="952"/>
    </row>
    <row r="39" spans="1:33" ht="15" thickTop="1" thickBot="1" x14ac:dyDescent="0.5">
      <c r="A39">
        <v>32</v>
      </c>
      <c r="B39" s="929" t="s">
        <v>176</v>
      </c>
      <c r="C39" s="968"/>
      <c r="D39" s="968"/>
      <c r="E39" s="971">
        <v>1000</v>
      </c>
      <c r="F39" s="971">
        <v>1000</v>
      </c>
      <c r="G39" s="971">
        <v>1100</v>
      </c>
      <c r="H39" s="971">
        <v>1200</v>
      </c>
      <c r="I39" s="968"/>
      <c r="J39" s="968"/>
      <c r="K39" s="971">
        <v>1000</v>
      </c>
      <c r="L39" s="971">
        <v>1000</v>
      </c>
      <c r="M39" s="971">
        <v>1100</v>
      </c>
      <c r="N39" s="971">
        <v>1200</v>
      </c>
      <c r="O39" s="968"/>
      <c r="P39" s="968"/>
      <c r="Q39" s="971">
        <v>1000</v>
      </c>
      <c r="R39" s="972"/>
      <c r="S39" s="971">
        <v>1200</v>
      </c>
      <c r="T39" s="971">
        <v>1100</v>
      </c>
      <c r="U39" s="971">
        <v>1200</v>
      </c>
      <c r="V39" s="968"/>
      <c r="W39" s="969"/>
      <c r="X39" s="969"/>
      <c r="Y39" s="968"/>
      <c r="Z39" s="969"/>
      <c r="AA39" s="969"/>
      <c r="AB39" s="968"/>
      <c r="AC39" s="969"/>
      <c r="AD39" s="969"/>
      <c r="AE39" s="968"/>
      <c r="AF39" s="969"/>
      <c r="AG39" s="970"/>
    </row>
    <row r="40" spans="1:33" ht="14.65" thickTop="1" x14ac:dyDescent="0.45">
      <c r="E40" s="344"/>
      <c r="F40" s="344"/>
      <c r="I40" s="344"/>
      <c r="J40" s="344"/>
    </row>
    <row r="41" spans="1:33" hidden="1" outlineLevel="1" x14ac:dyDescent="0.45">
      <c r="C41" s="344" t="str">
        <f>IF(C31&gt;C35,"IOD &gt; Dist","IOD &lt; Dist")</f>
        <v>IOD &gt; Dist</v>
      </c>
      <c r="D41" s="344" t="str">
        <f>IF(D31&gt;D35,"IOD &gt; Dist","IOD &lt; Dist")</f>
        <v>IOD &gt; Dist</v>
      </c>
      <c r="E41" s="344" t="str">
        <f>IF(E31&gt;E35,"IOD &gt; Dist","IOD &lt; Dist")</f>
        <v>IOD &gt; Dist</v>
      </c>
      <c r="F41" s="344" t="e">
        <f>IF(F31&gt;G35,"IOD &gt; Dist","IOD &lt; Dist")</f>
        <v>#REF!</v>
      </c>
      <c r="G41" s="344" t="e">
        <f>IF(H31&gt;H35,"IOD &gt; Dist","IOD &lt; Dist")</f>
        <v>#REF!</v>
      </c>
      <c r="H41" s="344" t="str">
        <f>IF(I31&gt;I35,"IOD &gt; Dist","IOD &lt; Dist")</f>
        <v>IOD &gt; Dist</v>
      </c>
      <c r="I41" s="344" t="str">
        <f>IF(J31&gt;J35,"IOD &gt; Dist","IOD &lt; Dist")</f>
        <v>IOD &gt; Dist</v>
      </c>
      <c r="J41" s="344" t="str">
        <f>IF(K31&gt;K35,"IOD &gt; Dist","IOD &lt; Dist")</f>
        <v>IOD &lt; Dist</v>
      </c>
      <c r="K41" s="344" t="e">
        <f>IF(L31&gt;L35,"IOD &gt; Dist","IOD &lt; Dist")</f>
        <v>#REF!</v>
      </c>
      <c r="L41" s="344" t="e">
        <f t="shared" ref="L41:Q41" si="21">IF(N31&gt;N35,"IOD &gt; Dist","IOD &lt; Dist")</f>
        <v>#REF!</v>
      </c>
      <c r="M41" s="344" t="str">
        <f t="shared" si="21"/>
        <v>IOD &lt; Dist</v>
      </c>
      <c r="N41" s="344" t="str">
        <f t="shared" si="21"/>
        <v>IOD &lt; Dist</v>
      </c>
      <c r="O41" s="344" t="str">
        <f t="shared" si="21"/>
        <v>IOD &lt; Dist</v>
      </c>
      <c r="P41" s="344" t="e">
        <f t="shared" si="21"/>
        <v>#REF!</v>
      </c>
      <c r="Q41" s="344" t="e">
        <f t="shared" si="21"/>
        <v>#REF!</v>
      </c>
      <c r="R41" s="344" t="e">
        <f t="shared" ref="R41:AD41" si="22">IF(U31&gt;U35,"IOD &gt; Dist","IOD &lt; Dist")</f>
        <v>#REF!</v>
      </c>
      <c r="S41" s="344" t="str">
        <f t="shared" si="22"/>
        <v>IOD &gt; Dist</v>
      </c>
      <c r="T41" s="344" t="str">
        <f t="shared" si="22"/>
        <v>IOD &gt; Dist</v>
      </c>
      <c r="U41" s="344" t="str">
        <f t="shared" si="22"/>
        <v>IOD &gt; Dist</v>
      </c>
      <c r="V41" s="344" t="str">
        <f t="shared" si="22"/>
        <v>IOD &gt; Dist</v>
      </c>
      <c r="W41" s="344" t="str">
        <f t="shared" si="22"/>
        <v>IOD &gt; Dist</v>
      </c>
      <c r="X41" s="344" t="str">
        <f t="shared" si="22"/>
        <v>IOD &gt; Dist</v>
      </c>
      <c r="Y41" s="344" t="str">
        <f t="shared" si="22"/>
        <v>IOD &lt; Dist</v>
      </c>
      <c r="Z41" s="344" t="str">
        <f t="shared" si="22"/>
        <v>IOD &lt; Dist</v>
      </c>
      <c r="AA41" s="344" t="str">
        <f t="shared" si="22"/>
        <v>IOD &gt; Dist</v>
      </c>
      <c r="AB41" s="344" t="str">
        <f t="shared" si="22"/>
        <v>IOD &lt; Dist</v>
      </c>
      <c r="AC41" s="344" t="str">
        <f t="shared" si="22"/>
        <v>IOD &lt; Dist</v>
      </c>
      <c r="AD41" s="344" t="str">
        <f t="shared" si="22"/>
        <v>IOD &lt; Dist</v>
      </c>
    </row>
    <row r="42" spans="1:33" hidden="1" outlineLevel="1" x14ac:dyDescent="0.45">
      <c r="E42" s="344"/>
      <c r="F42" s="344"/>
      <c r="I42" s="344"/>
      <c r="J42" s="344"/>
    </row>
    <row r="43" spans="1:33" hidden="1" outlineLevel="1" x14ac:dyDescent="0.45">
      <c r="C43" s="950"/>
      <c r="D43" s="950"/>
      <c r="E43" s="344"/>
      <c r="F43" s="344"/>
      <c r="I43" s="344"/>
      <c r="J43" s="344"/>
    </row>
    <row r="44" spans="1:33" hidden="1" outlineLevel="1" x14ac:dyDescent="0.45">
      <c r="B44" s="949"/>
      <c r="C44" s="950"/>
      <c r="D44" s="950"/>
      <c r="E44" s="344"/>
      <c r="F44" s="344"/>
      <c r="I44" s="344"/>
      <c r="J44" s="344"/>
    </row>
    <row r="45" spans="1:33" ht="14.65" hidden="1" outlineLevel="1" thickBot="1" x14ac:dyDescent="0.5">
      <c r="B45" s="340"/>
      <c r="C45" s="949"/>
      <c r="E45" s="344"/>
      <c r="F45" s="344"/>
      <c r="I45" s="344"/>
      <c r="J45" s="344"/>
    </row>
    <row r="46" spans="1:33" s="979" customFormat="1" ht="29.25" hidden="1" outlineLevel="1" thickTop="1" thickBot="1" x14ac:dyDescent="0.5">
      <c r="D46" s="1010" t="s">
        <v>8</v>
      </c>
      <c r="E46" s="1011" t="s">
        <v>9</v>
      </c>
      <c r="F46" s="1012" t="s">
        <v>10</v>
      </c>
      <c r="G46" s="1012" t="str">
        <f>G9</f>
        <v>Scenario +15%, 1100</v>
      </c>
      <c r="H46" s="1012" t="str">
        <f>H9</f>
        <v>Scenario +15%, 1200</v>
      </c>
      <c r="J46" s="1010" t="s">
        <v>8</v>
      </c>
      <c r="K46" s="1011" t="s">
        <v>9</v>
      </c>
      <c r="L46" s="1012" t="s">
        <v>10</v>
      </c>
      <c r="M46" s="1012" t="str">
        <f>G46</f>
        <v>Scenario +15%, 1100</v>
      </c>
      <c r="N46" s="1012" t="str">
        <f>H46</f>
        <v>Scenario +15%, 1200</v>
      </c>
      <c r="P46" s="1010" t="s">
        <v>8</v>
      </c>
      <c r="Q46" s="1011" t="s">
        <v>9</v>
      </c>
      <c r="R46" s="1011" t="s">
        <v>10</v>
      </c>
      <c r="S46" s="1011" t="s">
        <v>152</v>
      </c>
      <c r="T46" s="1012" t="str">
        <f>M46</f>
        <v>Scenario +15%, 1100</v>
      </c>
      <c r="U46" s="1012" t="str">
        <f>N46</f>
        <v>Scenario +15%, 1200</v>
      </c>
    </row>
    <row r="47" spans="1:33" ht="14.65" hidden="1" outlineLevel="1" thickTop="1" x14ac:dyDescent="0.45">
      <c r="B47" s="883" t="s">
        <v>171</v>
      </c>
      <c r="C47" s="884"/>
      <c r="D47" s="884" t="e">
        <f>'Pricing Structure - GSS'!#REF!</f>
        <v>#REF!</v>
      </c>
      <c r="E47" s="884" t="e">
        <f>'Pricing Structure - GSS'!#REF!</f>
        <v>#REF!</v>
      </c>
      <c r="F47" s="884" t="e">
        <f>'Pricing Structure - GSS'!#REF!</f>
        <v>#REF!</v>
      </c>
      <c r="G47" s="884" t="e">
        <f>'Pricing Structure - GSS'!#REF!</f>
        <v>#REF!</v>
      </c>
      <c r="H47" s="884" t="e">
        <f>'Pricing Structure - GSS'!#REF!</f>
        <v>#REF!</v>
      </c>
      <c r="I47" s="884"/>
      <c r="J47" s="884" t="e">
        <f>'Pricing Structure - IIP'!#REF!</f>
        <v>#REF!</v>
      </c>
      <c r="K47" s="884" t="e">
        <f>'Pricing Structure - IIP'!#REF!</f>
        <v>#REF!</v>
      </c>
      <c r="L47" s="884" t="e">
        <f>'Pricing Structure - IIP'!#REF!</f>
        <v>#REF!</v>
      </c>
      <c r="M47" s="884" t="e">
        <f>'Pricing Structure - IIP'!#REF!</f>
        <v>#REF!</v>
      </c>
      <c r="N47" s="884" t="e">
        <f>'Pricing Structure - IIP'!#REF!</f>
        <v>#REF!</v>
      </c>
      <c r="O47" s="884"/>
      <c r="P47" s="884" t="e">
        <f>'Pricing Structure - IHAG'!#REF!</f>
        <v>#REF!</v>
      </c>
      <c r="Q47" s="884" t="e">
        <f>'Pricing Structure - IHAG'!#REF!</f>
        <v>#REF!</v>
      </c>
      <c r="R47" s="884" t="e">
        <f>'Pricing Structure - IHAG'!#REF!</f>
        <v>#REF!</v>
      </c>
      <c r="S47" s="884" t="e">
        <f>'Pricing Structure - IHAG'!#REF!</f>
        <v>#REF!</v>
      </c>
      <c r="T47" s="884" t="e">
        <f>'Pricing Structure - IHAG'!#REF!</f>
        <v>#REF!</v>
      </c>
      <c r="U47" s="884" t="e">
        <f>'Pricing Structure - IHAG'!#REF!</f>
        <v>#REF!</v>
      </c>
    </row>
    <row r="48" spans="1:33" hidden="1" outlineLevel="1" x14ac:dyDescent="0.45">
      <c r="B48" s="317" t="s">
        <v>172</v>
      </c>
      <c r="C48" s="885"/>
      <c r="D48" s="885" t="e">
        <f>'Pricing Structure - GSS'!#REF!</f>
        <v>#REF!</v>
      </c>
      <c r="E48" s="885" t="e">
        <f>'Pricing Structure - GSS'!#REF!</f>
        <v>#REF!</v>
      </c>
      <c r="F48" s="885" t="e">
        <f>'Pricing Structure - GSS'!#REF!</f>
        <v>#REF!</v>
      </c>
      <c r="G48" s="885" t="e">
        <f>'Pricing Structure - GSS'!#REF!</f>
        <v>#REF!</v>
      </c>
      <c r="H48" s="885" t="e">
        <f>'Pricing Structure - GSS'!#REF!</f>
        <v>#REF!</v>
      </c>
      <c r="I48" s="885"/>
      <c r="J48" s="885" t="e">
        <f>'Pricing Structure - IIP'!#REF!</f>
        <v>#REF!</v>
      </c>
      <c r="K48" s="885" t="e">
        <f>'Pricing Structure - IIP'!#REF!</f>
        <v>#REF!</v>
      </c>
      <c r="L48" s="885" t="e">
        <f>'Pricing Structure - IIP'!#REF!</f>
        <v>#REF!</v>
      </c>
      <c r="M48" s="885" t="e">
        <f>'Pricing Structure - IIP'!#REF!</f>
        <v>#REF!</v>
      </c>
      <c r="N48" s="885" t="e">
        <f>'Pricing Structure - IIP'!#REF!</f>
        <v>#REF!</v>
      </c>
      <c r="O48" s="885"/>
      <c r="P48" s="885" t="e">
        <f>'Pricing Structure - IHAG'!#REF!</f>
        <v>#REF!</v>
      </c>
      <c r="Q48" s="885" t="e">
        <f>'Pricing Structure - IHAG'!#REF!</f>
        <v>#REF!</v>
      </c>
      <c r="R48" s="885" t="e">
        <f>'Pricing Structure - IHAG'!#REF!</f>
        <v>#REF!</v>
      </c>
      <c r="S48" s="885" t="e">
        <f>'Pricing Structure - IHAG'!#REF!</f>
        <v>#REF!</v>
      </c>
      <c r="T48" s="885" t="e">
        <f>'Pricing Structure - IHAG'!#REF!</f>
        <v>#REF!</v>
      </c>
      <c r="U48" s="885" t="e">
        <f>'Pricing Structure - IHAG'!#REF!</f>
        <v>#REF!</v>
      </c>
    </row>
    <row r="49" spans="2:21" hidden="1" outlineLevel="1" x14ac:dyDescent="0.45">
      <c r="B49" s="317" t="s">
        <v>173</v>
      </c>
      <c r="C49" s="885"/>
      <c r="D49" s="885" t="e">
        <f>D48-D$47-'Pricing Structure - GSS'!#REF!</f>
        <v>#REF!</v>
      </c>
      <c r="E49" s="885" t="e">
        <f>E48-E$47-'Pricing Structure - GSS'!#REF!</f>
        <v>#REF!</v>
      </c>
      <c r="F49" s="885" t="e">
        <f>F48-F$47-'Pricing Structure - GSS'!#REF!</f>
        <v>#REF!</v>
      </c>
      <c r="G49" s="885" t="e">
        <f>G48-G$47-'Pricing Structure - GSS'!#REF!</f>
        <v>#REF!</v>
      </c>
      <c r="H49" s="885" t="e">
        <f>H48-H$47-'Pricing Structure - GSS'!#REF!</f>
        <v>#REF!</v>
      </c>
      <c r="I49" s="885"/>
      <c r="J49" s="885" t="e">
        <f>J48-J$47-'Pricing Structure - IIP'!#REF!</f>
        <v>#REF!</v>
      </c>
      <c r="K49" s="885" t="e">
        <f>K48-K$47-'Pricing Structure - IIP'!#REF!</f>
        <v>#REF!</v>
      </c>
      <c r="L49" s="885" t="e">
        <f>L48-L$47-'Pricing Structure - IIP'!#REF!</f>
        <v>#REF!</v>
      </c>
      <c r="M49" s="885" t="e">
        <f>M48-M$47-'Pricing Structure - IIP'!#REF!</f>
        <v>#REF!</v>
      </c>
      <c r="N49" s="885" t="e">
        <f>N48-N$47-'Pricing Structure - IIP'!#REF!</f>
        <v>#REF!</v>
      </c>
      <c r="O49" s="885"/>
      <c r="P49" s="885" t="e">
        <f>P48-P$47-'Pricing Structure - IHAG'!#REF!</f>
        <v>#REF!</v>
      </c>
      <c r="Q49" s="885" t="e">
        <f>Q48-Q$47-'Pricing Structure - IHAG'!#REF!</f>
        <v>#REF!</v>
      </c>
      <c r="R49" s="885" t="e">
        <f>R48-R$47-'Pricing Structure - IHAG'!#REF!</f>
        <v>#REF!</v>
      </c>
      <c r="S49" s="885" t="e">
        <f>S48-S$47-'Pricing Structure - IHAG'!#REF!</f>
        <v>#REF!</v>
      </c>
      <c r="T49" s="885" t="e">
        <f>T48-T$47-'Pricing Structure - IHAG'!#REF!</f>
        <v>#REF!</v>
      </c>
      <c r="U49" s="885" t="e">
        <f>U48-U$47-'Pricing Structure - IHAG'!#REF!</f>
        <v>#REF!</v>
      </c>
    </row>
    <row r="50" spans="2:21" ht="14.65" hidden="1" outlineLevel="1" thickBot="1" x14ac:dyDescent="0.5">
      <c r="B50" s="886" t="s">
        <v>174</v>
      </c>
      <c r="C50" s="887"/>
      <c r="D50" s="887">
        <f>IFERROR(D49/D48,0)</f>
        <v>0</v>
      </c>
      <c r="E50" s="887">
        <f>IFERROR(E49/E48,0)</f>
        <v>0</v>
      </c>
      <c r="F50" s="887">
        <f>IFERROR(F49/F48,0)</f>
        <v>0</v>
      </c>
      <c r="G50" s="887">
        <f>IFERROR(G49/G48,0)</f>
        <v>0</v>
      </c>
      <c r="H50" s="887">
        <f>IFERROR(H49/H48,0)</f>
        <v>0</v>
      </c>
      <c r="I50" s="887"/>
      <c r="J50" s="887">
        <f>IFERROR(J49/J48,0)</f>
        <v>0</v>
      </c>
      <c r="K50" s="887">
        <f>IFERROR(K49/K48,0)</f>
        <v>0</v>
      </c>
      <c r="L50" s="887">
        <f>IFERROR(L49/L48,0)</f>
        <v>0</v>
      </c>
      <c r="M50" s="887">
        <f>IFERROR(M49/M48,0)</f>
        <v>0</v>
      </c>
      <c r="N50" s="887">
        <f>IFERROR(N49/N48,0)</f>
        <v>0</v>
      </c>
      <c r="O50" s="887"/>
      <c r="P50" s="887">
        <f t="shared" ref="P50:U50" si="23">IFERROR(P49/P48,0)</f>
        <v>0</v>
      </c>
      <c r="Q50" s="887">
        <f t="shared" si="23"/>
        <v>0</v>
      </c>
      <c r="R50" s="887">
        <f t="shared" si="23"/>
        <v>0</v>
      </c>
      <c r="S50" s="887">
        <f t="shared" si="23"/>
        <v>0</v>
      </c>
      <c r="T50" s="887">
        <f t="shared" si="23"/>
        <v>0</v>
      </c>
      <c r="U50" s="887">
        <f t="shared" si="23"/>
        <v>0</v>
      </c>
    </row>
    <row r="51" spans="2:21" ht="14.65" hidden="1" outlineLevel="1" thickTop="1" x14ac:dyDescent="0.45">
      <c r="B51" s="1015"/>
      <c r="C51" s="1016"/>
      <c r="D51" s="953" t="e">
        <f t="shared" ref="D51:U51" si="24">D48-D47</f>
        <v>#REF!</v>
      </c>
      <c r="E51" s="953" t="e">
        <f t="shared" si="24"/>
        <v>#REF!</v>
      </c>
      <c r="F51" s="953" t="e">
        <f t="shared" si="24"/>
        <v>#REF!</v>
      </c>
      <c r="G51" s="953" t="e">
        <f t="shared" si="24"/>
        <v>#REF!</v>
      </c>
      <c r="H51" s="953" t="e">
        <f t="shared" si="24"/>
        <v>#REF!</v>
      </c>
      <c r="I51" s="953">
        <f t="shared" si="24"/>
        <v>0</v>
      </c>
      <c r="J51" s="953" t="e">
        <f t="shared" si="24"/>
        <v>#REF!</v>
      </c>
      <c r="K51" s="953" t="e">
        <f t="shared" si="24"/>
        <v>#REF!</v>
      </c>
      <c r="L51" s="953" t="e">
        <f t="shared" si="24"/>
        <v>#REF!</v>
      </c>
      <c r="M51" s="953" t="e">
        <f t="shared" si="24"/>
        <v>#REF!</v>
      </c>
      <c r="N51" s="953" t="e">
        <f t="shared" si="24"/>
        <v>#REF!</v>
      </c>
      <c r="O51" s="953">
        <f t="shared" si="24"/>
        <v>0</v>
      </c>
      <c r="P51" s="953" t="e">
        <f t="shared" si="24"/>
        <v>#REF!</v>
      </c>
      <c r="Q51" s="953" t="e">
        <f t="shared" si="24"/>
        <v>#REF!</v>
      </c>
      <c r="R51" s="953" t="e">
        <f t="shared" si="24"/>
        <v>#REF!</v>
      </c>
      <c r="S51" s="953" t="e">
        <f t="shared" si="24"/>
        <v>#REF!</v>
      </c>
      <c r="T51" s="953" t="e">
        <f t="shared" si="24"/>
        <v>#REF!</v>
      </c>
      <c r="U51" s="953" t="e">
        <f t="shared" si="24"/>
        <v>#REF!</v>
      </c>
    </row>
    <row r="52" spans="2:21" collapsed="1" x14ac:dyDescent="0.45">
      <c r="B52" s="340" t="s">
        <v>177</v>
      </c>
      <c r="C52" s="340"/>
      <c r="D52" s="954" t="e">
        <f t="shared" ref="D52:U52" si="25">D51-D49</f>
        <v>#REF!</v>
      </c>
      <c r="E52" s="954" t="e">
        <f t="shared" si="25"/>
        <v>#REF!</v>
      </c>
      <c r="F52" s="954" t="e">
        <f t="shared" si="25"/>
        <v>#REF!</v>
      </c>
      <c r="G52" s="954" t="e">
        <f t="shared" si="25"/>
        <v>#REF!</v>
      </c>
      <c r="H52" s="954" t="e">
        <f t="shared" si="25"/>
        <v>#REF!</v>
      </c>
      <c r="I52" s="954">
        <f t="shared" si="25"/>
        <v>0</v>
      </c>
      <c r="J52" s="954" t="e">
        <f t="shared" si="25"/>
        <v>#REF!</v>
      </c>
      <c r="K52" s="954" t="e">
        <f t="shared" si="25"/>
        <v>#REF!</v>
      </c>
      <c r="L52" s="954" t="e">
        <f t="shared" si="25"/>
        <v>#REF!</v>
      </c>
      <c r="M52" s="954" t="e">
        <f t="shared" si="25"/>
        <v>#REF!</v>
      </c>
      <c r="N52" s="954" t="e">
        <f t="shared" si="25"/>
        <v>#REF!</v>
      </c>
      <c r="O52" s="954">
        <f t="shared" si="25"/>
        <v>0</v>
      </c>
      <c r="P52" s="954" t="e">
        <f t="shared" si="25"/>
        <v>#REF!</v>
      </c>
      <c r="Q52" s="954" t="e">
        <f t="shared" si="25"/>
        <v>#REF!</v>
      </c>
      <c r="R52" s="954" t="e">
        <f t="shared" si="25"/>
        <v>#REF!</v>
      </c>
      <c r="S52" s="954" t="e">
        <f t="shared" si="25"/>
        <v>#REF!</v>
      </c>
      <c r="T52" s="954" t="e">
        <f t="shared" si="25"/>
        <v>#REF!</v>
      </c>
      <c r="U52" s="954" t="e">
        <f t="shared" si="25"/>
        <v>#REF!</v>
      </c>
    </row>
    <row r="53" spans="2:21" x14ac:dyDescent="0.45">
      <c r="D53" s="1013"/>
      <c r="E53" s="1014"/>
      <c r="F53" s="1014"/>
      <c r="G53" s="1013"/>
      <c r="H53" s="1013"/>
      <c r="I53" s="1014"/>
      <c r="J53" s="1014"/>
      <c r="K53" s="1013"/>
      <c r="L53" s="1013"/>
      <c r="M53" s="1013"/>
      <c r="N53" s="1013"/>
      <c r="O53" s="1013"/>
      <c r="P53" s="1013"/>
      <c r="Q53" s="1013"/>
      <c r="R53" s="1013"/>
      <c r="S53" s="1013"/>
      <c r="T53" s="1013"/>
      <c r="U53" s="1013"/>
    </row>
  </sheetData>
  <conditionalFormatting sqref="C41:AD41">
    <cfRule type="containsText" dxfId="8" priority="1" operator="containsText" text="&lt;">
      <formula>NOT(ISERROR(SEARCH("&lt;",C41)))</formula>
    </cfRule>
  </conditionalFormatting>
  <pageMargins left="0.7" right="0.7" top="0.75" bottom="0.75" header="0.3" footer="0.3"/>
  <pageSetup paperSize="9" orientation="portrait" verticalDpi="598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2F2E-A094-404C-A39C-FFE57C75E3B8}">
  <dimension ref="A2:DE43"/>
  <sheetViews>
    <sheetView showGridLines="0" zoomScaleNormal="100" workbookViewId="0">
      <pane xSplit="2" ySplit="14" topLeftCell="Z15" activePane="bottomRight" state="frozen"/>
      <selection pane="topRight" activeCell="CS62" sqref="CS62"/>
      <selection pane="bottomLeft" activeCell="CS62" sqref="CS62"/>
      <selection pane="bottomRight" activeCell="CS62" sqref="CS62"/>
    </sheetView>
  </sheetViews>
  <sheetFormatPr defaultRowHeight="14.25" outlineLevelRow="1" outlineLevelCol="1" x14ac:dyDescent="0.45"/>
  <cols>
    <col min="2" max="2" width="23" bestFit="1" customWidth="1"/>
    <col min="3" max="3" width="12.86328125" hidden="1" customWidth="1" outlineLevel="1"/>
    <col min="4" max="4" width="11.73046875" hidden="1" customWidth="1" outlineLevel="1"/>
    <col min="5" max="5" width="14.1328125" hidden="1" customWidth="1" outlineLevel="1"/>
    <col min="6" max="6" width="13.3984375" hidden="1" customWidth="1" outlineLevel="1"/>
    <col min="7" max="7" width="16" hidden="1" customWidth="1" outlineLevel="1"/>
    <col min="8" max="8" width="15.1328125" hidden="1" customWidth="1" outlineLevel="1"/>
    <col min="9" max="9" width="14.59765625" hidden="1" customWidth="1" outlineLevel="1"/>
    <col min="10" max="10" width="13.265625" bestFit="1" customWidth="1" collapsed="1"/>
    <col min="11" max="11" width="12.86328125" hidden="1" customWidth="1" outlineLevel="1"/>
    <col min="12" max="12" width="11.73046875" hidden="1" customWidth="1" outlineLevel="1"/>
    <col min="13" max="13" width="14.1328125" hidden="1" customWidth="1" outlineLevel="1"/>
    <col min="14" max="14" width="13.3984375" hidden="1" customWidth="1" outlineLevel="1"/>
    <col min="15" max="15" width="16" hidden="1" customWidth="1" outlineLevel="1"/>
    <col min="16" max="16" width="15.1328125" hidden="1" customWidth="1" outlineLevel="1"/>
    <col min="17" max="17" width="14.59765625" hidden="1" customWidth="1" outlineLevel="1"/>
    <col min="18" max="18" width="12.265625" bestFit="1" customWidth="1" collapsed="1"/>
    <col min="19" max="19" width="12.86328125" hidden="1" customWidth="1" outlineLevel="1"/>
    <col min="20" max="20" width="11.73046875" hidden="1" customWidth="1" outlineLevel="1"/>
    <col min="21" max="21" width="14.1328125" hidden="1" customWidth="1" outlineLevel="1"/>
    <col min="22" max="22" width="13.3984375" hidden="1" customWidth="1" outlineLevel="1"/>
    <col min="23" max="23" width="16" hidden="1" customWidth="1" outlineLevel="1"/>
    <col min="24" max="24" width="15.1328125" hidden="1" customWidth="1" outlineLevel="1"/>
    <col min="25" max="25" width="14.59765625" hidden="1" customWidth="1" outlineLevel="1"/>
    <col min="26" max="26" width="12.265625" bestFit="1" customWidth="1" collapsed="1"/>
    <col min="27" max="27" width="12.86328125" hidden="1" customWidth="1" outlineLevel="1"/>
    <col min="28" max="28" width="11.73046875" hidden="1" customWidth="1" outlineLevel="1"/>
    <col min="29" max="29" width="14.1328125" hidden="1" customWidth="1" outlineLevel="1"/>
    <col min="30" max="30" width="13.3984375" hidden="1" customWidth="1" outlineLevel="1"/>
    <col min="31" max="31" width="16" hidden="1" customWidth="1" outlineLevel="1"/>
    <col min="32" max="32" width="15.1328125" hidden="1" customWidth="1" outlineLevel="1"/>
    <col min="33" max="33" width="14.59765625" hidden="1" customWidth="1" outlineLevel="1"/>
    <col min="34" max="34" width="12.265625" bestFit="1" customWidth="1" collapsed="1"/>
    <col min="35" max="35" width="12.86328125" hidden="1" customWidth="1" outlineLevel="1"/>
    <col min="36" max="36" width="11.73046875" hidden="1" customWidth="1" outlineLevel="1"/>
    <col min="37" max="37" width="14.1328125" hidden="1" customWidth="1" outlineLevel="1"/>
    <col min="38" max="38" width="13.3984375" hidden="1" customWidth="1" outlineLevel="1"/>
    <col min="39" max="39" width="16" hidden="1" customWidth="1" outlineLevel="1"/>
    <col min="40" max="40" width="15.1328125" hidden="1" customWidth="1" outlineLevel="1"/>
    <col min="41" max="41" width="14.59765625" hidden="1" customWidth="1" outlineLevel="1"/>
    <col min="42" max="42" width="11.59765625" bestFit="1" customWidth="1" collapsed="1"/>
    <col min="43" max="43" width="12.86328125" hidden="1" customWidth="1" outlineLevel="1"/>
    <col min="44" max="44" width="11.73046875" hidden="1" customWidth="1" outlineLevel="1"/>
    <col min="45" max="45" width="14.1328125" hidden="1" customWidth="1" outlineLevel="1"/>
    <col min="46" max="46" width="13.3984375" hidden="1" customWidth="1" outlineLevel="1"/>
    <col min="47" max="47" width="16" hidden="1" customWidth="1" outlineLevel="1"/>
    <col min="48" max="48" width="15.1328125" hidden="1" customWidth="1" outlineLevel="1"/>
    <col min="49" max="49" width="14.59765625" hidden="1" customWidth="1" outlineLevel="1"/>
    <col min="50" max="50" width="12.265625" bestFit="1" customWidth="1" collapsed="1"/>
    <col min="51" max="51" width="12.86328125" hidden="1" customWidth="1" outlineLevel="1"/>
    <col min="52" max="52" width="11.73046875" hidden="1" customWidth="1" outlineLevel="1"/>
    <col min="53" max="53" width="14.1328125" hidden="1" customWidth="1" outlineLevel="1"/>
    <col min="54" max="54" width="13.3984375" hidden="1" customWidth="1" outlineLevel="1"/>
    <col min="55" max="55" width="16" hidden="1" customWidth="1" outlineLevel="1"/>
    <col min="56" max="56" width="15.1328125" hidden="1" customWidth="1" outlineLevel="1"/>
    <col min="57" max="57" width="14.59765625" hidden="1" customWidth="1" outlineLevel="1"/>
    <col min="58" max="58" width="12.265625" bestFit="1" customWidth="1" collapsed="1"/>
    <col min="59" max="59" width="12.86328125" hidden="1" customWidth="1" outlineLevel="1"/>
    <col min="60" max="60" width="11.73046875" hidden="1" customWidth="1" outlineLevel="1"/>
    <col min="61" max="61" width="14.1328125" hidden="1" customWidth="1" outlineLevel="1"/>
    <col min="62" max="62" width="13.3984375" hidden="1" customWidth="1" outlineLevel="1"/>
    <col min="63" max="63" width="16" hidden="1" customWidth="1" outlineLevel="1"/>
    <col min="64" max="64" width="15.1328125" hidden="1" customWidth="1" outlineLevel="1"/>
    <col min="65" max="65" width="14.59765625" hidden="1" customWidth="1" outlineLevel="1"/>
    <col min="66" max="66" width="12.265625" bestFit="1" customWidth="1" collapsed="1"/>
    <col min="67" max="67" width="12.86328125" hidden="1" customWidth="1" outlineLevel="1"/>
    <col min="68" max="68" width="11.73046875" hidden="1" customWidth="1" outlineLevel="1"/>
    <col min="69" max="69" width="14.1328125" hidden="1" customWidth="1" outlineLevel="1"/>
    <col min="70" max="70" width="13.3984375" hidden="1" customWidth="1" outlineLevel="1"/>
    <col min="71" max="71" width="16" hidden="1" customWidth="1" outlineLevel="1"/>
    <col min="72" max="72" width="15.1328125" hidden="1" customWidth="1" outlineLevel="1"/>
    <col min="73" max="73" width="14.59765625" hidden="1" customWidth="1" outlineLevel="1"/>
    <col min="74" max="74" width="12.265625" bestFit="1" customWidth="1" collapsed="1"/>
    <col min="75" max="75" width="12.86328125" hidden="1" customWidth="1" outlineLevel="1"/>
    <col min="76" max="76" width="11.73046875" hidden="1" customWidth="1" outlineLevel="1"/>
    <col min="77" max="77" width="14.1328125" hidden="1" customWidth="1" outlineLevel="1"/>
    <col min="78" max="78" width="13.3984375" hidden="1" customWidth="1" outlineLevel="1"/>
    <col min="79" max="79" width="16" hidden="1" customWidth="1" outlineLevel="1"/>
    <col min="80" max="80" width="15.1328125" hidden="1" customWidth="1" outlineLevel="1"/>
    <col min="81" max="81" width="14.59765625" hidden="1" customWidth="1" outlineLevel="1"/>
    <col min="82" max="82" width="11.59765625" bestFit="1" customWidth="1" collapsed="1"/>
    <col min="83" max="83" width="12.86328125" hidden="1" customWidth="1" outlineLevel="1"/>
    <col min="84" max="84" width="11.73046875" hidden="1" customWidth="1" outlineLevel="1"/>
    <col min="85" max="85" width="14.1328125" hidden="1" customWidth="1" outlineLevel="1"/>
    <col min="86" max="86" width="13.3984375" hidden="1" customWidth="1" outlineLevel="1"/>
    <col min="87" max="87" width="16" hidden="1" customWidth="1" outlineLevel="1"/>
    <col min="88" max="88" width="15.1328125" hidden="1" customWidth="1" outlineLevel="1"/>
    <col min="89" max="89" width="14.59765625" hidden="1" customWidth="1" outlineLevel="1"/>
    <col min="90" max="90" width="12.265625" bestFit="1" customWidth="1" collapsed="1"/>
    <col min="91" max="91" width="12.86328125" hidden="1" customWidth="1" outlineLevel="1"/>
    <col min="92" max="92" width="11.73046875" hidden="1" customWidth="1" outlineLevel="1"/>
    <col min="93" max="93" width="14.1328125" hidden="1" customWidth="1" outlineLevel="1"/>
    <col min="94" max="94" width="13.3984375" hidden="1" customWidth="1" outlineLevel="1"/>
    <col min="95" max="95" width="16" hidden="1" customWidth="1" outlineLevel="1"/>
    <col min="96" max="96" width="15.1328125" hidden="1" customWidth="1" outlineLevel="1"/>
    <col min="97" max="97" width="14.59765625" hidden="1" customWidth="1" outlineLevel="1"/>
    <col min="98" max="98" width="12.265625" bestFit="1" customWidth="1" collapsed="1"/>
    <col min="99" max="99" width="12.86328125" hidden="1" customWidth="1" outlineLevel="1"/>
    <col min="100" max="100" width="11.73046875" hidden="1" customWidth="1" outlineLevel="1"/>
    <col min="101" max="101" width="14.1328125" hidden="1" customWidth="1" outlineLevel="1"/>
    <col min="102" max="102" width="13.3984375" hidden="1" customWidth="1" outlineLevel="1"/>
    <col min="103" max="103" width="16" hidden="1" customWidth="1" outlineLevel="1"/>
    <col min="104" max="104" width="15.1328125" hidden="1" customWidth="1" outlineLevel="1"/>
    <col min="105" max="105" width="14.59765625" hidden="1" customWidth="1" outlineLevel="1"/>
    <col min="106" max="106" width="13.265625" bestFit="1" customWidth="1" collapsed="1"/>
    <col min="107" max="107" width="12.59765625" bestFit="1" customWidth="1"/>
  </cols>
  <sheetData>
    <row r="2" spans="2:107" hidden="1" outlineLevel="1" x14ac:dyDescent="0.45">
      <c r="B2" t="s">
        <v>178</v>
      </c>
      <c r="C2">
        <v>3</v>
      </c>
      <c r="D2">
        <v>9</v>
      </c>
      <c r="E2">
        <v>15</v>
      </c>
      <c r="F2">
        <v>21</v>
      </c>
      <c r="G2">
        <v>27</v>
      </c>
      <c r="H2">
        <v>24</v>
      </c>
      <c r="I2">
        <v>30</v>
      </c>
    </row>
    <row r="3" spans="2:107" hidden="1" outlineLevel="1" x14ac:dyDescent="0.45">
      <c r="B3" t="s">
        <v>179</v>
      </c>
      <c r="C3">
        <v>5</v>
      </c>
      <c r="D3">
        <v>11</v>
      </c>
      <c r="E3">
        <v>19</v>
      </c>
      <c r="F3">
        <v>22</v>
      </c>
      <c r="G3">
        <v>28</v>
      </c>
      <c r="H3">
        <v>25</v>
      </c>
      <c r="I3">
        <v>31</v>
      </c>
    </row>
    <row r="4" spans="2:107" hidden="1" outlineLevel="1" x14ac:dyDescent="0.45"/>
    <row r="5" spans="2:107" hidden="1" outlineLevel="1" x14ac:dyDescent="0.45">
      <c r="B5" t="s">
        <v>180</v>
      </c>
      <c r="C5">
        <v>3</v>
      </c>
      <c r="D5">
        <v>9</v>
      </c>
      <c r="E5">
        <v>15</v>
      </c>
      <c r="F5">
        <v>21</v>
      </c>
      <c r="G5">
        <v>27</v>
      </c>
      <c r="H5">
        <v>24</v>
      </c>
      <c r="I5">
        <v>30</v>
      </c>
    </row>
    <row r="6" spans="2:107" hidden="1" outlineLevel="1" x14ac:dyDescent="0.45">
      <c r="B6" t="s">
        <v>181</v>
      </c>
      <c r="C6">
        <v>5</v>
      </c>
      <c r="D6">
        <v>11</v>
      </c>
      <c r="E6">
        <v>19</v>
      </c>
      <c r="F6">
        <v>22</v>
      </c>
      <c r="G6">
        <v>28</v>
      </c>
      <c r="H6">
        <v>25</v>
      </c>
      <c r="I6">
        <v>31</v>
      </c>
    </row>
    <row r="7" spans="2:107" hidden="1" outlineLevel="1" x14ac:dyDescent="0.45">
      <c r="B7" t="s">
        <v>182</v>
      </c>
      <c r="C7">
        <v>5</v>
      </c>
      <c r="D7">
        <v>11</v>
      </c>
      <c r="E7">
        <v>19</v>
      </c>
      <c r="F7">
        <v>22</v>
      </c>
      <c r="G7">
        <v>28</v>
      </c>
      <c r="H7">
        <v>25</v>
      </c>
      <c r="I7">
        <v>31</v>
      </c>
    </row>
    <row r="8" spans="2:107" hidden="1" outlineLevel="1" x14ac:dyDescent="0.45"/>
    <row r="9" spans="2:107" hidden="1" outlineLevel="1" x14ac:dyDescent="0.45">
      <c r="B9" t="s">
        <v>183</v>
      </c>
      <c r="C9">
        <v>1</v>
      </c>
      <c r="K9">
        <v>1</v>
      </c>
      <c r="S9">
        <v>1</v>
      </c>
      <c r="AA9">
        <v>1</v>
      </c>
      <c r="AI9">
        <v>1</v>
      </c>
      <c r="AQ9">
        <v>1</v>
      </c>
      <c r="AY9">
        <v>2</v>
      </c>
      <c r="BG9">
        <v>2</v>
      </c>
      <c r="BO9">
        <v>2</v>
      </c>
      <c r="BW9">
        <v>2</v>
      </c>
      <c r="CE9">
        <v>2</v>
      </c>
      <c r="CM9">
        <v>2</v>
      </c>
    </row>
    <row r="10" spans="2:107" hidden="1" outlineLevel="1" x14ac:dyDescent="0.45">
      <c r="C10">
        <f>IF($C9=1,$C2,$C3)</f>
        <v>3</v>
      </c>
      <c r="D10">
        <f>IF($C9=1,$D2,$D3)</f>
        <v>9</v>
      </c>
      <c r="E10">
        <f>IF($C9=1,$E2,$E3)</f>
        <v>15</v>
      </c>
      <c r="F10">
        <f>IF($C9=1,$F2,$F3)</f>
        <v>21</v>
      </c>
      <c r="G10">
        <f>IF($C9=1,$G2,$G3)</f>
        <v>27</v>
      </c>
      <c r="H10">
        <f>IF($C9=1,$H2,$H3)</f>
        <v>24</v>
      </c>
      <c r="I10">
        <f>IF($I9=1,$I2,$I3)</f>
        <v>31</v>
      </c>
      <c r="K10">
        <f>IF(K9=1,$C2,$C3)</f>
        <v>3</v>
      </c>
      <c r="L10">
        <f>IF(K9=1,$D2,$D3)</f>
        <v>9</v>
      </c>
      <c r="M10">
        <f>IF(K9=1,$E2,$E3)</f>
        <v>15</v>
      </c>
      <c r="N10">
        <f>IF(K9=1,$F2,$F3)</f>
        <v>21</v>
      </c>
      <c r="O10">
        <f>IF(K9=1,$G2,$G3)</f>
        <v>27</v>
      </c>
      <c r="P10">
        <f>IF(K9=1,$H2,$H3)</f>
        <v>24</v>
      </c>
      <c r="Q10">
        <f>IF(K9=1,$I2,$I3)</f>
        <v>30</v>
      </c>
      <c r="S10">
        <f>IF(S9=1,$C2,$C3)</f>
        <v>3</v>
      </c>
      <c r="T10">
        <f>IF(S9=1,$D2,$D3)</f>
        <v>9</v>
      </c>
      <c r="U10">
        <f>IF(S9=1,$E2,$E3)</f>
        <v>15</v>
      </c>
      <c r="V10">
        <f>IF(S9=1,$F2,$F3)</f>
        <v>21</v>
      </c>
      <c r="W10">
        <f>IF(S9=1,$G2,$G3)</f>
        <v>27</v>
      </c>
      <c r="X10">
        <f>IF(S9=1,$H2,$H3)</f>
        <v>24</v>
      </c>
      <c r="Y10">
        <f>IF(S9=1,$I2,$I3)</f>
        <v>30</v>
      </c>
      <c r="AA10">
        <f>IF(AA9=1,$C2,$C3)</f>
        <v>3</v>
      </c>
      <c r="AB10">
        <f>IF(AA9=1,$D2,$D3)</f>
        <v>9</v>
      </c>
      <c r="AC10">
        <f>IF(AA9=1,$E2,$E3)</f>
        <v>15</v>
      </c>
      <c r="AD10">
        <f>IF(AA9=1,$F2,$F3)</f>
        <v>21</v>
      </c>
      <c r="AE10">
        <f>IF(AA9=1,$G2,$G3)</f>
        <v>27</v>
      </c>
      <c r="AF10">
        <f>IF(AA9=1,$H2,$H3)</f>
        <v>24</v>
      </c>
      <c r="AG10">
        <f>IF(AA9=1,$I2,$I3)</f>
        <v>30</v>
      </c>
      <c r="AI10">
        <f>IF(AI9=1,$C2,$C3)</f>
        <v>3</v>
      </c>
      <c r="AJ10">
        <f>IF(AI9=1,$D2,$D3)</f>
        <v>9</v>
      </c>
      <c r="AK10">
        <f>IF(AI9=1,$E2,$E3)</f>
        <v>15</v>
      </c>
      <c r="AL10">
        <f>IF(AI9=1,$F2,$F3)</f>
        <v>21</v>
      </c>
      <c r="AM10">
        <f>IF(AI9=1,$G2,$G3)</f>
        <v>27</v>
      </c>
      <c r="AN10">
        <f>IF(AI9=1,$H2,$H3)</f>
        <v>24</v>
      </c>
      <c r="AO10">
        <f>IF(AI9=1,$I2,$I3)</f>
        <v>30</v>
      </c>
      <c r="AQ10">
        <f>IF(AQ9=1,$C2,$C3)</f>
        <v>3</v>
      </c>
      <c r="AR10">
        <f>IF(AQ9=1,$D2,$D3)</f>
        <v>9</v>
      </c>
      <c r="AS10">
        <f>IF(AQ9=1,$E2,$E3)</f>
        <v>15</v>
      </c>
      <c r="AT10">
        <f>IF(AQ9=1,$F2,$F3)</f>
        <v>21</v>
      </c>
      <c r="AU10">
        <f>IF(AQ9=1,$G2,$G3)</f>
        <v>27</v>
      </c>
      <c r="AV10">
        <f>IF(AQ9=1,$H2,$H3)</f>
        <v>24</v>
      </c>
      <c r="AW10">
        <f>IF(AQ9=1,$I2,$I3)</f>
        <v>30</v>
      </c>
      <c r="AY10">
        <f>IF(AY9=1,$C2,$C3)</f>
        <v>5</v>
      </c>
      <c r="AZ10">
        <f>IF(AY9=1,$D2,$D3)</f>
        <v>11</v>
      </c>
      <c r="BA10">
        <f>IF(AY9=1,$E2,$E3)</f>
        <v>19</v>
      </c>
      <c r="BB10">
        <f>IF(AY9=1,$F2,$F3)</f>
        <v>22</v>
      </c>
      <c r="BC10">
        <f>IF(AY9=1,$G2,$G3)</f>
        <v>28</v>
      </c>
      <c r="BD10">
        <f>IF(AY9=1,$H2,$H3)</f>
        <v>25</v>
      </c>
      <c r="BE10">
        <f>IF(AY9=1,$I2,$I3)</f>
        <v>31</v>
      </c>
      <c r="BG10">
        <f>IF(BG9=1,$C2,$C3)</f>
        <v>5</v>
      </c>
      <c r="BH10">
        <f>IF(BG9=1,$D2,$D3)</f>
        <v>11</v>
      </c>
      <c r="BI10">
        <f>IF(BG9=1,$E2,$E3)</f>
        <v>19</v>
      </c>
      <c r="BJ10">
        <f>IF(BG9=1,$F2,$F3)</f>
        <v>22</v>
      </c>
      <c r="BK10">
        <f>IF(BG9=1,$G2,$G3)</f>
        <v>28</v>
      </c>
      <c r="BL10">
        <f>IF(BG9=1,$H2,$H3)</f>
        <v>25</v>
      </c>
      <c r="BM10">
        <f>IF(BG9=1,$I2,$I3)</f>
        <v>31</v>
      </c>
      <c r="BO10">
        <f>IF(BO9=1,$C2,$C3)</f>
        <v>5</v>
      </c>
      <c r="BP10">
        <f>IF(BO9=1,$D2,$D3)</f>
        <v>11</v>
      </c>
      <c r="BQ10">
        <f>IF(BO9=1,$E2,$E3)</f>
        <v>19</v>
      </c>
      <c r="BR10">
        <f>IF(BO9=1,$F2,$F3)</f>
        <v>22</v>
      </c>
      <c r="BS10">
        <f>IF(BO9=1,$G2,$G3)</f>
        <v>28</v>
      </c>
      <c r="BT10">
        <f>IF(BO9=1,$H2,$H3)</f>
        <v>25</v>
      </c>
      <c r="BU10">
        <f>IF(BO9=1,$I2,$I3)</f>
        <v>31</v>
      </c>
      <c r="BW10">
        <f>IF(BW9=1,$C2,$C3)</f>
        <v>5</v>
      </c>
      <c r="BX10">
        <f>IF(BW9=1,$D2,$D3)</f>
        <v>11</v>
      </c>
      <c r="BY10">
        <f>IF(BW9=1,$E2,$E3)</f>
        <v>19</v>
      </c>
      <c r="BZ10">
        <f>IF(BW9=1,$F2,$F3)</f>
        <v>22</v>
      </c>
      <c r="CA10">
        <f>IF(BW9=1,$G2,$G3)</f>
        <v>28</v>
      </c>
      <c r="CB10">
        <f>IF(BW9=1,$H2,$H3)</f>
        <v>25</v>
      </c>
      <c r="CC10">
        <f>IF(BW9=1,$I2,$I3)</f>
        <v>31</v>
      </c>
      <c r="CE10">
        <f>IF(CE9=1,$C2,$C3)</f>
        <v>5</v>
      </c>
      <c r="CF10">
        <f>IF(CE9=1,$D2,$D3)</f>
        <v>11</v>
      </c>
      <c r="CG10">
        <f>IF(CE9=1,$E2,$E3)</f>
        <v>19</v>
      </c>
      <c r="CH10">
        <f>IF(CE9=1,$F2,$F3)</f>
        <v>22</v>
      </c>
      <c r="CI10">
        <f>IF(CE9=1,$G2,$G3)</f>
        <v>28</v>
      </c>
      <c r="CJ10">
        <f>IF(CE9=1,$H2,$H3)</f>
        <v>25</v>
      </c>
      <c r="CK10">
        <f>IF(CE9=1,$I2,$I3)</f>
        <v>31</v>
      </c>
      <c r="CM10">
        <f>IF(CM9=1,$C2,$C3)</f>
        <v>5</v>
      </c>
      <c r="CN10">
        <f>IF(CM9=1,$D2,$D3)</f>
        <v>11</v>
      </c>
      <c r="CO10">
        <f>IF(CM9=1,$E2,$E3)</f>
        <v>19</v>
      </c>
      <c r="CP10">
        <f>IF(CM9=1,$F2,$F3)</f>
        <v>22</v>
      </c>
      <c r="CQ10">
        <f>IF(CM9=1,$G2,$G3)</f>
        <v>28</v>
      </c>
      <c r="CR10">
        <f>IF(CM9=1,$H2,$H3)</f>
        <v>25</v>
      </c>
      <c r="CS10">
        <f>IF(CM9=1,$I2,$I3)</f>
        <v>31</v>
      </c>
    </row>
    <row r="11" spans="2:107" hidden="1" outlineLevel="1" x14ac:dyDescent="0.45">
      <c r="B11" t="s">
        <v>184</v>
      </c>
      <c r="J11" t="s">
        <v>185</v>
      </c>
      <c r="R11" t="s">
        <v>186</v>
      </c>
      <c r="Z11" t="s">
        <v>186</v>
      </c>
      <c r="AA11" t="str">
        <f>AH11</f>
        <v>Q2</v>
      </c>
      <c r="AH11" t="s">
        <v>187</v>
      </c>
      <c r="AI11" t="str">
        <f>AP11</f>
        <v>Q2</v>
      </c>
      <c r="AP11" t="s">
        <v>187</v>
      </c>
      <c r="AQ11" t="str">
        <f>AX11</f>
        <v>Q2</v>
      </c>
      <c r="AX11" t="s">
        <v>187</v>
      </c>
      <c r="AY11" t="str">
        <f>BF11</f>
        <v>Q4</v>
      </c>
      <c r="BF11" t="s">
        <v>188</v>
      </c>
      <c r="BG11" t="str">
        <f>BN11</f>
        <v>Q4</v>
      </c>
      <c r="BN11" t="s">
        <v>188</v>
      </c>
      <c r="BO11" t="str">
        <f>BV11</f>
        <v>Q4</v>
      </c>
      <c r="BV11" t="s">
        <v>188</v>
      </c>
      <c r="BW11" t="str">
        <f>CD11</f>
        <v>Q4</v>
      </c>
      <c r="CD11" t="s">
        <v>188</v>
      </c>
      <c r="CE11" t="str">
        <f>CL11</f>
        <v>Q4</v>
      </c>
      <c r="CL11" t="s">
        <v>188</v>
      </c>
      <c r="CM11" t="str">
        <f>CT11</f>
        <v>Q4</v>
      </c>
      <c r="CT11" t="s">
        <v>188</v>
      </c>
    </row>
    <row r="12" spans="2:107" hidden="1" outlineLevel="1" x14ac:dyDescent="0.45">
      <c r="J12" s="934">
        <f t="shared" ref="J12" si="0">J24/J16</f>
        <v>0.62652933273622935</v>
      </c>
      <c r="R12" s="934">
        <f t="shared" ref="R12" si="1">R24/R16</f>
        <v>0.39722463153605392</v>
      </c>
      <c r="Z12" s="934">
        <f t="shared" ref="Z12" si="2">Z24/Z16</f>
        <v>0.38935032755343141</v>
      </c>
      <c r="AA12">
        <f t="shared" ref="AA12:AG12" si="3">AA24/AA16</f>
        <v>0.88511290471026527</v>
      </c>
      <c r="AB12">
        <f t="shared" si="3"/>
        <v>0.39456601511220452</v>
      </c>
      <c r="AC12">
        <f t="shared" si="3"/>
        <v>0</v>
      </c>
      <c r="AD12" t="e">
        <f t="shared" si="3"/>
        <v>#DIV/0!</v>
      </c>
      <c r="AE12">
        <f t="shared" si="3"/>
        <v>0</v>
      </c>
      <c r="AF12">
        <f t="shared" si="3"/>
        <v>0</v>
      </c>
      <c r="AG12">
        <f t="shared" si="3"/>
        <v>0</v>
      </c>
      <c r="AH12" s="934">
        <f t="shared" ref="AH12:BF12" si="4">AH24/AH16</f>
        <v>0.43563356466916553</v>
      </c>
      <c r="AI12">
        <v>0.6</v>
      </c>
      <c r="AJ12">
        <v>0.15</v>
      </c>
      <c r="AK12">
        <v>0</v>
      </c>
      <c r="AL12">
        <v>0</v>
      </c>
      <c r="AM12">
        <v>0</v>
      </c>
      <c r="AN12">
        <v>0</v>
      </c>
      <c r="AO12">
        <v>0</v>
      </c>
      <c r="AP12" s="934">
        <f t="shared" si="4"/>
        <v>0.28355356694823114</v>
      </c>
      <c r="AQ12" s="934">
        <v>0.6</v>
      </c>
      <c r="AR12" s="934">
        <v>0.15</v>
      </c>
      <c r="AS12" s="934">
        <v>0</v>
      </c>
      <c r="AT12" s="934">
        <v>0</v>
      </c>
      <c r="AU12" s="934">
        <v>0</v>
      </c>
      <c r="AV12" s="934">
        <v>0</v>
      </c>
      <c r="AW12" s="934">
        <v>0</v>
      </c>
      <c r="AX12" s="934">
        <f t="shared" si="4"/>
        <v>0.27917973712182093</v>
      </c>
      <c r="AY12" s="934" t="e">
        <f t="shared" si="4"/>
        <v>#REF!</v>
      </c>
      <c r="AZ12" s="934" t="e">
        <f t="shared" si="4"/>
        <v>#REF!</v>
      </c>
      <c r="BA12" s="934" t="e">
        <f t="shared" si="4"/>
        <v>#REF!</v>
      </c>
      <c r="BB12" s="934" t="e">
        <f t="shared" si="4"/>
        <v>#DIV/0!</v>
      </c>
      <c r="BC12" s="934" t="e">
        <f t="shared" si="4"/>
        <v>#DIV/0!</v>
      </c>
      <c r="BD12" s="934">
        <f t="shared" si="4"/>
        <v>0</v>
      </c>
      <c r="BE12" s="934" t="e">
        <f t="shared" si="4"/>
        <v>#DIV/0!</v>
      </c>
      <c r="BF12" s="934" t="e">
        <f t="shared" si="4"/>
        <v>#REF!</v>
      </c>
      <c r="BN12" s="934" t="e">
        <f t="shared" ref="BN12" si="5">BN24/BN16</f>
        <v>#REF!</v>
      </c>
      <c r="BV12" s="934" t="e">
        <f t="shared" ref="BV12" si="6">BV24/BV16</f>
        <v>#REF!</v>
      </c>
      <c r="CD12" s="934" t="e">
        <f t="shared" ref="CD12" si="7">CD24/CD16</f>
        <v>#REF!</v>
      </c>
      <c r="CL12" s="934" t="e">
        <f t="shared" ref="CL12" si="8">CL24/CL16</f>
        <v>#REF!</v>
      </c>
      <c r="CT12" s="934" t="e">
        <f t="shared" ref="CT12" si="9">CT24/CT16</f>
        <v>#REF!</v>
      </c>
    </row>
    <row r="13" spans="2:107" collapsed="1" x14ac:dyDescent="0.45">
      <c r="B13" s="741"/>
      <c r="C13" s="741" t="s">
        <v>189</v>
      </c>
      <c r="K13" s="741" t="s">
        <v>190</v>
      </c>
      <c r="S13" s="741" t="s">
        <v>191</v>
      </c>
      <c r="AA13" s="741" t="s">
        <v>192</v>
      </c>
      <c r="AI13" s="741" t="s">
        <v>193</v>
      </c>
      <c r="AQ13" s="741" t="s">
        <v>194</v>
      </c>
      <c r="AY13" s="741" t="s">
        <v>195</v>
      </c>
      <c r="BG13" s="741" t="s">
        <v>196</v>
      </c>
      <c r="BO13" s="741" t="s">
        <v>197</v>
      </c>
      <c r="BW13" s="741" t="s">
        <v>198</v>
      </c>
      <c r="CE13" s="741" t="s">
        <v>199</v>
      </c>
      <c r="CM13" s="741" t="s">
        <v>200</v>
      </c>
      <c r="CU13" s="741" t="s">
        <v>201</v>
      </c>
    </row>
    <row r="14" spans="2:107" x14ac:dyDescent="0.45">
      <c r="B14" s="1029" t="s">
        <v>202</v>
      </c>
      <c r="C14" s="332" t="s">
        <v>2</v>
      </c>
      <c r="D14" s="332" t="s">
        <v>3</v>
      </c>
      <c r="E14" s="332" t="s">
        <v>4</v>
      </c>
      <c r="F14" s="332" t="s">
        <v>135</v>
      </c>
      <c r="G14" s="332" t="s">
        <v>154</v>
      </c>
      <c r="H14" s="332" t="s">
        <v>137</v>
      </c>
      <c r="I14" s="332" t="s">
        <v>138</v>
      </c>
      <c r="J14" s="332" t="s">
        <v>203</v>
      </c>
      <c r="K14" s="332" t="s">
        <v>2</v>
      </c>
      <c r="L14" s="332" t="s">
        <v>3</v>
      </c>
      <c r="M14" s="332" t="s">
        <v>4</v>
      </c>
      <c r="N14" s="332" t="s">
        <v>135</v>
      </c>
      <c r="O14" s="332" t="s">
        <v>154</v>
      </c>
      <c r="P14" s="332" t="s">
        <v>137</v>
      </c>
      <c r="Q14" s="332" t="s">
        <v>138</v>
      </c>
      <c r="R14" s="332" t="s">
        <v>204</v>
      </c>
      <c r="S14" s="332" t="s">
        <v>2</v>
      </c>
      <c r="T14" s="332" t="s">
        <v>3</v>
      </c>
      <c r="U14" s="332" t="s">
        <v>4</v>
      </c>
      <c r="V14" s="332" t="s">
        <v>135</v>
      </c>
      <c r="W14" s="332" t="s">
        <v>154</v>
      </c>
      <c r="X14" s="332" t="s">
        <v>137</v>
      </c>
      <c r="Y14" s="332" t="s">
        <v>138</v>
      </c>
      <c r="Z14" s="332" t="s">
        <v>205</v>
      </c>
      <c r="AA14" s="332" t="s">
        <v>2</v>
      </c>
      <c r="AB14" s="332" t="s">
        <v>3</v>
      </c>
      <c r="AC14" s="332" t="s">
        <v>4</v>
      </c>
      <c r="AD14" s="332" t="s">
        <v>135</v>
      </c>
      <c r="AE14" s="332" t="s">
        <v>154</v>
      </c>
      <c r="AF14" s="332" t="s">
        <v>137</v>
      </c>
      <c r="AG14" s="332" t="s">
        <v>138</v>
      </c>
      <c r="AH14" s="332" t="s">
        <v>206</v>
      </c>
      <c r="AI14" s="332" t="s">
        <v>2</v>
      </c>
      <c r="AJ14" s="332" t="s">
        <v>3</v>
      </c>
      <c r="AK14" s="332" t="s">
        <v>4</v>
      </c>
      <c r="AL14" s="332" t="s">
        <v>135</v>
      </c>
      <c r="AM14" s="332" t="s">
        <v>154</v>
      </c>
      <c r="AN14" s="332" t="s">
        <v>137</v>
      </c>
      <c r="AO14" s="332" t="s">
        <v>138</v>
      </c>
      <c r="AP14" s="332" t="s">
        <v>207</v>
      </c>
      <c r="AQ14" s="332" t="s">
        <v>2</v>
      </c>
      <c r="AR14" s="332" t="s">
        <v>3</v>
      </c>
      <c r="AS14" s="332" t="s">
        <v>4</v>
      </c>
      <c r="AT14" s="332" t="s">
        <v>135</v>
      </c>
      <c r="AU14" s="332" t="s">
        <v>154</v>
      </c>
      <c r="AV14" s="332" t="s">
        <v>137</v>
      </c>
      <c r="AW14" s="332" t="s">
        <v>138</v>
      </c>
      <c r="AX14" s="332" t="s">
        <v>208</v>
      </c>
      <c r="AY14" s="332" t="s">
        <v>2</v>
      </c>
      <c r="AZ14" s="332" t="s">
        <v>3</v>
      </c>
      <c r="BA14" s="332" t="s">
        <v>4</v>
      </c>
      <c r="BB14" s="332" t="s">
        <v>135</v>
      </c>
      <c r="BC14" s="332" t="s">
        <v>154</v>
      </c>
      <c r="BD14" s="332" t="s">
        <v>137</v>
      </c>
      <c r="BE14" s="332" t="s">
        <v>138</v>
      </c>
      <c r="BF14" s="332" t="s">
        <v>209</v>
      </c>
      <c r="BG14" s="332" t="s">
        <v>2</v>
      </c>
      <c r="BH14" s="332" t="s">
        <v>3</v>
      </c>
      <c r="BI14" s="332" t="s">
        <v>4</v>
      </c>
      <c r="BJ14" s="332" t="s">
        <v>135</v>
      </c>
      <c r="BK14" s="332" t="s">
        <v>154</v>
      </c>
      <c r="BL14" s="332" t="s">
        <v>137</v>
      </c>
      <c r="BM14" s="332" t="s">
        <v>138</v>
      </c>
      <c r="BN14" s="332" t="s">
        <v>210</v>
      </c>
      <c r="BO14" s="332" t="s">
        <v>2</v>
      </c>
      <c r="BP14" s="332" t="s">
        <v>3</v>
      </c>
      <c r="BQ14" s="332" t="s">
        <v>4</v>
      </c>
      <c r="BR14" s="332" t="s">
        <v>135</v>
      </c>
      <c r="BS14" s="332" t="s">
        <v>154</v>
      </c>
      <c r="BT14" s="332" t="s">
        <v>137</v>
      </c>
      <c r="BU14" s="332" t="s">
        <v>138</v>
      </c>
      <c r="BV14" s="332" t="s">
        <v>211</v>
      </c>
      <c r="BW14" s="332" t="s">
        <v>2</v>
      </c>
      <c r="BX14" s="332" t="s">
        <v>3</v>
      </c>
      <c r="BY14" s="332" t="s">
        <v>4</v>
      </c>
      <c r="BZ14" s="332" t="s">
        <v>135</v>
      </c>
      <c r="CA14" s="332" t="s">
        <v>154</v>
      </c>
      <c r="CB14" s="332" t="s">
        <v>137</v>
      </c>
      <c r="CC14" s="332" t="s">
        <v>138</v>
      </c>
      <c r="CD14" s="332" t="s">
        <v>212</v>
      </c>
      <c r="CE14" s="332" t="s">
        <v>2</v>
      </c>
      <c r="CF14" s="332" t="s">
        <v>3</v>
      </c>
      <c r="CG14" s="332" t="s">
        <v>4</v>
      </c>
      <c r="CH14" s="332" t="s">
        <v>135</v>
      </c>
      <c r="CI14" s="332" t="s">
        <v>154</v>
      </c>
      <c r="CJ14" s="332" t="s">
        <v>137</v>
      </c>
      <c r="CK14" s="332" t="s">
        <v>138</v>
      </c>
      <c r="CL14" s="332" t="s">
        <v>213</v>
      </c>
      <c r="CM14" s="332" t="s">
        <v>2</v>
      </c>
      <c r="CN14" s="332" t="s">
        <v>3</v>
      </c>
      <c r="CO14" s="332" t="s">
        <v>4</v>
      </c>
      <c r="CP14" s="332" t="s">
        <v>135</v>
      </c>
      <c r="CQ14" s="332" t="s">
        <v>154</v>
      </c>
      <c r="CR14" s="332" t="s">
        <v>137</v>
      </c>
      <c r="CS14" s="332" t="s">
        <v>138</v>
      </c>
      <c r="CT14" s="332" t="s">
        <v>214</v>
      </c>
      <c r="CU14" s="1029" t="s">
        <v>2</v>
      </c>
      <c r="CV14" s="1029" t="s">
        <v>3</v>
      </c>
      <c r="CW14" s="1029" t="s">
        <v>4</v>
      </c>
      <c r="CX14" s="1029" t="s">
        <v>135</v>
      </c>
      <c r="CY14" s="1029" t="s">
        <v>154</v>
      </c>
      <c r="CZ14" s="1029" t="s">
        <v>137</v>
      </c>
      <c r="DA14" s="1029" t="s">
        <v>138</v>
      </c>
      <c r="DB14" s="1029" t="s">
        <v>201</v>
      </c>
      <c r="DC14" s="1029" t="s">
        <v>215</v>
      </c>
    </row>
    <row r="15" spans="2:107" x14ac:dyDescent="0.45">
      <c r="B15" s="1034" t="s">
        <v>216</v>
      </c>
      <c r="C15" s="889">
        <f>'STT STD - By SKU 150'!$C5</f>
        <v>10376960</v>
      </c>
      <c r="D15" s="889">
        <f>'STT STD - By SKU 150'!$D5</f>
        <v>2560000</v>
      </c>
      <c r="E15" s="889">
        <f>'STT STD - By SKU 150'!$E5</f>
        <v>5677200</v>
      </c>
      <c r="F15" s="889">
        <f>'STT STD - By SKU 150'!$F5</f>
        <v>0</v>
      </c>
      <c r="G15" s="889">
        <f>'STT STD - By SKU 150'!$G5</f>
        <v>0</v>
      </c>
      <c r="H15" s="889">
        <f>'STT STD - By SKU 150'!$H5</f>
        <v>28800</v>
      </c>
      <c r="I15" s="889">
        <f>'STT STD - By SKU 150'!$I5</f>
        <v>28224</v>
      </c>
      <c r="J15" s="889">
        <f>SUM(C15:I15)</f>
        <v>18671184</v>
      </c>
      <c r="K15" s="889">
        <f>'STT STD - By SKU 150'!$C6</f>
        <v>4985400</v>
      </c>
      <c r="L15" s="889">
        <f>'STT STD - By SKU 150'!$D6</f>
        <v>2080000</v>
      </c>
      <c r="M15" s="889">
        <f>'STT STD - By SKU 150'!$E6</f>
        <v>5968800</v>
      </c>
      <c r="N15" s="889">
        <f>'STT STD - By SKU 150'!$F6</f>
        <v>0</v>
      </c>
      <c r="O15" s="889">
        <f>'STT STD - By SKU 150'!$G6</f>
        <v>13668</v>
      </c>
      <c r="P15" s="889">
        <f>'STT STD - By SKU 150'!$H6</f>
        <v>28500</v>
      </c>
      <c r="Q15" s="889">
        <f>'STT STD - By SKU 150'!$I6</f>
        <v>0</v>
      </c>
      <c r="R15" s="889">
        <f>SUM(K15:Q15)</f>
        <v>13076368</v>
      </c>
      <c r="S15" s="889">
        <f>'STT STD - By SKU 150'!$C7</f>
        <v>7376400</v>
      </c>
      <c r="T15" s="889">
        <f>'STT STD - By SKU 150'!$D7</f>
        <v>1760000</v>
      </c>
      <c r="U15" s="889">
        <f>'STT STD - By SKU 150'!$E7</f>
        <v>8875000</v>
      </c>
      <c r="V15" s="889">
        <f>'STT STD - By SKU 150'!$F7</f>
        <v>64000</v>
      </c>
      <c r="W15" s="889">
        <f>'STT STD - By SKU 150'!$G7</f>
        <v>27900</v>
      </c>
      <c r="X15" s="889">
        <f>'STT STD - By SKU 150'!$H7</f>
        <v>86400</v>
      </c>
      <c r="Y15" s="889">
        <f>'STT STD - By SKU 150'!$I7</f>
        <v>57600</v>
      </c>
      <c r="Z15" s="889">
        <f>SUM(S15:Y15)</f>
        <v>18247300</v>
      </c>
      <c r="AA15" s="889">
        <f>'STT STD - By SKU 150'!$C8</f>
        <v>5699680</v>
      </c>
      <c r="AB15" s="889">
        <f>'STT STD - By SKU 150'!$D8</f>
        <v>1600000</v>
      </c>
      <c r="AC15" s="889">
        <f>'STT STD - By SKU 150'!$E8</f>
        <v>5538000</v>
      </c>
      <c r="AD15" s="889">
        <f>'STT STD - By SKU 150'!$F8</f>
        <v>0</v>
      </c>
      <c r="AE15" s="889">
        <f>'STT STD - By SKU 150'!$G8</f>
        <v>14400</v>
      </c>
      <c r="AF15" s="889">
        <f>'STT STD - By SKU 150'!$H8</f>
        <v>28800</v>
      </c>
      <c r="AG15" s="889">
        <f>'STT STD - By SKU 150'!$I8</f>
        <v>28800</v>
      </c>
      <c r="AH15" s="889">
        <f>SUM(AA15:AG15)</f>
        <v>12909680</v>
      </c>
      <c r="AI15" s="889">
        <f>'STT STD - By SKU 150'!$C9</f>
        <v>3376480</v>
      </c>
      <c r="AJ15" s="889">
        <f>'STT STD - By SKU 150'!$D9</f>
        <v>960000</v>
      </c>
      <c r="AK15" s="889">
        <f>'STT STD - By SKU 150'!$E9</f>
        <v>3124000</v>
      </c>
      <c r="AL15" s="889">
        <f>'STT STD - By SKU 150'!$F9</f>
        <v>0</v>
      </c>
      <c r="AM15" s="889">
        <f>'STT STD - By SKU 150'!$G9</f>
        <v>14400</v>
      </c>
      <c r="AN15" s="889">
        <f>'STT STD - By SKU 150'!$H9</f>
        <v>28800</v>
      </c>
      <c r="AO15" s="889">
        <f>'STT STD - By SKU 150'!$I9</f>
        <v>28800</v>
      </c>
      <c r="AP15" s="889">
        <f>SUM(AI15:AO15)</f>
        <v>7532480</v>
      </c>
      <c r="AQ15" s="889">
        <f>'STT STD - By SKU 150'!$C10</f>
        <v>5343360</v>
      </c>
      <c r="AR15" s="889">
        <f>'STT STD - By SKU 150'!$D10</f>
        <v>1600000</v>
      </c>
      <c r="AS15" s="889">
        <f>'STT STD - By SKU 150'!$E10</f>
        <v>5112000</v>
      </c>
      <c r="AT15" s="889">
        <f>'STT STD - By SKU 150'!$F10</f>
        <v>0</v>
      </c>
      <c r="AU15" s="889">
        <f>'STT STD - By SKU 150'!$G10</f>
        <v>14400</v>
      </c>
      <c r="AV15" s="889">
        <f>'STT STD - By SKU 150'!$H10</f>
        <v>57600</v>
      </c>
      <c r="AW15" s="889">
        <f>'STT STD - By SKU 150'!$I10</f>
        <v>28800</v>
      </c>
      <c r="AX15" s="889">
        <f>SUM(AQ15:AW15)</f>
        <v>12156160</v>
      </c>
      <c r="AY15" s="889">
        <f>'STT STD - By SKU 150'!$C11</f>
        <v>4646400</v>
      </c>
      <c r="AZ15" s="889">
        <f>'STT STD - By SKU 150'!$D11</f>
        <v>1280000</v>
      </c>
      <c r="BA15" s="889">
        <f>'STT STD - By SKU 150'!$E11</f>
        <v>4402000</v>
      </c>
      <c r="BB15" s="889">
        <f>'STT STD - By SKU 150'!$F11</f>
        <v>0</v>
      </c>
      <c r="BC15" s="889">
        <f>'STT STD - By SKU 150'!$G11</f>
        <v>0</v>
      </c>
      <c r="BD15" s="889">
        <f>'STT STD - By SKU 150'!$H11</f>
        <v>28800</v>
      </c>
      <c r="BE15" s="889">
        <f>'STT STD - By SKU 150'!$I11</f>
        <v>0</v>
      </c>
      <c r="BF15" s="889">
        <f>SUM(AY15:BE15)</f>
        <v>10357200</v>
      </c>
      <c r="BG15" s="889">
        <f>'STT STD - By SKU 150'!$C12</f>
        <v>4104320</v>
      </c>
      <c r="BH15" s="889">
        <f>'STT STD - By SKU 150'!$D12</f>
        <v>1280000</v>
      </c>
      <c r="BI15" s="889">
        <f>'STT STD - By SKU 150'!$E12</f>
        <v>4544000</v>
      </c>
      <c r="BJ15" s="889">
        <f>'STT STD - By SKU 150'!$F12</f>
        <v>0</v>
      </c>
      <c r="BK15" s="889">
        <f>'STT STD - By SKU 150'!$G12</f>
        <v>14400</v>
      </c>
      <c r="BL15" s="889">
        <f>'STT STD - By SKU 150'!$H12</f>
        <v>57600</v>
      </c>
      <c r="BM15" s="889">
        <f>'STT STD - By SKU 150'!$I12</f>
        <v>28800</v>
      </c>
      <c r="BN15" s="889">
        <f>SUM(BG15:BM15)</f>
        <v>10029120</v>
      </c>
      <c r="BO15" s="889">
        <f>'STT STD - By SKU 150'!$C13</f>
        <v>5265920</v>
      </c>
      <c r="BP15" s="889">
        <f>'STT STD - By SKU 150'!$D13</f>
        <v>1760000</v>
      </c>
      <c r="BQ15" s="889">
        <f>'STT STD - By SKU 150'!$E13</f>
        <v>5822000</v>
      </c>
      <c r="BR15" s="889">
        <f>'STT STD - By SKU 150'!$F13</f>
        <v>0</v>
      </c>
      <c r="BS15" s="889">
        <f>'STT STD - By SKU 150'!$G13</f>
        <v>14400</v>
      </c>
      <c r="BT15" s="889">
        <f>'STT STD - By SKU 150'!$H13</f>
        <v>28800</v>
      </c>
      <c r="BU15" s="889">
        <f>'STT STD - By SKU 150'!$I13</f>
        <v>28800</v>
      </c>
      <c r="BV15" s="889">
        <f>SUM(BO15:BU15)</f>
        <v>12919920</v>
      </c>
      <c r="BW15" s="889">
        <f>'STT STD - By SKU 150'!$C14</f>
        <v>3872000</v>
      </c>
      <c r="BX15" s="889">
        <f>'STT STD - By SKU 150'!$D14</f>
        <v>1440000</v>
      </c>
      <c r="BY15" s="889">
        <f>'STT STD - By SKU 150'!$E14</f>
        <v>4544000</v>
      </c>
      <c r="BZ15" s="889">
        <f>'STT STD - By SKU 150'!$F14</f>
        <v>0</v>
      </c>
      <c r="CA15" s="889">
        <f>'STT STD - By SKU 150'!$G14</f>
        <v>14400</v>
      </c>
      <c r="CB15" s="889">
        <f>'STT STD - By SKU 150'!$H14</f>
        <v>28800</v>
      </c>
      <c r="CC15" s="889">
        <f>'STT STD - By SKU 150'!$I14</f>
        <v>0</v>
      </c>
      <c r="CD15" s="889">
        <f>SUM(BW15:CC15)</f>
        <v>9899200</v>
      </c>
      <c r="CE15" s="889">
        <f>'STT STD - By SKU 150'!$C15</f>
        <v>4104320</v>
      </c>
      <c r="CF15" s="889">
        <f>'STT STD - By SKU 150'!$D15</f>
        <v>1280000</v>
      </c>
      <c r="CG15" s="889">
        <f>'STT STD - By SKU 150'!$E15</f>
        <v>4686000</v>
      </c>
      <c r="CH15" s="889">
        <f>'STT STD - By SKU 150'!$F15</f>
        <v>0</v>
      </c>
      <c r="CI15" s="889">
        <f>'STT STD - By SKU 150'!$G15</f>
        <v>0</v>
      </c>
      <c r="CJ15" s="889">
        <f>'STT STD - By SKU 150'!$H15</f>
        <v>28800</v>
      </c>
      <c r="CK15" s="889">
        <f>'STT STD - By SKU 150'!$I15</f>
        <v>28800</v>
      </c>
      <c r="CL15" s="889">
        <f>SUM(CE15:CK15)</f>
        <v>10127920</v>
      </c>
      <c r="CM15" s="889">
        <f>'STT STD - By SKU 150'!$C16</f>
        <v>6421680</v>
      </c>
      <c r="CN15" s="889">
        <f>'STT STD - By SKU 150'!$D16</f>
        <v>1760000</v>
      </c>
      <c r="CO15" s="889">
        <f>'STT STD - By SKU 150'!$E16</f>
        <v>5822000</v>
      </c>
      <c r="CP15" s="889">
        <f>'STT STD - By SKU 150'!$F16</f>
        <v>0</v>
      </c>
      <c r="CQ15" s="889">
        <f>'STT STD - By SKU 150'!$G16</f>
        <v>14400</v>
      </c>
      <c r="CR15" s="889">
        <f>'STT STD - By SKU 150'!$H16</f>
        <v>28800</v>
      </c>
      <c r="CS15" s="889">
        <f>'STT STD - By SKU 150'!$I16</f>
        <v>28800</v>
      </c>
      <c r="CT15" s="889">
        <f>SUM(CM15:CS15)</f>
        <v>14075680</v>
      </c>
      <c r="CU15" s="1030">
        <f t="shared" ref="CU15:DA19" si="10">SUMIFS($C15:$CT15,$C$14:$CT$14,CU$14)</f>
        <v>65572920</v>
      </c>
      <c r="CV15" s="1030">
        <f t="shared" si="10"/>
        <v>19360000</v>
      </c>
      <c r="CW15" s="1030">
        <f t="shared" si="10"/>
        <v>64115000</v>
      </c>
      <c r="CX15" s="1030">
        <f t="shared" si="10"/>
        <v>64000</v>
      </c>
      <c r="CY15" s="1030">
        <f t="shared" si="10"/>
        <v>142368</v>
      </c>
      <c r="CZ15" s="1030">
        <f t="shared" si="10"/>
        <v>460500</v>
      </c>
      <c r="DA15" s="1030">
        <f t="shared" si="10"/>
        <v>287424</v>
      </c>
      <c r="DB15" s="1030">
        <f>SUM(CU15:DA15)</f>
        <v>150002212</v>
      </c>
      <c r="DC15" s="1030">
        <f>SUM(J15,R15)</f>
        <v>31747552</v>
      </c>
    </row>
    <row r="16" spans="2:107" x14ac:dyDescent="0.45">
      <c r="B16" s="1034" t="s">
        <v>217</v>
      </c>
      <c r="C16" s="889">
        <f t="shared" ref="C16:I16" si="11">C15/RIGHT(C14,2)</f>
        <v>259424</v>
      </c>
      <c r="D16" s="889">
        <f t="shared" si="11"/>
        <v>64000</v>
      </c>
      <c r="E16" s="889">
        <f t="shared" si="11"/>
        <v>141930</v>
      </c>
      <c r="F16" s="889">
        <f t="shared" si="11"/>
        <v>0</v>
      </c>
      <c r="G16" s="889">
        <f t="shared" si="11"/>
        <v>0</v>
      </c>
      <c r="H16" s="889">
        <f t="shared" si="11"/>
        <v>2400</v>
      </c>
      <c r="I16" s="889">
        <f t="shared" si="11"/>
        <v>1176</v>
      </c>
      <c r="J16" s="889">
        <f>SUM(C16:I16)</f>
        <v>468930</v>
      </c>
      <c r="K16" s="889">
        <f t="shared" ref="K16:Q16" si="12">K15/RIGHT(K14,2)</f>
        <v>124635</v>
      </c>
      <c r="L16" s="889">
        <f t="shared" si="12"/>
        <v>52000</v>
      </c>
      <c r="M16" s="889">
        <f t="shared" si="12"/>
        <v>149220</v>
      </c>
      <c r="N16" s="889">
        <f t="shared" si="12"/>
        <v>0</v>
      </c>
      <c r="O16" s="889">
        <f t="shared" si="12"/>
        <v>1139</v>
      </c>
      <c r="P16" s="889">
        <f t="shared" si="12"/>
        <v>2375</v>
      </c>
      <c r="Q16" s="889">
        <f t="shared" si="12"/>
        <v>0</v>
      </c>
      <c r="R16" s="889">
        <f>SUM(K16:Q16)</f>
        <v>329369</v>
      </c>
      <c r="S16" s="889">
        <f t="shared" ref="S16:Y16" si="13">S15/RIGHT(S14,2)</f>
        <v>184410</v>
      </c>
      <c r="T16" s="889">
        <f t="shared" si="13"/>
        <v>44000</v>
      </c>
      <c r="U16" s="889">
        <f t="shared" si="13"/>
        <v>221875</v>
      </c>
      <c r="V16" s="889">
        <f t="shared" si="13"/>
        <v>1600</v>
      </c>
      <c r="W16" s="889">
        <f t="shared" si="13"/>
        <v>2325</v>
      </c>
      <c r="X16" s="889">
        <f t="shared" si="13"/>
        <v>7200</v>
      </c>
      <c r="Y16" s="889">
        <f t="shared" si="13"/>
        <v>2400</v>
      </c>
      <c r="Z16" s="889">
        <f>SUM(S16:Y16)</f>
        <v>463810</v>
      </c>
      <c r="AA16" s="889">
        <f t="shared" ref="AA16:AG16" si="14">AA15/RIGHT(AA14,2)</f>
        <v>142492</v>
      </c>
      <c r="AB16" s="889">
        <f t="shared" si="14"/>
        <v>40000</v>
      </c>
      <c r="AC16" s="889">
        <f t="shared" si="14"/>
        <v>138450</v>
      </c>
      <c r="AD16" s="889">
        <f t="shared" si="14"/>
        <v>0</v>
      </c>
      <c r="AE16" s="889">
        <f t="shared" si="14"/>
        <v>1200</v>
      </c>
      <c r="AF16" s="889">
        <f t="shared" si="14"/>
        <v>2400</v>
      </c>
      <c r="AG16" s="889">
        <f t="shared" si="14"/>
        <v>1200</v>
      </c>
      <c r="AH16" s="889">
        <f>SUM(AA16:AG16)</f>
        <v>325742</v>
      </c>
      <c r="AI16" s="889">
        <f t="shared" ref="AI16:AO16" si="15">AI15/RIGHT(AI14,2)</f>
        <v>84412</v>
      </c>
      <c r="AJ16" s="889">
        <f t="shared" si="15"/>
        <v>24000</v>
      </c>
      <c r="AK16" s="889">
        <f t="shared" si="15"/>
        <v>78100</v>
      </c>
      <c r="AL16" s="889">
        <f t="shared" si="15"/>
        <v>0</v>
      </c>
      <c r="AM16" s="889">
        <f t="shared" si="15"/>
        <v>1200</v>
      </c>
      <c r="AN16" s="889">
        <f t="shared" si="15"/>
        <v>2400</v>
      </c>
      <c r="AO16" s="889">
        <f t="shared" si="15"/>
        <v>1200</v>
      </c>
      <c r="AP16" s="889">
        <f>SUM(AI16:AO16)</f>
        <v>191312</v>
      </c>
      <c r="AQ16" s="889">
        <f t="shared" ref="AQ16:AW16" si="16">AQ15/RIGHT(AQ14,2)</f>
        <v>133584</v>
      </c>
      <c r="AR16" s="889">
        <f t="shared" si="16"/>
        <v>40000</v>
      </c>
      <c r="AS16" s="889">
        <f t="shared" si="16"/>
        <v>127800</v>
      </c>
      <c r="AT16" s="889">
        <f t="shared" si="16"/>
        <v>0</v>
      </c>
      <c r="AU16" s="889">
        <f t="shared" si="16"/>
        <v>1200</v>
      </c>
      <c r="AV16" s="889">
        <f t="shared" si="16"/>
        <v>4800</v>
      </c>
      <c r="AW16" s="889">
        <f t="shared" si="16"/>
        <v>1200</v>
      </c>
      <c r="AX16" s="889">
        <f>SUM(AQ16:AW16)</f>
        <v>308584</v>
      </c>
      <c r="AY16" s="889">
        <f t="shared" ref="AY16:BE16" si="17">AY15/RIGHT(AY14,2)</f>
        <v>116160</v>
      </c>
      <c r="AZ16" s="889">
        <f t="shared" si="17"/>
        <v>32000</v>
      </c>
      <c r="BA16" s="889">
        <f t="shared" si="17"/>
        <v>110050</v>
      </c>
      <c r="BB16" s="889">
        <f t="shared" si="17"/>
        <v>0</v>
      </c>
      <c r="BC16" s="889">
        <f t="shared" si="17"/>
        <v>0</v>
      </c>
      <c r="BD16" s="889">
        <f t="shared" si="17"/>
        <v>2400</v>
      </c>
      <c r="BE16" s="889">
        <f t="shared" si="17"/>
        <v>0</v>
      </c>
      <c r="BF16" s="889">
        <f>SUM(AY16:BE16)</f>
        <v>260610</v>
      </c>
      <c r="BG16" s="889">
        <f t="shared" ref="BG16:BM16" si="18">BG15/RIGHT(BG14,2)</f>
        <v>102608</v>
      </c>
      <c r="BH16" s="889">
        <f t="shared" si="18"/>
        <v>32000</v>
      </c>
      <c r="BI16" s="889">
        <f t="shared" si="18"/>
        <v>113600</v>
      </c>
      <c r="BJ16" s="889">
        <f t="shared" si="18"/>
        <v>0</v>
      </c>
      <c r="BK16" s="889">
        <f t="shared" si="18"/>
        <v>1200</v>
      </c>
      <c r="BL16" s="889">
        <f t="shared" si="18"/>
        <v>4800</v>
      </c>
      <c r="BM16" s="889">
        <f t="shared" si="18"/>
        <v>1200</v>
      </c>
      <c r="BN16" s="889">
        <f>SUM(BG16:BM16)</f>
        <v>255408</v>
      </c>
      <c r="BO16" s="889">
        <f t="shared" ref="BO16:BU16" si="19">BO15/RIGHT(BO14,2)</f>
        <v>131648</v>
      </c>
      <c r="BP16" s="889">
        <f t="shared" si="19"/>
        <v>44000</v>
      </c>
      <c r="BQ16" s="889">
        <f t="shared" si="19"/>
        <v>145550</v>
      </c>
      <c r="BR16" s="889">
        <f t="shared" si="19"/>
        <v>0</v>
      </c>
      <c r="BS16" s="889">
        <f t="shared" si="19"/>
        <v>1200</v>
      </c>
      <c r="BT16" s="889">
        <f t="shared" si="19"/>
        <v>2400</v>
      </c>
      <c r="BU16" s="889">
        <f t="shared" si="19"/>
        <v>1200</v>
      </c>
      <c r="BV16" s="889">
        <f>SUM(BO16:BU16)</f>
        <v>325998</v>
      </c>
      <c r="BW16" s="889">
        <f t="shared" ref="BW16:CC16" si="20">BW15/RIGHT(BW14,2)</f>
        <v>96800</v>
      </c>
      <c r="BX16" s="889">
        <f t="shared" si="20"/>
        <v>36000</v>
      </c>
      <c r="BY16" s="889">
        <f t="shared" si="20"/>
        <v>113600</v>
      </c>
      <c r="BZ16" s="889">
        <f t="shared" si="20"/>
        <v>0</v>
      </c>
      <c r="CA16" s="889">
        <f t="shared" si="20"/>
        <v>1200</v>
      </c>
      <c r="CB16" s="889">
        <f t="shared" si="20"/>
        <v>2400</v>
      </c>
      <c r="CC16" s="889">
        <f t="shared" si="20"/>
        <v>0</v>
      </c>
      <c r="CD16" s="889">
        <f>SUM(BW16:CC16)</f>
        <v>250000</v>
      </c>
      <c r="CE16" s="889">
        <f t="shared" ref="CE16:CK16" si="21">CE15/RIGHT(CE14,2)</f>
        <v>102608</v>
      </c>
      <c r="CF16" s="889">
        <f t="shared" si="21"/>
        <v>32000</v>
      </c>
      <c r="CG16" s="889">
        <f t="shared" si="21"/>
        <v>117150</v>
      </c>
      <c r="CH16" s="889">
        <f t="shared" si="21"/>
        <v>0</v>
      </c>
      <c r="CI16" s="889">
        <f t="shared" si="21"/>
        <v>0</v>
      </c>
      <c r="CJ16" s="889">
        <f t="shared" si="21"/>
        <v>2400</v>
      </c>
      <c r="CK16" s="889">
        <f t="shared" si="21"/>
        <v>1200</v>
      </c>
      <c r="CL16" s="889">
        <f>SUM(CE16:CK16)</f>
        <v>255358</v>
      </c>
      <c r="CM16" s="889">
        <f t="shared" ref="CM16:CS16" si="22">CM15/RIGHT(CM14,2)</f>
        <v>160542</v>
      </c>
      <c r="CN16" s="889">
        <f t="shared" si="22"/>
        <v>44000</v>
      </c>
      <c r="CO16" s="889">
        <f t="shared" si="22"/>
        <v>145550</v>
      </c>
      <c r="CP16" s="889">
        <f t="shared" si="22"/>
        <v>0</v>
      </c>
      <c r="CQ16" s="889">
        <f t="shared" si="22"/>
        <v>1200</v>
      </c>
      <c r="CR16" s="889">
        <f t="shared" si="22"/>
        <v>2400</v>
      </c>
      <c r="CS16" s="889">
        <f t="shared" si="22"/>
        <v>1200</v>
      </c>
      <c r="CT16" s="889">
        <f>SUM(CM16:CS16)</f>
        <v>354892</v>
      </c>
      <c r="CU16" s="1030">
        <f t="shared" si="10"/>
        <v>1639323</v>
      </c>
      <c r="CV16" s="1030">
        <f t="shared" si="10"/>
        <v>484000</v>
      </c>
      <c r="CW16" s="1030">
        <f t="shared" si="10"/>
        <v>1602875</v>
      </c>
      <c r="CX16" s="1030">
        <f t="shared" si="10"/>
        <v>1600</v>
      </c>
      <c r="CY16" s="1030">
        <f t="shared" si="10"/>
        <v>11864</v>
      </c>
      <c r="CZ16" s="1030">
        <f t="shared" si="10"/>
        <v>38375</v>
      </c>
      <c r="DA16" s="1030">
        <f t="shared" si="10"/>
        <v>11976</v>
      </c>
      <c r="DB16" s="1030">
        <f>SUM(CU16:DA16)</f>
        <v>3790013</v>
      </c>
      <c r="DC16" s="1030">
        <f>SUM(J16,R16)</f>
        <v>798299</v>
      </c>
    </row>
    <row r="17" spans="1:109" x14ac:dyDescent="0.45">
      <c r="A17">
        <v>5</v>
      </c>
      <c r="B17" s="1034" t="s">
        <v>12</v>
      </c>
      <c r="C17" s="889">
        <f>C$16*HLOOKUP(C$10,'P&amp;L by Ctn'!$C$8:$AG$31,'P&amp;L TOTAL 150'!$A17,0)</f>
        <v>1567690.5264596785</v>
      </c>
      <c r="D17" s="889">
        <f>D$16*HLOOKUP(D$10,'P&amp;L by Ctn'!$C$8:$AG$31,'P&amp;L TOTAL 150'!$A17,0)</f>
        <v>386402.02122068958</v>
      </c>
      <c r="E17" s="889">
        <f>E$16*HLOOKUP(E$10,'P&amp;L by Ctn'!$C$8:$AG$31,'P&amp;L TOTAL 150'!$A17,0)</f>
        <v>857909.3025903363</v>
      </c>
      <c r="F17" s="889">
        <f>F$16*HLOOKUP(F$10,'P&amp;L by Ctn'!$C$8:$AG$31,'P&amp;L TOTAL 150'!$A17,0)</f>
        <v>0</v>
      </c>
      <c r="G17" s="889">
        <f>G$16*HLOOKUP(G$10,'P&amp;L by Ctn'!$C$8:$AG$31,'P&amp;L TOTAL 150'!$A17,0)</f>
        <v>0</v>
      </c>
      <c r="H17" s="889">
        <f>H$16*HLOOKUP(H$10,'P&amp;L by Ctn'!$C$8:$AG$31,'P&amp;L TOTAL 150'!$A17,0)</f>
        <v>10512</v>
      </c>
      <c r="I17" s="889">
        <f>I$16*HLOOKUP(I$10,'P&amp;L by Ctn'!$C$8:$AG$31,'P&amp;L TOTAL 150'!$A17,0)</f>
        <v>7705.1740500000005</v>
      </c>
      <c r="J17" s="889">
        <f>SUM(C17:I17)</f>
        <v>2830219.0243207044</v>
      </c>
      <c r="K17" s="889">
        <f>K$16*HLOOKUP(K$10,'P&amp;L by Ctn'!$C$8:$AG$31,'P&amp;L TOTAL 150'!$A17,0)</f>
        <v>753165.12259969022</v>
      </c>
      <c r="L17" s="889">
        <f>L$16*HLOOKUP(L$10,'P&amp;L by Ctn'!$C$8:$AG$31,'P&amp;L TOTAL 150'!$A17,0)</f>
        <v>313951.64224181027</v>
      </c>
      <c r="M17" s="889">
        <f>M$16*HLOOKUP(M$10,'P&amp;L by Ctn'!$C$8:$AG$31,'P&amp;L TOTAL 150'!$A17,0)</f>
        <v>901974.39676269982</v>
      </c>
      <c r="N17" s="889">
        <f>N$16*HLOOKUP(N$10,'P&amp;L by Ctn'!$C$8:$AG$31,'P&amp;L TOTAL 150'!$A17,0)</f>
        <v>0</v>
      </c>
      <c r="O17" s="889">
        <f>O$16*HLOOKUP(O$10,'P&amp;L by Ctn'!$C$8:$AG$31,'P&amp;L TOTAL 150'!$A17,0)</f>
        <v>5379.4001619433202</v>
      </c>
      <c r="P17" s="889">
        <f>P$16*HLOOKUP(P$10,'P&amp;L by Ctn'!$C$8:$AG$31,'P&amp;L TOTAL 150'!$A17,0)</f>
        <v>10402.5</v>
      </c>
      <c r="Q17" s="889">
        <f>Q$16*HLOOKUP(Q$10,'P&amp;L by Ctn'!$C$8:$AG$31,'P&amp;L TOTAL 150'!$A17,0)</f>
        <v>0</v>
      </c>
      <c r="R17" s="889">
        <f t="shared" ref="R17" si="23">SUM(K17:Q17)</f>
        <v>1984873.0617661437</v>
      </c>
      <c r="S17" s="889">
        <f>S$16*HLOOKUP(S$10,'P&amp;L by Ctn'!$C$8:$AG$31,'P&amp;L TOTAL 150'!$A17,0)</f>
        <v>1114383.4417186896</v>
      </c>
      <c r="T17" s="889">
        <f>T$16*HLOOKUP(T$10,'P&amp;L by Ctn'!$C$8:$AG$31,'P&amp;L TOTAL 150'!$A17,0)</f>
        <v>265651.38958922407</v>
      </c>
      <c r="U17" s="889">
        <f>U$16*HLOOKUP(U$10,'P&amp;L by Ctn'!$C$8:$AG$31,'P&amp;L TOTAL 150'!$A17,0)</f>
        <v>1341144.4128248494</v>
      </c>
      <c r="V17" s="889">
        <f>V$16*HLOOKUP(V$10,'P&amp;L by Ctn'!$C$8:$AG$31,'P&amp;L TOTAL 150'!$A17,0)</f>
        <v>9679.8677685950424</v>
      </c>
      <c r="W17" s="889">
        <f>W$16*HLOOKUP(W$10,'P&amp;L by Ctn'!$C$8:$AG$31,'P&amp;L TOTAL 150'!$A17,0)</f>
        <v>10980.777327935224</v>
      </c>
      <c r="X17" s="889">
        <f>X$16*HLOOKUP(X$10,'P&amp;L by Ctn'!$C$8:$AG$31,'P&amp;L TOTAL 150'!$A17,0)</f>
        <v>31536</v>
      </c>
      <c r="Y17" s="889">
        <f>Y$16*HLOOKUP(Y$10,'P&amp;L by Ctn'!$C$8:$AG$31,'P&amp;L TOTAL 150'!$A17,0)</f>
        <v>15720</v>
      </c>
      <c r="Z17" s="889">
        <f t="shared" ref="Z17" si="24">SUM(S17:Y17)</f>
        <v>2789095.889229293</v>
      </c>
      <c r="AA17" s="889">
        <f>AA$16*HLOOKUP(AA$10,'P&amp;L by Ctn'!$C$8:$AG$31,'P&amp;L TOTAL 150'!$A17,0)</f>
        <v>861074.37436895783</v>
      </c>
      <c r="AB17" s="889">
        <f>AB$16*HLOOKUP(AB$10,'P&amp;L by Ctn'!$C$8:$AG$31,'P&amp;L TOTAL 150'!$A17,0)</f>
        <v>241501.26326293097</v>
      </c>
      <c r="AC17" s="889">
        <f>AC$16*HLOOKUP(AC$10,'P&amp;L by Ctn'!$C$8:$AG$31,'P&amp;L TOTAL 150'!$A17,0)</f>
        <v>836874.113602706</v>
      </c>
      <c r="AD17" s="889">
        <f>AD$16*HLOOKUP(AD$10,'P&amp;L by Ctn'!$C$8:$AG$31,'P&amp;L TOTAL 150'!$A17,0)</f>
        <v>0</v>
      </c>
      <c r="AE17" s="889">
        <f>AE$16*HLOOKUP(AE$10,'P&amp;L by Ctn'!$C$8:$AG$31,'P&amp;L TOTAL 150'!$A17,0)</f>
        <v>5667.497975708503</v>
      </c>
      <c r="AF17" s="889">
        <f>AF$16*HLOOKUP(AF$10,'P&amp;L by Ctn'!$C$8:$AG$31,'P&amp;L TOTAL 150'!$A17,0)</f>
        <v>10512</v>
      </c>
      <c r="AG17" s="889">
        <f>AG$16*HLOOKUP(AG$10,'P&amp;L by Ctn'!$C$8:$AG$31,'P&amp;L TOTAL 150'!$A17,0)</f>
        <v>7860</v>
      </c>
      <c r="AH17" s="889">
        <f t="shared" ref="AH17" si="25">SUM(AA17:AG17)</f>
        <v>1963489.2492103032</v>
      </c>
      <c r="AI17" s="889">
        <f>AI$16*HLOOKUP(AI$10,'P&amp;L by Ctn'!$C$8:$AG$31,'P&amp;L TOTAL 150'!$A17,0)</f>
        <v>510098.88337052235</v>
      </c>
      <c r="AJ17" s="889">
        <f>AJ$16*HLOOKUP(AJ$10,'P&amp;L by Ctn'!$C$8:$AG$31,'P&amp;L TOTAL 150'!$A17,0)</f>
        <v>144900.75795775859</v>
      </c>
      <c r="AK17" s="889">
        <f>AK$16*HLOOKUP(AK$10,'P&amp;L by Ctn'!$C$8:$AG$31,'P&amp;L TOTAL 150'!$A17,0)</f>
        <v>472082.83331434696</v>
      </c>
      <c r="AL17" s="889">
        <f>AL$16*HLOOKUP(AL$10,'P&amp;L by Ctn'!$C$8:$AG$31,'P&amp;L TOTAL 150'!$A17,0)</f>
        <v>0</v>
      </c>
      <c r="AM17" s="889">
        <f>AM$16*HLOOKUP(AM$10,'P&amp;L by Ctn'!$C$8:$AG$31,'P&amp;L TOTAL 150'!$A17,0)</f>
        <v>5667.497975708503</v>
      </c>
      <c r="AN17" s="889">
        <f>AN$16*HLOOKUP(AN$10,'P&amp;L by Ctn'!$C$8:$AG$31,'P&amp;L TOTAL 150'!$A17,0)</f>
        <v>10512</v>
      </c>
      <c r="AO17" s="889">
        <f>AO$16*HLOOKUP(AO$10,'P&amp;L by Ctn'!$C$8:$AG$31,'P&amp;L TOTAL 150'!$A17,0)</f>
        <v>7860</v>
      </c>
      <c r="AP17" s="889">
        <f t="shared" ref="AP17" si="26">SUM(AI17:AO17)</f>
        <v>1151121.9726183363</v>
      </c>
      <c r="AQ17" s="889">
        <f>AQ$16*HLOOKUP(AQ$10,'P&amp;L by Ctn'!$C$8:$AG$31,'P&amp;L TOTAL 150'!$A17,0)</f>
        <v>807243.62929640163</v>
      </c>
      <c r="AR17" s="889">
        <f>AR$16*HLOOKUP(AR$10,'P&amp;L by Ctn'!$C$8:$AG$31,'P&amp;L TOTAL 150'!$A17,0)</f>
        <v>241501.26326293097</v>
      </c>
      <c r="AS17" s="889">
        <f>AS$16*HLOOKUP(AS$10,'P&amp;L by Ctn'!$C$8:$AG$31,'P&amp;L TOTAL 150'!$A17,0)</f>
        <v>772499.18178711319</v>
      </c>
      <c r="AT17" s="889">
        <f>AT$16*HLOOKUP(AT$10,'P&amp;L by Ctn'!$C$8:$AG$31,'P&amp;L TOTAL 150'!$A17,0)</f>
        <v>0</v>
      </c>
      <c r="AU17" s="889">
        <f>AU$16*HLOOKUP(AU$10,'P&amp;L by Ctn'!$C$8:$AG$31,'P&amp;L TOTAL 150'!$A17,0)</f>
        <v>5667.497975708503</v>
      </c>
      <c r="AV17" s="889">
        <f>AV$16*HLOOKUP(AV$10,'P&amp;L by Ctn'!$C$8:$AG$31,'P&amp;L TOTAL 150'!$A17,0)</f>
        <v>21024</v>
      </c>
      <c r="AW17" s="889">
        <f>AW$16*HLOOKUP(AW$10,'P&amp;L by Ctn'!$C$8:$AG$31,'P&amp;L TOTAL 150'!$A17,0)</f>
        <v>7860</v>
      </c>
      <c r="AX17" s="889">
        <f t="shared" ref="AX17" si="27">SUM(AQ17:AW17)</f>
        <v>1855795.5723221542</v>
      </c>
      <c r="AY17" s="889" t="e">
        <f>AY$16*HLOOKUP(AY$10,'P&amp;L by Ctn'!$C$8:$AG$31,'P&amp;L TOTAL 150'!$A17,0)</f>
        <v>#REF!</v>
      </c>
      <c r="AZ17" s="889" t="e">
        <f>AZ$16*HLOOKUP(AZ$10,'P&amp;L by Ctn'!$C$8:$AG$31,'P&amp;L TOTAL 150'!$A17,0)</f>
        <v>#REF!</v>
      </c>
      <c r="BA17" s="889" t="e">
        <f>BA$16*HLOOKUP(BA$10,'P&amp;L by Ctn'!$C$8:$AG$31,'P&amp;L TOTAL 150'!$A17,0)</f>
        <v>#REF!</v>
      </c>
      <c r="BB17" s="889">
        <f>BB$16*HLOOKUP(BB$10,'P&amp;L by Ctn'!$C$8:$AG$31,'P&amp;L TOTAL 150'!$A17,0)</f>
        <v>0</v>
      </c>
      <c r="BC17" s="889">
        <f>BC$16*HLOOKUP(BC$10,'P&amp;L by Ctn'!$C$8:$AG$31,'P&amp;L TOTAL 150'!$A17,0)</f>
        <v>0</v>
      </c>
      <c r="BD17" s="889">
        <f>BD$16*HLOOKUP(BD$10,'P&amp;L by Ctn'!$C$8:$AG$31,'P&amp;L TOTAL 150'!$A17,0)</f>
        <v>10925.405999999999</v>
      </c>
      <c r="BE17" s="889">
        <f>BE$16*HLOOKUP(BE$10,'P&amp;L by Ctn'!$C$8:$AG$31,'P&amp;L TOTAL 150'!$A17,0)</f>
        <v>0</v>
      </c>
      <c r="BF17" s="889" t="e">
        <f t="shared" ref="BF17" si="28">SUM(AY17:BE17)</f>
        <v>#REF!</v>
      </c>
      <c r="BG17" s="889" t="e">
        <f>BG$16*HLOOKUP(BG$10,'P&amp;L by Ctn'!$C$8:$AG$31,'P&amp;L TOTAL 150'!$A17,0)</f>
        <v>#REF!</v>
      </c>
      <c r="BH17" s="889" t="e">
        <f>BH$16*HLOOKUP(BH$10,'P&amp;L by Ctn'!$C$8:$AG$31,'P&amp;L TOTAL 150'!$A17,0)</f>
        <v>#REF!</v>
      </c>
      <c r="BI17" s="889" t="e">
        <f>BI$16*HLOOKUP(BI$10,'P&amp;L by Ctn'!$C$8:$AG$31,'P&amp;L TOTAL 150'!$A17,0)</f>
        <v>#REF!</v>
      </c>
      <c r="BJ17" s="889">
        <f>BJ$16*HLOOKUP(BJ$10,'P&amp;L by Ctn'!$C$8:$AG$31,'P&amp;L TOTAL 150'!$A17,0)</f>
        <v>0</v>
      </c>
      <c r="BK17" s="889">
        <f>BK$16*HLOOKUP(BK$10,'P&amp;L by Ctn'!$C$8:$AG$31,'P&amp;L TOTAL 150'!$A17,0)</f>
        <v>6060.1785</v>
      </c>
      <c r="BL17" s="889">
        <f>BL$16*HLOOKUP(BL$10,'P&amp;L by Ctn'!$C$8:$AG$31,'P&amp;L TOTAL 150'!$A17,0)</f>
        <v>21850.811999999998</v>
      </c>
      <c r="BM17" s="889">
        <f>BM$16*HLOOKUP(BM$10,'P&amp;L by Ctn'!$C$8:$AG$31,'P&amp;L TOTAL 150'!$A17,0)</f>
        <v>7862.4225000000006</v>
      </c>
      <c r="BN17" s="889" t="e">
        <f t="shared" ref="BN17" si="29">SUM(BG17:BM17)</f>
        <v>#REF!</v>
      </c>
      <c r="BO17" s="889" t="e">
        <f>BO$16*HLOOKUP(BO$10,'P&amp;L by Ctn'!$C$8:$AG$31,'P&amp;L TOTAL 150'!$A17,0)</f>
        <v>#REF!</v>
      </c>
      <c r="BP17" s="889" t="e">
        <f>BP$16*HLOOKUP(BP$10,'P&amp;L by Ctn'!$C$8:$AG$31,'P&amp;L TOTAL 150'!$A17,0)</f>
        <v>#REF!</v>
      </c>
      <c r="BQ17" s="889" t="e">
        <f>BQ$16*HLOOKUP(BQ$10,'P&amp;L by Ctn'!$C$8:$AG$31,'P&amp;L TOTAL 150'!$A17,0)</f>
        <v>#REF!</v>
      </c>
      <c r="BR17" s="889">
        <f>BR$16*HLOOKUP(BR$10,'P&amp;L by Ctn'!$C$8:$AG$31,'P&amp;L TOTAL 150'!$A17,0)</f>
        <v>0</v>
      </c>
      <c r="BS17" s="889">
        <f>BS$16*HLOOKUP(BS$10,'P&amp;L by Ctn'!$C$8:$AG$31,'P&amp;L TOTAL 150'!$A17,0)</f>
        <v>6060.1785</v>
      </c>
      <c r="BT17" s="889">
        <f>BT$16*HLOOKUP(BT$10,'P&amp;L by Ctn'!$C$8:$AG$31,'P&amp;L TOTAL 150'!$A17,0)</f>
        <v>10925.405999999999</v>
      </c>
      <c r="BU17" s="889">
        <f>BU$16*HLOOKUP(BU$10,'P&amp;L by Ctn'!$C$8:$AG$31,'P&amp;L TOTAL 150'!$A17,0)</f>
        <v>7862.4225000000006</v>
      </c>
      <c r="BV17" s="889" t="e">
        <f t="shared" ref="BV17" si="30">SUM(BO17:BU17)</f>
        <v>#REF!</v>
      </c>
      <c r="BW17" s="889" t="e">
        <f>BW$16*HLOOKUP(BW$10,'P&amp;L by Ctn'!$C$8:$AG$31,'P&amp;L TOTAL 150'!$A17,0)</f>
        <v>#REF!</v>
      </c>
      <c r="BX17" s="889" t="e">
        <f>BX$16*HLOOKUP(BX$10,'P&amp;L by Ctn'!$C$8:$AG$31,'P&amp;L TOTAL 150'!$A17,0)</f>
        <v>#REF!</v>
      </c>
      <c r="BY17" s="889" t="e">
        <f>BY$16*HLOOKUP(BY$10,'P&amp;L by Ctn'!$C$8:$AG$31,'P&amp;L TOTAL 150'!$A17,0)</f>
        <v>#REF!</v>
      </c>
      <c r="BZ17" s="889">
        <f>BZ$16*HLOOKUP(BZ$10,'P&amp;L by Ctn'!$C$8:$AG$31,'P&amp;L TOTAL 150'!$A17,0)</f>
        <v>0</v>
      </c>
      <c r="CA17" s="889">
        <f>CA$16*HLOOKUP(CA$10,'P&amp;L by Ctn'!$C$8:$AG$31,'P&amp;L TOTAL 150'!$A17,0)</f>
        <v>6060.1785</v>
      </c>
      <c r="CB17" s="889">
        <f>CB$16*HLOOKUP(CB$10,'P&amp;L by Ctn'!$C$8:$AG$31,'P&amp;L TOTAL 150'!$A17,0)</f>
        <v>10925.405999999999</v>
      </c>
      <c r="CC17" s="889">
        <f>CC$16*HLOOKUP(CC$10,'P&amp;L by Ctn'!$C$8:$AG$31,'P&amp;L TOTAL 150'!$A17,0)</f>
        <v>0</v>
      </c>
      <c r="CD17" s="889" t="e">
        <f t="shared" ref="CD17" si="31">SUM(BW17:CC17)</f>
        <v>#REF!</v>
      </c>
      <c r="CE17" s="889" t="e">
        <f>CE$16*HLOOKUP(CE$10,'P&amp;L by Ctn'!$C$8:$AG$31,'P&amp;L TOTAL 150'!$A17,0)</f>
        <v>#REF!</v>
      </c>
      <c r="CF17" s="889" t="e">
        <f>CF$16*HLOOKUP(CF$10,'P&amp;L by Ctn'!$C$8:$AG$31,'P&amp;L TOTAL 150'!$A17,0)</f>
        <v>#REF!</v>
      </c>
      <c r="CG17" s="889" t="e">
        <f>CG$16*HLOOKUP(CG$10,'P&amp;L by Ctn'!$C$8:$AG$31,'P&amp;L TOTAL 150'!$A17,0)</f>
        <v>#REF!</v>
      </c>
      <c r="CH17" s="889">
        <f>CH$16*HLOOKUP(CH$10,'P&amp;L by Ctn'!$C$8:$AG$31,'P&amp;L TOTAL 150'!$A17,0)</f>
        <v>0</v>
      </c>
      <c r="CI17" s="889">
        <f>CI$16*HLOOKUP(CI$10,'P&amp;L by Ctn'!$C$8:$AG$31,'P&amp;L TOTAL 150'!$A17,0)</f>
        <v>0</v>
      </c>
      <c r="CJ17" s="889">
        <f>CJ$16*HLOOKUP(CJ$10,'P&amp;L by Ctn'!$C$8:$AG$31,'P&amp;L TOTAL 150'!$A17,0)</f>
        <v>10925.405999999999</v>
      </c>
      <c r="CK17" s="889">
        <f>CK$16*HLOOKUP(CK$10,'P&amp;L by Ctn'!$C$8:$AG$31,'P&amp;L TOTAL 150'!$A17,0)</f>
        <v>7862.4225000000006</v>
      </c>
      <c r="CL17" s="889" t="e">
        <f t="shared" ref="CL17" si="32">SUM(CE17:CK17)</f>
        <v>#REF!</v>
      </c>
      <c r="CM17" s="889" t="e">
        <f>CM$16*HLOOKUP(CM$10,'P&amp;L by Ctn'!$C$8:$AG$31,'P&amp;L TOTAL 150'!$A17,0)</f>
        <v>#REF!</v>
      </c>
      <c r="CN17" s="889" t="e">
        <f>CN$16*HLOOKUP(CN$10,'P&amp;L by Ctn'!$C$8:$AG$31,'P&amp;L TOTAL 150'!$A17,0)</f>
        <v>#REF!</v>
      </c>
      <c r="CO17" s="889" t="e">
        <f>CO$16*HLOOKUP(CO$10,'P&amp;L by Ctn'!$C$8:$AG$31,'P&amp;L TOTAL 150'!$A17,0)</f>
        <v>#REF!</v>
      </c>
      <c r="CP17" s="889">
        <f>CP$16*HLOOKUP(CP$10,'P&amp;L by Ctn'!$C$8:$AG$31,'P&amp;L TOTAL 150'!$A17,0)</f>
        <v>0</v>
      </c>
      <c r="CQ17" s="889">
        <f>CQ$16*HLOOKUP(CQ$10,'P&amp;L by Ctn'!$C$8:$AG$31,'P&amp;L TOTAL 150'!$A17,0)</f>
        <v>6060.1785</v>
      </c>
      <c r="CR17" s="889">
        <f>CR$16*HLOOKUP(CR$10,'P&amp;L by Ctn'!$C$8:$AG$31,'P&amp;L TOTAL 150'!$A17,0)</f>
        <v>10925.405999999999</v>
      </c>
      <c r="CS17" s="889">
        <f>CS$16*HLOOKUP(CS$10,'P&amp;L by Ctn'!$C$8:$AG$31,'P&amp;L TOTAL 150'!$A17,0)</f>
        <v>7862.4225000000006</v>
      </c>
      <c r="CT17" s="889" t="e">
        <f t="shared" ref="CT17" si="33">SUM(CM17:CS17)</f>
        <v>#REF!</v>
      </c>
      <c r="CU17" s="1030" t="e">
        <f t="shared" si="10"/>
        <v>#REF!</v>
      </c>
      <c r="CV17" s="1030" t="e">
        <f t="shared" si="10"/>
        <v>#REF!</v>
      </c>
      <c r="CW17" s="1030" t="e">
        <f t="shared" si="10"/>
        <v>#REF!</v>
      </c>
      <c r="CX17" s="1030">
        <f t="shared" si="10"/>
        <v>9679.8677685950424</v>
      </c>
      <c r="CY17" s="1030">
        <f t="shared" si="10"/>
        <v>57603.385417004058</v>
      </c>
      <c r="CZ17" s="1030">
        <f t="shared" si="10"/>
        <v>170976.34199999995</v>
      </c>
      <c r="DA17" s="1030">
        <f t="shared" si="10"/>
        <v>78454.864050000004</v>
      </c>
      <c r="DB17" s="1030" t="e">
        <f>SUM(CU17:DA17)</f>
        <v>#REF!</v>
      </c>
      <c r="DC17" s="1030">
        <f>SUM(J17,R17)</f>
        <v>4815092.0860868478</v>
      </c>
    </row>
    <row r="18" spans="1:109" x14ac:dyDescent="0.45">
      <c r="A18">
        <v>6</v>
      </c>
      <c r="B18" s="1034" t="s">
        <v>155</v>
      </c>
      <c r="C18" s="889">
        <f>C$16*HLOOKUP(C$10,'P&amp;L by Ctn'!$C$8:$AG$31,'P&amp;L TOTAL 150'!$A18,0)</f>
        <v>1487325.1577122149</v>
      </c>
      <c r="D18" s="889">
        <f>D$16*HLOOKUP(D$10,'P&amp;L by Ctn'!$C$8:$AG$31,'P&amp;L TOTAL 150'!$A18,0)</f>
        <v>366601.4265976178</v>
      </c>
      <c r="E18" s="889">
        <f>E$16*HLOOKUP(E$10,'P&amp;L by Ctn'!$C$8:$AG$31,'P&amp;L TOTAL 150'!$A18,0)</f>
        <v>809687.20025298803</v>
      </c>
      <c r="F18" s="889">
        <f>F$16*HLOOKUP(F$10,'P&amp;L by Ctn'!$C$8:$AG$31,'P&amp;L TOTAL 150'!$A18,0)</f>
        <v>0</v>
      </c>
      <c r="G18" s="889">
        <f>G$16*HLOOKUP(G$10,'P&amp;L by Ctn'!$C$8:$AG$31,'P&amp;L TOTAL 150'!$A18,0)</f>
        <v>0</v>
      </c>
      <c r="H18" s="889">
        <f>H$16*HLOOKUP(H$10,'P&amp;L by Ctn'!$C$8:$AG$31,'P&amp;L TOTAL 150'!$A18,0)</f>
        <v>9912</v>
      </c>
      <c r="I18" s="889">
        <f>I$16*HLOOKUP(I$10,'P&amp;L by Ctn'!$C$8:$AG$31,'P&amp;L TOTAL 150'!$A18,0)</f>
        <v>7114.8</v>
      </c>
      <c r="J18" s="889">
        <f t="shared" ref="J18:J19" si="34">SUM(C18:I18)</f>
        <v>2680640.5845628204</v>
      </c>
      <c r="K18" s="889">
        <f>K$16*HLOOKUP(K$10,'P&amp;L by Ctn'!$C$8:$AG$31,'P&amp;L TOTAL 150'!$A18,0)</f>
        <v>714555.21089591517</v>
      </c>
      <c r="L18" s="889">
        <f>L$16*HLOOKUP(L$10,'P&amp;L by Ctn'!$C$8:$AG$31,'P&amp;L TOTAL 150'!$A18,0)</f>
        <v>297863.65911056445</v>
      </c>
      <c r="M18" s="889">
        <f>M$16*HLOOKUP(M$10,'P&amp;L by Ctn'!$C$8:$AG$31,'P&amp;L TOTAL 150'!$A18,0)</f>
        <v>851275.44579546875</v>
      </c>
      <c r="N18" s="889">
        <f>N$16*HLOOKUP(N$10,'P&amp;L by Ctn'!$C$8:$AG$31,'P&amp;L TOTAL 150'!$A18,0)</f>
        <v>0</v>
      </c>
      <c r="O18" s="889">
        <f>O$16*HLOOKUP(O$10,'P&amp;L by Ctn'!$C$8:$AG$31,'P&amp;L TOTAL 150'!$A18,0)</f>
        <v>5102.72</v>
      </c>
      <c r="P18" s="889">
        <f>P$16*HLOOKUP(P$10,'P&amp;L by Ctn'!$C$8:$AG$31,'P&amp;L TOTAL 150'!$A18,0)</f>
        <v>9808.75</v>
      </c>
      <c r="Q18" s="889">
        <f>Q$16*HLOOKUP(Q$10,'P&amp;L by Ctn'!$C$8:$AG$31,'P&amp;L TOTAL 150'!$A18,0)</f>
        <v>0</v>
      </c>
      <c r="R18" s="889">
        <f t="shared" ref="R18:R19" si="35">SUM(K18:Q18)</f>
        <v>1878605.7858019483</v>
      </c>
      <c r="S18" s="889">
        <f>S$16*HLOOKUP(S$10,'P&amp;L by Ctn'!$C$8:$AG$31,'P&amp;L TOTAL 150'!$A18,0)</f>
        <v>1057256.1996334554</v>
      </c>
      <c r="T18" s="889">
        <f>T$16*HLOOKUP(T$10,'P&amp;L by Ctn'!$C$8:$AG$31,'P&amp;L TOTAL 150'!$A18,0)</f>
        <v>252038.48078586222</v>
      </c>
      <c r="U18" s="889">
        <f>U$16*HLOOKUP(U$10,'P&amp;L by Ctn'!$C$8:$AG$31,'P&amp;L TOTAL 150'!$A18,0)</f>
        <v>1265760.2166993006</v>
      </c>
      <c r="V18" s="889">
        <f>V$16*HLOOKUP(V$10,'P&amp;L by Ctn'!$C$8:$AG$31,'P&amp;L TOTAL 150'!$A18,0)</f>
        <v>9184</v>
      </c>
      <c r="W18" s="889">
        <f>W$16*HLOOKUP(W$10,'P&amp;L by Ctn'!$C$8:$AG$31,'P&amp;L TOTAL 150'!$A18,0)</f>
        <v>10416.000000000002</v>
      </c>
      <c r="X18" s="889">
        <f>X$16*HLOOKUP(X$10,'P&amp;L by Ctn'!$C$8:$AG$31,'P&amp;L TOTAL 150'!$A18,0)</f>
        <v>29736</v>
      </c>
      <c r="Y18" s="889">
        <f>Y$16*HLOOKUP(Y$10,'P&amp;L by Ctn'!$C$8:$AG$31,'P&amp;L TOTAL 150'!$A18,0)</f>
        <v>14520</v>
      </c>
      <c r="Z18" s="889">
        <f t="shared" ref="Z18:Z19" si="36">SUM(S18:Y18)</f>
        <v>2638910.8971186182</v>
      </c>
      <c r="AA18" s="889">
        <f>AA$16*HLOOKUP(AA$10,'P&amp;L by Ctn'!$C$8:$AG$31,'P&amp;L TOTAL 150'!$A18,0)</f>
        <v>816932.6522323644</v>
      </c>
      <c r="AB18" s="889">
        <f>AB$16*HLOOKUP(AB$10,'P&amp;L by Ctn'!$C$8:$AG$31,'P&amp;L TOTAL 150'!$A18,0)</f>
        <v>229125.8916235111</v>
      </c>
      <c r="AC18" s="889">
        <f>AC$16*HLOOKUP(AC$10,'P&amp;L by Ctn'!$C$8:$AG$31,'P&amp;L TOTAL 150'!$A18,0)</f>
        <v>789834.37522036349</v>
      </c>
      <c r="AD18" s="889">
        <f>AD$16*HLOOKUP(AD$10,'P&amp;L by Ctn'!$C$8:$AG$31,'P&amp;L TOTAL 150'!$A18,0)</f>
        <v>0</v>
      </c>
      <c r="AE18" s="889">
        <f>AE$16*HLOOKUP(AE$10,'P&amp;L by Ctn'!$C$8:$AG$31,'P&amp;L TOTAL 150'!$A18,0)</f>
        <v>5376.0000000000009</v>
      </c>
      <c r="AF18" s="889">
        <f>AF$16*HLOOKUP(AF$10,'P&amp;L by Ctn'!$C$8:$AG$31,'P&amp;L TOTAL 150'!$A18,0)</f>
        <v>9912</v>
      </c>
      <c r="AG18" s="889">
        <f>AG$16*HLOOKUP(AG$10,'P&amp;L by Ctn'!$C$8:$AG$31,'P&amp;L TOTAL 150'!$A18,0)</f>
        <v>7260</v>
      </c>
      <c r="AH18" s="889">
        <f t="shared" ref="AH18:AH19" si="37">SUM(AA18:AG18)</f>
        <v>1858440.919076239</v>
      </c>
      <c r="AI18" s="889">
        <f>AI$16*HLOOKUP(AI$10,'P&amp;L by Ctn'!$C$8:$AG$31,'P&amp;L TOTAL 150'!$A18,0)</f>
        <v>483949.40796843573</v>
      </c>
      <c r="AJ18" s="889">
        <f>AJ$16*HLOOKUP(AJ$10,'P&amp;L by Ctn'!$C$8:$AG$31,'P&amp;L TOTAL 150'!$A18,0)</f>
        <v>137475.53497410667</v>
      </c>
      <c r="AK18" s="889">
        <f>AK$16*HLOOKUP(AK$10,'P&amp;L by Ctn'!$C$8:$AG$31,'P&amp;L TOTAL 150'!$A18,0)</f>
        <v>445547.59627815377</v>
      </c>
      <c r="AL18" s="889">
        <f>AL$16*HLOOKUP(AL$10,'P&amp;L by Ctn'!$C$8:$AG$31,'P&amp;L TOTAL 150'!$A18,0)</f>
        <v>0</v>
      </c>
      <c r="AM18" s="889">
        <f>AM$16*HLOOKUP(AM$10,'P&amp;L by Ctn'!$C$8:$AG$31,'P&amp;L TOTAL 150'!$A18,0)</f>
        <v>5376.0000000000009</v>
      </c>
      <c r="AN18" s="889">
        <f>AN$16*HLOOKUP(AN$10,'P&amp;L by Ctn'!$C$8:$AG$31,'P&amp;L TOTAL 150'!$A18,0)</f>
        <v>9912</v>
      </c>
      <c r="AO18" s="889">
        <f>AO$16*HLOOKUP(AO$10,'P&amp;L by Ctn'!$C$8:$AG$31,'P&amp;L TOTAL 150'!$A18,0)</f>
        <v>7260</v>
      </c>
      <c r="AP18" s="889">
        <f t="shared" ref="AP18:AP19" si="38">SUM(AI18:AO18)</f>
        <v>1089520.5392206961</v>
      </c>
      <c r="AQ18" s="889">
        <f>AQ$16*HLOOKUP(AQ$10,'P&amp;L by Ctn'!$C$8:$AG$31,'P&amp;L TOTAL 150'!$A18,0)</f>
        <v>765861.46180703596</v>
      </c>
      <c r="AR18" s="889">
        <f>AR$16*HLOOKUP(AR$10,'P&amp;L by Ctn'!$C$8:$AG$31,'P&amp;L TOTAL 150'!$A18,0)</f>
        <v>229125.8916235111</v>
      </c>
      <c r="AS18" s="889">
        <f>AS$16*HLOOKUP(AS$10,'P&amp;L by Ctn'!$C$8:$AG$31,'P&amp;L TOTAL 150'!$A18,0)</f>
        <v>729077.88481879712</v>
      </c>
      <c r="AT18" s="889">
        <f>AT$16*HLOOKUP(AT$10,'P&amp;L by Ctn'!$C$8:$AG$31,'P&amp;L TOTAL 150'!$A18,0)</f>
        <v>0</v>
      </c>
      <c r="AU18" s="889">
        <f>AU$16*HLOOKUP(AU$10,'P&amp;L by Ctn'!$C$8:$AG$31,'P&amp;L TOTAL 150'!$A18,0)</f>
        <v>5376.0000000000009</v>
      </c>
      <c r="AV18" s="889">
        <f>AV$16*HLOOKUP(AV$10,'P&amp;L by Ctn'!$C$8:$AG$31,'P&amp;L TOTAL 150'!$A18,0)</f>
        <v>19824</v>
      </c>
      <c r="AW18" s="889">
        <f>AW$16*HLOOKUP(AW$10,'P&amp;L by Ctn'!$C$8:$AG$31,'P&amp;L TOTAL 150'!$A18,0)</f>
        <v>7260</v>
      </c>
      <c r="AX18" s="889">
        <f t="shared" ref="AX18:AX19" si="39">SUM(AQ18:AW18)</f>
        <v>1756525.2382493443</v>
      </c>
      <c r="AY18" s="889" t="e">
        <f>AY$16*HLOOKUP(AY$10,'P&amp;L by Ctn'!$C$8:$AG$31,'P&amp;L TOTAL 150'!$A18,0)</f>
        <v>#REF!</v>
      </c>
      <c r="AZ18" s="889" t="e">
        <f>AZ$16*HLOOKUP(AZ$10,'P&amp;L by Ctn'!$C$8:$AG$31,'P&amp;L TOTAL 150'!$A18,0)</f>
        <v>#REF!</v>
      </c>
      <c r="BA18" s="889" t="e">
        <f>BA$16*HLOOKUP(BA$10,'P&amp;L by Ctn'!$C$8:$AG$31,'P&amp;L TOTAL 150'!$A18,0)</f>
        <v>#REF!</v>
      </c>
      <c r="BB18" s="889">
        <f>BB$16*HLOOKUP(BB$10,'P&amp;L by Ctn'!$C$8:$AG$31,'P&amp;L TOTAL 150'!$A18,0)</f>
        <v>0</v>
      </c>
      <c r="BC18" s="889">
        <f>BC$16*HLOOKUP(BC$10,'P&amp;L by Ctn'!$C$8:$AG$31,'P&amp;L TOTAL 150'!$A18,0)</f>
        <v>0</v>
      </c>
      <c r="BD18" s="889">
        <f>BD$16*HLOOKUP(BD$10,'P&amp;L by Ctn'!$C$8:$AG$31,'P&amp;L TOTAL 150'!$A18,0)</f>
        <v>10320</v>
      </c>
      <c r="BE18" s="889">
        <f>BE$16*HLOOKUP(BE$10,'P&amp;L by Ctn'!$C$8:$AG$31,'P&amp;L TOTAL 150'!$A18,0)</f>
        <v>0</v>
      </c>
      <c r="BF18" s="889" t="e">
        <f t="shared" ref="BF18:BF19" si="40">SUM(AY18:BE18)</f>
        <v>#REF!</v>
      </c>
      <c r="BG18" s="889" t="e">
        <f>BG$16*HLOOKUP(BG$10,'P&amp;L by Ctn'!$C$8:$AG$31,'P&amp;L TOTAL 150'!$A18,0)</f>
        <v>#REF!</v>
      </c>
      <c r="BH18" s="889" t="e">
        <f>BH$16*HLOOKUP(BH$10,'P&amp;L by Ctn'!$C$8:$AG$31,'P&amp;L TOTAL 150'!$A18,0)</f>
        <v>#REF!</v>
      </c>
      <c r="BI18" s="889" t="e">
        <f>BI$16*HLOOKUP(BI$10,'P&amp;L by Ctn'!$C$8:$AG$31,'P&amp;L TOTAL 150'!$A18,0)</f>
        <v>#REF!</v>
      </c>
      <c r="BJ18" s="889">
        <f>BJ$16*HLOOKUP(BJ$10,'P&amp;L by Ctn'!$C$8:$AG$31,'P&amp;L TOTAL 150'!$A18,0)</f>
        <v>0</v>
      </c>
      <c r="BK18" s="889">
        <f>BK$16*HLOOKUP(BK$10,'P&amp;L by Ctn'!$C$8:$AG$31,'P&amp;L TOTAL 150'!$A18,0)</f>
        <v>5760</v>
      </c>
      <c r="BL18" s="889">
        <f>BL$16*HLOOKUP(BL$10,'P&amp;L by Ctn'!$C$8:$AG$31,'P&amp;L TOTAL 150'!$A18,0)</f>
        <v>20640</v>
      </c>
      <c r="BM18" s="889">
        <f>BM$16*HLOOKUP(BM$10,'P&amp;L by Ctn'!$C$8:$AG$31,'P&amp;L TOTAL 150'!$A18,0)</f>
        <v>7260</v>
      </c>
      <c r="BN18" s="889" t="e">
        <f t="shared" ref="BN18:BN19" si="41">SUM(BG18:BM18)</f>
        <v>#REF!</v>
      </c>
      <c r="BO18" s="889" t="e">
        <f>BO$16*HLOOKUP(BO$10,'P&amp;L by Ctn'!$C$8:$AG$31,'P&amp;L TOTAL 150'!$A18,0)</f>
        <v>#REF!</v>
      </c>
      <c r="BP18" s="889" t="e">
        <f>BP$16*HLOOKUP(BP$10,'P&amp;L by Ctn'!$C$8:$AG$31,'P&amp;L TOTAL 150'!$A18,0)</f>
        <v>#REF!</v>
      </c>
      <c r="BQ18" s="889" t="e">
        <f>BQ$16*HLOOKUP(BQ$10,'P&amp;L by Ctn'!$C$8:$AG$31,'P&amp;L TOTAL 150'!$A18,0)</f>
        <v>#REF!</v>
      </c>
      <c r="BR18" s="889">
        <f>BR$16*HLOOKUP(BR$10,'P&amp;L by Ctn'!$C$8:$AG$31,'P&amp;L TOTAL 150'!$A18,0)</f>
        <v>0</v>
      </c>
      <c r="BS18" s="889">
        <f>BS$16*HLOOKUP(BS$10,'P&amp;L by Ctn'!$C$8:$AG$31,'P&amp;L TOTAL 150'!$A18,0)</f>
        <v>5760</v>
      </c>
      <c r="BT18" s="889">
        <f>BT$16*HLOOKUP(BT$10,'P&amp;L by Ctn'!$C$8:$AG$31,'P&amp;L TOTAL 150'!$A18,0)</f>
        <v>10320</v>
      </c>
      <c r="BU18" s="889">
        <f>BU$16*HLOOKUP(BU$10,'P&amp;L by Ctn'!$C$8:$AG$31,'P&amp;L TOTAL 150'!$A18,0)</f>
        <v>7260</v>
      </c>
      <c r="BV18" s="889" t="e">
        <f t="shared" ref="BV18:BV19" si="42">SUM(BO18:BU18)</f>
        <v>#REF!</v>
      </c>
      <c r="BW18" s="889" t="e">
        <f>BW$16*HLOOKUP(BW$10,'P&amp;L by Ctn'!$C$8:$AG$31,'P&amp;L TOTAL 150'!$A18,0)</f>
        <v>#REF!</v>
      </c>
      <c r="BX18" s="889" t="e">
        <f>BX$16*HLOOKUP(BX$10,'P&amp;L by Ctn'!$C$8:$AG$31,'P&amp;L TOTAL 150'!$A18,0)</f>
        <v>#REF!</v>
      </c>
      <c r="BY18" s="889" t="e">
        <f>BY$16*HLOOKUP(BY$10,'P&amp;L by Ctn'!$C$8:$AG$31,'P&amp;L TOTAL 150'!$A18,0)</f>
        <v>#REF!</v>
      </c>
      <c r="BZ18" s="889">
        <f>BZ$16*HLOOKUP(BZ$10,'P&amp;L by Ctn'!$C$8:$AG$31,'P&amp;L TOTAL 150'!$A18,0)</f>
        <v>0</v>
      </c>
      <c r="CA18" s="889">
        <f>CA$16*HLOOKUP(CA$10,'P&amp;L by Ctn'!$C$8:$AG$31,'P&amp;L TOTAL 150'!$A18,0)</f>
        <v>5760</v>
      </c>
      <c r="CB18" s="889">
        <f>CB$16*HLOOKUP(CB$10,'P&amp;L by Ctn'!$C$8:$AG$31,'P&amp;L TOTAL 150'!$A18,0)</f>
        <v>10320</v>
      </c>
      <c r="CC18" s="889">
        <f>CC$16*HLOOKUP(CC$10,'P&amp;L by Ctn'!$C$8:$AG$31,'P&amp;L TOTAL 150'!$A18,0)</f>
        <v>0</v>
      </c>
      <c r="CD18" s="889" t="e">
        <f t="shared" ref="CD18:CD19" si="43">SUM(BW18:CC18)</f>
        <v>#REF!</v>
      </c>
      <c r="CE18" s="889" t="e">
        <f>CE$16*HLOOKUP(CE$10,'P&amp;L by Ctn'!$C$8:$AG$31,'P&amp;L TOTAL 150'!$A18,0)</f>
        <v>#REF!</v>
      </c>
      <c r="CF18" s="889" t="e">
        <f>CF$16*HLOOKUP(CF$10,'P&amp;L by Ctn'!$C$8:$AG$31,'P&amp;L TOTAL 150'!$A18,0)</f>
        <v>#REF!</v>
      </c>
      <c r="CG18" s="889" t="e">
        <f>CG$16*HLOOKUP(CG$10,'P&amp;L by Ctn'!$C$8:$AG$31,'P&amp;L TOTAL 150'!$A18,0)</f>
        <v>#REF!</v>
      </c>
      <c r="CH18" s="889">
        <f>CH$16*HLOOKUP(CH$10,'P&amp;L by Ctn'!$C$8:$AG$31,'P&amp;L TOTAL 150'!$A18,0)</f>
        <v>0</v>
      </c>
      <c r="CI18" s="889">
        <f>CI$16*HLOOKUP(CI$10,'P&amp;L by Ctn'!$C$8:$AG$31,'P&amp;L TOTAL 150'!$A18,0)</f>
        <v>0</v>
      </c>
      <c r="CJ18" s="889">
        <f>CJ$16*HLOOKUP(CJ$10,'P&amp;L by Ctn'!$C$8:$AG$31,'P&amp;L TOTAL 150'!$A18,0)</f>
        <v>10320</v>
      </c>
      <c r="CK18" s="889">
        <f>CK$16*HLOOKUP(CK$10,'P&amp;L by Ctn'!$C$8:$AG$31,'P&amp;L TOTAL 150'!$A18,0)</f>
        <v>7260</v>
      </c>
      <c r="CL18" s="889" t="e">
        <f t="shared" ref="CL18:CL19" si="44">SUM(CE18:CK18)</f>
        <v>#REF!</v>
      </c>
      <c r="CM18" s="889" t="e">
        <f>CM$16*HLOOKUP(CM$10,'P&amp;L by Ctn'!$C$8:$AG$31,'P&amp;L TOTAL 150'!$A18,0)</f>
        <v>#REF!</v>
      </c>
      <c r="CN18" s="889" t="e">
        <f>CN$16*HLOOKUP(CN$10,'P&amp;L by Ctn'!$C$8:$AG$31,'P&amp;L TOTAL 150'!$A18,0)</f>
        <v>#REF!</v>
      </c>
      <c r="CO18" s="889" t="e">
        <f>CO$16*HLOOKUP(CO$10,'P&amp;L by Ctn'!$C$8:$AG$31,'P&amp;L TOTAL 150'!$A18,0)</f>
        <v>#REF!</v>
      </c>
      <c r="CP18" s="889">
        <f>CP$16*HLOOKUP(CP$10,'P&amp;L by Ctn'!$C$8:$AG$31,'P&amp;L TOTAL 150'!$A18,0)</f>
        <v>0</v>
      </c>
      <c r="CQ18" s="889">
        <f>CQ$16*HLOOKUP(CQ$10,'P&amp;L by Ctn'!$C$8:$AG$31,'P&amp;L TOTAL 150'!$A18,0)</f>
        <v>5760</v>
      </c>
      <c r="CR18" s="889">
        <f>CR$16*HLOOKUP(CR$10,'P&amp;L by Ctn'!$C$8:$AG$31,'P&amp;L TOTAL 150'!$A18,0)</f>
        <v>10320</v>
      </c>
      <c r="CS18" s="889">
        <f>CS$16*HLOOKUP(CS$10,'P&amp;L by Ctn'!$C$8:$AG$31,'P&amp;L TOTAL 150'!$A18,0)</f>
        <v>7260</v>
      </c>
      <c r="CT18" s="889" t="e">
        <f t="shared" ref="CT18:CT19" si="45">SUM(CM18:CS18)</f>
        <v>#REF!</v>
      </c>
      <c r="CU18" s="1030" t="e">
        <f t="shared" si="10"/>
        <v>#REF!</v>
      </c>
      <c r="CV18" s="1030" t="e">
        <f t="shared" si="10"/>
        <v>#REF!</v>
      </c>
      <c r="CW18" s="1030" t="e">
        <f t="shared" si="10"/>
        <v>#REF!</v>
      </c>
      <c r="CX18" s="1030">
        <f t="shared" si="10"/>
        <v>9184</v>
      </c>
      <c r="CY18" s="1030">
        <f t="shared" si="10"/>
        <v>54686.720000000001</v>
      </c>
      <c r="CZ18" s="1030">
        <f t="shared" si="10"/>
        <v>161344.75</v>
      </c>
      <c r="DA18" s="1030">
        <f t="shared" si="10"/>
        <v>72454.8</v>
      </c>
      <c r="DB18" s="1030" t="e">
        <f t="shared" ref="DB18:DB19" si="46">SUM(CU18:DA18)</f>
        <v>#REF!</v>
      </c>
      <c r="DC18" s="1030">
        <f>SUM(J18,R18)</f>
        <v>4559246.3703647684</v>
      </c>
    </row>
    <row r="19" spans="1:109" x14ac:dyDescent="0.45">
      <c r="A19">
        <v>7</v>
      </c>
      <c r="B19" s="1034" t="s">
        <v>79</v>
      </c>
      <c r="C19" s="889">
        <f>C$16*3.56413598195</f>
        <v>924622.41298139677</v>
      </c>
      <c r="D19" s="889">
        <f>D$16*3.99304894848</f>
        <v>255555.13270271997</v>
      </c>
      <c r="E19" s="889">
        <f>E$16*4.71581901013</f>
        <v>669316.1921077508</v>
      </c>
      <c r="F19" s="889">
        <f>F$16*HLOOKUP(F$10,'P&amp;L by Ctn'!$C$8:$AG$31,'P&amp;L TOTAL 150'!$A19,0)</f>
        <v>0</v>
      </c>
      <c r="G19" s="889">
        <f>G$16*HLOOKUP(G$10,'P&amp;L by Ctn'!$C$8:$AG$31,'P&amp;L TOTAL 150'!$A19,0)</f>
        <v>0</v>
      </c>
      <c r="H19" s="889">
        <f>H$16*2.59998957605</f>
        <v>6239.9749825199997</v>
      </c>
      <c r="I19" s="889">
        <f>I$16*3.79029334655</f>
        <v>4457.3849755428</v>
      </c>
      <c r="J19" s="889">
        <f t="shared" si="34"/>
        <v>1860191.0977499303</v>
      </c>
      <c r="K19" s="889">
        <f>K$16*3.80167859783</f>
        <v>473822.21204054204</v>
      </c>
      <c r="L19" s="889">
        <f>L$16*4.1428912669</f>
        <v>215430.34587880003</v>
      </c>
      <c r="M19" s="889">
        <f>M$16*4.99930685414</f>
        <v>745996.56877477083</v>
      </c>
      <c r="N19" s="889">
        <f>N$16*HLOOKUP(N$10,'P&amp;L by Ctn'!$C$8:$AG$31,'P&amp;L TOTAL 150'!$A19,0)</f>
        <v>0</v>
      </c>
      <c r="O19" s="889">
        <f>O$16*2.34330836385</f>
        <v>2669.02822642515</v>
      </c>
      <c r="P19" s="889">
        <f>P$16*2.73075243152</f>
        <v>6485.5370248600002</v>
      </c>
      <c r="Q19" s="889">
        <f>Q$16*HLOOKUP(Q$10,'P&amp;L by Ctn'!$C$8:$AG$31,'P&amp;L TOTAL 150'!$A19,0)</f>
        <v>0</v>
      </c>
      <c r="R19" s="889">
        <f t="shared" si="35"/>
        <v>1444403.6919453982</v>
      </c>
      <c r="S19" s="889">
        <f>S$16*3.80167859783</f>
        <v>701067.55022583029</v>
      </c>
      <c r="T19" s="889">
        <f>T$16*4.1428912669</f>
        <v>182287.21574360001</v>
      </c>
      <c r="U19" s="889">
        <f>U$16*4.99930685414</f>
        <v>1109221.2082623125</v>
      </c>
      <c r="V19" s="889">
        <f>V$16*HLOOKUP(V$10,'P&amp;L by Ctn'!$C$8:$AG$31,'P&amp;L TOTAL 150'!$A19,0)</f>
        <v>6207.0379130079518</v>
      </c>
      <c r="W19" s="889">
        <f>W$16*2.34330836385</f>
        <v>5448.1919459512501</v>
      </c>
      <c r="X19" s="889">
        <f>X$16*2.73075243152</f>
        <v>19661.417506943999</v>
      </c>
      <c r="Y19" s="889">
        <f>Y$16*HLOOKUP(Y$10,'P&amp;L by Ctn'!$C$8:$AG$31,'P&amp;L TOTAL 150'!$A19,0)</f>
        <v>9458.24551837525</v>
      </c>
      <c r="Z19" s="889">
        <f t="shared" si="36"/>
        <v>2033350.867116021</v>
      </c>
      <c r="AA19" s="889">
        <f>AA$16*VLOOKUP(AA14,Table3[#All],IF(AA11="q2",3,5),0)</f>
        <v>563144.43943661975</v>
      </c>
      <c r="AB19" s="889">
        <f>AB$16*VLOOKUP(AB14,Table3[#All],IF(AA11="q2",3,5),0)</f>
        <v>177352.11267605631</v>
      </c>
      <c r="AC19" s="889">
        <f>AC$16*VLOOKUP(AC14,Table3[#All],IF(AA11="q2",3,5),0)</f>
        <v>723840</v>
      </c>
      <c r="AD19" s="889">
        <f>AD$16*VLOOKUP(AD14,Table3[#All],IF(AA11="q2",3,5),0)</f>
        <v>0</v>
      </c>
      <c r="AE19" s="889">
        <f>AE$16*VLOOKUP(AE14,Table3[#All],IF(AA11="q2",3,5),0)</f>
        <v>3330.2535211267609</v>
      </c>
      <c r="AF19" s="889">
        <f>AF$16*VLOOKUP(AF14,Table3[#All],IF(AA11="q2",3,5),0)</f>
        <v>6589.5211267605628</v>
      </c>
      <c r="AG19" s="889">
        <f>AG$16*VLOOKUP(AG14,Table3[#All],IF(AA11="q2",3,5),0)</f>
        <v>4822.9859154929582</v>
      </c>
      <c r="AH19" s="889">
        <f t="shared" si="37"/>
        <v>1479079.3126760565</v>
      </c>
      <c r="AI19" s="889">
        <f>AI$16*VLOOKUP(AI14,Table3[#All],IF(AI11="q2",3,5),0)</f>
        <v>333605.7352112676</v>
      </c>
      <c r="AJ19" s="889">
        <f>AJ$16*VLOOKUP(AJ14,Table3[#All],IF(AI11="q2",3,5),0)</f>
        <v>106411.2676056338</v>
      </c>
      <c r="AK19" s="889">
        <f>AK$16*VLOOKUP(AK14,Table3[#All],IF(AI11="q2",3,5),0)</f>
        <v>408320</v>
      </c>
      <c r="AL19" s="889">
        <f>AL$16*VLOOKUP(AL14,Table3[#All],IF(AI11="q2",3,5),0)</f>
        <v>0</v>
      </c>
      <c r="AM19" s="889">
        <f>AM$16*VLOOKUP(AM14,Table3[#All],IF(AI11="q2",3,5),0)</f>
        <v>3330.2535211267609</v>
      </c>
      <c r="AN19" s="889">
        <f>AN$16*VLOOKUP(AN14,Table3[#All],IF(AI11="q2",3,5),0)</f>
        <v>6589.5211267605628</v>
      </c>
      <c r="AO19" s="889">
        <f>AO$16*VLOOKUP(AO14,Table3[#All],IF(AI11="q2",3,5),0)</f>
        <v>4822.9859154929582</v>
      </c>
      <c r="AP19" s="889">
        <f t="shared" si="38"/>
        <v>863079.76338028174</v>
      </c>
      <c r="AQ19" s="889">
        <f>AQ$16*VLOOKUP(AQ14,Table3[#All],IF(AQ11="q2",3,5),0)</f>
        <v>527939.01971830986</v>
      </c>
      <c r="AR19" s="889">
        <f>AR$16*VLOOKUP(AR14,Table3[#All],IF(AQ11="q2",3,5),0)</f>
        <v>177352.11267605631</v>
      </c>
      <c r="AS19" s="889">
        <f>AS$16*VLOOKUP(AS14,Table3[#All],IF(AQ11="q2",3,5),0)</f>
        <v>668160</v>
      </c>
      <c r="AT19" s="889">
        <f>AT$16*VLOOKUP(AT14,Table3[#All],IF(AQ11="q2",3,5),0)</f>
        <v>0</v>
      </c>
      <c r="AU19" s="889">
        <f>AU$16*VLOOKUP(AU14,Table3[#All],IF(AQ11="q2",3,5),0)</f>
        <v>3330.2535211267609</v>
      </c>
      <c r="AV19" s="889">
        <f>AV$16*VLOOKUP(AV14,Table3[#All],IF(AQ11="q2",3,5),0)</f>
        <v>13179.042253521126</v>
      </c>
      <c r="AW19" s="889">
        <f>AW$16*VLOOKUP(AW14,Table3[#All],IF(AQ11="q2",3,5),0)</f>
        <v>4822.9859154929582</v>
      </c>
      <c r="AX19" s="889">
        <f t="shared" si="39"/>
        <v>1394783.4140845069</v>
      </c>
      <c r="AY19" s="889">
        <f>AY$16*VLOOKUP(AY14,Table3[#All],IF(AY11="q2",3,5),0)</f>
        <v>544152.33802816912</v>
      </c>
      <c r="AZ19" s="889">
        <f>AZ$16*VLOOKUP(AZ14,Table3[#All],IF(AY11="q2",3,5),0)</f>
        <v>170005.63380281691</v>
      </c>
      <c r="BA19" s="889">
        <f>BA$16*VLOOKUP(BA14,Table3[#All],IF(AY11="q2",3,5),0)</f>
        <v>651310.00000000012</v>
      </c>
      <c r="BB19" s="889">
        <f>BB$16*VLOOKUP(BB14,Table3[#All],IF(AY11="q2",3,5),0)</f>
        <v>0</v>
      </c>
      <c r="BC19" s="889">
        <f>BC$16*VLOOKUP(BC14,Table3[#All],IF(AY11="q2",3,5),0)</f>
        <v>0</v>
      </c>
      <c r="BD19" s="889">
        <f>BD$16*VLOOKUP(BD14,Table3[#All],IF(AY11="q2",3,5),0)</f>
        <v>7212.1690140845067</v>
      </c>
      <c r="BE19" s="889">
        <f>BE$16*VLOOKUP(BE14,Table3[#All],IF(AY11="q2",3,5),0)</f>
        <v>0</v>
      </c>
      <c r="BF19" s="889">
        <f t="shared" si="40"/>
        <v>1372680.1408450706</v>
      </c>
      <c r="BG19" s="889">
        <f>BG$16*VLOOKUP(BG14,Table3[#All],IF(BG11="q2",3,5),0)</f>
        <v>480667.89859154931</v>
      </c>
      <c r="BH19" s="889">
        <f>BH$16*VLOOKUP(BH14,Table3[#All],IF(BG11="q2",3,5),0)</f>
        <v>170005.63380281691</v>
      </c>
      <c r="BI19" s="889">
        <f>BI$16*VLOOKUP(BI14,Table3[#All],IF(BG11="q2",3,5),0)</f>
        <v>672320.00000000012</v>
      </c>
      <c r="BJ19" s="889">
        <f>BJ$16*VLOOKUP(BJ14,Table3[#All],IF(BG11="q2",3,5),0)</f>
        <v>0</v>
      </c>
      <c r="BK19" s="889">
        <f>BK$16*VLOOKUP(BK14,Table3[#All],IF(BG11="q2",3,5),0)</f>
        <v>3665.9154929577462</v>
      </c>
      <c r="BL19" s="889">
        <f>BL$16*VLOOKUP(BL14,Table3[#All],IF(BG11="q2",3,5),0)</f>
        <v>14424.338028169013</v>
      </c>
      <c r="BM19" s="889">
        <f>BM$16*VLOOKUP(BM14,Table3[#All],IF(BG11="q2",3,5),0)</f>
        <v>5046.0845070422538</v>
      </c>
      <c r="BN19" s="889">
        <f t="shared" si="41"/>
        <v>1346129.8704225353</v>
      </c>
      <c r="BO19" s="889">
        <f>BO$16*VLOOKUP(BO14,Table3[#All],IF(BO11="q2",3,5),0)</f>
        <v>616705.98309859156</v>
      </c>
      <c r="BP19" s="889">
        <f>BP$16*VLOOKUP(BP14,Table3[#All],IF(BO11="q2",3,5),0)</f>
        <v>233757.74647887325</v>
      </c>
      <c r="BQ19" s="889">
        <f>BQ$16*VLOOKUP(BQ14,Table3[#All],IF(BO11="q2",3,5),0)</f>
        <v>861410.00000000012</v>
      </c>
      <c r="BR19" s="889">
        <f>BR$16*VLOOKUP(BR14,Table3[#All],IF(BO11="q2",3,5),0)</f>
        <v>0</v>
      </c>
      <c r="BS19" s="889">
        <f>BS$16*VLOOKUP(BS14,Table3[#All],IF(BO11="q2",3,5),0)</f>
        <v>3665.9154929577462</v>
      </c>
      <c r="BT19" s="889">
        <f>BT$16*VLOOKUP(BT14,Table3[#All],IF(BO11="q2",3,5),0)</f>
        <v>7212.1690140845067</v>
      </c>
      <c r="BU19" s="889">
        <f>BU$16*VLOOKUP(BU14,Table3[#All],IF(BO11="q2",3,5),0)</f>
        <v>5046.0845070422538</v>
      </c>
      <c r="BV19" s="889">
        <f t="shared" si="42"/>
        <v>1727797.8985915496</v>
      </c>
      <c r="BW19" s="889">
        <f>BW$16*VLOOKUP(BW14,Table3[#All],IF(BW11="q2",3,5),0)</f>
        <v>453460.2816901409</v>
      </c>
      <c r="BX19" s="889">
        <f>BX$16*VLOOKUP(BX14,Table3[#All],IF(BW11="q2",3,5),0)</f>
        <v>191256.338028169</v>
      </c>
      <c r="BY19" s="889">
        <f>BY$16*VLOOKUP(BY14,Table3[#All],IF(BW11="q2",3,5),0)</f>
        <v>672320.00000000012</v>
      </c>
      <c r="BZ19" s="889">
        <f>BZ$16*VLOOKUP(BZ14,Table3[#All],IF(BW11="q2",3,5),0)</f>
        <v>0</v>
      </c>
      <c r="CA19" s="889">
        <f>CA$16*VLOOKUP(CA14,Table3[#All],IF(BW11="q2",3,5),0)</f>
        <v>3665.9154929577462</v>
      </c>
      <c r="CB19" s="889">
        <f>CB$16*VLOOKUP(CB14,Table3[#All],IF(BW11="q2",3,5),0)</f>
        <v>7212.1690140845067</v>
      </c>
      <c r="CC19" s="889">
        <f>CC$16*VLOOKUP(CC14,Table3[#All],IF(BW11="q2",3,5),0)</f>
        <v>0</v>
      </c>
      <c r="CD19" s="889">
        <f t="shared" si="43"/>
        <v>1327914.7042253523</v>
      </c>
      <c r="CE19" s="889">
        <f>CE$16*VLOOKUP(CE14,Table3[#All],IF(CE11="q2",3,5),0)</f>
        <v>480667.89859154931</v>
      </c>
      <c r="CF19" s="889">
        <f>CF$16*VLOOKUP(CF14,Table3[#All],IF(CE11="q2",3,5),0)</f>
        <v>170005.63380281691</v>
      </c>
      <c r="CG19" s="889">
        <f>CG$16*VLOOKUP(CG14,Table3[#All],IF(CE11="q2",3,5),0)</f>
        <v>693330.00000000012</v>
      </c>
      <c r="CH19" s="889">
        <f>CH$16*VLOOKUP(CH14,Table3[#All],IF(CE11="q2",3,5),0)</f>
        <v>0</v>
      </c>
      <c r="CI19" s="889">
        <f>CI$16*VLOOKUP(CI14,Table3[#All],IF(CE11="q2",3,5),0)</f>
        <v>0</v>
      </c>
      <c r="CJ19" s="889">
        <f>CJ$16*VLOOKUP(CJ14,Table3[#All],IF(CE11="q2",3,5),0)</f>
        <v>7212.1690140845067</v>
      </c>
      <c r="CK19" s="889">
        <f>CK$16*VLOOKUP(CK14,Table3[#All],IF(CE11="q2",3,5),0)</f>
        <v>5046.0845070422538</v>
      </c>
      <c r="CL19" s="889">
        <f t="shared" si="44"/>
        <v>1356261.7859154933</v>
      </c>
      <c r="CM19" s="889">
        <f>CM$16*VLOOKUP(CM14,Table3[#All],IF(CM11="q2",3,5),0)</f>
        <v>752060.12957746489</v>
      </c>
      <c r="CN19" s="889">
        <f>CN$16*VLOOKUP(CN14,Table3[#All],IF(CM11="q2",3,5),0)</f>
        <v>233757.74647887325</v>
      </c>
      <c r="CO19" s="889">
        <f>CO$16*VLOOKUP(CO14,Table3[#All],IF(CM11="q2",3,5),0)</f>
        <v>861410.00000000012</v>
      </c>
      <c r="CP19" s="889">
        <f>CP$16*VLOOKUP(CP14,Table3[#All],IF(CM11="q2",3,5),0)</f>
        <v>0</v>
      </c>
      <c r="CQ19" s="889">
        <f>CQ$16*VLOOKUP(CQ14,Table3[#All],IF(CM11="q2",3,5),0)</f>
        <v>3665.9154929577462</v>
      </c>
      <c r="CR19" s="889">
        <f>CR$16*VLOOKUP(CR14,Table3[#All],IF(CM11="q2",3,5),0)</f>
        <v>7212.1690140845067</v>
      </c>
      <c r="CS19" s="889">
        <f>CS$16*VLOOKUP(CS14,Table3[#All],IF(CM11="q2",3,5),0)</f>
        <v>5046.0845070422538</v>
      </c>
      <c r="CT19" s="889">
        <f t="shared" si="45"/>
        <v>1863152.0450704228</v>
      </c>
      <c r="CU19" s="1030">
        <f t="shared" si="10"/>
        <v>6851915.8991914317</v>
      </c>
      <c r="CV19" s="1030">
        <f t="shared" si="10"/>
        <v>2283176.9196772329</v>
      </c>
      <c r="CW19" s="1030">
        <f t="shared" si="10"/>
        <v>8736953.9691448342</v>
      </c>
      <c r="CX19" s="1030">
        <f t="shared" si="10"/>
        <v>6207.0379130079518</v>
      </c>
      <c r="CY19" s="1030">
        <f t="shared" si="10"/>
        <v>32771.642707587664</v>
      </c>
      <c r="CZ19" s="1030">
        <f t="shared" si="10"/>
        <v>109230.19711995778</v>
      </c>
      <c r="DA19" s="1030">
        <f t="shared" si="10"/>
        <v>48568.926268565927</v>
      </c>
      <c r="DB19" s="1030">
        <f t="shared" si="46"/>
        <v>18068824.59202262</v>
      </c>
      <c r="DC19" s="1030">
        <f>SUM(J19,R19)</f>
        <v>3304594.7896953286</v>
      </c>
    </row>
    <row r="20" spans="1:109" x14ac:dyDescent="0.45">
      <c r="B20" s="1034" t="s">
        <v>156</v>
      </c>
      <c r="C20" s="889">
        <f t="shared" ref="C20:AH20" si="47">C18-C19</f>
        <v>562702.74473081809</v>
      </c>
      <c r="D20" s="889">
        <f t="shared" si="47"/>
        <v>111046.29389489783</v>
      </c>
      <c r="E20" s="889">
        <f t="shared" si="47"/>
        <v>140371.00814523723</v>
      </c>
      <c r="F20" s="889">
        <f t="shared" si="47"/>
        <v>0</v>
      </c>
      <c r="G20" s="889">
        <f t="shared" si="47"/>
        <v>0</v>
      </c>
      <c r="H20" s="889">
        <f t="shared" si="47"/>
        <v>3672.0250174800003</v>
      </c>
      <c r="I20" s="889">
        <f t="shared" si="47"/>
        <v>2657.4150244572002</v>
      </c>
      <c r="J20" s="889">
        <f t="shared" si="47"/>
        <v>820449.48681289004</v>
      </c>
      <c r="K20" s="889">
        <f t="shared" si="47"/>
        <v>240732.99885537312</v>
      </c>
      <c r="L20" s="889">
        <f t="shared" si="47"/>
        <v>82433.313231764419</v>
      </c>
      <c r="M20" s="889">
        <f t="shared" si="47"/>
        <v>105278.87702069792</v>
      </c>
      <c r="N20" s="889">
        <f t="shared" si="47"/>
        <v>0</v>
      </c>
      <c r="O20" s="889">
        <f t="shared" si="47"/>
        <v>2433.6917735748502</v>
      </c>
      <c r="P20" s="889">
        <f t="shared" si="47"/>
        <v>3323.2129751399998</v>
      </c>
      <c r="Q20" s="889">
        <f t="shared" si="47"/>
        <v>0</v>
      </c>
      <c r="R20" s="889">
        <f t="shared" si="47"/>
        <v>434202.09385655005</v>
      </c>
      <c r="S20" s="889">
        <f t="shared" si="47"/>
        <v>356188.64940762508</v>
      </c>
      <c r="T20" s="889">
        <f t="shared" si="47"/>
        <v>69751.26504226221</v>
      </c>
      <c r="U20" s="889">
        <f t="shared" si="47"/>
        <v>156539.00843698811</v>
      </c>
      <c r="V20" s="889">
        <f t="shared" si="47"/>
        <v>2976.9620869920482</v>
      </c>
      <c r="W20" s="889">
        <f t="shared" si="47"/>
        <v>4967.8080540487517</v>
      </c>
      <c r="X20" s="889">
        <f t="shared" si="47"/>
        <v>10074.582493056001</v>
      </c>
      <c r="Y20" s="889">
        <f t="shared" si="47"/>
        <v>5061.75448162475</v>
      </c>
      <c r="Z20" s="889">
        <f t="shared" si="47"/>
        <v>605560.03000259725</v>
      </c>
      <c r="AA20" s="889">
        <f t="shared" si="47"/>
        <v>253788.21279574465</v>
      </c>
      <c r="AB20" s="889">
        <f t="shared" si="47"/>
        <v>51773.77894745479</v>
      </c>
      <c r="AC20" s="889">
        <f t="shared" si="47"/>
        <v>65994.375220363494</v>
      </c>
      <c r="AD20" s="889">
        <f t="shared" si="47"/>
        <v>0</v>
      </c>
      <c r="AE20" s="889">
        <f t="shared" si="47"/>
        <v>2045.74647887324</v>
      </c>
      <c r="AF20" s="889">
        <f t="shared" si="47"/>
        <v>3322.4788732394372</v>
      </c>
      <c r="AG20" s="889">
        <f t="shared" si="47"/>
        <v>2437.0140845070418</v>
      </c>
      <c r="AH20" s="889">
        <f t="shared" si="47"/>
        <v>379361.60640018247</v>
      </c>
      <c r="AI20" s="889">
        <f t="shared" ref="AI20:BN20" si="48">AI18-AI19</f>
        <v>150343.67275716813</v>
      </c>
      <c r="AJ20" s="889">
        <f t="shared" si="48"/>
        <v>31064.26736847288</v>
      </c>
      <c r="AK20" s="889">
        <f t="shared" si="48"/>
        <v>37227.596278153767</v>
      </c>
      <c r="AL20" s="889">
        <f t="shared" si="48"/>
        <v>0</v>
      </c>
      <c r="AM20" s="889">
        <f t="shared" si="48"/>
        <v>2045.74647887324</v>
      </c>
      <c r="AN20" s="889">
        <f t="shared" si="48"/>
        <v>3322.4788732394372</v>
      </c>
      <c r="AO20" s="889">
        <f t="shared" si="48"/>
        <v>2437.0140845070418</v>
      </c>
      <c r="AP20" s="889">
        <f t="shared" si="48"/>
        <v>226440.77584041434</v>
      </c>
      <c r="AQ20" s="889">
        <f t="shared" si="48"/>
        <v>237922.44208872609</v>
      </c>
      <c r="AR20" s="889">
        <f t="shared" si="48"/>
        <v>51773.77894745479</v>
      </c>
      <c r="AS20" s="889">
        <f t="shared" si="48"/>
        <v>60917.884818797116</v>
      </c>
      <c r="AT20" s="889">
        <f t="shared" si="48"/>
        <v>0</v>
      </c>
      <c r="AU20" s="889">
        <f t="shared" si="48"/>
        <v>2045.74647887324</v>
      </c>
      <c r="AV20" s="889">
        <f t="shared" si="48"/>
        <v>6644.9577464788745</v>
      </c>
      <c r="AW20" s="889">
        <f t="shared" si="48"/>
        <v>2437.0140845070418</v>
      </c>
      <c r="AX20" s="889">
        <f t="shared" si="48"/>
        <v>361741.82416483737</v>
      </c>
      <c r="AY20" s="889" t="e">
        <f t="shared" si="48"/>
        <v>#REF!</v>
      </c>
      <c r="AZ20" s="889" t="e">
        <f t="shared" si="48"/>
        <v>#REF!</v>
      </c>
      <c r="BA20" s="889" t="e">
        <f t="shared" si="48"/>
        <v>#REF!</v>
      </c>
      <c r="BB20" s="889">
        <f t="shared" si="48"/>
        <v>0</v>
      </c>
      <c r="BC20" s="889">
        <f t="shared" si="48"/>
        <v>0</v>
      </c>
      <c r="BD20" s="889">
        <f t="shared" si="48"/>
        <v>3107.8309859154933</v>
      </c>
      <c r="BE20" s="889">
        <f t="shared" si="48"/>
        <v>0</v>
      </c>
      <c r="BF20" s="889" t="e">
        <f t="shared" si="48"/>
        <v>#REF!</v>
      </c>
      <c r="BG20" s="889" t="e">
        <f t="shared" si="48"/>
        <v>#REF!</v>
      </c>
      <c r="BH20" s="889" t="e">
        <f t="shared" si="48"/>
        <v>#REF!</v>
      </c>
      <c r="BI20" s="889" t="e">
        <f t="shared" si="48"/>
        <v>#REF!</v>
      </c>
      <c r="BJ20" s="889">
        <f t="shared" si="48"/>
        <v>0</v>
      </c>
      <c r="BK20" s="889">
        <f t="shared" si="48"/>
        <v>2094.0845070422538</v>
      </c>
      <c r="BL20" s="889">
        <f t="shared" si="48"/>
        <v>6215.6619718309867</v>
      </c>
      <c r="BM20" s="889">
        <f t="shared" si="48"/>
        <v>2213.9154929577462</v>
      </c>
      <c r="BN20" s="889" t="e">
        <f t="shared" si="48"/>
        <v>#REF!</v>
      </c>
      <c r="BO20" s="889" t="e">
        <f t="shared" ref="BO20:CT20" si="49">BO18-BO19</f>
        <v>#REF!</v>
      </c>
      <c r="BP20" s="889" t="e">
        <f t="shared" si="49"/>
        <v>#REF!</v>
      </c>
      <c r="BQ20" s="889" t="e">
        <f t="shared" si="49"/>
        <v>#REF!</v>
      </c>
      <c r="BR20" s="889">
        <f t="shared" si="49"/>
        <v>0</v>
      </c>
      <c r="BS20" s="889">
        <f t="shared" si="49"/>
        <v>2094.0845070422538</v>
      </c>
      <c r="BT20" s="889">
        <f t="shared" si="49"/>
        <v>3107.8309859154933</v>
      </c>
      <c r="BU20" s="889">
        <f t="shared" si="49"/>
        <v>2213.9154929577462</v>
      </c>
      <c r="BV20" s="889" t="e">
        <f t="shared" si="49"/>
        <v>#REF!</v>
      </c>
      <c r="BW20" s="889" t="e">
        <f t="shared" si="49"/>
        <v>#REF!</v>
      </c>
      <c r="BX20" s="889" t="e">
        <f t="shared" si="49"/>
        <v>#REF!</v>
      </c>
      <c r="BY20" s="889" t="e">
        <f t="shared" si="49"/>
        <v>#REF!</v>
      </c>
      <c r="BZ20" s="889">
        <f t="shared" si="49"/>
        <v>0</v>
      </c>
      <c r="CA20" s="889">
        <f t="shared" si="49"/>
        <v>2094.0845070422538</v>
      </c>
      <c r="CB20" s="889">
        <f t="shared" si="49"/>
        <v>3107.8309859154933</v>
      </c>
      <c r="CC20" s="889">
        <f t="shared" si="49"/>
        <v>0</v>
      </c>
      <c r="CD20" s="889" t="e">
        <f t="shared" si="49"/>
        <v>#REF!</v>
      </c>
      <c r="CE20" s="889" t="e">
        <f t="shared" si="49"/>
        <v>#REF!</v>
      </c>
      <c r="CF20" s="889" t="e">
        <f t="shared" si="49"/>
        <v>#REF!</v>
      </c>
      <c r="CG20" s="889" t="e">
        <f t="shared" si="49"/>
        <v>#REF!</v>
      </c>
      <c r="CH20" s="889">
        <f t="shared" si="49"/>
        <v>0</v>
      </c>
      <c r="CI20" s="889">
        <f t="shared" si="49"/>
        <v>0</v>
      </c>
      <c r="CJ20" s="889">
        <f t="shared" si="49"/>
        <v>3107.8309859154933</v>
      </c>
      <c r="CK20" s="889">
        <f t="shared" si="49"/>
        <v>2213.9154929577462</v>
      </c>
      <c r="CL20" s="889" t="e">
        <f t="shared" si="49"/>
        <v>#REF!</v>
      </c>
      <c r="CM20" s="889" t="e">
        <f t="shared" si="49"/>
        <v>#REF!</v>
      </c>
      <c r="CN20" s="889" t="e">
        <f t="shared" si="49"/>
        <v>#REF!</v>
      </c>
      <c r="CO20" s="889" t="e">
        <f t="shared" si="49"/>
        <v>#REF!</v>
      </c>
      <c r="CP20" s="889">
        <f t="shared" si="49"/>
        <v>0</v>
      </c>
      <c r="CQ20" s="889">
        <f t="shared" si="49"/>
        <v>2094.0845070422538</v>
      </c>
      <c r="CR20" s="889">
        <f t="shared" si="49"/>
        <v>3107.8309859154933</v>
      </c>
      <c r="CS20" s="889">
        <f t="shared" si="49"/>
        <v>2213.9154929577462</v>
      </c>
      <c r="CT20" s="889" t="e">
        <f t="shared" si="49"/>
        <v>#REF!</v>
      </c>
      <c r="CU20" s="1030" t="e">
        <f t="shared" ref="CU20:DC20" si="50">CU18-CU19</f>
        <v>#REF!</v>
      </c>
      <c r="CV20" s="1030" t="e">
        <f t="shared" si="50"/>
        <v>#REF!</v>
      </c>
      <c r="CW20" s="1030" t="e">
        <f t="shared" si="50"/>
        <v>#REF!</v>
      </c>
      <c r="CX20" s="1030">
        <f t="shared" si="50"/>
        <v>2976.9620869920482</v>
      </c>
      <c r="CY20" s="1030">
        <f t="shared" si="50"/>
        <v>21915.077292412338</v>
      </c>
      <c r="CZ20" s="1030">
        <f t="shared" si="50"/>
        <v>52114.552880042218</v>
      </c>
      <c r="DA20" s="1030">
        <f t="shared" si="50"/>
        <v>23885.873731434076</v>
      </c>
      <c r="DB20" s="1030" t="e">
        <f t="shared" si="50"/>
        <v>#REF!</v>
      </c>
      <c r="DC20" s="1030">
        <f t="shared" si="50"/>
        <v>1254651.5806694399</v>
      </c>
    </row>
    <row r="21" spans="1:109" x14ac:dyDescent="0.45">
      <c r="B21" s="1035" t="s">
        <v>157</v>
      </c>
      <c r="C21" s="891">
        <f t="shared" ref="C21:AH21" si="51">IFERROR(C20/C$18,0)</f>
        <v>0.37833202902071561</v>
      </c>
      <c r="D21" s="891">
        <f t="shared" si="51"/>
        <v>0.30290742435321283</v>
      </c>
      <c r="E21" s="891">
        <f t="shared" si="51"/>
        <v>0.17336448952308753</v>
      </c>
      <c r="F21" s="891">
        <f t="shared" si="51"/>
        <v>0</v>
      </c>
      <c r="G21" s="891">
        <f t="shared" si="51"/>
        <v>0</v>
      </c>
      <c r="H21" s="891">
        <f t="shared" si="51"/>
        <v>0.37046257238498792</v>
      </c>
      <c r="I21" s="891">
        <f t="shared" si="51"/>
        <v>0.37350523197520663</v>
      </c>
      <c r="J21" s="891">
        <f t="shared" si="51"/>
        <v>0.30606471137446251</v>
      </c>
      <c r="K21" s="891">
        <f t="shared" si="51"/>
        <v>0.33689908797045942</v>
      </c>
      <c r="L21" s="891">
        <f t="shared" si="51"/>
        <v>0.27674847437889655</v>
      </c>
      <c r="M21" s="891">
        <f t="shared" si="51"/>
        <v>0.12367192962122943</v>
      </c>
      <c r="N21" s="891">
        <f t="shared" si="51"/>
        <v>0</v>
      </c>
      <c r="O21" s="891">
        <f t="shared" si="51"/>
        <v>0.47694009735491072</v>
      </c>
      <c r="P21" s="891">
        <f t="shared" si="51"/>
        <v>0.33880086403874088</v>
      </c>
      <c r="Q21" s="891">
        <f t="shared" si="51"/>
        <v>0</v>
      </c>
      <c r="R21" s="891">
        <f t="shared" si="51"/>
        <v>0.23112996730774774</v>
      </c>
      <c r="S21" s="891">
        <f t="shared" si="51"/>
        <v>0.33689908797045942</v>
      </c>
      <c r="T21" s="891">
        <f t="shared" si="51"/>
        <v>0.2767484743788966</v>
      </c>
      <c r="U21" s="891">
        <f t="shared" si="51"/>
        <v>0.12367192962122951</v>
      </c>
      <c r="V21" s="891">
        <f t="shared" si="51"/>
        <v>0.32414656870558017</v>
      </c>
      <c r="W21" s="891">
        <f t="shared" si="51"/>
        <v>0.47694009735491077</v>
      </c>
      <c r="X21" s="891">
        <f t="shared" si="51"/>
        <v>0.33880086403874093</v>
      </c>
      <c r="Y21" s="891">
        <f t="shared" si="51"/>
        <v>0.34860568055266872</v>
      </c>
      <c r="Z21" s="891">
        <f t="shared" si="51"/>
        <v>0.22947346599076077</v>
      </c>
      <c r="AA21" s="891">
        <f t="shared" si="51"/>
        <v>0.31065989601742389</v>
      </c>
      <c r="AB21" s="891">
        <f t="shared" si="51"/>
        <v>0.22596214936951356</v>
      </c>
      <c r="AC21" s="891">
        <f t="shared" si="51"/>
        <v>8.3554701201693185E-2</v>
      </c>
      <c r="AD21" s="891">
        <f t="shared" si="51"/>
        <v>0</v>
      </c>
      <c r="AE21" s="891">
        <f t="shared" si="51"/>
        <v>0.38053319919517109</v>
      </c>
      <c r="AF21" s="891">
        <f t="shared" si="51"/>
        <v>0.33519762643658568</v>
      </c>
      <c r="AG21" s="891">
        <f t="shared" si="51"/>
        <v>0.33567687114422062</v>
      </c>
      <c r="AH21" s="891">
        <f t="shared" si="51"/>
        <v>0.20412895696934441</v>
      </c>
      <c r="AI21" s="891">
        <f t="shared" ref="AI21:BN21" si="52">IFERROR(AI20/AI$18,0)</f>
        <v>0.31065989601742394</v>
      </c>
      <c r="AJ21" s="891">
        <f t="shared" si="52"/>
        <v>0.22596214936951356</v>
      </c>
      <c r="AK21" s="891">
        <f t="shared" si="52"/>
        <v>8.3554701201693185E-2</v>
      </c>
      <c r="AL21" s="891">
        <f t="shared" si="52"/>
        <v>0</v>
      </c>
      <c r="AM21" s="891">
        <f t="shared" si="52"/>
        <v>0.38053319919517109</v>
      </c>
      <c r="AN21" s="891">
        <f t="shared" si="52"/>
        <v>0.33519762643658568</v>
      </c>
      <c r="AO21" s="891">
        <f t="shared" si="52"/>
        <v>0.33567687114422062</v>
      </c>
      <c r="AP21" s="891">
        <f t="shared" si="52"/>
        <v>0.20783525201129405</v>
      </c>
      <c r="AQ21" s="891">
        <f t="shared" si="52"/>
        <v>0.31065989601742394</v>
      </c>
      <c r="AR21" s="891">
        <f t="shared" si="52"/>
        <v>0.22596214936951356</v>
      </c>
      <c r="AS21" s="891">
        <f t="shared" si="52"/>
        <v>8.3554701201693241E-2</v>
      </c>
      <c r="AT21" s="891">
        <f t="shared" si="52"/>
        <v>0</v>
      </c>
      <c r="AU21" s="891">
        <f t="shared" si="52"/>
        <v>0.38053319919517109</v>
      </c>
      <c r="AV21" s="891">
        <f t="shared" si="52"/>
        <v>0.33519762643658568</v>
      </c>
      <c r="AW21" s="891">
        <f t="shared" si="52"/>
        <v>0.33567687114422062</v>
      </c>
      <c r="AX21" s="891">
        <f t="shared" si="52"/>
        <v>0.20594171736773359</v>
      </c>
      <c r="AY21" s="891">
        <f t="shared" si="52"/>
        <v>0</v>
      </c>
      <c r="AZ21" s="891">
        <f t="shared" si="52"/>
        <v>0</v>
      </c>
      <c r="BA21" s="891">
        <f t="shared" si="52"/>
        <v>0</v>
      </c>
      <c r="BB21" s="891">
        <f t="shared" si="52"/>
        <v>0</v>
      </c>
      <c r="BC21" s="891">
        <f t="shared" si="52"/>
        <v>0</v>
      </c>
      <c r="BD21" s="891">
        <f t="shared" si="52"/>
        <v>0.30114641336390441</v>
      </c>
      <c r="BE21" s="891">
        <f t="shared" si="52"/>
        <v>0</v>
      </c>
      <c r="BF21" s="891">
        <f t="shared" si="52"/>
        <v>0</v>
      </c>
      <c r="BG21" s="891">
        <f t="shared" si="52"/>
        <v>0</v>
      </c>
      <c r="BH21" s="891">
        <f t="shared" si="52"/>
        <v>0</v>
      </c>
      <c r="BI21" s="891">
        <f t="shared" si="52"/>
        <v>0</v>
      </c>
      <c r="BJ21" s="891">
        <f t="shared" si="52"/>
        <v>0</v>
      </c>
      <c r="BK21" s="891">
        <f t="shared" si="52"/>
        <v>0.36355633802816906</v>
      </c>
      <c r="BL21" s="891">
        <f t="shared" si="52"/>
        <v>0.30114641336390441</v>
      </c>
      <c r="BM21" s="891">
        <f t="shared" si="52"/>
        <v>0.3049470375974857</v>
      </c>
      <c r="BN21" s="891">
        <f t="shared" si="52"/>
        <v>0</v>
      </c>
      <c r="BO21" s="891">
        <f t="shared" ref="BO21:CT21" si="53">IFERROR(BO20/BO$18,0)</f>
        <v>0</v>
      </c>
      <c r="BP21" s="891">
        <f t="shared" si="53"/>
        <v>0</v>
      </c>
      <c r="BQ21" s="891">
        <f t="shared" si="53"/>
        <v>0</v>
      </c>
      <c r="BR21" s="891">
        <f t="shared" si="53"/>
        <v>0</v>
      </c>
      <c r="BS21" s="891">
        <f t="shared" si="53"/>
        <v>0.36355633802816906</v>
      </c>
      <c r="BT21" s="891">
        <f t="shared" si="53"/>
        <v>0.30114641336390441</v>
      </c>
      <c r="BU21" s="891">
        <f t="shared" si="53"/>
        <v>0.3049470375974857</v>
      </c>
      <c r="BV21" s="891">
        <f t="shared" si="53"/>
        <v>0</v>
      </c>
      <c r="BW21" s="891">
        <f t="shared" si="53"/>
        <v>0</v>
      </c>
      <c r="BX21" s="891">
        <f t="shared" si="53"/>
        <v>0</v>
      </c>
      <c r="BY21" s="891">
        <f t="shared" si="53"/>
        <v>0</v>
      </c>
      <c r="BZ21" s="891">
        <f t="shared" si="53"/>
        <v>0</v>
      </c>
      <c r="CA21" s="891">
        <f t="shared" si="53"/>
        <v>0.36355633802816906</v>
      </c>
      <c r="CB21" s="891">
        <f t="shared" si="53"/>
        <v>0.30114641336390441</v>
      </c>
      <c r="CC21" s="891">
        <f t="shared" si="53"/>
        <v>0</v>
      </c>
      <c r="CD21" s="891">
        <f t="shared" si="53"/>
        <v>0</v>
      </c>
      <c r="CE21" s="891">
        <f t="shared" si="53"/>
        <v>0</v>
      </c>
      <c r="CF21" s="891">
        <f t="shared" si="53"/>
        <v>0</v>
      </c>
      <c r="CG21" s="891">
        <f t="shared" si="53"/>
        <v>0</v>
      </c>
      <c r="CH21" s="891">
        <f t="shared" si="53"/>
        <v>0</v>
      </c>
      <c r="CI21" s="891">
        <f t="shared" si="53"/>
        <v>0</v>
      </c>
      <c r="CJ21" s="891">
        <f t="shared" si="53"/>
        <v>0.30114641336390441</v>
      </c>
      <c r="CK21" s="891">
        <f t="shared" si="53"/>
        <v>0.3049470375974857</v>
      </c>
      <c r="CL21" s="891">
        <f t="shared" si="53"/>
        <v>0</v>
      </c>
      <c r="CM21" s="891">
        <f t="shared" si="53"/>
        <v>0</v>
      </c>
      <c r="CN21" s="891">
        <f t="shared" si="53"/>
        <v>0</v>
      </c>
      <c r="CO21" s="891">
        <f t="shared" si="53"/>
        <v>0</v>
      </c>
      <c r="CP21" s="891">
        <f t="shared" si="53"/>
        <v>0</v>
      </c>
      <c r="CQ21" s="891">
        <f t="shared" si="53"/>
        <v>0.36355633802816906</v>
      </c>
      <c r="CR21" s="891">
        <f t="shared" si="53"/>
        <v>0.30114641336390441</v>
      </c>
      <c r="CS21" s="891">
        <f t="shared" si="53"/>
        <v>0.3049470375974857</v>
      </c>
      <c r="CT21" s="891">
        <f t="shared" si="53"/>
        <v>0</v>
      </c>
      <c r="CU21" s="1031">
        <f t="shared" ref="CU21:DC21" si="54">IFERROR(CU20/CU$18,0)</f>
        <v>0</v>
      </c>
      <c r="CV21" s="1031">
        <f t="shared" si="54"/>
        <v>0</v>
      </c>
      <c r="CW21" s="1031">
        <f t="shared" si="54"/>
        <v>0</v>
      </c>
      <c r="CX21" s="1031">
        <f t="shared" si="54"/>
        <v>0.32414656870558017</v>
      </c>
      <c r="CY21" s="1031">
        <f t="shared" si="54"/>
        <v>0.40073855759519561</v>
      </c>
      <c r="CZ21" s="1031">
        <f t="shared" si="54"/>
        <v>0.32300123109083018</v>
      </c>
      <c r="DA21" s="1031">
        <f t="shared" si="54"/>
        <v>0.32966585694024514</v>
      </c>
      <c r="DB21" s="1031">
        <f t="shared" si="54"/>
        <v>0</v>
      </c>
      <c r="DC21" s="1031">
        <f t="shared" si="54"/>
        <v>0.27518837078529274</v>
      </c>
    </row>
    <row r="22" spans="1:109" x14ac:dyDescent="0.45">
      <c r="A22">
        <v>10</v>
      </c>
      <c r="B22" s="1034" t="s">
        <v>158</v>
      </c>
      <c r="C22" s="889">
        <v>201343.99999999997</v>
      </c>
      <c r="D22" s="889">
        <v>48000</v>
      </c>
      <c r="E22" s="889">
        <v>89592</v>
      </c>
      <c r="F22" s="889">
        <f>F$16*HLOOKUP(F$10,'P&amp;L by Ctn'!$C$8:$AG$31,'P&amp;L TOTAL 150'!$A22,0)</f>
        <v>0</v>
      </c>
      <c r="G22" s="889">
        <f>G$16*HLOOKUP(G$10,'P&amp;L by Ctn'!$C$8:$AG$31,'P&amp;L TOTAL 150'!$A22,0)</f>
        <v>0</v>
      </c>
      <c r="H22" s="889">
        <v>2472</v>
      </c>
      <c r="I22" s="889">
        <v>2116.8000000000002</v>
      </c>
      <c r="J22" s="889">
        <f>SUM(C22:I22)</f>
        <v>343524.8</v>
      </c>
      <c r="K22" s="889">
        <f>K$16*HLOOKUP(K$10,'P&amp;L by Ctn'!$C$8:$AG$31,'P&amp;L TOTAL 150'!$A22,0)</f>
        <v>98935.55535992251</v>
      </c>
      <c r="L22" s="889">
        <f>L$16*HLOOKUP(L$10,'P&amp;L by Ctn'!$C$8:$AG$31,'P&amp;L TOTAL 150'!$A22,0)</f>
        <v>41026.659637734345</v>
      </c>
      <c r="M22" s="889">
        <f>M$16*HLOOKUP(M$10,'P&amp;L by Ctn'!$C$8:$AG$31,'P&amp;L TOTAL 150'!$A22,0)</f>
        <v>96544.887090388831</v>
      </c>
      <c r="N22" s="889">
        <f>N$16*HLOOKUP(N$10,'P&amp;L by Ctn'!$C$8:$AG$31,'P&amp;L TOTAL 150'!$A22,0)</f>
        <v>0</v>
      </c>
      <c r="O22" s="889">
        <f>O$16*HLOOKUP(O$10,'P&amp;L by Ctn'!$C$8:$AG$31,'P&amp;L TOTAL 150'!$A22,0)</f>
        <v>1161.78</v>
      </c>
      <c r="P22" s="889">
        <f>P$16*HLOOKUP(P$10,'P&amp;L by Ctn'!$C$8:$AG$31,'P&amp;L TOTAL 150'!$A22,0)</f>
        <v>2446.25</v>
      </c>
      <c r="Q22" s="889">
        <f>Q$16*HLOOKUP(Q$10,'P&amp;L by Ctn'!$C$8:$AG$31,'P&amp;L TOTAL 150'!$A22,0)</f>
        <v>0</v>
      </c>
      <c r="R22" s="889">
        <f t="shared" ref="R22" si="55">SUM(K22:Q22)</f>
        <v>240115.13208804568</v>
      </c>
      <c r="S22" s="889">
        <f>S$16*HLOOKUP(S$10,'P&amp;L by Ctn'!$C$8:$AG$31,'P&amp;L TOTAL 150'!$A22,0)</f>
        <v>146385.09057586803</v>
      </c>
      <c r="T22" s="889">
        <f>T$16*HLOOKUP(T$10,'P&amp;L by Ctn'!$C$8:$AG$31,'P&amp;L TOTAL 150'!$A22,0)</f>
        <v>34714.865847313675</v>
      </c>
      <c r="U22" s="889">
        <f>U$16*HLOOKUP(U$10,'P&amp;L by Ctn'!$C$8:$AG$31,'P&amp;L TOTAL 150'!$A22,0)</f>
        <v>143552.45156936083</v>
      </c>
      <c r="V22" s="889">
        <f>V$16*HLOOKUP(V$10,'P&amp;L by Ctn'!$C$8:$AG$31,'P&amp;L TOTAL 150'!$A22,0)</f>
        <v>1280</v>
      </c>
      <c r="W22" s="889">
        <f>W$16*HLOOKUP(W$10,'P&amp;L by Ctn'!$C$8:$AG$31,'P&amp;L TOTAL 150'!$A22,0)</f>
        <v>2371.5</v>
      </c>
      <c r="X22" s="889">
        <f>X$16*HLOOKUP(X$10,'P&amp;L by Ctn'!$C$8:$AG$31,'P&amp;L TOTAL 150'!$A22,0)</f>
        <v>7416</v>
      </c>
      <c r="Y22" s="889">
        <f>Y$16*HLOOKUP(Y$10,'P&amp;L by Ctn'!$C$8:$AG$31,'P&amp;L TOTAL 150'!$A22,0)</f>
        <v>4320</v>
      </c>
      <c r="Z22" s="889">
        <f t="shared" ref="Z22" si="56">SUM(S22:Y22)</f>
        <v>340039.90799254249</v>
      </c>
      <c r="AA22" s="889">
        <f>AA$16*HLOOKUP(AA$10,'P&amp;L by Ctn'!$C$8:$AG$31,'P&amp;L TOTAL 150'!$A22,0)</f>
        <v>113110.48384760364</v>
      </c>
      <c r="AB22" s="889">
        <f>AB$16*HLOOKUP(AB$10,'P&amp;L by Ctn'!$C$8:$AG$31,'P&amp;L TOTAL 150'!$A22,0)</f>
        <v>31558.96895210334</v>
      </c>
      <c r="AC22" s="889">
        <f>AC$16*HLOOKUP(AC$10,'P&amp;L by Ctn'!$C$8:$AG$31,'P&amp;L TOTAL 150'!$A22,0)</f>
        <v>89576.729779281159</v>
      </c>
      <c r="AD22" s="889">
        <f>AD$16*HLOOKUP(AD$10,'P&amp;L by Ctn'!$C$8:$AG$31,'P&amp;L TOTAL 150'!$A22,0)</f>
        <v>0</v>
      </c>
      <c r="AE22" s="889">
        <f>AE$16*HLOOKUP(AE$10,'P&amp;L by Ctn'!$C$8:$AG$31,'P&amp;L TOTAL 150'!$A22,0)</f>
        <v>1224</v>
      </c>
      <c r="AF22" s="889">
        <f>AF$16*HLOOKUP(AF$10,'P&amp;L by Ctn'!$C$8:$AG$31,'P&amp;L TOTAL 150'!$A22,0)</f>
        <v>2472</v>
      </c>
      <c r="AG22" s="889">
        <f>AG$16*HLOOKUP(AG$10,'P&amp;L by Ctn'!$C$8:$AG$31,'P&amp;L TOTAL 150'!$A22,0)</f>
        <v>2160</v>
      </c>
      <c r="AH22" s="889">
        <f t="shared" ref="AH22" si="57">SUM(AA22:AG22)</f>
        <v>240102.18257898814</v>
      </c>
      <c r="AI22" s="889">
        <f>AI$16*HLOOKUP(AI$10,'P&amp;L by Ctn'!$C$8:$AG$31,'P&amp;L TOTAL 150'!$A22,0)</f>
        <v>67006.443607668625</v>
      </c>
      <c r="AJ22" s="889">
        <f>AJ$16*HLOOKUP(AJ$10,'P&amp;L by Ctn'!$C$8:$AG$31,'P&amp;L TOTAL 150'!$A22,0)</f>
        <v>18935.381371262003</v>
      </c>
      <c r="AK22" s="889">
        <f>AK$16*HLOOKUP(AK$10,'P&amp;L by Ctn'!$C$8:$AG$31,'P&amp;L TOTAL 150'!$A22,0)</f>
        <v>50530.462952415008</v>
      </c>
      <c r="AL22" s="889">
        <f>AL$16*HLOOKUP(AL$10,'P&amp;L by Ctn'!$C$8:$AG$31,'P&amp;L TOTAL 150'!$A22,0)</f>
        <v>0</v>
      </c>
      <c r="AM22" s="889">
        <f>AM$16*HLOOKUP(AM$10,'P&amp;L by Ctn'!$C$8:$AG$31,'P&amp;L TOTAL 150'!$A22,0)</f>
        <v>1224</v>
      </c>
      <c r="AN22" s="889">
        <f>AN$16*HLOOKUP(AN$10,'P&amp;L by Ctn'!$C$8:$AG$31,'P&amp;L TOTAL 150'!$A22,0)</f>
        <v>2472</v>
      </c>
      <c r="AO22" s="889">
        <f>AO$16*HLOOKUP(AO$10,'P&amp;L by Ctn'!$C$8:$AG$31,'P&amp;L TOTAL 150'!$A22,0)</f>
        <v>2160</v>
      </c>
      <c r="AP22" s="889">
        <f t="shared" ref="AP22" si="58">SUM(AI22:AO22)</f>
        <v>142328.28793134564</v>
      </c>
      <c r="AQ22" s="889">
        <f>AQ$16*HLOOKUP(AQ$10,'P&amp;L by Ctn'!$C$8:$AG$31,'P&amp;L TOTAL 150'!$A22,0)</f>
        <v>106039.29255185051</v>
      </c>
      <c r="AR22" s="889">
        <f>AR$16*HLOOKUP(AR$10,'P&amp;L by Ctn'!$C$8:$AG$31,'P&amp;L TOTAL 150'!$A22,0)</f>
        <v>31558.96895210334</v>
      </c>
      <c r="AS22" s="889">
        <f>AS$16*HLOOKUP(AS$10,'P&amp;L by Ctn'!$C$8:$AG$31,'P&amp;L TOTAL 150'!$A22,0)</f>
        <v>82686.212103951839</v>
      </c>
      <c r="AT22" s="889">
        <f>AT$16*HLOOKUP(AT$10,'P&amp;L by Ctn'!$C$8:$AG$31,'P&amp;L TOTAL 150'!$A22,0)</f>
        <v>0</v>
      </c>
      <c r="AU22" s="889">
        <f>AU$16*HLOOKUP(AU$10,'P&amp;L by Ctn'!$C$8:$AG$31,'P&amp;L TOTAL 150'!$A22,0)</f>
        <v>1224</v>
      </c>
      <c r="AV22" s="889">
        <f>AV$16*HLOOKUP(AV$10,'P&amp;L by Ctn'!$C$8:$AG$31,'P&amp;L TOTAL 150'!$A22,0)</f>
        <v>4944</v>
      </c>
      <c r="AW22" s="889">
        <f>AW$16*HLOOKUP(AW$10,'P&amp;L by Ctn'!$C$8:$AG$31,'P&amp;L TOTAL 150'!$A22,0)</f>
        <v>2160</v>
      </c>
      <c r="AX22" s="889">
        <f t="shared" ref="AX22" si="59">SUM(AQ22:AW22)</f>
        <v>228612.47360790567</v>
      </c>
      <c r="AY22" s="889" t="e">
        <f>AY$16*HLOOKUP(AY$10,'P&amp;L by Ctn'!$C$8:$AG$31,'P&amp;L TOTAL 150'!$A22,0)</f>
        <v>#REF!</v>
      </c>
      <c r="AZ22" s="889" t="e">
        <f>AZ$16*HLOOKUP(AZ$10,'P&amp;L by Ctn'!$C$8:$AG$31,'P&amp;L TOTAL 150'!$A22,0)</f>
        <v>#REF!</v>
      </c>
      <c r="BA22" s="889" t="e">
        <f>BA$16*HLOOKUP(BA$10,'P&amp;L by Ctn'!$C$8:$AG$31,'P&amp;L TOTAL 150'!$A22,0)</f>
        <v>#REF!</v>
      </c>
      <c r="BB22" s="889">
        <f>BB$16*HLOOKUP(BB$10,'P&amp;L by Ctn'!$C$8:$AG$31,'P&amp;L TOTAL 150'!$A22,0)</f>
        <v>0</v>
      </c>
      <c r="BC22" s="889">
        <f>BC$16*HLOOKUP(BC$10,'P&amp;L by Ctn'!$C$8:$AG$31,'P&amp;L TOTAL 150'!$A22,0)</f>
        <v>0</v>
      </c>
      <c r="BD22" s="889">
        <f>BD$16*HLOOKUP(BD$10,'P&amp;L by Ctn'!$C$8:$AG$31,'P&amp;L TOTAL 150'!$A22,0)</f>
        <v>2160</v>
      </c>
      <c r="BE22" s="889">
        <f>BE$16*HLOOKUP(BE$10,'P&amp;L by Ctn'!$C$8:$AG$31,'P&amp;L TOTAL 150'!$A22,0)</f>
        <v>0</v>
      </c>
      <c r="BF22" s="889" t="e">
        <f t="shared" ref="BF22" si="60">SUM(AY22:BE22)</f>
        <v>#REF!</v>
      </c>
      <c r="BG22" s="889" t="e">
        <f>BG$16*HLOOKUP(BG$10,'P&amp;L by Ctn'!$C$8:$AG$31,'P&amp;L TOTAL 150'!$A22,0)</f>
        <v>#REF!</v>
      </c>
      <c r="BH22" s="889" t="e">
        <f>BH$16*HLOOKUP(BH$10,'P&amp;L by Ctn'!$C$8:$AG$31,'P&amp;L TOTAL 150'!$A22,0)</f>
        <v>#REF!</v>
      </c>
      <c r="BI22" s="889" t="e">
        <f>BI$16*HLOOKUP(BI$10,'P&amp;L by Ctn'!$C$8:$AG$31,'P&amp;L TOTAL 150'!$A22,0)</f>
        <v>#REF!</v>
      </c>
      <c r="BJ22" s="889">
        <f>BJ$16*HLOOKUP(BJ$10,'P&amp;L by Ctn'!$C$8:$AG$31,'P&amp;L TOTAL 150'!$A22,0)</f>
        <v>0</v>
      </c>
      <c r="BK22" s="889">
        <f>BK$16*HLOOKUP(BK$10,'P&amp;L by Ctn'!$C$8:$AG$31,'P&amp;L TOTAL 150'!$A22,0)</f>
        <v>1200</v>
      </c>
      <c r="BL22" s="889">
        <f>BL$16*HLOOKUP(BL$10,'P&amp;L by Ctn'!$C$8:$AG$31,'P&amp;L TOTAL 150'!$A22,0)</f>
        <v>4320</v>
      </c>
      <c r="BM22" s="889">
        <f>BM$16*HLOOKUP(BM$10,'P&amp;L by Ctn'!$C$8:$AG$31,'P&amp;L TOTAL 150'!$A22,0)</f>
        <v>1740</v>
      </c>
      <c r="BN22" s="889" t="e">
        <f t="shared" ref="BN22" si="61">SUM(BG22:BM22)</f>
        <v>#REF!</v>
      </c>
      <c r="BO22" s="889" t="e">
        <f>BO$16*HLOOKUP(BO$10,'P&amp;L by Ctn'!$C$8:$AG$31,'P&amp;L TOTAL 150'!$A22,0)</f>
        <v>#REF!</v>
      </c>
      <c r="BP22" s="889" t="e">
        <f>BP$16*HLOOKUP(BP$10,'P&amp;L by Ctn'!$C$8:$AG$31,'P&amp;L TOTAL 150'!$A22,0)</f>
        <v>#REF!</v>
      </c>
      <c r="BQ22" s="889" t="e">
        <f>BQ$16*HLOOKUP(BQ$10,'P&amp;L by Ctn'!$C$8:$AG$31,'P&amp;L TOTAL 150'!$A22,0)</f>
        <v>#REF!</v>
      </c>
      <c r="BR22" s="889">
        <f>BR$16*HLOOKUP(BR$10,'P&amp;L by Ctn'!$C$8:$AG$31,'P&amp;L TOTAL 150'!$A22,0)</f>
        <v>0</v>
      </c>
      <c r="BS22" s="889">
        <f>BS$16*HLOOKUP(BS$10,'P&amp;L by Ctn'!$C$8:$AG$31,'P&amp;L TOTAL 150'!$A22,0)</f>
        <v>1200</v>
      </c>
      <c r="BT22" s="889">
        <f>BT$16*HLOOKUP(BT$10,'P&amp;L by Ctn'!$C$8:$AG$31,'P&amp;L TOTAL 150'!$A22,0)</f>
        <v>2160</v>
      </c>
      <c r="BU22" s="889">
        <f>BU$16*HLOOKUP(BU$10,'P&amp;L by Ctn'!$C$8:$AG$31,'P&amp;L TOTAL 150'!$A22,0)</f>
        <v>1740</v>
      </c>
      <c r="BV22" s="889" t="e">
        <f t="shared" ref="BV22" si="62">SUM(BO22:BU22)</f>
        <v>#REF!</v>
      </c>
      <c r="BW22" s="889" t="e">
        <f>BW$16*HLOOKUP(BW$10,'P&amp;L by Ctn'!$C$8:$AG$31,'P&amp;L TOTAL 150'!$A22,0)</f>
        <v>#REF!</v>
      </c>
      <c r="BX22" s="889" t="e">
        <f>BX$16*HLOOKUP(BX$10,'P&amp;L by Ctn'!$C$8:$AG$31,'P&amp;L TOTAL 150'!$A22,0)</f>
        <v>#REF!</v>
      </c>
      <c r="BY22" s="889" t="e">
        <f>BY$16*HLOOKUP(BY$10,'P&amp;L by Ctn'!$C$8:$AG$31,'P&amp;L TOTAL 150'!$A22,0)</f>
        <v>#REF!</v>
      </c>
      <c r="BZ22" s="889">
        <f>BZ$16*HLOOKUP(BZ$10,'P&amp;L by Ctn'!$C$8:$AG$31,'P&amp;L TOTAL 150'!$A22,0)</f>
        <v>0</v>
      </c>
      <c r="CA22" s="889">
        <f>CA$16*HLOOKUP(CA$10,'P&amp;L by Ctn'!$C$8:$AG$31,'P&amp;L TOTAL 150'!$A22,0)</f>
        <v>1200</v>
      </c>
      <c r="CB22" s="889">
        <f>CB$16*HLOOKUP(CB$10,'P&amp;L by Ctn'!$C$8:$AG$31,'P&amp;L TOTAL 150'!$A22,0)</f>
        <v>2160</v>
      </c>
      <c r="CC22" s="889">
        <f>CC$16*HLOOKUP(CC$10,'P&amp;L by Ctn'!$C$8:$AG$31,'P&amp;L TOTAL 150'!$A22,0)</f>
        <v>0</v>
      </c>
      <c r="CD22" s="889" t="e">
        <f t="shared" ref="CD22" si="63">SUM(BW22:CC22)</f>
        <v>#REF!</v>
      </c>
      <c r="CE22" s="889" t="e">
        <f>CE$16*HLOOKUP(CE$10,'P&amp;L by Ctn'!$C$8:$AG$31,'P&amp;L TOTAL 150'!$A22,0)</f>
        <v>#REF!</v>
      </c>
      <c r="CF22" s="889" t="e">
        <f>CF$16*HLOOKUP(CF$10,'P&amp;L by Ctn'!$C$8:$AG$31,'P&amp;L TOTAL 150'!$A22,0)</f>
        <v>#REF!</v>
      </c>
      <c r="CG22" s="889" t="e">
        <f>CG$16*HLOOKUP(CG$10,'P&amp;L by Ctn'!$C$8:$AG$31,'P&amp;L TOTAL 150'!$A22,0)</f>
        <v>#REF!</v>
      </c>
      <c r="CH22" s="889">
        <f>CH$16*HLOOKUP(CH$10,'P&amp;L by Ctn'!$C$8:$AG$31,'P&amp;L TOTAL 150'!$A22,0)</f>
        <v>0</v>
      </c>
      <c r="CI22" s="889">
        <f>CI$16*HLOOKUP(CI$10,'P&amp;L by Ctn'!$C$8:$AG$31,'P&amp;L TOTAL 150'!$A22,0)</f>
        <v>0</v>
      </c>
      <c r="CJ22" s="889">
        <f>CJ$16*HLOOKUP(CJ$10,'P&amp;L by Ctn'!$C$8:$AG$31,'P&amp;L TOTAL 150'!$A22,0)</f>
        <v>2160</v>
      </c>
      <c r="CK22" s="889">
        <f>CK$16*HLOOKUP(CK$10,'P&amp;L by Ctn'!$C$8:$AG$31,'P&amp;L TOTAL 150'!$A22,0)</f>
        <v>1740</v>
      </c>
      <c r="CL22" s="889" t="e">
        <f t="shared" ref="CL22" si="64">SUM(CE22:CK22)</f>
        <v>#REF!</v>
      </c>
      <c r="CM22" s="889" t="e">
        <f>CM$16*HLOOKUP(CM$10,'P&amp;L by Ctn'!$C$8:$AG$31,'P&amp;L TOTAL 150'!$A22,0)</f>
        <v>#REF!</v>
      </c>
      <c r="CN22" s="889" t="e">
        <f>CN$16*HLOOKUP(CN$10,'P&amp;L by Ctn'!$C$8:$AG$31,'P&amp;L TOTAL 150'!$A22,0)</f>
        <v>#REF!</v>
      </c>
      <c r="CO22" s="889" t="e">
        <f>CO$16*HLOOKUP(CO$10,'P&amp;L by Ctn'!$C$8:$AG$31,'P&amp;L TOTAL 150'!$A22,0)</f>
        <v>#REF!</v>
      </c>
      <c r="CP22" s="889">
        <f>CP$16*HLOOKUP(CP$10,'P&amp;L by Ctn'!$C$8:$AG$31,'P&amp;L TOTAL 150'!$A22,0)</f>
        <v>0</v>
      </c>
      <c r="CQ22" s="889">
        <f>CQ$16*HLOOKUP(CQ$10,'P&amp;L by Ctn'!$C$8:$AG$31,'P&amp;L TOTAL 150'!$A22,0)</f>
        <v>1200</v>
      </c>
      <c r="CR22" s="889">
        <f>CR$16*HLOOKUP(CR$10,'P&amp;L by Ctn'!$C$8:$AG$31,'P&amp;L TOTAL 150'!$A22,0)</f>
        <v>2160</v>
      </c>
      <c r="CS22" s="889">
        <f>CS$16*HLOOKUP(CS$10,'P&amp;L by Ctn'!$C$8:$AG$31,'P&amp;L TOTAL 150'!$A22,0)</f>
        <v>1740</v>
      </c>
      <c r="CT22" s="889" t="e">
        <f t="shared" ref="CT22" si="65">SUM(CM22:CS22)</f>
        <v>#REF!</v>
      </c>
      <c r="CU22" s="1030" t="e">
        <f t="shared" ref="CU22:DA22" si="66">SUMIFS($C22:$CT22,$C$14:$CT$14,CU$14)</f>
        <v>#REF!</v>
      </c>
      <c r="CV22" s="1030" t="e">
        <f t="shared" si="66"/>
        <v>#REF!</v>
      </c>
      <c r="CW22" s="1030" t="e">
        <f t="shared" si="66"/>
        <v>#REF!</v>
      </c>
      <c r="CX22" s="1030">
        <f t="shared" si="66"/>
        <v>1280</v>
      </c>
      <c r="CY22" s="1030">
        <f t="shared" si="66"/>
        <v>12005.279999999999</v>
      </c>
      <c r="CZ22" s="1030">
        <f t="shared" si="66"/>
        <v>37342.25</v>
      </c>
      <c r="DA22" s="1030">
        <f t="shared" si="66"/>
        <v>19876.8</v>
      </c>
      <c r="DB22" s="1030" t="e">
        <f>SUM(CU22:DA22)</f>
        <v>#REF!</v>
      </c>
      <c r="DC22" s="1030">
        <f>SUM(J22,R22)</f>
        <v>583639.93208804564</v>
      </c>
      <c r="DE22" s="1049" t="e">
        <f>SUM(DB22,DB24)/$DB$18</f>
        <v>#REF!</v>
      </c>
    </row>
    <row r="23" spans="1:109" x14ac:dyDescent="0.45">
      <c r="B23" s="1036" t="s">
        <v>159</v>
      </c>
      <c r="C23" s="891">
        <f t="shared" ref="C23:AH23" si="67">IFERROR(C22/C$18,0)</f>
        <v>0.13537322283293104</v>
      </c>
      <c r="D23" s="891">
        <f t="shared" si="67"/>
        <v>0.13093238737634499</v>
      </c>
      <c r="E23" s="891">
        <f t="shared" si="67"/>
        <v>0.11065013745061901</v>
      </c>
      <c r="F23" s="891">
        <f t="shared" si="67"/>
        <v>0</v>
      </c>
      <c r="G23" s="891">
        <f t="shared" si="67"/>
        <v>0</v>
      </c>
      <c r="H23" s="891">
        <f t="shared" si="67"/>
        <v>0.24939467312348668</v>
      </c>
      <c r="I23" s="891">
        <f t="shared" si="67"/>
        <v>0.2975206611570248</v>
      </c>
      <c r="J23" s="891">
        <f t="shared" si="67"/>
        <v>0.12815026452194994</v>
      </c>
      <c r="K23" s="891">
        <f t="shared" si="67"/>
        <v>0.13845753813183492</v>
      </c>
      <c r="L23" s="891">
        <f t="shared" si="67"/>
        <v>0.13773637160116131</v>
      </c>
      <c r="M23" s="891">
        <f t="shared" si="67"/>
        <v>0.11341204256182098</v>
      </c>
      <c r="N23" s="891">
        <f t="shared" si="67"/>
        <v>0</v>
      </c>
      <c r="O23" s="891">
        <f t="shared" si="67"/>
        <v>0.22767857142857142</v>
      </c>
      <c r="P23" s="891">
        <f t="shared" si="67"/>
        <v>0.24939467312348668</v>
      </c>
      <c r="Q23" s="891">
        <f t="shared" si="67"/>
        <v>0</v>
      </c>
      <c r="R23" s="891">
        <f t="shared" si="67"/>
        <v>0.12781560341332823</v>
      </c>
      <c r="S23" s="891">
        <f t="shared" si="67"/>
        <v>0.13845753813183492</v>
      </c>
      <c r="T23" s="891">
        <f t="shared" si="67"/>
        <v>0.13773637160116131</v>
      </c>
      <c r="U23" s="891">
        <f t="shared" si="67"/>
        <v>0.11341204256182098</v>
      </c>
      <c r="V23" s="891">
        <f t="shared" si="67"/>
        <v>0.13937282229965156</v>
      </c>
      <c r="W23" s="891">
        <f t="shared" si="67"/>
        <v>0.2276785714285714</v>
      </c>
      <c r="X23" s="891">
        <f t="shared" si="67"/>
        <v>0.24939467312348668</v>
      </c>
      <c r="Y23" s="891">
        <f t="shared" si="67"/>
        <v>0.2975206611570248</v>
      </c>
      <c r="Z23" s="891">
        <f t="shared" si="67"/>
        <v>0.12885615363664846</v>
      </c>
      <c r="AA23" s="891">
        <f t="shared" si="67"/>
        <v>0.13845753813183492</v>
      </c>
      <c r="AB23" s="891">
        <f t="shared" si="67"/>
        <v>0.13773637160116131</v>
      </c>
      <c r="AC23" s="891">
        <f t="shared" si="67"/>
        <v>0.113412042561821</v>
      </c>
      <c r="AD23" s="891">
        <f t="shared" si="67"/>
        <v>0</v>
      </c>
      <c r="AE23" s="891">
        <f t="shared" si="67"/>
        <v>0.2276785714285714</v>
      </c>
      <c r="AF23" s="891">
        <f t="shared" si="67"/>
        <v>0.24939467312348668</v>
      </c>
      <c r="AG23" s="891">
        <f t="shared" si="67"/>
        <v>0.2975206611570248</v>
      </c>
      <c r="AH23" s="891">
        <f t="shared" si="67"/>
        <v>0.12919548860252922</v>
      </c>
      <c r="AI23" s="891">
        <f t="shared" ref="AI23:BN23" si="68">IFERROR(AI22/AI$18,0)</f>
        <v>0.13845753813183492</v>
      </c>
      <c r="AJ23" s="891">
        <f t="shared" si="68"/>
        <v>0.13773637160116128</v>
      </c>
      <c r="AK23" s="891">
        <f t="shared" si="68"/>
        <v>0.11341204256182098</v>
      </c>
      <c r="AL23" s="891">
        <f t="shared" si="68"/>
        <v>0</v>
      </c>
      <c r="AM23" s="891">
        <f t="shared" si="68"/>
        <v>0.2276785714285714</v>
      </c>
      <c r="AN23" s="891">
        <f t="shared" si="68"/>
        <v>0.24939467312348668</v>
      </c>
      <c r="AO23" s="891">
        <f t="shared" si="68"/>
        <v>0.2975206611570248</v>
      </c>
      <c r="AP23" s="891">
        <f t="shared" si="68"/>
        <v>0.1306338731651164</v>
      </c>
      <c r="AQ23" s="891">
        <f t="shared" si="68"/>
        <v>0.13845753813183492</v>
      </c>
      <c r="AR23" s="891">
        <f t="shared" si="68"/>
        <v>0.13773637160116131</v>
      </c>
      <c r="AS23" s="891">
        <f t="shared" si="68"/>
        <v>0.11341204256182098</v>
      </c>
      <c r="AT23" s="891">
        <f t="shared" si="68"/>
        <v>0</v>
      </c>
      <c r="AU23" s="891">
        <f t="shared" si="68"/>
        <v>0.2276785714285714</v>
      </c>
      <c r="AV23" s="891">
        <f t="shared" si="68"/>
        <v>0.24939467312348668</v>
      </c>
      <c r="AW23" s="891">
        <f t="shared" si="68"/>
        <v>0.2975206611570248</v>
      </c>
      <c r="AX23" s="891">
        <f t="shared" si="68"/>
        <v>0.13015040639880257</v>
      </c>
      <c r="AY23" s="891">
        <f t="shared" si="68"/>
        <v>0</v>
      </c>
      <c r="AZ23" s="891">
        <f t="shared" si="68"/>
        <v>0</v>
      </c>
      <c r="BA23" s="891">
        <f t="shared" si="68"/>
        <v>0</v>
      </c>
      <c r="BB23" s="891">
        <f t="shared" si="68"/>
        <v>0</v>
      </c>
      <c r="BC23" s="891">
        <f t="shared" si="68"/>
        <v>0</v>
      </c>
      <c r="BD23" s="891">
        <f t="shared" si="68"/>
        <v>0.20930232558139536</v>
      </c>
      <c r="BE23" s="891">
        <f t="shared" si="68"/>
        <v>0</v>
      </c>
      <c r="BF23" s="891">
        <f t="shared" si="68"/>
        <v>0</v>
      </c>
      <c r="BG23" s="891">
        <f t="shared" si="68"/>
        <v>0</v>
      </c>
      <c r="BH23" s="891">
        <f t="shared" si="68"/>
        <v>0</v>
      </c>
      <c r="BI23" s="891">
        <f t="shared" si="68"/>
        <v>0</v>
      </c>
      <c r="BJ23" s="891">
        <f t="shared" si="68"/>
        <v>0</v>
      </c>
      <c r="BK23" s="891">
        <f t="shared" si="68"/>
        <v>0.20833333333333334</v>
      </c>
      <c r="BL23" s="891">
        <f t="shared" si="68"/>
        <v>0.20930232558139536</v>
      </c>
      <c r="BM23" s="891">
        <f t="shared" si="68"/>
        <v>0.23966942148760331</v>
      </c>
      <c r="BN23" s="891">
        <f t="shared" si="68"/>
        <v>0</v>
      </c>
      <c r="BO23" s="891">
        <f t="shared" ref="BO23:CT23" si="69">IFERROR(BO22/BO$18,0)</f>
        <v>0</v>
      </c>
      <c r="BP23" s="891">
        <f t="shared" si="69"/>
        <v>0</v>
      </c>
      <c r="BQ23" s="891">
        <f t="shared" si="69"/>
        <v>0</v>
      </c>
      <c r="BR23" s="891">
        <f t="shared" si="69"/>
        <v>0</v>
      </c>
      <c r="BS23" s="891">
        <f t="shared" si="69"/>
        <v>0.20833333333333334</v>
      </c>
      <c r="BT23" s="891">
        <f t="shared" si="69"/>
        <v>0.20930232558139536</v>
      </c>
      <c r="BU23" s="891">
        <f t="shared" si="69"/>
        <v>0.23966942148760331</v>
      </c>
      <c r="BV23" s="891">
        <f t="shared" si="69"/>
        <v>0</v>
      </c>
      <c r="BW23" s="891">
        <f t="shared" si="69"/>
        <v>0</v>
      </c>
      <c r="BX23" s="891">
        <f t="shared" si="69"/>
        <v>0</v>
      </c>
      <c r="BY23" s="891">
        <f t="shared" si="69"/>
        <v>0</v>
      </c>
      <c r="BZ23" s="891">
        <f t="shared" si="69"/>
        <v>0</v>
      </c>
      <c r="CA23" s="891">
        <f t="shared" si="69"/>
        <v>0.20833333333333334</v>
      </c>
      <c r="CB23" s="891">
        <f t="shared" si="69"/>
        <v>0.20930232558139536</v>
      </c>
      <c r="CC23" s="891">
        <f t="shared" si="69"/>
        <v>0</v>
      </c>
      <c r="CD23" s="891">
        <f t="shared" si="69"/>
        <v>0</v>
      </c>
      <c r="CE23" s="891">
        <f t="shared" si="69"/>
        <v>0</v>
      </c>
      <c r="CF23" s="891">
        <f t="shared" si="69"/>
        <v>0</v>
      </c>
      <c r="CG23" s="891">
        <f t="shared" si="69"/>
        <v>0</v>
      </c>
      <c r="CH23" s="891">
        <f t="shared" si="69"/>
        <v>0</v>
      </c>
      <c r="CI23" s="891">
        <f t="shared" si="69"/>
        <v>0</v>
      </c>
      <c r="CJ23" s="891">
        <f t="shared" si="69"/>
        <v>0.20930232558139536</v>
      </c>
      <c r="CK23" s="891">
        <f t="shared" si="69"/>
        <v>0.23966942148760331</v>
      </c>
      <c r="CL23" s="891">
        <f t="shared" si="69"/>
        <v>0</v>
      </c>
      <c r="CM23" s="891">
        <f t="shared" si="69"/>
        <v>0</v>
      </c>
      <c r="CN23" s="891">
        <f t="shared" si="69"/>
        <v>0</v>
      </c>
      <c r="CO23" s="891">
        <f t="shared" si="69"/>
        <v>0</v>
      </c>
      <c r="CP23" s="891">
        <f t="shared" si="69"/>
        <v>0</v>
      </c>
      <c r="CQ23" s="891">
        <f t="shared" si="69"/>
        <v>0.20833333333333334</v>
      </c>
      <c r="CR23" s="891">
        <f t="shared" si="69"/>
        <v>0.20930232558139536</v>
      </c>
      <c r="CS23" s="891">
        <f t="shared" si="69"/>
        <v>0.23966942148760331</v>
      </c>
      <c r="CT23" s="891">
        <f t="shared" si="69"/>
        <v>0</v>
      </c>
      <c r="CU23" s="1031">
        <f t="shared" ref="CU23:DC23" si="70">IFERROR(CU22/CU$18,0)</f>
        <v>0</v>
      </c>
      <c r="CV23" s="1031">
        <f t="shared" si="70"/>
        <v>0</v>
      </c>
      <c r="CW23" s="1031">
        <f t="shared" si="70"/>
        <v>0</v>
      </c>
      <c r="CX23" s="1031">
        <f t="shared" si="70"/>
        <v>0.13937282229965156</v>
      </c>
      <c r="CY23" s="1031">
        <f t="shared" si="70"/>
        <v>0.21952825110008423</v>
      </c>
      <c r="CZ23" s="1031">
        <f t="shared" si="70"/>
        <v>0.2314438492730628</v>
      </c>
      <c r="DA23" s="1031">
        <f t="shared" si="70"/>
        <v>0.27433379155004223</v>
      </c>
      <c r="DB23" s="1031">
        <f t="shared" si="70"/>
        <v>0</v>
      </c>
      <c r="DC23" s="1031">
        <f t="shared" si="70"/>
        <v>0.12801236973762195</v>
      </c>
    </row>
    <row r="24" spans="1:109" x14ac:dyDescent="0.45">
      <c r="A24">
        <v>13</v>
      </c>
      <c r="B24" s="1034" t="s">
        <v>161</v>
      </c>
      <c r="C24" s="889">
        <v>260198.39999999999</v>
      </c>
      <c r="D24" s="889">
        <v>33600</v>
      </c>
      <c r="E24" s="889">
        <f>E$16*HLOOKUP(E$10,'P&amp;L by Ctn'!$C$8:$AG$31,'P&amp;L TOTAL 150'!$A24,0)</f>
        <v>0</v>
      </c>
      <c r="F24" s="889">
        <f>F$16*HLOOKUP(F$10,'P&amp;L by Ctn'!$C$8:$AG$31,'P&amp;L TOTAL 150'!$A24,0)</f>
        <v>0</v>
      </c>
      <c r="G24" s="889">
        <f>G$16*HLOOKUP(G$10,'P&amp;L by Ctn'!$C$8:$AG$31,'P&amp;L TOTAL 150'!$A24,0)</f>
        <v>0</v>
      </c>
      <c r="H24" s="889">
        <f>H$16*HLOOKUP(H$10,'P&amp;L by Ctn'!$C$8:$AG$31,'P&amp;L TOTAL 150'!$A24,0)</f>
        <v>0</v>
      </c>
      <c r="I24" s="889">
        <f>I$16*HLOOKUP(I$10,'P&amp;L by Ctn'!$C$8:$AG$31,'P&amp;L TOTAL 150'!$A24,0)</f>
        <v>0</v>
      </c>
      <c r="J24" s="889">
        <f>SUM(C24:I24)</f>
        <v>293798.40000000002</v>
      </c>
      <c r="K24" s="889">
        <f>K$16*HLOOKUP(K$10,'P&amp;L by Ctn'!$C$8:$AG$31,'P&amp;L TOTAL 150'!$A24,0)</f>
        <v>110316.04687856391</v>
      </c>
      <c r="L24" s="889">
        <f>L$16*HLOOKUP(L$10,'P&amp;L by Ctn'!$C$8:$AG$31,'P&amp;L TOTAL 150'!$A24,0)</f>
        <v>20517.432785834633</v>
      </c>
      <c r="M24" s="889">
        <f>M$16*HLOOKUP(M$10,'P&amp;L by Ctn'!$C$8:$AG$31,'P&amp;L TOTAL 150'!$A24,0)</f>
        <v>0</v>
      </c>
      <c r="N24" s="889">
        <f>N$16*HLOOKUP(N$10,'P&amp;L by Ctn'!$C$8:$AG$31,'P&amp;L TOTAL 150'!$A24,0)</f>
        <v>0</v>
      </c>
      <c r="O24" s="889">
        <f>O$16*HLOOKUP(O$10,'P&amp;L by Ctn'!$C$8:$AG$31,'P&amp;L TOTAL 150'!$A24,0)</f>
        <v>0</v>
      </c>
      <c r="P24" s="889">
        <f>P$16*HLOOKUP(P$10,'P&amp;L by Ctn'!$C$8:$AG$31,'P&amp;L TOTAL 150'!$A24,0)</f>
        <v>0</v>
      </c>
      <c r="Q24" s="889">
        <f>Q$16*HLOOKUP(Q$10,'P&amp;L by Ctn'!$C$8:$AG$31,'P&amp;L TOTAL 150'!$A24,0)</f>
        <v>0</v>
      </c>
      <c r="R24" s="889">
        <f t="shared" ref="R24" si="71">SUM(K24:Q24)</f>
        <v>130833.47966439855</v>
      </c>
      <c r="S24" s="889">
        <f>S$16*HLOOKUP(S$10,'P&amp;L by Ctn'!$C$8:$AG$31,'P&amp;L TOTAL 150'!$A24,0)</f>
        <v>163223.67075762001</v>
      </c>
      <c r="T24" s="889">
        <f>T$16*HLOOKUP(T$10,'P&amp;L by Ctn'!$C$8:$AG$31,'P&amp;L TOTAL 150'!$A24,0)</f>
        <v>17360.904664936999</v>
      </c>
      <c r="U24" s="889">
        <f>U$16*HLOOKUP(U$10,'P&amp;L by Ctn'!$C$8:$AG$31,'P&amp;L TOTAL 150'!$A24,0)</f>
        <v>0</v>
      </c>
      <c r="V24" s="889">
        <f>V$16*HLOOKUP(V$10,'P&amp;L by Ctn'!$C$8:$AG$31,'P&amp;L TOTAL 150'!$A24,0)</f>
        <v>0</v>
      </c>
      <c r="W24" s="889">
        <f>W$16*HLOOKUP(W$10,'P&amp;L by Ctn'!$C$8:$AG$31,'P&amp;L TOTAL 150'!$A24,0)</f>
        <v>0</v>
      </c>
      <c r="X24" s="889">
        <f>X$16*HLOOKUP(X$10,'P&amp;L by Ctn'!$C$8:$AG$31,'P&amp;L TOTAL 150'!$A24,0)</f>
        <v>0</v>
      </c>
      <c r="Y24" s="889">
        <f>Y$16*HLOOKUP(Y$10,'P&amp;L by Ctn'!$C$8:$AG$31,'P&amp;L TOTAL 150'!$A24,0)</f>
        <v>0</v>
      </c>
      <c r="Z24" s="889">
        <f t="shared" ref="Z24" si="72">SUM(S24:Y24)</f>
        <v>180584.57542255701</v>
      </c>
      <c r="AA24" s="889">
        <f>AA$16*HLOOKUP(AA$10,'P&amp;L by Ctn'!$C$8:$AG$31,'P&amp;L TOTAL 150'!$A24,0)</f>
        <v>126121.50801797512</v>
      </c>
      <c r="AB24" s="889">
        <f>AB$16*HLOOKUP(AB$10,'P&amp;L by Ctn'!$C$8:$AG$31,'P&amp;L TOTAL 150'!$A24,0)</f>
        <v>15782.640604488181</v>
      </c>
      <c r="AC24" s="889">
        <f>AC$16*HLOOKUP(AC$10,'P&amp;L by Ctn'!$C$8:$AG$31,'P&amp;L TOTAL 150'!$A24,0)</f>
        <v>0</v>
      </c>
      <c r="AD24" s="889">
        <f>AD$16*HLOOKUP(AD$10,'P&amp;L by Ctn'!$C$8:$AG$31,'P&amp;L TOTAL 150'!$A24,0)</f>
        <v>0</v>
      </c>
      <c r="AE24" s="889">
        <f>AE$16*HLOOKUP(AE$10,'P&amp;L by Ctn'!$C$8:$AG$31,'P&amp;L TOTAL 150'!$A24,0)</f>
        <v>0</v>
      </c>
      <c r="AF24" s="889">
        <f>AF$16*HLOOKUP(AF$10,'P&amp;L by Ctn'!$C$8:$AG$31,'P&amp;L TOTAL 150'!$A24,0)</f>
        <v>0</v>
      </c>
      <c r="AG24" s="889">
        <f>AG$16*HLOOKUP(AG$10,'P&amp;L by Ctn'!$C$8:$AG$31,'P&amp;L TOTAL 150'!$A24,0)</f>
        <v>0</v>
      </c>
      <c r="AH24" s="889">
        <f t="shared" ref="AH24" si="73">SUM(AA24:AG24)</f>
        <v>141904.14862246331</v>
      </c>
      <c r="AI24" s="889">
        <f>AI$16*AI12</f>
        <v>50647.199999999997</v>
      </c>
      <c r="AJ24" s="889">
        <f t="shared" ref="AJ24:AO24" si="74">AJ$16*AJ12</f>
        <v>3600</v>
      </c>
      <c r="AK24" s="889">
        <f t="shared" si="74"/>
        <v>0</v>
      </c>
      <c r="AL24" s="889">
        <f t="shared" si="74"/>
        <v>0</v>
      </c>
      <c r="AM24" s="889">
        <f t="shared" si="74"/>
        <v>0</v>
      </c>
      <c r="AN24" s="889">
        <f t="shared" si="74"/>
        <v>0</v>
      </c>
      <c r="AO24" s="889">
        <f t="shared" si="74"/>
        <v>0</v>
      </c>
      <c r="AP24" s="889">
        <f t="shared" ref="AP24" si="75">SUM(AI24:AO24)</f>
        <v>54247.199999999997</v>
      </c>
      <c r="AQ24" s="889">
        <f>AQ$16*AQ12</f>
        <v>80150.399999999994</v>
      </c>
      <c r="AR24" s="889">
        <f t="shared" ref="AR24:AW24" si="76">AR$16*AR12</f>
        <v>6000</v>
      </c>
      <c r="AS24" s="889">
        <f t="shared" si="76"/>
        <v>0</v>
      </c>
      <c r="AT24" s="889">
        <f t="shared" si="76"/>
        <v>0</v>
      </c>
      <c r="AU24" s="889">
        <f t="shared" si="76"/>
        <v>0</v>
      </c>
      <c r="AV24" s="889">
        <f t="shared" si="76"/>
        <v>0</v>
      </c>
      <c r="AW24" s="889">
        <f t="shared" si="76"/>
        <v>0</v>
      </c>
      <c r="AX24" s="889">
        <f t="shared" ref="AX24" si="77">SUM(AQ24:AW24)</f>
        <v>86150.399999999994</v>
      </c>
      <c r="AY24" s="889" t="e">
        <f>AY$16*HLOOKUP(AY$10,'P&amp;L by Ctn'!$C$8:$AG$31,'P&amp;L TOTAL 150'!$A24,0)</f>
        <v>#REF!</v>
      </c>
      <c r="AZ24" s="889" t="e">
        <f>AZ$16*HLOOKUP(AZ$10,'P&amp;L by Ctn'!$C$8:$AG$31,'P&amp;L TOTAL 150'!$A24,0)</f>
        <v>#REF!</v>
      </c>
      <c r="BA24" s="889" t="e">
        <f>BA$16*HLOOKUP(BA$10,'P&amp;L by Ctn'!$C$8:$AG$31,'P&amp;L TOTAL 150'!$A24,0)</f>
        <v>#REF!</v>
      </c>
      <c r="BB24" s="889">
        <f>BB$16*HLOOKUP(BB$10,'P&amp;L by Ctn'!$C$8:$AG$31,'P&amp;L TOTAL 150'!$A24,0)</f>
        <v>0</v>
      </c>
      <c r="BC24" s="889">
        <f>BC$16*HLOOKUP(BC$10,'P&amp;L by Ctn'!$C$8:$AG$31,'P&amp;L TOTAL 150'!$A24,0)</f>
        <v>0</v>
      </c>
      <c r="BD24" s="889">
        <f>BD$16*HLOOKUP(BD$10,'P&amp;L by Ctn'!$C$8:$AG$31,'P&amp;L TOTAL 150'!$A24,0)</f>
        <v>0</v>
      </c>
      <c r="BE24" s="889">
        <f>BE$16*HLOOKUP(BE$10,'P&amp;L by Ctn'!$C$8:$AG$31,'P&amp;L TOTAL 150'!$A24,0)</f>
        <v>0</v>
      </c>
      <c r="BF24" s="889" t="e">
        <f t="shared" ref="BF24" si="78">SUM(AY24:BE24)</f>
        <v>#REF!</v>
      </c>
      <c r="BG24" s="889" t="e">
        <f>BG$16*HLOOKUP(BG$10,'P&amp;L by Ctn'!$C$8:$AG$31,'P&amp;L TOTAL 150'!$A24,0)</f>
        <v>#REF!</v>
      </c>
      <c r="BH24" s="889" t="e">
        <f>BH$16*HLOOKUP(BH$10,'P&amp;L by Ctn'!$C$8:$AG$31,'P&amp;L TOTAL 150'!$A24,0)</f>
        <v>#REF!</v>
      </c>
      <c r="BI24" s="889" t="e">
        <f>BI$16*HLOOKUP(BI$10,'P&amp;L by Ctn'!$C$8:$AG$31,'P&amp;L TOTAL 150'!$A24,0)</f>
        <v>#REF!</v>
      </c>
      <c r="BJ24" s="889">
        <f>BJ$16*HLOOKUP(BJ$10,'P&amp;L by Ctn'!$C$8:$AG$31,'P&amp;L TOTAL 150'!$A24,0)</f>
        <v>0</v>
      </c>
      <c r="BK24" s="889">
        <f>BK$16*HLOOKUP(BK$10,'P&amp;L by Ctn'!$C$8:$AG$31,'P&amp;L TOTAL 150'!$A24,0)</f>
        <v>0</v>
      </c>
      <c r="BL24" s="889">
        <f>BL$16*HLOOKUP(BL$10,'P&amp;L by Ctn'!$C$8:$AG$31,'P&amp;L TOTAL 150'!$A24,0)</f>
        <v>0</v>
      </c>
      <c r="BM24" s="889">
        <f>BM$16*HLOOKUP(BM$10,'P&amp;L by Ctn'!$C$8:$AG$31,'P&amp;L TOTAL 150'!$A24,0)</f>
        <v>0</v>
      </c>
      <c r="BN24" s="889" t="e">
        <f t="shared" ref="BN24" si="79">SUM(BG24:BM24)</f>
        <v>#REF!</v>
      </c>
      <c r="BO24" s="889" t="e">
        <f>BO$16*HLOOKUP(BO$10,'P&amp;L by Ctn'!$C$8:$AG$31,'P&amp;L TOTAL 150'!$A24,0)</f>
        <v>#REF!</v>
      </c>
      <c r="BP24" s="889" t="e">
        <f>BP$16*HLOOKUP(BP$10,'P&amp;L by Ctn'!$C$8:$AG$31,'P&amp;L TOTAL 150'!$A24,0)</f>
        <v>#REF!</v>
      </c>
      <c r="BQ24" s="889" t="e">
        <f>BQ$16*HLOOKUP(BQ$10,'P&amp;L by Ctn'!$C$8:$AG$31,'P&amp;L TOTAL 150'!$A24,0)</f>
        <v>#REF!</v>
      </c>
      <c r="BR24" s="889">
        <f>BR$16*HLOOKUP(BR$10,'P&amp;L by Ctn'!$C$8:$AG$31,'P&amp;L TOTAL 150'!$A24,0)</f>
        <v>0</v>
      </c>
      <c r="BS24" s="889">
        <f>BS$16*HLOOKUP(BS$10,'P&amp;L by Ctn'!$C$8:$AG$31,'P&amp;L TOTAL 150'!$A24,0)</f>
        <v>0</v>
      </c>
      <c r="BT24" s="889">
        <f>BT$16*HLOOKUP(BT$10,'P&amp;L by Ctn'!$C$8:$AG$31,'P&amp;L TOTAL 150'!$A24,0)</f>
        <v>0</v>
      </c>
      <c r="BU24" s="889">
        <f>BU$16*HLOOKUP(BU$10,'P&amp;L by Ctn'!$C$8:$AG$31,'P&amp;L TOTAL 150'!$A24,0)</f>
        <v>0</v>
      </c>
      <c r="BV24" s="889" t="e">
        <f t="shared" ref="BV24" si="80">SUM(BO24:BU24)</f>
        <v>#REF!</v>
      </c>
      <c r="BW24" s="889" t="e">
        <f>BW$16*HLOOKUP(BW$10,'P&amp;L by Ctn'!$C$8:$AG$31,'P&amp;L TOTAL 150'!$A24,0)</f>
        <v>#REF!</v>
      </c>
      <c r="BX24" s="889" t="e">
        <f>BX$16*HLOOKUP(BX$10,'P&amp;L by Ctn'!$C$8:$AG$31,'P&amp;L TOTAL 150'!$A24,0)</f>
        <v>#REF!</v>
      </c>
      <c r="BY24" s="889" t="e">
        <f>BY$16*HLOOKUP(BY$10,'P&amp;L by Ctn'!$C$8:$AG$31,'P&amp;L TOTAL 150'!$A24,0)</f>
        <v>#REF!</v>
      </c>
      <c r="BZ24" s="889">
        <f>BZ$16*HLOOKUP(BZ$10,'P&amp;L by Ctn'!$C$8:$AG$31,'P&amp;L TOTAL 150'!$A24,0)</f>
        <v>0</v>
      </c>
      <c r="CA24" s="889">
        <f>CA$16*HLOOKUP(CA$10,'P&amp;L by Ctn'!$C$8:$AG$31,'P&amp;L TOTAL 150'!$A24,0)</f>
        <v>0</v>
      </c>
      <c r="CB24" s="889">
        <f>CB$16*HLOOKUP(CB$10,'P&amp;L by Ctn'!$C$8:$AG$31,'P&amp;L TOTAL 150'!$A24,0)</f>
        <v>0</v>
      </c>
      <c r="CC24" s="889">
        <f>CC$16*HLOOKUP(CC$10,'P&amp;L by Ctn'!$C$8:$AG$31,'P&amp;L TOTAL 150'!$A24,0)</f>
        <v>0</v>
      </c>
      <c r="CD24" s="889" t="e">
        <f t="shared" ref="CD24" si="81">SUM(BW24:CC24)</f>
        <v>#REF!</v>
      </c>
      <c r="CE24" s="889" t="e">
        <f>CE$16*HLOOKUP(CE$10,'P&amp;L by Ctn'!$C$8:$AG$31,'P&amp;L TOTAL 150'!$A24,0)</f>
        <v>#REF!</v>
      </c>
      <c r="CF24" s="889" t="e">
        <f>CF$16*HLOOKUP(CF$10,'P&amp;L by Ctn'!$C$8:$AG$31,'P&amp;L TOTAL 150'!$A24,0)</f>
        <v>#REF!</v>
      </c>
      <c r="CG24" s="889" t="e">
        <f>CG$16*HLOOKUP(CG$10,'P&amp;L by Ctn'!$C$8:$AG$31,'P&amp;L TOTAL 150'!$A24,0)</f>
        <v>#REF!</v>
      </c>
      <c r="CH24" s="889">
        <f>CH$16*HLOOKUP(CH$10,'P&amp;L by Ctn'!$C$8:$AG$31,'P&amp;L TOTAL 150'!$A24,0)</f>
        <v>0</v>
      </c>
      <c r="CI24" s="889">
        <f>CI$16*HLOOKUP(CI$10,'P&amp;L by Ctn'!$C$8:$AG$31,'P&amp;L TOTAL 150'!$A24,0)</f>
        <v>0</v>
      </c>
      <c r="CJ24" s="889">
        <f>CJ$16*HLOOKUP(CJ$10,'P&amp;L by Ctn'!$C$8:$AG$31,'P&amp;L TOTAL 150'!$A24,0)</f>
        <v>0</v>
      </c>
      <c r="CK24" s="889">
        <f>CK$16*HLOOKUP(CK$10,'P&amp;L by Ctn'!$C$8:$AG$31,'P&amp;L TOTAL 150'!$A24,0)</f>
        <v>0</v>
      </c>
      <c r="CL24" s="889" t="e">
        <f t="shared" ref="CL24" si="82">SUM(CE24:CK24)</f>
        <v>#REF!</v>
      </c>
      <c r="CM24" s="889" t="e">
        <f>CM$16*HLOOKUP(CM$10,'P&amp;L by Ctn'!$C$8:$AG$31,'P&amp;L TOTAL 150'!$A24,0)</f>
        <v>#REF!</v>
      </c>
      <c r="CN24" s="889" t="e">
        <f>CN$16*HLOOKUP(CN$10,'P&amp;L by Ctn'!$C$8:$AG$31,'P&amp;L TOTAL 150'!$A24,0)</f>
        <v>#REF!</v>
      </c>
      <c r="CO24" s="889" t="e">
        <f>CO$16*HLOOKUP(CO$10,'P&amp;L by Ctn'!$C$8:$AG$31,'P&amp;L TOTAL 150'!$A24,0)</f>
        <v>#REF!</v>
      </c>
      <c r="CP24" s="889">
        <f>CP$16*HLOOKUP(CP$10,'P&amp;L by Ctn'!$C$8:$AG$31,'P&amp;L TOTAL 150'!$A24,0)</f>
        <v>0</v>
      </c>
      <c r="CQ24" s="889">
        <f>CQ$16*HLOOKUP(CQ$10,'P&amp;L by Ctn'!$C$8:$AG$31,'P&amp;L TOTAL 150'!$A24,0)</f>
        <v>0</v>
      </c>
      <c r="CR24" s="889">
        <f>CR$16*HLOOKUP(CR$10,'P&amp;L by Ctn'!$C$8:$AG$31,'P&amp;L TOTAL 150'!$A24,0)</f>
        <v>0</v>
      </c>
      <c r="CS24" s="889">
        <f>CS$16*HLOOKUP(CS$10,'P&amp;L by Ctn'!$C$8:$AG$31,'P&amp;L TOTAL 150'!$A24,0)</f>
        <v>0</v>
      </c>
      <c r="CT24" s="889" t="e">
        <f t="shared" ref="CT24" si="83">SUM(CM24:CS24)</f>
        <v>#REF!</v>
      </c>
      <c r="CU24" s="1030" t="e">
        <f t="shared" ref="CU24:DA24" si="84">SUMIFS($C24:$CT24,$C$14:$CT$14,CU$14)</f>
        <v>#REF!</v>
      </c>
      <c r="CV24" s="1030" t="e">
        <f t="shared" si="84"/>
        <v>#REF!</v>
      </c>
      <c r="CW24" s="1030" t="e">
        <f t="shared" si="84"/>
        <v>#REF!</v>
      </c>
      <c r="CX24" s="1030">
        <f t="shared" si="84"/>
        <v>0</v>
      </c>
      <c r="CY24" s="1030">
        <f t="shared" si="84"/>
        <v>0</v>
      </c>
      <c r="CZ24" s="1030">
        <f t="shared" si="84"/>
        <v>0</v>
      </c>
      <c r="DA24" s="1030">
        <f t="shared" si="84"/>
        <v>0</v>
      </c>
      <c r="DB24" s="1030" t="e">
        <f>SUM(CU24:DA24)</f>
        <v>#REF!</v>
      </c>
      <c r="DC24" s="1030">
        <f>SUM(J24,R24)</f>
        <v>424631.87966439856</v>
      </c>
    </row>
    <row r="25" spans="1:109" x14ac:dyDescent="0.45">
      <c r="B25" s="1036" t="s">
        <v>162</v>
      </c>
      <c r="C25" s="891">
        <f t="shared" ref="C25:AH25" si="85">IFERROR(C24/C$18,0)</f>
        <v>0.17494385719948014</v>
      </c>
      <c r="D25" s="891">
        <f t="shared" si="85"/>
        <v>9.1652671163441501E-2</v>
      </c>
      <c r="E25" s="891">
        <f t="shared" si="85"/>
        <v>0</v>
      </c>
      <c r="F25" s="891">
        <f t="shared" si="85"/>
        <v>0</v>
      </c>
      <c r="G25" s="891">
        <f t="shared" si="85"/>
        <v>0</v>
      </c>
      <c r="H25" s="891">
        <f t="shared" si="85"/>
        <v>0</v>
      </c>
      <c r="I25" s="891">
        <f t="shared" si="85"/>
        <v>0</v>
      </c>
      <c r="J25" s="891">
        <f t="shared" si="85"/>
        <v>0.10960007159927221</v>
      </c>
      <c r="K25" s="891">
        <f t="shared" si="85"/>
        <v>0.15438421719750492</v>
      </c>
      <c r="L25" s="891">
        <f t="shared" si="85"/>
        <v>6.8881960448282611E-2</v>
      </c>
      <c r="M25" s="891">
        <f t="shared" si="85"/>
        <v>0</v>
      </c>
      <c r="N25" s="891">
        <f t="shared" si="85"/>
        <v>0</v>
      </c>
      <c r="O25" s="891">
        <f t="shared" si="85"/>
        <v>0</v>
      </c>
      <c r="P25" s="891">
        <f t="shared" si="85"/>
        <v>0</v>
      </c>
      <c r="Q25" s="891">
        <f t="shared" si="85"/>
        <v>0</v>
      </c>
      <c r="R25" s="891">
        <f t="shared" si="85"/>
        <v>6.9643924581307359E-2</v>
      </c>
      <c r="S25" s="891">
        <f t="shared" si="85"/>
        <v>0.15438421719750495</v>
      </c>
      <c r="T25" s="891">
        <f t="shared" si="85"/>
        <v>6.8881960448282611E-2</v>
      </c>
      <c r="U25" s="891">
        <f t="shared" si="85"/>
        <v>0</v>
      </c>
      <c r="V25" s="891">
        <f t="shared" si="85"/>
        <v>0</v>
      </c>
      <c r="W25" s="891">
        <f t="shared" si="85"/>
        <v>0</v>
      </c>
      <c r="X25" s="891">
        <f t="shared" si="85"/>
        <v>0</v>
      </c>
      <c r="Y25" s="891">
        <f t="shared" si="85"/>
        <v>0</v>
      </c>
      <c r="Z25" s="891">
        <f t="shared" si="85"/>
        <v>6.8431478917963556E-2</v>
      </c>
      <c r="AA25" s="891">
        <f t="shared" si="85"/>
        <v>0.15438421719750495</v>
      </c>
      <c r="AB25" s="891">
        <f t="shared" si="85"/>
        <v>6.8881960448282611E-2</v>
      </c>
      <c r="AC25" s="891">
        <f t="shared" si="85"/>
        <v>0</v>
      </c>
      <c r="AD25" s="891">
        <f t="shared" si="85"/>
        <v>0</v>
      </c>
      <c r="AE25" s="891">
        <f t="shared" si="85"/>
        <v>0</v>
      </c>
      <c r="AF25" s="891">
        <f t="shared" si="85"/>
        <v>0</v>
      </c>
      <c r="AG25" s="891">
        <f t="shared" si="85"/>
        <v>0</v>
      </c>
      <c r="AH25" s="891">
        <f t="shared" si="85"/>
        <v>7.6356556275675697E-2</v>
      </c>
      <c r="AI25" s="891">
        <f t="shared" ref="AI25:BN25" si="86">IFERROR(AI24/AI$18,0)</f>
        <v>0.10465391457468902</v>
      </c>
      <c r="AJ25" s="891">
        <f t="shared" si="86"/>
        <v>2.6186477475269001E-2</v>
      </c>
      <c r="AK25" s="891">
        <f t="shared" si="86"/>
        <v>0</v>
      </c>
      <c r="AL25" s="891">
        <f t="shared" si="86"/>
        <v>0</v>
      </c>
      <c r="AM25" s="891">
        <f t="shared" si="86"/>
        <v>0</v>
      </c>
      <c r="AN25" s="891">
        <f t="shared" si="86"/>
        <v>0</v>
      </c>
      <c r="AO25" s="891">
        <f t="shared" si="86"/>
        <v>0</v>
      </c>
      <c r="AP25" s="891">
        <f t="shared" si="86"/>
        <v>4.9789974623885035E-2</v>
      </c>
      <c r="AQ25" s="891">
        <f t="shared" si="86"/>
        <v>0.10465391457468902</v>
      </c>
      <c r="AR25" s="891">
        <f t="shared" si="86"/>
        <v>2.6186477475269004E-2</v>
      </c>
      <c r="AS25" s="891">
        <f t="shared" si="86"/>
        <v>0</v>
      </c>
      <c r="AT25" s="891">
        <f t="shared" si="86"/>
        <v>0</v>
      </c>
      <c r="AU25" s="891">
        <f t="shared" si="86"/>
        <v>0</v>
      </c>
      <c r="AV25" s="891">
        <f t="shared" si="86"/>
        <v>0</v>
      </c>
      <c r="AW25" s="891">
        <f t="shared" si="86"/>
        <v>0</v>
      </c>
      <c r="AX25" s="891">
        <f t="shared" si="86"/>
        <v>4.9045922098940362E-2</v>
      </c>
      <c r="AY25" s="891">
        <f t="shared" si="86"/>
        <v>0</v>
      </c>
      <c r="AZ25" s="891">
        <f t="shared" si="86"/>
        <v>0</v>
      </c>
      <c r="BA25" s="891">
        <f t="shared" si="86"/>
        <v>0</v>
      </c>
      <c r="BB25" s="891">
        <f t="shared" si="86"/>
        <v>0</v>
      </c>
      <c r="BC25" s="891">
        <f t="shared" si="86"/>
        <v>0</v>
      </c>
      <c r="BD25" s="891">
        <f t="shared" si="86"/>
        <v>0</v>
      </c>
      <c r="BE25" s="891">
        <f t="shared" si="86"/>
        <v>0</v>
      </c>
      <c r="BF25" s="891">
        <f t="shared" si="86"/>
        <v>0</v>
      </c>
      <c r="BG25" s="891">
        <f t="shared" si="86"/>
        <v>0</v>
      </c>
      <c r="BH25" s="891">
        <f t="shared" si="86"/>
        <v>0</v>
      </c>
      <c r="BI25" s="891">
        <f t="shared" si="86"/>
        <v>0</v>
      </c>
      <c r="BJ25" s="891">
        <f t="shared" si="86"/>
        <v>0</v>
      </c>
      <c r="BK25" s="891">
        <f t="shared" si="86"/>
        <v>0</v>
      </c>
      <c r="BL25" s="891">
        <f t="shared" si="86"/>
        <v>0</v>
      </c>
      <c r="BM25" s="891">
        <f t="shared" si="86"/>
        <v>0</v>
      </c>
      <c r="BN25" s="891">
        <f t="shared" si="86"/>
        <v>0</v>
      </c>
      <c r="BO25" s="891">
        <f t="shared" ref="BO25:CT25" si="87">IFERROR(BO24/BO$18,0)</f>
        <v>0</v>
      </c>
      <c r="BP25" s="891">
        <f t="shared" si="87"/>
        <v>0</v>
      </c>
      <c r="BQ25" s="891">
        <f t="shared" si="87"/>
        <v>0</v>
      </c>
      <c r="BR25" s="891">
        <f t="shared" si="87"/>
        <v>0</v>
      </c>
      <c r="BS25" s="891">
        <f t="shared" si="87"/>
        <v>0</v>
      </c>
      <c r="BT25" s="891">
        <f t="shared" si="87"/>
        <v>0</v>
      </c>
      <c r="BU25" s="891">
        <f t="shared" si="87"/>
        <v>0</v>
      </c>
      <c r="BV25" s="891">
        <f t="shared" si="87"/>
        <v>0</v>
      </c>
      <c r="BW25" s="891">
        <f t="shared" si="87"/>
        <v>0</v>
      </c>
      <c r="BX25" s="891">
        <f t="shared" si="87"/>
        <v>0</v>
      </c>
      <c r="BY25" s="891">
        <f t="shared" si="87"/>
        <v>0</v>
      </c>
      <c r="BZ25" s="891">
        <f t="shared" si="87"/>
        <v>0</v>
      </c>
      <c r="CA25" s="891">
        <f t="shared" si="87"/>
        <v>0</v>
      </c>
      <c r="CB25" s="891">
        <f t="shared" si="87"/>
        <v>0</v>
      </c>
      <c r="CC25" s="891">
        <f t="shared" si="87"/>
        <v>0</v>
      </c>
      <c r="CD25" s="891">
        <f t="shared" si="87"/>
        <v>0</v>
      </c>
      <c r="CE25" s="891">
        <f t="shared" si="87"/>
        <v>0</v>
      </c>
      <c r="CF25" s="891">
        <f t="shared" si="87"/>
        <v>0</v>
      </c>
      <c r="CG25" s="891">
        <f t="shared" si="87"/>
        <v>0</v>
      </c>
      <c r="CH25" s="891">
        <f t="shared" si="87"/>
        <v>0</v>
      </c>
      <c r="CI25" s="891">
        <f t="shared" si="87"/>
        <v>0</v>
      </c>
      <c r="CJ25" s="891">
        <f t="shared" si="87"/>
        <v>0</v>
      </c>
      <c r="CK25" s="891">
        <f t="shared" si="87"/>
        <v>0</v>
      </c>
      <c r="CL25" s="891">
        <f t="shared" si="87"/>
        <v>0</v>
      </c>
      <c r="CM25" s="891">
        <f t="shared" si="87"/>
        <v>0</v>
      </c>
      <c r="CN25" s="891">
        <f t="shared" si="87"/>
        <v>0</v>
      </c>
      <c r="CO25" s="891">
        <f t="shared" si="87"/>
        <v>0</v>
      </c>
      <c r="CP25" s="891">
        <f t="shared" si="87"/>
        <v>0</v>
      </c>
      <c r="CQ25" s="891">
        <f t="shared" si="87"/>
        <v>0</v>
      </c>
      <c r="CR25" s="891">
        <f t="shared" si="87"/>
        <v>0</v>
      </c>
      <c r="CS25" s="891">
        <f t="shared" si="87"/>
        <v>0</v>
      </c>
      <c r="CT25" s="891">
        <f t="shared" si="87"/>
        <v>0</v>
      </c>
      <c r="CU25" s="1031">
        <f t="shared" ref="CU25:DC25" si="88">IFERROR(CU24/CU$18,0)</f>
        <v>0</v>
      </c>
      <c r="CV25" s="1031">
        <f t="shared" si="88"/>
        <v>0</v>
      </c>
      <c r="CW25" s="1031">
        <f t="shared" si="88"/>
        <v>0</v>
      </c>
      <c r="CX25" s="1031">
        <f t="shared" si="88"/>
        <v>0</v>
      </c>
      <c r="CY25" s="1031">
        <f t="shared" si="88"/>
        <v>0</v>
      </c>
      <c r="CZ25" s="1031">
        <f t="shared" si="88"/>
        <v>0</v>
      </c>
      <c r="DA25" s="1031">
        <f t="shared" si="88"/>
        <v>0</v>
      </c>
      <c r="DB25" s="1031">
        <f t="shared" si="88"/>
        <v>0</v>
      </c>
      <c r="DC25" s="1031">
        <f t="shared" si="88"/>
        <v>9.3136418866178822E-2</v>
      </c>
    </row>
    <row r="26" spans="1:109" x14ac:dyDescent="0.45">
      <c r="A26">
        <v>15</v>
      </c>
      <c r="B26" s="1034" t="s">
        <v>78</v>
      </c>
      <c r="C26" s="889">
        <f>C$16*HLOOKUP(C$10,'P&amp;L by Ctn'!$C$8:$AG$31,'P&amp;L TOTAL 150'!$A26,0)</f>
        <v>35584.86202407493</v>
      </c>
      <c r="D26" s="889">
        <f>D$16*HLOOKUP(D$10,'P&amp;L by Ctn'!$C$8:$AG$31,'P&amp;L TOTAL 150'!$A26,0)</f>
        <v>6437.7613567399767</v>
      </c>
      <c r="E26" s="889">
        <f>E$16*HLOOKUP(E$10,'P&amp;L by Ctn'!$C$8:$AG$31,'P&amp;L TOTAL 150'!$A26,0)</f>
        <v>15543.483298581788</v>
      </c>
      <c r="F26" s="889">
        <f>F$16*HLOOKUP(F$10,'P&amp;L by Ctn'!$C$8:$AG$31,'P&amp;L TOTAL 150'!$A26,0)</f>
        <v>0</v>
      </c>
      <c r="G26" s="889">
        <f>G$16*HLOOKUP(G$10,'P&amp;L by Ctn'!$C$8:$AG$31,'P&amp;L TOTAL 150'!$A26,0)</f>
        <v>0</v>
      </c>
      <c r="H26" s="889">
        <f>H$16*HLOOKUP(H$10,'P&amp;L by Ctn'!$C$8:$AG$31,'P&amp;L TOTAL 150'!$A26,0)</f>
        <v>92.139209627926704</v>
      </c>
      <c r="I26" s="889">
        <f>I$16*HLOOKUP(I$10,'P&amp;L by Ctn'!$C$8:$AG$31,'P&amp;L TOTAL 150'!$A26,0)</f>
        <v>97.197933247013026</v>
      </c>
      <c r="J26" s="889">
        <f>SUM(C26:I26)</f>
        <v>57755.443822271627</v>
      </c>
      <c r="K26" s="889">
        <f>K$16*HLOOKUP(K$10,'P&amp;L by Ctn'!$C$8:$AG$31,'P&amp;L TOTAL 150'!$A26,0)</f>
        <v>17096.025342183373</v>
      </c>
      <c r="L26" s="889">
        <f>L$16*HLOOKUP(L$10,'P&amp;L by Ctn'!$C$8:$AG$31,'P&amp;L TOTAL 150'!$A26,0)</f>
        <v>5230.6811023512309</v>
      </c>
      <c r="M26" s="889">
        <f>M$16*HLOOKUP(M$10,'P&amp;L by Ctn'!$C$8:$AG$31,'P&amp;L TOTAL 150'!$A26,0)</f>
        <v>16341.84864238973</v>
      </c>
      <c r="N26" s="889">
        <f>N$16*HLOOKUP(N$10,'P&amp;L by Ctn'!$C$8:$AG$31,'P&amp;L TOTAL 150'!$A26,0)</f>
        <v>0</v>
      </c>
      <c r="O26" s="889">
        <f>O$16*HLOOKUP(O$10,'P&amp;L by Ctn'!$C$8:$AG$31,'P&amp;L TOTAL 150'!$A26,0)</f>
        <v>41.821298044680482</v>
      </c>
      <c r="P26" s="889">
        <f>P$16*HLOOKUP(P$10,'P&amp;L by Ctn'!$C$8:$AG$31,'P&amp;L TOTAL 150'!$A26,0)</f>
        <v>91.179426194302465</v>
      </c>
      <c r="Q26" s="889">
        <f>Q$16*HLOOKUP(Q$10,'P&amp;L by Ctn'!$C$8:$AG$31,'P&amp;L TOTAL 150'!$A26,0)</f>
        <v>0</v>
      </c>
      <c r="R26" s="889">
        <f t="shared" ref="R26" si="89">SUM(K26:Q26)</f>
        <v>38801.555811163307</v>
      </c>
      <c r="S26" s="889">
        <f>S$16*HLOOKUP(S$10,'P&amp;L by Ctn'!$C$8:$AG$31,'P&amp;L TOTAL 150'!$A26,0)</f>
        <v>25295.286503406231</v>
      </c>
      <c r="T26" s="889">
        <f>T$16*HLOOKUP(T$10,'P&amp;L by Ctn'!$C$8:$AG$31,'P&amp;L TOTAL 150'!$A26,0)</f>
        <v>4425.9609327587341</v>
      </c>
      <c r="U26" s="889">
        <f>U$16*HLOOKUP(U$10,'P&amp;L by Ctn'!$C$8:$AG$31,'P&amp;L TOTAL 150'!$A26,0)</f>
        <v>24298.670872069571</v>
      </c>
      <c r="V26" s="889">
        <f>V$16*HLOOKUP(V$10,'P&amp;L by Ctn'!$C$8:$AG$31,'P&amp;L TOTAL 150'!$A26,0)</f>
        <v>188.20146795353406</v>
      </c>
      <c r="W26" s="889">
        <f>W$16*HLOOKUP(W$10,'P&amp;L by Ctn'!$C$8:$AG$31,'P&amp;L TOTAL 150'!$A26,0)</f>
        <v>85.368321294014152</v>
      </c>
      <c r="X26" s="889">
        <f>X$16*HLOOKUP(X$10,'P&amp;L by Ctn'!$C$8:$AG$31,'P&amp;L TOTAL 150'!$A26,0)</f>
        <v>276.41762888378014</v>
      </c>
      <c r="Y26" s="889">
        <f>Y$16*HLOOKUP(Y$10,'P&amp;L by Ctn'!$C$8:$AG$31,'P&amp;L TOTAL 150'!$A26,0)</f>
        <v>198.36312907553679</v>
      </c>
      <c r="Z26" s="889">
        <f t="shared" ref="Z26" si="90">SUM(S26:Y26)</f>
        <v>54768.268855441405</v>
      </c>
      <c r="AA26" s="889">
        <f>AA$16*HLOOKUP(AA$10,'P&amp;L by Ctn'!$C$8:$AG$31,'P&amp;L TOTAL 150'!$A26,0)</f>
        <v>19545.447451024134</v>
      </c>
      <c r="AB26" s="889">
        <f>AB$16*HLOOKUP(AB$10,'P&amp;L by Ctn'!$C$8:$AG$31,'P&amp;L TOTAL 150'!$A26,0)</f>
        <v>4023.6008479624852</v>
      </c>
      <c r="AC26" s="889">
        <f>AC$16*HLOOKUP(AC$10,'P&amp;L by Ctn'!$C$8:$AG$31,'P&amp;L TOTAL 150'!$A26,0)</f>
        <v>15162.370624171412</v>
      </c>
      <c r="AD26" s="889">
        <f>AD$16*HLOOKUP(AD$10,'P&amp;L by Ctn'!$C$8:$AG$31,'P&amp;L TOTAL 150'!$A26,0)</f>
        <v>0</v>
      </c>
      <c r="AE26" s="889">
        <f>AE$16*HLOOKUP(AE$10,'P&amp;L by Ctn'!$C$8:$AG$31,'P&amp;L TOTAL 150'!$A26,0)</f>
        <v>44.06106905497505</v>
      </c>
      <c r="AF26" s="889">
        <f>AF$16*HLOOKUP(AF$10,'P&amp;L by Ctn'!$C$8:$AG$31,'P&amp;L TOTAL 150'!$A26,0)</f>
        <v>92.139209627926704</v>
      </c>
      <c r="AG26" s="889">
        <f>AG$16*HLOOKUP(AG$10,'P&amp;L by Ctn'!$C$8:$AG$31,'P&amp;L TOTAL 150'!$A26,0)</f>
        <v>99.181564537768395</v>
      </c>
      <c r="AH26" s="889">
        <f t="shared" ref="AH26" si="91">SUM(AA26:AG26)</f>
        <v>38966.800766378699</v>
      </c>
      <c r="AI26" s="889">
        <f>AI$16*HLOOKUP(AI$10,'P&amp;L by Ctn'!$C$8:$AG$31,'P&amp;L TOTAL 150'!$A26,0)</f>
        <v>11578.687296380493</v>
      </c>
      <c r="AJ26" s="889">
        <f>AJ$16*HLOOKUP(AJ$10,'P&amp;L by Ctn'!$C$8:$AG$31,'P&amp;L TOTAL 150'!$A26,0)</f>
        <v>2414.160508777491</v>
      </c>
      <c r="AK26" s="889">
        <f>AK$16*HLOOKUP(AK$10,'P&amp;L by Ctn'!$C$8:$AG$31,'P&amp;L TOTAL 150'!$A26,0)</f>
        <v>8553.1321469684881</v>
      </c>
      <c r="AL26" s="889">
        <f>AL$16*HLOOKUP(AL$10,'P&amp;L by Ctn'!$C$8:$AG$31,'P&amp;L TOTAL 150'!$A26,0)</f>
        <v>0</v>
      </c>
      <c r="AM26" s="889">
        <f>AM$16*HLOOKUP(AM$10,'P&amp;L by Ctn'!$C$8:$AG$31,'P&amp;L TOTAL 150'!$A26,0)</f>
        <v>44.06106905497505</v>
      </c>
      <c r="AN26" s="889">
        <f>AN$16*HLOOKUP(AN$10,'P&amp;L by Ctn'!$C$8:$AG$31,'P&amp;L TOTAL 150'!$A26,0)</f>
        <v>92.139209627926704</v>
      </c>
      <c r="AO26" s="889">
        <f>AO$16*HLOOKUP(AO$10,'P&amp;L by Ctn'!$C$8:$AG$31,'P&amp;L TOTAL 150'!$A26,0)</f>
        <v>99.181564537768395</v>
      </c>
      <c r="AP26" s="889">
        <f t="shared" ref="AP26" si="92">SUM(AI26:AO26)</f>
        <v>22781.361795347144</v>
      </c>
      <c r="AQ26" s="889">
        <f>AQ$16*HLOOKUP(AQ$10,'P&amp;L by Ctn'!$C$8:$AG$31,'P&amp;L TOTAL 150'!$A26,0)</f>
        <v>18323.548355680374</v>
      </c>
      <c r="AR26" s="889">
        <f>AR$16*HLOOKUP(AR$10,'P&amp;L by Ctn'!$C$8:$AG$31,'P&amp;L TOTAL 150'!$A26,0)</f>
        <v>4023.6008479624852</v>
      </c>
      <c r="AS26" s="889">
        <f>AS$16*HLOOKUP(AS$10,'P&amp;L by Ctn'!$C$8:$AG$31,'P&amp;L TOTAL 150'!$A26,0)</f>
        <v>13996.034422312072</v>
      </c>
      <c r="AT26" s="889">
        <f>AT$16*HLOOKUP(AT$10,'P&amp;L by Ctn'!$C$8:$AG$31,'P&amp;L TOTAL 150'!$A26,0)</f>
        <v>0</v>
      </c>
      <c r="AU26" s="889">
        <f>AU$16*HLOOKUP(AU$10,'P&amp;L by Ctn'!$C$8:$AG$31,'P&amp;L TOTAL 150'!$A26,0)</f>
        <v>44.06106905497505</v>
      </c>
      <c r="AV26" s="889">
        <f>AV$16*HLOOKUP(AV$10,'P&amp;L by Ctn'!$C$8:$AG$31,'P&amp;L TOTAL 150'!$A26,0)</f>
        <v>184.27841925585341</v>
      </c>
      <c r="AW26" s="889">
        <f>AW$16*HLOOKUP(AW$10,'P&amp;L by Ctn'!$C$8:$AG$31,'P&amp;L TOTAL 150'!$A26,0)</f>
        <v>99.181564537768395</v>
      </c>
      <c r="AX26" s="889">
        <f t="shared" ref="AX26" si="93">SUM(AQ26:AW26)</f>
        <v>36670.70467880353</v>
      </c>
      <c r="AY26" s="889" t="e">
        <f>AY$16*HLOOKUP(AY$10,'P&amp;L by Ctn'!$C$8:$AG$31,'P&amp;L TOTAL 150'!$A26,0)</f>
        <v>#REF!</v>
      </c>
      <c r="AZ26" s="889" t="e">
        <f>AZ$16*HLOOKUP(AZ$10,'P&amp;L by Ctn'!$C$8:$AG$31,'P&amp;L TOTAL 150'!$A26,0)</f>
        <v>#REF!</v>
      </c>
      <c r="BA26" s="889" t="e">
        <f>BA$16*HLOOKUP(BA$10,'P&amp;L by Ctn'!$C$8:$AG$31,'P&amp;L TOTAL 150'!$A26,0)</f>
        <v>#REF!</v>
      </c>
      <c r="BB26" s="889">
        <f>BB$16*HLOOKUP(BB$10,'P&amp;L by Ctn'!$C$8:$AG$31,'P&amp;L TOTAL 150'!$A26,0)</f>
        <v>0</v>
      </c>
      <c r="BC26" s="889">
        <f>BC$16*HLOOKUP(BC$10,'P&amp;L by Ctn'!$C$8:$AG$31,'P&amp;L TOTAL 150'!$A26,0)</f>
        <v>0</v>
      </c>
      <c r="BD26" s="889">
        <f>BD$16*HLOOKUP(BD$10,'P&amp;L by Ctn'!$C$8:$AG$31,'P&amp;L TOTAL 150'!$A26,0)</f>
        <v>92.139209627926704</v>
      </c>
      <c r="BE26" s="889">
        <f>BE$16*HLOOKUP(BE$10,'P&amp;L by Ctn'!$C$8:$AG$31,'P&amp;L TOTAL 150'!$A26,0)</f>
        <v>0</v>
      </c>
      <c r="BF26" s="889" t="e">
        <f t="shared" ref="BF26" si="94">SUM(AY26:BE26)</f>
        <v>#REF!</v>
      </c>
      <c r="BG26" s="889" t="e">
        <f>BG$16*HLOOKUP(BG$10,'P&amp;L by Ctn'!$C$8:$AG$31,'P&amp;L TOTAL 150'!$A26,0)</f>
        <v>#REF!</v>
      </c>
      <c r="BH26" s="889" t="e">
        <f>BH$16*HLOOKUP(BH$10,'P&amp;L by Ctn'!$C$8:$AG$31,'P&amp;L TOTAL 150'!$A26,0)</f>
        <v>#REF!</v>
      </c>
      <c r="BI26" s="889" t="e">
        <f>BI$16*HLOOKUP(BI$10,'P&amp;L by Ctn'!$C$8:$AG$31,'P&amp;L TOTAL 150'!$A26,0)</f>
        <v>#REF!</v>
      </c>
      <c r="BJ26" s="889">
        <f>BJ$16*HLOOKUP(BJ$10,'P&amp;L by Ctn'!$C$8:$AG$31,'P&amp;L TOTAL 150'!$A26,0)</f>
        <v>0</v>
      </c>
      <c r="BK26" s="889">
        <f>BK$16*HLOOKUP(BK$10,'P&amp;L by Ctn'!$C$8:$AG$31,'P&amp;L TOTAL 150'!$A26,0)</f>
        <v>44.06106905497505</v>
      </c>
      <c r="BL26" s="889">
        <f>BL$16*HLOOKUP(BL$10,'P&amp;L by Ctn'!$C$8:$AG$31,'P&amp;L TOTAL 150'!$A26,0)</f>
        <v>184.27841925585341</v>
      </c>
      <c r="BM26" s="889">
        <f>BM$16*HLOOKUP(BM$10,'P&amp;L by Ctn'!$C$8:$AG$31,'P&amp;L TOTAL 150'!$A26,0)</f>
        <v>99.181564537768395</v>
      </c>
      <c r="BN26" s="889" t="e">
        <f t="shared" ref="BN26" si="95">SUM(BG26:BM26)</f>
        <v>#REF!</v>
      </c>
      <c r="BO26" s="889" t="e">
        <f>BO$16*HLOOKUP(BO$10,'P&amp;L by Ctn'!$C$8:$AG$31,'P&amp;L TOTAL 150'!$A26,0)</f>
        <v>#REF!</v>
      </c>
      <c r="BP26" s="889" t="e">
        <f>BP$16*HLOOKUP(BP$10,'P&amp;L by Ctn'!$C$8:$AG$31,'P&amp;L TOTAL 150'!$A26,0)</f>
        <v>#REF!</v>
      </c>
      <c r="BQ26" s="889" t="e">
        <f>BQ$16*HLOOKUP(BQ$10,'P&amp;L by Ctn'!$C$8:$AG$31,'P&amp;L TOTAL 150'!$A26,0)</f>
        <v>#REF!</v>
      </c>
      <c r="BR26" s="889">
        <f>BR$16*HLOOKUP(BR$10,'P&amp;L by Ctn'!$C$8:$AG$31,'P&amp;L TOTAL 150'!$A26,0)</f>
        <v>0</v>
      </c>
      <c r="BS26" s="889">
        <f>BS$16*HLOOKUP(BS$10,'P&amp;L by Ctn'!$C$8:$AG$31,'P&amp;L TOTAL 150'!$A26,0)</f>
        <v>44.06106905497505</v>
      </c>
      <c r="BT26" s="889">
        <f>BT$16*HLOOKUP(BT$10,'P&amp;L by Ctn'!$C$8:$AG$31,'P&amp;L TOTAL 150'!$A26,0)</f>
        <v>92.139209627926704</v>
      </c>
      <c r="BU26" s="889">
        <f>BU$16*HLOOKUP(BU$10,'P&amp;L by Ctn'!$C$8:$AG$31,'P&amp;L TOTAL 150'!$A26,0)</f>
        <v>99.181564537768395</v>
      </c>
      <c r="BV26" s="889" t="e">
        <f t="shared" ref="BV26" si="96">SUM(BO26:BU26)</f>
        <v>#REF!</v>
      </c>
      <c r="BW26" s="889" t="e">
        <f>BW$16*HLOOKUP(BW$10,'P&amp;L by Ctn'!$C$8:$AG$31,'P&amp;L TOTAL 150'!$A26,0)</f>
        <v>#REF!</v>
      </c>
      <c r="BX26" s="889" t="e">
        <f>BX$16*HLOOKUP(BX$10,'P&amp;L by Ctn'!$C$8:$AG$31,'P&amp;L TOTAL 150'!$A26,0)</f>
        <v>#REF!</v>
      </c>
      <c r="BY26" s="889" t="e">
        <f>BY$16*HLOOKUP(BY$10,'P&amp;L by Ctn'!$C$8:$AG$31,'P&amp;L TOTAL 150'!$A26,0)</f>
        <v>#REF!</v>
      </c>
      <c r="BZ26" s="889">
        <f>BZ$16*HLOOKUP(BZ$10,'P&amp;L by Ctn'!$C$8:$AG$31,'P&amp;L TOTAL 150'!$A26,0)</f>
        <v>0</v>
      </c>
      <c r="CA26" s="889">
        <f>CA$16*HLOOKUP(CA$10,'P&amp;L by Ctn'!$C$8:$AG$31,'P&amp;L TOTAL 150'!$A26,0)</f>
        <v>44.06106905497505</v>
      </c>
      <c r="CB26" s="889">
        <f>CB$16*HLOOKUP(CB$10,'P&amp;L by Ctn'!$C$8:$AG$31,'P&amp;L TOTAL 150'!$A26,0)</f>
        <v>92.139209627926704</v>
      </c>
      <c r="CC26" s="889">
        <f>CC$16*HLOOKUP(CC$10,'P&amp;L by Ctn'!$C$8:$AG$31,'P&amp;L TOTAL 150'!$A26,0)</f>
        <v>0</v>
      </c>
      <c r="CD26" s="889" t="e">
        <f t="shared" ref="CD26" si="97">SUM(BW26:CC26)</f>
        <v>#REF!</v>
      </c>
      <c r="CE26" s="889" t="e">
        <f>CE$16*HLOOKUP(CE$10,'P&amp;L by Ctn'!$C$8:$AG$31,'P&amp;L TOTAL 150'!$A26,0)</f>
        <v>#REF!</v>
      </c>
      <c r="CF26" s="889" t="e">
        <f>CF$16*HLOOKUP(CF$10,'P&amp;L by Ctn'!$C$8:$AG$31,'P&amp;L TOTAL 150'!$A26,0)</f>
        <v>#REF!</v>
      </c>
      <c r="CG26" s="889" t="e">
        <f>CG$16*HLOOKUP(CG$10,'P&amp;L by Ctn'!$C$8:$AG$31,'P&amp;L TOTAL 150'!$A26,0)</f>
        <v>#REF!</v>
      </c>
      <c r="CH26" s="889">
        <f>CH$16*HLOOKUP(CH$10,'P&amp;L by Ctn'!$C$8:$AG$31,'P&amp;L TOTAL 150'!$A26,0)</f>
        <v>0</v>
      </c>
      <c r="CI26" s="889">
        <f>CI$16*HLOOKUP(CI$10,'P&amp;L by Ctn'!$C$8:$AG$31,'P&amp;L TOTAL 150'!$A26,0)</f>
        <v>0</v>
      </c>
      <c r="CJ26" s="889">
        <f>CJ$16*HLOOKUP(CJ$10,'P&amp;L by Ctn'!$C$8:$AG$31,'P&amp;L TOTAL 150'!$A26,0)</f>
        <v>92.139209627926704</v>
      </c>
      <c r="CK26" s="889">
        <f>CK$16*HLOOKUP(CK$10,'P&amp;L by Ctn'!$C$8:$AG$31,'P&amp;L TOTAL 150'!$A26,0)</f>
        <v>99.181564537768395</v>
      </c>
      <c r="CL26" s="889" t="e">
        <f t="shared" ref="CL26" si="98">SUM(CE26:CK26)</f>
        <v>#REF!</v>
      </c>
      <c r="CM26" s="889" t="e">
        <f>CM$16*HLOOKUP(CM$10,'P&amp;L by Ctn'!$C$8:$AG$31,'P&amp;L TOTAL 150'!$A26,0)</f>
        <v>#REF!</v>
      </c>
      <c r="CN26" s="889" t="e">
        <f>CN$16*HLOOKUP(CN$10,'P&amp;L by Ctn'!$C$8:$AG$31,'P&amp;L TOTAL 150'!$A26,0)</f>
        <v>#REF!</v>
      </c>
      <c r="CO26" s="889" t="e">
        <f>CO$16*HLOOKUP(CO$10,'P&amp;L by Ctn'!$C$8:$AG$31,'P&amp;L TOTAL 150'!$A26,0)</f>
        <v>#REF!</v>
      </c>
      <c r="CP26" s="889">
        <f>CP$16*HLOOKUP(CP$10,'P&amp;L by Ctn'!$C$8:$AG$31,'P&amp;L TOTAL 150'!$A26,0)</f>
        <v>0</v>
      </c>
      <c r="CQ26" s="889">
        <f>CQ$16*HLOOKUP(CQ$10,'P&amp;L by Ctn'!$C$8:$AG$31,'P&amp;L TOTAL 150'!$A26,0)</f>
        <v>44.06106905497505</v>
      </c>
      <c r="CR26" s="889">
        <f>CR$16*HLOOKUP(CR$10,'P&amp;L by Ctn'!$C$8:$AG$31,'P&amp;L TOTAL 150'!$A26,0)</f>
        <v>92.139209627926704</v>
      </c>
      <c r="CS26" s="889">
        <f>CS$16*HLOOKUP(CS$10,'P&amp;L by Ctn'!$C$8:$AG$31,'P&amp;L TOTAL 150'!$A26,0)</f>
        <v>99.181564537768395</v>
      </c>
      <c r="CT26" s="889" t="e">
        <f t="shared" ref="CT26" si="99">SUM(CM26:CS26)</f>
        <v>#REF!</v>
      </c>
      <c r="CU26" s="1030" t="e">
        <f t="shared" ref="CU26:DA26" si="100">SUMIFS($C26:$CT26,$C$14:$CT$14,CU$14)</f>
        <v>#REF!</v>
      </c>
      <c r="CV26" s="1030" t="e">
        <f t="shared" si="100"/>
        <v>#REF!</v>
      </c>
      <c r="CW26" s="1030" t="e">
        <f t="shared" si="100"/>
        <v>#REF!</v>
      </c>
      <c r="CX26" s="1030">
        <f t="shared" si="100"/>
        <v>188.20146795353406</v>
      </c>
      <c r="CY26" s="1030">
        <f t="shared" si="100"/>
        <v>435.61710272352008</v>
      </c>
      <c r="CZ26" s="1030">
        <f t="shared" si="100"/>
        <v>1473.2675706132029</v>
      </c>
      <c r="DA26" s="1030">
        <f t="shared" si="100"/>
        <v>989.83201408692855</v>
      </c>
      <c r="DB26" s="1030" t="e">
        <f>SUM(CU26:DA26)</f>
        <v>#REF!</v>
      </c>
      <c r="DC26" s="1030">
        <f>SUM(J26,R26)</f>
        <v>96556.999633434927</v>
      </c>
    </row>
    <row r="27" spans="1:109" x14ac:dyDescent="0.45">
      <c r="B27" s="1034" t="s">
        <v>163</v>
      </c>
      <c r="C27" s="889">
        <f t="shared" ref="C27:AH27" si="101">C20-C22-C24-C26</f>
        <v>65575.482706743162</v>
      </c>
      <c r="D27" s="889">
        <f t="shared" si="101"/>
        <v>23008.532538157851</v>
      </c>
      <c r="E27" s="889">
        <f t="shared" si="101"/>
        <v>35235.524846655433</v>
      </c>
      <c r="F27" s="889">
        <f t="shared" si="101"/>
        <v>0</v>
      </c>
      <c r="G27" s="889">
        <f t="shared" si="101"/>
        <v>0</v>
      </c>
      <c r="H27" s="889">
        <f t="shared" si="101"/>
        <v>1107.8858078520736</v>
      </c>
      <c r="I27" s="889">
        <f t="shared" si="101"/>
        <v>443.41709121018698</v>
      </c>
      <c r="J27" s="889">
        <f t="shared" si="101"/>
        <v>125370.8429906184</v>
      </c>
      <c r="K27" s="889">
        <f t="shared" si="101"/>
        <v>14385.371274703317</v>
      </c>
      <c r="L27" s="889">
        <f t="shared" si="101"/>
        <v>15658.53970584421</v>
      </c>
      <c r="M27" s="889">
        <f t="shared" si="101"/>
        <v>-7607.8587120806369</v>
      </c>
      <c r="N27" s="889">
        <f t="shared" si="101"/>
        <v>0</v>
      </c>
      <c r="O27" s="889">
        <f t="shared" si="101"/>
        <v>1230.0904755301697</v>
      </c>
      <c r="P27" s="889">
        <f t="shared" si="101"/>
        <v>785.78354894569736</v>
      </c>
      <c r="Q27" s="889">
        <f t="shared" si="101"/>
        <v>0</v>
      </c>
      <c r="R27" s="889">
        <f t="shared" si="101"/>
        <v>24451.926292942524</v>
      </c>
      <c r="S27" s="889">
        <f t="shared" si="101"/>
        <v>21284.601570730807</v>
      </c>
      <c r="T27" s="889">
        <f t="shared" si="101"/>
        <v>13249.533597252801</v>
      </c>
      <c r="U27" s="889">
        <f t="shared" si="101"/>
        <v>-11312.11400444229</v>
      </c>
      <c r="V27" s="889">
        <f t="shared" si="101"/>
        <v>1508.7606190385141</v>
      </c>
      <c r="W27" s="889">
        <f t="shared" si="101"/>
        <v>2510.9397327547376</v>
      </c>
      <c r="X27" s="889">
        <f t="shared" si="101"/>
        <v>2382.1648641722209</v>
      </c>
      <c r="Y27" s="889">
        <f t="shared" si="101"/>
        <v>543.39135254921325</v>
      </c>
      <c r="Z27" s="889">
        <f t="shared" si="101"/>
        <v>30167.277732056347</v>
      </c>
      <c r="AA27" s="889">
        <f t="shared" si="101"/>
        <v>-4989.2265208582467</v>
      </c>
      <c r="AB27" s="889">
        <f t="shared" si="101"/>
        <v>408.56854290078445</v>
      </c>
      <c r="AC27" s="889">
        <f t="shared" si="101"/>
        <v>-38744.725183089075</v>
      </c>
      <c r="AD27" s="889">
        <f t="shared" si="101"/>
        <v>0</v>
      </c>
      <c r="AE27" s="889">
        <f t="shared" si="101"/>
        <v>777.68540981826493</v>
      </c>
      <c r="AF27" s="889">
        <f t="shared" si="101"/>
        <v>758.33966361151056</v>
      </c>
      <c r="AG27" s="889">
        <f t="shared" si="101"/>
        <v>177.83251996927345</v>
      </c>
      <c r="AH27" s="889">
        <f t="shared" si="101"/>
        <v>-41611.525567647681</v>
      </c>
      <c r="AI27" s="889">
        <f t="shared" ref="AI27:BN27" si="102">AI20-AI22-AI24-AI26</f>
        <v>21111.341853119011</v>
      </c>
      <c r="AJ27" s="889">
        <f t="shared" si="102"/>
        <v>6114.7254884333852</v>
      </c>
      <c r="AK27" s="889">
        <f t="shared" si="102"/>
        <v>-21855.998821229728</v>
      </c>
      <c r="AL27" s="889">
        <f t="shared" si="102"/>
        <v>0</v>
      </c>
      <c r="AM27" s="889">
        <f t="shared" si="102"/>
        <v>777.68540981826493</v>
      </c>
      <c r="AN27" s="889">
        <f t="shared" si="102"/>
        <v>758.33966361151056</v>
      </c>
      <c r="AO27" s="889">
        <f t="shared" si="102"/>
        <v>177.83251996927345</v>
      </c>
      <c r="AP27" s="889">
        <f t="shared" si="102"/>
        <v>7083.9261137215617</v>
      </c>
      <c r="AQ27" s="889">
        <f t="shared" si="102"/>
        <v>33409.201181195232</v>
      </c>
      <c r="AR27" s="889">
        <f t="shared" si="102"/>
        <v>10191.209147388965</v>
      </c>
      <c r="AS27" s="889">
        <f t="shared" si="102"/>
        <v>-35764.361707466793</v>
      </c>
      <c r="AT27" s="889">
        <f t="shared" si="102"/>
        <v>0</v>
      </c>
      <c r="AU27" s="889">
        <f t="shared" si="102"/>
        <v>777.68540981826493</v>
      </c>
      <c r="AV27" s="889">
        <f t="shared" si="102"/>
        <v>1516.6793272230211</v>
      </c>
      <c r="AW27" s="889">
        <f t="shared" si="102"/>
        <v>177.83251996927345</v>
      </c>
      <c r="AX27" s="889">
        <f t="shared" si="102"/>
        <v>10308.245878128168</v>
      </c>
      <c r="AY27" s="889" t="e">
        <f t="shared" si="102"/>
        <v>#REF!</v>
      </c>
      <c r="AZ27" s="889" t="e">
        <f t="shared" si="102"/>
        <v>#REF!</v>
      </c>
      <c r="BA27" s="889" t="e">
        <f t="shared" si="102"/>
        <v>#REF!</v>
      </c>
      <c r="BB27" s="889">
        <f t="shared" si="102"/>
        <v>0</v>
      </c>
      <c r="BC27" s="889">
        <f t="shared" si="102"/>
        <v>0</v>
      </c>
      <c r="BD27" s="889">
        <f t="shared" si="102"/>
        <v>855.69177628756665</v>
      </c>
      <c r="BE27" s="889">
        <f t="shared" si="102"/>
        <v>0</v>
      </c>
      <c r="BF27" s="889" t="e">
        <f t="shared" si="102"/>
        <v>#REF!</v>
      </c>
      <c r="BG27" s="889" t="e">
        <f t="shared" si="102"/>
        <v>#REF!</v>
      </c>
      <c r="BH27" s="889" t="e">
        <f t="shared" si="102"/>
        <v>#REF!</v>
      </c>
      <c r="BI27" s="889" t="e">
        <f t="shared" si="102"/>
        <v>#REF!</v>
      </c>
      <c r="BJ27" s="889">
        <f t="shared" si="102"/>
        <v>0</v>
      </c>
      <c r="BK27" s="889">
        <f t="shared" si="102"/>
        <v>850.02343798727873</v>
      </c>
      <c r="BL27" s="889">
        <f t="shared" si="102"/>
        <v>1711.3835525751333</v>
      </c>
      <c r="BM27" s="889">
        <f t="shared" si="102"/>
        <v>374.73392841997781</v>
      </c>
      <c r="BN27" s="889" t="e">
        <f t="shared" si="102"/>
        <v>#REF!</v>
      </c>
      <c r="BO27" s="889" t="e">
        <f t="shared" ref="BO27:CT27" si="103">BO20-BO22-BO24-BO26</f>
        <v>#REF!</v>
      </c>
      <c r="BP27" s="889" t="e">
        <f t="shared" si="103"/>
        <v>#REF!</v>
      </c>
      <c r="BQ27" s="889" t="e">
        <f t="shared" si="103"/>
        <v>#REF!</v>
      </c>
      <c r="BR27" s="889">
        <f t="shared" si="103"/>
        <v>0</v>
      </c>
      <c r="BS27" s="889">
        <f t="shared" si="103"/>
        <v>850.02343798727873</v>
      </c>
      <c r="BT27" s="889">
        <f t="shared" si="103"/>
        <v>855.69177628756665</v>
      </c>
      <c r="BU27" s="889">
        <f t="shared" si="103"/>
        <v>374.73392841997781</v>
      </c>
      <c r="BV27" s="889" t="e">
        <f t="shared" si="103"/>
        <v>#REF!</v>
      </c>
      <c r="BW27" s="889" t="e">
        <f t="shared" si="103"/>
        <v>#REF!</v>
      </c>
      <c r="BX27" s="889" t="e">
        <f t="shared" si="103"/>
        <v>#REF!</v>
      </c>
      <c r="BY27" s="889" t="e">
        <f t="shared" si="103"/>
        <v>#REF!</v>
      </c>
      <c r="BZ27" s="889">
        <f t="shared" si="103"/>
        <v>0</v>
      </c>
      <c r="CA27" s="889">
        <f t="shared" si="103"/>
        <v>850.02343798727873</v>
      </c>
      <c r="CB27" s="889">
        <f t="shared" si="103"/>
        <v>855.69177628756665</v>
      </c>
      <c r="CC27" s="889">
        <f t="shared" si="103"/>
        <v>0</v>
      </c>
      <c r="CD27" s="889" t="e">
        <f t="shared" si="103"/>
        <v>#REF!</v>
      </c>
      <c r="CE27" s="889" t="e">
        <f t="shared" si="103"/>
        <v>#REF!</v>
      </c>
      <c r="CF27" s="889" t="e">
        <f t="shared" si="103"/>
        <v>#REF!</v>
      </c>
      <c r="CG27" s="889" t="e">
        <f t="shared" si="103"/>
        <v>#REF!</v>
      </c>
      <c r="CH27" s="889">
        <f t="shared" si="103"/>
        <v>0</v>
      </c>
      <c r="CI27" s="889">
        <f t="shared" si="103"/>
        <v>0</v>
      </c>
      <c r="CJ27" s="889">
        <f t="shared" si="103"/>
        <v>855.69177628756665</v>
      </c>
      <c r="CK27" s="889">
        <f t="shared" si="103"/>
        <v>374.73392841997781</v>
      </c>
      <c r="CL27" s="889" t="e">
        <f t="shared" si="103"/>
        <v>#REF!</v>
      </c>
      <c r="CM27" s="889" t="e">
        <f t="shared" si="103"/>
        <v>#REF!</v>
      </c>
      <c r="CN27" s="889" t="e">
        <f t="shared" si="103"/>
        <v>#REF!</v>
      </c>
      <c r="CO27" s="889" t="e">
        <f t="shared" si="103"/>
        <v>#REF!</v>
      </c>
      <c r="CP27" s="889">
        <f t="shared" si="103"/>
        <v>0</v>
      </c>
      <c r="CQ27" s="889">
        <f t="shared" si="103"/>
        <v>850.02343798727873</v>
      </c>
      <c r="CR27" s="889">
        <f t="shared" si="103"/>
        <v>855.69177628756665</v>
      </c>
      <c r="CS27" s="889">
        <f t="shared" si="103"/>
        <v>374.73392841997781</v>
      </c>
      <c r="CT27" s="889" t="e">
        <f t="shared" si="103"/>
        <v>#REF!</v>
      </c>
      <c r="CU27" s="1030" t="e">
        <f t="shared" ref="CU27:DC27" si="104">CU20-CU22-CU24-CU26</f>
        <v>#REF!</v>
      </c>
      <c r="CV27" s="1030" t="e">
        <f t="shared" si="104"/>
        <v>#REF!</v>
      </c>
      <c r="CW27" s="1030" t="e">
        <f t="shared" si="104"/>
        <v>#REF!</v>
      </c>
      <c r="CX27" s="1030">
        <f t="shared" si="104"/>
        <v>1508.7606190385141</v>
      </c>
      <c r="CY27" s="1030">
        <f t="shared" si="104"/>
        <v>9474.1801896888192</v>
      </c>
      <c r="CZ27" s="1030">
        <f t="shared" si="104"/>
        <v>13299.035309429015</v>
      </c>
      <c r="DA27" s="1030">
        <f t="shared" si="104"/>
        <v>3019.2417173471481</v>
      </c>
      <c r="DB27" s="1030" t="e">
        <f t="shared" si="104"/>
        <v>#REF!</v>
      </c>
      <c r="DC27" s="1030">
        <f t="shared" si="104"/>
        <v>149822.76928356074</v>
      </c>
    </row>
    <row r="28" spans="1:109" x14ac:dyDescent="0.45">
      <c r="B28" s="1035" t="s">
        <v>164</v>
      </c>
      <c r="C28" s="891">
        <f t="shared" ref="C28:AH28" si="105">IFERROR(C27/C$18,0)</f>
        <v>4.408954045234504E-2</v>
      </c>
      <c r="D28" s="891">
        <f t="shared" si="105"/>
        <v>6.2761710317652541E-2</v>
      </c>
      <c r="E28" s="891">
        <f t="shared" si="105"/>
        <v>4.351745320371378E-2</v>
      </c>
      <c r="F28" s="891">
        <f t="shared" si="105"/>
        <v>0</v>
      </c>
      <c r="G28" s="891">
        <f t="shared" si="105"/>
        <v>0</v>
      </c>
      <c r="H28" s="891">
        <f t="shared" si="105"/>
        <v>0.11177217593342147</v>
      </c>
      <c r="I28" s="891">
        <f t="shared" si="105"/>
        <v>6.2323198292318402E-2</v>
      </c>
      <c r="J28" s="891">
        <f t="shared" si="105"/>
        <v>4.6768986380568749E-2</v>
      </c>
      <c r="K28" s="891">
        <f t="shared" si="105"/>
        <v>2.0131924105160216E-2</v>
      </c>
      <c r="L28" s="891">
        <f t="shared" si="105"/>
        <v>5.2569486833678805E-2</v>
      </c>
      <c r="M28" s="891">
        <f t="shared" si="105"/>
        <v>-8.9370118093462965E-3</v>
      </c>
      <c r="N28" s="891">
        <f t="shared" si="105"/>
        <v>0</v>
      </c>
      <c r="O28" s="891">
        <f t="shared" si="105"/>
        <v>0.24106564254557758</v>
      </c>
      <c r="P28" s="891">
        <f t="shared" si="105"/>
        <v>8.0110467587174453E-2</v>
      </c>
      <c r="Q28" s="891">
        <f t="shared" si="105"/>
        <v>0</v>
      </c>
      <c r="R28" s="891">
        <f t="shared" si="105"/>
        <v>1.301599647874201E-2</v>
      </c>
      <c r="S28" s="891">
        <f t="shared" si="105"/>
        <v>2.0131924105160182E-2</v>
      </c>
      <c r="T28" s="891">
        <f t="shared" si="105"/>
        <v>5.256948683367884E-2</v>
      </c>
      <c r="U28" s="891">
        <f t="shared" si="105"/>
        <v>-8.9370118093462288E-3</v>
      </c>
      <c r="V28" s="891">
        <f t="shared" si="105"/>
        <v>0.1642814262890368</v>
      </c>
      <c r="W28" s="891">
        <f t="shared" si="105"/>
        <v>0.24106564254557769</v>
      </c>
      <c r="X28" s="891">
        <f t="shared" si="105"/>
        <v>8.0110467587174494E-2</v>
      </c>
      <c r="Y28" s="891">
        <f t="shared" si="105"/>
        <v>3.742364686978053E-2</v>
      </c>
      <c r="Z28" s="891">
        <f t="shared" si="105"/>
        <v>1.1431715168934079E-2</v>
      </c>
      <c r="AA28" s="891">
        <f t="shared" si="105"/>
        <v>-6.1072678478753415E-3</v>
      </c>
      <c r="AB28" s="891">
        <f t="shared" si="105"/>
        <v>1.7831618242958116E-3</v>
      </c>
      <c r="AC28" s="891">
        <f t="shared" si="105"/>
        <v>-4.9054240228882558E-2</v>
      </c>
      <c r="AD28" s="891">
        <f t="shared" si="105"/>
        <v>0</v>
      </c>
      <c r="AE28" s="891">
        <f t="shared" si="105"/>
        <v>0.14465874438583795</v>
      </c>
      <c r="AF28" s="891">
        <f t="shared" si="105"/>
        <v>7.6507229985019229E-2</v>
      </c>
      <c r="AG28" s="891">
        <f t="shared" si="105"/>
        <v>2.4494837461332433E-2</v>
      </c>
      <c r="AH28" s="891">
        <f t="shared" si="105"/>
        <v>-2.2390556051860504E-2</v>
      </c>
      <c r="AI28" s="891">
        <f t="shared" ref="AI28:BN28" si="106">IFERROR(AI27/AI$18,0)</f>
        <v>4.3623034774940651E-2</v>
      </c>
      <c r="AJ28" s="891">
        <f t="shared" si="106"/>
        <v>4.4478644797309466E-2</v>
      </c>
      <c r="AK28" s="891">
        <f t="shared" si="106"/>
        <v>-4.9054240228882544E-2</v>
      </c>
      <c r="AL28" s="891">
        <f t="shared" si="106"/>
        <v>0</v>
      </c>
      <c r="AM28" s="891">
        <f t="shared" si="106"/>
        <v>0.14465874438583795</v>
      </c>
      <c r="AN28" s="891">
        <f t="shared" si="106"/>
        <v>7.6507229985019229E-2</v>
      </c>
      <c r="AO28" s="891">
        <f t="shared" si="106"/>
        <v>2.4494837461332433E-2</v>
      </c>
      <c r="AP28" s="891">
        <f t="shared" si="106"/>
        <v>6.5018747776783518E-3</v>
      </c>
      <c r="AQ28" s="891">
        <f t="shared" si="106"/>
        <v>4.3623034774940679E-2</v>
      </c>
      <c r="AR28" s="891">
        <f t="shared" si="106"/>
        <v>4.4478644797309425E-2</v>
      </c>
      <c r="AS28" s="891">
        <f t="shared" si="106"/>
        <v>-4.9054240228882488E-2</v>
      </c>
      <c r="AT28" s="891">
        <f t="shared" si="106"/>
        <v>0</v>
      </c>
      <c r="AU28" s="891">
        <f t="shared" si="106"/>
        <v>0.14465874438583795</v>
      </c>
      <c r="AV28" s="891">
        <f t="shared" si="106"/>
        <v>7.6507229985019229E-2</v>
      </c>
      <c r="AW28" s="891">
        <f t="shared" si="106"/>
        <v>2.4494837461332433E-2</v>
      </c>
      <c r="AX28" s="891">
        <f t="shared" si="106"/>
        <v>5.8685441311403918E-3</v>
      </c>
      <c r="AY28" s="891">
        <f t="shared" si="106"/>
        <v>0</v>
      </c>
      <c r="AZ28" s="891">
        <f t="shared" si="106"/>
        <v>0</v>
      </c>
      <c r="BA28" s="891">
        <f t="shared" si="106"/>
        <v>0</v>
      </c>
      <c r="BB28" s="891">
        <f t="shared" si="106"/>
        <v>0</v>
      </c>
      <c r="BC28" s="891">
        <f t="shared" si="106"/>
        <v>0</v>
      </c>
      <c r="BD28" s="891">
        <f t="shared" si="106"/>
        <v>8.2915869795306851E-2</v>
      </c>
      <c r="BE28" s="891">
        <f t="shared" si="106"/>
        <v>0</v>
      </c>
      <c r="BF28" s="891">
        <f t="shared" si="106"/>
        <v>0</v>
      </c>
      <c r="BG28" s="891">
        <f t="shared" si="106"/>
        <v>0</v>
      </c>
      <c r="BH28" s="891">
        <f t="shared" si="106"/>
        <v>0</v>
      </c>
      <c r="BI28" s="891">
        <f t="shared" si="106"/>
        <v>0</v>
      </c>
      <c r="BJ28" s="891">
        <f t="shared" si="106"/>
        <v>0</v>
      </c>
      <c r="BK28" s="891">
        <f t="shared" si="106"/>
        <v>0.14757351353945811</v>
      </c>
      <c r="BL28" s="891">
        <f t="shared" si="106"/>
        <v>8.2915869795306851E-2</v>
      </c>
      <c r="BM28" s="891">
        <f t="shared" si="106"/>
        <v>5.1616243584018985E-2</v>
      </c>
      <c r="BN28" s="891">
        <f t="shared" si="106"/>
        <v>0</v>
      </c>
      <c r="BO28" s="891">
        <f t="shared" ref="BO28:CT28" si="107">IFERROR(BO27/BO$18,0)</f>
        <v>0</v>
      </c>
      <c r="BP28" s="891">
        <f t="shared" si="107"/>
        <v>0</v>
      </c>
      <c r="BQ28" s="891">
        <f t="shared" si="107"/>
        <v>0</v>
      </c>
      <c r="BR28" s="891">
        <f t="shared" si="107"/>
        <v>0</v>
      </c>
      <c r="BS28" s="891">
        <f t="shared" si="107"/>
        <v>0.14757351353945811</v>
      </c>
      <c r="BT28" s="891">
        <f t="shared" si="107"/>
        <v>8.2915869795306851E-2</v>
      </c>
      <c r="BU28" s="891">
        <f t="shared" si="107"/>
        <v>5.1616243584018985E-2</v>
      </c>
      <c r="BV28" s="891">
        <f t="shared" si="107"/>
        <v>0</v>
      </c>
      <c r="BW28" s="891">
        <f t="shared" si="107"/>
        <v>0</v>
      </c>
      <c r="BX28" s="891">
        <f t="shared" si="107"/>
        <v>0</v>
      </c>
      <c r="BY28" s="891">
        <f t="shared" si="107"/>
        <v>0</v>
      </c>
      <c r="BZ28" s="891">
        <f t="shared" si="107"/>
        <v>0</v>
      </c>
      <c r="CA28" s="891">
        <f t="shared" si="107"/>
        <v>0.14757351353945811</v>
      </c>
      <c r="CB28" s="891">
        <f t="shared" si="107"/>
        <v>8.2915869795306851E-2</v>
      </c>
      <c r="CC28" s="891">
        <f t="shared" si="107"/>
        <v>0</v>
      </c>
      <c r="CD28" s="891">
        <f t="shared" si="107"/>
        <v>0</v>
      </c>
      <c r="CE28" s="891">
        <f t="shared" si="107"/>
        <v>0</v>
      </c>
      <c r="CF28" s="891">
        <f t="shared" si="107"/>
        <v>0</v>
      </c>
      <c r="CG28" s="891">
        <f t="shared" si="107"/>
        <v>0</v>
      </c>
      <c r="CH28" s="891">
        <f t="shared" si="107"/>
        <v>0</v>
      </c>
      <c r="CI28" s="891">
        <f t="shared" si="107"/>
        <v>0</v>
      </c>
      <c r="CJ28" s="891">
        <f t="shared" si="107"/>
        <v>8.2915869795306851E-2</v>
      </c>
      <c r="CK28" s="891">
        <f t="shared" si="107"/>
        <v>5.1616243584018985E-2</v>
      </c>
      <c r="CL28" s="891">
        <f t="shared" si="107"/>
        <v>0</v>
      </c>
      <c r="CM28" s="891">
        <f t="shared" si="107"/>
        <v>0</v>
      </c>
      <c r="CN28" s="891">
        <f t="shared" si="107"/>
        <v>0</v>
      </c>
      <c r="CO28" s="891">
        <f t="shared" si="107"/>
        <v>0</v>
      </c>
      <c r="CP28" s="891">
        <f t="shared" si="107"/>
        <v>0</v>
      </c>
      <c r="CQ28" s="891">
        <f t="shared" si="107"/>
        <v>0.14757351353945811</v>
      </c>
      <c r="CR28" s="891">
        <f t="shared" si="107"/>
        <v>8.2915869795306851E-2</v>
      </c>
      <c r="CS28" s="891">
        <f t="shared" si="107"/>
        <v>5.1616243584018985E-2</v>
      </c>
      <c r="CT28" s="891">
        <f t="shared" si="107"/>
        <v>0</v>
      </c>
      <c r="CU28" s="1031">
        <f t="shared" ref="CU28:DC28" si="108">IFERROR(CU27/CU$18,0)</f>
        <v>0</v>
      </c>
      <c r="CV28" s="1031">
        <f t="shared" si="108"/>
        <v>0</v>
      </c>
      <c r="CW28" s="1031">
        <f t="shared" si="108"/>
        <v>0</v>
      </c>
      <c r="CX28" s="1031">
        <f t="shared" si="108"/>
        <v>0.1642814262890368</v>
      </c>
      <c r="CY28" s="1031">
        <f t="shared" si="108"/>
        <v>0.17324462300333279</v>
      </c>
      <c r="CZ28" s="1031">
        <f t="shared" si="108"/>
        <v>8.2426204195854003E-2</v>
      </c>
      <c r="DA28" s="1031">
        <f t="shared" si="108"/>
        <v>4.1670692864339533E-2</v>
      </c>
      <c r="DB28" s="1031">
        <f t="shared" si="108"/>
        <v>0</v>
      </c>
      <c r="DC28" s="1031">
        <f t="shared" si="108"/>
        <v>3.2861301432932651E-2</v>
      </c>
    </row>
    <row r="29" spans="1:109" x14ac:dyDescent="0.45">
      <c r="A29">
        <v>18</v>
      </c>
      <c r="B29" s="1034" t="s">
        <v>165</v>
      </c>
      <c r="C29" s="889">
        <f>C$16*HLOOKUP(C$10,'P&amp;L by Ctn'!$C$8:$AG$31,'P&amp;L TOTAL 150'!$A29,0)</f>
        <v>0</v>
      </c>
      <c r="D29" s="889">
        <f>D$16*HLOOKUP(D$10,'P&amp;L by Ctn'!$C$8:$AG$31,'P&amp;L TOTAL 150'!$A29,0)</f>
        <v>0</v>
      </c>
      <c r="E29" s="889">
        <f>E$16*HLOOKUP(E$10,'P&amp;L by Ctn'!$C$8:$AG$31,'P&amp;L TOTAL 150'!$A29,0)</f>
        <v>0</v>
      </c>
      <c r="F29" s="889">
        <f>F$16*HLOOKUP(F$10,'P&amp;L by Ctn'!$C$8:$AG$31,'P&amp;L TOTAL 150'!$A29,0)</f>
        <v>0</v>
      </c>
      <c r="G29" s="889">
        <f>G$16*HLOOKUP(G$10,'P&amp;L by Ctn'!$C$8:$AG$31,'P&amp;L TOTAL 150'!$A29,0)</f>
        <v>0</v>
      </c>
      <c r="H29" s="889">
        <f>H$16*HLOOKUP(H$10,'P&amp;L by Ctn'!$C$8:$AG$31,'P&amp;L TOTAL 150'!$A29,0)</f>
        <v>0</v>
      </c>
      <c r="I29" s="889">
        <f>I$16*HLOOKUP(I$10,'P&amp;L by Ctn'!$C$8:$AG$31,'P&amp;L TOTAL 150'!$A29,0)</f>
        <v>0</v>
      </c>
      <c r="J29" s="889">
        <f>SUM(C29:I29)</f>
        <v>0</v>
      </c>
      <c r="K29" s="889">
        <f>K$16*HLOOKUP(K$10,'P&amp;L by Ctn'!$C$8:$AG$31,'P&amp;L TOTAL 150'!$A29,0)</f>
        <v>0</v>
      </c>
      <c r="L29" s="889">
        <f>L$16*HLOOKUP(L$10,'P&amp;L by Ctn'!$C$8:$AG$31,'P&amp;L TOTAL 150'!$A29,0)</f>
        <v>0</v>
      </c>
      <c r="M29" s="889">
        <f>M$16*HLOOKUP(M$10,'P&amp;L by Ctn'!$C$8:$AG$31,'P&amp;L TOTAL 150'!$A29,0)</f>
        <v>0</v>
      </c>
      <c r="N29" s="889">
        <f>N$16*HLOOKUP(N$10,'P&amp;L by Ctn'!$C$8:$AG$31,'P&amp;L TOTAL 150'!$A29,0)</f>
        <v>0</v>
      </c>
      <c r="O29" s="889">
        <f>O$16*HLOOKUP(O$10,'P&amp;L by Ctn'!$C$8:$AG$31,'P&amp;L TOTAL 150'!$A29,0)</f>
        <v>0</v>
      </c>
      <c r="P29" s="889">
        <f>P$16*HLOOKUP(P$10,'P&amp;L by Ctn'!$C$8:$AG$31,'P&amp;L TOTAL 150'!$A29,0)</f>
        <v>0</v>
      </c>
      <c r="Q29" s="889">
        <f>Q$16*HLOOKUP(Q$10,'P&amp;L by Ctn'!$C$8:$AG$31,'P&amp;L TOTAL 150'!$A29,0)</f>
        <v>0</v>
      </c>
      <c r="R29" s="889">
        <f t="shared" ref="R29" si="109">SUM(K29:Q29)</f>
        <v>0</v>
      </c>
      <c r="S29" s="889">
        <f>S$16*HLOOKUP(S$10,'P&amp;L by Ctn'!$C$8:$AG$31,'P&amp;L TOTAL 150'!$A29,0)</f>
        <v>0</v>
      </c>
      <c r="T29" s="889">
        <f>T$16*HLOOKUP(T$10,'P&amp;L by Ctn'!$C$8:$AG$31,'P&amp;L TOTAL 150'!$A29,0)</f>
        <v>0</v>
      </c>
      <c r="U29" s="889">
        <f>U$16*HLOOKUP(U$10,'P&amp;L by Ctn'!$C$8:$AG$31,'P&amp;L TOTAL 150'!$A29,0)</f>
        <v>0</v>
      </c>
      <c r="V29" s="889">
        <f>V$16*HLOOKUP(V$10,'P&amp;L by Ctn'!$C$8:$AG$31,'P&amp;L TOTAL 150'!$A29,0)</f>
        <v>0</v>
      </c>
      <c r="W29" s="889">
        <f>W$16*HLOOKUP(W$10,'P&amp;L by Ctn'!$C$8:$AG$31,'P&amp;L TOTAL 150'!$A29,0)</f>
        <v>0</v>
      </c>
      <c r="X29" s="889">
        <f>X$16*HLOOKUP(X$10,'P&amp;L by Ctn'!$C$8:$AG$31,'P&amp;L TOTAL 150'!$A29,0)</f>
        <v>0</v>
      </c>
      <c r="Y29" s="889">
        <f>Y$16*HLOOKUP(Y$10,'P&amp;L by Ctn'!$C$8:$AG$31,'P&amp;L TOTAL 150'!$A29,0)</f>
        <v>0</v>
      </c>
      <c r="Z29" s="889">
        <f t="shared" ref="Z29" si="110">SUM(S29:Y29)</f>
        <v>0</v>
      </c>
      <c r="AA29" s="889">
        <f>AA$16*HLOOKUP(AA$10,'P&amp;L by Ctn'!$C$8:$AG$31,'P&amp;L TOTAL 150'!$A29,0)</f>
        <v>0</v>
      </c>
      <c r="AB29" s="889">
        <f>AB$16*HLOOKUP(AB$10,'P&amp;L by Ctn'!$C$8:$AG$31,'P&amp;L TOTAL 150'!$A29,0)</f>
        <v>0</v>
      </c>
      <c r="AC29" s="889">
        <f>AC$16*HLOOKUP(AC$10,'P&amp;L by Ctn'!$C$8:$AG$31,'P&amp;L TOTAL 150'!$A29,0)</f>
        <v>0</v>
      </c>
      <c r="AD29" s="889">
        <f>AD$16*HLOOKUP(AD$10,'P&amp;L by Ctn'!$C$8:$AG$31,'P&amp;L TOTAL 150'!$A29,0)</f>
        <v>0</v>
      </c>
      <c r="AE29" s="889">
        <f>AE$16*HLOOKUP(AE$10,'P&amp;L by Ctn'!$C$8:$AG$31,'P&amp;L TOTAL 150'!$A29,0)</f>
        <v>0</v>
      </c>
      <c r="AF29" s="889">
        <f>AF$16*HLOOKUP(AF$10,'P&amp;L by Ctn'!$C$8:$AG$31,'P&amp;L TOTAL 150'!$A29,0)</f>
        <v>0</v>
      </c>
      <c r="AG29" s="889">
        <f>AG$16*HLOOKUP(AG$10,'P&amp;L by Ctn'!$C$8:$AG$31,'P&amp;L TOTAL 150'!$A29,0)</f>
        <v>0</v>
      </c>
      <c r="AH29" s="889">
        <f t="shared" ref="AH29" si="111">SUM(AA29:AG29)</f>
        <v>0</v>
      </c>
      <c r="AI29" s="889">
        <f>AI$16*HLOOKUP(AI$10,'P&amp;L by Ctn'!$C$8:$AG$31,'P&amp;L TOTAL 150'!$A29,0)</f>
        <v>0</v>
      </c>
      <c r="AJ29" s="889">
        <f>AJ$16*HLOOKUP(AJ$10,'P&amp;L by Ctn'!$C$8:$AG$31,'P&amp;L TOTAL 150'!$A29,0)</f>
        <v>0</v>
      </c>
      <c r="AK29" s="889">
        <f>AK$16*HLOOKUP(AK$10,'P&amp;L by Ctn'!$C$8:$AG$31,'P&amp;L TOTAL 150'!$A29,0)</f>
        <v>0</v>
      </c>
      <c r="AL29" s="889">
        <f>AL$16*HLOOKUP(AL$10,'P&amp;L by Ctn'!$C$8:$AG$31,'P&amp;L TOTAL 150'!$A29,0)</f>
        <v>0</v>
      </c>
      <c r="AM29" s="889">
        <f>AM$16*HLOOKUP(AM$10,'P&amp;L by Ctn'!$C$8:$AG$31,'P&amp;L TOTAL 150'!$A29,0)</f>
        <v>0</v>
      </c>
      <c r="AN29" s="889">
        <f>AN$16*HLOOKUP(AN$10,'P&amp;L by Ctn'!$C$8:$AG$31,'P&amp;L TOTAL 150'!$A29,0)</f>
        <v>0</v>
      </c>
      <c r="AO29" s="889">
        <f>AO$16*HLOOKUP(AO$10,'P&amp;L by Ctn'!$C$8:$AG$31,'P&amp;L TOTAL 150'!$A29,0)</f>
        <v>0</v>
      </c>
      <c r="AP29" s="889">
        <f t="shared" ref="AP29" si="112">SUM(AI29:AO29)</f>
        <v>0</v>
      </c>
      <c r="AQ29" s="889">
        <f>AQ$16*HLOOKUP(AQ$10,'P&amp;L by Ctn'!$C$8:$AG$31,'P&amp;L TOTAL 150'!$A29,0)</f>
        <v>0</v>
      </c>
      <c r="AR29" s="889">
        <f>AR$16*HLOOKUP(AR$10,'P&amp;L by Ctn'!$C$8:$AG$31,'P&amp;L TOTAL 150'!$A29,0)</f>
        <v>0</v>
      </c>
      <c r="AS29" s="889">
        <f>AS$16*HLOOKUP(AS$10,'P&amp;L by Ctn'!$C$8:$AG$31,'P&amp;L TOTAL 150'!$A29,0)</f>
        <v>0</v>
      </c>
      <c r="AT29" s="889">
        <f>AT$16*HLOOKUP(AT$10,'P&amp;L by Ctn'!$C$8:$AG$31,'P&amp;L TOTAL 150'!$A29,0)</f>
        <v>0</v>
      </c>
      <c r="AU29" s="889">
        <f>AU$16*HLOOKUP(AU$10,'P&amp;L by Ctn'!$C$8:$AG$31,'P&amp;L TOTAL 150'!$A29,0)</f>
        <v>0</v>
      </c>
      <c r="AV29" s="889">
        <f>AV$16*HLOOKUP(AV$10,'P&amp;L by Ctn'!$C$8:$AG$31,'P&amp;L TOTAL 150'!$A29,0)</f>
        <v>0</v>
      </c>
      <c r="AW29" s="889">
        <f>AW$16*HLOOKUP(AW$10,'P&amp;L by Ctn'!$C$8:$AG$31,'P&amp;L TOTAL 150'!$A29,0)</f>
        <v>0</v>
      </c>
      <c r="AX29" s="889">
        <f t="shared" ref="AX29" si="113">SUM(AQ29:AW29)</f>
        <v>0</v>
      </c>
      <c r="AY29" s="889">
        <f>AY$16*HLOOKUP(AY$10,'P&amp;L by Ctn'!$C$8:$AG$31,'P&amp;L TOTAL 150'!$A29,0)</f>
        <v>0</v>
      </c>
      <c r="AZ29" s="889">
        <f>AZ$16*HLOOKUP(AZ$10,'P&amp;L by Ctn'!$C$8:$AG$31,'P&amp;L TOTAL 150'!$A29,0)</f>
        <v>0</v>
      </c>
      <c r="BA29" s="889">
        <f>BA$16*HLOOKUP(BA$10,'P&amp;L by Ctn'!$C$8:$AG$31,'P&amp;L TOTAL 150'!$A29,0)</f>
        <v>0</v>
      </c>
      <c r="BB29" s="889">
        <f>BB$16*HLOOKUP(BB$10,'P&amp;L by Ctn'!$C$8:$AG$31,'P&amp;L TOTAL 150'!$A29,0)</f>
        <v>0</v>
      </c>
      <c r="BC29" s="889">
        <f>BC$16*HLOOKUP(BC$10,'P&amp;L by Ctn'!$C$8:$AG$31,'P&amp;L TOTAL 150'!$A29,0)</f>
        <v>0</v>
      </c>
      <c r="BD29" s="889">
        <f>BD$16*HLOOKUP(BD$10,'P&amp;L by Ctn'!$C$8:$AG$31,'P&amp;L TOTAL 150'!$A29,0)</f>
        <v>0</v>
      </c>
      <c r="BE29" s="889">
        <f>BE$16*HLOOKUP(BE$10,'P&amp;L by Ctn'!$C$8:$AG$31,'P&amp;L TOTAL 150'!$A29,0)</f>
        <v>0</v>
      </c>
      <c r="BF29" s="889">
        <f t="shared" ref="BF29" si="114">SUM(AY29:BE29)</f>
        <v>0</v>
      </c>
      <c r="BG29" s="889">
        <f>BG$16*HLOOKUP(BG$10,'P&amp;L by Ctn'!$C$8:$AG$31,'P&amp;L TOTAL 150'!$A29,0)</f>
        <v>0</v>
      </c>
      <c r="BH29" s="889">
        <f>BH$16*HLOOKUP(BH$10,'P&amp;L by Ctn'!$C$8:$AG$31,'P&amp;L TOTAL 150'!$A29,0)</f>
        <v>0</v>
      </c>
      <c r="BI29" s="889">
        <f>BI$16*HLOOKUP(BI$10,'P&amp;L by Ctn'!$C$8:$AG$31,'P&amp;L TOTAL 150'!$A29,0)</f>
        <v>0</v>
      </c>
      <c r="BJ29" s="889">
        <f>BJ$16*HLOOKUP(BJ$10,'P&amp;L by Ctn'!$C$8:$AG$31,'P&amp;L TOTAL 150'!$A29,0)</f>
        <v>0</v>
      </c>
      <c r="BK29" s="889">
        <f>BK$16*HLOOKUP(BK$10,'P&amp;L by Ctn'!$C$8:$AG$31,'P&amp;L TOTAL 150'!$A29,0)</f>
        <v>0</v>
      </c>
      <c r="BL29" s="889">
        <f>BL$16*HLOOKUP(BL$10,'P&amp;L by Ctn'!$C$8:$AG$31,'P&amp;L TOTAL 150'!$A29,0)</f>
        <v>0</v>
      </c>
      <c r="BM29" s="889">
        <f>BM$16*HLOOKUP(BM$10,'P&amp;L by Ctn'!$C$8:$AG$31,'P&amp;L TOTAL 150'!$A29,0)</f>
        <v>0</v>
      </c>
      <c r="BN29" s="889">
        <f t="shared" ref="BN29" si="115">SUM(BG29:BM29)</f>
        <v>0</v>
      </c>
      <c r="BO29" s="889">
        <f>BO$16*HLOOKUP(BO$10,'P&amp;L by Ctn'!$C$8:$AG$31,'P&amp;L TOTAL 150'!$A29,0)</f>
        <v>0</v>
      </c>
      <c r="BP29" s="889">
        <f>BP$16*HLOOKUP(BP$10,'P&amp;L by Ctn'!$C$8:$AG$31,'P&amp;L TOTAL 150'!$A29,0)</f>
        <v>0</v>
      </c>
      <c r="BQ29" s="889">
        <f>BQ$16*HLOOKUP(BQ$10,'P&amp;L by Ctn'!$C$8:$AG$31,'P&amp;L TOTAL 150'!$A29,0)</f>
        <v>0</v>
      </c>
      <c r="BR29" s="889">
        <f>BR$16*HLOOKUP(BR$10,'P&amp;L by Ctn'!$C$8:$AG$31,'P&amp;L TOTAL 150'!$A29,0)</f>
        <v>0</v>
      </c>
      <c r="BS29" s="889">
        <f>BS$16*HLOOKUP(BS$10,'P&amp;L by Ctn'!$C$8:$AG$31,'P&amp;L TOTAL 150'!$A29,0)</f>
        <v>0</v>
      </c>
      <c r="BT29" s="889">
        <f>BT$16*HLOOKUP(BT$10,'P&amp;L by Ctn'!$C$8:$AG$31,'P&amp;L TOTAL 150'!$A29,0)</f>
        <v>0</v>
      </c>
      <c r="BU29" s="889">
        <f>BU$16*HLOOKUP(BU$10,'P&amp;L by Ctn'!$C$8:$AG$31,'P&amp;L TOTAL 150'!$A29,0)</f>
        <v>0</v>
      </c>
      <c r="BV29" s="889">
        <f t="shared" ref="BV29" si="116">SUM(BO29:BU29)</f>
        <v>0</v>
      </c>
      <c r="BW29" s="889">
        <f>BW$16*HLOOKUP(BW$10,'P&amp;L by Ctn'!$C$8:$AG$31,'P&amp;L TOTAL 150'!$A29,0)</f>
        <v>0</v>
      </c>
      <c r="BX29" s="889">
        <f>BX$16*HLOOKUP(BX$10,'P&amp;L by Ctn'!$C$8:$AG$31,'P&amp;L TOTAL 150'!$A29,0)</f>
        <v>0</v>
      </c>
      <c r="BY29" s="889">
        <f>BY$16*HLOOKUP(BY$10,'P&amp;L by Ctn'!$C$8:$AG$31,'P&amp;L TOTAL 150'!$A29,0)</f>
        <v>0</v>
      </c>
      <c r="BZ29" s="889">
        <f>BZ$16*HLOOKUP(BZ$10,'P&amp;L by Ctn'!$C$8:$AG$31,'P&amp;L TOTAL 150'!$A29,0)</f>
        <v>0</v>
      </c>
      <c r="CA29" s="889">
        <f>CA$16*HLOOKUP(CA$10,'P&amp;L by Ctn'!$C$8:$AG$31,'P&amp;L TOTAL 150'!$A29,0)</f>
        <v>0</v>
      </c>
      <c r="CB29" s="889">
        <f>CB$16*HLOOKUP(CB$10,'P&amp;L by Ctn'!$C$8:$AG$31,'P&amp;L TOTAL 150'!$A29,0)</f>
        <v>0</v>
      </c>
      <c r="CC29" s="889">
        <f>CC$16*HLOOKUP(CC$10,'P&amp;L by Ctn'!$C$8:$AG$31,'P&amp;L TOTAL 150'!$A29,0)</f>
        <v>0</v>
      </c>
      <c r="CD29" s="889">
        <f t="shared" ref="CD29" si="117">SUM(BW29:CC29)</f>
        <v>0</v>
      </c>
      <c r="CE29" s="889">
        <f>CE$16*HLOOKUP(CE$10,'P&amp;L by Ctn'!$C$8:$AG$31,'P&amp;L TOTAL 150'!$A29,0)</f>
        <v>0</v>
      </c>
      <c r="CF29" s="889">
        <f>CF$16*HLOOKUP(CF$10,'P&amp;L by Ctn'!$C$8:$AG$31,'P&amp;L TOTAL 150'!$A29,0)</f>
        <v>0</v>
      </c>
      <c r="CG29" s="889">
        <f>CG$16*HLOOKUP(CG$10,'P&amp;L by Ctn'!$C$8:$AG$31,'P&amp;L TOTAL 150'!$A29,0)</f>
        <v>0</v>
      </c>
      <c r="CH29" s="889">
        <f>CH$16*HLOOKUP(CH$10,'P&amp;L by Ctn'!$C$8:$AG$31,'P&amp;L TOTAL 150'!$A29,0)</f>
        <v>0</v>
      </c>
      <c r="CI29" s="889">
        <f>CI$16*HLOOKUP(CI$10,'P&amp;L by Ctn'!$C$8:$AG$31,'P&amp;L TOTAL 150'!$A29,0)</f>
        <v>0</v>
      </c>
      <c r="CJ29" s="889">
        <f>CJ$16*HLOOKUP(CJ$10,'P&amp;L by Ctn'!$C$8:$AG$31,'P&amp;L TOTAL 150'!$A29,0)</f>
        <v>0</v>
      </c>
      <c r="CK29" s="889">
        <f>CK$16*HLOOKUP(CK$10,'P&amp;L by Ctn'!$C$8:$AG$31,'P&amp;L TOTAL 150'!$A29,0)</f>
        <v>0</v>
      </c>
      <c r="CL29" s="889">
        <f t="shared" ref="CL29" si="118">SUM(CE29:CK29)</f>
        <v>0</v>
      </c>
      <c r="CM29" s="889">
        <f>CM$16*HLOOKUP(CM$10,'P&amp;L by Ctn'!$C$8:$AG$31,'P&amp;L TOTAL 150'!$A29,0)</f>
        <v>0</v>
      </c>
      <c r="CN29" s="889">
        <f>CN$16*HLOOKUP(CN$10,'P&amp;L by Ctn'!$C$8:$AG$31,'P&amp;L TOTAL 150'!$A29,0)</f>
        <v>0</v>
      </c>
      <c r="CO29" s="889">
        <f>CO$16*HLOOKUP(CO$10,'P&amp;L by Ctn'!$C$8:$AG$31,'P&amp;L TOTAL 150'!$A29,0)</f>
        <v>0</v>
      </c>
      <c r="CP29" s="889">
        <f>CP$16*HLOOKUP(CP$10,'P&amp;L by Ctn'!$C$8:$AG$31,'P&amp;L TOTAL 150'!$A29,0)</f>
        <v>0</v>
      </c>
      <c r="CQ29" s="889">
        <f>CQ$16*HLOOKUP(CQ$10,'P&amp;L by Ctn'!$C$8:$AG$31,'P&amp;L TOTAL 150'!$A29,0)</f>
        <v>0</v>
      </c>
      <c r="CR29" s="889">
        <f>CR$16*HLOOKUP(CR$10,'P&amp;L by Ctn'!$C$8:$AG$31,'P&amp;L TOTAL 150'!$A29,0)</f>
        <v>0</v>
      </c>
      <c r="CS29" s="889">
        <f>CS$16*HLOOKUP(CS$10,'P&amp;L by Ctn'!$C$8:$AG$31,'P&amp;L TOTAL 150'!$A29,0)</f>
        <v>0</v>
      </c>
      <c r="CT29" s="889">
        <f t="shared" ref="CT29" si="119">SUM(CM29:CS29)</f>
        <v>0</v>
      </c>
      <c r="CU29" s="1030">
        <f t="shared" ref="CU29:DA29" si="120">SUMIFS($C29:$CT29,$C$14:$CT$14,CU$14)</f>
        <v>0</v>
      </c>
      <c r="CV29" s="1030">
        <f t="shared" si="120"/>
        <v>0</v>
      </c>
      <c r="CW29" s="1030">
        <f t="shared" si="120"/>
        <v>0</v>
      </c>
      <c r="CX29" s="1030">
        <f t="shared" si="120"/>
        <v>0</v>
      </c>
      <c r="CY29" s="1030">
        <f t="shared" si="120"/>
        <v>0</v>
      </c>
      <c r="CZ29" s="1030">
        <f t="shared" si="120"/>
        <v>0</v>
      </c>
      <c r="DA29" s="1030">
        <f t="shared" si="120"/>
        <v>0</v>
      </c>
      <c r="DB29" s="1030">
        <f>SUM(CU29:DA29)</f>
        <v>0</v>
      </c>
      <c r="DC29" s="1030">
        <f>SUM(J29,R29)</f>
        <v>0</v>
      </c>
    </row>
    <row r="30" spans="1:109" x14ac:dyDescent="0.45">
      <c r="B30" s="1034" t="s">
        <v>166</v>
      </c>
      <c r="C30" s="889">
        <f t="shared" ref="C30:AH30" si="121">C27-C29</f>
        <v>65575.482706743162</v>
      </c>
      <c r="D30" s="889">
        <f t="shared" si="121"/>
        <v>23008.532538157851</v>
      </c>
      <c r="E30" s="889">
        <f t="shared" si="121"/>
        <v>35235.524846655433</v>
      </c>
      <c r="F30" s="889">
        <f t="shared" si="121"/>
        <v>0</v>
      </c>
      <c r="G30" s="889">
        <f t="shared" si="121"/>
        <v>0</v>
      </c>
      <c r="H30" s="889">
        <f t="shared" si="121"/>
        <v>1107.8858078520736</v>
      </c>
      <c r="I30" s="889">
        <f t="shared" si="121"/>
        <v>443.41709121018698</v>
      </c>
      <c r="J30" s="889">
        <f t="shared" si="121"/>
        <v>125370.8429906184</v>
      </c>
      <c r="K30" s="889">
        <f t="shared" si="121"/>
        <v>14385.371274703317</v>
      </c>
      <c r="L30" s="889">
        <f t="shared" si="121"/>
        <v>15658.53970584421</v>
      </c>
      <c r="M30" s="889">
        <f t="shared" si="121"/>
        <v>-7607.8587120806369</v>
      </c>
      <c r="N30" s="889">
        <f t="shared" si="121"/>
        <v>0</v>
      </c>
      <c r="O30" s="889">
        <f t="shared" si="121"/>
        <v>1230.0904755301697</v>
      </c>
      <c r="P30" s="889">
        <f t="shared" si="121"/>
        <v>785.78354894569736</v>
      </c>
      <c r="Q30" s="889">
        <f t="shared" si="121"/>
        <v>0</v>
      </c>
      <c r="R30" s="889">
        <f t="shared" si="121"/>
        <v>24451.926292942524</v>
      </c>
      <c r="S30" s="889">
        <f t="shared" si="121"/>
        <v>21284.601570730807</v>
      </c>
      <c r="T30" s="889">
        <f t="shared" si="121"/>
        <v>13249.533597252801</v>
      </c>
      <c r="U30" s="889">
        <f t="shared" si="121"/>
        <v>-11312.11400444229</v>
      </c>
      <c r="V30" s="889">
        <f t="shared" si="121"/>
        <v>1508.7606190385141</v>
      </c>
      <c r="W30" s="889">
        <f t="shared" si="121"/>
        <v>2510.9397327547376</v>
      </c>
      <c r="X30" s="889">
        <f t="shared" si="121"/>
        <v>2382.1648641722209</v>
      </c>
      <c r="Y30" s="889">
        <f t="shared" si="121"/>
        <v>543.39135254921325</v>
      </c>
      <c r="Z30" s="889">
        <f t="shared" si="121"/>
        <v>30167.277732056347</v>
      </c>
      <c r="AA30" s="889">
        <f t="shared" si="121"/>
        <v>-4989.2265208582467</v>
      </c>
      <c r="AB30" s="889">
        <f t="shared" si="121"/>
        <v>408.56854290078445</v>
      </c>
      <c r="AC30" s="889">
        <f t="shared" si="121"/>
        <v>-38744.725183089075</v>
      </c>
      <c r="AD30" s="889">
        <f t="shared" si="121"/>
        <v>0</v>
      </c>
      <c r="AE30" s="889">
        <f t="shared" si="121"/>
        <v>777.68540981826493</v>
      </c>
      <c r="AF30" s="889">
        <f t="shared" si="121"/>
        <v>758.33966361151056</v>
      </c>
      <c r="AG30" s="889">
        <f t="shared" si="121"/>
        <v>177.83251996927345</v>
      </c>
      <c r="AH30" s="889">
        <f t="shared" si="121"/>
        <v>-41611.525567647681</v>
      </c>
      <c r="AI30" s="889">
        <f t="shared" ref="AI30:BN30" si="122">AI27-AI29</f>
        <v>21111.341853119011</v>
      </c>
      <c r="AJ30" s="889">
        <f t="shared" si="122"/>
        <v>6114.7254884333852</v>
      </c>
      <c r="AK30" s="889">
        <f t="shared" si="122"/>
        <v>-21855.998821229728</v>
      </c>
      <c r="AL30" s="889">
        <f t="shared" si="122"/>
        <v>0</v>
      </c>
      <c r="AM30" s="889">
        <f t="shared" si="122"/>
        <v>777.68540981826493</v>
      </c>
      <c r="AN30" s="889">
        <f t="shared" si="122"/>
        <v>758.33966361151056</v>
      </c>
      <c r="AO30" s="889">
        <f t="shared" si="122"/>
        <v>177.83251996927345</v>
      </c>
      <c r="AP30" s="889">
        <f t="shared" si="122"/>
        <v>7083.9261137215617</v>
      </c>
      <c r="AQ30" s="889">
        <f t="shared" si="122"/>
        <v>33409.201181195232</v>
      </c>
      <c r="AR30" s="889">
        <f t="shared" si="122"/>
        <v>10191.209147388965</v>
      </c>
      <c r="AS30" s="889">
        <f t="shared" si="122"/>
        <v>-35764.361707466793</v>
      </c>
      <c r="AT30" s="889">
        <f t="shared" si="122"/>
        <v>0</v>
      </c>
      <c r="AU30" s="889">
        <f t="shared" si="122"/>
        <v>777.68540981826493</v>
      </c>
      <c r="AV30" s="889">
        <f t="shared" si="122"/>
        <v>1516.6793272230211</v>
      </c>
      <c r="AW30" s="889">
        <f t="shared" si="122"/>
        <v>177.83251996927345</v>
      </c>
      <c r="AX30" s="889">
        <f t="shared" si="122"/>
        <v>10308.245878128168</v>
      </c>
      <c r="AY30" s="889" t="e">
        <f t="shared" si="122"/>
        <v>#REF!</v>
      </c>
      <c r="AZ30" s="889" t="e">
        <f t="shared" si="122"/>
        <v>#REF!</v>
      </c>
      <c r="BA30" s="889" t="e">
        <f t="shared" si="122"/>
        <v>#REF!</v>
      </c>
      <c r="BB30" s="889">
        <f t="shared" si="122"/>
        <v>0</v>
      </c>
      <c r="BC30" s="889">
        <f t="shared" si="122"/>
        <v>0</v>
      </c>
      <c r="BD30" s="889">
        <f t="shared" si="122"/>
        <v>855.69177628756665</v>
      </c>
      <c r="BE30" s="889">
        <f t="shared" si="122"/>
        <v>0</v>
      </c>
      <c r="BF30" s="889" t="e">
        <f t="shared" si="122"/>
        <v>#REF!</v>
      </c>
      <c r="BG30" s="889" t="e">
        <f t="shared" si="122"/>
        <v>#REF!</v>
      </c>
      <c r="BH30" s="889" t="e">
        <f t="shared" si="122"/>
        <v>#REF!</v>
      </c>
      <c r="BI30" s="889" t="e">
        <f t="shared" si="122"/>
        <v>#REF!</v>
      </c>
      <c r="BJ30" s="889">
        <f t="shared" si="122"/>
        <v>0</v>
      </c>
      <c r="BK30" s="889">
        <f t="shared" si="122"/>
        <v>850.02343798727873</v>
      </c>
      <c r="BL30" s="889">
        <f t="shared" si="122"/>
        <v>1711.3835525751333</v>
      </c>
      <c r="BM30" s="889">
        <f t="shared" si="122"/>
        <v>374.73392841997781</v>
      </c>
      <c r="BN30" s="889" t="e">
        <f t="shared" si="122"/>
        <v>#REF!</v>
      </c>
      <c r="BO30" s="889" t="e">
        <f t="shared" ref="BO30:CT30" si="123">BO27-BO29</f>
        <v>#REF!</v>
      </c>
      <c r="BP30" s="889" t="e">
        <f t="shared" si="123"/>
        <v>#REF!</v>
      </c>
      <c r="BQ30" s="889" t="e">
        <f t="shared" si="123"/>
        <v>#REF!</v>
      </c>
      <c r="BR30" s="889">
        <f t="shared" si="123"/>
        <v>0</v>
      </c>
      <c r="BS30" s="889">
        <f t="shared" si="123"/>
        <v>850.02343798727873</v>
      </c>
      <c r="BT30" s="889">
        <f t="shared" si="123"/>
        <v>855.69177628756665</v>
      </c>
      <c r="BU30" s="889">
        <f t="shared" si="123"/>
        <v>374.73392841997781</v>
      </c>
      <c r="BV30" s="889" t="e">
        <f t="shared" si="123"/>
        <v>#REF!</v>
      </c>
      <c r="BW30" s="889" t="e">
        <f t="shared" si="123"/>
        <v>#REF!</v>
      </c>
      <c r="BX30" s="889" t="e">
        <f t="shared" si="123"/>
        <v>#REF!</v>
      </c>
      <c r="BY30" s="889" t="e">
        <f t="shared" si="123"/>
        <v>#REF!</v>
      </c>
      <c r="BZ30" s="889">
        <f t="shared" si="123"/>
        <v>0</v>
      </c>
      <c r="CA30" s="889">
        <f t="shared" si="123"/>
        <v>850.02343798727873</v>
      </c>
      <c r="CB30" s="889">
        <f t="shared" si="123"/>
        <v>855.69177628756665</v>
      </c>
      <c r="CC30" s="889">
        <f t="shared" si="123"/>
        <v>0</v>
      </c>
      <c r="CD30" s="889" t="e">
        <f t="shared" si="123"/>
        <v>#REF!</v>
      </c>
      <c r="CE30" s="889" t="e">
        <f t="shared" si="123"/>
        <v>#REF!</v>
      </c>
      <c r="CF30" s="889" t="e">
        <f t="shared" si="123"/>
        <v>#REF!</v>
      </c>
      <c r="CG30" s="889" t="e">
        <f t="shared" si="123"/>
        <v>#REF!</v>
      </c>
      <c r="CH30" s="889">
        <f t="shared" si="123"/>
        <v>0</v>
      </c>
      <c r="CI30" s="889">
        <f t="shared" si="123"/>
        <v>0</v>
      </c>
      <c r="CJ30" s="889">
        <f t="shared" si="123"/>
        <v>855.69177628756665</v>
      </c>
      <c r="CK30" s="889">
        <f t="shared" si="123"/>
        <v>374.73392841997781</v>
      </c>
      <c r="CL30" s="889" t="e">
        <f t="shared" si="123"/>
        <v>#REF!</v>
      </c>
      <c r="CM30" s="889" t="e">
        <f t="shared" si="123"/>
        <v>#REF!</v>
      </c>
      <c r="CN30" s="889" t="e">
        <f t="shared" si="123"/>
        <v>#REF!</v>
      </c>
      <c r="CO30" s="889" t="e">
        <f t="shared" si="123"/>
        <v>#REF!</v>
      </c>
      <c r="CP30" s="889">
        <f t="shared" si="123"/>
        <v>0</v>
      </c>
      <c r="CQ30" s="889">
        <f t="shared" si="123"/>
        <v>850.02343798727873</v>
      </c>
      <c r="CR30" s="889">
        <f t="shared" si="123"/>
        <v>855.69177628756665</v>
      </c>
      <c r="CS30" s="889">
        <f t="shared" si="123"/>
        <v>374.73392841997781</v>
      </c>
      <c r="CT30" s="889" t="e">
        <f t="shared" si="123"/>
        <v>#REF!</v>
      </c>
      <c r="CU30" s="1030" t="e">
        <f t="shared" ref="CU30:DC30" si="124">CU27-CU29</f>
        <v>#REF!</v>
      </c>
      <c r="CV30" s="1030" t="e">
        <f t="shared" si="124"/>
        <v>#REF!</v>
      </c>
      <c r="CW30" s="1030" t="e">
        <f t="shared" si="124"/>
        <v>#REF!</v>
      </c>
      <c r="CX30" s="1030">
        <f t="shared" si="124"/>
        <v>1508.7606190385141</v>
      </c>
      <c r="CY30" s="1030">
        <f t="shared" si="124"/>
        <v>9474.1801896888192</v>
      </c>
      <c r="CZ30" s="1030">
        <f t="shared" si="124"/>
        <v>13299.035309429015</v>
      </c>
      <c r="DA30" s="1030">
        <f t="shared" si="124"/>
        <v>3019.2417173471481</v>
      </c>
      <c r="DB30" s="1030" t="e">
        <f t="shared" si="124"/>
        <v>#REF!</v>
      </c>
      <c r="DC30" s="1030">
        <f t="shared" si="124"/>
        <v>149822.76928356074</v>
      </c>
    </row>
    <row r="31" spans="1:109" x14ac:dyDescent="0.45">
      <c r="B31" s="1035" t="s">
        <v>167</v>
      </c>
      <c r="C31" s="891">
        <f t="shared" ref="C31:AH31" si="125">IFERROR(C30/C$18,0)</f>
        <v>4.408954045234504E-2</v>
      </c>
      <c r="D31" s="891">
        <f t="shared" si="125"/>
        <v>6.2761710317652541E-2</v>
      </c>
      <c r="E31" s="891">
        <f t="shared" si="125"/>
        <v>4.351745320371378E-2</v>
      </c>
      <c r="F31" s="891">
        <f t="shared" si="125"/>
        <v>0</v>
      </c>
      <c r="G31" s="891">
        <f t="shared" si="125"/>
        <v>0</v>
      </c>
      <c r="H31" s="891">
        <f t="shared" si="125"/>
        <v>0.11177217593342147</v>
      </c>
      <c r="I31" s="891">
        <f t="shared" si="125"/>
        <v>6.2323198292318402E-2</v>
      </c>
      <c r="J31" s="891">
        <f t="shared" si="125"/>
        <v>4.6768986380568749E-2</v>
      </c>
      <c r="K31" s="891">
        <f t="shared" si="125"/>
        <v>2.0131924105160216E-2</v>
      </c>
      <c r="L31" s="891">
        <f t="shared" si="125"/>
        <v>5.2569486833678805E-2</v>
      </c>
      <c r="M31" s="891">
        <f t="shared" si="125"/>
        <v>-8.9370118093462965E-3</v>
      </c>
      <c r="N31" s="891">
        <f t="shared" si="125"/>
        <v>0</v>
      </c>
      <c r="O31" s="891">
        <f t="shared" si="125"/>
        <v>0.24106564254557758</v>
      </c>
      <c r="P31" s="891">
        <f t="shared" si="125"/>
        <v>8.0110467587174453E-2</v>
      </c>
      <c r="Q31" s="891">
        <f t="shared" si="125"/>
        <v>0</v>
      </c>
      <c r="R31" s="891">
        <f t="shared" si="125"/>
        <v>1.301599647874201E-2</v>
      </c>
      <c r="S31" s="891">
        <f t="shared" si="125"/>
        <v>2.0131924105160182E-2</v>
      </c>
      <c r="T31" s="891">
        <f t="shared" si="125"/>
        <v>5.256948683367884E-2</v>
      </c>
      <c r="U31" s="891">
        <f t="shared" si="125"/>
        <v>-8.9370118093462288E-3</v>
      </c>
      <c r="V31" s="891">
        <f t="shared" si="125"/>
        <v>0.1642814262890368</v>
      </c>
      <c r="W31" s="891">
        <f t="shared" si="125"/>
        <v>0.24106564254557769</v>
      </c>
      <c r="X31" s="891">
        <f t="shared" si="125"/>
        <v>8.0110467587174494E-2</v>
      </c>
      <c r="Y31" s="891">
        <f t="shared" si="125"/>
        <v>3.742364686978053E-2</v>
      </c>
      <c r="Z31" s="891">
        <f t="shared" si="125"/>
        <v>1.1431715168934079E-2</v>
      </c>
      <c r="AA31" s="891">
        <f t="shared" si="125"/>
        <v>-6.1072678478753415E-3</v>
      </c>
      <c r="AB31" s="891">
        <f t="shared" si="125"/>
        <v>1.7831618242958116E-3</v>
      </c>
      <c r="AC31" s="891">
        <f t="shared" si="125"/>
        <v>-4.9054240228882558E-2</v>
      </c>
      <c r="AD31" s="891">
        <f t="shared" si="125"/>
        <v>0</v>
      </c>
      <c r="AE31" s="891">
        <f t="shared" si="125"/>
        <v>0.14465874438583795</v>
      </c>
      <c r="AF31" s="891">
        <f t="shared" si="125"/>
        <v>7.6507229985019229E-2</v>
      </c>
      <c r="AG31" s="891">
        <f t="shared" si="125"/>
        <v>2.4494837461332433E-2</v>
      </c>
      <c r="AH31" s="891">
        <f t="shared" si="125"/>
        <v>-2.2390556051860504E-2</v>
      </c>
      <c r="AI31" s="891">
        <f t="shared" ref="AI31:BN31" si="126">IFERROR(AI30/AI$18,0)</f>
        <v>4.3623034774940651E-2</v>
      </c>
      <c r="AJ31" s="891">
        <f t="shared" si="126"/>
        <v>4.4478644797309466E-2</v>
      </c>
      <c r="AK31" s="891">
        <f t="shared" si="126"/>
        <v>-4.9054240228882544E-2</v>
      </c>
      <c r="AL31" s="891">
        <f t="shared" si="126"/>
        <v>0</v>
      </c>
      <c r="AM31" s="891">
        <f t="shared" si="126"/>
        <v>0.14465874438583795</v>
      </c>
      <c r="AN31" s="891">
        <f t="shared" si="126"/>
        <v>7.6507229985019229E-2</v>
      </c>
      <c r="AO31" s="891">
        <f t="shared" si="126"/>
        <v>2.4494837461332433E-2</v>
      </c>
      <c r="AP31" s="891">
        <f t="shared" si="126"/>
        <v>6.5018747776783518E-3</v>
      </c>
      <c r="AQ31" s="891">
        <f t="shared" si="126"/>
        <v>4.3623034774940679E-2</v>
      </c>
      <c r="AR31" s="891">
        <f t="shared" si="126"/>
        <v>4.4478644797309425E-2</v>
      </c>
      <c r="AS31" s="891">
        <f t="shared" si="126"/>
        <v>-4.9054240228882488E-2</v>
      </c>
      <c r="AT31" s="891">
        <f t="shared" si="126"/>
        <v>0</v>
      </c>
      <c r="AU31" s="891">
        <f t="shared" si="126"/>
        <v>0.14465874438583795</v>
      </c>
      <c r="AV31" s="891">
        <f t="shared" si="126"/>
        <v>7.6507229985019229E-2</v>
      </c>
      <c r="AW31" s="891">
        <f t="shared" si="126"/>
        <v>2.4494837461332433E-2</v>
      </c>
      <c r="AX31" s="891">
        <f t="shared" si="126"/>
        <v>5.8685441311403918E-3</v>
      </c>
      <c r="AY31" s="891">
        <f t="shared" si="126"/>
        <v>0</v>
      </c>
      <c r="AZ31" s="891">
        <f t="shared" si="126"/>
        <v>0</v>
      </c>
      <c r="BA31" s="891">
        <f t="shared" si="126"/>
        <v>0</v>
      </c>
      <c r="BB31" s="891">
        <f t="shared" si="126"/>
        <v>0</v>
      </c>
      <c r="BC31" s="891">
        <f t="shared" si="126"/>
        <v>0</v>
      </c>
      <c r="BD31" s="891">
        <f t="shared" si="126"/>
        <v>8.2915869795306851E-2</v>
      </c>
      <c r="BE31" s="891">
        <f t="shared" si="126"/>
        <v>0</v>
      </c>
      <c r="BF31" s="891">
        <f t="shared" si="126"/>
        <v>0</v>
      </c>
      <c r="BG31" s="891">
        <f t="shared" si="126"/>
        <v>0</v>
      </c>
      <c r="BH31" s="891">
        <f t="shared" si="126"/>
        <v>0</v>
      </c>
      <c r="BI31" s="891">
        <f t="shared" si="126"/>
        <v>0</v>
      </c>
      <c r="BJ31" s="891">
        <f t="shared" si="126"/>
        <v>0</v>
      </c>
      <c r="BK31" s="891">
        <f t="shared" si="126"/>
        <v>0.14757351353945811</v>
      </c>
      <c r="BL31" s="891">
        <f t="shared" si="126"/>
        <v>8.2915869795306851E-2</v>
      </c>
      <c r="BM31" s="891">
        <f t="shared" si="126"/>
        <v>5.1616243584018985E-2</v>
      </c>
      <c r="BN31" s="891">
        <f t="shared" si="126"/>
        <v>0</v>
      </c>
      <c r="BO31" s="891">
        <f t="shared" ref="BO31:CT31" si="127">IFERROR(BO30/BO$18,0)</f>
        <v>0</v>
      </c>
      <c r="BP31" s="891">
        <f t="shared" si="127"/>
        <v>0</v>
      </c>
      <c r="BQ31" s="891">
        <f t="shared" si="127"/>
        <v>0</v>
      </c>
      <c r="BR31" s="891">
        <f t="shared" si="127"/>
        <v>0</v>
      </c>
      <c r="BS31" s="891">
        <f t="shared" si="127"/>
        <v>0.14757351353945811</v>
      </c>
      <c r="BT31" s="891">
        <f t="shared" si="127"/>
        <v>8.2915869795306851E-2</v>
      </c>
      <c r="BU31" s="891">
        <f t="shared" si="127"/>
        <v>5.1616243584018985E-2</v>
      </c>
      <c r="BV31" s="891">
        <f t="shared" si="127"/>
        <v>0</v>
      </c>
      <c r="BW31" s="891">
        <f t="shared" si="127"/>
        <v>0</v>
      </c>
      <c r="BX31" s="891">
        <f t="shared" si="127"/>
        <v>0</v>
      </c>
      <c r="BY31" s="891">
        <f t="shared" si="127"/>
        <v>0</v>
      </c>
      <c r="BZ31" s="891">
        <f t="shared" si="127"/>
        <v>0</v>
      </c>
      <c r="CA31" s="891">
        <f t="shared" si="127"/>
        <v>0.14757351353945811</v>
      </c>
      <c r="CB31" s="891">
        <f t="shared" si="127"/>
        <v>8.2915869795306851E-2</v>
      </c>
      <c r="CC31" s="891">
        <f t="shared" si="127"/>
        <v>0</v>
      </c>
      <c r="CD31" s="891">
        <f t="shared" si="127"/>
        <v>0</v>
      </c>
      <c r="CE31" s="891">
        <f t="shared" si="127"/>
        <v>0</v>
      </c>
      <c r="CF31" s="891">
        <f t="shared" si="127"/>
        <v>0</v>
      </c>
      <c r="CG31" s="891">
        <f t="shared" si="127"/>
        <v>0</v>
      </c>
      <c r="CH31" s="891">
        <f t="shared" si="127"/>
        <v>0</v>
      </c>
      <c r="CI31" s="891">
        <f t="shared" si="127"/>
        <v>0</v>
      </c>
      <c r="CJ31" s="891">
        <f t="shared" si="127"/>
        <v>8.2915869795306851E-2</v>
      </c>
      <c r="CK31" s="891">
        <f t="shared" si="127"/>
        <v>5.1616243584018985E-2</v>
      </c>
      <c r="CL31" s="891">
        <f t="shared" si="127"/>
        <v>0</v>
      </c>
      <c r="CM31" s="891">
        <f t="shared" si="127"/>
        <v>0</v>
      </c>
      <c r="CN31" s="891">
        <f t="shared" si="127"/>
        <v>0</v>
      </c>
      <c r="CO31" s="891">
        <f t="shared" si="127"/>
        <v>0</v>
      </c>
      <c r="CP31" s="891">
        <f t="shared" si="127"/>
        <v>0</v>
      </c>
      <c r="CQ31" s="891">
        <f t="shared" si="127"/>
        <v>0.14757351353945811</v>
      </c>
      <c r="CR31" s="891">
        <f t="shared" si="127"/>
        <v>8.2915869795306851E-2</v>
      </c>
      <c r="CS31" s="891">
        <f t="shared" si="127"/>
        <v>5.1616243584018985E-2</v>
      </c>
      <c r="CT31" s="891">
        <f t="shared" si="127"/>
        <v>0</v>
      </c>
      <c r="CU31" s="1031">
        <f t="shared" ref="CU31:DC31" si="128">IFERROR(CU30/CU$18,0)</f>
        <v>0</v>
      </c>
      <c r="CV31" s="1031">
        <f t="shared" si="128"/>
        <v>0</v>
      </c>
      <c r="CW31" s="1031">
        <f t="shared" si="128"/>
        <v>0</v>
      </c>
      <c r="CX31" s="1031">
        <f t="shared" si="128"/>
        <v>0.1642814262890368</v>
      </c>
      <c r="CY31" s="1031">
        <f t="shared" si="128"/>
        <v>0.17324462300333279</v>
      </c>
      <c r="CZ31" s="1031">
        <f t="shared" si="128"/>
        <v>8.2426204195854003E-2</v>
      </c>
      <c r="DA31" s="1031">
        <f t="shared" si="128"/>
        <v>4.1670692864339533E-2</v>
      </c>
      <c r="DB31" s="1031">
        <f t="shared" si="128"/>
        <v>0</v>
      </c>
      <c r="DC31" s="1031">
        <f t="shared" si="128"/>
        <v>3.2861301432932651E-2</v>
      </c>
    </row>
    <row r="32" spans="1:109" x14ac:dyDescent="0.45">
      <c r="A32">
        <v>21</v>
      </c>
      <c r="B32" s="1034" t="s">
        <v>97</v>
      </c>
      <c r="C32" s="889">
        <f>C$16*'Pricing Structure - GSS'!O96</f>
        <v>3627.0496034963003</v>
      </c>
      <c r="D32" s="1071">
        <f>D$16*'Pricing Structure - GSS'!O96</f>
        <v>894.79452411404975</v>
      </c>
      <c r="E32" s="1071">
        <f>E$16*'Pricing Structure - GSS'!O96</f>
        <v>1984.3466688672979</v>
      </c>
      <c r="F32" s="889">
        <f>F$16*'Pricing Structure - GSS'!O96</f>
        <v>0</v>
      </c>
      <c r="G32" s="889">
        <f>G$16*'Pricing Structure - GSS'!O96</f>
        <v>0</v>
      </c>
      <c r="H32" s="1071">
        <f>H$16*'Pricing Structure - GSS'!O96</f>
        <v>33.554794654276861</v>
      </c>
      <c r="I32" s="1071">
        <f>I$16*'Pricing Structure - GSS'!O96</f>
        <v>16.441849380595663</v>
      </c>
      <c r="J32" s="889">
        <f>SUM(C32:I32)</f>
        <v>6556.1874405125209</v>
      </c>
      <c r="K32" s="1071">
        <f>K$16*'Pricing Structure - GSS'!U96</f>
        <v>1604.2273497510691</v>
      </c>
      <c r="L32" s="1071">
        <f>L$16*'Pricing Structure - GSS'!U96</f>
        <v>669.31297137285355</v>
      </c>
      <c r="M32" s="1071">
        <f>M$16*'Pricing Structure - GSS'!U96</f>
        <v>1920.6707997741769</v>
      </c>
      <c r="N32" s="889">
        <f>N$16*'Pricing Structure - GSS'!U96</f>
        <v>0</v>
      </c>
      <c r="O32" s="1071">
        <f>O$16*'Pricing Structure - GSS'!U96</f>
        <v>14.660528353724619</v>
      </c>
      <c r="P32" s="1071">
        <f>P$16*'Pricing Structure - GSS'!U96</f>
        <v>30.569582827125522</v>
      </c>
      <c r="Q32" s="889">
        <f>Q$16*'Pricing Structure - GSS'!U96</f>
        <v>0</v>
      </c>
      <c r="R32" s="889">
        <f t="shared" ref="R32" si="129">SUM(K32:Q32)</f>
        <v>4239.4412320789497</v>
      </c>
      <c r="S32" s="889">
        <f>S$16*HLOOKUP(S$10,'P&amp;L by Ctn'!$C$8:$AG$31,'P&amp;L TOTAL 150'!$A32,0)</f>
        <v>-831.61741194765727</v>
      </c>
      <c r="T32" s="889">
        <f>T$16*HLOOKUP(T$10,'P&amp;L by Ctn'!$C$8:$AG$31,'P&amp;L TOTAL 150'!$A32,0)</f>
        <v>1191.3548592836439</v>
      </c>
      <c r="U32" s="889">
        <f>U$16*HLOOKUP(U$10,'P&amp;L by Ctn'!$C$8:$AG$31,'P&amp;L TOTAL 150'!$A32,0)</f>
        <v>-1994.0535379604114</v>
      </c>
      <c r="V32" s="889">
        <f>V$16*HLOOKUP(V$10,'P&amp;L by Ctn'!$C$8:$AG$31,'P&amp;L TOTAL 150'!$A32,0)</f>
        <v>-10.643685371316082</v>
      </c>
      <c r="W32" s="889">
        <f>W$16*HLOOKUP(W$10,'P&amp;L by Ctn'!$C$8:$AG$31,'P&amp;L TOTAL 150'!$A32,0)</f>
        <v>61.86653137207476</v>
      </c>
      <c r="X32" s="889">
        <f>X$16*HLOOKUP(X$10,'P&amp;L by Ctn'!$C$8:$AG$31,'P&amp;L TOTAL 150'!$A32,0)</f>
        <v>59.141462129970137</v>
      </c>
      <c r="Y32" s="889">
        <f>Y$16*HLOOKUP(Y$10,'P&amp;L by Ctn'!$C$8:$AG$31,'P&amp;L TOTAL 150'!$A32,0)</f>
        <v>-572.99457543751112</v>
      </c>
      <c r="Z32" s="889">
        <f t="shared" ref="Z32" si="130">SUM(S32:Y32)</f>
        <v>-2096.9463579312069</v>
      </c>
      <c r="AA32" s="889">
        <f>AA$16*HLOOKUP(AA$10,'P&amp;L by Ctn'!$C$8:$AG$31,'P&amp;L TOTAL 150'!$A32,0)</f>
        <v>-642.58352726666442</v>
      </c>
      <c r="AB32" s="889">
        <f>AB$16*HLOOKUP(AB$10,'P&amp;L by Ctn'!$C$8:$AG$31,'P&amp;L TOTAL 150'!$A32,0)</f>
        <v>1083.0498720760399</v>
      </c>
      <c r="AC32" s="889">
        <f>AC$16*HLOOKUP(AC$10,'P&amp;L by Ctn'!$C$8:$AG$31,'P&amp;L TOTAL 150'!$A32,0)</f>
        <v>-1244.2894076872967</v>
      </c>
      <c r="AD32" s="889">
        <f>AD$16*HLOOKUP(AD$10,'P&amp;L by Ctn'!$C$8:$AG$31,'P&amp;L TOTAL 150'!$A32,0)</f>
        <v>0</v>
      </c>
      <c r="AE32" s="889">
        <f>AE$16*HLOOKUP(AE$10,'P&amp;L by Ctn'!$C$8:$AG$31,'P&amp;L TOTAL 150'!$A32,0)</f>
        <v>31.931112966232135</v>
      </c>
      <c r="AF32" s="889">
        <f>AF$16*HLOOKUP(AF$10,'P&amp;L by Ctn'!$C$8:$AG$31,'P&amp;L TOTAL 150'!$A32,0)</f>
        <v>19.713820709990046</v>
      </c>
      <c r="AG32" s="889">
        <f>AG$16*HLOOKUP(AG$10,'P&amp;L by Ctn'!$C$8:$AG$31,'P&amp;L TOTAL 150'!$A32,0)</f>
        <v>-286.49728771875556</v>
      </c>
      <c r="AH32" s="889">
        <f t="shared" ref="AH32" si="131">SUM(AA32:AG32)</f>
        <v>-1038.6754169204546</v>
      </c>
      <c r="AI32" s="889">
        <f>AI$16*HLOOKUP(AI$10,'P&amp;L by Ctn'!$C$8:$AG$31,'P&amp;L TOTAL 150'!$A32,0)</f>
        <v>-380.66530544615608</v>
      </c>
      <c r="AJ32" s="889">
        <f>AJ$16*HLOOKUP(AJ$10,'P&amp;L by Ctn'!$C$8:$AG$31,'P&amp;L TOTAL 150'!$A32,0)</f>
        <v>649.82992324562395</v>
      </c>
      <c r="AK32" s="889">
        <f>AK$16*HLOOKUP(AK$10,'P&amp;L by Ctn'!$C$8:$AG$31,'P&amp;L TOTAL 150'!$A32,0)</f>
        <v>-701.90684536206481</v>
      </c>
      <c r="AL32" s="889">
        <f>AL$16*HLOOKUP(AL$10,'P&amp;L by Ctn'!$C$8:$AG$31,'P&amp;L TOTAL 150'!$A32,0)</f>
        <v>0</v>
      </c>
      <c r="AM32" s="889">
        <f>AM$16*HLOOKUP(AM$10,'P&amp;L by Ctn'!$C$8:$AG$31,'P&amp;L TOTAL 150'!$A32,0)</f>
        <v>31.931112966232135</v>
      </c>
      <c r="AN32" s="889">
        <f>AN$16*HLOOKUP(AN$10,'P&amp;L by Ctn'!$C$8:$AG$31,'P&amp;L TOTAL 150'!$A32,0)</f>
        <v>19.713820709990046</v>
      </c>
      <c r="AO32" s="889">
        <f>AO$16*HLOOKUP(AO$10,'P&amp;L by Ctn'!$C$8:$AG$31,'P&amp;L TOTAL 150'!$A32,0)</f>
        <v>-286.49728771875556</v>
      </c>
      <c r="AP32" s="889">
        <f t="shared" ref="AP32" si="132">SUM(AI32:AO32)</f>
        <v>-667.59458160513032</v>
      </c>
      <c r="AQ32" s="889">
        <f>AQ$16*HLOOKUP(AQ$10,'P&amp;L by Ctn'!$C$8:$AG$31,'P&amp;L TOTAL 150'!$A32,0)</f>
        <v>-602.41191018716904</v>
      </c>
      <c r="AR32" s="889">
        <f>AR$16*HLOOKUP(AR$10,'P&amp;L by Ctn'!$C$8:$AG$31,'P&amp;L TOTAL 150'!$A32,0)</f>
        <v>1083.0498720760399</v>
      </c>
      <c r="AS32" s="889">
        <f>AS$16*HLOOKUP(AS$10,'P&amp;L by Ctn'!$C$8:$AG$31,'P&amp;L TOTAL 150'!$A32,0)</f>
        <v>-1148.574837865197</v>
      </c>
      <c r="AT32" s="889">
        <f>AT$16*HLOOKUP(AT$10,'P&amp;L by Ctn'!$C$8:$AG$31,'P&amp;L TOTAL 150'!$A32,0)</f>
        <v>0</v>
      </c>
      <c r="AU32" s="889">
        <f>AU$16*HLOOKUP(AU$10,'P&amp;L by Ctn'!$C$8:$AG$31,'P&amp;L TOTAL 150'!$A32,0)</f>
        <v>31.931112966232135</v>
      </c>
      <c r="AV32" s="889">
        <f>AV$16*HLOOKUP(AV$10,'P&amp;L by Ctn'!$C$8:$AG$31,'P&amp;L TOTAL 150'!$A32,0)</f>
        <v>39.427641419980091</v>
      </c>
      <c r="AW32" s="889">
        <f>AW$16*HLOOKUP(AW$10,'P&amp;L by Ctn'!$C$8:$AG$31,'P&amp;L TOTAL 150'!$A32,0)</f>
        <v>-286.49728771875556</v>
      </c>
      <c r="AX32" s="889">
        <f t="shared" ref="AX32" si="133">SUM(AQ32:AW32)</f>
        <v>-883.07540930886944</v>
      </c>
      <c r="AY32" s="889" t="e">
        <f>AY$16*HLOOKUP(AY$10,'P&amp;L by Ctn'!$C$8:$AG$31,'P&amp;L TOTAL 150'!$A32,0)</f>
        <v>#REF!</v>
      </c>
      <c r="AZ32" s="889" t="e">
        <f>AZ$16*HLOOKUP(AZ$10,'P&amp;L by Ctn'!$C$8:$AG$31,'P&amp;L TOTAL 150'!$A32,0)</f>
        <v>#REF!</v>
      </c>
      <c r="BA32" s="889" t="e">
        <f>BA$16*HLOOKUP(BA$10,'P&amp;L by Ctn'!$C$8:$AG$31,'P&amp;L TOTAL 150'!$A32,0)</f>
        <v>#REF!</v>
      </c>
      <c r="BB32" s="889">
        <f>BB$16*HLOOKUP(BB$10,'P&amp;L by Ctn'!$C$8:$AG$31,'P&amp;L TOTAL 150'!$A32,0)</f>
        <v>0</v>
      </c>
      <c r="BC32" s="889">
        <f>BC$16*HLOOKUP(BC$10,'P&amp;L by Ctn'!$C$8:$AG$31,'P&amp;L TOTAL 150'!$A32,0)</f>
        <v>0</v>
      </c>
      <c r="BD32" s="889">
        <f>BD$16*HLOOKUP(BD$10,'P&amp;L by Ctn'!$C$8:$AG$31,'P&amp;L TOTAL 150'!$A32,0)</f>
        <v>-150</v>
      </c>
      <c r="BE32" s="889">
        <f>BE$16*HLOOKUP(BE$10,'P&amp;L by Ctn'!$C$8:$AG$31,'P&amp;L TOTAL 150'!$A32,0)</f>
        <v>0</v>
      </c>
      <c r="BF32" s="889" t="e">
        <f t="shared" ref="BF32" si="134">SUM(AY32:BE32)</f>
        <v>#REF!</v>
      </c>
      <c r="BG32" s="889" t="e">
        <f>BG$16*HLOOKUP(BG$10,'P&amp;L by Ctn'!$C$8:$AG$31,'P&amp;L TOTAL 150'!$A32,0)</f>
        <v>#REF!</v>
      </c>
      <c r="BH32" s="889" t="e">
        <f>BH$16*HLOOKUP(BH$10,'P&amp;L by Ctn'!$C$8:$AG$31,'P&amp;L TOTAL 150'!$A32,0)</f>
        <v>#REF!</v>
      </c>
      <c r="BI32" s="889" t="e">
        <f>BI$16*HLOOKUP(BI$10,'P&amp;L by Ctn'!$C$8:$AG$31,'P&amp;L TOTAL 150'!$A32,0)</f>
        <v>#REF!</v>
      </c>
      <c r="BJ32" s="889">
        <f>BJ$16*HLOOKUP(BJ$10,'P&amp;L by Ctn'!$C$8:$AG$31,'P&amp;L TOTAL 150'!$A32,0)</f>
        <v>0</v>
      </c>
      <c r="BK32" s="889">
        <f>BK$16*HLOOKUP(BK$10,'P&amp;L by Ctn'!$C$8:$AG$31,'P&amp;L TOTAL 150'!$A32,0)</f>
        <v>-72.874493927125499</v>
      </c>
      <c r="BL32" s="889">
        <f>BL$16*HLOOKUP(BL$10,'P&amp;L by Ctn'!$C$8:$AG$31,'P&amp;L TOTAL 150'!$A32,0)</f>
        <v>-300</v>
      </c>
      <c r="BM32" s="889">
        <f>BM$16*HLOOKUP(BM$10,'P&amp;L by Ctn'!$C$8:$AG$31,'P&amp;L TOTAL 150'!$A32,0)</f>
        <v>-150</v>
      </c>
      <c r="BN32" s="889" t="e">
        <f t="shared" ref="BN32" si="135">SUM(BG32:BM32)</f>
        <v>#REF!</v>
      </c>
      <c r="BO32" s="889" t="e">
        <f>BO$16*HLOOKUP(BO$10,'P&amp;L by Ctn'!$C$8:$AG$31,'P&amp;L TOTAL 150'!$A32,0)</f>
        <v>#REF!</v>
      </c>
      <c r="BP32" s="889" t="e">
        <f>BP$16*HLOOKUP(BP$10,'P&amp;L by Ctn'!$C$8:$AG$31,'P&amp;L TOTAL 150'!$A32,0)</f>
        <v>#REF!</v>
      </c>
      <c r="BQ32" s="889" t="e">
        <f>BQ$16*HLOOKUP(BQ$10,'P&amp;L by Ctn'!$C$8:$AG$31,'P&amp;L TOTAL 150'!$A32,0)</f>
        <v>#REF!</v>
      </c>
      <c r="BR32" s="889">
        <f>BR$16*HLOOKUP(BR$10,'P&amp;L by Ctn'!$C$8:$AG$31,'P&amp;L TOTAL 150'!$A32,0)</f>
        <v>0</v>
      </c>
      <c r="BS32" s="889">
        <f>BS$16*HLOOKUP(BS$10,'P&amp;L by Ctn'!$C$8:$AG$31,'P&amp;L TOTAL 150'!$A32,0)</f>
        <v>-72.874493927125499</v>
      </c>
      <c r="BT32" s="889">
        <f>BT$16*HLOOKUP(BT$10,'P&amp;L by Ctn'!$C$8:$AG$31,'P&amp;L TOTAL 150'!$A32,0)</f>
        <v>-150</v>
      </c>
      <c r="BU32" s="889">
        <f>BU$16*HLOOKUP(BU$10,'P&amp;L by Ctn'!$C$8:$AG$31,'P&amp;L TOTAL 150'!$A32,0)</f>
        <v>-150</v>
      </c>
      <c r="BV32" s="889" t="e">
        <f t="shared" ref="BV32" si="136">SUM(BO32:BU32)</f>
        <v>#REF!</v>
      </c>
      <c r="BW32" s="889" t="e">
        <f>BW$16*HLOOKUP(BW$10,'P&amp;L by Ctn'!$C$8:$AG$31,'P&amp;L TOTAL 150'!$A32,0)</f>
        <v>#REF!</v>
      </c>
      <c r="BX32" s="889" t="e">
        <f>BX$16*HLOOKUP(BX$10,'P&amp;L by Ctn'!$C$8:$AG$31,'P&amp;L TOTAL 150'!$A32,0)</f>
        <v>#REF!</v>
      </c>
      <c r="BY32" s="889" t="e">
        <f>BY$16*HLOOKUP(BY$10,'P&amp;L by Ctn'!$C$8:$AG$31,'P&amp;L TOTAL 150'!$A32,0)</f>
        <v>#REF!</v>
      </c>
      <c r="BZ32" s="889">
        <f>BZ$16*HLOOKUP(BZ$10,'P&amp;L by Ctn'!$C$8:$AG$31,'P&amp;L TOTAL 150'!$A32,0)</f>
        <v>0</v>
      </c>
      <c r="CA32" s="889">
        <f>CA$16*HLOOKUP(CA$10,'P&amp;L by Ctn'!$C$8:$AG$31,'P&amp;L TOTAL 150'!$A32,0)</f>
        <v>-72.874493927125499</v>
      </c>
      <c r="CB32" s="889">
        <f>CB$16*HLOOKUP(CB$10,'P&amp;L by Ctn'!$C$8:$AG$31,'P&amp;L TOTAL 150'!$A32,0)</f>
        <v>-150</v>
      </c>
      <c r="CC32" s="889">
        <f>CC$16*HLOOKUP(CC$10,'P&amp;L by Ctn'!$C$8:$AG$31,'P&amp;L TOTAL 150'!$A32,0)</f>
        <v>0</v>
      </c>
      <c r="CD32" s="889" t="e">
        <f t="shared" ref="CD32" si="137">SUM(BW32:CC32)</f>
        <v>#REF!</v>
      </c>
      <c r="CE32" s="889" t="e">
        <f>CE$16*HLOOKUP(CE$10,'P&amp;L by Ctn'!$C$8:$AG$31,'P&amp;L TOTAL 150'!$A32,0)</f>
        <v>#REF!</v>
      </c>
      <c r="CF32" s="889" t="e">
        <f>CF$16*HLOOKUP(CF$10,'P&amp;L by Ctn'!$C$8:$AG$31,'P&amp;L TOTAL 150'!$A32,0)</f>
        <v>#REF!</v>
      </c>
      <c r="CG32" s="889" t="e">
        <f>CG$16*HLOOKUP(CG$10,'P&amp;L by Ctn'!$C$8:$AG$31,'P&amp;L TOTAL 150'!$A32,0)</f>
        <v>#REF!</v>
      </c>
      <c r="CH32" s="889">
        <f>CH$16*HLOOKUP(CH$10,'P&amp;L by Ctn'!$C$8:$AG$31,'P&amp;L TOTAL 150'!$A32,0)</f>
        <v>0</v>
      </c>
      <c r="CI32" s="889">
        <f>CI$16*HLOOKUP(CI$10,'P&amp;L by Ctn'!$C$8:$AG$31,'P&amp;L TOTAL 150'!$A32,0)</f>
        <v>0</v>
      </c>
      <c r="CJ32" s="889">
        <f>CJ$16*HLOOKUP(CJ$10,'P&amp;L by Ctn'!$C$8:$AG$31,'P&amp;L TOTAL 150'!$A32,0)</f>
        <v>-150</v>
      </c>
      <c r="CK32" s="889">
        <f>CK$16*HLOOKUP(CK$10,'P&amp;L by Ctn'!$C$8:$AG$31,'P&amp;L TOTAL 150'!$A32,0)</f>
        <v>-150</v>
      </c>
      <c r="CL32" s="889" t="e">
        <f t="shared" ref="CL32" si="138">SUM(CE32:CK32)</f>
        <v>#REF!</v>
      </c>
      <c r="CM32" s="889" t="e">
        <f>CM$16*HLOOKUP(CM$10,'P&amp;L by Ctn'!$C$8:$AG$31,'P&amp;L TOTAL 150'!$A32,0)</f>
        <v>#REF!</v>
      </c>
      <c r="CN32" s="889" t="e">
        <f>CN$16*HLOOKUP(CN$10,'P&amp;L by Ctn'!$C$8:$AG$31,'P&amp;L TOTAL 150'!$A32,0)</f>
        <v>#REF!</v>
      </c>
      <c r="CO32" s="889" t="e">
        <f>CO$16*HLOOKUP(CO$10,'P&amp;L by Ctn'!$C$8:$AG$31,'P&amp;L TOTAL 150'!$A32,0)</f>
        <v>#REF!</v>
      </c>
      <c r="CP32" s="889">
        <f>CP$16*HLOOKUP(CP$10,'P&amp;L by Ctn'!$C$8:$AG$31,'P&amp;L TOTAL 150'!$A32,0)</f>
        <v>0</v>
      </c>
      <c r="CQ32" s="889">
        <f>CQ$16*HLOOKUP(CQ$10,'P&amp;L by Ctn'!$C$8:$AG$31,'P&amp;L TOTAL 150'!$A32,0)</f>
        <v>-72.874493927125499</v>
      </c>
      <c r="CR32" s="889">
        <f>CR$16*HLOOKUP(CR$10,'P&amp;L by Ctn'!$C$8:$AG$31,'P&amp;L TOTAL 150'!$A32,0)</f>
        <v>-150</v>
      </c>
      <c r="CS32" s="889">
        <f>CS$16*HLOOKUP(CS$10,'P&amp;L by Ctn'!$C$8:$AG$31,'P&amp;L TOTAL 150'!$A32,0)</f>
        <v>-150</v>
      </c>
      <c r="CT32" s="889" t="e">
        <f t="shared" ref="CT32" si="139">SUM(CM32:CS32)</f>
        <v>#REF!</v>
      </c>
      <c r="CU32" s="1030" t="e">
        <f t="shared" ref="CU32:DA32" si="140">SUMIFS($C32:$CT32,$C$14:$CT$14,CU$14)</f>
        <v>#REF!</v>
      </c>
      <c r="CV32" s="1030" t="e">
        <f t="shared" si="140"/>
        <v>#REF!</v>
      </c>
      <c r="CW32" s="1030" t="e">
        <f t="shared" si="140"/>
        <v>#REF!</v>
      </c>
      <c r="CX32" s="1030">
        <f t="shared" si="140"/>
        <v>-10.643685371316082</v>
      </c>
      <c r="CY32" s="1030">
        <f t="shared" si="140"/>
        <v>-119.1775770840062</v>
      </c>
      <c r="CZ32" s="1030">
        <f t="shared" si="140"/>
        <v>-847.87887754866733</v>
      </c>
      <c r="DA32" s="1030">
        <f t="shared" si="140"/>
        <v>-2016.0445892131822</v>
      </c>
      <c r="DB32" s="1030" t="e">
        <f>SUM(CU32:DA32)</f>
        <v>#REF!</v>
      </c>
      <c r="DC32" s="1030">
        <f>SUM(J32,R32)</f>
        <v>10795.628672591471</v>
      </c>
    </row>
    <row r="33" spans="1:107" x14ac:dyDescent="0.45">
      <c r="B33" s="1034" t="s">
        <v>168</v>
      </c>
      <c r="C33" s="889">
        <f t="shared" ref="C33:AH33" si="141">C30-C32</f>
        <v>61948.433103246862</v>
      </c>
      <c r="D33" s="889">
        <f t="shared" si="141"/>
        <v>22113.7380140438</v>
      </c>
      <c r="E33" s="889">
        <f t="shared" si="141"/>
        <v>33251.178177788133</v>
      </c>
      <c r="F33" s="889">
        <f t="shared" si="141"/>
        <v>0</v>
      </c>
      <c r="G33" s="889">
        <f t="shared" si="141"/>
        <v>0</v>
      </c>
      <c r="H33" s="889">
        <f t="shared" si="141"/>
        <v>1074.3310131977969</v>
      </c>
      <c r="I33" s="889">
        <f t="shared" si="141"/>
        <v>426.97524182959131</v>
      </c>
      <c r="J33" s="889">
        <f t="shared" si="141"/>
        <v>118814.65555010588</v>
      </c>
      <c r="K33" s="889">
        <f t="shared" si="141"/>
        <v>12781.143924952248</v>
      </c>
      <c r="L33" s="889">
        <f t="shared" si="141"/>
        <v>14989.226734471356</v>
      </c>
      <c r="M33" s="889">
        <f t="shared" si="141"/>
        <v>-9528.5295118548129</v>
      </c>
      <c r="N33" s="889">
        <f t="shared" si="141"/>
        <v>0</v>
      </c>
      <c r="O33" s="889">
        <f t="shared" si="141"/>
        <v>1215.429947176445</v>
      </c>
      <c r="P33" s="889">
        <f t="shared" si="141"/>
        <v>755.21396611857188</v>
      </c>
      <c r="Q33" s="889">
        <f t="shared" si="141"/>
        <v>0</v>
      </c>
      <c r="R33" s="889">
        <f t="shared" si="141"/>
        <v>20212.485060863575</v>
      </c>
      <c r="S33" s="889">
        <f t="shared" si="141"/>
        <v>22116.218982678463</v>
      </c>
      <c r="T33" s="889">
        <f t="shared" si="141"/>
        <v>12058.178737969158</v>
      </c>
      <c r="U33" s="889">
        <f t="shared" si="141"/>
        <v>-9318.0604664818784</v>
      </c>
      <c r="V33" s="889">
        <f t="shared" si="141"/>
        <v>1519.40430440983</v>
      </c>
      <c r="W33" s="889">
        <f t="shared" si="141"/>
        <v>2449.0732013826628</v>
      </c>
      <c r="X33" s="889">
        <f t="shared" si="141"/>
        <v>2323.0234020422508</v>
      </c>
      <c r="Y33" s="889">
        <f t="shared" si="141"/>
        <v>1116.3859279867243</v>
      </c>
      <c r="Z33" s="889">
        <f t="shared" si="141"/>
        <v>32264.224089987554</v>
      </c>
      <c r="AA33" s="889">
        <f t="shared" si="141"/>
        <v>-4346.6429935915821</v>
      </c>
      <c r="AB33" s="889">
        <f t="shared" si="141"/>
        <v>-674.4813291752555</v>
      </c>
      <c r="AC33" s="889">
        <f t="shared" si="141"/>
        <v>-37500.435775401776</v>
      </c>
      <c r="AD33" s="889">
        <f t="shared" si="141"/>
        <v>0</v>
      </c>
      <c r="AE33" s="889">
        <f t="shared" si="141"/>
        <v>745.75429685203278</v>
      </c>
      <c r="AF33" s="889">
        <f t="shared" si="141"/>
        <v>738.62584290152051</v>
      </c>
      <c r="AG33" s="889">
        <f t="shared" si="141"/>
        <v>464.32980768802901</v>
      </c>
      <c r="AH33" s="889">
        <f t="shared" si="141"/>
        <v>-40572.850150727223</v>
      </c>
      <c r="AI33" s="889">
        <f t="shared" ref="AI33:BN33" si="142">AI30-AI32</f>
        <v>21492.007158565168</v>
      </c>
      <c r="AJ33" s="889">
        <f t="shared" si="142"/>
        <v>5464.8955651877613</v>
      </c>
      <c r="AK33" s="889">
        <f t="shared" si="142"/>
        <v>-21154.091975867665</v>
      </c>
      <c r="AL33" s="889">
        <f t="shared" si="142"/>
        <v>0</v>
      </c>
      <c r="AM33" s="889">
        <f t="shared" si="142"/>
        <v>745.75429685203278</v>
      </c>
      <c r="AN33" s="889">
        <f t="shared" si="142"/>
        <v>738.62584290152051</v>
      </c>
      <c r="AO33" s="889">
        <f t="shared" si="142"/>
        <v>464.32980768802901</v>
      </c>
      <c r="AP33" s="889">
        <f t="shared" si="142"/>
        <v>7751.5206953266916</v>
      </c>
      <c r="AQ33" s="889">
        <f t="shared" si="142"/>
        <v>34011.613091382402</v>
      </c>
      <c r="AR33" s="889">
        <f t="shared" si="142"/>
        <v>9108.1592753129244</v>
      </c>
      <c r="AS33" s="889">
        <f t="shared" si="142"/>
        <v>-34615.786869601594</v>
      </c>
      <c r="AT33" s="889">
        <f t="shared" si="142"/>
        <v>0</v>
      </c>
      <c r="AU33" s="889">
        <f t="shared" si="142"/>
        <v>745.75429685203278</v>
      </c>
      <c r="AV33" s="889">
        <f t="shared" si="142"/>
        <v>1477.251685803041</v>
      </c>
      <c r="AW33" s="889">
        <f t="shared" si="142"/>
        <v>464.32980768802901</v>
      </c>
      <c r="AX33" s="889">
        <f t="shared" si="142"/>
        <v>11191.321287437037</v>
      </c>
      <c r="AY33" s="889" t="e">
        <f t="shared" si="142"/>
        <v>#REF!</v>
      </c>
      <c r="AZ33" s="889" t="e">
        <f t="shared" si="142"/>
        <v>#REF!</v>
      </c>
      <c r="BA33" s="889" t="e">
        <f t="shared" si="142"/>
        <v>#REF!</v>
      </c>
      <c r="BB33" s="889">
        <f t="shared" si="142"/>
        <v>0</v>
      </c>
      <c r="BC33" s="889">
        <f t="shared" si="142"/>
        <v>0</v>
      </c>
      <c r="BD33" s="889">
        <f t="shared" si="142"/>
        <v>1005.6917762875667</v>
      </c>
      <c r="BE33" s="889">
        <f t="shared" si="142"/>
        <v>0</v>
      </c>
      <c r="BF33" s="889" t="e">
        <f t="shared" si="142"/>
        <v>#REF!</v>
      </c>
      <c r="BG33" s="889" t="e">
        <f t="shared" si="142"/>
        <v>#REF!</v>
      </c>
      <c r="BH33" s="889" t="e">
        <f t="shared" si="142"/>
        <v>#REF!</v>
      </c>
      <c r="BI33" s="889" t="e">
        <f t="shared" si="142"/>
        <v>#REF!</v>
      </c>
      <c r="BJ33" s="889">
        <f t="shared" si="142"/>
        <v>0</v>
      </c>
      <c r="BK33" s="889">
        <f t="shared" si="142"/>
        <v>922.89793191440424</v>
      </c>
      <c r="BL33" s="889">
        <f t="shared" si="142"/>
        <v>2011.3835525751333</v>
      </c>
      <c r="BM33" s="889">
        <f t="shared" si="142"/>
        <v>524.73392841997781</v>
      </c>
      <c r="BN33" s="889" t="e">
        <f t="shared" si="142"/>
        <v>#REF!</v>
      </c>
      <c r="BO33" s="889" t="e">
        <f t="shared" ref="BO33:CT33" si="143">BO30-BO32</f>
        <v>#REF!</v>
      </c>
      <c r="BP33" s="889" t="e">
        <f t="shared" si="143"/>
        <v>#REF!</v>
      </c>
      <c r="BQ33" s="889" t="e">
        <f t="shared" si="143"/>
        <v>#REF!</v>
      </c>
      <c r="BR33" s="889">
        <f t="shared" si="143"/>
        <v>0</v>
      </c>
      <c r="BS33" s="889">
        <f t="shared" si="143"/>
        <v>922.89793191440424</v>
      </c>
      <c r="BT33" s="889">
        <f t="shared" si="143"/>
        <v>1005.6917762875667</v>
      </c>
      <c r="BU33" s="889">
        <f t="shared" si="143"/>
        <v>524.73392841997781</v>
      </c>
      <c r="BV33" s="889" t="e">
        <f t="shared" si="143"/>
        <v>#REF!</v>
      </c>
      <c r="BW33" s="889" t="e">
        <f t="shared" si="143"/>
        <v>#REF!</v>
      </c>
      <c r="BX33" s="889" t="e">
        <f t="shared" si="143"/>
        <v>#REF!</v>
      </c>
      <c r="BY33" s="889" t="e">
        <f t="shared" si="143"/>
        <v>#REF!</v>
      </c>
      <c r="BZ33" s="889">
        <f t="shared" si="143"/>
        <v>0</v>
      </c>
      <c r="CA33" s="889">
        <f t="shared" si="143"/>
        <v>922.89793191440424</v>
      </c>
      <c r="CB33" s="889">
        <f t="shared" si="143"/>
        <v>1005.6917762875667</v>
      </c>
      <c r="CC33" s="889">
        <f t="shared" si="143"/>
        <v>0</v>
      </c>
      <c r="CD33" s="889" t="e">
        <f t="shared" si="143"/>
        <v>#REF!</v>
      </c>
      <c r="CE33" s="889" t="e">
        <f t="shared" si="143"/>
        <v>#REF!</v>
      </c>
      <c r="CF33" s="889" t="e">
        <f t="shared" si="143"/>
        <v>#REF!</v>
      </c>
      <c r="CG33" s="889" t="e">
        <f t="shared" si="143"/>
        <v>#REF!</v>
      </c>
      <c r="CH33" s="889">
        <f t="shared" si="143"/>
        <v>0</v>
      </c>
      <c r="CI33" s="889">
        <f t="shared" si="143"/>
        <v>0</v>
      </c>
      <c r="CJ33" s="889">
        <f t="shared" si="143"/>
        <v>1005.6917762875667</v>
      </c>
      <c r="CK33" s="889">
        <f t="shared" si="143"/>
        <v>524.73392841997781</v>
      </c>
      <c r="CL33" s="889" t="e">
        <f t="shared" si="143"/>
        <v>#REF!</v>
      </c>
      <c r="CM33" s="889" t="e">
        <f t="shared" si="143"/>
        <v>#REF!</v>
      </c>
      <c r="CN33" s="889" t="e">
        <f t="shared" si="143"/>
        <v>#REF!</v>
      </c>
      <c r="CO33" s="889" t="e">
        <f t="shared" si="143"/>
        <v>#REF!</v>
      </c>
      <c r="CP33" s="889">
        <f t="shared" si="143"/>
        <v>0</v>
      </c>
      <c r="CQ33" s="889">
        <f t="shared" si="143"/>
        <v>922.89793191440424</v>
      </c>
      <c r="CR33" s="889">
        <f t="shared" si="143"/>
        <v>1005.6917762875667</v>
      </c>
      <c r="CS33" s="889">
        <f t="shared" si="143"/>
        <v>524.73392841997781</v>
      </c>
      <c r="CT33" s="889" t="e">
        <f t="shared" si="143"/>
        <v>#REF!</v>
      </c>
      <c r="CU33" s="1030" t="e">
        <f t="shared" ref="CU33:DC33" si="144">CU30-CU32</f>
        <v>#REF!</v>
      </c>
      <c r="CV33" s="1030" t="e">
        <f t="shared" si="144"/>
        <v>#REF!</v>
      </c>
      <c r="CW33" s="1030" t="e">
        <f t="shared" si="144"/>
        <v>#REF!</v>
      </c>
      <c r="CX33" s="1030">
        <f t="shared" si="144"/>
        <v>1519.40430440983</v>
      </c>
      <c r="CY33" s="1030">
        <f t="shared" si="144"/>
        <v>9593.3577667728259</v>
      </c>
      <c r="CZ33" s="1030">
        <f t="shared" si="144"/>
        <v>14146.914186977683</v>
      </c>
      <c r="DA33" s="1030">
        <f t="shared" si="144"/>
        <v>5035.2863065603306</v>
      </c>
      <c r="DB33" s="1030" t="e">
        <f t="shared" si="144"/>
        <v>#REF!</v>
      </c>
      <c r="DC33" s="1030">
        <f t="shared" si="144"/>
        <v>139027.14061096928</v>
      </c>
    </row>
    <row r="34" spans="1:107" x14ac:dyDescent="0.45">
      <c r="B34" s="1035" t="s">
        <v>169</v>
      </c>
      <c r="C34" s="891">
        <f t="shared" ref="C34:AH34" si="145">IFERROR(C33/C$18,0)</f>
        <v>4.1650901137539539E-2</v>
      </c>
      <c r="D34" s="891">
        <f t="shared" si="145"/>
        <v>6.0320927333203933E-2</v>
      </c>
      <c r="E34" s="891">
        <f t="shared" si="145"/>
        <v>4.1066696086338964E-2</v>
      </c>
      <c r="F34" s="891">
        <f t="shared" si="145"/>
        <v>0</v>
      </c>
      <c r="G34" s="891">
        <f t="shared" si="145"/>
        <v>0</v>
      </c>
      <c r="H34" s="891">
        <f t="shared" si="145"/>
        <v>0.10838690609340162</v>
      </c>
      <c r="I34" s="891">
        <f t="shared" si="145"/>
        <v>6.0012262021362693E-2</v>
      </c>
      <c r="J34" s="891">
        <f t="shared" si="145"/>
        <v>4.4323232377489016E-2</v>
      </c>
      <c r="K34" s="891">
        <f t="shared" si="145"/>
        <v>1.7886852870231184E-2</v>
      </c>
      <c r="L34" s="891">
        <f t="shared" si="145"/>
        <v>5.0322442083837703E-2</v>
      </c>
      <c r="M34" s="891">
        <f t="shared" si="145"/>
        <v>-1.1193238990877907E-2</v>
      </c>
      <c r="N34" s="891">
        <f t="shared" si="145"/>
        <v>0</v>
      </c>
      <c r="O34" s="891">
        <f t="shared" si="145"/>
        <v>0.23819256145280263</v>
      </c>
      <c r="P34" s="891">
        <f t="shared" si="145"/>
        <v>7.6993905045859248E-2</v>
      </c>
      <c r="Q34" s="891">
        <f t="shared" si="145"/>
        <v>0</v>
      </c>
      <c r="R34" s="891">
        <f t="shared" si="145"/>
        <v>1.0759300973958819E-2</v>
      </c>
      <c r="S34" s="891">
        <f t="shared" si="145"/>
        <v>2.0918504890627295E-2</v>
      </c>
      <c r="T34" s="891">
        <f t="shared" si="145"/>
        <v>4.7842609987060143E-2</v>
      </c>
      <c r="U34" s="891">
        <f t="shared" si="145"/>
        <v>-7.3616316451945467E-3</v>
      </c>
      <c r="V34" s="891">
        <f t="shared" si="145"/>
        <v>0.16544036415612262</v>
      </c>
      <c r="W34" s="891">
        <f t="shared" si="145"/>
        <v>0.23512607540156127</v>
      </c>
      <c r="X34" s="891">
        <f t="shared" si="145"/>
        <v>7.8121583334754205E-2</v>
      </c>
      <c r="Y34" s="891">
        <f t="shared" si="145"/>
        <v>7.6886083194677976E-2</v>
      </c>
      <c r="Z34" s="891">
        <f t="shared" si="145"/>
        <v>1.2226340845845273E-2</v>
      </c>
      <c r="AA34" s="891">
        <f t="shared" si="145"/>
        <v>-5.3206870624082289E-3</v>
      </c>
      <c r="AB34" s="891">
        <f t="shared" si="145"/>
        <v>-2.9437150223228874E-3</v>
      </c>
      <c r="AC34" s="891">
        <f t="shared" si="145"/>
        <v>-4.7478860064730871E-2</v>
      </c>
      <c r="AD34" s="891">
        <f t="shared" si="145"/>
        <v>0</v>
      </c>
      <c r="AE34" s="891">
        <f t="shared" si="145"/>
        <v>0.13871917724182156</v>
      </c>
      <c r="AF34" s="891">
        <f t="shared" si="145"/>
        <v>7.4518345732598926E-2</v>
      </c>
      <c r="AG34" s="891">
        <f t="shared" si="145"/>
        <v>6.3957273786229896E-2</v>
      </c>
      <c r="AH34" s="891">
        <f t="shared" si="145"/>
        <v>-2.1831659932936936E-2</v>
      </c>
      <c r="AI34" s="891">
        <f t="shared" ref="AI34:BN34" si="146">IFERROR(AI33/AI$18,0)</f>
        <v>4.4409615560407761E-2</v>
      </c>
      <c r="AJ34" s="891">
        <f t="shared" si="146"/>
        <v>3.975176795069077E-2</v>
      </c>
      <c r="AK34" s="891">
        <f t="shared" si="146"/>
        <v>-4.7478860064730864E-2</v>
      </c>
      <c r="AL34" s="891">
        <f t="shared" si="146"/>
        <v>0</v>
      </c>
      <c r="AM34" s="891">
        <f t="shared" si="146"/>
        <v>0.13871917724182156</v>
      </c>
      <c r="AN34" s="891">
        <f t="shared" si="146"/>
        <v>7.4518345732598926E-2</v>
      </c>
      <c r="AO34" s="891">
        <f t="shared" si="146"/>
        <v>6.3957273786229896E-2</v>
      </c>
      <c r="AP34" s="891">
        <f t="shared" si="146"/>
        <v>7.1146163989447503E-3</v>
      </c>
      <c r="AQ34" s="891">
        <f t="shared" si="146"/>
        <v>4.4409615560407789E-2</v>
      </c>
      <c r="AR34" s="891">
        <f t="shared" si="146"/>
        <v>3.9751767950690721E-2</v>
      </c>
      <c r="AS34" s="891">
        <f t="shared" si="146"/>
        <v>-4.7478860064730809E-2</v>
      </c>
      <c r="AT34" s="891">
        <f t="shared" si="146"/>
        <v>0</v>
      </c>
      <c r="AU34" s="891">
        <f t="shared" si="146"/>
        <v>0.13871917724182156</v>
      </c>
      <c r="AV34" s="891">
        <f t="shared" si="146"/>
        <v>7.4518345732598926E-2</v>
      </c>
      <c r="AW34" s="891">
        <f t="shared" si="146"/>
        <v>6.3957273786229896E-2</v>
      </c>
      <c r="AX34" s="891">
        <f t="shared" si="146"/>
        <v>6.3712840804900483E-3</v>
      </c>
      <c r="AY34" s="891">
        <f t="shared" si="146"/>
        <v>0</v>
      </c>
      <c r="AZ34" s="891">
        <f t="shared" si="146"/>
        <v>0</v>
      </c>
      <c r="BA34" s="891">
        <f t="shared" si="146"/>
        <v>0</v>
      </c>
      <c r="BB34" s="891">
        <f t="shared" si="146"/>
        <v>0</v>
      </c>
      <c r="BC34" s="891">
        <f t="shared" si="146"/>
        <v>0</v>
      </c>
      <c r="BD34" s="891">
        <f t="shared" si="146"/>
        <v>9.7450753516237082E-2</v>
      </c>
      <c r="BE34" s="891">
        <f t="shared" si="146"/>
        <v>0</v>
      </c>
      <c r="BF34" s="891">
        <f t="shared" si="146"/>
        <v>0</v>
      </c>
      <c r="BG34" s="891">
        <f t="shared" si="146"/>
        <v>0</v>
      </c>
      <c r="BH34" s="891">
        <f t="shared" si="146"/>
        <v>0</v>
      </c>
      <c r="BI34" s="891">
        <f t="shared" si="146"/>
        <v>0</v>
      </c>
      <c r="BJ34" s="891">
        <f t="shared" si="146"/>
        <v>0</v>
      </c>
      <c r="BK34" s="891">
        <f t="shared" si="146"/>
        <v>0.16022533540180628</v>
      </c>
      <c r="BL34" s="891">
        <f t="shared" si="146"/>
        <v>9.7450753516237082E-2</v>
      </c>
      <c r="BM34" s="891">
        <f t="shared" si="146"/>
        <v>7.2277400608812367E-2</v>
      </c>
      <c r="BN34" s="891">
        <f t="shared" si="146"/>
        <v>0</v>
      </c>
      <c r="BO34" s="891">
        <f t="shared" ref="BO34:CT34" si="147">IFERROR(BO33/BO$18,0)</f>
        <v>0</v>
      </c>
      <c r="BP34" s="891">
        <f t="shared" si="147"/>
        <v>0</v>
      </c>
      <c r="BQ34" s="891">
        <f t="shared" si="147"/>
        <v>0</v>
      </c>
      <c r="BR34" s="891">
        <f t="shared" si="147"/>
        <v>0</v>
      </c>
      <c r="BS34" s="891">
        <f t="shared" si="147"/>
        <v>0.16022533540180628</v>
      </c>
      <c r="BT34" s="891">
        <f t="shared" si="147"/>
        <v>9.7450753516237082E-2</v>
      </c>
      <c r="BU34" s="891">
        <f t="shared" si="147"/>
        <v>7.2277400608812367E-2</v>
      </c>
      <c r="BV34" s="891">
        <f t="shared" si="147"/>
        <v>0</v>
      </c>
      <c r="BW34" s="891">
        <f t="shared" si="147"/>
        <v>0</v>
      </c>
      <c r="BX34" s="891">
        <f t="shared" si="147"/>
        <v>0</v>
      </c>
      <c r="BY34" s="891">
        <f t="shared" si="147"/>
        <v>0</v>
      </c>
      <c r="BZ34" s="891">
        <f t="shared" si="147"/>
        <v>0</v>
      </c>
      <c r="CA34" s="891">
        <f t="shared" si="147"/>
        <v>0.16022533540180628</v>
      </c>
      <c r="CB34" s="891">
        <f t="shared" si="147"/>
        <v>9.7450753516237082E-2</v>
      </c>
      <c r="CC34" s="891">
        <f t="shared" si="147"/>
        <v>0</v>
      </c>
      <c r="CD34" s="891">
        <f t="shared" si="147"/>
        <v>0</v>
      </c>
      <c r="CE34" s="891">
        <f t="shared" si="147"/>
        <v>0</v>
      </c>
      <c r="CF34" s="891">
        <f t="shared" si="147"/>
        <v>0</v>
      </c>
      <c r="CG34" s="891">
        <f t="shared" si="147"/>
        <v>0</v>
      </c>
      <c r="CH34" s="891">
        <f t="shared" si="147"/>
        <v>0</v>
      </c>
      <c r="CI34" s="891">
        <f t="shared" si="147"/>
        <v>0</v>
      </c>
      <c r="CJ34" s="891">
        <f t="shared" si="147"/>
        <v>9.7450753516237082E-2</v>
      </c>
      <c r="CK34" s="891">
        <f t="shared" si="147"/>
        <v>7.2277400608812367E-2</v>
      </c>
      <c r="CL34" s="891">
        <f t="shared" si="147"/>
        <v>0</v>
      </c>
      <c r="CM34" s="891">
        <f t="shared" si="147"/>
        <v>0</v>
      </c>
      <c r="CN34" s="891">
        <f t="shared" si="147"/>
        <v>0</v>
      </c>
      <c r="CO34" s="891">
        <f t="shared" si="147"/>
        <v>0</v>
      </c>
      <c r="CP34" s="891">
        <f t="shared" si="147"/>
        <v>0</v>
      </c>
      <c r="CQ34" s="891">
        <f t="shared" si="147"/>
        <v>0.16022533540180628</v>
      </c>
      <c r="CR34" s="891">
        <f t="shared" si="147"/>
        <v>9.7450753516237082E-2</v>
      </c>
      <c r="CS34" s="891">
        <f t="shared" si="147"/>
        <v>7.2277400608812367E-2</v>
      </c>
      <c r="CT34" s="891">
        <f t="shared" si="147"/>
        <v>0</v>
      </c>
      <c r="CU34" s="1031">
        <f t="shared" ref="CU34:DC34" si="148">IFERROR(CU33/CU$18,0)</f>
        <v>0</v>
      </c>
      <c r="CV34" s="1031">
        <f t="shared" si="148"/>
        <v>0</v>
      </c>
      <c r="CW34" s="1031">
        <f t="shared" si="148"/>
        <v>0</v>
      </c>
      <c r="CX34" s="1031">
        <f t="shared" si="148"/>
        <v>0.16544036415612262</v>
      </c>
      <c r="CY34" s="1031">
        <f t="shared" si="148"/>
        <v>0.17542390120988835</v>
      </c>
      <c r="CZ34" s="1031">
        <f t="shared" si="148"/>
        <v>8.7681279911355547E-2</v>
      </c>
      <c r="DA34" s="1031">
        <f t="shared" si="148"/>
        <v>6.9495551800023328E-2</v>
      </c>
      <c r="DB34" s="1031">
        <f t="shared" si="148"/>
        <v>0</v>
      </c>
      <c r="DC34" s="1031">
        <f t="shared" si="148"/>
        <v>3.0493447670353956E-2</v>
      </c>
    </row>
    <row r="35" spans="1:107" hidden="1" outlineLevel="1" x14ac:dyDescent="0.45">
      <c r="A35">
        <v>23</v>
      </c>
      <c r="B35" s="965"/>
      <c r="C35" s="966"/>
      <c r="D35" s="966"/>
      <c r="E35" s="966"/>
      <c r="F35" s="966"/>
      <c r="G35" s="966"/>
      <c r="H35" s="966"/>
      <c r="I35" s="966"/>
      <c r="J35" s="967"/>
      <c r="K35" s="966"/>
      <c r="L35" s="966"/>
      <c r="M35" s="966"/>
      <c r="N35" s="966"/>
      <c r="O35" s="966"/>
      <c r="P35" s="966"/>
      <c r="Q35" s="966"/>
      <c r="R35" s="967"/>
      <c r="S35" s="966"/>
      <c r="T35" s="966"/>
      <c r="U35" s="966"/>
      <c r="V35" s="966"/>
      <c r="W35" s="966"/>
      <c r="X35" s="966"/>
      <c r="Y35" s="966"/>
      <c r="Z35" s="967"/>
      <c r="AA35" s="966"/>
      <c r="AB35" s="966"/>
      <c r="AC35" s="966"/>
      <c r="AD35" s="966"/>
      <c r="AE35" s="966"/>
      <c r="AF35" s="966"/>
      <c r="AG35" s="966"/>
      <c r="AH35" s="967"/>
      <c r="AI35" s="966"/>
      <c r="AJ35" s="966"/>
      <c r="AK35" s="966"/>
      <c r="AL35" s="966"/>
      <c r="AM35" s="966"/>
      <c r="AN35" s="966"/>
      <c r="AO35" s="966"/>
      <c r="AP35" s="967"/>
      <c r="AQ35" s="966"/>
      <c r="AR35" s="966"/>
      <c r="AS35" s="966"/>
      <c r="AT35" s="966"/>
      <c r="AU35" s="966"/>
      <c r="AV35" s="966"/>
      <c r="AW35" s="966"/>
      <c r="AX35" s="967"/>
      <c r="AY35" s="966"/>
      <c r="AZ35" s="966"/>
      <c r="BA35" s="966"/>
      <c r="BB35" s="966"/>
      <c r="BC35" s="966"/>
      <c r="BD35" s="966"/>
      <c r="BE35" s="966"/>
      <c r="BF35" s="967"/>
      <c r="BG35" s="966"/>
      <c r="BH35" s="966"/>
      <c r="BI35" s="966"/>
      <c r="BJ35" s="966"/>
      <c r="BK35" s="966"/>
      <c r="BL35" s="966"/>
      <c r="BM35" s="966"/>
      <c r="BN35" s="967"/>
      <c r="BO35" s="966"/>
      <c r="BP35" s="966"/>
      <c r="BQ35" s="966"/>
      <c r="BR35" s="966"/>
      <c r="BS35" s="966"/>
      <c r="BT35" s="966"/>
      <c r="BU35" s="966"/>
      <c r="BV35" s="967"/>
      <c r="BW35" s="966"/>
      <c r="BX35" s="966"/>
      <c r="BY35" s="966"/>
      <c r="BZ35" s="966"/>
      <c r="CA35" s="966"/>
      <c r="CB35" s="966"/>
      <c r="CC35" s="966"/>
      <c r="CD35" s="967"/>
      <c r="CE35" s="966"/>
      <c r="CF35" s="966"/>
      <c r="CG35" s="966"/>
      <c r="CH35" s="966"/>
      <c r="CI35" s="966"/>
      <c r="CJ35" s="966"/>
      <c r="CK35" s="966"/>
      <c r="CL35" s="967"/>
      <c r="CM35" s="966"/>
      <c r="CN35" s="966"/>
      <c r="CO35" s="966"/>
      <c r="CP35" s="966"/>
      <c r="CQ35" s="966"/>
      <c r="CR35" s="966"/>
      <c r="CS35" s="966"/>
      <c r="CT35" s="967"/>
      <c r="CU35" s="966"/>
      <c r="CV35" s="966"/>
      <c r="CW35" s="966"/>
      <c r="CX35" s="966"/>
      <c r="CY35" s="966"/>
      <c r="CZ35" s="966"/>
      <c r="DA35" s="966"/>
      <c r="DB35" s="967"/>
      <c r="DC35" s="967"/>
    </row>
    <row r="36" spans="1:107" hidden="1" outlineLevel="1" x14ac:dyDescent="0.45">
      <c r="A36">
        <v>24</v>
      </c>
      <c r="B36" s="1037" t="s">
        <v>171</v>
      </c>
      <c r="C36" s="896">
        <f>C$16*'P&amp;L by Ctn'!$E$33</f>
        <v>1692787.8480000012</v>
      </c>
      <c r="D36" s="896">
        <f>D$16*'P&amp;L by Ctn'!$K$33</f>
        <v>417370.0661157025</v>
      </c>
      <c r="E36" s="896">
        <f>E$16*'P&amp;L by Ctn'!$Q$33</f>
        <v>955099.29139619111</v>
      </c>
      <c r="F36" s="896">
        <f>F$16*'P&amp;L by Ctn'!$W$33</f>
        <v>0</v>
      </c>
      <c r="G36" s="896">
        <f>G$16*'P&amp;L by Ctn'!$AC$33</f>
        <v>0</v>
      </c>
      <c r="H36" s="896">
        <f>H$16*'P&amp;L by Ctn'!Z$33</f>
        <v>10186.199999999999</v>
      </c>
      <c r="I36" s="896">
        <f>I$16*'P&amp;L by Ctn'!AZ$33</f>
        <v>0</v>
      </c>
      <c r="J36" s="896">
        <f>SUM(C36:I36)</f>
        <v>3075443.4055118952</v>
      </c>
      <c r="K36" s="1027" t="e">
        <f>K$16*'P&amp;L by Ctn'!L$33</f>
        <v>#REF!</v>
      </c>
      <c r="L36" s="1027" t="e">
        <f>L$16*'P&amp;L by Ctn'!S$33</f>
        <v>#REF!</v>
      </c>
      <c r="M36" s="1027">
        <f>M$16*'P&amp;L by Ctn'!Y$33</f>
        <v>633326.98499999987</v>
      </c>
      <c r="N36" s="1027">
        <f>N$16*'P&amp;L by Ctn'!AF$33</f>
        <v>0</v>
      </c>
      <c r="O36" s="1027">
        <f>O$16*'P&amp;L by Ctn'!AL$33</f>
        <v>0</v>
      </c>
      <c r="P36" s="1027">
        <f>P$16*'P&amp;L by Ctn'!AI$33</f>
        <v>0</v>
      </c>
      <c r="Q36" s="1027">
        <f>Q$16*'P&amp;L by Ctn'!AO$33</f>
        <v>0</v>
      </c>
      <c r="R36" s="1027" t="e">
        <f>SUM(K36:Q36)</f>
        <v>#REF!</v>
      </c>
      <c r="S36" s="896" t="e">
        <f>S$16*'P&amp;L by Ctn'!T$33</f>
        <v>#REF!</v>
      </c>
      <c r="T36" s="896">
        <f>T$16*'P&amp;L by Ctn'!AA$33</f>
        <v>202107.47205000001</v>
      </c>
      <c r="U36" s="896">
        <f>U$16*'P&amp;L by Ctn'!AG$33</f>
        <v>1473878.2737304687</v>
      </c>
      <c r="V36" s="896">
        <f>V$16*'P&amp;L by Ctn'!AN$33</f>
        <v>0</v>
      </c>
      <c r="W36" s="896">
        <f>W$16*'P&amp;L by Ctn'!AT$33</f>
        <v>0</v>
      </c>
      <c r="X36" s="896">
        <f>X$16*'P&amp;L by Ctn'!AQ$33</f>
        <v>0</v>
      </c>
      <c r="Y36" s="896">
        <f>Y$16*'P&amp;L by Ctn'!AW$33</f>
        <v>0</v>
      </c>
      <c r="Z36" s="896" t="e">
        <f>SUM(S36:Y36)</f>
        <v>#REF!</v>
      </c>
      <c r="AA36" s="1027">
        <f>AA$16*'P&amp;L by Ctn'!AB$33</f>
        <v>661339.46623967611</v>
      </c>
      <c r="AB36" s="1027">
        <f>AB$16*'P&amp;L by Ctn'!AI$33</f>
        <v>0</v>
      </c>
      <c r="AC36" s="1027">
        <f>AC$16*'P&amp;L by Ctn'!AO$33</f>
        <v>0</v>
      </c>
      <c r="AD36" s="1027">
        <f>AD$16*'P&amp;L by Ctn'!AV$33</f>
        <v>0</v>
      </c>
      <c r="AE36" s="1027">
        <f>AE$16*'P&amp;L by Ctn'!BB$33</f>
        <v>0</v>
      </c>
      <c r="AF36" s="1027">
        <f>AF$16*'P&amp;L by Ctn'!AY$33</f>
        <v>0</v>
      </c>
      <c r="AG36" s="1027">
        <f>AG$16*'P&amp;L by Ctn'!BE$33</f>
        <v>0</v>
      </c>
      <c r="AH36" s="1027">
        <f>SUM(AA36:AG36)</f>
        <v>661339.46623967611</v>
      </c>
      <c r="AI36" s="896">
        <f>AI$16*'P&amp;L by Ctn'!AJ$33</f>
        <v>0</v>
      </c>
      <c r="AJ36" s="896">
        <f>AJ$16*'P&amp;L by Ctn'!AQ$33</f>
        <v>0</v>
      </c>
      <c r="AK36" s="896">
        <f>AK$16*'P&amp;L by Ctn'!AW$33</f>
        <v>0</v>
      </c>
      <c r="AL36" s="896">
        <f>AL$16*'P&amp;L by Ctn'!BD$33</f>
        <v>0</v>
      </c>
      <c r="AM36" s="896">
        <f>AM$16*'P&amp;L by Ctn'!BJ$33</f>
        <v>0</v>
      </c>
      <c r="AN36" s="896">
        <f>AN$16*'P&amp;L by Ctn'!BG$33</f>
        <v>0</v>
      </c>
      <c r="AO36" s="896">
        <f>AO$16*'P&amp;L by Ctn'!BM$33</f>
        <v>0</v>
      </c>
      <c r="AP36" s="896">
        <f>SUM(AI36:AO36)</f>
        <v>0</v>
      </c>
      <c r="AQ36" s="1027">
        <f>AQ$16*'P&amp;L by Ctn'!AR$33</f>
        <v>0</v>
      </c>
      <c r="AR36" s="1027">
        <f>AR$16*'P&amp;L by Ctn'!AY$33</f>
        <v>0</v>
      </c>
      <c r="AS36" s="1027">
        <f>AS$16*'P&amp;L by Ctn'!BE$33</f>
        <v>0</v>
      </c>
      <c r="AT36" s="1027">
        <f>AT$16*'P&amp;L by Ctn'!BL$33</f>
        <v>0</v>
      </c>
      <c r="AU36" s="1027">
        <f>AU$16*'P&amp;L by Ctn'!BR$33</f>
        <v>0</v>
      </c>
      <c r="AV36" s="1027">
        <f>AV$16*'P&amp;L by Ctn'!BO$33</f>
        <v>0</v>
      </c>
      <c r="AW36" s="1027">
        <f>AW$16*'P&amp;L by Ctn'!BU$33</f>
        <v>0</v>
      </c>
      <c r="AX36" s="1027">
        <f>SUM(AQ36:AW36)</f>
        <v>0</v>
      </c>
      <c r="AY36" s="896">
        <f>AY$16*'P&amp;L by Ctn'!AZ$33</f>
        <v>0</v>
      </c>
      <c r="AZ36" s="896">
        <f>AZ$16*'P&amp;L by Ctn'!BG$33</f>
        <v>0</v>
      </c>
      <c r="BA36" s="896">
        <f>BA$16*'P&amp;L by Ctn'!BM$33</f>
        <v>0</v>
      </c>
      <c r="BB36" s="896">
        <f>BB$16*'P&amp;L by Ctn'!BT$33</f>
        <v>0</v>
      </c>
      <c r="BC36" s="896">
        <f>BC$16*'P&amp;L by Ctn'!BZ$33</f>
        <v>0</v>
      </c>
      <c r="BD36" s="896">
        <f>BD$16*'P&amp;L by Ctn'!BW$33</f>
        <v>0</v>
      </c>
      <c r="BE36" s="896">
        <f>BE$16*'P&amp;L by Ctn'!CC$33</f>
        <v>0</v>
      </c>
      <c r="BF36" s="896">
        <f>SUM(AY36:BE36)</f>
        <v>0</v>
      </c>
      <c r="BG36" s="1027">
        <f>BG$16*'P&amp;L by Ctn'!BH$33</f>
        <v>0</v>
      </c>
      <c r="BH36" s="1027">
        <f>BH$16*'P&amp;L by Ctn'!BO$33</f>
        <v>0</v>
      </c>
      <c r="BI36" s="1027">
        <f>BI$16*'P&amp;L by Ctn'!BU$33</f>
        <v>0</v>
      </c>
      <c r="BJ36" s="1027">
        <f>BJ$16*'P&amp;L by Ctn'!CB$33</f>
        <v>0</v>
      </c>
      <c r="BK36" s="1027">
        <f>BK$16*'P&amp;L by Ctn'!CH$33</f>
        <v>0</v>
      </c>
      <c r="BL36" s="1027">
        <f>BL$16*'P&amp;L by Ctn'!CE$33</f>
        <v>0</v>
      </c>
      <c r="BM36" s="1027">
        <f>BM$16*'P&amp;L by Ctn'!CK$33</f>
        <v>0</v>
      </c>
      <c r="BN36" s="1027">
        <f>SUM(BG36:BM36)</f>
        <v>0</v>
      </c>
      <c r="BO36" s="896">
        <f>BO$16*'P&amp;L by Ctn'!BP$33</f>
        <v>0</v>
      </c>
      <c r="BP36" s="896">
        <f>BP$16*'P&amp;L by Ctn'!BW$33</f>
        <v>0</v>
      </c>
      <c r="BQ36" s="896">
        <f>BQ$16*'P&amp;L by Ctn'!CC$33</f>
        <v>0</v>
      </c>
      <c r="BR36" s="896">
        <f>BR$16*'P&amp;L by Ctn'!CJ$33</f>
        <v>0</v>
      </c>
      <c r="BS36" s="896">
        <f>BS$16*'P&amp;L by Ctn'!CP$33</f>
        <v>0</v>
      </c>
      <c r="BT36" s="896">
        <f>BT$16*'P&amp;L by Ctn'!CM$33</f>
        <v>0</v>
      </c>
      <c r="BU36" s="896">
        <f>BU$16*'P&amp;L by Ctn'!CS$33</f>
        <v>0</v>
      </c>
      <c r="BV36" s="896">
        <f>SUM(BO36:BU36)</f>
        <v>0</v>
      </c>
      <c r="BW36" s="1027">
        <f>BW$16*'P&amp;L by Ctn'!BX$33</f>
        <v>0</v>
      </c>
      <c r="BX36" s="1027">
        <f>BX$16*'P&amp;L by Ctn'!CE$33</f>
        <v>0</v>
      </c>
      <c r="BY36" s="1027">
        <f>BY$16*'P&amp;L by Ctn'!CK$33</f>
        <v>0</v>
      </c>
      <c r="BZ36" s="1027">
        <f>BZ$16*'P&amp;L by Ctn'!CR$33</f>
        <v>0</v>
      </c>
      <c r="CA36" s="1027">
        <f>CA$16*'P&amp;L by Ctn'!CX$33</f>
        <v>0</v>
      </c>
      <c r="CB36" s="1027">
        <f>CB$16*'P&amp;L by Ctn'!CU$33</f>
        <v>0</v>
      </c>
      <c r="CC36" s="1027">
        <f>CC$16*'P&amp;L by Ctn'!DA$33</f>
        <v>0</v>
      </c>
      <c r="CD36" s="1027">
        <f>SUM(BW36:CC36)</f>
        <v>0</v>
      </c>
      <c r="CE36" s="896">
        <f>CE$16*'P&amp;L by Ctn'!CF$33</f>
        <v>0</v>
      </c>
      <c r="CF36" s="896">
        <f>CF$16*'P&amp;L by Ctn'!CM$33</f>
        <v>0</v>
      </c>
      <c r="CG36" s="896">
        <f>CG$16*'P&amp;L by Ctn'!CS$33</f>
        <v>0</v>
      </c>
      <c r="CH36" s="896">
        <f>CH$16*'P&amp;L by Ctn'!CZ$33</f>
        <v>0</v>
      </c>
      <c r="CI36" s="896">
        <f>CI$16*'P&amp;L by Ctn'!DF$33</f>
        <v>0</v>
      </c>
      <c r="CJ36" s="896">
        <f>CJ$16*'P&amp;L by Ctn'!DC$33</f>
        <v>0</v>
      </c>
      <c r="CK36" s="896">
        <f>CK$16*'P&amp;L by Ctn'!DI$33</f>
        <v>0</v>
      </c>
      <c r="CL36" s="896">
        <f>SUM(CE36:CK36)</f>
        <v>0</v>
      </c>
      <c r="CM36" s="1027">
        <f>CM$16*'P&amp;L by Ctn'!CN$33</f>
        <v>0</v>
      </c>
      <c r="CN36" s="1027">
        <f>CN$16*'P&amp;L by Ctn'!CU$33</f>
        <v>0</v>
      </c>
      <c r="CO36" s="1027">
        <f>CO$16*'P&amp;L by Ctn'!DA$33</f>
        <v>0</v>
      </c>
      <c r="CP36" s="1027">
        <f>CP$16*'P&amp;L by Ctn'!DH$33</f>
        <v>0</v>
      </c>
      <c r="CQ36" s="1027">
        <f>CQ$16*'P&amp;L by Ctn'!DN$33</f>
        <v>0</v>
      </c>
      <c r="CR36" s="1027">
        <f>CR$16*'P&amp;L by Ctn'!DK$33</f>
        <v>0</v>
      </c>
      <c r="CS36" s="1027">
        <f>CS$16*'P&amp;L by Ctn'!DQ$33</f>
        <v>0</v>
      </c>
      <c r="CT36" s="1027">
        <f>SUM(CM36:CS36)</f>
        <v>0</v>
      </c>
      <c r="CU36" s="1032">
        <f>CU$16*'P&amp;L by Ctn'!CV$33</f>
        <v>0</v>
      </c>
      <c r="CV36" s="1032">
        <f>CV$16*'P&amp;L by Ctn'!DC$33</f>
        <v>0</v>
      </c>
      <c r="CW36" s="1032">
        <f>CW$16*'P&amp;L by Ctn'!DI$33</f>
        <v>0</v>
      </c>
      <c r="CX36" s="1032">
        <f>CX$16*'P&amp;L by Ctn'!DP$33</f>
        <v>0</v>
      </c>
      <c r="CY36" s="1032">
        <f>CY$16*'P&amp;L by Ctn'!DV$33</f>
        <v>0</v>
      </c>
      <c r="CZ36" s="1032">
        <f>CZ$16*'P&amp;L by Ctn'!DS$33</f>
        <v>0</v>
      </c>
      <c r="DA36" s="1032">
        <f>DA$16*'P&amp;L by Ctn'!DY$33</f>
        <v>0</v>
      </c>
      <c r="DB36" s="1032">
        <f t="shared" ref="DB36:DC38" si="149">SUM(CU36:DA36)</f>
        <v>0</v>
      </c>
      <c r="DC36" s="1032">
        <f t="shared" si="149"/>
        <v>0</v>
      </c>
    </row>
    <row r="37" spans="1:107" hidden="1" outlineLevel="1" x14ac:dyDescent="0.45">
      <c r="A37">
        <v>25</v>
      </c>
      <c r="B37" s="1037" t="s">
        <v>172</v>
      </c>
      <c r="C37" s="896">
        <f>C$16*'P&amp;L by Ctn'!$E$34</f>
        <v>1903587.7195399317</v>
      </c>
      <c r="D37" s="896">
        <f>D$16*'P&amp;L by Ctn'!$K$34</f>
        <v>469615.81831501954</v>
      </c>
      <c r="E37" s="896">
        <f>E$16*'P&amp;L by Ctn'!$Q$34</f>
        <v>1049516.9766364896</v>
      </c>
      <c r="F37" s="896">
        <f>F$16*'P&amp;L by Ctn'!$W$34</f>
        <v>0</v>
      </c>
      <c r="G37" s="896">
        <f>G$16*'P&amp;L by Ctn'!$AC$34</f>
        <v>0</v>
      </c>
      <c r="H37" s="896">
        <f>H$16*'P&amp;L by Ctn'!Z$34</f>
        <v>10363.636363636364</v>
      </c>
      <c r="I37" s="896">
        <f>I$16*'P&amp;L by Ctn'!AZ$34</f>
        <v>0</v>
      </c>
      <c r="J37" s="896">
        <f>SUM(C37:I37)</f>
        <v>3433084.150855077</v>
      </c>
      <c r="K37" s="1027" t="e">
        <f>K$16*'P&amp;L by Ctn'!L$34</f>
        <v>#REF!</v>
      </c>
      <c r="L37" s="1027" t="e">
        <f>L$16*'P&amp;L by Ctn'!S$34</f>
        <v>#REF!</v>
      </c>
      <c r="M37" s="1027">
        <f>M$16*'P&amp;L by Ctn'!Y$34</f>
        <v>644359.09090909094</v>
      </c>
      <c r="N37" s="1027">
        <f>N$16*'P&amp;L by Ctn'!AF$34</f>
        <v>0</v>
      </c>
      <c r="O37" s="1027">
        <f>O$16*'P&amp;L by Ctn'!AL$34</f>
        <v>0</v>
      </c>
      <c r="P37" s="1027">
        <f>P$16*'P&amp;L by Ctn'!AI$34</f>
        <v>0</v>
      </c>
      <c r="Q37" s="1027">
        <f>Q$16*'P&amp;L by Ctn'!AO$34</f>
        <v>0</v>
      </c>
      <c r="R37" s="1027" t="e">
        <f>SUM(K37:Q37)</f>
        <v>#REF!</v>
      </c>
      <c r="S37" s="896" t="e">
        <f>S$16*'P&amp;L by Ctn'!T$34</f>
        <v>#REF!</v>
      </c>
      <c r="T37" s="896">
        <f>T$16*'P&amp;L by Ctn'!AA$34</f>
        <v>208000</v>
      </c>
      <c r="U37" s="896">
        <f>U$16*'P&amp;L by Ctn'!AG$34</f>
        <v>1755277.777777778</v>
      </c>
      <c r="V37" s="896">
        <f>V$16*'P&amp;L by Ctn'!AN$34</f>
        <v>0</v>
      </c>
      <c r="W37" s="896">
        <f>W$16*'P&amp;L by Ctn'!AT$34</f>
        <v>0</v>
      </c>
      <c r="X37" s="896">
        <f>X$16*'P&amp;L by Ctn'!AQ$34</f>
        <v>0</v>
      </c>
      <c r="Y37" s="896">
        <f>Y$16*'P&amp;L by Ctn'!AW$34</f>
        <v>0</v>
      </c>
      <c r="Z37" s="896" t="e">
        <f>SUM(S37:Y37)</f>
        <v>#REF!</v>
      </c>
      <c r="AA37" s="1027">
        <f>AA$16*'P&amp;L by Ctn'!AB$34</f>
        <v>857334.88667030435</v>
      </c>
      <c r="AB37" s="1027">
        <f>AB$16*'P&amp;L by Ctn'!AI$34</f>
        <v>0</v>
      </c>
      <c r="AC37" s="1027">
        <f>AC$16*'P&amp;L by Ctn'!AO$34</f>
        <v>0</v>
      </c>
      <c r="AD37" s="1027">
        <f>AD$16*'P&amp;L by Ctn'!AV$34</f>
        <v>0</v>
      </c>
      <c r="AE37" s="1027">
        <f>AE$16*'P&amp;L by Ctn'!BB$34</f>
        <v>0</v>
      </c>
      <c r="AF37" s="1027">
        <f>AF$16*'P&amp;L by Ctn'!AY$34</f>
        <v>0</v>
      </c>
      <c r="AG37" s="1027">
        <f>AG$16*'P&amp;L by Ctn'!BE$34</f>
        <v>0</v>
      </c>
      <c r="AH37" s="1027">
        <f>SUM(AA37:AG37)</f>
        <v>857334.88667030435</v>
      </c>
      <c r="AI37" s="896">
        <f>AI$16*'P&amp;L by Ctn'!AJ$34</f>
        <v>0</v>
      </c>
      <c r="AJ37" s="896">
        <f>AJ$16*'P&amp;L by Ctn'!AQ$34</f>
        <v>0</v>
      </c>
      <c r="AK37" s="896">
        <f>AK$16*'P&amp;L by Ctn'!AW$34</f>
        <v>0</v>
      </c>
      <c r="AL37" s="896">
        <f>AL$16*'P&amp;L by Ctn'!BD$34</f>
        <v>0</v>
      </c>
      <c r="AM37" s="896">
        <f>AM$16*'P&amp;L by Ctn'!BJ$34</f>
        <v>0</v>
      </c>
      <c r="AN37" s="896">
        <f>AN$16*'P&amp;L by Ctn'!BG$34</f>
        <v>0</v>
      </c>
      <c r="AO37" s="896">
        <f>AO$16*'P&amp;L by Ctn'!BM$34</f>
        <v>0</v>
      </c>
      <c r="AP37" s="896">
        <f>SUM(AI37:AO37)</f>
        <v>0</v>
      </c>
      <c r="AQ37" s="1027">
        <f>AQ$16*'P&amp;L by Ctn'!AR$34</f>
        <v>0</v>
      </c>
      <c r="AR37" s="1027">
        <f>AR$16*'P&amp;L by Ctn'!AY$34</f>
        <v>0</v>
      </c>
      <c r="AS37" s="1027">
        <f>AS$16*'P&amp;L by Ctn'!BE$34</f>
        <v>0</v>
      </c>
      <c r="AT37" s="1027">
        <f>AT$16*'P&amp;L by Ctn'!BL$34</f>
        <v>0</v>
      </c>
      <c r="AU37" s="1027">
        <f>AU$16*'P&amp;L by Ctn'!BR$34</f>
        <v>0</v>
      </c>
      <c r="AV37" s="1027">
        <f>AV$16*'P&amp;L by Ctn'!BO$34</f>
        <v>0</v>
      </c>
      <c r="AW37" s="1027">
        <f>AW$16*'P&amp;L by Ctn'!BU$34</f>
        <v>0</v>
      </c>
      <c r="AX37" s="1027">
        <f>SUM(AQ37:AW37)</f>
        <v>0</v>
      </c>
      <c r="AY37" s="896">
        <f>AY$16*'P&amp;L by Ctn'!AZ$34</f>
        <v>0</v>
      </c>
      <c r="AZ37" s="896">
        <f>AZ$16*'P&amp;L by Ctn'!BG$34</f>
        <v>0</v>
      </c>
      <c r="BA37" s="896">
        <f>BA$16*'P&amp;L by Ctn'!BM$34</f>
        <v>0</v>
      </c>
      <c r="BB37" s="896">
        <f>BB$16*'P&amp;L by Ctn'!BT$34</f>
        <v>0</v>
      </c>
      <c r="BC37" s="896">
        <f>BC$16*'P&amp;L by Ctn'!BZ$34</f>
        <v>0</v>
      </c>
      <c r="BD37" s="896">
        <f>BD$16*'P&amp;L by Ctn'!BW$34</f>
        <v>0</v>
      </c>
      <c r="BE37" s="896">
        <f>BE$16*'P&amp;L by Ctn'!CC$34</f>
        <v>0</v>
      </c>
      <c r="BF37" s="896">
        <f>SUM(AY37:BE37)</f>
        <v>0</v>
      </c>
      <c r="BG37" s="1027">
        <f>BG$16*'P&amp;L by Ctn'!BH$34</f>
        <v>0</v>
      </c>
      <c r="BH37" s="1027">
        <f>BH$16*'P&amp;L by Ctn'!BO$34</f>
        <v>0</v>
      </c>
      <c r="BI37" s="1027">
        <f>BI$16*'P&amp;L by Ctn'!BU$34</f>
        <v>0</v>
      </c>
      <c r="BJ37" s="1027">
        <f>BJ$16*'P&amp;L by Ctn'!CB$34</f>
        <v>0</v>
      </c>
      <c r="BK37" s="1027">
        <f>BK$16*'P&amp;L by Ctn'!CH$34</f>
        <v>0</v>
      </c>
      <c r="BL37" s="1027">
        <f>BL$16*'P&amp;L by Ctn'!CE$34</f>
        <v>0</v>
      </c>
      <c r="BM37" s="1027">
        <f>BM$16*'P&amp;L by Ctn'!CK$34</f>
        <v>0</v>
      </c>
      <c r="BN37" s="1027">
        <f>SUM(BG37:BM37)</f>
        <v>0</v>
      </c>
      <c r="BO37" s="896">
        <f>BO$16*'P&amp;L by Ctn'!BP$34</f>
        <v>0</v>
      </c>
      <c r="BP37" s="896">
        <f>BP$16*'P&amp;L by Ctn'!BW$34</f>
        <v>0</v>
      </c>
      <c r="BQ37" s="896">
        <f>BQ$16*'P&amp;L by Ctn'!CC$34</f>
        <v>0</v>
      </c>
      <c r="BR37" s="896">
        <f>BR$16*'P&amp;L by Ctn'!CJ$34</f>
        <v>0</v>
      </c>
      <c r="BS37" s="896">
        <f>BS$16*'P&amp;L by Ctn'!CP$34</f>
        <v>0</v>
      </c>
      <c r="BT37" s="896">
        <f>BT$16*'P&amp;L by Ctn'!CM$34</f>
        <v>0</v>
      </c>
      <c r="BU37" s="896">
        <f>BU$16*'P&amp;L by Ctn'!CS$34</f>
        <v>0</v>
      </c>
      <c r="BV37" s="896">
        <f>SUM(BO37:BU37)</f>
        <v>0</v>
      </c>
      <c r="BW37" s="1027">
        <f>BW$16*'P&amp;L by Ctn'!BX$34</f>
        <v>0</v>
      </c>
      <c r="BX37" s="1027">
        <f>BX$16*'P&amp;L by Ctn'!CE$34</f>
        <v>0</v>
      </c>
      <c r="BY37" s="1027">
        <f>BY$16*'P&amp;L by Ctn'!CK$34</f>
        <v>0</v>
      </c>
      <c r="BZ37" s="1027">
        <f>BZ$16*'P&amp;L by Ctn'!CR$34</f>
        <v>0</v>
      </c>
      <c r="CA37" s="1027">
        <f>CA$16*'P&amp;L by Ctn'!CX$34</f>
        <v>0</v>
      </c>
      <c r="CB37" s="1027">
        <f>CB$16*'P&amp;L by Ctn'!CU$34</f>
        <v>0</v>
      </c>
      <c r="CC37" s="1027">
        <f>CC$16*'P&amp;L by Ctn'!DA$34</f>
        <v>0</v>
      </c>
      <c r="CD37" s="1027">
        <f>SUM(BW37:CC37)</f>
        <v>0</v>
      </c>
      <c r="CE37" s="896">
        <f>CE$16*'P&amp;L by Ctn'!CF$34</f>
        <v>0</v>
      </c>
      <c r="CF37" s="896">
        <f>CF$16*'P&amp;L by Ctn'!CM$34</f>
        <v>0</v>
      </c>
      <c r="CG37" s="896">
        <f>CG$16*'P&amp;L by Ctn'!CS$34</f>
        <v>0</v>
      </c>
      <c r="CH37" s="896">
        <f>CH$16*'P&amp;L by Ctn'!CZ$34</f>
        <v>0</v>
      </c>
      <c r="CI37" s="896">
        <f>CI$16*'P&amp;L by Ctn'!DF$34</f>
        <v>0</v>
      </c>
      <c r="CJ37" s="896">
        <f>CJ$16*'P&amp;L by Ctn'!DC$34</f>
        <v>0</v>
      </c>
      <c r="CK37" s="896">
        <f>CK$16*'P&amp;L by Ctn'!DI$34</f>
        <v>0</v>
      </c>
      <c r="CL37" s="896">
        <f>SUM(CE37:CK37)</f>
        <v>0</v>
      </c>
      <c r="CM37" s="1027">
        <f>CM$16*'P&amp;L by Ctn'!CN$34</f>
        <v>0</v>
      </c>
      <c r="CN37" s="1027">
        <f>CN$16*'P&amp;L by Ctn'!CU$34</f>
        <v>0</v>
      </c>
      <c r="CO37" s="1027">
        <f>CO$16*'P&amp;L by Ctn'!DA$34</f>
        <v>0</v>
      </c>
      <c r="CP37" s="1027">
        <f>CP$16*'P&amp;L by Ctn'!DH$34</f>
        <v>0</v>
      </c>
      <c r="CQ37" s="1027">
        <f>CQ$16*'P&amp;L by Ctn'!DN$34</f>
        <v>0</v>
      </c>
      <c r="CR37" s="1027">
        <f>CR$16*'P&amp;L by Ctn'!DK$34</f>
        <v>0</v>
      </c>
      <c r="CS37" s="1027">
        <f>CS$16*'P&amp;L by Ctn'!DQ$34</f>
        <v>0</v>
      </c>
      <c r="CT37" s="1027">
        <f>SUM(CM37:CS37)</f>
        <v>0</v>
      </c>
      <c r="CU37" s="1032">
        <f>CU$16*'P&amp;L by Ctn'!CV$34</f>
        <v>0</v>
      </c>
      <c r="CV37" s="1032">
        <f>CV$16*'P&amp;L by Ctn'!DC$34</f>
        <v>0</v>
      </c>
      <c r="CW37" s="1032">
        <f>CW$16*'P&amp;L by Ctn'!DI$34</f>
        <v>0</v>
      </c>
      <c r="CX37" s="1032">
        <f>CX$16*'P&amp;L by Ctn'!DP$34</f>
        <v>0</v>
      </c>
      <c r="CY37" s="1032">
        <f>CY$16*'P&amp;L by Ctn'!DV$34</f>
        <v>0</v>
      </c>
      <c r="CZ37" s="1032">
        <f>CZ$16*'P&amp;L by Ctn'!DS$34</f>
        <v>0</v>
      </c>
      <c r="DA37" s="1032">
        <f>DA$16*'P&amp;L by Ctn'!DY$34</f>
        <v>0</v>
      </c>
      <c r="DB37" s="1032">
        <f t="shared" si="149"/>
        <v>0</v>
      </c>
      <c r="DC37" s="1032">
        <f t="shared" si="149"/>
        <v>0</v>
      </c>
    </row>
    <row r="38" spans="1:107" hidden="1" outlineLevel="1" x14ac:dyDescent="0.45">
      <c r="A38">
        <v>26</v>
      </c>
      <c r="B38" s="1037" t="s">
        <v>173</v>
      </c>
      <c r="C38" s="896">
        <f>C$16*'P&amp;L by Ctn'!$E$35</f>
        <v>180672.61049084589</v>
      </c>
      <c r="D38" s="896">
        <f>D$16*'P&amp;L by Ctn'!$K$35</f>
        <v>44791.405079769786</v>
      </c>
      <c r="E38" s="896">
        <f>E$16*'P&amp;L by Ctn'!$Q$35</f>
        <v>79292.031396430131</v>
      </c>
      <c r="F38" s="896">
        <f>F$16*'P&amp;L by Ctn'!$W$35</f>
        <v>0</v>
      </c>
      <c r="G38" s="896">
        <f>G$16*'P&amp;L by Ctn'!$AC$35</f>
        <v>0</v>
      </c>
      <c r="H38" s="896">
        <f>H$16*'P&amp;L by Ctn'!Z$35</f>
        <v>79.487603305787147</v>
      </c>
      <c r="I38" s="896">
        <f>I$16*'P&amp;L by Ctn'!AZ$35</f>
        <v>0</v>
      </c>
      <c r="J38" s="896">
        <f>SUM(C38:I38)</f>
        <v>304835.53457035159</v>
      </c>
      <c r="K38" s="1027" t="e">
        <f>K$16*'P&amp;L by Ctn'!L$35</f>
        <v>#REF!</v>
      </c>
      <c r="L38" s="1027" t="e">
        <f>L$16*'P&amp;L by Ctn'!S$35</f>
        <v>#REF!</v>
      </c>
      <c r="M38" s="1027">
        <f>M$16*'P&amp;L by Ctn'!Y$35</f>
        <v>4942.141735537316</v>
      </c>
      <c r="N38" s="1027">
        <f>N$16*'P&amp;L by Ctn'!AF$35</f>
        <v>0</v>
      </c>
      <c r="O38" s="1027">
        <f>O$16*'P&amp;L by Ctn'!AL$35</f>
        <v>0</v>
      </c>
      <c r="P38" s="1027">
        <f>P$16*'P&amp;L by Ctn'!AI$35</f>
        <v>0</v>
      </c>
      <c r="Q38" s="1027">
        <f>Q$16*'P&amp;L by Ctn'!AO$35</f>
        <v>0</v>
      </c>
      <c r="R38" s="1027" t="e">
        <f>SUM(K38:Q38)</f>
        <v>#REF!</v>
      </c>
      <c r="S38" s="896" t="e">
        <f>S$16*'P&amp;L by Ctn'!T$35</f>
        <v>#REF!</v>
      </c>
      <c r="T38" s="896">
        <f>T$16*'P&amp;L by Ctn'!AA$35</f>
        <v>3856.8435909090626</v>
      </c>
      <c r="U38" s="896">
        <f>U$16*'P&amp;L by Ctn'!AG$35</f>
        <v>240689.89004300817</v>
      </c>
      <c r="V38" s="896">
        <f>V$16*'P&amp;L by Ctn'!AN$35</f>
        <v>0</v>
      </c>
      <c r="W38" s="896">
        <f>W$16*'P&amp;L by Ctn'!AT$35</f>
        <v>0</v>
      </c>
      <c r="X38" s="896">
        <f>X$16*'P&amp;L by Ctn'!AQ$35</f>
        <v>0</v>
      </c>
      <c r="Y38" s="896">
        <f>Y$16*'P&amp;L by Ctn'!AW$35</f>
        <v>0</v>
      </c>
      <c r="Z38" s="896" t="e">
        <f>SUM(S38:Y38)</f>
        <v>#REF!</v>
      </c>
      <c r="AA38" s="1027">
        <f>AA$16*'P&amp;L by Ctn'!AB$35</f>
        <v>173457.64021481472</v>
      </c>
      <c r="AB38" s="1027">
        <f>AB$16*'P&amp;L by Ctn'!AI$35</f>
        <v>0</v>
      </c>
      <c r="AC38" s="1027">
        <f>AC$16*'P&amp;L by Ctn'!AO$35</f>
        <v>0</v>
      </c>
      <c r="AD38" s="1027">
        <f>AD$16*'P&amp;L by Ctn'!AV$35</f>
        <v>0</v>
      </c>
      <c r="AE38" s="1027">
        <f>AE$16*'P&amp;L by Ctn'!BB$35</f>
        <v>0</v>
      </c>
      <c r="AF38" s="1027">
        <f>AF$16*'P&amp;L by Ctn'!AY$35</f>
        <v>0</v>
      </c>
      <c r="AG38" s="1027">
        <f>AG$16*'P&amp;L by Ctn'!BE$35</f>
        <v>0</v>
      </c>
      <c r="AH38" s="1027">
        <f>SUM(AA38:AG38)</f>
        <v>173457.64021481472</v>
      </c>
      <c r="AI38" s="896">
        <f>AI$16*'P&amp;L by Ctn'!AJ$35</f>
        <v>0</v>
      </c>
      <c r="AJ38" s="896">
        <f>AJ$16*'P&amp;L by Ctn'!AQ$35</f>
        <v>0</v>
      </c>
      <c r="AK38" s="896">
        <f>AK$16*'P&amp;L by Ctn'!AW$35</f>
        <v>0</v>
      </c>
      <c r="AL38" s="896">
        <f>AL$16*'P&amp;L by Ctn'!BD$35</f>
        <v>0</v>
      </c>
      <c r="AM38" s="896">
        <f>AM$16*'P&amp;L by Ctn'!BJ$35</f>
        <v>0</v>
      </c>
      <c r="AN38" s="896">
        <f>AN$16*'P&amp;L by Ctn'!BG$35</f>
        <v>0</v>
      </c>
      <c r="AO38" s="896">
        <f>AO$16*'P&amp;L by Ctn'!BM$35</f>
        <v>0</v>
      </c>
      <c r="AP38" s="896">
        <f>SUM(AI38:AO38)</f>
        <v>0</v>
      </c>
      <c r="AQ38" s="1027">
        <f>AQ$16*'P&amp;L by Ctn'!AR$35</f>
        <v>0</v>
      </c>
      <c r="AR38" s="1027">
        <f>AR$16*'P&amp;L by Ctn'!AY$35</f>
        <v>0</v>
      </c>
      <c r="AS38" s="1027">
        <f>AS$16*'P&amp;L by Ctn'!BE$35</f>
        <v>0</v>
      </c>
      <c r="AT38" s="1027">
        <f>AT$16*'P&amp;L by Ctn'!BL$35</f>
        <v>0</v>
      </c>
      <c r="AU38" s="1027">
        <f>AU$16*'P&amp;L by Ctn'!BR$35</f>
        <v>0</v>
      </c>
      <c r="AV38" s="1027">
        <f>AV$16*'P&amp;L by Ctn'!BO$35</f>
        <v>0</v>
      </c>
      <c r="AW38" s="1027">
        <f>AW$16*'P&amp;L by Ctn'!BU$35</f>
        <v>0</v>
      </c>
      <c r="AX38" s="1027">
        <f>SUM(AQ38:AW38)</f>
        <v>0</v>
      </c>
      <c r="AY38" s="896">
        <f>AY$16*'P&amp;L by Ctn'!AZ$35</f>
        <v>0</v>
      </c>
      <c r="AZ38" s="896">
        <f>AZ$16*'P&amp;L by Ctn'!BG$35</f>
        <v>0</v>
      </c>
      <c r="BA38" s="896">
        <f>BA$16*'P&amp;L by Ctn'!BM$35</f>
        <v>0</v>
      </c>
      <c r="BB38" s="896">
        <f>BB$16*'P&amp;L by Ctn'!BT$35</f>
        <v>0</v>
      </c>
      <c r="BC38" s="896">
        <f>BC$16*'P&amp;L by Ctn'!BZ$35</f>
        <v>0</v>
      </c>
      <c r="BD38" s="896">
        <f>BD$16*'P&amp;L by Ctn'!BW$35</f>
        <v>0</v>
      </c>
      <c r="BE38" s="896">
        <f>BE$16*'P&amp;L by Ctn'!CC$35</f>
        <v>0</v>
      </c>
      <c r="BF38" s="896">
        <f>SUM(AY38:BE38)</f>
        <v>0</v>
      </c>
      <c r="BG38" s="1027">
        <f>BG$16*'P&amp;L by Ctn'!BH$35</f>
        <v>0</v>
      </c>
      <c r="BH38" s="1027">
        <f>BH$16*'P&amp;L by Ctn'!BO$35</f>
        <v>0</v>
      </c>
      <c r="BI38" s="1027">
        <f>BI$16*'P&amp;L by Ctn'!BU$35</f>
        <v>0</v>
      </c>
      <c r="BJ38" s="1027">
        <f>BJ$16*'P&amp;L by Ctn'!CB$35</f>
        <v>0</v>
      </c>
      <c r="BK38" s="1027">
        <f>BK$16*'P&amp;L by Ctn'!CH$35</f>
        <v>0</v>
      </c>
      <c r="BL38" s="1027">
        <f>BL$16*'P&amp;L by Ctn'!CE$35</f>
        <v>0</v>
      </c>
      <c r="BM38" s="1027">
        <f>BM$16*'P&amp;L by Ctn'!CK$35</f>
        <v>0</v>
      </c>
      <c r="BN38" s="1027">
        <f>SUM(BG38:BM38)</f>
        <v>0</v>
      </c>
      <c r="BO38" s="896">
        <f>BO$16*'P&amp;L by Ctn'!BP$35</f>
        <v>0</v>
      </c>
      <c r="BP38" s="896">
        <f>BP$16*'P&amp;L by Ctn'!BW$35</f>
        <v>0</v>
      </c>
      <c r="BQ38" s="896">
        <f>BQ$16*'P&amp;L by Ctn'!CC$35</f>
        <v>0</v>
      </c>
      <c r="BR38" s="896">
        <f>BR$16*'P&amp;L by Ctn'!CJ$35</f>
        <v>0</v>
      </c>
      <c r="BS38" s="896">
        <f>BS$16*'P&amp;L by Ctn'!CP$35</f>
        <v>0</v>
      </c>
      <c r="BT38" s="896">
        <f>BT$16*'P&amp;L by Ctn'!CM$35</f>
        <v>0</v>
      </c>
      <c r="BU38" s="896">
        <f>BU$16*'P&amp;L by Ctn'!CS$35</f>
        <v>0</v>
      </c>
      <c r="BV38" s="896">
        <f>SUM(BO38:BU38)</f>
        <v>0</v>
      </c>
      <c r="BW38" s="1027">
        <f>BW$16*'P&amp;L by Ctn'!BX$35</f>
        <v>0</v>
      </c>
      <c r="BX38" s="1027">
        <f>BX$16*'P&amp;L by Ctn'!CE$35</f>
        <v>0</v>
      </c>
      <c r="BY38" s="1027">
        <f>BY$16*'P&amp;L by Ctn'!CK$35</f>
        <v>0</v>
      </c>
      <c r="BZ38" s="1027">
        <f>BZ$16*'P&amp;L by Ctn'!CR$35</f>
        <v>0</v>
      </c>
      <c r="CA38" s="1027">
        <f>CA$16*'P&amp;L by Ctn'!CX$35</f>
        <v>0</v>
      </c>
      <c r="CB38" s="1027">
        <f>CB$16*'P&amp;L by Ctn'!CU$35</f>
        <v>0</v>
      </c>
      <c r="CC38" s="1027">
        <f>CC$16*'P&amp;L by Ctn'!DA$35</f>
        <v>0</v>
      </c>
      <c r="CD38" s="1027">
        <f>SUM(BW38:CC38)</f>
        <v>0</v>
      </c>
      <c r="CE38" s="896">
        <f>CE$16*'P&amp;L by Ctn'!CF$35</f>
        <v>0</v>
      </c>
      <c r="CF38" s="896">
        <f>CF$16*'P&amp;L by Ctn'!CM$35</f>
        <v>0</v>
      </c>
      <c r="CG38" s="896">
        <f>CG$16*'P&amp;L by Ctn'!CS$35</f>
        <v>0</v>
      </c>
      <c r="CH38" s="896">
        <f>CH$16*'P&amp;L by Ctn'!CZ$35</f>
        <v>0</v>
      </c>
      <c r="CI38" s="896">
        <f>CI$16*'P&amp;L by Ctn'!DF$35</f>
        <v>0</v>
      </c>
      <c r="CJ38" s="896">
        <f>CJ$16*'P&amp;L by Ctn'!DC$35</f>
        <v>0</v>
      </c>
      <c r="CK38" s="896">
        <f>CK$16*'P&amp;L by Ctn'!DI$35</f>
        <v>0</v>
      </c>
      <c r="CL38" s="896">
        <f>SUM(CE38:CK38)</f>
        <v>0</v>
      </c>
      <c r="CM38" s="1027">
        <f>CM$16*'P&amp;L by Ctn'!CN$35</f>
        <v>0</v>
      </c>
      <c r="CN38" s="1027">
        <f>CN$16*'P&amp;L by Ctn'!CU$35</f>
        <v>0</v>
      </c>
      <c r="CO38" s="1027">
        <f>CO$16*'P&amp;L by Ctn'!DA$35</f>
        <v>0</v>
      </c>
      <c r="CP38" s="1027">
        <f>CP$16*'P&amp;L by Ctn'!DH$35</f>
        <v>0</v>
      </c>
      <c r="CQ38" s="1027">
        <f>CQ$16*'P&amp;L by Ctn'!DN$35</f>
        <v>0</v>
      </c>
      <c r="CR38" s="1027">
        <f>CR$16*'P&amp;L by Ctn'!DK$35</f>
        <v>0</v>
      </c>
      <c r="CS38" s="1027">
        <f>CS$16*'P&amp;L by Ctn'!DQ$35</f>
        <v>0</v>
      </c>
      <c r="CT38" s="1027">
        <f>SUM(CM38:CS38)</f>
        <v>0</v>
      </c>
      <c r="CU38" s="1032">
        <f>CU$16*'P&amp;L by Ctn'!CV$35</f>
        <v>0</v>
      </c>
      <c r="CV38" s="1032">
        <f>CV$16*'P&amp;L by Ctn'!DC$35</f>
        <v>0</v>
      </c>
      <c r="CW38" s="1032">
        <f>CW$16*'P&amp;L by Ctn'!DI$35</f>
        <v>0</v>
      </c>
      <c r="CX38" s="1032">
        <f>CX$16*'P&amp;L by Ctn'!DP$35</f>
        <v>0</v>
      </c>
      <c r="CY38" s="1032">
        <f>CY$16*'P&amp;L by Ctn'!DV$35</f>
        <v>0</v>
      </c>
      <c r="CZ38" s="1032">
        <f>CZ$16*'P&amp;L by Ctn'!DS$35</f>
        <v>0</v>
      </c>
      <c r="DA38" s="1032">
        <f>DA$16*'P&amp;L by Ctn'!DY$35</f>
        <v>0</v>
      </c>
      <c r="DB38" s="1032">
        <f t="shared" si="149"/>
        <v>0</v>
      </c>
      <c r="DC38" s="1032">
        <f t="shared" si="149"/>
        <v>0</v>
      </c>
    </row>
    <row r="39" spans="1:107" hidden="1" outlineLevel="1" x14ac:dyDescent="0.45">
      <c r="A39">
        <v>27</v>
      </c>
      <c r="B39" s="1038" t="s">
        <v>174</v>
      </c>
      <c r="C39" s="894">
        <f t="shared" ref="C39:AH39" si="150">IFERROR(C38/C$37,0)</f>
        <v>9.4911628519284488E-2</v>
      </c>
      <c r="D39" s="894">
        <f t="shared" si="150"/>
        <v>9.5378825271434084E-2</v>
      </c>
      <c r="E39" s="894">
        <f t="shared" si="150"/>
        <v>7.5550975507367807E-2</v>
      </c>
      <c r="F39" s="894">
        <f t="shared" si="150"/>
        <v>0</v>
      </c>
      <c r="G39" s="894">
        <f t="shared" si="150"/>
        <v>0</v>
      </c>
      <c r="H39" s="894">
        <f t="shared" si="150"/>
        <v>7.6698564593303386E-3</v>
      </c>
      <c r="I39" s="894">
        <f t="shared" si="150"/>
        <v>0</v>
      </c>
      <c r="J39" s="894">
        <f t="shared" si="150"/>
        <v>8.8793493306718485E-2</v>
      </c>
      <c r="K39" s="1028">
        <f t="shared" si="150"/>
        <v>0</v>
      </c>
      <c r="L39" s="1028">
        <f t="shared" si="150"/>
        <v>0</v>
      </c>
      <c r="M39" s="1028">
        <f t="shared" si="150"/>
        <v>7.6698564593303386E-3</v>
      </c>
      <c r="N39" s="1028">
        <f t="shared" si="150"/>
        <v>0</v>
      </c>
      <c r="O39" s="1028">
        <f t="shared" si="150"/>
        <v>0</v>
      </c>
      <c r="P39" s="1028">
        <f t="shared" si="150"/>
        <v>0</v>
      </c>
      <c r="Q39" s="1028">
        <f t="shared" si="150"/>
        <v>0</v>
      </c>
      <c r="R39" s="1028">
        <f t="shared" si="150"/>
        <v>0</v>
      </c>
      <c r="S39" s="894">
        <f t="shared" si="150"/>
        <v>0</v>
      </c>
      <c r="T39" s="894">
        <f t="shared" si="150"/>
        <v>1.854251726398588E-2</v>
      </c>
      <c r="U39" s="894">
        <f t="shared" si="150"/>
        <v>0.13712353286197648</v>
      </c>
      <c r="V39" s="894">
        <f t="shared" si="150"/>
        <v>0</v>
      </c>
      <c r="W39" s="894">
        <f t="shared" si="150"/>
        <v>0</v>
      </c>
      <c r="X39" s="894">
        <f t="shared" si="150"/>
        <v>0</v>
      </c>
      <c r="Y39" s="894">
        <f t="shared" si="150"/>
        <v>0</v>
      </c>
      <c r="Z39" s="894">
        <f t="shared" si="150"/>
        <v>0</v>
      </c>
      <c r="AA39" s="1028">
        <f t="shared" si="150"/>
        <v>0.20232191983751546</v>
      </c>
      <c r="AB39" s="1028">
        <f t="shared" si="150"/>
        <v>0</v>
      </c>
      <c r="AC39" s="1028">
        <f t="shared" si="150"/>
        <v>0</v>
      </c>
      <c r="AD39" s="1028">
        <f t="shared" si="150"/>
        <v>0</v>
      </c>
      <c r="AE39" s="1028">
        <f t="shared" si="150"/>
        <v>0</v>
      </c>
      <c r="AF39" s="1028">
        <f t="shared" si="150"/>
        <v>0</v>
      </c>
      <c r="AG39" s="1028">
        <f t="shared" si="150"/>
        <v>0</v>
      </c>
      <c r="AH39" s="1028">
        <f t="shared" si="150"/>
        <v>0.20232191983751546</v>
      </c>
      <c r="AI39" s="894">
        <f t="shared" ref="AI39:BN39" si="151">IFERROR(AI38/AI$37,0)</f>
        <v>0</v>
      </c>
      <c r="AJ39" s="894">
        <f t="shared" si="151"/>
        <v>0</v>
      </c>
      <c r="AK39" s="894">
        <f t="shared" si="151"/>
        <v>0</v>
      </c>
      <c r="AL39" s="894">
        <f t="shared" si="151"/>
        <v>0</v>
      </c>
      <c r="AM39" s="894">
        <f t="shared" si="151"/>
        <v>0</v>
      </c>
      <c r="AN39" s="894">
        <f t="shared" si="151"/>
        <v>0</v>
      </c>
      <c r="AO39" s="894">
        <f t="shared" si="151"/>
        <v>0</v>
      </c>
      <c r="AP39" s="894">
        <f t="shared" si="151"/>
        <v>0</v>
      </c>
      <c r="AQ39" s="1028">
        <f t="shared" si="151"/>
        <v>0</v>
      </c>
      <c r="AR39" s="1028">
        <f t="shared" si="151"/>
        <v>0</v>
      </c>
      <c r="AS39" s="1028">
        <f t="shared" si="151"/>
        <v>0</v>
      </c>
      <c r="AT39" s="1028">
        <f t="shared" si="151"/>
        <v>0</v>
      </c>
      <c r="AU39" s="1028">
        <f t="shared" si="151"/>
        <v>0</v>
      </c>
      <c r="AV39" s="1028">
        <f t="shared" si="151"/>
        <v>0</v>
      </c>
      <c r="AW39" s="1028">
        <f t="shared" si="151"/>
        <v>0</v>
      </c>
      <c r="AX39" s="1028">
        <f t="shared" si="151"/>
        <v>0</v>
      </c>
      <c r="AY39" s="894">
        <f t="shared" si="151"/>
        <v>0</v>
      </c>
      <c r="AZ39" s="894">
        <f t="shared" si="151"/>
        <v>0</v>
      </c>
      <c r="BA39" s="894">
        <f t="shared" si="151"/>
        <v>0</v>
      </c>
      <c r="BB39" s="894">
        <f t="shared" si="151"/>
        <v>0</v>
      </c>
      <c r="BC39" s="894">
        <f t="shared" si="151"/>
        <v>0</v>
      </c>
      <c r="BD39" s="894">
        <f t="shared" si="151"/>
        <v>0</v>
      </c>
      <c r="BE39" s="894">
        <f t="shared" si="151"/>
        <v>0</v>
      </c>
      <c r="BF39" s="894">
        <f t="shared" si="151"/>
        <v>0</v>
      </c>
      <c r="BG39" s="1028">
        <f t="shared" si="151"/>
        <v>0</v>
      </c>
      <c r="BH39" s="1028">
        <f t="shared" si="151"/>
        <v>0</v>
      </c>
      <c r="BI39" s="1028">
        <f t="shared" si="151"/>
        <v>0</v>
      </c>
      <c r="BJ39" s="1028">
        <f t="shared" si="151"/>
        <v>0</v>
      </c>
      <c r="BK39" s="1028">
        <f t="shared" si="151"/>
        <v>0</v>
      </c>
      <c r="BL39" s="1028">
        <f t="shared" si="151"/>
        <v>0</v>
      </c>
      <c r="BM39" s="1028">
        <f t="shared" si="151"/>
        <v>0</v>
      </c>
      <c r="BN39" s="1028">
        <f t="shared" si="151"/>
        <v>0</v>
      </c>
      <c r="BO39" s="894">
        <f t="shared" ref="BO39:CT39" si="152">IFERROR(BO38/BO$37,0)</f>
        <v>0</v>
      </c>
      <c r="BP39" s="894">
        <f t="shared" si="152"/>
        <v>0</v>
      </c>
      <c r="BQ39" s="894">
        <f t="shared" si="152"/>
        <v>0</v>
      </c>
      <c r="BR39" s="894">
        <f t="shared" si="152"/>
        <v>0</v>
      </c>
      <c r="BS39" s="894">
        <f t="shared" si="152"/>
        <v>0</v>
      </c>
      <c r="BT39" s="894">
        <f t="shared" si="152"/>
        <v>0</v>
      </c>
      <c r="BU39" s="894">
        <f t="shared" si="152"/>
        <v>0</v>
      </c>
      <c r="BV39" s="894">
        <f t="shared" si="152"/>
        <v>0</v>
      </c>
      <c r="BW39" s="1028">
        <f t="shared" si="152"/>
        <v>0</v>
      </c>
      <c r="BX39" s="1028">
        <f t="shared" si="152"/>
        <v>0</v>
      </c>
      <c r="BY39" s="1028">
        <f t="shared" si="152"/>
        <v>0</v>
      </c>
      <c r="BZ39" s="1028">
        <f t="shared" si="152"/>
        <v>0</v>
      </c>
      <c r="CA39" s="1028">
        <f t="shared" si="152"/>
        <v>0</v>
      </c>
      <c r="CB39" s="1028">
        <f t="shared" si="152"/>
        <v>0</v>
      </c>
      <c r="CC39" s="1028">
        <f t="shared" si="152"/>
        <v>0</v>
      </c>
      <c r="CD39" s="1028">
        <f t="shared" si="152"/>
        <v>0</v>
      </c>
      <c r="CE39" s="894">
        <f t="shared" si="152"/>
        <v>0</v>
      </c>
      <c r="CF39" s="894">
        <f t="shared" si="152"/>
        <v>0</v>
      </c>
      <c r="CG39" s="894">
        <f t="shared" si="152"/>
        <v>0</v>
      </c>
      <c r="CH39" s="894">
        <f t="shared" si="152"/>
        <v>0</v>
      </c>
      <c r="CI39" s="894">
        <f t="shared" si="152"/>
        <v>0</v>
      </c>
      <c r="CJ39" s="894">
        <f t="shared" si="152"/>
        <v>0</v>
      </c>
      <c r="CK39" s="894">
        <f t="shared" si="152"/>
        <v>0</v>
      </c>
      <c r="CL39" s="894">
        <f t="shared" si="152"/>
        <v>0</v>
      </c>
      <c r="CM39" s="1028">
        <f t="shared" si="152"/>
        <v>0</v>
      </c>
      <c r="CN39" s="1028">
        <f t="shared" si="152"/>
        <v>0</v>
      </c>
      <c r="CO39" s="1028">
        <f t="shared" si="152"/>
        <v>0</v>
      </c>
      <c r="CP39" s="1028">
        <f t="shared" si="152"/>
        <v>0</v>
      </c>
      <c r="CQ39" s="1028">
        <f t="shared" si="152"/>
        <v>0</v>
      </c>
      <c r="CR39" s="1028">
        <f t="shared" si="152"/>
        <v>0</v>
      </c>
      <c r="CS39" s="1028">
        <f t="shared" si="152"/>
        <v>0</v>
      </c>
      <c r="CT39" s="1028">
        <f t="shared" si="152"/>
        <v>0</v>
      </c>
      <c r="CU39" s="1033">
        <f t="shared" ref="CU39:DC39" si="153">IFERROR(CU38/CU$37,0)</f>
        <v>0</v>
      </c>
      <c r="CV39" s="1033">
        <f t="shared" si="153"/>
        <v>0</v>
      </c>
      <c r="CW39" s="1033">
        <f t="shared" si="153"/>
        <v>0</v>
      </c>
      <c r="CX39" s="1033">
        <f t="shared" si="153"/>
        <v>0</v>
      </c>
      <c r="CY39" s="1033">
        <f t="shared" si="153"/>
        <v>0</v>
      </c>
      <c r="CZ39" s="1033">
        <f t="shared" si="153"/>
        <v>0</v>
      </c>
      <c r="DA39" s="1033">
        <f t="shared" si="153"/>
        <v>0</v>
      </c>
      <c r="DB39" s="1033">
        <f t="shared" si="153"/>
        <v>0</v>
      </c>
      <c r="DC39" s="1033">
        <f t="shared" si="153"/>
        <v>0</v>
      </c>
    </row>
    <row r="40" spans="1:107" hidden="1" outlineLevel="1" x14ac:dyDescent="0.45">
      <c r="A40">
        <v>28</v>
      </c>
      <c r="B40" s="965"/>
      <c r="C40" s="966"/>
      <c r="D40" s="966"/>
      <c r="E40" s="966"/>
      <c r="F40" s="966"/>
      <c r="G40" s="966"/>
      <c r="H40" s="966"/>
      <c r="I40" s="966"/>
      <c r="J40" s="967"/>
      <c r="K40" s="966"/>
      <c r="L40" s="966"/>
      <c r="M40" s="966"/>
      <c r="N40" s="966"/>
      <c r="O40" s="966"/>
      <c r="P40" s="966"/>
      <c r="Q40" s="966"/>
      <c r="R40" s="967"/>
      <c r="S40" s="966"/>
      <c r="T40" s="966"/>
      <c r="U40" s="966"/>
      <c r="V40" s="966"/>
      <c r="W40" s="966"/>
      <c r="X40" s="966"/>
      <c r="Y40" s="966"/>
      <c r="Z40" s="967"/>
      <c r="AA40" s="966"/>
      <c r="AB40" s="966"/>
      <c r="AC40" s="966"/>
      <c r="AD40" s="966"/>
      <c r="AE40" s="966"/>
      <c r="AF40" s="966"/>
      <c r="AG40" s="966"/>
      <c r="AH40" s="967"/>
      <c r="AI40" s="966"/>
      <c r="AJ40" s="966"/>
      <c r="AK40" s="966"/>
      <c r="AL40" s="966"/>
      <c r="AM40" s="966"/>
      <c r="AN40" s="966"/>
      <c r="AO40" s="966"/>
      <c r="AP40" s="967"/>
      <c r="AQ40" s="966"/>
      <c r="AR40" s="966"/>
      <c r="AS40" s="966"/>
      <c r="AT40" s="966"/>
      <c r="AU40" s="966"/>
      <c r="AV40" s="966"/>
      <c r="AW40" s="966"/>
      <c r="AX40" s="967"/>
      <c r="AY40" s="966"/>
      <c r="AZ40" s="966"/>
      <c r="BA40" s="966"/>
      <c r="BB40" s="966"/>
      <c r="BC40" s="966"/>
      <c r="BD40" s="966"/>
      <c r="BE40" s="966"/>
      <c r="BF40" s="967"/>
      <c r="BG40" s="966"/>
      <c r="BH40" s="966"/>
      <c r="BI40" s="966"/>
      <c r="BJ40" s="966"/>
      <c r="BK40" s="966"/>
      <c r="BL40" s="966"/>
      <c r="BM40" s="966"/>
      <c r="BN40" s="967"/>
      <c r="BO40" s="966"/>
      <c r="BP40" s="966"/>
      <c r="BQ40" s="966"/>
      <c r="BR40" s="966"/>
      <c r="BS40" s="966"/>
      <c r="BT40" s="966"/>
      <c r="BU40" s="966"/>
      <c r="BV40" s="967"/>
      <c r="BW40" s="966"/>
      <c r="BX40" s="966"/>
      <c r="BY40" s="966"/>
      <c r="BZ40" s="966"/>
      <c r="CA40" s="966"/>
      <c r="CB40" s="966"/>
      <c r="CC40" s="966"/>
      <c r="CD40" s="967"/>
      <c r="CE40" s="966"/>
      <c r="CF40" s="966"/>
      <c r="CG40" s="966"/>
      <c r="CH40" s="966"/>
      <c r="CI40" s="966"/>
      <c r="CJ40" s="966"/>
      <c r="CK40" s="966"/>
      <c r="CL40" s="967"/>
      <c r="CM40" s="966"/>
      <c r="CN40" s="966"/>
      <c r="CO40" s="966"/>
      <c r="CP40" s="966"/>
      <c r="CQ40" s="966"/>
      <c r="CR40" s="966"/>
      <c r="CS40" s="966"/>
      <c r="CT40" s="967"/>
      <c r="CU40" s="966"/>
      <c r="CV40" s="966"/>
      <c r="CW40" s="966"/>
      <c r="CX40" s="966"/>
      <c r="CY40" s="966"/>
      <c r="CZ40" s="966"/>
      <c r="DA40" s="966"/>
      <c r="DB40" s="967"/>
      <c r="DC40" s="967"/>
    </row>
    <row r="41" spans="1:107" hidden="1" outlineLevel="1" x14ac:dyDescent="0.45">
      <c r="A41">
        <v>29</v>
      </c>
      <c r="B41" s="1034" t="s">
        <v>218</v>
      </c>
      <c r="C41" s="889">
        <f t="shared" ref="C41:AH41" si="154">C20-C22</f>
        <v>361358.74473081809</v>
      </c>
      <c r="D41" s="889">
        <f t="shared" si="154"/>
        <v>63046.293894897826</v>
      </c>
      <c r="E41" s="889">
        <f t="shared" si="154"/>
        <v>50779.008145237225</v>
      </c>
      <c r="F41" s="889">
        <f t="shared" si="154"/>
        <v>0</v>
      </c>
      <c r="G41" s="889">
        <f t="shared" si="154"/>
        <v>0</v>
      </c>
      <c r="H41" s="889">
        <f t="shared" si="154"/>
        <v>1200.0250174800003</v>
      </c>
      <c r="I41" s="889">
        <f t="shared" si="154"/>
        <v>540.61502445719998</v>
      </c>
      <c r="J41" s="889">
        <f t="shared" si="154"/>
        <v>476924.68681289005</v>
      </c>
      <c r="K41" s="1025">
        <f t="shared" si="154"/>
        <v>141797.4434954506</v>
      </c>
      <c r="L41" s="1025">
        <f t="shared" si="154"/>
        <v>41406.653594030075</v>
      </c>
      <c r="M41" s="1025">
        <f t="shared" si="154"/>
        <v>8733.9899303090933</v>
      </c>
      <c r="N41" s="1025">
        <f t="shared" si="154"/>
        <v>0</v>
      </c>
      <c r="O41" s="1025">
        <f t="shared" si="154"/>
        <v>1271.9117735748503</v>
      </c>
      <c r="P41" s="1025">
        <f t="shared" si="154"/>
        <v>876.9629751399998</v>
      </c>
      <c r="Q41" s="1025">
        <f t="shared" si="154"/>
        <v>0</v>
      </c>
      <c r="R41" s="1025">
        <f t="shared" si="154"/>
        <v>194086.96176850438</v>
      </c>
      <c r="S41" s="889">
        <f t="shared" si="154"/>
        <v>209803.55883175705</v>
      </c>
      <c r="T41" s="889">
        <f t="shared" si="154"/>
        <v>35036.399194948535</v>
      </c>
      <c r="U41" s="889">
        <f t="shared" si="154"/>
        <v>12986.556867627281</v>
      </c>
      <c r="V41" s="889">
        <f t="shared" si="154"/>
        <v>1696.9620869920482</v>
      </c>
      <c r="W41" s="889">
        <f t="shared" si="154"/>
        <v>2596.3080540487517</v>
      </c>
      <c r="X41" s="889">
        <f t="shared" si="154"/>
        <v>2658.5824930560011</v>
      </c>
      <c r="Y41" s="889">
        <f t="shared" si="154"/>
        <v>741.75448162475004</v>
      </c>
      <c r="Z41" s="889">
        <f t="shared" si="154"/>
        <v>265520.12201005477</v>
      </c>
      <c r="AA41" s="1025">
        <f t="shared" si="154"/>
        <v>140677.72894814101</v>
      </c>
      <c r="AB41" s="1025">
        <f t="shared" si="154"/>
        <v>20214.80999535145</v>
      </c>
      <c r="AC41" s="1025">
        <f t="shared" si="154"/>
        <v>-23582.354558917665</v>
      </c>
      <c r="AD41" s="1025">
        <f t="shared" si="154"/>
        <v>0</v>
      </c>
      <c r="AE41" s="1025">
        <f t="shared" si="154"/>
        <v>821.74647887323999</v>
      </c>
      <c r="AF41" s="1025">
        <f t="shared" si="154"/>
        <v>850.47887323943723</v>
      </c>
      <c r="AG41" s="1025">
        <f t="shared" si="154"/>
        <v>277.01408450704184</v>
      </c>
      <c r="AH41" s="1025">
        <f t="shared" si="154"/>
        <v>139259.42382119433</v>
      </c>
      <c r="AI41" s="889">
        <f t="shared" ref="AI41:BN41" si="155">AI20-AI22</f>
        <v>83337.229149499501</v>
      </c>
      <c r="AJ41" s="889">
        <f t="shared" si="155"/>
        <v>12128.885997210877</v>
      </c>
      <c r="AK41" s="889">
        <f t="shared" si="155"/>
        <v>-13302.86667426124</v>
      </c>
      <c r="AL41" s="889">
        <f t="shared" si="155"/>
        <v>0</v>
      </c>
      <c r="AM41" s="889">
        <f t="shared" si="155"/>
        <v>821.74647887323999</v>
      </c>
      <c r="AN41" s="889">
        <f t="shared" si="155"/>
        <v>850.47887323943723</v>
      </c>
      <c r="AO41" s="889">
        <f t="shared" si="155"/>
        <v>277.01408450704184</v>
      </c>
      <c r="AP41" s="889">
        <f t="shared" si="155"/>
        <v>84112.487909068703</v>
      </c>
      <c r="AQ41" s="1025">
        <f t="shared" si="155"/>
        <v>131883.1495368756</v>
      </c>
      <c r="AR41" s="1025">
        <f t="shared" si="155"/>
        <v>20214.80999535145</v>
      </c>
      <c r="AS41" s="1025">
        <f t="shared" si="155"/>
        <v>-21768.327285154723</v>
      </c>
      <c r="AT41" s="1025">
        <f t="shared" si="155"/>
        <v>0</v>
      </c>
      <c r="AU41" s="1025">
        <f t="shared" si="155"/>
        <v>821.74647887323999</v>
      </c>
      <c r="AV41" s="1025">
        <f t="shared" si="155"/>
        <v>1700.9577464788745</v>
      </c>
      <c r="AW41" s="1025">
        <f t="shared" si="155"/>
        <v>277.01408450704184</v>
      </c>
      <c r="AX41" s="1025">
        <f t="shared" si="155"/>
        <v>133129.35055693169</v>
      </c>
      <c r="AY41" s="889" t="e">
        <f t="shared" si="155"/>
        <v>#REF!</v>
      </c>
      <c r="AZ41" s="889" t="e">
        <f t="shared" si="155"/>
        <v>#REF!</v>
      </c>
      <c r="BA41" s="889" t="e">
        <f t="shared" si="155"/>
        <v>#REF!</v>
      </c>
      <c r="BB41" s="889">
        <f t="shared" si="155"/>
        <v>0</v>
      </c>
      <c r="BC41" s="889">
        <f t="shared" si="155"/>
        <v>0</v>
      </c>
      <c r="BD41" s="889">
        <f t="shared" si="155"/>
        <v>947.83098591549333</v>
      </c>
      <c r="BE41" s="889">
        <f t="shared" si="155"/>
        <v>0</v>
      </c>
      <c r="BF41" s="889" t="e">
        <f t="shared" si="155"/>
        <v>#REF!</v>
      </c>
      <c r="BG41" s="1025" t="e">
        <f t="shared" si="155"/>
        <v>#REF!</v>
      </c>
      <c r="BH41" s="1025" t="e">
        <f t="shared" si="155"/>
        <v>#REF!</v>
      </c>
      <c r="BI41" s="1025" t="e">
        <f t="shared" si="155"/>
        <v>#REF!</v>
      </c>
      <c r="BJ41" s="1025">
        <f t="shared" si="155"/>
        <v>0</v>
      </c>
      <c r="BK41" s="1025">
        <f t="shared" si="155"/>
        <v>894.08450704225379</v>
      </c>
      <c r="BL41" s="1025">
        <f t="shared" si="155"/>
        <v>1895.6619718309867</v>
      </c>
      <c r="BM41" s="1025">
        <f t="shared" si="155"/>
        <v>473.91549295774621</v>
      </c>
      <c r="BN41" s="1025" t="e">
        <f t="shared" si="155"/>
        <v>#REF!</v>
      </c>
      <c r="BO41" s="889" t="e">
        <f t="shared" ref="BO41:CT41" si="156">BO20-BO22</f>
        <v>#REF!</v>
      </c>
      <c r="BP41" s="889" t="e">
        <f t="shared" si="156"/>
        <v>#REF!</v>
      </c>
      <c r="BQ41" s="889" t="e">
        <f t="shared" si="156"/>
        <v>#REF!</v>
      </c>
      <c r="BR41" s="889">
        <f t="shared" si="156"/>
        <v>0</v>
      </c>
      <c r="BS41" s="889">
        <f t="shared" si="156"/>
        <v>894.08450704225379</v>
      </c>
      <c r="BT41" s="889">
        <f t="shared" si="156"/>
        <v>947.83098591549333</v>
      </c>
      <c r="BU41" s="889">
        <f t="shared" si="156"/>
        <v>473.91549295774621</v>
      </c>
      <c r="BV41" s="889" t="e">
        <f t="shared" si="156"/>
        <v>#REF!</v>
      </c>
      <c r="BW41" s="1025" t="e">
        <f t="shared" si="156"/>
        <v>#REF!</v>
      </c>
      <c r="BX41" s="1025" t="e">
        <f t="shared" si="156"/>
        <v>#REF!</v>
      </c>
      <c r="BY41" s="1025" t="e">
        <f t="shared" si="156"/>
        <v>#REF!</v>
      </c>
      <c r="BZ41" s="1025">
        <f t="shared" si="156"/>
        <v>0</v>
      </c>
      <c r="CA41" s="1025">
        <f t="shared" si="156"/>
        <v>894.08450704225379</v>
      </c>
      <c r="CB41" s="1025">
        <f t="shared" si="156"/>
        <v>947.83098591549333</v>
      </c>
      <c r="CC41" s="1025">
        <f t="shared" si="156"/>
        <v>0</v>
      </c>
      <c r="CD41" s="1025" t="e">
        <f t="shared" si="156"/>
        <v>#REF!</v>
      </c>
      <c r="CE41" s="889" t="e">
        <f t="shared" si="156"/>
        <v>#REF!</v>
      </c>
      <c r="CF41" s="889" t="e">
        <f t="shared" si="156"/>
        <v>#REF!</v>
      </c>
      <c r="CG41" s="889" t="e">
        <f t="shared" si="156"/>
        <v>#REF!</v>
      </c>
      <c r="CH41" s="889">
        <f t="shared" si="156"/>
        <v>0</v>
      </c>
      <c r="CI41" s="889">
        <f t="shared" si="156"/>
        <v>0</v>
      </c>
      <c r="CJ41" s="889">
        <f t="shared" si="156"/>
        <v>947.83098591549333</v>
      </c>
      <c r="CK41" s="889">
        <f t="shared" si="156"/>
        <v>473.91549295774621</v>
      </c>
      <c r="CL41" s="889" t="e">
        <f t="shared" si="156"/>
        <v>#REF!</v>
      </c>
      <c r="CM41" s="1025" t="e">
        <f t="shared" si="156"/>
        <v>#REF!</v>
      </c>
      <c r="CN41" s="1025" t="e">
        <f t="shared" si="156"/>
        <v>#REF!</v>
      </c>
      <c r="CO41" s="1025" t="e">
        <f t="shared" si="156"/>
        <v>#REF!</v>
      </c>
      <c r="CP41" s="1025">
        <f t="shared" si="156"/>
        <v>0</v>
      </c>
      <c r="CQ41" s="1025">
        <f t="shared" si="156"/>
        <v>894.08450704225379</v>
      </c>
      <c r="CR41" s="1025">
        <f t="shared" si="156"/>
        <v>947.83098591549333</v>
      </c>
      <c r="CS41" s="1025">
        <f t="shared" si="156"/>
        <v>473.91549295774621</v>
      </c>
      <c r="CT41" s="1025" t="e">
        <f t="shared" si="156"/>
        <v>#REF!</v>
      </c>
      <c r="CU41" s="1030" t="e">
        <f t="shared" ref="CU41:DC41" si="157">CU20-CU22</f>
        <v>#REF!</v>
      </c>
      <c r="CV41" s="1030" t="e">
        <f t="shared" si="157"/>
        <v>#REF!</v>
      </c>
      <c r="CW41" s="1030" t="e">
        <f t="shared" si="157"/>
        <v>#REF!</v>
      </c>
      <c r="CX41" s="1030">
        <f t="shared" si="157"/>
        <v>1696.9620869920482</v>
      </c>
      <c r="CY41" s="1030">
        <f t="shared" si="157"/>
        <v>9909.7972924123387</v>
      </c>
      <c r="CZ41" s="1030">
        <f t="shared" si="157"/>
        <v>14772.302880042218</v>
      </c>
      <c r="DA41" s="1030">
        <f t="shared" si="157"/>
        <v>4009.0737314340768</v>
      </c>
      <c r="DB41" s="1030" t="e">
        <f t="shared" si="157"/>
        <v>#REF!</v>
      </c>
      <c r="DC41" s="1030">
        <f t="shared" si="157"/>
        <v>671011.64858139423</v>
      </c>
    </row>
    <row r="42" spans="1:107" hidden="1" outlineLevel="1" x14ac:dyDescent="0.45">
      <c r="A42">
        <v>30</v>
      </c>
      <c r="B42" s="1035" t="s">
        <v>219</v>
      </c>
      <c r="C42" s="891">
        <f t="shared" ref="C42:AH42" si="158">IFERROR(C41/C18,0)</f>
        <v>0.24295880618778454</v>
      </c>
      <c r="D42" s="891">
        <f t="shared" si="158"/>
        <v>0.17197503697686786</v>
      </c>
      <c r="E42" s="891">
        <f t="shared" si="158"/>
        <v>6.2714352072468532E-2</v>
      </c>
      <c r="F42" s="891">
        <f t="shared" si="158"/>
        <v>0</v>
      </c>
      <c r="G42" s="891">
        <f t="shared" si="158"/>
        <v>0</v>
      </c>
      <c r="H42" s="891">
        <f t="shared" si="158"/>
        <v>0.12106789926150124</v>
      </c>
      <c r="I42" s="891">
        <f t="shared" si="158"/>
        <v>7.5984570818181815E-2</v>
      </c>
      <c r="J42" s="891">
        <f t="shared" si="158"/>
        <v>0.17791444685251254</v>
      </c>
      <c r="K42" s="1026">
        <f t="shared" si="158"/>
        <v>0.19844154983862453</v>
      </c>
      <c r="L42" s="1026">
        <f t="shared" si="158"/>
        <v>0.13901210277773524</v>
      </c>
      <c r="M42" s="1026">
        <f t="shared" si="158"/>
        <v>1.0259887059408454E-2</v>
      </c>
      <c r="N42" s="1026">
        <f t="shared" si="158"/>
        <v>0</v>
      </c>
      <c r="O42" s="1026">
        <f t="shared" si="158"/>
        <v>0.24926152592633932</v>
      </c>
      <c r="P42" s="1026">
        <f t="shared" si="158"/>
        <v>8.9406190915254216E-2</v>
      </c>
      <c r="Q42" s="1026">
        <f t="shared" si="158"/>
        <v>0</v>
      </c>
      <c r="R42" s="1026">
        <f t="shared" si="158"/>
        <v>0.1033143638944195</v>
      </c>
      <c r="S42" s="891">
        <f t="shared" si="158"/>
        <v>0.1984415498386245</v>
      </c>
      <c r="T42" s="891">
        <f t="shared" si="158"/>
        <v>0.13901210277773526</v>
      </c>
      <c r="U42" s="891">
        <f t="shared" si="158"/>
        <v>1.0259887059408522E-2</v>
      </c>
      <c r="V42" s="891">
        <f t="shared" si="158"/>
        <v>0.18477374640592859</v>
      </c>
      <c r="W42" s="891">
        <f t="shared" si="158"/>
        <v>0.24926152592633941</v>
      </c>
      <c r="X42" s="891">
        <f t="shared" si="158"/>
        <v>8.9406190915254272E-2</v>
      </c>
      <c r="Y42" s="891">
        <f t="shared" si="158"/>
        <v>5.1085019395643944E-2</v>
      </c>
      <c r="Z42" s="891">
        <f t="shared" si="158"/>
        <v>0.10061731235411232</v>
      </c>
      <c r="AA42" s="1026">
        <f t="shared" si="158"/>
        <v>0.17220235788558896</v>
      </c>
      <c r="AB42" s="1026">
        <f t="shared" si="158"/>
        <v>8.8225777768352234E-2</v>
      </c>
      <c r="AC42" s="1026">
        <f t="shared" si="158"/>
        <v>-2.9857341360127809E-2</v>
      </c>
      <c r="AD42" s="1026">
        <f t="shared" si="158"/>
        <v>0</v>
      </c>
      <c r="AE42" s="1026">
        <f t="shared" si="158"/>
        <v>0.15285462776659967</v>
      </c>
      <c r="AF42" s="1026">
        <f t="shared" si="158"/>
        <v>8.5802953313098992E-2</v>
      </c>
      <c r="AG42" s="1026">
        <f t="shared" si="158"/>
        <v>3.8156209987195849E-2</v>
      </c>
      <c r="AH42" s="1026">
        <f t="shared" si="158"/>
        <v>7.4933468366815206E-2</v>
      </c>
      <c r="AI42" s="891">
        <f t="shared" ref="AI42:BN42" si="159">IFERROR(AI41/AI18,0)</f>
        <v>0.17220235788558902</v>
      </c>
      <c r="AJ42" s="891">
        <f t="shared" si="159"/>
        <v>8.8225777768352276E-2</v>
      </c>
      <c r="AK42" s="891">
        <f t="shared" si="159"/>
        <v>-2.9857341360127795E-2</v>
      </c>
      <c r="AL42" s="891">
        <f t="shared" si="159"/>
        <v>0</v>
      </c>
      <c r="AM42" s="891">
        <f t="shared" si="159"/>
        <v>0.15285462776659967</v>
      </c>
      <c r="AN42" s="891">
        <f t="shared" si="159"/>
        <v>8.5802953313098992E-2</v>
      </c>
      <c r="AO42" s="891">
        <f t="shared" si="159"/>
        <v>3.8156209987195849E-2</v>
      </c>
      <c r="AP42" s="891">
        <f t="shared" si="159"/>
        <v>7.7201378846177643E-2</v>
      </c>
      <c r="AQ42" s="1026">
        <f t="shared" si="159"/>
        <v>0.17220235788558905</v>
      </c>
      <c r="AR42" s="1026">
        <f t="shared" si="159"/>
        <v>8.8225777768352234E-2</v>
      </c>
      <c r="AS42" s="1026">
        <f t="shared" si="159"/>
        <v>-2.9857341360127743E-2</v>
      </c>
      <c r="AT42" s="1026">
        <f t="shared" si="159"/>
        <v>0</v>
      </c>
      <c r="AU42" s="1026">
        <f t="shared" si="159"/>
        <v>0.15285462776659967</v>
      </c>
      <c r="AV42" s="1026">
        <f t="shared" si="159"/>
        <v>8.5802953313098992E-2</v>
      </c>
      <c r="AW42" s="1026">
        <f t="shared" si="159"/>
        <v>3.8156209987195849E-2</v>
      </c>
      <c r="AX42" s="1026">
        <f t="shared" si="159"/>
        <v>7.5791310968931019E-2</v>
      </c>
      <c r="AY42" s="891">
        <f t="shared" si="159"/>
        <v>0</v>
      </c>
      <c r="AZ42" s="891">
        <f t="shared" si="159"/>
        <v>0</v>
      </c>
      <c r="BA42" s="891">
        <f t="shared" si="159"/>
        <v>0</v>
      </c>
      <c r="BB42" s="891">
        <f t="shared" si="159"/>
        <v>0</v>
      </c>
      <c r="BC42" s="891">
        <f t="shared" si="159"/>
        <v>0</v>
      </c>
      <c r="BD42" s="891">
        <f t="shared" si="159"/>
        <v>9.1844087782509048E-2</v>
      </c>
      <c r="BE42" s="891">
        <f t="shared" si="159"/>
        <v>0</v>
      </c>
      <c r="BF42" s="891">
        <f t="shared" si="159"/>
        <v>0</v>
      </c>
      <c r="BG42" s="1026">
        <f t="shared" si="159"/>
        <v>0</v>
      </c>
      <c r="BH42" s="1026">
        <f t="shared" si="159"/>
        <v>0</v>
      </c>
      <c r="BI42" s="1026">
        <f t="shared" si="159"/>
        <v>0</v>
      </c>
      <c r="BJ42" s="1026">
        <f t="shared" si="159"/>
        <v>0</v>
      </c>
      <c r="BK42" s="1026">
        <f t="shared" si="159"/>
        <v>0.15522300469483571</v>
      </c>
      <c r="BL42" s="1026">
        <f t="shared" si="159"/>
        <v>9.1844087782509048E-2</v>
      </c>
      <c r="BM42" s="1026">
        <f t="shared" si="159"/>
        <v>6.5277616109882391E-2</v>
      </c>
      <c r="BN42" s="1026">
        <f t="shared" si="159"/>
        <v>0</v>
      </c>
      <c r="BO42" s="891">
        <f t="shared" ref="BO42:CT42" si="160">IFERROR(BO41/BO18,0)</f>
        <v>0</v>
      </c>
      <c r="BP42" s="891">
        <f t="shared" si="160"/>
        <v>0</v>
      </c>
      <c r="BQ42" s="891">
        <f t="shared" si="160"/>
        <v>0</v>
      </c>
      <c r="BR42" s="891">
        <f t="shared" si="160"/>
        <v>0</v>
      </c>
      <c r="BS42" s="891">
        <f t="shared" si="160"/>
        <v>0.15522300469483571</v>
      </c>
      <c r="BT42" s="891">
        <f t="shared" si="160"/>
        <v>9.1844087782509048E-2</v>
      </c>
      <c r="BU42" s="891">
        <f t="shared" si="160"/>
        <v>6.5277616109882391E-2</v>
      </c>
      <c r="BV42" s="891">
        <f t="shared" si="160"/>
        <v>0</v>
      </c>
      <c r="BW42" s="1026">
        <f t="shared" si="160"/>
        <v>0</v>
      </c>
      <c r="BX42" s="1026">
        <f t="shared" si="160"/>
        <v>0</v>
      </c>
      <c r="BY42" s="1026">
        <f t="shared" si="160"/>
        <v>0</v>
      </c>
      <c r="BZ42" s="1026">
        <f t="shared" si="160"/>
        <v>0</v>
      </c>
      <c r="CA42" s="1026">
        <f t="shared" si="160"/>
        <v>0.15522300469483571</v>
      </c>
      <c r="CB42" s="1026">
        <f t="shared" si="160"/>
        <v>9.1844087782509048E-2</v>
      </c>
      <c r="CC42" s="1026">
        <f t="shared" si="160"/>
        <v>0</v>
      </c>
      <c r="CD42" s="1026">
        <f t="shared" si="160"/>
        <v>0</v>
      </c>
      <c r="CE42" s="891">
        <f t="shared" si="160"/>
        <v>0</v>
      </c>
      <c r="CF42" s="891">
        <f t="shared" si="160"/>
        <v>0</v>
      </c>
      <c r="CG42" s="891">
        <f t="shared" si="160"/>
        <v>0</v>
      </c>
      <c r="CH42" s="891">
        <f t="shared" si="160"/>
        <v>0</v>
      </c>
      <c r="CI42" s="891">
        <f t="shared" si="160"/>
        <v>0</v>
      </c>
      <c r="CJ42" s="891">
        <f t="shared" si="160"/>
        <v>9.1844087782509048E-2</v>
      </c>
      <c r="CK42" s="891">
        <f t="shared" si="160"/>
        <v>6.5277616109882391E-2</v>
      </c>
      <c r="CL42" s="891">
        <f t="shared" si="160"/>
        <v>0</v>
      </c>
      <c r="CM42" s="1026">
        <f t="shared" si="160"/>
        <v>0</v>
      </c>
      <c r="CN42" s="1026">
        <f t="shared" si="160"/>
        <v>0</v>
      </c>
      <c r="CO42" s="1026">
        <f t="shared" si="160"/>
        <v>0</v>
      </c>
      <c r="CP42" s="1026">
        <f t="shared" si="160"/>
        <v>0</v>
      </c>
      <c r="CQ42" s="1026">
        <f t="shared" si="160"/>
        <v>0.15522300469483571</v>
      </c>
      <c r="CR42" s="1026">
        <f t="shared" si="160"/>
        <v>9.1844087782509048E-2</v>
      </c>
      <c r="CS42" s="1026">
        <f t="shared" si="160"/>
        <v>6.5277616109882391E-2</v>
      </c>
      <c r="CT42" s="1026">
        <f t="shared" si="160"/>
        <v>0</v>
      </c>
      <c r="CU42" s="1031">
        <f t="shared" ref="CU42:DC42" si="161">IFERROR(CU41/CU18,0)</f>
        <v>0</v>
      </c>
      <c r="CV42" s="1031">
        <f t="shared" si="161"/>
        <v>0</v>
      </c>
      <c r="CW42" s="1031">
        <f t="shared" si="161"/>
        <v>0</v>
      </c>
      <c r="CX42" s="1031">
        <f t="shared" si="161"/>
        <v>0.18477374640592859</v>
      </c>
      <c r="CY42" s="1031">
        <f t="shared" si="161"/>
        <v>0.18121030649511141</v>
      </c>
      <c r="CZ42" s="1031">
        <f t="shared" si="161"/>
        <v>9.1557381817767347E-2</v>
      </c>
      <c r="DA42" s="1031">
        <f t="shared" si="161"/>
        <v>5.5332065390202946E-2</v>
      </c>
      <c r="DB42" s="1031">
        <f t="shared" si="161"/>
        <v>0</v>
      </c>
      <c r="DC42" s="1031">
        <f t="shared" si="161"/>
        <v>0.14717600104767076</v>
      </c>
    </row>
    <row r="43" spans="1:107" collapsed="1" x14ac:dyDescent="0.45"/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3FBE-7AD3-4867-93C4-D2235D12AB03}">
  <dimension ref="B2:T147"/>
  <sheetViews>
    <sheetView showGridLines="0" topLeftCell="A88" zoomScale="70" zoomScaleNormal="70" workbookViewId="0">
      <selection activeCell="E96" sqref="E96"/>
    </sheetView>
  </sheetViews>
  <sheetFormatPr defaultRowHeight="14.25" outlineLevelRow="1" x14ac:dyDescent="0.45"/>
  <cols>
    <col min="2" max="2" width="24.3984375" bestFit="1" customWidth="1"/>
    <col min="3" max="3" width="19.1328125" bestFit="1" customWidth="1"/>
    <col min="4" max="4" width="16.86328125" bestFit="1" customWidth="1"/>
    <col min="5" max="5" width="19.73046875" bestFit="1" customWidth="1"/>
    <col min="6" max="6" width="19.1328125" bestFit="1" customWidth="1"/>
    <col min="7" max="7" width="21.59765625" bestFit="1" customWidth="1"/>
    <col min="8" max="9" width="20.265625" bestFit="1" customWidth="1"/>
    <col min="10" max="10" width="14.86328125" bestFit="1" customWidth="1"/>
    <col min="12" max="12" width="27.3984375" bestFit="1" customWidth="1"/>
    <col min="13" max="13" width="19.1328125" bestFit="1" customWidth="1"/>
    <col min="14" max="14" width="16.86328125" bestFit="1" customWidth="1"/>
    <col min="15" max="15" width="19.73046875" bestFit="1" customWidth="1"/>
    <col min="16" max="16" width="19.1328125" bestFit="1" customWidth="1"/>
    <col min="17" max="17" width="21.59765625" bestFit="1" customWidth="1"/>
    <col min="18" max="19" width="20.265625" bestFit="1" customWidth="1"/>
    <col min="20" max="20" width="14.86328125" bestFit="1" customWidth="1"/>
  </cols>
  <sheetData>
    <row r="2" spans="2:10" x14ac:dyDescent="0.45">
      <c r="B2" s="741" t="s">
        <v>220</v>
      </c>
    </row>
    <row r="3" spans="2:10" x14ac:dyDescent="0.45">
      <c r="B3" s="332" t="s">
        <v>202</v>
      </c>
      <c r="C3" s="332" t="s">
        <v>2</v>
      </c>
      <c r="D3" s="332" t="s">
        <v>3</v>
      </c>
      <c r="E3" s="332" t="s">
        <v>4</v>
      </c>
      <c r="F3" s="332" t="s">
        <v>135</v>
      </c>
      <c r="G3" s="332" t="s">
        <v>154</v>
      </c>
      <c r="H3" s="332" t="s">
        <v>137</v>
      </c>
      <c r="I3" s="332" t="s">
        <v>138</v>
      </c>
      <c r="J3" s="332" t="s">
        <v>201</v>
      </c>
    </row>
    <row r="4" spans="2:10" x14ac:dyDescent="0.45">
      <c r="B4" s="888" t="s">
        <v>216</v>
      </c>
      <c r="C4" s="889">
        <f>'STT STD - By SKU 150'!C78</f>
        <v>22738760</v>
      </c>
      <c r="D4" s="889">
        <f>'STT STD - By SKU 150'!D78</f>
        <v>6400000</v>
      </c>
      <c r="E4" s="889">
        <f>'STT STD - By SKU 150'!E78</f>
        <v>20521000</v>
      </c>
      <c r="F4" s="889">
        <f>'STT STD - By SKU 150'!F78</f>
        <v>64000</v>
      </c>
      <c r="G4" s="889">
        <f>'STT STD - By SKU 150'!G78</f>
        <v>41568</v>
      </c>
      <c r="H4" s="889">
        <f>'STT STD - By SKU 150'!H78</f>
        <v>143700</v>
      </c>
      <c r="I4" s="889">
        <f>'STT STD - By SKU 150'!I78</f>
        <v>85824</v>
      </c>
      <c r="J4" s="889">
        <f>SUM(C4:I4)</f>
        <v>49994852</v>
      </c>
    </row>
    <row r="5" spans="2:10" x14ac:dyDescent="0.45">
      <c r="B5" s="888" t="s">
        <v>217</v>
      </c>
      <c r="C5" s="889">
        <f t="shared" ref="C5:I5" si="0">C4/RIGHT(C3,2)</f>
        <v>568469</v>
      </c>
      <c r="D5" s="889">
        <f t="shared" si="0"/>
        <v>160000</v>
      </c>
      <c r="E5" s="889">
        <f t="shared" si="0"/>
        <v>513025</v>
      </c>
      <c r="F5" s="889">
        <f t="shared" si="0"/>
        <v>1600</v>
      </c>
      <c r="G5" s="889">
        <f t="shared" si="0"/>
        <v>3464</v>
      </c>
      <c r="H5" s="889">
        <f t="shared" si="0"/>
        <v>11975</v>
      </c>
      <c r="I5" s="889">
        <f t="shared" si="0"/>
        <v>3576</v>
      </c>
      <c r="J5" s="889">
        <f>SUM(C5:I5)</f>
        <v>1262109</v>
      </c>
    </row>
    <row r="6" spans="2:10" x14ac:dyDescent="0.45">
      <c r="B6" s="888" t="s">
        <v>12</v>
      </c>
      <c r="C6" s="889">
        <f>C$5*'P&amp;L by Ctn'!E$12</f>
        <v>3435239.0907780584</v>
      </c>
      <c r="D6" s="889">
        <f>D$5*'P&amp;L by Ctn'!K$12</f>
        <v>966005.05305172387</v>
      </c>
      <c r="E6" s="889">
        <f>E$5*'P&amp;L by Ctn'!Q$12</f>
        <v>3101028.1121778851</v>
      </c>
      <c r="F6" s="889">
        <f>F$5*'P&amp;L by Ctn'!X$12</f>
        <v>9683.5397685950429</v>
      </c>
      <c r="G6" s="889">
        <f>G$5*'P&amp;L by Ctn'!AD$12</f>
        <v>17493.715270000001</v>
      </c>
      <c r="H6" s="889">
        <f>H$5*'P&amp;L by Ctn'!AA$12</f>
        <v>54513.223687499994</v>
      </c>
      <c r="I6" s="889">
        <f>I$5*'P&amp;L by Ctn'!AG$12</f>
        <v>23430.019050000003</v>
      </c>
      <c r="J6" s="889">
        <f>SUM(C6:I6)</f>
        <v>7607392.7537837625</v>
      </c>
    </row>
    <row r="7" spans="2:10" x14ac:dyDescent="0.45">
      <c r="B7" s="888" t="s">
        <v>155</v>
      </c>
      <c r="C7" s="889">
        <f>C$5*'P&amp;L by Ctn'!E$13</f>
        <v>3259136.5682415855</v>
      </c>
      <c r="D7" s="889">
        <f>D$5*'P&amp;L by Ctn'!K$13</f>
        <v>916503.56649404438</v>
      </c>
      <c r="E7" s="889">
        <f>E$5*'P&amp;L by Ctn'!Q$13</f>
        <v>2926722.8627477572</v>
      </c>
      <c r="F7" s="889">
        <f>F$5*'P&amp;L by Ctn'!X$13</f>
        <v>9184</v>
      </c>
      <c r="G7" s="889">
        <f>G$5*'P&amp;L by Ctn'!AD$13</f>
        <v>16627.2</v>
      </c>
      <c r="H7" s="889">
        <f>H$5*'P&amp;L by Ctn'!AA$13</f>
        <v>51492.5</v>
      </c>
      <c r="I7" s="889">
        <f>I$5*'P&amp;L by Ctn'!AG$13</f>
        <v>21634.799999999999</v>
      </c>
      <c r="J7" s="889">
        <f>SUM(C7:I7)</f>
        <v>7201301.4974833876</v>
      </c>
    </row>
    <row r="8" spans="2:10" x14ac:dyDescent="0.45">
      <c r="B8" s="888" t="s">
        <v>79</v>
      </c>
      <c r="C8" s="889">
        <f>C$5*'P&amp;L by Ctn'!E$14</f>
        <v>2196449.4372411831</v>
      </c>
      <c r="D8" s="889">
        <f>D$5*'P&amp;L by Ctn'!K$14</f>
        <v>686314.2104616235</v>
      </c>
      <c r="E8" s="889">
        <f>E$5*'P&amp;L by Ctn'!Q$14</f>
        <v>2603618.6899758973</v>
      </c>
      <c r="F8" s="889">
        <f>F$5*'P&amp;L by Ctn'!X$14</f>
        <v>6486.4864864864867</v>
      </c>
      <c r="G8" s="889">
        <f>G$5*'P&amp;L by Ctn'!AD$14</f>
        <v>9830.27027027027</v>
      </c>
      <c r="H8" s="889">
        <f>H$5*'P&amp;L by Ctn'!AA$14</f>
        <v>35925</v>
      </c>
      <c r="I8" s="889">
        <f>I$5*'P&amp;L by Ctn'!AG$14</f>
        <v>15077.189189189188</v>
      </c>
      <c r="J8" s="889">
        <f>SUM(C8:I8)</f>
        <v>5553701.28362465</v>
      </c>
    </row>
    <row r="9" spans="2:10" x14ac:dyDescent="0.45">
      <c r="B9" s="888" t="s">
        <v>156</v>
      </c>
      <c r="C9" s="889">
        <f t="shared" ref="C9:J9" si="1">C7-C8</f>
        <v>1062687.1310004024</v>
      </c>
      <c r="D9" s="889">
        <f t="shared" si="1"/>
        <v>230189.35603242088</v>
      </c>
      <c r="E9" s="889">
        <f t="shared" si="1"/>
        <v>323104.17277185991</v>
      </c>
      <c r="F9" s="889">
        <f t="shared" si="1"/>
        <v>2697.5135135135133</v>
      </c>
      <c r="G9" s="889">
        <f t="shared" si="1"/>
        <v>6796.9297297297308</v>
      </c>
      <c r="H9" s="889">
        <f t="shared" si="1"/>
        <v>15567.5</v>
      </c>
      <c r="I9" s="889">
        <f t="shared" si="1"/>
        <v>6557.610810810811</v>
      </c>
      <c r="J9" s="889">
        <f t="shared" si="1"/>
        <v>1647600.2138587376</v>
      </c>
    </row>
    <row r="10" spans="2:10" x14ac:dyDescent="0.45">
      <c r="B10" s="890" t="s">
        <v>157</v>
      </c>
      <c r="C10" s="891">
        <f t="shared" ref="C10:J10" si="2">IFERROR(C9/C$7,0)</f>
        <v>0.32606400767481741</v>
      </c>
      <c r="D10" s="891">
        <f t="shared" si="2"/>
        <v>0.25116034944956944</v>
      </c>
      <c r="E10" s="891">
        <f t="shared" si="2"/>
        <v>0.11039793923928731</v>
      </c>
      <c r="F10" s="891">
        <f t="shared" si="2"/>
        <v>0.29371880591392785</v>
      </c>
      <c r="G10" s="891">
        <f t="shared" si="2"/>
        <v>0.40878378378378383</v>
      </c>
      <c r="H10" s="891">
        <f t="shared" si="2"/>
        <v>0.30232558139534882</v>
      </c>
      <c r="I10" s="891">
        <f t="shared" si="2"/>
        <v>0.30310475765021222</v>
      </c>
      <c r="J10" s="891">
        <f t="shared" si="2"/>
        <v>0.22879200578319328</v>
      </c>
    </row>
    <row r="11" spans="2:10" x14ac:dyDescent="0.45">
      <c r="B11" s="888" t="s">
        <v>158</v>
      </c>
      <c r="C11" s="889">
        <f>C$5*'P&amp;L by Ctn'!E$17</f>
        <v>451252.02567416691</v>
      </c>
      <c r="D11" s="889">
        <f>D$5*'P&amp;L by Ctn'!K$17</f>
        <v>126235.87580841336</v>
      </c>
      <c r="E11" s="889">
        <f>E$5*'P&amp;L by Ctn'!Q$17</f>
        <v>331925.61787660321</v>
      </c>
      <c r="F11" s="889">
        <f>F$5*'P&amp;L by Ctn'!X$17</f>
        <v>1280</v>
      </c>
      <c r="G11" s="889">
        <f>G$5*'P&amp;L by Ctn'!AD$17</f>
        <v>3464</v>
      </c>
      <c r="H11" s="889">
        <f>H$5*'P&amp;L by Ctn'!AA$17</f>
        <v>10777.5</v>
      </c>
      <c r="I11" s="889">
        <f>I$5*'P&amp;L by Ctn'!AG$17</f>
        <v>5185.2</v>
      </c>
      <c r="J11" s="889">
        <f>SUM(C11:I11)</f>
        <v>930120.21935918345</v>
      </c>
    </row>
    <row r="12" spans="2:10" x14ac:dyDescent="0.45">
      <c r="B12" s="892" t="s">
        <v>159</v>
      </c>
      <c r="C12" s="891">
        <f t="shared" ref="C12:J12" si="3">IFERROR(C11/C$7,0)</f>
        <v>0.13845753813183492</v>
      </c>
      <c r="D12" s="891">
        <f t="shared" si="3"/>
        <v>0.13773637160116131</v>
      </c>
      <c r="E12" s="891">
        <f t="shared" si="3"/>
        <v>0.11341204256182098</v>
      </c>
      <c r="F12" s="891">
        <f t="shared" si="3"/>
        <v>0.13937282229965156</v>
      </c>
      <c r="G12" s="891">
        <f t="shared" si="3"/>
        <v>0.20833333333333331</v>
      </c>
      <c r="H12" s="891">
        <f t="shared" si="3"/>
        <v>0.20930232558139536</v>
      </c>
      <c r="I12" s="891">
        <f t="shared" si="3"/>
        <v>0.23966942148760331</v>
      </c>
      <c r="J12" s="891">
        <f t="shared" si="3"/>
        <v>0.12916001637818236</v>
      </c>
    </row>
    <row r="13" spans="2:10" x14ac:dyDescent="0.45">
      <c r="B13" s="888" t="s">
        <v>161</v>
      </c>
      <c r="C13" s="889">
        <f>C$5*'P&amp;L by Ctn'!E$20</f>
        <v>503159.2478277398</v>
      </c>
      <c r="D13" s="889">
        <f>D$5*'P&amp;L by Ctn'!K$20</f>
        <v>63130.562417952722</v>
      </c>
      <c r="E13" s="889">
        <f>E$5*'P&amp;L by Ctn'!Q$20</f>
        <v>0</v>
      </c>
      <c r="F13" s="889">
        <f>F$5*'P&amp;L by Ctn'!X$20</f>
        <v>0</v>
      </c>
      <c r="G13" s="889">
        <f>G$5*'P&amp;L by Ctn'!AD$20</f>
        <v>0</v>
      </c>
      <c r="H13" s="889">
        <f>H$5*'P&amp;L by Ctn'!AA$20</f>
        <v>0</v>
      </c>
      <c r="I13" s="889">
        <f>I$5*'P&amp;L by Ctn'!AG$20</f>
        <v>0</v>
      </c>
      <c r="J13" s="889">
        <f>SUM(C13:I13)</f>
        <v>566289.8102456925</v>
      </c>
    </row>
    <row r="14" spans="2:10" x14ac:dyDescent="0.45">
      <c r="B14" s="892" t="s">
        <v>162</v>
      </c>
      <c r="C14" s="891">
        <f t="shared" ref="C14:J14" si="4">IFERROR(C13/C$7,0)</f>
        <v>0.15438421719750495</v>
      </c>
      <c r="D14" s="891">
        <f t="shared" si="4"/>
        <v>6.8881960448282611E-2</v>
      </c>
      <c r="E14" s="891">
        <f t="shared" si="4"/>
        <v>0</v>
      </c>
      <c r="F14" s="891">
        <f t="shared" si="4"/>
        <v>0</v>
      </c>
      <c r="G14" s="891">
        <f t="shared" si="4"/>
        <v>0</v>
      </c>
      <c r="H14" s="891">
        <f t="shared" si="4"/>
        <v>0</v>
      </c>
      <c r="I14" s="891">
        <f t="shared" si="4"/>
        <v>0</v>
      </c>
      <c r="J14" s="891">
        <f t="shared" si="4"/>
        <v>7.8637147804961602E-2</v>
      </c>
    </row>
    <row r="15" spans="2:10" x14ac:dyDescent="0.45">
      <c r="B15" s="888" t="s">
        <v>78</v>
      </c>
      <c r="C15" s="889">
        <f>C$5*'P&amp;L by Ctn'!E$22</f>
        <v>77976.173869664533</v>
      </c>
      <c r="D15" s="889">
        <f>D$5*'P&amp;L by Ctn'!K$22</f>
        <v>16094.403391849941</v>
      </c>
      <c r="E15" s="889">
        <f>E$5*'P&amp;L by Ctn'!Q$22</f>
        <v>56184.002813041086</v>
      </c>
      <c r="F15" s="889">
        <f>F$5*'P&amp;L by Ctn'!X$22</f>
        <v>184.28635246817063</v>
      </c>
      <c r="G15" s="889">
        <f>G$5*'P&amp;L by Ctn'!AD$22</f>
        <v>127.18961933869464</v>
      </c>
      <c r="H15" s="889">
        <f>H$5*'P&amp;L by Ctn'!AA$22</f>
        <v>459.73626470600931</v>
      </c>
      <c r="I15" s="889">
        <f>I$5*'P&amp;L by Ctn'!AG$22</f>
        <v>295.56106232254979</v>
      </c>
      <c r="J15" s="889">
        <f>SUM(C15:I15)</f>
        <v>151321.35337339097</v>
      </c>
    </row>
    <row r="16" spans="2:10" x14ac:dyDescent="0.45">
      <c r="B16" s="888" t="s">
        <v>163</v>
      </c>
      <c r="C16" s="889">
        <f t="shared" ref="C16:J16" si="5">C9-C11-C13-C15</f>
        <v>30299.68362883119</v>
      </c>
      <c r="D16" s="889">
        <f t="shared" si="5"/>
        <v>24728.514414204859</v>
      </c>
      <c r="E16" s="889">
        <f t="shared" si="5"/>
        <v>-65005.447917784382</v>
      </c>
      <c r="F16" s="889">
        <f t="shared" si="5"/>
        <v>1233.2271610453427</v>
      </c>
      <c r="G16" s="889">
        <f t="shared" si="5"/>
        <v>3205.7401103910361</v>
      </c>
      <c r="H16" s="889">
        <f t="shared" si="5"/>
        <v>4330.263735293991</v>
      </c>
      <c r="I16" s="889">
        <f t="shared" si="5"/>
        <v>1076.8497484882614</v>
      </c>
      <c r="J16" s="889">
        <f t="shared" si="5"/>
        <v>-131.16911952930968</v>
      </c>
    </row>
    <row r="17" spans="2:10" x14ac:dyDescent="0.45">
      <c r="B17" s="890" t="s">
        <v>164</v>
      </c>
      <c r="C17" s="891">
        <f t="shared" ref="C17:J17" si="6">IFERROR(C16/C$7,0)</f>
        <v>9.296843809518205E-3</v>
      </c>
      <c r="D17" s="891">
        <f t="shared" si="6"/>
        <v>2.6981361904351683E-2</v>
      </c>
      <c r="E17" s="891">
        <f t="shared" si="6"/>
        <v>-2.221100219128843E-2</v>
      </c>
      <c r="F17" s="891">
        <f t="shared" si="6"/>
        <v>0.13427996091521588</v>
      </c>
      <c r="G17" s="891">
        <f t="shared" si="6"/>
        <v>0.19280095929507288</v>
      </c>
      <c r="H17" s="891">
        <f t="shared" si="6"/>
        <v>8.409503782675129E-2</v>
      </c>
      <c r="I17" s="891">
        <f t="shared" si="6"/>
        <v>4.9773963636745494E-2</v>
      </c>
      <c r="J17" s="891">
        <f t="shared" si="6"/>
        <v>-1.8214640725034063E-5</v>
      </c>
    </row>
    <row r="18" spans="2:10" x14ac:dyDescent="0.45">
      <c r="B18" s="888" t="s">
        <v>165</v>
      </c>
      <c r="C18" s="889">
        <f>C$5*'P&amp;L by Ctn'!E$25</f>
        <v>0</v>
      </c>
      <c r="D18" s="889">
        <f>D$5*'P&amp;L by Ctn'!K$25</f>
        <v>0</v>
      </c>
      <c r="E18" s="889">
        <f>E$5*'P&amp;L by Ctn'!Q$25</f>
        <v>0</v>
      </c>
      <c r="F18" s="889">
        <f>F$5*'P&amp;L by Ctn'!X$25</f>
        <v>0</v>
      </c>
      <c r="G18" s="889">
        <f>G$5*'P&amp;L by Ctn'!AD$25</f>
        <v>0</v>
      </c>
      <c r="H18" s="889">
        <f>H$5*'P&amp;L by Ctn'!AA$25</f>
        <v>0</v>
      </c>
      <c r="I18" s="889">
        <f>I$5*'P&amp;L by Ctn'!AG$25</f>
        <v>0</v>
      </c>
      <c r="J18" s="889">
        <f>SUM(C18:I18)</f>
        <v>0</v>
      </c>
    </row>
    <row r="19" spans="2:10" x14ac:dyDescent="0.45">
      <c r="B19" s="888" t="s">
        <v>166</v>
      </c>
      <c r="C19" s="889">
        <f t="shared" ref="C19:J19" si="7">C16-C18</f>
        <v>30299.68362883119</v>
      </c>
      <c r="D19" s="889">
        <f t="shared" si="7"/>
        <v>24728.514414204859</v>
      </c>
      <c r="E19" s="889">
        <f t="shared" si="7"/>
        <v>-65005.447917784382</v>
      </c>
      <c r="F19" s="889">
        <f t="shared" si="7"/>
        <v>1233.2271610453427</v>
      </c>
      <c r="G19" s="889">
        <f t="shared" si="7"/>
        <v>3205.7401103910361</v>
      </c>
      <c r="H19" s="889">
        <f t="shared" si="7"/>
        <v>4330.263735293991</v>
      </c>
      <c r="I19" s="889">
        <f t="shared" si="7"/>
        <v>1076.8497484882614</v>
      </c>
      <c r="J19" s="889">
        <f t="shared" si="7"/>
        <v>-131.16911952930968</v>
      </c>
    </row>
    <row r="20" spans="2:10" x14ac:dyDescent="0.45">
      <c r="B20" s="890" t="s">
        <v>167</v>
      </c>
      <c r="C20" s="891">
        <f t="shared" ref="C20:J20" si="8">IFERROR(C19/C$7,0)</f>
        <v>9.296843809518205E-3</v>
      </c>
      <c r="D20" s="891">
        <f t="shared" si="8"/>
        <v>2.6981361904351683E-2</v>
      </c>
      <c r="E20" s="891">
        <f t="shared" si="8"/>
        <v>-2.221100219128843E-2</v>
      </c>
      <c r="F20" s="891">
        <f t="shared" si="8"/>
        <v>0.13427996091521588</v>
      </c>
      <c r="G20" s="891">
        <f t="shared" si="8"/>
        <v>0.19280095929507288</v>
      </c>
      <c r="H20" s="891">
        <f t="shared" si="8"/>
        <v>8.409503782675129E-2</v>
      </c>
      <c r="I20" s="891">
        <f t="shared" si="8"/>
        <v>4.9773963636745494E-2</v>
      </c>
      <c r="J20" s="891">
        <f t="shared" si="8"/>
        <v>-1.8214640725034063E-5</v>
      </c>
    </row>
    <row r="21" spans="2:10" x14ac:dyDescent="0.45">
      <c r="B21" s="888" t="s">
        <v>97</v>
      </c>
      <c r="C21" s="889">
        <f>C$5*'P&amp;L by Ctn'!E$28</f>
        <v>-2563.5742017920543</v>
      </c>
      <c r="D21" s="889">
        <f>D$5*'P&amp;L by Ctn'!K$28</f>
        <v>4332.1994883041598</v>
      </c>
      <c r="E21" s="889">
        <f>E$5*'P&amp;L by Ctn'!Q$28</f>
        <v>-4610.7011439420394</v>
      </c>
      <c r="F21" s="889">
        <f>F$5*'P&amp;L by Ctn'!X$28</f>
        <v>-123.96694214876034</v>
      </c>
      <c r="G21" s="889">
        <f>G$5*'P&amp;L by Ctn'!AD$28</f>
        <v>-210.36437246963561</v>
      </c>
      <c r="H21" s="889">
        <f>H$5*'P&amp;L by Ctn'!AA$28</f>
        <v>-748.4375</v>
      </c>
      <c r="I21" s="889">
        <f>I$5*'P&amp;L by Ctn'!AG$28</f>
        <v>-447</v>
      </c>
      <c r="J21" s="889">
        <f>SUM(C21:I21)</f>
        <v>-4371.8446720483298</v>
      </c>
    </row>
    <row r="22" spans="2:10" x14ac:dyDescent="0.45">
      <c r="B22" s="888" t="s">
        <v>168</v>
      </c>
      <c r="C22" s="889">
        <f t="shared" ref="C22:J22" si="9">C19-C21</f>
        <v>32863.257830623246</v>
      </c>
      <c r="D22" s="889">
        <f t="shared" si="9"/>
        <v>20396.3149259007</v>
      </c>
      <c r="E22" s="889">
        <f t="shared" si="9"/>
        <v>-60394.746773842344</v>
      </c>
      <c r="F22" s="889">
        <f t="shared" si="9"/>
        <v>1357.194103194103</v>
      </c>
      <c r="G22" s="889">
        <f t="shared" si="9"/>
        <v>3416.1044828606719</v>
      </c>
      <c r="H22" s="889">
        <f t="shared" si="9"/>
        <v>5078.701235293991</v>
      </c>
      <c r="I22" s="889">
        <f t="shared" si="9"/>
        <v>1523.8497484882614</v>
      </c>
      <c r="J22" s="889">
        <f t="shared" si="9"/>
        <v>4240.6755525190201</v>
      </c>
    </row>
    <row r="23" spans="2:10" x14ac:dyDescent="0.45">
      <c r="B23" s="890" t="s">
        <v>169</v>
      </c>
      <c r="C23" s="891">
        <f t="shared" ref="C23:J23" si="10">IFERROR(C22/C$7,0)</f>
        <v>1.0083424594985317E-2</v>
      </c>
      <c r="D23" s="891">
        <f t="shared" si="10"/>
        <v>2.2254485057732986E-2</v>
      </c>
      <c r="E23" s="891">
        <f t="shared" si="10"/>
        <v>-2.063562202713675E-2</v>
      </c>
      <c r="F23" s="891">
        <f t="shared" si="10"/>
        <v>0.14777810357078647</v>
      </c>
      <c r="G23" s="891">
        <f t="shared" si="10"/>
        <v>0.20545278115742108</v>
      </c>
      <c r="H23" s="891">
        <f t="shared" si="10"/>
        <v>9.8629921547681521E-2</v>
      </c>
      <c r="I23" s="891">
        <f t="shared" si="10"/>
        <v>7.0435120661538883E-2</v>
      </c>
      <c r="J23" s="891">
        <f t="shared" si="10"/>
        <v>5.8887626826914464E-4</v>
      </c>
    </row>
    <row r="24" spans="2:10" x14ac:dyDescent="0.45">
      <c r="B24" s="1243"/>
      <c r="C24" s="1244"/>
      <c r="D24" s="1244"/>
      <c r="E24" s="1244"/>
      <c r="F24" s="1244"/>
      <c r="G24" s="1244"/>
      <c r="H24" s="1244"/>
      <c r="I24" s="1244"/>
      <c r="J24" s="1245"/>
    </row>
    <row r="25" spans="2:10" x14ac:dyDescent="0.45">
      <c r="B25" s="895" t="s">
        <v>171</v>
      </c>
      <c r="C25" s="896">
        <f>C$5*'P&amp;L by Ctn'!E$33</f>
        <v>3709361.5670281574</v>
      </c>
      <c r="D25" s="896">
        <f>D$5*'P&amp;L by Ctn'!K$33</f>
        <v>1043425.1652892563</v>
      </c>
      <c r="E25" s="896">
        <f>E$5*'P&amp;L by Ctn'!Q$33</f>
        <v>3452334.3476962652</v>
      </c>
      <c r="F25" s="896">
        <f>F$5*'P&amp;L by Ctn'!X$33</f>
        <v>10449.890085619838</v>
      </c>
      <c r="G25" s="896">
        <f>G$5*'P&amp;L by Ctn'!AD$33</f>
        <v>17466.507371667813</v>
      </c>
      <c r="H25" s="896">
        <f>H$5*'P&amp;L by Ctn'!AA$33</f>
        <v>55005.38585906251</v>
      </c>
      <c r="I25" s="896">
        <f>I$5*'P&amp;L by Ctn'!AG$33</f>
        <v>23754.766002750002</v>
      </c>
      <c r="J25" s="896">
        <f>SUM(C25:I25)</f>
        <v>8311797.6293327799</v>
      </c>
    </row>
    <row r="26" spans="2:10" x14ac:dyDescent="0.45">
      <c r="B26" s="895" t="s">
        <v>172</v>
      </c>
      <c r="C26" s="896">
        <f>C$5*'P&amp;L by Ctn'!E$34</f>
        <v>4171281.7909643883</v>
      </c>
      <c r="D26" s="896">
        <f>D$5*'P&amp;L by Ctn'!K$34</f>
        <v>1174039.5457875489</v>
      </c>
      <c r="E26" s="896">
        <f>E$5*'P&amp;L by Ctn'!Q$34</f>
        <v>3793619.7205589735</v>
      </c>
      <c r="F26" s="896">
        <f>F$5*'P&amp;L by Ctn'!X$34</f>
        <v>11740.395457875489</v>
      </c>
      <c r="G26" s="896">
        <f>G$5*'P&amp;L by Ctn'!AD$34</f>
        <v>21130.399999999998</v>
      </c>
      <c r="H26" s="896">
        <f>H$5*'P&amp;L by Ctn'!AA$34</f>
        <v>56609.090909090912</v>
      </c>
      <c r="I26" s="896">
        <f>I$5*'P&amp;L by Ctn'!AG$34</f>
        <v>28290.133333333339</v>
      </c>
      <c r="J26" s="896">
        <f>SUM(C26:I26)</f>
        <v>9256711.0770112108</v>
      </c>
    </row>
    <row r="27" spans="2:10" x14ac:dyDescent="0.45">
      <c r="B27" s="895" t="s">
        <v>173</v>
      </c>
      <c r="C27" s="896">
        <f>C$5*'P&amp;L by Ctn'!E$35</f>
        <v>395903.14779326768</v>
      </c>
      <c r="D27" s="896">
        <f>D$5*'P&amp;L by Ctn'!K$35</f>
        <v>111978.51269942446</v>
      </c>
      <c r="E27" s="896">
        <f>E$5*'P&amp;L by Ctn'!Q$35</f>
        <v>286611.67059221846</v>
      </c>
      <c r="F27" s="896">
        <f>F$5*'P&amp;L by Ctn'!X$35</f>
        <v>1105.5683699694496</v>
      </c>
      <c r="G27" s="896">
        <f>G$5*'P&amp;L by Ctn'!AD$35</f>
        <v>3216.0672771367304</v>
      </c>
      <c r="H27" s="896">
        <f>H$5*'P&amp;L by Ctn'!AA$35</f>
        <v>1049.6750454803641</v>
      </c>
      <c r="I27" s="896">
        <f>I$5*'P&amp;L by Ctn'!AG$35</f>
        <v>3879.2430278030301</v>
      </c>
      <c r="J27" s="896">
        <f>SUM(C27:I27)</f>
        <v>803743.88480530016</v>
      </c>
    </row>
    <row r="28" spans="2:10" x14ac:dyDescent="0.45">
      <c r="B28" s="893" t="s">
        <v>174</v>
      </c>
      <c r="C28" s="894">
        <f t="shared" ref="C28:J28" si="11">IFERROR(C27/C$26,0)</f>
        <v>9.4911628519284474E-2</v>
      </c>
      <c r="D28" s="894">
        <f t="shared" si="11"/>
        <v>9.5378825271434084E-2</v>
      </c>
      <c r="E28" s="894">
        <f t="shared" si="11"/>
        <v>7.5550975507367793E-2</v>
      </c>
      <c r="F28" s="894">
        <f t="shared" si="11"/>
        <v>9.4167898682478476E-2</v>
      </c>
      <c r="G28" s="894">
        <f t="shared" si="11"/>
        <v>0.15220096529818322</v>
      </c>
      <c r="H28" s="894">
        <f t="shared" si="11"/>
        <v>1.8542517263985876E-2</v>
      </c>
      <c r="I28" s="894">
        <f t="shared" si="11"/>
        <v>0.13712353286197648</v>
      </c>
      <c r="J28" s="894">
        <f t="shared" si="11"/>
        <v>8.6828235009016985E-2</v>
      </c>
    </row>
    <row r="29" spans="2:10" x14ac:dyDescent="0.45">
      <c r="B29" s="1243"/>
      <c r="C29" s="1244"/>
      <c r="D29" s="1244"/>
      <c r="E29" s="1244"/>
      <c r="F29" s="1244"/>
      <c r="G29" s="1244"/>
      <c r="H29" s="1244"/>
      <c r="I29" s="1244"/>
      <c r="J29" s="1245"/>
    </row>
    <row r="30" spans="2:10" x14ac:dyDescent="0.45">
      <c r="B30" s="888" t="s">
        <v>218</v>
      </c>
      <c r="C30" s="889">
        <f t="shared" ref="C30:J30" si="12">C9-C11</f>
        <v>611435.10532623553</v>
      </c>
      <c r="D30" s="889">
        <f t="shared" si="12"/>
        <v>103953.48022400752</v>
      </c>
      <c r="E30" s="889">
        <f t="shared" si="12"/>
        <v>-8821.4451047432958</v>
      </c>
      <c r="F30" s="889">
        <f t="shared" si="12"/>
        <v>1417.5135135135133</v>
      </c>
      <c r="G30" s="889">
        <f t="shared" si="12"/>
        <v>3332.9297297297308</v>
      </c>
      <c r="H30" s="889">
        <f t="shared" si="12"/>
        <v>4790</v>
      </c>
      <c r="I30" s="889">
        <f t="shared" si="12"/>
        <v>1372.4108108108112</v>
      </c>
      <c r="J30" s="889">
        <f t="shared" si="12"/>
        <v>717479.99449955416</v>
      </c>
    </row>
    <row r="31" spans="2:10" x14ac:dyDescent="0.45">
      <c r="B31" s="890" t="s">
        <v>219</v>
      </c>
      <c r="C31" s="891">
        <f t="shared" ref="C31:J31" si="13">IFERROR(C30/C7,0)</f>
        <v>0.18760646954298249</v>
      </c>
      <c r="D31" s="891">
        <f t="shared" si="13"/>
        <v>0.11342397784840812</v>
      </c>
      <c r="E31" s="891">
        <f t="shared" si="13"/>
        <v>-3.0141033225336792E-3</v>
      </c>
      <c r="F31" s="891">
        <f t="shared" si="13"/>
        <v>0.15434598361427629</v>
      </c>
      <c r="G31" s="891">
        <f t="shared" si="13"/>
        <v>0.20045045045045051</v>
      </c>
      <c r="H31" s="891">
        <f t="shared" si="13"/>
        <v>9.3023255813953487E-2</v>
      </c>
      <c r="I31" s="891">
        <f t="shared" si="13"/>
        <v>6.3435336162608907E-2</v>
      </c>
      <c r="J31" s="891">
        <f t="shared" si="13"/>
        <v>9.9631989405010918E-2</v>
      </c>
    </row>
    <row r="33" spans="2:20" x14ac:dyDescent="0.45">
      <c r="B33" s="741" t="s">
        <v>221</v>
      </c>
      <c r="L33" s="741" t="s">
        <v>222</v>
      </c>
    </row>
    <row r="34" spans="2:20" x14ac:dyDescent="0.45">
      <c r="B34" s="898" t="s">
        <v>223</v>
      </c>
      <c r="C34" s="898" t="s">
        <v>2</v>
      </c>
      <c r="D34" s="898" t="s">
        <v>3</v>
      </c>
      <c r="E34" s="898" t="s">
        <v>4</v>
      </c>
      <c r="F34" s="898" t="s">
        <v>135</v>
      </c>
      <c r="G34" s="898" t="s">
        <v>154</v>
      </c>
      <c r="H34" s="898" t="s">
        <v>137</v>
      </c>
      <c r="I34" s="898" t="s">
        <v>138</v>
      </c>
      <c r="J34" s="898" t="s">
        <v>201</v>
      </c>
      <c r="L34" s="898" t="s">
        <v>223</v>
      </c>
      <c r="M34" s="898" t="s">
        <v>2</v>
      </c>
      <c r="N34" s="898" t="s">
        <v>3</v>
      </c>
      <c r="O34" s="898" t="s">
        <v>4</v>
      </c>
      <c r="P34" s="898" t="s">
        <v>135</v>
      </c>
      <c r="Q34" s="898" t="s">
        <v>154</v>
      </c>
      <c r="R34" s="898" t="s">
        <v>137</v>
      </c>
      <c r="S34" s="898" t="s">
        <v>138</v>
      </c>
      <c r="T34" s="898" t="s">
        <v>201</v>
      </c>
    </row>
    <row r="35" spans="2:20" x14ac:dyDescent="0.45">
      <c r="B35" s="888" t="s">
        <v>216</v>
      </c>
      <c r="C35" s="889">
        <f>SUM('STT STD - By SKU 150'!$C8:$C9)</f>
        <v>9076160</v>
      </c>
      <c r="D35" s="889">
        <f>SUM('STT STD - By SKU 150'!$D8:$D9)</f>
        <v>2560000</v>
      </c>
      <c r="E35" s="889">
        <f>SUM('STT STD - By SKU 150'!$E8:$E9)</f>
        <v>8662000</v>
      </c>
      <c r="F35" s="889">
        <f>SUM('STT STD - By SKU 150'!$F8:$F9)</f>
        <v>0</v>
      </c>
      <c r="G35" s="889">
        <f>SUM('STT STD - By SKU 150'!$G8:$G9)</f>
        <v>28800</v>
      </c>
      <c r="H35" s="889">
        <f>SUM('STT STD - By SKU 150'!$H8:$H9)</f>
        <v>57600</v>
      </c>
      <c r="I35" s="889">
        <f>SUM('STT STD - By SKU 150'!$I8:$I9)</f>
        <v>57600</v>
      </c>
      <c r="J35" s="889">
        <f t="shared" ref="J35:J40" si="14">SUM(C35:I35)</f>
        <v>20442160</v>
      </c>
      <c r="L35" s="888" t="s">
        <v>216</v>
      </c>
      <c r="M35" s="889">
        <f>SUM('STT STD - By SKU 150'!$C8:$C9)</f>
        <v>9076160</v>
      </c>
      <c r="N35" s="889">
        <f>SUM('STT STD - By SKU 150'!$D8:$D9)</f>
        <v>2560000</v>
      </c>
      <c r="O35" s="889">
        <f>SUM('STT STD - By SKU 150'!$E8:$E9)</f>
        <v>8662000</v>
      </c>
      <c r="P35" s="889">
        <f>SUM('STT STD - By SKU 150'!$F8:$F9)</f>
        <v>0</v>
      </c>
      <c r="Q35" s="889">
        <f>SUM('STT STD - By SKU 150'!$G8:$G9)</f>
        <v>28800</v>
      </c>
      <c r="R35" s="889">
        <f>SUM('STT STD - By SKU 150'!$H8:$H9)</f>
        <v>57600</v>
      </c>
      <c r="S35" s="889">
        <f>SUM('STT STD - By SKU 150'!$I8:$I9)</f>
        <v>57600</v>
      </c>
      <c r="T35" s="889">
        <f t="shared" ref="T35:T40" si="15">SUM(M35:S35)</f>
        <v>20442160</v>
      </c>
    </row>
    <row r="36" spans="2:20" x14ac:dyDescent="0.45">
      <c r="B36" s="888" t="s">
        <v>217</v>
      </c>
      <c r="C36" s="889">
        <f t="shared" ref="C36:I36" si="16">C35/RIGHT(C34,2)</f>
        <v>226904</v>
      </c>
      <c r="D36" s="889">
        <f t="shared" si="16"/>
        <v>64000</v>
      </c>
      <c r="E36" s="889">
        <f t="shared" si="16"/>
        <v>216550</v>
      </c>
      <c r="F36" s="889">
        <f t="shared" si="16"/>
        <v>0</v>
      </c>
      <c r="G36" s="889">
        <f t="shared" si="16"/>
        <v>2400</v>
      </c>
      <c r="H36" s="889">
        <f t="shared" si="16"/>
        <v>4800</v>
      </c>
      <c r="I36" s="889">
        <f t="shared" si="16"/>
        <v>2400</v>
      </c>
      <c r="J36" s="889">
        <f t="shared" si="14"/>
        <v>517054</v>
      </c>
      <c r="L36" s="888" t="s">
        <v>217</v>
      </c>
      <c r="M36" s="889">
        <f t="shared" ref="M36:S36" si="17">M35/RIGHT(M34,2)</f>
        <v>226904</v>
      </c>
      <c r="N36" s="889">
        <f t="shared" si="17"/>
        <v>64000</v>
      </c>
      <c r="O36" s="889">
        <f t="shared" si="17"/>
        <v>216550</v>
      </c>
      <c r="P36" s="889">
        <f t="shared" si="17"/>
        <v>0</v>
      </c>
      <c r="Q36" s="889">
        <f t="shared" si="17"/>
        <v>2400</v>
      </c>
      <c r="R36" s="889">
        <f t="shared" si="17"/>
        <v>4800</v>
      </c>
      <c r="S36" s="889">
        <f t="shared" si="17"/>
        <v>2400</v>
      </c>
      <c r="T36" s="889">
        <f t="shared" si="15"/>
        <v>517054</v>
      </c>
    </row>
    <row r="37" spans="2:20" x14ac:dyDescent="0.45">
      <c r="B37" s="888" t="s">
        <v>12</v>
      </c>
      <c r="C37" s="889">
        <f>SUM($C36:$C36)*'P&amp;L by Ctn'!$E$12</f>
        <v>1371173.2577394801</v>
      </c>
      <c r="D37" s="889">
        <f>SUM($D36:$D36)*'P&amp;L by Ctn'!$K$12</f>
        <v>386402.02122068958</v>
      </c>
      <c r="E37" s="889">
        <f>SUM($E36:$E36)*'P&amp;L by Ctn'!$Q$12</f>
        <v>1308956.9469170528</v>
      </c>
      <c r="F37" s="889">
        <f>SUM($F36:$F36)*'P&amp;L by Ctn'!$X$12</f>
        <v>0</v>
      </c>
      <c r="G37" s="889">
        <f>SUM($G36:$G36)*'P&amp;L by Ctn'!$AD$12</f>
        <v>12120.357</v>
      </c>
      <c r="H37" s="889">
        <f>SUM($H36:$H36)*'P&amp;L by Ctn'!$AA$12</f>
        <v>21850.811999999998</v>
      </c>
      <c r="I37" s="889">
        <f>SUM($I36:$I36)*'P&amp;L by Ctn'!$AG$12</f>
        <v>15724.845000000001</v>
      </c>
      <c r="J37" s="889">
        <f t="shared" si="14"/>
        <v>3116228.2398772226</v>
      </c>
      <c r="L37" s="888" t="s">
        <v>12</v>
      </c>
      <c r="M37" s="889">
        <f>SUM($C36:$C36)*'P&amp;L by Ctn'!$E$12</f>
        <v>1371173.2577394801</v>
      </c>
      <c r="N37" s="889">
        <f>SUM($D36:$D36)*'P&amp;L by Ctn'!$K$12</f>
        <v>386402.02122068958</v>
      </c>
      <c r="O37" s="889">
        <f>SUM($E36:$E36)*'P&amp;L by Ctn'!$Q$12</f>
        <v>1308956.9469170528</v>
      </c>
      <c r="P37" s="889">
        <f>SUM($F36:$F36)*'P&amp;L by Ctn'!$X$12</f>
        <v>0</v>
      </c>
      <c r="Q37" s="889">
        <f>SUM($G36:$G36)*'P&amp;L by Ctn'!$AD$12</f>
        <v>12120.357</v>
      </c>
      <c r="R37" s="889">
        <f>SUM($H36:$H36)*'P&amp;L by Ctn'!$AA$12</f>
        <v>21850.811999999998</v>
      </c>
      <c r="S37" s="889">
        <f>SUM($I36:$I36)*'P&amp;L by Ctn'!$AG$12</f>
        <v>15724.845000000001</v>
      </c>
      <c r="T37" s="889">
        <f t="shared" si="15"/>
        <v>3116228.2398772226</v>
      </c>
    </row>
    <row r="38" spans="2:20" x14ac:dyDescent="0.45">
      <c r="B38" s="888" t="s">
        <v>155</v>
      </c>
      <c r="C38" s="889">
        <f>SUM($C36:$C36)*'P&amp;L by Ctn'!$E$13</f>
        <v>1300882.0602008002</v>
      </c>
      <c r="D38" s="889">
        <f>SUM($D36:$D36)*'P&amp;L by Ctn'!$K$13</f>
        <v>366601.4265976178</v>
      </c>
      <c r="E38" s="889">
        <f>SUM($E36:$E36)*'P&amp;L by Ctn'!$Q$13</f>
        <v>1235381.9714985173</v>
      </c>
      <c r="F38" s="889">
        <f>SUM($F36:$F36)*'P&amp;L by Ctn'!$X$13</f>
        <v>0</v>
      </c>
      <c r="G38" s="889">
        <f>SUM($G36:$G36)*'P&amp;L by Ctn'!$AD$13</f>
        <v>11520</v>
      </c>
      <c r="H38" s="889">
        <f>SUM($H36:$H36)*'P&amp;L by Ctn'!$AA$13</f>
        <v>20640</v>
      </c>
      <c r="I38" s="889">
        <f>SUM($I36:$I36)*'P&amp;L by Ctn'!$AG$13</f>
        <v>14520</v>
      </c>
      <c r="J38" s="889">
        <f t="shared" si="14"/>
        <v>2949545.4582969351</v>
      </c>
      <c r="L38" s="888" t="s">
        <v>155</v>
      </c>
      <c r="M38" s="889">
        <f>SUM($C36:$C36)*'P&amp;L by Ctn'!$E$13</f>
        <v>1300882.0602008002</v>
      </c>
      <c r="N38" s="889">
        <f>SUM($D36:$D36)*'P&amp;L by Ctn'!$K$13</f>
        <v>366601.4265976178</v>
      </c>
      <c r="O38" s="889">
        <f>SUM($E36:$E36)*'P&amp;L by Ctn'!$Q$13</f>
        <v>1235381.9714985173</v>
      </c>
      <c r="P38" s="889">
        <f>SUM($F36:$F36)*'P&amp;L by Ctn'!$X$13</f>
        <v>0</v>
      </c>
      <c r="Q38" s="889">
        <f>SUM($G36:$G36)*'P&amp;L by Ctn'!$AD$13</f>
        <v>11520</v>
      </c>
      <c r="R38" s="889">
        <f>SUM($H36:$H36)*'P&amp;L by Ctn'!$AA$13</f>
        <v>20640</v>
      </c>
      <c r="S38" s="889">
        <f>SUM($I36:$I36)*'P&amp;L by Ctn'!$AG$13</f>
        <v>14520</v>
      </c>
      <c r="T38" s="889">
        <f t="shared" si="15"/>
        <v>2949545.4582969351</v>
      </c>
    </row>
    <row r="39" spans="2:20" x14ac:dyDescent="0.45">
      <c r="B39" s="888" t="s">
        <v>79</v>
      </c>
      <c r="C39" s="889" t="e">
        <f>SUM($C36:$C36)*'P&amp;L by Ctn'!$F$14</f>
        <v>#REF!</v>
      </c>
      <c r="D39" s="889" t="e">
        <f>SUM($D36:$D36)*'P&amp;L by Ctn'!$L$14</f>
        <v>#REF!</v>
      </c>
      <c r="E39" s="889" t="e">
        <f>SUM($E36:$E36)*'P&amp;L by Ctn'!$S$14</f>
        <v>#REF!</v>
      </c>
      <c r="F39" s="889">
        <f>SUM($F36:$F36)*'P&amp;L by Ctn'!$X$14</f>
        <v>0</v>
      </c>
      <c r="G39" s="889">
        <f>SUM($G36:$G36)*'P&amp;L by Ctn'!$AD$14</f>
        <v>6810.8108108108108</v>
      </c>
      <c r="H39" s="889">
        <f>SUM($H36:$H36)*'P&amp;L by Ctn'!$AA$14</f>
        <v>14400</v>
      </c>
      <c r="I39" s="889">
        <f>SUM($I36:$I36)*'P&amp;L by Ctn'!$AG$14</f>
        <v>10118.918918918918</v>
      </c>
      <c r="J39" s="889" t="e">
        <f t="shared" si="14"/>
        <v>#REF!</v>
      </c>
      <c r="L39" s="888" t="s">
        <v>79</v>
      </c>
      <c r="M39" s="889" t="e">
        <f>SUM($C36:$C36)*'P&amp;L by Ctn'!$H$14</f>
        <v>#REF!</v>
      </c>
      <c r="N39" s="889" t="e">
        <f>SUM($D36:$D36)*'P&amp;L by Ctn'!$N$14</f>
        <v>#REF!</v>
      </c>
      <c r="O39" s="889" t="e">
        <f>SUM($E36:$E36)*'P&amp;L by Ctn'!$U$14</f>
        <v>#REF!</v>
      </c>
      <c r="P39" s="889">
        <f>SUM($F36:$F36)*'P&amp;L by Ctn'!$X$14</f>
        <v>0</v>
      </c>
      <c r="Q39" s="889">
        <f>SUM($G36:$G36)*'P&amp;L by Ctn'!$AD$14</f>
        <v>6810.8108108108108</v>
      </c>
      <c r="R39" s="889">
        <f>SUM($H36:$H36)*'P&amp;L by Ctn'!$AA$14</f>
        <v>14400</v>
      </c>
      <c r="S39" s="889">
        <f>SUM($I36:$I36)*'P&amp;L by Ctn'!$AG$14</f>
        <v>10118.918918918918</v>
      </c>
      <c r="T39" s="889" t="e">
        <f t="shared" si="15"/>
        <v>#REF!</v>
      </c>
    </row>
    <row r="40" spans="2:20" x14ac:dyDescent="0.45">
      <c r="B40" s="888" t="s">
        <v>156</v>
      </c>
      <c r="C40" s="889" t="e">
        <f t="shared" ref="C40:I40" si="18">C38-C39</f>
        <v>#REF!</v>
      </c>
      <c r="D40" s="889" t="e">
        <f t="shared" si="18"/>
        <v>#REF!</v>
      </c>
      <c r="E40" s="889" t="e">
        <f t="shared" si="18"/>
        <v>#REF!</v>
      </c>
      <c r="F40" s="889">
        <f t="shared" si="18"/>
        <v>0</v>
      </c>
      <c r="G40" s="889">
        <f t="shared" si="18"/>
        <v>4709.1891891891892</v>
      </c>
      <c r="H40" s="889">
        <f t="shared" si="18"/>
        <v>6240</v>
      </c>
      <c r="I40" s="889">
        <f t="shared" si="18"/>
        <v>4401.0810810810817</v>
      </c>
      <c r="J40" s="889" t="e">
        <f t="shared" si="14"/>
        <v>#REF!</v>
      </c>
      <c r="L40" s="888" t="s">
        <v>156</v>
      </c>
      <c r="M40" s="889" t="e">
        <f t="shared" ref="M40:S40" si="19">M38-M39</f>
        <v>#REF!</v>
      </c>
      <c r="N40" s="889" t="e">
        <f t="shared" si="19"/>
        <v>#REF!</v>
      </c>
      <c r="O40" s="889" t="e">
        <f t="shared" si="19"/>
        <v>#REF!</v>
      </c>
      <c r="P40" s="889">
        <f t="shared" si="19"/>
        <v>0</v>
      </c>
      <c r="Q40" s="889">
        <f t="shared" si="19"/>
        <v>4709.1891891891892</v>
      </c>
      <c r="R40" s="889">
        <f t="shared" si="19"/>
        <v>6240</v>
      </c>
      <c r="S40" s="889">
        <f t="shared" si="19"/>
        <v>4401.0810810810817</v>
      </c>
      <c r="T40" s="889" t="e">
        <f t="shared" si="15"/>
        <v>#REF!</v>
      </c>
    </row>
    <row r="41" spans="2:20" x14ac:dyDescent="0.45">
      <c r="B41" s="890" t="s">
        <v>157</v>
      </c>
      <c r="C41" s="891">
        <f>IFERROR($C40/$C$38,0)</f>
        <v>0</v>
      </c>
      <c r="D41" s="891">
        <f>IFERROR($D40/$D$38,0)</f>
        <v>0</v>
      </c>
      <c r="E41" s="891">
        <f>IFERROR($E40/$E$38,0)</f>
        <v>0</v>
      </c>
      <c r="F41" s="891">
        <f>IFERROR($F40/$F$38,0)</f>
        <v>0</v>
      </c>
      <c r="G41" s="891">
        <f>IFERROR($G40/$G$38,0)</f>
        <v>0.40878378378378377</v>
      </c>
      <c r="H41" s="891">
        <f>IFERROR($H40/$H$38,0)</f>
        <v>0.30232558139534882</v>
      </c>
      <c r="I41" s="891">
        <f>IFERROR($I40/$I$38,0)</f>
        <v>0.30310475765021222</v>
      </c>
      <c r="J41" s="891">
        <f>IFERROR(J40/J$38,0)</f>
        <v>0</v>
      </c>
      <c r="L41" s="890" t="s">
        <v>157</v>
      </c>
      <c r="M41" s="891">
        <f t="shared" ref="M41:T41" si="20">IFERROR(M40/M$38,0)</f>
        <v>0</v>
      </c>
      <c r="N41" s="891">
        <f t="shared" si="20"/>
        <v>0</v>
      </c>
      <c r="O41" s="891">
        <f t="shared" si="20"/>
        <v>0</v>
      </c>
      <c r="P41" s="891">
        <f t="shared" si="20"/>
        <v>0</v>
      </c>
      <c r="Q41" s="891">
        <f t="shared" si="20"/>
        <v>0.40878378378378377</v>
      </c>
      <c r="R41" s="891">
        <f t="shared" si="20"/>
        <v>0.30232558139534882</v>
      </c>
      <c r="S41" s="891">
        <f t="shared" si="20"/>
        <v>0.30310475765021222</v>
      </c>
      <c r="T41" s="891">
        <f t="shared" si="20"/>
        <v>0</v>
      </c>
    </row>
    <row r="42" spans="2:20" x14ac:dyDescent="0.45">
      <c r="B42" s="888" t="s">
        <v>158</v>
      </c>
      <c r="C42" s="889">
        <f>SUM($C36:$C36)*'P&amp;L by Ctn'!$E$17</f>
        <v>180116.92745527226</v>
      </c>
      <c r="D42" s="889">
        <f>SUM($D36:$D36)*'P&amp;L by Ctn'!$K$17</f>
        <v>50494.350323365346</v>
      </c>
      <c r="E42" s="889">
        <f>SUM($E36:$E36)*'P&amp;L by Ctn'!$Q$17</f>
        <v>140107.19273169615</v>
      </c>
      <c r="F42" s="889">
        <f>SUM($F36:$F36)*'P&amp;L by Ctn'!$X$17</f>
        <v>0</v>
      </c>
      <c r="G42" s="889">
        <f>SUM($G36:$G36)*'P&amp;L by Ctn'!$AD$17</f>
        <v>2400</v>
      </c>
      <c r="H42" s="889">
        <f>SUM($H36:$H36)*'P&amp;L by Ctn'!$AA$17</f>
        <v>4320</v>
      </c>
      <c r="I42" s="889">
        <f>SUM($I36:$I36)*'P&amp;L by Ctn'!$AG$17</f>
        <v>3480</v>
      </c>
      <c r="J42" s="889">
        <f>SUM(C42:I42)</f>
        <v>380918.47051033378</v>
      </c>
      <c r="L42" s="888" t="s">
        <v>158</v>
      </c>
      <c r="M42" s="889">
        <f>SUM($C36:$C36)*'P&amp;L by Ctn'!$E$17</f>
        <v>180116.92745527226</v>
      </c>
      <c r="N42" s="889">
        <f>SUM($D36:$D36)*'P&amp;L by Ctn'!$K$17</f>
        <v>50494.350323365346</v>
      </c>
      <c r="O42" s="889">
        <f>SUM($E36:$E36)*'P&amp;L by Ctn'!$Q$17</f>
        <v>140107.19273169615</v>
      </c>
      <c r="P42" s="889">
        <f>SUM($F36:$F36)*'P&amp;L by Ctn'!$X$17</f>
        <v>0</v>
      </c>
      <c r="Q42" s="889">
        <f>SUM($G36:$G36)*'P&amp;L by Ctn'!$AD$17</f>
        <v>2400</v>
      </c>
      <c r="R42" s="889">
        <f>SUM($H36:$H36)*'P&amp;L by Ctn'!$AA$17</f>
        <v>4320</v>
      </c>
      <c r="S42" s="889">
        <f>SUM($I36:$I36)*'P&amp;L by Ctn'!$AG$17</f>
        <v>3480</v>
      </c>
      <c r="T42" s="889">
        <f>SUM(M42:S42)</f>
        <v>380918.47051033378</v>
      </c>
    </row>
    <row r="43" spans="2:20" x14ac:dyDescent="0.45">
      <c r="B43" s="892" t="s">
        <v>159</v>
      </c>
      <c r="C43" s="891">
        <f>IFERROR($C42/$C$38,0)</f>
        <v>0.13845753813183492</v>
      </c>
      <c r="D43" s="891">
        <f>IFERROR($D42/$D$38,0)</f>
        <v>0.13773637160116131</v>
      </c>
      <c r="E43" s="891">
        <f>IFERROR($E42/$E$38,0)</f>
        <v>0.11341204256182097</v>
      </c>
      <c r="F43" s="891">
        <f>IFERROR($F42/$F$38,0)</f>
        <v>0</v>
      </c>
      <c r="G43" s="891">
        <f>IFERROR($G42/$G$38,0)</f>
        <v>0.20833333333333334</v>
      </c>
      <c r="H43" s="891">
        <f>IFERROR($H42/$H$38,0)</f>
        <v>0.20930232558139536</v>
      </c>
      <c r="I43" s="891">
        <f>IFERROR($I42/$I$38,0)</f>
        <v>0.23966942148760331</v>
      </c>
      <c r="J43" s="891">
        <f>IFERROR(J42/J$38,0)</f>
        <v>0.12914480413883017</v>
      </c>
      <c r="L43" s="892" t="s">
        <v>159</v>
      </c>
      <c r="M43" s="891">
        <f t="shared" ref="M43:T43" si="21">IFERROR(M42/M$38,0)</f>
        <v>0.13845753813183492</v>
      </c>
      <c r="N43" s="891">
        <f t="shared" si="21"/>
        <v>0.13773637160116131</v>
      </c>
      <c r="O43" s="891">
        <f t="shared" si="21"/>
        <v>0.11341204256182097</v>
      </c>
      <c r="P43" s="891">
        <f t="shared" si="21"/>
        <v>0</v>
      </c>
      <c r="Q43" s="891">
        <f t="shared" si="21"/>
        <v>0.20833333333333334</v>
      </c>
      <c r="R43" s="891">
        <f t="shared" si="21"/>
        <v>0.20930232558139536</v>
      </c>
      <c r="S43" s="891">
        <f t="shared" si="21"/>
        <v>0.23966942148760331</v>
      </c>
      <c r="T43" s="891">
        <f t="shared" si="21"/>
        <v>0.12914480413883017</v>
      </c>
    </row>
    <row r="44" spans="2:20" x14ac:dyDescent="0.45">
      <c r="B44" s="888" t="s">
        <v>161</v>
      </c>
      <c r="C44" s="889">
        <f>SUM($C36:$C36)*'P&amp;L by Ctn'!$E$20</f>
        <v>200835.65853037804</v>
      </c>
      <c r="D44" s="889">
        <f>SUM($D36:$D36)*'P&amp;L by Ctn'!$K$20</f>
        <v>25252.22496718109</v>
      </c>
      <c r="E44" s="889">
        <f>SUM($E36:$E36)*'P&amp;L by Ctn'!$Q$20</f>
        <v>0</v>
      </c>
      <c r="F44" s="889">
        <f>SUM($F36:$F36)*'P&amp;L by Ctn'!$X$20</f>
        <v>0</v>
      </c>
      <c r="G44" s="889">
        <f>SUM($G36:$G36)*'P&amp;L by Ctn'!$AD$20</f>
        <v>0</v>
      </c>
      <c r="H44" s="889">
        <f>SUM($H36:$H36)*'P&amp;L by Ctn'!$AA$20</f>
        <v>0</v>
      </c>
      <c r="I44" s="889">
        <f>SUM($I36:$I36)*'P&amp;L by Ctn'!$AG$20</f>
        <v>0</v>
      </c>
      <c r="J44" s="889">
        <f>SUM(C44:I44)</f>
        <v>226087.88349755915</v>
      </c>
      <c r="L44" s="888" t="s">
        <v>161</v>
      </c>
      <c r="M44" s="889">
        <f>SUM($C36:$C36)*'P&amp;L by Ctn'!$E$20</f>
        <v>200835.65853037804</v>
      </c>
      <c r="N44" s="889">
        <f>SUM($D36:$D36)*'P&amp;L by Ctn'!$K$20</f>
        <v>25252.22496718109</v>
      </c>
      <c r="O44" s="889">
        <f>SUM($E36:$E36)*'P&amp;L by Ctn'!$Q$20</f>
        <v>0</v>
      </c>
      <c r="P44" s="889">
        <f>SUM($F36:$F36)*'P&amp;L by Ctn'!$X$20</f>
        <v>0</v>
      </c>
      <c r="Q44" s="889">
        <f>SUM($G36:$G36)*'P&amp;L by Ctn'!$AD$20</f>
        <v>0</v>
      </c>
      <c r="R44" s="889">
        <f>SUM($H36:$H36)*'P&amp;L by Ctn'!$AA$20</f>
        <v>0</v>
      </c>
      <c r="S44" s="889">
        <f>SUM($I36:$I36)*'P&amp;L by Ctn'!$AG$20</f>
        <v>0</v>
      </c>
      <c r="T44" s="889">
        <f>SUM(M44:S44)</f>
        <v>226087.88349755915</v>
      </c>
    </row>
    <row r="45" spans="2:20" x14ac:dyDescent="0.45">
      <c r="B45" s="892" t="s">
        <v>162</v>
      </c>
      <c r="C45" s="891">
        <f>IFERROR($C44/$C$38,0)</f>
        <v>0.15438421719750495</v>
      </c>
      <c r="D45" s="891">
        <f>IFERROR($D44/$D$38,0)</f>
        <v>6.8881960448282611E-2</v>
      </c>
      <c r="E45" s="891">
        <f>IFERROR($E44/$E$38,0)</f>
        <v>0</v>
      </c>
      <c r="F45" s="891">
        <f>IFERROR($F44/$F$38,0)</f>
        <v>0</v>
      </c>
      <c r="G45" s="891">
        <f>IFERROR($G44/$G$38,0)</f>
        <v>0</v>
      </c>
      <c r="H45" s="891">
        <f>IFERROR($H44/$H$38,0)</f>
        <v>0</v>
      </c>
      <c r="I45" s="891">
        <f>IFERROR($I44/$I$38,0)</f>
        <v>0</v>
      </c>
      <c r="J45" s="891">
        <f>IFERROR(J44/J$38,0)</f>
        <v>7.6651771160734058E-2</v>
      </c>
      <c r="L45" s="892" t="s">
        <v>162</v>
      </c>
      <c r="M45" s="891">
        <f t="shared" ref="M45:T45" si="22">IFERROR(M44/M$38,0)</f>
        <v>0.15438421719750495</v>
      </c>
      <c r="N45" s="891">
        <f t="shared" si="22"/>
        <v>6.8881960448282611E-2</v>
      </c>
      <c r="O45" s="891">
        <f t="shared" si="22"/>
        <v>0</v>
      </c>
      <c r="P45" s="891">
        <f t="shared" si="22"/>
        <v>0</v>
      </c>
      <c r="Q45" s="891">
        <f t="shared" si="22"/>
        <v>0</v>
      </c>
      <c r="R45" s="891">
        <f t="shared" si="22"/>
        <v>0</v>
      </c>
      <c r="S45" s="891">
        <f t="shared" si="22"/>
        <v>0</v>
      </c>
      <c r="T45" s="891">
        <f t="shared" si="22"/>
        <v>7.6651771160734058E-2</v>
      </c>
    </row>
    <row r="46" spans="2:20" x14ac:dyDescent="0.45">
      <c r="B46" s="888" t="s">
        <v>78</v>
      </c>
      <c r="C46" s="889">
        <f>SUM($C36:$C36)*'P&amp;L by Ctn'!$E$22</f>
        <v>31124.134747404627</v>
      </c>
      <c r="D46" s="889">
        <f>SUM($D36:$D36)*'P&amp;L by Ctn'!$K$22</f>
        <v>6437.7613567399767</v>
      </c>
      <c r="E46" s="889">
        <f>SUM($E36:$E36)*'P&amp;L by Ctn'!$Q$22</f>
        <v>23715.502771139902</v>
      </c>
      <c r="F46" s="889">
        <f>SUM($F36:$F36)*'P&amp;L by Ctn'!$X$22</f>
        <v>0</v>
      </c>
      <c r="G46" s="889">
        <f>SUM($G36:$G36)*'P&amp;L by Ctn'!$AD$22</f>
        <v>88.1221381099501</v>
      </c>
      <c r="H46" s="889">
        <f>SUM($H36:$H36)*'P&amp;L by Ctn'!$AA$22</f>
        <v>184.27841925585341</v>
      </c>
      <c r="I46" s="889">
        <f>SUM($I36:$I36)*'P&amp;L by Ctn'!$AG$22</f>
        <v>198.36312907553679</v>
      </c>
      <c r="J46" s="889">
        <f>SUM(C46:I46)</f>
        <v>61748.162561725847</v>
      </c>
      <c r="L46" s="888" t="s">
        <v>78</v>
      </c>
      <c r="M46" s="889">
        <f>SUM($C36:$C36)*'P&amp;L by Ctn'!$E$22</f>
        <v>31124.134747404627</v>
      </c>
      <c r="N46" s="889">
        <f>SUM($D36:$D36)*'P&amp;L by Ctn'!$K$22</f>
        <v>6437.7613567399767</v>
      </c>
      <c r="O46" s="889">
        <f>SUM($E36:$E36)*'P&amp;L by Ctn'!$Q$22</f>
        <v>23715.502771139902</v>
      </c>
      <c r="P46" s="889">
        <f>SUM($F36:$F36)*'P&amp;L by Ctn'!$X$22</f>
        <v>0</v>
      </c>
      <c r="Q46" s="889">
        <f>SUM($G36:$G36)*'P&amp;L by Ctn'!$AD$22</f>
        <v>88.1221381099501</v>
      </c>
      <c r="R46" s="889">
        <f>SUM($H36:$H36)*'P&amp;L by Ctn'!$AA$22</f>
        <v>184.27841925585341</v>
      </c>
      <c r="S46" s="889">
        <f>SUM($I36:$I36)*'P&amp;L by Ctn'!$AG$22</f>
        <v>198.36312907553679</v>
      </c>
      <c r="T46" s="889">
        <f>SUM(M46:S46)</f>
        <v>61748.162561725847</v>
      </c>
    </row>
    <row r="47" spans="2:20" x14ac:dyDescent="0.45">
      <c r="B47" s="888" t="s">
        <v>163</v>
      </c>
      <c r="C47" s="889" t="e">
        <f t="shared" ref="C47:J47" si="23">C40-C42-C44-C46</f>
        <v>#REF!</v>
      </c>
      <c r="D47" s="889" t="e">
        <f t="shared" si="23"/>
        <v>#REF!</v>
      </c>
      <c r="E47" s="889" t="e">
        <f t="shared" si="23"/>
        <v>#REF!</v>
      </c>
      <c r="F47" s="889">
        <f t="shared" si="23"/>
        <v>0</v>
      </c>
      <c r="G47" s="889">
        <f t="shared" si="23"/>
        <v>2221.0670510792393</v>
      </c>
      <c r="H47" s="889">
        <f t="shared" si="23"/>
        <v>1735.7215807441466</v>
      </c>
      <c r="I47" s="889">
        <f t="shared" si="23"/>
        <v>722.71795200554493</v>
      </c>
      <c r="J47" s="889" t="e">
        <f t="shared" si="23"/>
        <v>#REF!</v>
      </c>
      <c r="L47" s="888" t="s">
        <v>163</v>
      </c>
      <c r="M47" s="889" t="e">
        <f t="shared" ref="M47:T47" si="24">M40-M42-M44-M46</f>
        <v>#REF!</v>
      </c>
      <c r="N47" s="889" t="e">
        <f t="shared" si="24"/>
        <v>#REF!</v>
      </c>
      <c r="O47" s="889" t="e">
        <f t="shared" si="24"/>
        <v>#REF!</v>
      </c>
      <c r="P47" s="889">
        <f t="shared" si="24"/>
        <v>0</v>
      </c>
      <c r="Q47" s="889">
        <f t="shared" si="24"/>
        <v>2221.0670510792393</v>
      </c>
      <c r="R47" s="889">
        <f t="shared" si="24"/>
        <v>1735.7215807441466</v>
      </c>
      <c r="S47" s="889">
        <f t="shared" si="24"/>
        <v>722.71795200554493</v>
      </c>
      <c r="T47" s="889" t="e">
        <f t="shared" si="24"/>
        <v>#REF!</v>
      </c>
    </row>
    <row r="48" spans="2:20" x14ac:dyDescent="0.45">
      <c r="B48" s="890" t="s">
        <v>164</v>
      </c>
      <c r="C48" s="891">
        <f>IFERROR($C47/$C$38,0)</f>
        <v>0</v>
      </c>
      <c r="D48" s="891">
        <f>IFERROR($D47/$D$38,0)</f>
        <v>0</v>
      </c>
      <c r="E48" s="891">
        <f>IFERROR($E47/$E$38,0)</f>
        <v>0</v>
      </c>
      <c r="F48" s="891">
        <f>IFERROR($F47/$F$38,0)</f>
        <v>0</v>
      </c>
      <c r="G48" s="891">
        <f>IFERROR($G47/$G$38,0)</f>
        <v>0.19280095929507285</v>
      </c>
      <c r="H48" s="891">
        <f>IFERROR($H47/$H$38,0)</f>
        <v>8.409503782675129E-2</v>
      </c>
      <c r="I48" s="891">
        <f>IFERROR($I47/$I$38,0)</f>
        <v>4.9773963636745522E-2</v>
      </c>
      <c r="J48" s="891">
        <f>IFERROR(J47/J$38,0)</f>
        <v>0</v>
      </c>
      <c r="L48" s="890" t="s">
        <v>164</v>
      </c>
      <c r="M48" s="891">
        <f t="shared" ref="M48:T48" si="25">IFERROR(M47/M$38,0)</f>
        <v>0</v>
      </c>
      <c r="N48" s="891">
        <f t="shared" si="25"/>
        <v>0</v>
      </c>
      <c r="O48" s="891">
        <f t="shared" si="25"/>
        <v>0</v>
      </c>
      <c r="P48" s="891">
        <f t="shared" si="25"/>
        <v>0</v>
      </c>
      <c r="Q48" s="891">
        <f t="shared" si="25"/>
        <v>0.19280095929507285</v>
      </c>
      <c r="R48" s="891">
        <f t="shared" si="25"/>
        <v>8.409503782675129E-2</v>
      </c>
      <c r="S48" s="891">
        <f t="shared" si="25"/>
        <v>4.9773963636745522E-2</v>
      </c>
      <c r="T48" s="891">
        <f t="shared" si="25"/>
        <v>0</v>
      </c>
    </row>
    <row r="49" spans="2:20" x14ac:dyDescent="0.45">
      <c r="B49" s="888" t="s">
        <v>165</v>
      </c>
      <c r="C49" s="889">
        <f>SUM($C36:$C36)*'P&amp;L by Ctn'!$E$25</f>
        <v>0</v>
      </c>
      <c r="D49" s="889">
        <f>SUM($D36:$D36)*'P&amp;L by Ctn'!$K$25</f>
        <v>0</v>
      </c>
      <c r="E49" s="889">
        <f>SUM($E36:$E36)*'P&amp;L by Ctn'!$Q$25</f>
        <v>0</v>
      </c>
      <c r="F49" s="889">
        <f>SUM($F36:$F36)*'P&amp;L by Ctn'!$X$25</f>
        <v>0</v>
      </c>
      <c r="G49" s="889">
        <f>SUM($G36:$G36)*'P&amp;L by Ctn'!$AD$25</f>
        <v>0</v>
      </c>
      <c r="H49" s="889">
        <f>SUM($H36:$H36)*'P&amp;L by Ctn'!$AA$25</f>
        <v>0</v>
      </c>
      <c r="I49" s="889">
        <f>SUM($I36:$I36)*'P&amp;L by Ctn'!$AG$25</f>
        <v>0</v>
      </c>
      <c r="J49" s="889">
        <f>SUM(C49:I49)</f>
        <v>0</v>
      </c>
      <c r="L49" s="888" t="s">
        <v>165</v>
      </c>
      <c r="M49" s="889">
        <f>SUM($C36:$C36)*'P&amp;L by Ctn'!$E$25</f>
        <v>0</v>
      </c>
      <c r="N49" s="889">
        <f>SUM($D36:$D36)*'P&amp;L by Ctn'!$K$25</f>
        <v>0</v>
      </c>
      <c r="O49" s="889">
        <f>SUM($E36:$E36)*'P&amp;L by Ctn'!$Q$25</f>
        <v>0</v>
      </c>
      <c r="P49" s="889">
        <f>SUM($F36:$F36)*'P&amp;L by Ctn'!$X$25</f>
        <v>0</v>
      </c>
      <c r="Q49" s="889">
        <f>SUM($G36:$G36)*'P&amp;L by Ctn'!$AD$25</f>
        <v>0</v>
      </c>
      <c r="R49" s="889">
        <f>SUM($H36:$H36)*'P&amp;L by Ctn'!$AA$25</f>
        <v>0</v>
      </c>
      <c r="S49" s="889">
        <f>SUM($I36:$I36)*'P&amp;L by Ctn'!$AG$25</f>
        <v>0</v>
      </c>
      <c r="T49" s="889">
        <f>SUM(M49:S49)</f>
        <v>0</v>
      </c>
    </row>
    <row r="50" spans="2:20" x14ac:dyDescent="0.45">
      <c r="B50" s="888" t="s">
        <v>166</v>
      </c>
      <c r="C50" s="889" t="e">
        <f t="shared" ref="C50:J50" si="26">C47-C49</f>
        <v>#REF!</v>
      </c>
      <c r="D50" s="889" t="e">
        <f t="shared" si="26"/>
        <v>#REF!</v>
      </c>
      <c r="E50" s="889" t="e">
        <f t="shared" si="26"/>
        <v>#REF!</v>
      </c>
      <c r="F50" s="889">
        <f t="shared" si="26"/>
        <v>0</v>
      </c>
      <c r="G50" s="889">
        <f t="shared" si="26"/>
        <v>2221.0670510792393</v>
      </c>
      <c r="H50" s="889">
        <f t="shared" si="26"/>
        <v>1735.7215807441466</v>
      </c>
      <c r="I50" s="889">
        <f t="shared" si="26"/>
        <v>722.71795200554493</v>
      </c>
      <c r="J50" s="889" t="e">
        <f t="shared" si="26"/>
        <v>#REF!</v>
      </c>
      <c r="L50" s="888" t="s">
        <v>166</v>
      </c>
      <c r="M50" s="889" t="e">
        <f t="shared" ref="M50:T50" si="27">M47-M49</f>
        <v>#REF!</v>
      </c>
      <c r="N50" s="889" t="e">
        <f t="shared" si="27"/>
        <v>#REF!</v>
      </c>
      <c r="O50" s="889" t="e">
        <f t="shared" si="27"/>
        <v>#REF!</v>
      </c>
      <c r="P50" s="889">
        <f t="shared" si="27"/>
        <v>0</v>
      </c>
      <c r="Q50" s="889">
        <f t="shared" si="27"/>
        <v>2221.0670510792393</v>
      </c>
      <c r="R50" s="889">
        <f t="shared" si="27"/>
        <v>1735.7215807441466</v>
      </c>
      <c r="S50" s="889">
        <f t="shared" si="27"/>
        <v>722.71795200554493</v>
      </c>
      <c r="T50" s="889" t="e">
        <f t="shared" si="27"/>
        <v>#REF!</v>
      </c>
    </row>
    <row r="51" spans="2:20" x14ac:dyDescent="0.45">
      <c r="B51" s="890" t="s">
        <v>167</v>
      </c>
      <c r="C51" s="891">
        <f>IFERROR($C50/$C$38,0)</f>
        <v>0</v>
      </c>
      <c r="D51" s="891">
        <f>IFERROR($D50/$D$38,0)</f>
        <v>0</v>
      </c>
      <c r="E51" s="891">
        <f>IFERROR($E50/$E$38,0)</f>
        <v>0</v>
      </c>
      <c r="F51" s="891">
        <f>IFERROR($F50/$F$38,0)</f>
        <v>0</v>
      </c>
      <c r="G51" s="891">
        <f>IFERROR($G50/$G$38,0)</f>
        <v>0.19280095929507285</v>
      </c>
      <c r="H51" s="891">
        <f>IFERROR($H50/$H$38,0)</f>
        <v>8.409503782675129E-2</v>
      </c>
      <c r="I51" s="891">
        <f>IFERROR($I50/$I$38,0)</f>
        <v>4.9773963636745522E-2</v>
      </c>
      <c r="J51" s="891">
        <f>IFERROR(J50/J$38,0)</f>
        <v>0</v>
      </c>
      <c r="L51" s="890" t="s">
        <v>167</v>
      </c>
      <c r="M51" s="891">
        <f t="shared" ref="M51:T51" si="28">IFERROR(M50/M$38,0)</f>
        <v>0</v>
      </c>
      <c r="N51" s="891">
        <f t="shared" si="28"/>
        <v>0</v>
      </c>
      <c r="O51" s="891">
        <f t="shared" si="28"/>
        <v>0</v>
      </c>
      <c r="P51" s="891">
        <f t="shared" si="28"/>
        <v>0</v>
      </c>
      <c r="Q51" s="891">
        <f t="shared" si="28"/>
        <v>0.19280095929507285</v>
      </c>
      <c r="R51" s="891">
        <f t="shared" si="28"/>
        <v>8.409503782675129E-2</v>
      </c>
      <c r="S51" s="891">
        <f t="shared" si="28"/>
        <v>4.9773963636745522E-2</v>
      </c>
      <c r="T51" s="891">
        <f t="shared" si="28"/>
        <v>0</v>
      </c>
    </row>
    <row r="52" spans="2:20" x14ac:dyDescent="0.45">
      <c r="B52" s="888" t="s">
        <v>97</v>
      </c>
      <c r="C52" s="889">
        <f>SUM($C36:$C36)*'P&amp;L by Ctn'!$E$28</f>
        <v>-1023.2488327128204</v>
      </c>
      <c r="D52" s="889">
        <f>SUM($D36:$D36)*'P&amp;L by Ctn'!$K$28</f>
        <v>1732.879795321664</v>
      </c>
      <c r="E52" s="889">
        <f>SUM($E36:$E36)*'P&amp;L by Ctn'!$Q$28</f>
        <v>-1946.1962530493615</v>
      </c>
      <c r="F52" s="889">
        <f>SUM($F36:$F36)*'P&amp;L by Ctn'!$X$28</f>
        <v>0</v>
      </c>
      <c r="G52" s="889">
        <f>SUM($G36:$G36)*'P&amp;L by Ctn'!$AD$28</f>
        <v>-145.748987854251</v>
      </c>
      <c r="H52" s="889">
        <f>SUM($H36:$H36)*'P&amp;L by Ctn'!$AA$28</f>
        <v>-300</v>
      </c>
      <c r="I52" s="889">
        <f>SUM($I36:$I36)*'P&amp;L by Ctn'!$AG$28</f>
        <v>-300</v>
      </c>
      <c r="J52" s="889">
        <f>SUM(C52:I52)</f>
        <v>-1982.3142782947689</v>
      </c>
      <c r="L52" s="888" t="s">
        <v>97</v>
      </c>
      <c r="M52" s="889">
        <f>SUM($C36:$C36)*'P&amp;L by Ctn'!$E$28</f>
        <v>-1023.2488327128204</v>
      </c>
      <c r="N52" s="889">
        <f>SUM($D36:$D36)*'P&amp;L by Ctn'!$K$28</f>
        <v>1732.879795321664</v>
      </c>
      <c r="O52" s="889">
        <f>SUM($E36:$E36)*'P&amp;L by Ctn'!$Q$28</f>
        <v>-1946.1962530493615</v>
      </c>
      <c r="P52" s="889">
        <f>SUM($F36:$F36)*'P&amp;L by Ctn'!$X$28</f>
        <v>0</v>
      </c>
      <c r="Q52" s="889">
        <f>SUM($G36:$G36)*'P&amp;L by Ctn'!$AD$28</f>
        <v>-145.748987854251</v>
      </c>
      <c r="R52" s="889">
        <f>SUM($H36:$H36)*'P&amp;L by Ctn'!$AA$28</f>
        <v>-300</v>
      </c>
      <c r="S52" s="889">
        <f>SUM($I36:$I36)*'P&amp;L by Ctn'!$AG$28</f>
        <v>-300</v>
      </c>
      <c r="T52" s="889">
        <f>SUM(M52:S52)</f>
        <v>-1982.3142782947689</v>
      </c>
    </row>
    <row r="53" spans="2:20" x14ac:dyDescent="0.45">
      <c r="B53" s="888" t="s">
        <v>168</v>
      </c>
      <c r="C53" s="889" t="e">
        <f t="shared" ref="C53:J53" si="29">C50-C52</f>
        <v>#REF!</v>
      </c>
      <c r="D53" s="889" t="e">
        <f t="shared" si="29"/>
        <v>#REF!</v>
      </c>
      <c r="E53" s="889" t="e">
        <f t="shared" si="29"/>
        <v>#REF!</v>
      </c>
      <c r="F53" s="889">
        <f t="shared" si="29"/>
        <v>0</v>
      </c>
      <c r="G53" s="889">
        <f t="shared" si="29"/>
        <v>2366.8160389334903</v>
      </c>
      <c r="H53" s="889">
        <f t="shared" si="29"/>
        <v>2035.7215807441466</v>
      </c>
      <c r="I53" s="889">
        <f t="shared" si="29"/>
        <v>1022.7179520055449</v>
      </c>
      <c r="J53" s="889" t="e">
        <f t="shared" si="29"/>
        <v>#REF!</v>
      </c>
      <c r="L53" s="888" t="s">
        <v>168</v>
      </c>
      <c r="M53" s="889" t="e">
        <f t="shared" ref="M53:T53" si="30">M50-M52</f>
        <v>#REF!</v>
      </c>
      <c r="N53" s="889" t="e">
        <f t="shared" si="30"/>
        <v>#REF!</v>
      </c>
      <c r="O53" s="889" t="e">
        <f t="shared" si="30"/>
        <v>#REF!</v>
      </c>
      <c r="P53" s="889">
        <f t="shared" si="30"/>
        <v>0</v>
      </c>
      <c r="Q53" s="889">
        <f t="shared" si="30"/>
        <v>2366.8160389334903</v>
      </c>
      <c r="R53" s="889">
        <f t="shared" si="30"/>
        <v>2035.7215807441466</v>
      </c>
      <c r="S53" s="889">
        <f t="shared" si="30"/>
        <v>1022.7179520055449</v>
      </c>
      <c r="T53" s="889" t="e">
        <f t="shared" si="30"/>
        <v>#REF!</v>
      </c>
    </row>
    <row r="54" spans="2:20" x14ac:dyDescent="0.45">
      <c r="B54" s="890" t="s">
        <v>169</v>
      </c>
      <c r="C54" s="891">
        <f>IFERROR($C53/$C$38,0)</f>
        <v>0</v>
      </c>
      <c r="D54" s="891">
        <f>IFERROR($D53/$D$38,0)</f>
        <v>0</v>
      </c>
      <c r="E54" s="891">
        <f>IFERROR($E53/$E$38,0)</f>
        <v>0</v>
      </c>
      <c r="F54" s="891">
        <f>IFERROR($F53/$F$38,0)</f>
        <v>0</v>
      </c>
      <c r="G54" s="891">
        <f>IFERROR($G53/$G$38,0)</f>
        <v>0.20545278115742102</v>
      </c>
      <c r="H54" s="891">
        <f>IFERROR($H53/$H$38,0)</f>
        <v>9.8629921547681521E-2</v>
      </c>
      <c r="I54" s="891">
        <f>IFERROR($I53/$I$38,0)</f>
        <v>7.0435120661538911E-2</v>
      </c>
      <c r="J54" s="891">
        <f>IFERROR(J53/J$38,0)</f>
        <v>0</v>
      </c>
      <c r="L54" s="890" t="s">
        <v>169</v>
      </c>
      <c r="M54" s="891">
        <f t="shared" ref="M54:T54" si="31">IFERROR(M53/M$38,0)</f>
        <v>0</v>
      </c>
      <c r="N54" s="891">
        <f t="shared" si="31"/>
        <v>0</v>
      </c>
      <c r="O54" s="891">
        <f t="shared" si="31"/>
        <v>0</v>
      </c>
      <c r="P54" s="891">
        <f t="shared" si="31"/>
        <v>0</v>
      </c>
      <c r="Q54" s="891">
        <f t="shared" si="31"/>
        <v>0.20545278115742102</v>
      </c>
      <c r="R54" s="891">
        <f t="shared" si="31"/>
        <v>9.8629921547681521E-2</v>
      </c>
      <c r="S54" s="891">
        <f t="shared" si="31"/>
        <v>7.0435120661538911E-2</v>
      </c>
      <c r="T54" s="891">
        <f t="shared" si="31"/>
        <v>0</v>
      </c>
    </row>
    <row r="55" spans="2:20" x14ac:dyDescent="0.45">
      <c r="B55" s="965"/>
      <c r="C55" s="966"/>
      <c r="D55" s="966"/>
      <c r="E55" s="966"/>
      <c r="F55" s="966"/>
      <c r="G55" s="966"/>
      <c r="H55" s="966"/>
      <c r="I55" s="966"/>
      <c r="J55" s="967"/>
      <c r="L55" s="965"/>
      <c r="M55" s="966"/>
      <c r="N55" s="966"/>
      <c r="O55" s="966"/>
      <c r="P55" s="966"/>
      <c r="Q55" s="966"/>
      <c r="R55" s="966"/>
      <c r="S55" s="966"/>
      <c r="T55" s="967"/>
    </row>
    <row r="56" spans="2:20" x14ac:dyDescent="0.45">
      <c r="B56" s="895" t="s">
        <v>171</v>
      </c>
      <c r="C56" s="896">
        <f>SUM($C36:$C36)*'P&amp;L by Ctn'!$E$33</f>
        <v>1480589.0505989895</v>
      </c>
      <c r="D56" s="896">
        <f>SUM($D36:$D36)*'P&amp;L by Ctn'!$K$33</f>
        <v>417370.0661157025</v>
      </c>
      <c r="E56" s="896">
        <f>SUM($E36:$E36)*'P&amp;L by Ctn'!$Q$33</f>
        <v>1457244.7794817528</v>
      </c>
      <c r="F56" s="896">
        <f>SUM($F36:$F36)*'P&amp;L by Ctn'!$X$33</f>
        <v>0</v>
      </c>
      <c r="G56" s="896">
        <f>SUM($G36:$G36)*'P&amp;L by Ctn'!$AD$33</f>
        <v>12101.506262125506</v>
      </c>
      <c r="H56" s="896">
        <f>SUM($H36:$H36)*'P&amp;L by Ctn'!$AA$33</f>
        <v>22048.087860000003</v>
      </c>
      <c r="I56" s="896">
        <f>SUM($I36:$I36)*'P&amp;L by Ctn'!$AG$33</f>
        <v>15942.795975000001</v>
      </c>
      <c r="J56" s="896">
        <f>SUM(C56:I56)</f>
        <v>3405296.28629357</v>
      </c>
      <c r="L56" s="895" t="s">
        <v>171</v>
      </c>
      <c r="M56" s="896">
        <f>SUM($C36:$C36)*'P&amp;L by Ctn'!$E$33</f>
        <v>1480589.0505989895</v>
      </c>
      <c r="N56" s="896">
        <f>SUM($D36:$D36)*'P&amp;L by Ctn'!$K$33</f>
        <v>417370.0661157025</v>
      </c>
      <c r="O56" s="896">
        <f>SUM($E36:$E36)*'P&amp;L by Ctn'!$Q$33</f>
        <v>1457244.7794817528</v>
      </c>
      <c r="P56" s="896">
        <f>SUM($F36:$F36)*'P&amp;L by Ctn'!$X$33</f>
        <v>0</v>
      </c>
      <c r="Q56" s="896">
        <f>SUM($G36:$G36)*'P&amp;L by Ctn'!$AD$33</f>
        <v>12101.506262125506</v>
      </c>
      <c r="R56" s="896">
        <f>SUM($H36:$H36)*'P&amp;L by Ctn'!$AA$33</f>
        <v>22048.087860000003</v>
      </c>
      <c r="S56" s="896">
        <f>SUM($I36:$I36)*'P&amp;L by Ctn'!$AG$33</f>
        <v>15942.795975000001</v>
      </c>
      <c r="T56" s="896">
        <f>SUM(M56:S56)</f>
        <v>3405296.28629357</v>
      </c>
    </row>
    <row r="57" spans="2:20" x14ac:dyDescent="0.45">
      <c r="B57" s="895" t="s">
        <v>172</v>
      </c>
      <c r="C57" s="896">
        <f>SUM($C36:$C36)*'P&amp;L by Ctn'!$E$34</f>
        <v>1664964.1818586125</v>
      </c>
      <c r="D57" s="896">
        <f>SUM($D36:$D36)*'P&amp;L by Ctn'!$K$34</f>
        <v>469615.81831501954</v>
      </c>
      <c r="E57" s="896">
        <f>SUM($E36:$E36)*'P&amp;L by Ctn'!$Q$34</f>
        <v>1601302.7639726051</v>
      </c>
      <c r="F57" s="896">
        <f>SUM($F36:$F36)*'P&amp;L by Ctn'!$X$34</f>
        <v>0</v>
      </c>
      <c r="G57" s="896">
        <f>SUM($G36:$G36)*'P&amp;L by Ctn'!$AD$34</f>
        <v>14640</v>
      </c>
      <c r="H57" s="896">
        <f>SUM($H36:$H36)*'P&amp;L by Ctn'!$AA$34</f>
        <v>22690.909090909092</v>
      </c>
      <c r="I57" s="896">
        <f>SUM($I36:$I36)*'P&amp;L by Ctn'!$AG$34</f>
        <v>18986.666666666668</v>
      </c>
      <c r="J57" s="896">
        <f>SUM(C57:I57)</f>
        <v>3792200.3399038129</v>
      </c>
      <c r="L57" s="895" t="s">
        <v>172</v>
      </c>
      <c r="M57" s="896">
        <f>SUM($C36:$C36)*'P&amp;L by Ctn'!$E$34</f>
        <v>1664964.1818586125</v>
      </c>
      <c r="N57" s="896">
        <f>SUM($D36:$D36)*'P&amp;L by Ctn'!$K$34</f>
        <v>469615.81831501954</v>
      </c>
      <c r="O57" s="896">
        <f>SUM($E36:$E36)*'P&amp;L by Ctn'!$Q$34</f>
        <v>1601302.7639726051</v>
      </c>
      <c r="P57" s="896">
        <f>SUM($F36:$F36)*'P&amp;L by Ctn'!$X$34</f>
        <v>0</v>
      </c>
      <c r="Q57" s="896">
        <f>SUM($G36:$G36)*'P&amp;L by Ctn'!$AD$34</f>
        <v>14640</v>
      </c>
      <c r="R57" s="896">
        <f>SUM($H36:$H36)*'P&amp;L by Ctn'!$AA$34</f>
        <v>22690.909090909092</v>
      </c>
      <c r="S57" s="896">
        <f>SUM($I36:$I36)*'P&amp;L by Ctn'!$AG$34</f>
        <v>18986.666666666668</v>
      </c>
      <c r="T57" s="896">
        <f>SUM(M57:S57)</f>
        <v>3792200.3399038129</v>
      </c>
    </row>
    <row r="58" spans="2:20" x14ac:dyDescent="0.45">
      <c r="B58" s="895" t="s">
        <v>173</v>
      </c>
      <c r="C58" s="896">
        <f>SUM($C36:$C36)*'P&amp;L by Ctn'!$E$35</f>
        <v>158024.46192647904</v>
      </c>
      <c r="D58" s="896">
        <f>SUM($D36:$D36)*'P&amp;L by Ctn'!$K$35</f>
        <v>44791.405079769786</v>
      </c>
      <c r="E58" s="896">
        <f>SUM($E36:$E36)*'P&amp;L by Ctn'!$Q$35</f>
        <v>120979.98590077464</v>
      </c>
      <c r="F58" s="896">
        <f>SUM($F36:$F36)*'P&amp;L by Ctn'!$X$35</f>
        <v>0</v>
      </c>
      <c r="G58" s="896">
        <f>SUM($G36:$G36)*'P&amp;L by Ctn'!$AD$35</f>
        <v>2228.2221319654022</v>
      </c>
      <c r="H58" s="896">
        <f>SUM($H36:$H36)*'P&amp;L by Ctn'!$AA$35</f>
        <v>420.7465735537159</v>
      </c>
      <c r="I58" s="896">
        <f>SUM($I36:$I36)*'P&amp;L by Ctn'!$AG$35</f>
        <v>2603.5188106060605</v>
      </c>
      <c r="J58" s="896">
        <f>SUM(C58:I58)</f>
        <v>329048.34042314859</v>
      </c>
      <c r="L58" s="895" t="s">
        <v>173</v>
      </c>
      <c r="M58" s="896">
        <f>SUM($C36:$C36)*'P&amp;L by Ctn'!$E$35</f>
        <v>158024.46192647904</v>
      </c>
      <c r="N58" s="896">
        <f>SUM($D36:$D36)*'P&amp;L by Ctn'!$K$35</f>
        <v>44791.405079769786</v>
      </c>
      <c r="O58" s="896">
        <f>SUM($E36:$E36)*'P&amp;L by Ctn'!$Q$35</f>
        <v>120979.98590077464</v>
      </c>
      <c r="P58" s="896">
        <f>SUM($F36:$F36)*'P&amp;L by Ctn'!$X$35</f>
        <v>0</v>
      </c>
      <c r="Q58" s="896">
        <f>SUM($G36:$G36)*'P&amp;L by Ctn'!$AD$35</f>
        <v>2228.2221319654022</v>
      </c>
      <c r="R58" s="896">
        <f>SUM($H36:$H36)*'P&amp;L by Ctn'!$AA$35</f>
        <v>420.7465735537159</v>
      </c>
      <c r="S58" s="896">
        <f>SUM($I36:$I36)*'P&amp;L by Ctn'!$AG$35</f>
        <v>2603.5188106060605</v>
      </c>
      <c r="T58" s="896">
        <f>SUM(M58:S58)</f>
        <v>329048.34042314859</v>
      </c>
    </row>
    <row r="59" spans="2:20" x14ac:dyDescent="0.45">
      <c r="B59" s="893" t="s">
        <v>174</v>
      </c>
      <c r="C59" s="894">
        <f>IFERROR($C58/$C$57,0)</f>
        <v>9.4911628519284488E-2</v>
      </c>
      <c r="D59" s="894">
        <f>IFERROR($D58/$D$57,0)</f>
        <v>9.5378825271434084E-2</v>
      </c>
      <c r="E59" s="894">
        <f>IFERROR($E58/$E$57,0)</f>
        <v>7.5550975507367793E-2</v>
      </c>
      <c r="F59" s="894">
        <f>IFERROR($F58/$F$57,0)</f>
        <v>0</v>
      </c>
      <c r="G59" s="894">
        <f>IFERROR($G58/$G$57,0)</f>
        <v>0.15220096529818322</v>
      </c>
      <c r="H59" s="894">
        <f>IFERROR($H58/$H$57,0)</f>
        <v>1.8542517263985876E-2</v>
      </c>
      <c r="I59" s="894">
        <f>IFERROR($I58/$I$57,0)</f>
        <v>0.13712353286197648</v>
      </c>
      <c r="J59" s="894">
        <f>IFERROR(J58/J$57,0)</f>
        <v>8.6769767135112572E-2</v>
      </c>
      <c r="L59" s="893" t="s">
        <v>174</v>
      </c>
      <c r="M59" s="894">
        <f>IFERROR($C58/$C$57,0)</f>
        <v>9.4911628519284488E-2</v>
      </c>
      <c r="N59" s="894">
        <f>IFERROR($D58/$D$57,0)</f>
        <v>9.5378825271434084E-2</v>
      </c>
      <c r="O59" s="894">
        <f>IFERROR($E58/$E$57,0)</f>
        <v>7.5550975507367793E-2</v>
      </c>
      <c r="P59" s="894">
        <f>IFERROR($F58/$F$57,0)</f>
        <v>0</v>
      </c>
      <c r="Q59" s="894">
        <f>IFERROR($G58/$G$57,0)</f>
        <v>0.15220096529818322</v>
      </c>
      <c r="R59" s="894">
        <f>IFERROR($H58/$H$57,0)</f>
        <v>1.8542517263985876E-2</v>
      </c>
      <c r="S59" s="894">
        <f>IFERROR($I58/$I$57,0)</f>
        <v>0.13712353286197648</v>
      </c>
      <c r="T59" s="894">
        <f>IFERROR(T58/T$57,0)</f>
        <v>8.6769767135112572E-2</v>
      </c>
    </row>
    <row r="60" spans="2:20" x14ac:dyDescent="0.45">
      <c r="B60" s="965"/>
      <c r="C60" s="966"/>
      <c r="D60" s="966"/>
      <c r="E60" s="966"/>
      <c r="F60" s="966"/>
      <c r="G60" s="966"/>
      <c r="H60" s="966"/>
      <c r="I60" s="966"/>
      <c r="J60" s="967"/>
      <c r="L60" s="965"/>
      <c r="M60" s="966"/>
      <c r="N60" s="966"/>
      <c r="O60" s="966"/>
      <c r="P60" s="966"/>
      <c r="Q60" s="966"/>
      <c r="R60" s="966"/>
      <c r="S60" s="966"/>
      <c r="T60" s="967"/>
    </row>
    <row r="61" spans="2:20" x14ac:dyDescent="0.45">
      <c r="B61" s="888" t="s">
        <v>218</v>
      </c>
      <c r="C61" s="889" t="e">
        <f t="shared" ref="C61:J61" si="32">C40-C42</f>
        <v>#REF!</v>
      </c>
      <c r="D61" s="889" t="e">
        <f t="shared" si="32"/>
        <v>#REF!</v>
      </c>
      <c r="E61" s="889" t="e">
        <f t="shared" si="32"/>
        <v>#REF!</v>
      </c>
      <c r="F61" s="889">
        <f t="shared" si="32"/>
        <v>0</v>
      </c>
      <c r="G61" s="889">
        <f t="shared" si="32"/>
        <v>2309.1891891891892</v>
      </c>
      <c r="H61" s="889">
        <f t="shared" si="32"/>
        <v>1920</v>
      </c>
      <c r="I61" s="889">
        <f t="shared" si="32"/>
        <v>921.08108108108172</v>
      </c>
      <c r="J61" s="889" t="e">
        <f t="shared" si="32"/>
        <v>#REF!</v>
      </c>
      <c r="L61" s="888" t="s">
        <v>218</v>
      </c>
      <c r="M61" s="889" t="e">
        <f t="shared" ref="M61:T61" si="33">M40-M42</f>
        <v>#REF!</v>
      </c>
      <c r="N61" s="889" t="e">
        <f t="shared" si="33"/>
        <v>#REF!</v>
      </c>
      <c r="O61" s="889" t="e">
        <f t="shared" si="33"/>
        <v>#REF!</v>
      </c>
      <c r="P61" s="889">
        <f t="shared" si="33"/>
        <v>0</v>
      </c>
      <c r="Q61" s="889">
        <f t="shared" si="33"/>
        <v>2309.1891891891892</v>
      </c>
      <c r="R61" s="889">
        <f t="shared" si="33"/>
        <v>1920</v>
      </c>
      <c r="S61" s="889">
        <f t="shared" si="33"/>
        <v>921.08108108108172</v>
      </c>
      <c r="T61" s="889" t="e">
        <f t="shared" si="33"/>
        <v>#REF!</v>
      </c>
    </row>
    <row r="62" spans="2:20" x14ac:dyDescent="0.45">
      <c r="B62" s="890" t="s">
        <v>219</v>
      </c>
      <c r="C62" s="891">
        <f>IFERROR($C$61/$C38,0)</f>
        <v>0</v>
      </c>
      <c r="D62" s="891">
        <f>IFERROR($D61/$D38,0)</f>
        <v>0</v>
      </c>
      <c r="E62" s="891">
        <f>IFERROR($E61/$E38,0)</f>
        <v>0</v>
      </c>
      <c r="F62" s="891">
        <f>IFERROR($F61/$F38,0)</f>
        <v>0</v>
      </c>
      <c r="G62" s="891">
        <f>IFERROR($G61/$G38,0)</f>
        <v>0.20045045045045046</v>
      </c>
      <c r="H62" s="891">
        <f>IFERROR($H61/$H38,0)</f>
        <v>9.3023255813953487E-2</v>
      </c>
      <c r="I62" s="891">
        <f>IFERROR($I61/$I38,0)</f>
        <v>6.3435336162608935E-2</v>
      </c>
      <c r="J62" s="891">
        <f>IFERROR(J61/J38,0)</f>
        <v>0</v>
      </c>
      <c r="L62" s="890" t="s">
        <v>219</v>
      </c>
      <c r="M62" s="891">
        <f t="shared" ref="M62:S62" si="34">IFERROR(M61/M$38,0)</f>
        <v>0</v>
      </c>
      <c r="N62" s="891">
        <f t="shared" si="34"/>
        <v>0</v>
      </c>
      <c r="O62" s="891">
        <f t="shared" si="34"/>
        <v>0</v>
      </c>
      <c r="P62" s="891">
        <f t="shared" si="34"/>
        <v>0</v>
      </c>
      <c r="Q62" s="891">
        <f t="shared" si="34"/>
        <v>0.20045045045045046</v>
      </c>
      <c r="R62" s="891">
        <f t="shared" si="34"/>
        <v>9.3023255813953487E-2</v>
      </c>
      <c r="S62" s="891">
        <f t="shared" si="34"/>
        <v>6.3435336162608935E-2</v>
      </c>
      <c r="T62" s="891">
        <f>IFERROR(T61/T38,0)</f>
        <v>0</v>
      </c>
    </row>
    <row r="64" spans="2:20" x14ac:dyDescent="0.45">
      <c r="B64" s="741" t="s">
        <v>224</v>
      </c>
      <c r="L64" s="741" t="s">
        <v>224</v>
      </c>
    </row>
    <row r="65" spans="2:20" x14ac:dyDescent="0.45">
      <c r="B65" s="897" t="s">
        <v>225</v>
      </c>
      <c r="C65" s="897" t="s">
        <v>2</v>
      </c>
      <c r="D65" s="897" t="s">
        <v>3</v>
      </c>
      <c r="E65" s="897" t="s">
        <v>4</v>
      </c>
      <c r="F65" s="897" t="s">
        <v>135</v>
      </c>
      <c r="G65" s="897" t="s">
        <v>154</v>
      </c>
      <c r="H65" s="897" t="s">
        <v>137</v>
      </c>
      <c r="I65" s="897" t="s">
        <v>138</v>
      </c>
      <c r="J65" s="897" t="s">
        <v>201</v>
      </c>
      <c r="L65" s="897" t="s">
        <v>225</v>
      </c>
      <c r="M65" s="897" t="s">
        <v>2</v>
      </c>
      <c r="N65" s="897" t="s">
        <v>3</v>
      </c>
      <c r="O65" s="897" t="s">
        <v>4</v>
      </c>
      <c r="P65" s="897" t="s">
        <v>135</v>
      </c>
      <c r="Q65" s="897" t="s">
        <v>154</v>
      </c>
      <c r="R65" s="897" t="s">
        <v>137</v>
      </c>
      <c r="S65" s="897" t="s">
        <v>138</v>
      </c>
      <c r="T65" s="897" t="s">
        <v>201</v>
      </c>
    </row>
    <row r="66" spans="2:20" x14ac:dyDescent="0.45">
      <c r="B66" s="888" t="s">
        <v>216</v>
      </c>
      <c r="C66" s="889">
        <f>'STT STD - By SKU 150'!$C75+'STT STD - By SKU 150'!$C10</f>
        <v>33758000</v>
      </c>
      <c r="D66" s="889">
        <f>'STT STD - By SKU 150'!$D75+'STT STD - By SKU 150'!$D10</f>
        <v>10400000</v>
      </c>
      <c r="E66" s="889">
        <f>'STT STD - By SKU 150'!$E75+'STT STD - By SKU 150'!$E10</f>
        <v>34932000</v>
      </c>
      <c r="F66" s="889">
        <f>'STT STD - By SKU 150'!$F75+'STT STD - By SKU 150'!$F10</f>
        <v>0</v>
      </c>
      <c r="G66" s="889">
        <f>'STT STD - By SKU 150'!$G75+'STT STD - By SKU 150'!$G10</f>
        <v>72000</v>
      </c>
      <c r="H66" s="889">
        <f>'STT STD - By SKU 150'!$H75+'STT STD - By SKU 150'!$H10</f>
        <v>259200</v>
      </c>
      <c r="I66" s="889">
        <f>'STT STD - By SKU 150'!$I75+'STT STD - By SKU 150'!$I10</f>
        <v>144000</v>
      </c>
      <c r="J66" s="889">
        <f>SUM($C66:$I66)</f>
        <v>79565200</v>
      </c>
      <c r="L66" s="888" t="s">
        <v>226</v>
      </c>
      <c r="M66" s="889">
        <f>'STT STD - By SKU 150'!$C75+'STT STD - By SKU 150'!$C10</f>
        <v>33758000</v>
      </c>
      <c r="N66" s="889">
        <f>'STT STD - By SKU 150'!$D75+'STT STD - By SKU 150'!$D10</f>
        <v>10400000</v>
      </c>
      <c r="O66" s="889">
        <f>'STT STD - By SKU 150'!$E75+'STT STD - By SKU 150'!$E10</f>
        <v>34932000</v>
      </c>
      <c r="P66" s="889">
        <f>'STT STD - By SKU 150'!$F75+'STT STD - By SKU 150'!$F10</f>
        <v>0</v>
      </c>
      <c r="Q66" s="889">
        <f>'STT STD - By SKU 150'!$G75+'STT STD - By SKU 150'!$G10</f>
        <v>72000</v>
      </c>
      <c r="R66" s="889">
        <f>'STT STD - By SKU 150'!$H75+'STT STD - By SKU 150'!$H10</f>
        <v>259200</v>
      </c>
      <c r="S66" s="889">
        <f>'STT STD - By SKU 150'!$I75+'STT STD - By SKU 150'!$I10</f>
        <v>144000</v>
      </c>
      <c r="T66" s="889">
        <f t="shared" ref="T66:T71" si="35">SUM(M66:S66)</f>
        <v>79565200</v>
      </c>
    </row>
    <row r="67" spans="2:20" x14ac:dyDescent="0.45">
      <c r="B67" s="888" t="s">
        <v>217</v>
      </c>
      <c r="C67" s="889">
        <f t="shared" ref="C67:I67" si="36">C66/RIGHT(C65,2)</f>
        <v>843950</v>
      </c>
      <c r="D67" s="889">
        <f t="shared" si="36"/>
        <v>260000</v>
      </c>
      <c r="E67" s="889">
        <f t="shared" si="36"/>
        <v>873300</v>
      </c>
      <c r="F67" s="889">
        <f t="shared" si="36"/>
        <v>0</v>
      </c>
      <c r="G67" s="889">
        <f t="shared" si="36"/>
        <v>6000</v>
      </c>
      <c r="H67" s="889">
        <f t="shared" si="36"/>
        <v>21600</v>
      </c>
      <c r="I67" s="889">
        <f t="shared" si="36"/>
        <v>6000</v>
      </c>
      <c r="J67" s="889">
        <f>SUM($C67:$I67)</f>
        <v>2010850</v>
      </c>
      <c r="L67" s="888" t="s">
        <v>217</v>
      </c>
      <c r="M67" s="889">
        <f t="shared" ref="M67:S67" si="37">M66/RIGHT(M65,2)</f>
        <v>843950</v>
      </c>
      <c r="N67" s="889">
        <f t="shared" si="37"/>
        <v>260000</v>
      </c>
      <c r="O67" s="889">
        <f t="shared" si="37"/>
        <v>873300</v>
      </c>
      <c r="P67" s="889">
        <f t="shared" si="37"/>
        <v>0</v>
      </c>
      <c r="Q67" s="889">
        <f t="shared" si="37"/>
        <v>6000</v>
      </c>
      <c r="R67" s="889">
        <f t="shared" si="37"/>
        <v>21600</v>
      </c>
      <c r="S67" s="889">
        <f t="shared" si="37"/>
        <v>6000</v>
      </c>
      <c r="T67" s="889">
        <f t="shared" si="35"/>
        <v>2010850</v>
      </c>
    </row>
    <row r="68" spans="2:20" x14ac:dyDescent="0.45">
      <c r="B68" s="888" t="s">
        <v>12</v>
      </c>
      <c r="C68" s="889" t="e">
        <f>SUM($C67:$C67)*'P&amp;L by Ctn'!$F$12</f>
        <v>#REF!</v>
      </c>
      <c r="D68" s="889" t="e">
        <f>SUM($D67:$D67)*'P&amp;L by Ctn'!$L$12</f>
        <v>#REF!</v>
      </c>
      <c r="E68" s="889" t="e">
        <f>SUM($E67:$E67)*'P&amp;L by Ctn'!$S$12</f>
        <v>#REF!</v>
      </c>
      <c r="F68" s="889">
        <f>SUM($F67:$F67)*'P&amp;L by Ctn'!$X$12</f>
        <v>0</v>
      </c>
      <c r="G68" s="889">
        <f>SUM($G67:$G67)*'P&amp;L by Ctn'!$AD$12</f>
        <v>30300.892499999998</v>
      </c>
      <c r="H68" s="889">
        <f>SUM($H67:$H67)*'P&amp;L by Ctn'!$AA$12</f>
        <v>98328.653999999995</v>
      </c>
      <c r="I68" s="889">
        <f>SUM($I67:$I67)*'P&amp;L by Ctn'!$AG$12</f>
        <v>39312.112500000003</v>
      </c>
      <c r="J68" s="889" t="e">
        <f>SUM($C$68:$I68)</f>
        <v>#REF!</v>
      </c>
      <c r="L68" s="888" t="s">
        <v>12</v>
      </c>
      <c r="M68" s="889" t="e">
        <f>SUM($C67:$C67)*'P&amp;L by Ctn'!$H$12</f>
        <v>#REF!</v>
      </c>
      <c r="N68" s="889" t="e">
        <f>SUM($D67:$D67)*'P&amp;L by Ctn'!$N$12</f>
        <v>#REF!</v>
      </c>
      <c r="O68" s="889" t="e">
        <f>SUM($E67:$E67)*'P&amp;L by Ctn'!$U$12</f>
        <v>#REF!</v>
      </c>
      <c r="P68" s="889">
        <f>SUM($F67:$F67)*'P&amp;L by Ctn'!$X$12</f>
        <v>0</v>
      </c>
      <c r="Q68" s="889">
        <f>SUM($G67:$G67)*'P&amp;L by Ctn'!$AD$12</f>
        <v>30300.892499999998</v>
      </c>
      <c r="R68" s="889">
        <f>SUM($H67:$H67)*'P&amp;L by Ctn'!$AA$12</f>
        <v>98328.653999999995</v>
      </c>
      <c r="S68" s="889">
        <f>SUM($I67:$I67)*'P&amp;L by Ctn'!$AG$12</f>
        <v>39312.112500000003</v>
      </c>
      <c r="T68" s="889" t="e">
        <f t="shared" si="35"/>
        <v>#REF!</v>
      </c>
    </row>
    <row r="69" spans="2:20" x14ac:dyDescent="0.45">
      <c r="B69" s="888" t="s">
        <v>155</v>
      </c>
      <c r="C69" s="889" t="e">
        <f>SUM($C67:$C67)*'P&amp;L by Ctn'!$F$13</f>
        <v>#REF!</v>
      </c>
      <c r="D69" s="889" t="e">
        <f>SUM($D67:$D67)*'P&amp;L by Ctn'!$L$13</f>
        <v>#REF!</v>
      </c>
      <c r="E69" s="889" t="e">
        <f>SUM($E67:$E67)*'P&amp;L by Ctn'!$S$13</f>
        <v>#REF!</v>
      </c>
      <c r="F69" s="889">
        <f>SUM($F67:$F67)*'P&amp;L by Ctn'!$X$13</f>
        <v>0</v>
      </c>
      <c r="G69" s="889">
        <f>SUM($G67:$G67)*'P&amp;L by Ctn'!$AD$13</f>
        <v>28800</v>
      </c>
      <c r="H69" s="889">
        <f>SUM($H67:$H67)*'P&amp;L by Ctn'!$AA$13</f>
        <v>92880</v>
      </c>
      <c r="I69" s="889">
        <f>SUM($I67:$I67)*'P&amp;L by Ctn'!$AG$13</f>
        <v>36300</v>
      </c>
      <c r="J69" s="889" t="e">
        <f>SUM($C$69:$I69)</f>
        <v>#REF!</v>
      </c>
      <c r="L69" s="888" t="s">
        <v>155</v>
      </c>
      <c r="M69" s="889" t="e">
        <f>SUM($C67:$C67)*'P&amp;L by Ctn'!$H$13</f>
        <v>#REF!</v>
      </c>
      <c r="N69" s="889" t="e">
        <f>SUM($D67:$D67)*'P&amp;L by Ctn'!$N$13</f>
        <v>#REF!</v>
      </c>
      <c r="O69" s="889" t="e">
        <f>SUM($E67:$E67)*'P&amp;L by Ctn'!$U$13</f>
        <v>#REF!</v>
      </c>
      <c r="P69" s="889">
        <f>SUM($F67:$F67)*'P&amp;L by Ctn'!$X$13</f>
        <v>0</v>
      </c>
      <c r="Q69" s="889">
        <f>SUM($G67:$G67)*'P&amp;L by Ctn'!$AD$13</f>
        <v>28800</v>
      </c>
      <c r="R69" s="889">
        <f>SUM($H67:$H67)*'P&amp;L by Ctn'!$AA$13</f>
        <v>92880</v>
      </c>
      <c r="S69" s="889">
        <f>SUM($I67:$I67)*'P&amp;L by Ctn'!$AG$13</f>
        <v>36300</v>
      </c>
      <c r="T69" s="889" t="e">
        <f t="shared" si="35"/>
        <v>#REF!</v>
      </c>
    </row>
    <row r="70" spans="2:20" x14ac:dyDescent="0.45">
      <c r="B70" s="888" t="s">
        <v>79</v>
      </c>
      <c r="C70" s="889" t="e">
        <f>SUM($C67:$C67)*'P&amp;L by Ctn'!$F$14</f>
        <v>#REF!</v>
      </c>
      <c r="D70" s="889" t="e">
        <f>SUM($D67:$D67)*'P&amp;L by Ctn'!$L$14</f>
        <v>#REF!</v>
      </c>
      <c r="E70" s="889" t="e">
        <f>SUM($E67:$E67)*'P&amp;L by Ctn'!$S$14</f>
        <v>#REF!</v>
      </c>
      <c r="F70" s="889">
        <f>SUM($F67:$F67)*'P&amp;L by Ctn'!$X$14</f>
        <v>0</v>
      </c>
      <c r="G70" s="889">
        <f>SUM($G67:$G67)*'P&amp;L by Ctn'!$AD$14</f>
        <v>17027.027027027027</v>
      </c>
      <c r="H70" s="889">
        <f>SUM($H67:$H67)*'P&amp;L by Ctn'!$AA$14</f>
        <v>64800</v>
      </c>
      <c r="I70" s="889">
        <f>SUM($I67:$I67)*'P&amp;L by Ctn'!$AG$14</f>
        <v>25297.297297297293</v>
      </c>
      <c r="J70" s="889" t="e">
        <f>SUM($C$70:$I70)</f>
        <v>#REF!</v>
      </c>
      <c r="L70" s="888" t="s">
        <v>79</v>
      </c>
      <c r="M70" s="889" t="e">
        <f>SUM($C67:$C67)*'P&amp;L by Ctn'!$H$14</f>
        <v>#REF!</v>
      </c>
      <c r="N70" s="889" t="e">
        <f>SUM($D67:$D67)*'P&amp;L by Ctn'!$N$14</f>
        <v>#REF!</v>
      </c>
      <c r="O70" s="889" t="e">
        <f>SUM($E67:$E67)*'P&amp;L by Ctn'!$U$14</f>
        <v>#REF!</v>
      </c>
      <c r="P70" s="889">
        <f>SUM($F67:$F67)*'P&amp;L by Ctn'!$X$14</f>
        <v>0</v>
      </c>
      <c r="Q70" s="889">
        <f>SUM($G67:$G67)*'P&amp;L by Ctn'!$AD$14</f>
        <v>17027.027027027027</v>
      </c>
      <c r="R70" s="889">
        <f>SUM($H67:$H67)*'P&amp;L by Ctn'!$AA$14</f>
        <v>64800</v>
      </c>
      <c r="S70" s="889">
        <f>SUM($I67:$I67)*'P&amp;L by Ctn'!$AG$14</f>
        <v>25297.297297297293</v>
      </c>
      <c r="T70" s="889" t="e">
        <f t="shared" si="35"/>
        <v>#REF!</v>
      </c>
    </row>
    <row r="71" spans="2:20" x14ac:dyDescent="0.45">
      <c r="B71" s="888" t="s">
        <v>156</v>
      </c>
      <c r="C71" s="889" t="e">
        <f>$C$69-$C$70</f>
        <v>#REF!</v>
      </c>
      <c r="D71" s="889" t="e">
        <f t="shared" ref="D71:J71" si="38">D69-D70</f>
        <v>#REF!</v>
      </c>
      <c r="E71" s="889" t="e">
        <f t="shared" si="38"/>
        <v>#REF!</v>
      </c>
      <c r="F71" s="889">
        <f t="shared" si="38"/>
        <v>0</v>
      </c>
      <c r="G71" s="889">
        <f t="shared" si="38"/>
        <v>11772.972972972973</v>
      </c>
      <c r="H71" s="889">
        <f t="shared" si="38"/>
        <v>28080</v>
      </c>
      <c r="I71" s="889">
        <f t="shared" si="38"/>
        <v>11002.702702702707</v>
      </c>
      <c r="J71" s="889" t="e">
        <f t="shared" si="38"/>
        <v>#REF!</v>
      </c>
      <c r="L71" s="888" t="s">
        <v>156</v>
      </c>
      <c r="M71" s="889" t="e">
        <f t="shared" ref="M71:S71" si="39">M69-M70</f>
        <v>#REF!</v>
      </c>
      <c r="N71" s="889" t="e">
        <f t="shared" si="39"/>
        <v>#REF!</v>
      </c>
      <c r="O71" s="889" t="e">
        <f t="shared" si="39"/>
        <v>#REF!</v>
      </c>
      <c r="P71" s="889">
        <f t="shared" si="39"/>
        <v>0</v>
      </c>
      <c r="Q71" s="889">
        <f t="shared" si="39"/>
        <v>11772.972972972973</v>
      </c>
      <c r="R71" s="889">
        <f t="shared" si="39"/>
        <v>28080</v>
      </c>
      <c r="S71" s="889">
        <f t="shared" si="39"/>
        <v>11002.702702702707</v>
      </c>
      <c r="T71" s="889" t="e">
        <f t="shared" si="35"/>
        <v>#REF!</v>
      </c>
    </row>
    <row r="72" spans="2:20" x14ac:dyDescent="0.45">
      <c r="B72" s="890" t="s">
        <v>157</v>
      </c>
      <c r="C72" s="891">
        <f>IFERROR($C$71/$C$69,0)</f>
        <v>0</v>
      </c>
      <c r="D72" s="891">
        <f>IFERROR($D71/$D$69,0)</f>
        <v>0</v>
      </c>
      <c r="E72" s="891">
        <f>IFERROR($E71/$E$69,0)</f>
        <v>0</v>
      </c>
      <c r="F72" s="891">
        <f>IFERROR($F71/$F$69,0)</f>
        <v>0</v>
      </c>
      <c r="G72" s="891">
        <f>IFERROR($G71/$G$69,0)</f>
        <v>0.40878378378378377</v>
      </c>
      <c r="H72" s="891">
        <f>IFERROR($H71/$H$69,0)</f>
        <v>0.30232558139534882</v>
      </c>
      <c r="I72" s="891">
        <f>IFERROR($I71/$I$69,0)</f>
        <v>0.30310475765021233</v>
      </c>
      <c r="J72" s="891">
        <f>IFERROR(J71/J$69,0)</f>
        <v>0</v>
      </c>
      <c r="L72" s="890" t="s">
        <v>157</v>
      </c>
      <c r="M72" s="891">
        <f t="shared" ref="M72:T72" si="40">IFERROR(M71/M$69,0)</f>
        <v>0</v>
      </c>
      <c r="N72" s="891">
        <f t="shared" si="40"/>
        <v>0</v>
      </c>
      <c r="O72" s="891">
        <f t="shared" si="40"/>
        <v>0</v>
      </c>
      <c r="P72" s="891">
        <f t="shared" si="40"/>
        <v>0</v>
      </c>
      <c r="Q72" s="891">
        <f t="shared" si="40"/>
        <v>0.40878378378378377</v>
      </c>
      <c r="R72" s="891">
        <f t="shared" si="40"/>
        <v>0.30232558139534882</v>
      </c>
      <c r="S72" s="891">
        <f t="shared" si="40"/>
        <v>0.30310475765021233</v>
      </c>
      <c r="T72" s="891">
        <f t="shared" si="40"/>
        <v>0</v>
      </c>
    </row>
    <row r="73" spans="2:20" x14ac:dyDescent="0.45">
      <c r="B73" s="888" t="s">
        <v>158</v>
      </c>
      <c r="C73" s="889" t="e">
        <f>SUM($C67:$C67)*'P&amp;L by Ctn'!$F$17</f>
        <v>#REF!</v>
      </c>
      <c r="D73" s="889" t="e">
        <f>SUM($D67:$D67)*'P&amp;L by Ctn'!$L$17</f>
        <v>#REF!</v>
      </c>
      <c r="E73" s="889" t="e">
        <f>SUM($E67:$E67)*'P&amp;L by Ctn'!$S$17</f>
        <v>#REF!</v>
      </c>
      <c r="F73" s="889">
        <f>SUM($F67:$F67)*'P&amp;L by Ctn'!$X$17</f>
        <v>0</v>
      </c>
      <c r="G73" s="889">
        <f>SUM($G67:$G67)*'P&amp;L by Ctn'!$AD$17</f>
        <v>6000</v>
      </c>
      <c r="H73" s="889">
        <f>SUM($H67:$H67)*'P&amp;L by Ctn'!$AA$17</f>
        <v>19440</v>
      </c>
      <c r="I73" s="889">
        <f>SUM($I67:$I67)*'P&amp;L by Ctn'!$AG$17</f>
        <v>8700</v>
      </c>
      <c r="J73" s="889" t="e">
        <f>SUM(C73:$I73)</f>
        <v>#REF!</v>
      </c>
      <c r="L73" s="888" t="s">
        <v>158</v>
      </c>
      <c r="M73" s="889" t="e">
        <f>SUM($C67:$C67)*'P&amp;L by Ctn'!$H$17</f>
        <v>#REF!</v>
      </c>
      <c r="N73" s="889" t="e">
        <f>SUM($D67:$D67)*'P&amp;L by Ctn'!$N$17</f>
        <v>#REF!</v>
      </c>
      <c r="O73" s="889" t="e">
        <f>SUM($E67:$E67)*'P&amp;L by Ctn'!$U$17</f>
        <v>#REF!</v>
      </c>
      <c r="P73" s="889">
        <f>SUM($F67:$F67)*'P&amp;L by Ctn'!$X$17</f>
        <v>0</v>
      </c>
      <c r="Q73" s="889">
        <f>SUM($G67:$G67)*'P&amp;L by Ctn'!$AD$17</f>
        <v>6000</v>
      </c>
      <c r="R73" s="889">
        <f>SUM($H67:$H67)*'P&amp;L by Ctn'!$AA$17</f>
        <v>19440</v>
      </c>
      <c r="S73" s="889">
        <f>SUM($I67:$I67)*'P&amp;L by Ctn'!$AG$17</f>
        <v>8700</v>
      </c>
      <c r="T73" s="889" t="e">
        <f>SUM(M73:S73)</f>
        <v>#REF!</v>
      </c>
    </row>
    <row r="74" spans="2:20" x14ac:dyDescent="0.45">
      <c r="B74" s="892" t="s">
        <v>159</v>
      </c>
      <c r="C74" s="891">
        <f>IFERROR($C73/$C$69,0)</f>
        <v>0</v>
      </c>
      <c r="D74" s="891">
        <f>IFERROR($D73/$D$69,0)</f>
        <v>0</v>
      </c>
      <c r="E74" s="891">
        <f>IFERROR($E73/$E$69,0)</f>
        <v>0</v>
      </c>
      <c r="F74" s="891">
        <f>IFERROR($F73/$F$69,0)</f>
        <v>0</v>
      </c>
      <c r="G74" s="891">
        <f>IFERROR($G73/$G$69,0)</f>
        <v>0.20833333333333334</v>
      </c>
      <c r="H74" s="891">
        <f>IFERROR($H73/$H$69,0)</f>
        <v>0.20930232558139536</v>
      </c>
      <c r="I74" s="891">
        <f>IFERROR($I73/$I$69,0)</f>
        <v>0.23966942148760331</v>
      </c>
      <c r="J74" s="891">
        <f>IFERROR(J73/J$69,0)</f>
        <v>0</v>
      </c>
      <c r="L74" s="892" t="s">
        <v>159</v>
      </c>
      <c r="M74" s="891">
        <f t="shared" ref="M74:S74" si="41">IFERROR($M73/$M$69,0)</f>
        <v>0</v>
      </c>
      <c r="N74" s="891">
        <f t="shared" si="41"/>
        <v>0</v>
      </c>
      <c r="O74" s="891">
        <f t="shared" si="41"/>
        <v>0</v>
      </c>
      <c r="P74" s="891">
        <f t="shared" si="41"/>
        <v>0</v>
      </c>
      <c r="Q74" s="891">
        <f t="shared" si="41"/>
        <v>0</v>
      </c>
      <c r="R74" s="891">
        <f t="shared" si="41"/>
        <v>0</v>
      </c>
      <c r="S74" s="891">
        <f t="shared" si="41"/>
        <v>0</v>
      </c>
      <c r="T74" s="891">
        <f>IFERROR(T73/T$69,0)</f>
        <v>0</v>
      </c>
    </row>
    <row r="75" spans="2:20" x14ac:dyDescent="0.45">
      <c r="B75" s="888" t="s">
        <v>161</v>
      </c>
      <c r="C75" s="889" t="e">
        <f>SUM($C67:$C67)*'P&amp;L by Ctn'!$F$20</f>
        <v>#REF!</v>
      </c>
      <c r="D75" s="889" t="e">
        <f>SUM($D67:$D67)*'P&amp;L by Ctn'!$L$20</f>
        <v>#REF!</v>
      </c>
      <c r="E75" s="889" t="e">
        <f>SUM($E67:$E67)*'P&amp;L by Ctn'!$S$20</f>
        <v>#REF!</v>
      </c>
      <c r="F75" s="889">
        <f>SUM($F67:$F67)*'P&amp;L by Ctn'!$X$20</f>
        <v>0</v>
      </c>
      <c r="G75" s="889">
        <f>SUM($G67:$G67)*'P&amp;L by Ctn'!$AD$20</f>
        <v>0</v>
      </c>
      <c r="H75" s="889">
        <f>SUM($H67:$H67)*'P&amp;L by Ctn'!$AA$20</f>
        <v>0</v>
      </c>
      <c r="I75" s="889">
        <f>SUM($I67:$I67)*'P&amp;L by Ctn'!$AG$20</f>
        <v>0</v>
      </c>
      <c r="J75" s="889" t="e">
        <f>SUM(C75:$I75)</f>
        <v>#REF!</v>
      </c>
      <c r="L75" s="888" t="s">
        <v>161</v>
      </c>
      <c r="M75" s="889" t="e">
        <f>SUM($C67:$C67)*'P&amp;L by Ctn'!$H$20</f>
        <v>#REF!</v>
      </c>
      <c r="N75" s="889" t="e">
        <f>SUM($D67:$D67)*'P&amp;L by Ctn'!$N$20</f>
        <v>#REF!</v>
      </c>
      <c r="O75" s="889" t="e">
        <f>SUM($E67:$E67)*'P&amp;L by Ctn'!$U$20</f>
        <v>#REF!</v>
      </c>
      <c r="P75" s="889">
        <f>SUM($F67:$F67)*'P&amp;L by Ctn'!$X$20</f>
        <v>0</v>
      </c>
      <c r="Q75" s="889">
        <f>SUM($G67:$G67)*'P&amp;L by Ctn'!$AD$20</f>
        <v>0</v>
      </c>
      <c r="R75" s="889">
        <f>SUM($H67:$H67)*'P&amp;L by Ctn'!$AA$20</f>
        <v>0</v>
      </c>
      <c r="S75" s="889">
        <f>SUM($I67:$I67)*'P&amp;L by Ctn'!$AG$20</f>
        <v>0</v>
      </c>
      <c r="T75" s="889" t="e">
        <f>SUM(M75:S75)</f>
        <v>#REF!</v>
      </c>
    </row>
    <row r="76" spans="2:20" x14ac:dyDescent="0.45">
      <c r="B76" s="892" t="s">
        <v>162</v>
      </c>
      <c r="C76" s="891">
        <f>IFERROR($C75/$C$69,0)</f>
        <v>0</v>
      </c>
      <c r="D76" s="891">
        <f>IFERROR($D75/$D$69,0)</f>
        <v>0</v>
      </c>
      <c r="E76" s="891">
        <f>IFERROR($E75/$E$69,0)</f>
        <v>0</v>
      </c>
      <c r="F76" s="891">
        <f>IFERROR($F75/$F$69,0)</f>
        <v>0</v>
      </c>
      <c r="G76" s="891">
        <f>IFERROR($G75/$G$69,0)</f>
        <v>0</v>
      </c>
      <c r="H76" s="891">
        <f>IFERROR($H75/$H$69,0)</f>
        <v>0</v>
      </c>
      <c r="I76" s="891">
        <f>IFERROR($I75/$I$69,0)</f>
        <v>0</v>
      </c>
      <c r="J76" s="891">
        <f>IFERROR(J75/J$69,0)</f>
        <v>0</v>
      </c>
      <c r="L76" s="892" t="s">
        <v>162</v>
      </c>
      <c r="M76" s="891">
        <f t="shared" ref="M76:T76" si="42">IFERROR(M75/M$69,0)</f>
        <v>0</v>
      </c>
      <c r="N76" s="891">
        <f t="shared" si="42"/>
        <v>0</v>
      </c>
      <c r="O76" s="891">
        <f t="shared" si="42"/>
        <v>0</v>
      </c>
      <c r="P76" s="891">
        <f t="shared" si="42"/>
        <v>0</v>
      </c>
      <c r="Q76" s="891">
        <f t="shared" si="42"/>
        <v>0</v>
      </c>
      <c r="R76" s="891">
        <f t="shared" si="42"/>
        <v>0</v>
      </c>
      <c r="S76" s="891">
        <f t="shared" si="42"/>
        <v>0</v>
      </c>
      <c r="T76" s="891">
        <f t="shared" si="42"/>
        <v>0</v>
      </c>
    </row>
    <row r="77" spans="2:20" x14ac:dyDescent="0.45">
      <c r="B77" s="888" t="s">
        <v>78</v>
      </c>
      <c r="C77" s="889" t="e">
        <f>SUM($C67:$C67)*'P&amp;L by Ctn'!$F$22</f>
        <v>#REF!</v>
      </c>
      <c r="D77" s="889" t="e">
        <f>SUM($D67:$D67)*'P&amp;L by Ctn'!$L$22</f>
        <v>#REF!</v>
      </c>
      <c r="E77" s="889" t="e">
        <f>SUM($E67:$E67)*'P&amp;L by Ctn'!$S$22</f>
        <v>#REF!</v>
      </c>
      <c r="F77" s="889">
        <f>SUM($F67:$F67)*'P&amp;L by Ctn'!$X$22</f>
        <v>0</v>
      </c>
      <c r="G77" s="889">
        <f>SUM($G67:$G67)*'P&amp;L by Ctn'!$AD$22</f>
        <v>220.30534527487524</v>
      </c>
      <c r="H77" s="889">
        <f>SUM($H67:$H67)*'P&amp;L by Ctn'!$AA$22</f>
        <v>829.2528866513403</v>
      </c>
      <c r="I77" s="889">
        <f>SUM($I67:$I67)*'P&amp;L by Ctn'!$AG$22</f>
        <v>495.90782268884197</v>
      </c>
      <c r="J77" s="889" t="e">
        <f>SUM(C77:$I77)</f>
        <v>#REF!</v>
      </c>
      <c r="L77" s="888" t="s">
        <v>78</v>
      </c>
      <c r="M77" s="889" t="e">
        <f>SUM($C67:$C67)*'P&amp;L by Ctn'!$H$22</f>
        <v>#REF!</v>
      </c>
      <c r="N77" s="889" t="e">
        <f>SUM($D67:$D67)*'P&amp;L by Ctn'!$N$22</f>
        <v>#REF!</v>
      </c>
      <c r="O77" s="889" t="e">
        <f>SUM($E67:$E67)*'P&amp;L by Ctn'!$U$22</f>
        <v>#REF!</v>
      </c>
      <c r="P77" s="889">
        <f>SUM($F67:$F67)*'P&amp;L by Ctn'!$X$22</f>
        <v>0</v>
      </c>
      <c r="Q77" s="889">
        <f>SUM($G67:$G67)*'P&amp;L by Ctn'!$AD$22</f>
        <v>220.30534527487524</v>
      </c>
      <c r="R77" s="889">
        <f>SUM($H67:$H67)*'P&amp;L by Ctn'!$AA$22</f>
        <v>829.2528866513403</v>
      </c>
      <c r="S77" s="889">
        <f>SUM($I67:$I67)*'P&amp;L by Ctn'!$AG$22</f>
        <v>495.90782268884197</v>
      </c>
      <c r="T77" s="889" t="e">
        <f>SUM(M77:S77)</f>
        <v>#REF!</v>
      </c>
    </row>
    <row r="78" spans="2:20" x14ac:dyDescent="0.45">
      <c r="B78" s="888" t="s">
        <v>163</v>
      </c>
      <c r="C78" s="889" t="e">
        <f>$C$71-C73-C75-C77</f>
        <v>#REF!</v>
      </c>
      <c r="D78" s="889" t="e">
        <f t="shared" ref="D78:J78" si="43">D71-D73-D75-D77</f>
        <v>#REF!</v>
      </c>
      <c r="E78" s="889" t="e">
        <f t="shared" si="43"/>
        <v>#REF!</v>
      </c>
      <c r="F78" s="889">
        <f t="shared" si="43"/>
        <v>0</v>
      </c>
      <c r="G78" s="889">
        <f t="shared" si="43"/>
        <v>5552.6676276980979</v>
      </c>
      <c r="H78" s="889">
        <f t="shared" si="43"/>
        <v>7810.7471133486597</v>
      </c>
      <c r="I78" s="889">
        <f t="shared" si="43"/>
        <v>1806.7948800138652</v>
      </c>
      <c r="J78" s="889" t="e">
        <f t="shared" si="43"/>
        <v>#REF!</v>
      </c>
      <c r="L78" s="888" t="s">
        <v>163</v>
      </c>
      <c r="M78" s="889" t="e">
        <f>$M$71-M73-M75-M77</f>
        <v>#REF!</v>
      </c>
      <c r="N78" s="889" t="e">
        <f t="shared" ref="N78:T78" si="44">N71-N73-N75-N77</f>
        <v>#REF!</v>
      </c>
      <c r="O78" s="889" t="e">
        <f t="shared" si="44"/>
        <v>#REF!</v>
      </c>
      <c r="P78" s="889">
        <f t="shared" si="44"/>
        <v>0</v>
      </c>
      <c r="Q78" s="889">
        <f t="shared" si="44"/>
        <v>5552.6676276980979</v>
      </c>
      <c r="R78" s="889">
        <f t="shared" si="44"/>
        <v>7810.7471133486597</v>
      </c>
      <c r="S78" s="889">
        <f t="shared" si="44"/>
        <v>1806.7948800138652</v>
      </c>
      <c r="T78" s="889" t="e">
        <f t="shared" si="44"/>
        <v>#REF!</v>
      </c>
    </row>
    <row r="79" spans="2:20" x14ac:dyDescent="0.45">
      <c r="B79" s="890" t="s">
        <v>164</v>
      </c>
      <c r="C79" s="891">
        <f>IFERROR($C78/$C$69,0)</f>
        <v>0</v>
      </c>
      <c r="D79" s="891">
        <f>IFERROR($D78/$D$69,0)</f>
        <v>0</v>
      </c>
      <c r="E79" s="891">
        <f>IFERROR($E78/$E$69,0)</f>
        <v>0</v>
      </c>
      <c r="F79" s="891">
        <f>IFERROR($F78/$F$69,0)</f>
        <v>0</v>
      </c>
      <c r="G79" s="891">
        <f>IFERROR($G78/$G$69,0)</f>
        <v>0.19280095929507285</v>
      </c>
      <c r="H79" s="891">
        <f>IFERROR($H78/$H$69,0)</f>
        <v>8.409503782675129E-2</v>
      </c>
      <c r="I79" s="891">
        <f>IFERROR($I78/$I$69,0)</f>
        <v>4.9773963636745598E-2</v>
      </c>
      <c r="J79" s="891">
        <f>IFERROR(J78/J$69,0)</f>
        <v>0</v>
      </c>
      <c r="L79" s="890" t="s">
        <v>164</v>
      </c>
      <c r="M79" s="891">
        <f t="shared" ref="M79:T79" si="45">IFERROR(M78/M$69,0)</f>
        <v>0</v>
      </c>
      <c r="N79" s="891">
        <f t="shared" si="45"/>
        <v>0</v>
      </c>
      <c r="O79" s="891">
        <f t="shared" si="45"/>
        <v>0</v>
      </c>
      <c r="P79" s="891">
        <f t="shared" si="45"/>
        <v>0</v>
      </c>
      <c r="Q79" s="891">
        <f t="shared" si="45"/>
        <v>0.19280095929507285</v>
      </c>
      <c r="R79" s="891">
        <f t="shared" si="45"/>
        <v>8.409503782675129E-2</v>
      </c>
      <c r="S79" s="891">
        <f t="shared" si="45"/>
        <v>4.9773963636745598E-2</v>
      </c>
      <c r="T79" s="891">
        <f t="shared" si="45"/>
        <v>0</v>
      </c>
    </row>
    <row r="80" spans="2:20" x14ac:dyDescent="0.45">
      <c r="B80" s="888" t="s">
        <v>165</v>
      </c>
      <c r="C80" s="889">
        <f>SUM($C67:$C67)*'P&amp;L by Ctn'!$F$25</f>
        <v>0</v>
      </c>
      <c r="D80" s="889">
        <f>SUM($D67:$D67)*'P&amp;L by Ctn'!$L$25</f>
        <v>0</v>
      </c>
      <c r="E80" s="889">
        <f>SUM($E67:$E67)*'P&amp;L by Ctn'!$S$25</f>
        <v>0</v>
      </c>
      <c r="F80" s="889">
        <f>SUM($F67:$F67)*'P&amp;L by Ctn'!$X$25</f>
        <v>0</v>
      </c>
      <c r="G80" s="889">
        <f>SUM($G67:$G67)*'P&amp;L by Ctn'!$AD$25</f>
        <v>0</v>
      </c>
      <c r="H80" s="889">
        <f>SUM($H67:$H67)*'P&amp;L by Ctn'!$AA$25</f>
        <v>0</v>
      </c>
      <c r="I80" s="889">
        <f>SUM($I67:$I67)*'P&amp;L by Ctn'!$AG$25</f>
        <v>0</v>
      </c>
      <c r="J80" s="889">
        <f>SUM(C80:$I80)</f>
        <v>0</v>
      </c>
      <c r="L80" s="888" t="s">
        <v>165</v>
      </c>
      <c r="M80" s="889">
        <f>SUM($C67:$C67)*'P&amp;L by Ctn'!$H$25</f>
        <v>0</v>
      </c>
      <c r="N80" s="889">
        <f>SUM($D67:$D67)*'P&amp;L by Ctn'!$N$25</f>
        <v>0</v>
      </c>
      <c r="O80" s="889">
        <f>SUM($E67:$E67)*'P&amp;L by Ctn'!$U$25</f>
        <v>0</v>
      </c>
      <c r="P80" s="889">
        <f>SUM($F67:$F67)*'P&amp;L by Ctn'!$X$25</f>
        <v>0</v>
      </c>
      <c r="Q80" s="889">
        <f>SUM($G67:$G67)*'P&amp;L by Ctn'!$AD$25</f>
        <v>0</v>
      </c>
      <c r="R80" s="889">
        <f>SUM($H67:$H67)*'P&amp;L by Ctn'!$AA$25</f>
        <v>0</v>
      </c>
      <c r="S80" s="889">
        <f>SUM($I67:$I67)*'P&amp;L by Ctn'!$AG$25</f>
        <v>0</v>
      </c>
      <c r="T80" s="889">
        <f>SUM(M80:S80)</f>
        <v>0</v>
      </c>
    </row>
    <row r="81" spans="2:20" x14ac:dyDescent="0.45">
      <c r="B81" s="888" t="s">
        <v>166</v>
      </c>
      <c r="C81" s="889" t="e">
        <f t="shared" ref="C81:J81" si="46">C78-C80</f>
        <v>#REF!</v>
      </c>
      <c r="D81" s="889" t="e">
        <f t="shared" si="46"/>
        <v>#REF!</v>
      </c>
      <c r="E81" s="889" t="e">
        <f t="shared" si="46"/>
        <v>#REF!</v>
      </c>
      <c r="F81" s="889">
        <f t="shared" si="46"/>
        <v>0</v>
      </c>
      <c r="G81" s="889">
        <f t="shared" si="46"/>
        <v>5552.6676276980979</v>
      </c>
      <c r="H81" s="889">
        <f t="shared" si="46"/>
        <v>7810.7471133486597</v>
      </c>
      <c r="I81" s="889">
        <f t="shared" si="46"/>
        <v>1806.7948800138652</v>
      </c>
      <c r="J81" s="889" t="e">
        <f t="shared" si="46"/>
        <v>#REF!</v>
      </c>
      <c r="L81" s="888" t="s">
        <v>166</v>
      </c>
      <c r="M81" s="889" t="e">
        <f t="shared" ref="M81:T81" si="47">M78-M80</f>
        <v>#REF!</v>
      </c>
      <c r="N81" s="889" t="e">
        <f t="shared" si="47"/>
        <v>#REF!</v>
      </c>
      <c r="O81" s="889" t="e">
        <f t="shared" si="47"/>
        <v>#REF!</v>
      </c>
      <c r="P81" s="889">
        <f t="shared" si="47"/>
        <v>0</v>
      </c>
      <c r="Q81" s="889">
        <f t="shared" si="47"/>
        <v>5552.6676276980979</v>
      </c>
      <c r="R81" s="889">
        <f t="shared" si="47"/>
        <v>7810.7471133486597</v>
      </c>
      <c r="S81" s="889">
        <f t="shared" si="47"/>
        <v>1806.7948800138652</v>
      </c>
      <c r="T81" s="889" t="e">
        <f t="shared" si="47"/>
        <v>#REF!</v>
      </c>
    </row>
    <row r="82" spans="2:20" x14ac:dyDescent="0.45">
      <c r="B82" s="890" t="s">
        <v>167</v>
      </c>
      <c r="C82" s="891">
        <f>IFERROR($C81/$C$69,0)</f>
        <v>0</v>
      </c>
      <c r="D82" s="891">
        <f>IFERROR($D81/$D$69,0)</f>
        <v>0</v>
      </c>
      <c r="E82" s="891">
        <f>IFERROR($E81/$E$69,0)</f>
        <v>0</v>
      </c>
      <c r="F82" s="891">
        <f>IFERROR($F81/$F$69,0)</f>
        <v>0</v>
      </c>
      <c r="G82" s="891">
        <f>IFERROR($G81/$G$69,0)</f>
        <v>0.19280095929507285</v>
      </c>
      <c r="H82" s="891">
        <f>IFERROR($H81/$H$69,0)</f>
        <v>8.409503782675129E-2</v>
      </c>
      <c r="I82" s="891">
        <f>IFERROR($I81/$I$69,0)</f>
        <v>4.9773963636745598E-2</v>
      </c>
      <c r="J82" s="891">
        <f>IFERROR(J81/J$69,0)</f>
        <v>0</v>
      </c>
      <c r="L82" s="890" t="s">
        <v>167</v>
      </c>
      <c r="M82" s="891">
        <f t="shared" ref="M82:T82" si="48">IFERROR(M81/M$69,0)</f>
        <v>0</v>
      </c>
      <c r="N82" s="891">
        <f t="shared" si="48"/>
        <v>0</v>
      </c>
      <c r="O82" s="891">
        <f t="shared" si="48"/>
        <v>0</v>
      </c>
      <c r="P82" s="891">
        <f t="shared" si="48"/>
        <v>0</v>
      </c>
      <c r="Q82" s="891">
        <f t="shared" si="48"/>
        <v>0.19280095929507285</v>
      </c>
      <c r="R82" s="891">
        <f t="shared" si="48"/>
        <v>8.409503782675129E-2</v>
      </c>
      <c r="S82" s="891">
        <f t="shared" si="48"/>
        <v>4.9773963636745598E-2</v>
      </c>
      <c r="T82" s="891">
        <f t="shared" si="48"/>
        <v>0</v>
      </c>
    </row>
    <row r="83" spans="2:20" x14ac:dyDescent="0.45">
      <c r="B83" s="888" t="s">
        <v>97</v>
      </c>
      <c r="C83" s="889" t="e">
        <f>SUM($C67:$C67)*'P&amp;L by Ctn'!$F$28</f>
        <v>#REF!</v>
      </c>
      <c r="D83" s="889" t="e">
        <f>SUM($D67:$D67)*'P&amp;L by Ctn'!$L$28</f>
        <v>#REF!</v>
      </c>
      <c r="E83" s="889" t="e">
        <f>SUM($E67:$E67)*'P&amp;L by Ctn'!$S$28</f>
        <v>#REF!</v>
      </c>
      <c r="F83" s="889">
        <f>SUM($F67:$F67)*'P&amp;L by Ctn'!$X$28</f>
        <v>0</v>
      </c>
      <c r="G83" s="889">
        <f>SUM($G67:$G67)*'P&amp;L by Ctn'!$AD$28</f>
        <v>-364.37246963562751</v>
      </c>
      <c r="H83" s="889">
        <f>SUM($H67:$H67)*'P&amp;L by Ctn'!$AA$28</f>
        <v>-1350</v>
      </c>
      <c r="I83" s="889">
        <f>SUM($I67:$I67)*'P&amp;L by Ctn'!$AG$28</f>
        <v>-750</v>
      </c>
      <c r="J83" s="889" t="e">
        <f>SUM(C83:$I83)</f>
        <v>#REF!</v>
      </c>
      <c r="L83" s="888" t="s">
        <v>97</v>
      </c>
      <c r="M83" s="889" t="e">
        <f>SUM($C67:$C67)*'P&amp;L by Ctn'!$H$28</f>
        <v>#REF!</v>
      </c>
      <c r="N83" s="889" t="e">
        <f>SUM($D67:$D67)*'P&amp;L by Ctn'!$N$28</f>
        <v>#REF!</v>
      </c>
      <c r="O83" s="889" t="e">
        <f>SUM($E67:$E67)*'P&amp;L by Ctn'!$U$28</f>
        <v>#REF!</v>
      </c>
      <c r="P83" s="889">
        <f>SUM($F67:$F67)*'P&amp;L by Ctn'!$X$28</f>
        <v>0</v>
      </c>
      <c r="Q83" s="889">
        <f>SUM($G67:$G67)*'P&amp;L by Ctn'!$AD$28</f>
        <v>-364.37246963562751</v>
      </c>
      <c r="R83" s="889">
        <f>SUM($H67:$H67)*'P&amp;L by Ctn'!$AA$28</f>
        <v>-1350</v>
      </c>
      <c r="S83" s="889">
        <f>SUM($I67:$I67)*'P&amp;L by Ctn'!$AG$28</f>
        <v>-750</v>
      </c>
      <c r="T83" s="889" t="e">
        <f>SUM(M83:S83)</f>
        <v>#REF!</v>
      </c>
    </row>
    <row r="84" spans="2:20" x14ac:dyDescent="0.45">
      <c r="B84" s="888" t="s">
        <v>168</v>
      </c>
      <c r="C84" s="889" t="e">
        <f t="shared" ref="C84:J84" si="49">C81-C83</f>
        <v>#REF!</v>
      </c>
      <c r="D84" s="889" t="e">
        <f t="shared" si="49"/>
        <v>#REF!</v>
      </c>
      <c r="E84" s="889" t="e">
        <f t="shared" si="49"/>
        <v>#REF!</v>
      </c>
      <c r="F84" s="889">
        <f t="shared" si="49"/>
        <v>0</v>
      </c>
      <c r="G84" s="889">
        <f t="shared" si="49"/>
        <v>5917.0400973337255</v>
      </c>
      <c r="H84" s="889">
        <f t="shared" si="49"/>
        <v>9160.7471133486597</v>
      </c>
      <c r="I84" s="889">
        <f t="shared" si="49"/>
        <v>2556.7948800138652</v>
      </c>
      <c r="J84" s="889" t="e">
        <f t="shared" si="49"/>
        <v>#REF!</v>
      </c>
      <c r="L84" s="888" t="s">
        <v>168</v>
      </c>
      <c r="M84" s="889" t="e">
        <f t="shared" ref="M84:T84" si="50">M81-M83</f>
        <v>#REF!</v>
      </c>
      <c r="N84" s="889" t="e">
        <f t="shared" si="50"/>
        <v>#REF!</v>
      </c>
      <c r="O84" s="889" t="e">
        <f t="shared" si="50"/>
        <v>#REF!</v>
      </c>
      <c r="P84" s="889">
        <f t="shared" si="50"/>
        <v>0</v>
      </c>
      <c r="Q84" s="889">
        <f t="shared" si="50"/>
        <v>5917.0400973337255</v>
      </c>
      <c r="R84" s="889">
        <f t="shared" si="50"/>
        <v>9160.7471133486597</v>
      </c>
      <c r="S84" s="889">
        <f t="shared" si="50"/>
        <v>2556.7948800138652</v>
      </c>
      <c r="T84" s="889" t="e">
        <f t="shared" si="50"/>
        <v>#REF!</v>
      </c>
    </row>
    <row r="85" spans="2:20" x14ac:dyDescent="0.45">
      <c r="B85" s="890" t="s">
        <v>169</v>
      </c>
      <c r="C85" s="891">
        <f>IFERROR($C84/$C$69,0)</f>
        <v>0</v>
      </c>
      <c r="D85" s="891">
        <f>IFERROR($D84/$D$69,0)</f>
        <v>0</v>
      </c>
      <c r="E85" s="891">
        <f>IFERROR($E84/$E$69,0)</f>
        <v>0</v>
      </c>
      <c r="F85" s="891">
        <f>IFERROR($F84/$F$69,0)</f>
        <v>0</v>
      </c>
      <c r="G85" s="891">
        <f>IFERROR($G84/$G$69,0)</f>
        <v>0.20545278115742102</v>
      </c>
      <c r="H85" s="891">
        <f>IFERROR($H84/$H$69,0)</f>
        <v>9.8629921547681521E-2</v>
      </c>
      <c r="I85" s="891">
        <f>IFERROR($I84/$I$69,0)</f>
        <v>7.043512066153898E-2</v>
      </c>
      <c r="J85" s="891">
        <f>IFERROR(J84/J$69,0)</f>
        <v>0</v>
      </c>
      <c r="L85" s="890" t="s">
        <v>169</v>
      </c>
      <c r="M85" s="891">
        <f t="shared" ref="M85:T85" si="51">IFERROR(M84/M$69,0)</f>
        <v>0</v>
      </c>
      <c r="N85" s="891">
        <f t="shared" si="51"/>
        <v>0</v>
      </c>
      <c r="O85" s="891">
        <f t="shared" si="51"/>
        <v>0</v>
      </c>
      <c r="P85" s="891">
        <f t="shared" si="51"/>
        <v>0</v>
      </c>
      <c r="Q85" s="891">
        <f t="shared" si="51"/>
        <v>0.20545278115742102</v>
      </c>
      <c r="R85" s="891">
        <f t="shared" si="51"/>
        <v>9.8629921547681521E-2</v>
      </c>
      <c r="S85" s="891">
        <f t="shared" si="51"/>
        <v>7.043512066153898E-2</v>
      </c>
      <c r="T85" s="891">
        <f t="shared" si="51"/>
        <v>0</v>
      </c>
    </row>
    <row r="86" spans="2:20" x14ac:dyDescent="0.45">
      <c r="B86" s="965"/>
      <c r="C86" s="966"/>
      <c r="D86" s="966"/>
      <c r="E86" s="966"/>
      <c r="F86" s="966"/>
      <c r="G86" s="966"/>
      <c r="H86" s="966"/>
      <c r="I86" s="966"/>
      <c r="J86" s="967"/>
      <c r="L86" s="965"/>
      <c r="M86" s="966"/>
      <c r="N86" s="966"/>
      <c r="O86" s="966"/>
      <c r="P86" s="966"/>
      <c r="Q86" s="966"/>
      <c r="R86" s="966"/>
      <c r="S86" s="966"/>
      <c r="T86" s="967"/>
    </row>
    <row r="87" spans="2:20" x14ac:dyDescent="0.45">
      <c r="B87" s="895" t="s">
        <v>171</v>
      </c>
      <c r="C87" s="896" t="e">
        <f>SUM('STT STD - By SKU 150'!$C$56:$C$62)*'P&amp;L by Ctn'!$G$33</f>
        <v>#REF!</v>
      </c>
      <c r="D87" s="896" t="e">
        <f>SUM('STT STD - By SKU 150'!$D$56:$D$62)*'P&amp;L by Ctn'!$L$33</f>
        <v>#REF!</v>
      </c>
      <c r="E87" s="896" t="e">
        <f>SUM('STT STD - By SKU 150'!$E$56:$E$62)*'P&amp;L by Ctn'!$S$33</f>
        <v>#REF!</v>
      </c>
      <c r="F87" s="896">
        <f>SUM('STT STD - By SKU 150'!$F$56:$F$62)*'P&amp;L by Ctn'!$X$33</f>
        <v>0</v>
      </c>
      <c r="G87" s="896">
        <f>SUM('STT STD - By SKU 150'!$G$56:$G$62)*'P&amp;L by Ctn'!$AD$33</f>
        <v>31262.224510490891</v>
      </c>
      <c r="H87" s="896">
        <f>SUM('STT STD - By SKU 150'!$H$56:$H$62)*'P&amp;L by Ctn'!$AA$33</f>
        <v>99675.730533750015</v>
      </c>
      <c r="I87" s="896">
        <f>SUM('STT STD - By SKU 150'!$I$56:$I$62)*'P&amp;L by Ctn'!$AG$33</f>
        <v>26770.6115746875</v>
      </c>
      <c r="J87" s="896" t="e">
        <f>SUM(C87:$I87)</f>
        <v>#REF!</v>
      </c>
      <c r="L87" s="895" t="s">
        <v>171</v>
      </c>
      <c r="M87" s="896" t="e">
        <f>SUM('STT STD - By SKU 150'!$C$56:$C$62)*'P&amp;L by Ctn'!$H$33</f>
        <v>#REF!</v>
      </c>
      <c r="N87" s="896" t="e">
        <f>SUM('STT STD - By SKU 150'!$D$56:$D$62)*'P&amp;L by Ctn'!$N$33</f>
        <v>#REF!</v>
      </c>
      <c r="O87" s="896" t="e">
        <f>SUM('STT STD - By SKU 150'!$E$56:$E$62)*'P&amp;L by Ctn'!$U$33</f>
        <v>#REF!</v>
      </c>
      <c r="P87" s="896">
        <f>SUM('STT STD - By SKU 150'!$F$56:$F$62)*'P&amp;L by Ctn'!$X$33</f>
        <v>0</v>
      </c>
      <c r="Q87" s="896">
        <f>SUM('STT STD - By SKU 150'!$G$56:$G$62)*'P&amp;L by Ctn'!$AD$33</f>
        <v>31262.224510490891</v>
      </c>
      <c r="R87" s="896">
        <f>SUM('STT STD - By SKU 150'!$H$56:$H$62)*'P&amp;L by Ctn'!$AA$33</f>
        <v>99675.730533750015</v>
      </c>
      <c r="S87" s="896">
        <f>SUM('STT STD - By SKU 150'!$I$56:$I$62)*'P&amp;L by Ctn'!$AG$33</f>
        <v>26770.6115746875</v>
      </c>
      <c r="T87" s="896" t="e">
        <f>SUM(M87:S87)</f>
        <v>#REF!</v>
      </c>
    </row>
    <row r="88" spans="2:20" x14ac:dyDescent="0.45">
      <c r="B88" s="895" t="s">
        <v>172</v>
      </c>
      <c r="C88" s="896" t="e">
        <f>SUM('STT STD - By SKU 150'!$C$56:$C$62)*'P&amp;L by Ctn'!$G$34</f>
        <v>#REF!</v>
      </c>
      <c r="D88" s="896" t="e">
        <f>SUM('STT STD - By SKU 150'!$D$56:$D$62)*'P&amp;L by Ctn'!$L$34</f>
        <v>#REF!</v>
      </c>
      <c r="E88" s="896" t="e">
        <f>SUM('STT STD - By SKU 150'!$E$56:$E$62)*'P&amp;L by Ctn'!$S$34</f>
        <v>#REF!</v>
      </c>
      <c r="F88" s="896">
        <f>SUM('STT STD - By SKU 150'!$F$56:$F$62)*'P&amp;L by Ctn'!$X$34</f>
        <v>0</v>
      </c>
      <c r="G88" s="896">
        <f>SUM('STT STD - By SKU 150'!$G$56:$G$62)*'P&amp;L by Ctn'!$AD$34</f>
        <v>37820</v>
      </c>
      <c r="H88" s="896">
        <f>SUM('STT STD - By SKU 150'!$H$56:$H$62)*'P&amp;L by Ctn'!$AA$34</f>
        <v>102581.81818181819</v>
      </c>
      <c r="I88" s="896">
        <f>SUM('STT STD - By SKU 150'!$I$56:$I$62)*'P&amp;L by Ctn'!$AG$34</f>
        <v>31881.777777777781</v>
      </c>
      <c r="J88" s="896" t="e">
        <f>SUM($C88:$I88)</f>
        <v>#REF!</v>
      </c>
      <c r="L88" s="895" t="s">
        <v>172</v>
      </c>
      <c r="M88" s="896" t="e">
        <f>SUM('STT STD - By SKU 150'!$C$56:$C$62)*'P&amp;L by Ctn'!$H$34</f>
        <v>#REF!</v>
      </c>
      <c r="N88" s="896" t="e">
        <f>SUM('STT STD - By SKU 150'!$D$56:$D$62)*'P&amp;L by Ctn'!$N$34</f>
        <v>#REF!</v>
      </c>
      <c r="O88" s="896" t="e">
        <f>SUM('STT STD - By SKU 150'!$E$56:$E$62)*'P&amp;L by Ctn'!$U$34</f>
        <v>#REF!</v>
      </c>
      <c r="P88" s="896">
        <f>SUM('STT STD - By SKU 150'!$F$56:$F$62)*'P&amp;L by Ctn'!$X$34</f>
        <v>0</v>
      </c>
      <c r="Q88" s="896">
        <f>SUM('STT STD - By SKU 150'!$G$56:$G$62)*'P&amp;L by Ctn'!$AD$34</f>
        <v>37820</v>
      </c>
      <c r="R88" s="896">
        <f>SUM('STT STD - By SKU 150'!$H$56:$H$62)*'P&amp;L by Ctn'!$AA$34</f>
        <v>102581.81818181819</v>
      </c>
      <c r="S88" s="896">
        <f>SUM('STT STD - By SKU 150'!$I$56:$I$62)*'P&amp;L by Ctn'!$AG$34</f>
        <v>31881.777777777781</v>
      </c>
      <c r="T88" s="896" t="e">
        <f>SUM(M88:S88)</f>
        <v>#REF!</v>
      </c>
    </row>
    <row r="89" spans="2:20" x14ac:dyDescent="0.45">
      <c r="B89" s="895" t="s">
        <v>173</v>
      </c>
      <c r="C89" s="896" t="e">
        <f>SUM('STT STD - By SKU 150'!$C$56:$C$62)*'P&amp;L by Ctn'!$G$35</f>
        <v>#REF!</v>
      </c>
      <c r="D89" s="896" t="e">
        <f>SUM('STT STD - By SKU 150'!$D$56:$D$62)*'P&amp;L by Ctn'!$L$35</f>
        <v>#REF!</v>
      </c>
      <c r="E89" s="896" t="e">
        <f>SUM('STT STD - By SKU 150'!$E$56:$E$62)*'P&amp;L by Ctn'!$S$35</f>
        <v>#REF!</v>
      </c>
      <c r="F89" s="896">
        <f>SUM('STT STD - By SKU 150'!$F$56:$F$62)*'P&amp;L by Ctn'!$X$35</f>
        <v>0</v>
      </c>
      <c r="G89" s="896">
        <f>SUM('STT STD - By SKU 150'!$G$56:$G$62)*'P&amp;L by Ctn'!$AD$35</f>
        <v>5756.2405075772895</v>
      </c>
      <c r="H89" s="896">
        <f>SUM('STT STD - By SKU 150'!$H$56:$H$62)*'P&amp;L by Ctn'!$AA$35</f>
        <v>1902.1251346074241</v>
      </c>
      <c r="I89" s="896">
        <f>SUM('STT STD - By SKU 150'!$I$56:$I$62)*'P&amp;L by Ctn'!$AG$35</f>
        <v>4371.7420028093429</v>
      </c>
      <c r="J89" s="896" t="e">
        <f>SUM(C89:$I89)</f>
        <v>#REF!</v>
      </c>
      <c r="L89" s="895" t="s">
        <v>173</v>
      </c>
      <c r="M89" s="896" t="e">
        <f>SUM('STT STD - By SKU 150'!$C$56:$C$62)*'P&amp;L by Ctn'!$H$35</f>
        <v>#REF!</v>
      </c>
      <c r="N89" s="896" t="e">
        <f>SUM('STT STD - By SKU 150'!$D$56:$D$62)*'P&amp;L by Ctn'!$N$35</f>
        <v>#REF!</v>
      </c>
      <c r="O89" s="896" t="e">
        <f>SUM('STT STD - By SKU 150'!$E$56:$E$62)*'P&amp;L by Ctn'!$U$35</f>
        <v>#REF!</v>
      </c>
      <c r="P89" s="896">
        <f>SUM('STT STD - By SKU 150'!$F$56:$F$62)*'P&amp;L by Ctn'!$X$35</f>
        <v>0</v>
      </c>
      <c r="Q89" s="896">
        <f>SUM('STT STD - By SKU 150'!$G$56:$G$62)*'P&amp;L by Ctn'!$AD$35</f>
        <v>5756.2405075772895</v>
      </c>
      <c r="R89" s="896">
        <f>SUM('STT STD - By SKU 150'!$H$56:$H$62)*'P&amp;L by Ctn'!$AA$35</f>
        <v>1902.1251346074241</v>
      </c>
      <c r="S89" s="896">
        <f>SUM('STT STD - By SKU 150'!$I$56:$I$62)*'P&amp;L by Ctn'!$AG$35</f>
        <v>4371.7420028093429</v>
      </c>
      <c r="T89" s="896" t="e">
        <f>SUM(M89:S89)</f>
        <v>#REF!</v>
      </c>
    </row>
    <row r="90" spans="2:20" x14ac:dyDescent="0.45">
      <c r="B90" s="893" t="s">
        <v>174</v>
      </c>
      <c r="C90" s="894">
        <f>IFERROR($C89/$C$88,0)</f>
        <v>0</v>
      </c>
      <c r="D90" s="894">
        <f>IFERROR($D89/$D$88,0)</f>
        <v>0</v>
      </c>
      <c r="E90" s="894">
        <f>IFERROR($E89/$E$88,0)</f>
        <v>0</v>
      </c>
      <c r="F90" s="894">
        <f>IFERROR($F89/$F$88,0)</f>
        <v>0</v>
      </c>
      <c r="G90" s="894">
        <f>IFERROR($G89/$G$88,0)</f>
        <v>0.15220096529818322</v>
      </c>
      <c r="H90" s="894">
        <f>IFERROR($H89/$H$88,0)</f>
        <v>1.8542517263985876E-2</v>
      </c>
      <c r="I90" s="894">
        <f>IFERROR($I89/$I$88,0)</f>
        <v>0.13712353286197648</v>
      </c>
      <c r="J90" s="894">
        <f>IFERROR(J89/J$88,0)</f>
        <v>0</v>
      </c>
      <c r="L90" s="893" t="s">
        <v>174</v>
      </c>
      <c r="M90" s="894">
        <f t="shared" ref="M90:T90" si="52">IFERROR(M89/M$88,0)</f>
        <v>0</v>
      </c>
      <c r="N90" s="894">
        <f t="shared" si="52"/>
        <v>0</v>
      </c>
      <c r="O90" s="894">
        <f t="shared" si="52"/>
        <v>0</v>
      </c>
      <c r="P90" s="894">
        <f t="shared" si="52"/>
        <v>0</v>
      </c>
      <c r="Q90" s="894">
        <f t="shared" si="52"/>
        <v>0.15220096529818322</v>
      </c>
      <c r="R90" s="894">
        <f t="shared" si="52"/>
        <v>1.8542517263985876E-2</v>
      </c>
      <c r="S90" s="894">
        <f t="shared" si="52"/>
        <v>0.13712353286197648</v>
      </c>
      <c r="T90" s="894">
        <f t="shared" si="52"/>
        <v>0</v>
      </c>
    </row>
    <row r="91" spans="2:20" x14ac:dyDescent="0.45">
      <c r="B91" s="965"/>
      <c r="C91" s="966"/>
      <c r="D91" s="966"/>
      <c r="E91" s="966"/>
      <c r="F91" s="966"/>
      <c r="G91" s="966"/>
      <c r="H91" s="966"/>
      <c r="I91" s="966"/>
      <c r="J91" s="967"/>
      <c r="L91" s="965"/>
      <c r="M91" s="966"/>
      <c r="N91" s="966"/>
      <c r="O91" s="966"/>
      <c r="P91" s="966"/>
      <c r="Q91" s="966"/>
      <c r="R91" s="966"/>
      <c r="S91" s="966"/>
      <c r="T91" s="967"/>
    </row>
    <row r="92" spans="2:20" x14ac:dyDescent="0.45">
      <c r="B92" s="888" t="s">
        <v>218</v>
      </c>
      <c r="C92" s="889" t="e">
        <f>$C$71-C73</f>
        <v>#REF!</v>
      </c>
      <c r="D92" s="889" t="e">
        <f t="shared" ref="D92:J92" si="53">D71-D73</f>
        <v>#REF!</v>
      </c>
      <c r="E92" s="889" t="e">
        <f t="shared" si="53"/>
        <v>#REF!</v>
      </c>
      <c r="F92" s="889">
        <f t="shared" si="53"/>
        <v>0</v>
      </c>
      <c r="G92" s="889">
        <f t="shared" si="53"/>
        <v>5772.9729729729734</v>
      </c>
      <c r="H92" s="889">
        <f t="shared" si="53"/>
        <v>8640</v>
      </c>
      <c r="I92" s="889">
        <f t="shared" si="53"/>
        <v>2302.702702702707</v>
      </c>
      <c r="J92" s="889" t="e">
        <f t="shared" si="53"/>
        <v>#REF!</v>
      </c>
      <c r="L92" s="888" t="s">
        <v>218</v>
      </c>
      <c r="M92" s="889" t="e">
        <f>$C$71-M73</f>
        <v>#REF!</v>
      </c>
      <c r="N92" s="889" t="e">
        <f t="shared" ref="N92:T92" si="54">N71-N73</f>
        <v>#REF!</v>
      </c>
      <c r="O92" s="889" t="e">
        <f t="shared" si="54"/>
        <v>#REF!</v>
      </c>
      <c r="P92" s="889">
        <f t="shared" si="54"/>
        <v>0</v>
      </c>
      <c r="Q92" s="889">
        <f t="shared" si="54"/>
        <v>5772.9729729729734</v>
      </c>
      <c r="R92" s="889">
        <f t="shared" si="54"/>
        <v>8640</v>
      </c>
      <c r="S92" s="889">
        <f t="shared" si="54"/>
        <v>2302.702702702707</v>
      </c>
      <c r="T92" s="889" t="e">
        <f t="shared" si="54"/>
        <v>#REF!</v>
      </c>
    </row>
    <row r="93" spans="2:20" x14ac:dyDescent="0.45">
      <c r="B93" s="890" t="s">
        <v>219</v>
      </c>
      <c r="C93" s="891">
        <f>IFERROR($C92/$C$69,0)</f>
        <v>0</v>
      </c>
      <c r="D93" s="891">
        <f>IFERROR($D92/D69,0)</f>
        <v>0</v>
      </c>
      <c r="E93" s="891">
        <f>IFERROR($E92/E69,0)</f>
        <v>0</v>
      </c>
      <c r="F93" s="891">
        <f>IFERROR($F92/F69,0)</f>
        <v>0</v>
      </c>
      <c r="G93" s="891">
        <f>IFERROR($G92/G69,0)</f>
        <v>0.20045045045045046</v>
      </c>
      <c r="H93" s="891">
        <f>IFERROR($H92/H69,0)</f>
        <v>9.3023255813953487E-2</v>
      </c>
      <c r="I93" s="891">
        <f>IFERROR($I92/I69,0)</f>
        <v>6.3435336162609005E-2</v>
      </c>
      <c r="J93" s="891">
        <f>IFERROR(J92/J69,0)</f>
        <v>0</v>
      </c>
      <c r="L93" s="890" t="s">
        <v>219</v>
      </c>
      <c r="M93" s="891">
        <f t="shared" ref="M93:T93" si="55">IFERROR(M92/M69,0)</f>
        <v>0</v>
      </c>
      <c r="N93" s="891">
        <f t="shared" si="55"/>
        <v>0</v>
      </c>
      <c r="O93" s="891">
        <f t="shared" si="55"/>
        <v>0</v>
      </c>
      <c r="P93" s="891">
        <f t="shared" si="55"/>
        <v>0</v>
      </c>
      <c r="Q93" s="891">
        <f t="shared" si="55"/>
        <v>0.20045045045045046</v>
      </c>
      <c r="R93" s="891">
        <f t="shared" si="55"/>
        <v>9.3023255813953487E-2</v>
      </c>
      <c r="S93" s="891">
        <f t="shared" si="55"/>
        <v>6.3435336162609005E-2</v>
      </c>
      <c r="T93" s="891">
        <f t="shared" si="55"/>
        <v>0</v>
      </c>
    </row>
    <row r="94" spans="2:20" x14ac:dyDescent="0.45">
      <c r="I94" s="873"/>
      <c r="J94" s="874"/>
    </row>
    <row r="95" spans="2:20" x14ac:dyDescent="0.45">
      <c r="B95" s="741" t="s">
        <v>227</v>
      </c>
      <c r="L95" s="741" t="s">
        <v>228</v>
      </c>
    </row>
    <row r="96" spans="2:20" x14ac:dyDescent="0.45">
      <c r="B96" s="899" t="s">
        <v>229</v>
      </c>
      <c r="C96" s="899" t="s">
        <v>2</v>
      </c>
      <c r="D96" s="899" t="s">
        <v>3</v>
      </c>
      <c r="E96" s="899" t="s">
        <v>4</v>
      </c>
      <c r="F96" s="899" t="s">
        <v>135</v>
      </c>
      <c r="G96" s="899" t="s">
        <v>154</v>
      </c>
      <c r="H96" s="899" t="s">
        <v>137</v>
      </c>
      <c r="I96" s="899" t="s">
        <v>138</v>
      </c>
      <c r="J96" s="899" t="s">
        <v>201</v>
      </c>
      <c r="L96" s="899" t="s">
        <v>229</v>
      </c>
      <c r="M96" s="899" t="s">
        <v>2</v>
      </c>
      <c r="N96" s="899" t="s">
        <v>3</v>
      </c>
      <c r="O96" s="899" t="s">
        <v>4</v>
      </c>
      <c r="P96" s="899" t="s">
        <v>135</v>
      </c>
      <c r="Q96" s="899" t="s">
        <v>154</v>
      </c>
      <c r="R96" s="899" t="s">
        <v>137</v>
      </c>
      <c r="S96" s="899" t="s">
        <v>138</v>
      </c>
      <c r="T96" s="899" t="s">
        <v>201</v>
      </c>
    </row>
    <row r="97" spans="2:20" x14ac:dyDescent="0.45">
      <c r="B97" s="888" t="s">
        <v>216</v>
      </c>
      <c r="C97" s="889">
        <f>SUM($C$66,C35,C4)</f>
        <v>65572920</v>
      </c>
      <c r="D97" s="889">
        <f t="shared" ref="D97:I97" si="56">SUM(D66,D35,D4)</f>
        <v>19360000</v>
      </c>
      <c r="E97" s="889">
        <f t="shared" si="56"/>
        <v>64115000</v>
      </c>
      <c r="F97" s="889">
        <f t="shared" si="56"/>
        <v>64000</v>
      </c>
      <c r="G97" s="889">
        <f t="shared" si="56"/>
        <v>142368</v>
      </c>
      <c r="H97" s="889">
        <f t="shared" si="56"/>
        <v>460500</v>
      </c>
      <c r="I97" s="889">
        <f t="shared" si="56"/>
        <v>287424</v>
      </c>
      <c r="J97" s="889">
        <f>SUM(C97:I97)</f>
        <v>150002212</v>
      </c>
      <c r="L97" s="888" t="s">
        <v>226</v>
      </c>
      <c r="M97" s="889">
        <f t="shared" ref="M97:S97" si="57">SUM(M66,M35,C4)</f>
        <v>65572920</v>
      </c>
      <c r="N97" s="889">
        <f t="shared" si="57"/>
        <v>19360000</v>
      </c>
      <c r="O97" s="889">
        <f t="shared" si="57"/>
        <v>64115000</v>
      </c>
      <c r="P97" s="889">
        <f t="shared" si="57"/>
        <v>64000</v>
      </c>
      <c r="Q97" s="889">
        <f t="shared" si="57"/>
        <v>142368</v>
      </c>
      <c r="R97" s="889">
        <f t="shared" si="57"/>
        <v>460500</v>
      </c>
      <c r="S97" s="889">
        <f t="shared" si="57"/>
        <v>287424</v>
      </c>
      <c r="T97" s="889">
        <f t="shared" ref="T97:T102" si="58">SUM(M97:S97)</f>
        <v>150002212</v>
      </c>
    </row>
    <row r="98" spans="2:20" x14ac:dyDescent="0.45">
      <c r="B98" s="888" t="s">
        <v>217</v>
      </c>
      <c r="C98" s="889">
        <f t="shared" ref="C98:I98" si="59">C97/RIGHT(C96,2)</f>
        <v>1639323</v>
      </c>
      <c r="D98" s="889">
        <f t="shared" si="59"/>
        <v>484000</v>
      </c>
      <c r="E98" s="889">
        <f t="shared" si="59"/>
        <v>1602875</v>
      </c>
      <c r="F98" s="889">
        <f t="shared" si="59"/>
        <v>1600</v>
      </c>
      <c r="G98" s="889">
        <f t="shared" si="59"/>
        <v>11864</v>
      </c>
      <c r="H98" s="889">
        <f t="shared" si="59"/>
        <v>38375</v>
      </c>
      <c r="I98" s="889">
        <f t="shared" si="59"/>
        <v>11976</v>
      </c>
      <c r="J98" s="889">
        <f>SUM(C98:I98)</f>
        <v>3790013</v>
      </c>
      <c r="L98" s="888" t="s">
        <v>217</v>
      </c>
      <c r="M98" s="889">
        <f t="shared" ref="M98:S98" si="60">M97/RIGHT(M96,2)</f>
        <v>1639323</v>
      </c>
      <c r="N98" s="889">
        <f t="shared" si="60"/>
        <v>484000</v>
      </c>
      <c r="O98" s="889">
        <f t="shared" si="60"/>
        <v>1602875</v>
      </c>
      <c r="P98" s="889">
        <f t="shared" si="60"/>
        <v>1600</v>
      </c>
      <c r="Q98" s="889">
        <f t="shared" si="60"/>
        <v>11864</v>
      </c>
      <c r="R98" s="889">
        <f t="shared" si="60"/>
        <v>38375</v>
      </c>
      <c r="S98" s="889">
        <f t="shared" si="60"/>
        <v>11976</v>
      </c>
      <c r="T98" s="889">
        <f t="shared" si="58"/>
        <v>3790013</v>
      </c>
    </row>
    <row r="99" spans="2:20" x14ac:dyDescent="0.45">
      <c r="B99" s="888" t="s">
        <v>12</v>
      </c>
      <c r="C99" s="889" t="e">
        <f>SUM($C$68,C37,C6)</f>
        <v>#REF!</v>
      </c>
      <c r="D99" s="889" t="e">
        <f t="shared" ref="D99:I101" si="61">SUM(D68,D37,D6)</f>
        <v>#REF!</v>
      </c>
      <c r="E99" s="889" t="e">
        <f t="shared" si="61"/>
        <v>#REF!</v>
      </c>
      <c r="F99" s="889">
        <f t="shared" si="61"/>
        <v>9683.5397685950429</v>
      </c>
      <c r="G99" s="889">
        <f t="shared" si="61"/>
        <v>59914.964769999999</v>
      </c>
      <c r="H99" s="889">
        <f t="shared" si="61"/>
        <v>174692.68968749998</v>
      </c>
      <c r="I99" s="889">
        <f t="shared" si="61"/>
        <v>78466.976550000007</v>
      </c>
      <c r="J99" s="889" t="e">
        <f>SUM(C99:I99)</f>
        <v>#REF!</v>
      </c>
      <c r="L99" s="888" t="s">
        <v>12</v>
      </c>
      <c r="M99" s="889" t="e">
        <f t="shared" ref="M99:S101" si="62">SUM(M68,M37,C6)</f>
        <v>#REF!</v>
      </c>
      <c r="N99" s="889" t="e">
        <f t="shared" si="62"/>
        <v>#REF!</v>
      </c>
      <c r="O99" s="889" t="e">
        <f t="shared" si="62"/>
        <v>#REF!</v>
      </c>
      <c r="P99" s="889">
        <f t="shared" si="62"/>
        <v>9683.5397685950429</v>
      </c>
      <c r="Q99" s="889">
        <f t="shared" si="62"/>
        <v>59914.964769999999</v>
      </c>
      <c r="R99" s="889">
        <f t="shared" si="62"/>
        <v>174692.68968749998</v>
      </c>
      <c r="S99" s="889">
        <f t="shared" si="62"/>
        <v>78466.976550000007</v>
      </c>
      <c r="T99" s="889" t="e">
        <f t="shared" si="58"/>
        <v>#REF!</v>
      </c>
    </row>
    <row r="100" spans="2:20" x14ac:dyDescent="0.45">
      <c r="B100" s="888" t="s">
        <v>155</v>
      </c>
      <c r="C100" s="889" t="e">
        <f>SUM($C$69,C38,C7)</f>
        <v>#REF!</v>
      </c>
      <c r="D100" s="889" t="e">
        <f t="shared" si="61"/>
        <v>#REF!</v>
      </c>
      <c r="E100" s="889" t="e">
        <f t="shared" si="61"/>
        <v>#REF!</v>
      </c>
      <c r="F100" s="889">
        <f t="shared" si="61"/>
        <v>9184</v>
      </c>
      <c r="G100" s="889">
        <f t="shared" si="61"/>
        <v>56947.199999999997</v>
      </c>
      <c r="H100" s="889">
        <f t="shared" si="61"/>
        <v>165012.5</v>
      </c>
      <c r="I100" s="889">
        <f t="shared" si="61"/>
        <v>72454.8</v>
      </c>
      <c r="J100" s="889" t="e">
        <f>SUM(C100:I100)</f>
        <v>#REF!</v>
      </c>
      <c r="L100" s="888" t="s">
        <v>155</v>
      </c>
      <c r="M100" s="889" t="e">
        <f t="shared" si="62"/>
        <v>#REF!</v>
      </c>
      <c r="N100" s="889" t="e">
        <f t="shared" si="62"/>
        <v>#REF!</v>
      </c>
      <c r="O100" s="889" t="e">
        <f t="shared" si="62"/>
        <v>#REF!</v>
      </c>
      <c r="P100" s="889">
        <f t="shared" si="62"/>
        <v>9184</v>
      </c>
      <c r="Q100" s="889">
        <f t="shared" si="62"/>
        <v>56947.199999999997</v>
      </c>
      <c r="R100" s="889">
        <f t="shared" si="62"/>
        <v>165012.5</v>
      </c>
      <c r="S100" s="889">
        <f t="shared" si="62"/>
        <v>72454.8</v>
      </c>
      <c r="T100" s="889" t="e">
        <f t="shared" si="58"/>
        <v>#REF!</v>
      </c>
    </row>
    <row r="101" spans="2:20" x14ac:dyDescent="0.45">
      <c r="B101" s="888" t="s">
        <v>79</v>
      </c>
      <c r="C101" s="889" t="e">
        <f>SUM($C$70,C39,C8)</f>
        <v>#REF!</v>
      </c>
      <c r="D101" s="889" t="e">
        <f t="shared" si="61"/>
        <v>#REF!</v>
      </c>
      <c r="E101" s="889" t="e">
        <f t="shared" si="61"/>
        <v>#REF!</v>
      </c>
      <c r="F101" s="889">
        <f t="shared" si="61"/>
        <v>6486.4864864864867</v>
      </c>
      <c r="G101" s="889">
        <f t="shared" si="61"/>
        <v>33668.108108108107</v>
      </c>
      <c r="H101" s="889">
        <f t="shared" si="61"/>
        <v>115125</v>
      </c>
      <c r="I101" s="889">
        <f t="shared" si="61"/>
        <v>50493.4054054054</v>
      </c>
      <c r="J101" s="889" t="e">
        <f>SUM(C101:I101)</f>
        <v>#REF!</v>
      </c>
      <c r="L101" s="888" t="s">
        <v>79</v>
      </c>
      <c r="M101" s="889" t="e">
        <f t="shared" si="62"/>
        <v>#REF!</v>
      </c>
      <c r="N101" s="889" t="e">
        <f t="shared" si="62"/>
        <v>#REF!</v>
      </c>
      <c r="O101" s="889" t="e">
        <f t="shared" si="62"/>
        <v>#REF!</v>
      </c>
      <c r="P101" s="889">
        <f t="shared" si="62"/>
        <v>6486.4864864864867</v>
      </c>
      <c r="Q101" s="889">
        <f t="shared" si="62"/>
        <v>33668.108108108107</v>
      </c>
      <c r="R101" s="889">
        <f t="shared" si="62"/>
        <v>115125</v>
      </c>
      <c r="S101" s="889">
        <f t="shared" si="62"/>
        <v>50493.4054054054</v>
      </c>
      <c r="T101" s="889" t="e">
        <f t="shared" si="58"/>
        <v>#REF!</v>
      </c>
    </row>
    <row r="102" spans="2:20" x14ac:dyDescent="0.45">
      <c r="B102" s="888" t="s">
        <v>156</v>
      </c>
      <c r="C102" s="889" t="e">
        <f t="shared" ref="C102:J102" si="63">C100-C101</f>
        <v>#REF!</v>
      </c>
      <c r="D102" s="889" t="e">
        <f t="shared" si="63"/>
        <v>#REF!</v>
      </c>
      <c r="E102" s="889" t="e">
        <f t="shared" si="63"/>
        <v>#REF!</v>
      </c>
      <c r="F102" s="889">
        <f t="shared" si="63"/>
        <v>2697.5135135135133</v>
      </c>
      <c r="G102" s="889">
        <f t="shared" si="63"/>
        <v>23279.091891891891</v>
      </c>
      <c r="H102" s="889">
        <f t="shared" si="63"/>
        <v>49887.5</v>
      </c>
      <c r="I102" s="889">
        <f t="shared" si="63"/>
        <v>21961.394594594603</v>
      </c>
      <c r="J102" s="889" t="e">
        <f t="shared" si="63"/>
        <v>#REF!</v>
      </c>
      <c r="L102" s="888" t="s">
        <v>156</v>
      </c>
      <c r="M102" s="889" t="e">
        <f>SUM(M71,M40,C9)</f>
        <v>#REF!</v>
      </c>
      <c r="N102" s="889" t="e">
        <f>N100-N101</f>
        <v>#REF!</v>
      </c>
      <c r="O102" s="889" t="e">
        <f>SUM(O71,O40,E9)</f>
        <v>#REF!</v>
      </c>
      <c r="P102" s="889">
        <f>SUM(P71,P40,F9)</f>
        <v>2697.5135135135133</v>
      </c>
      <c r="Q102" s="889">
        <f>SUM(Q71,Q40,G9)</f>
        <v>23279.091891891894</v>
      </c>
      <c r="R102" s="889">
        <f>SUM(R71,R40,H9)</f>
        <v>49887.5</v>
      </c>
      <c r="S102" s="889">
        <f>SUM(S71,S40,I9)</f>
        <v>21961.3945945946</v>
      </c>
      <c r="T102" s="889" t="e">
        <f t="shared" si="58"/>
        <v>#REF!</v>
      </c>
    </row>
    <row r="103" spans="2:20" x14ac:dyDescent="0.45">
      <c r="B103" s="890" t="s">
        <v>157</v>
      </c>
      <c r="C103" s="891" t="e">
        <f t="shared" ref="C103:J103" si="64">C102/C$100</f>
        <v>#REF!</v>
      </c>
      <c r="D103" s="891" t="e">
        <f t="shared" si="64"/>
        <v>#REF!</v>
      </c>
      <c r="E103" s="891" t="e">
        <f t="shared" si="64"/>
        <v>#REF!</v>
      </c>
      <c r="F103" s="891">
        <f t="shared" si="64"/>
        <v>0.29371880591392785</v>
      </c>
      <c r="G103" s="891">
        <f t="shared" si="64"/>
        <v>0.40878378378378377</v>
      </c>
      <c r="H103" s="891">
        <f t="shared" si="64"/>
        <v>0.30232558139534882</v>
      </c>
      <c r="I103" s="891">
        <f t="shared" si="64"/>
        <v>0.30310475765021233</v>
      </c>
      <c r="J103" s="891" t="e">
        <f t="shared" si="64"/>
        <v>#REF!</v>
      </c>
      <c r="L103" s="890" t="s">
        <v>157</v>
      </c>
      <c r="M103" s="891" t="e">
        <f t="shared" ref="M103:S103" si="65">M102/M$100</f>
        <v>#REF!</v>
      </c>
      <c r="N103" s="891" t="e">
        <f t="shared" si="65"/>
        <v>#REF!</v>
      </c>
      <c r="O103" s="891" t="e">
        <f t="shared" si="65"/>
        <v>#REF!</v>
      </c>
      <c r="P103" s="891">
        <f t="shared" si="65"/>
        <v>0.29371880591392785</v>
      </c>
      <c r="Q103" s="891">
        <f t="shared" si="65"/>
        <v>0.40878378378378383</v>
      </c>
      <c r="R103" s="891">
        <f t="shared" si="65"/>
        <v>0.30232558139534882</v>
      </c>
      <c r="S103" s="891">
        <f t="shared" si="65"/>
        <v>0.30310475765021228</v>
      </c>
      <c r="T103" s="891">
        <f>IFERROR(T102/T$69,0)</f>
        <v>0</v>
      </c>
    </row>
    <row r="104" spans="2:20" x14ac:dyDescent="0.45">
      <c r="B104" s="888" t="s">
        <v>158</v>
      </c>
      <c r="C104" s="889" t="e">
        <f t="shared" ref="C104:I104" si="66">SUM(C73,C42,C11)</f>
        <v>#REF!</v>
      </c>
      <c r="D104" s="889" t="e">
        <f t="shared" si="66"/>
        <v>#REF!</v>
      </c>
      <c r="E104" s="889" t="e">
        <f t="shared" si="66"/>
        <v>#REF!</v>
      </c>
      <c r="F104" s="889">
        <f t="shared" si="66"/>
        <v>1280</v>
      </c>
      <c r="G104" s="889">
        <f t="shared" si="66"/>
        <v>11864</v>
      </c>
      <c r="H104" s="889">
        <f t="shared" si="66"/>
        <v>34537.5</v>
      </c>
      <c r="I104" s="889">
        <f t="shared" si="66"/>
        <v>17365.2</v>
      </c>
      <c r="J104" s="889" t="e">
        <f>SUM(C104:I104)</f>
        <v>#REF!</v>
      </c>
      <c r="L104" s="888" t="s">
        <v>158</v>
      </c>
      <c r="M104" s="889" t="e">
        <f t="shared" ref="M104:S104" si="67">SUM(M73,M42,C11)</f>
        <v>#REF!</v>
      </c>
      <c r="N104" s="889" t="e">
        <f t="shared" si="67"/>
        <v>#REF!</v>
      </c>
      <c r="O104" s="889" t="e">
        <f t="shared" si="67"/>
        <v>#REF!</v>
      </c>
      <c r="P104" s="889">
        <f t="shared" si="67"/>
        <v>1280</v>
      </c>
      <c r="Q104" s="889">
        <f t="shared" si="67"/>
        <v>11864</v>
      </c>
      <c r="R104" s="889">
        <f t="shared" si="67"/>
        <v>34537.5</v>
      </c>
      <c r="S104" s="889">
        <f t="shared" si="67"/>
        <v>17365.2</v>
      </c>
      <c r="T104" s="889" t="e">
        <f>SUM(M104:S104)</f>
        <v>#REF!</v>
      </c>
    </row>
    <row r="105" spans="2:20" x14ac:dyDescent="0.45">
      <c r="B105" s="892" t="s">
        <v>159</v>
      </c>
      <c r="C105" s="891" t="e">
        <f t="shared" ref="C105:J105" si="68">C104/C$100</f>
        <v>#REF!</v>
      </c>
      <c r="D105" s="891" t="e">
        <f t="shared" si="68"/>
        <v>#REF!</v>
      </c>
      <c r="E105" s="891" t="e">
        <f t="shared" si="68"/>
        <v>#REF!</v>
      </c>
      <c r="F105" s="891">
        <f t="shared" si="68"/>
        <v>0.13937282229965156</v>
      </c>
      <c r="G105" s="891">
        <f t="shared" si="68"/>
        <v>0.20833333333333334</v>
      </c>
      <c r="H105" s="891">
        <f t="shared" si="68"/>
        <v>0.20930232558139536</v>
      </c>
      <c r="I105" s="891">
        <f t="shared" si="68"/>
        <v>0.23966942148760331</v>
      </c>
      <c r="J105" s="891" t="e">
        <f t="shared" si="68"/>
        <v>#REF!</v>
      </c>
      <c r="L105" s="892" t="s">
        <v>159</v>
      </c>
      <c r="M105" s="891" t="e">
        <f t="shared" ref="M105:S105" si="69">M104/M$100</f>
        <v>#REF!</v>
      </c>
      <c r="N105" s="891" t="e">
        <f t="shared" si="69"/>
        <v>#REF!</v>
      </c>
      <c r="O105" s="891" t="e">
        <f t="shared" si="69"/>
        <v>#REF!</v>
      </c>
      <c r="P105" s="891">
        <f t="shared" si="69"/>
        <v>0.13937282229965156</v>
      </c>
      <c r="Q105" s="891">
        <f t="shared" si="69"/>
        <v>0.20833333333333334</v>
      </c>
      <c r="R105" s="891">
        <f t="shared" si="69"/>
        <v>0.20930232558139536</v>
      </c>
      <c r="S105" s="891">
        <f t="shared" si="69"/>
        <v>0.23966942148760331</v>
      </c>
      <c r="T105" s="891">
        <f>IFERROR(T104/T$69,0)</f>
        <v>0</v>
      </c>
    </row>
    <row r="106" spans="2:20" x14ac:dyDescent="0.45">
      <c r="B106" s="888" t="s">
        <v>161</v>
      </c>
      <c r="C106" s="889" t="e">
        <f t="shared" ref="C106:I106" si="70">SUM(C75,C44,C13)</f>
        <v>#REF!</v>
      </c>
      <c r="D106" s="889" t="e">
        <f t="shared" si="70"/>
        <v>#REF!</v>
      </c>
      <c r="E106" s="889" t="e">
        <f t="shared" si="70"/>
        <v>#REF!</v>
      </c>
      <c r="F106" s="889">
        <f t="shared" si="70"/>
        <v>0</v>
      </c>
      <c r="G106" s="889">
        <f t="shared" si="70"/>
        <v>0</v>
      </c>
      <c r="H106" s="889">
        <f t="shared" si="70"/>
        <v>0</v>
      </c>
      <c r="I106" s="889">
        <f t="shared" si="70"/>
        <v>0</v>
      </c>
      <c r="J106" s="889" t="e">
        <f>SUM(C106:I106)</f>
        <v>#REF!</v>
      </c>
      <c r="L106" s="888" t="s">
        <v>161</v>
      </c>
      <c r="M106" s="889" t="e">
        <f t="shared" ref="M106:S106" si="71">SUM(M75,M44,C13)</f>
        <v>#REF!</v>
      </c>
      <c r="N106" s="889" t="e">
        <f t="shared" si="71"/>
        <v>#REF!</v>
      </c>
      <c r="O106" s="889" t="e">
        <f t="shared" si="71"/>
        <v>#REF!</v>
      </c>
      <c r="P106" s="889">
        <f t="shared" si="71"/>
        <v>0</v>
      </c>
      <c r="Q106" s="889">
        <f t="shared" si="71"/>
        <v>0</v>
      </c>
      <c r="R106" s="889">
        <f t="shared" si="71"/>
        <v>0</v>
      </c>
      <c r="S106" s="889">
        <f t="shared" si="71"/>
        <v>0</v>
      </c>
      <c r="T106" s="889" t="e">
        <f>SUM(M106:S106)</f>
        <v>#REF!</v>
      </c>
    </row>
    <row r="107" spans="2:20" x14ac:dyDescent="0.45">
      <c r="B107" s="892" t="s">
        <v>162</v>
      </c>
      <c r="C107" s="891" t="e">
        <f t="shared" ref="C107:J107" si="72">C106/C$100</f>
        <v>#REF!</v>
      </c>
      <c r="D107" s="891" t="e">
        <f t="shared" si="72"/>
        <v>#REF!</v>
      </c>
      <c r="E107" s="891" t="e">
        <f t="shared" si="72"/>
        <v>#REF!</v>
      </c>
      <c r="F107" s="891">
        <f t="shared" si="72"/>
        <v>0</v>
      </c>
      <c r="G107" s="891">
        <f t="shared" si="72"/>
        <v>0</v>
      </c>
      <c r="H107" s="891">
        <f t="shared" si="72"/>
        <v>0</v>
      </c>
      <c r="I107" s="891">
        <f t="shared" si="72"/>
        <v>0</v>
      </c>
      <c r="J107" s="891" t="e">
        <f t="shared" si="72"/>
        <v>#REF!</v>
      </c>
      <c r="L107" s="892" t="s">
        <v>162</v>
      </c>
      <c r="M107" s="891" t="e">
        <f t="shared" ref="M107:S107" si="73">M106/M$100</f>
        <v>#REF!</v>
      </c>
      <c r="N107" s="891" t="e">
        <f t="shared" si="73"/>
        <v>#REF!</v>
      </c>
      <c r="O107" s="891" t="e">
        <f t="shared" si="73"/>
        <v>#REF!</v>
      </c>
      <c r="P107" s="891">
        <f t="shared" si="73"/>
        <v>0</v>
      </c>
      <c r="Q107" s="891">
        <f t="shared" si="73"/>
        <v>0</v>
      </c>
      <c r="R107" s="891">
        <f t="shared" si="73"/>
        <v>0</v>
      </c>
      <c r="S107" s="891">
        <f t="shared" si="73"/>
        <v>0</v>
      </c>
      <c r="T107" s="891">
        <f>IFERROR(T106/T$69,0)</f>
        <v>0</v>
      </c>
    </row>
    <row r="108" spans="2:20" x14ac:dyDescent="0.45">
      <c r="B108" s="888" t="s">
        <v>78</v>
      </c>
      <c r="C108" s="889" t="e">
        <f t="shared" ref="C108:I108" si="74">SUM(C77,C46,C15)</f>
        <v>#REF!</v>
      </c>
      <c r="D108" s="889" t="e">
        <f t="shared" si="74"/>
        <v>#REF!</v>
      </c>
      <c r="E108" s="889" t="e">
        <f t="shared" si="74"/>
        <v>#REF!</v>
      </c>
      <c r="F108" s="889">
        <f t="shared" si="74"/>
        <v>184.28635246817063</v>
      </c>
      <c r="G108" s="889">
        <f t="shared" si="74"/>
        <v>435.61710272351996</v>
      </c>
      <c r="H108" s="889">
        <f t="shared" si="74"/>
        <v>1473.2675706132029</v>
      </c>
      <c r="I108" s="889">
        <f t="shared" si="74"/>
        <v>989.83201408692855</v>
      </c>
      <c r="J108" s="889" t="e">
        <f>SUM(C108:I108)</f>
        <v>#REF!</v>
      </c>
      <c r="L108" s="888" t="s">
        <v>78</v>
      </c>
      <c r="M108" s="889" t="e">
        <f t="shared" ref="M108:S109" si="75">SUM(M77,M46,C15)</f>
        <v>#REF!</v>
      </c>
      <c r="N108" s="889" t="e">
        <f t="shared" si="75"/>
        <v>#REF!</v>
      </c>
      <c r="O108" s="889" t="e">
        <f t="shared" si="75"/>
        <v>#REF!</v>
      </c>
      <c r="P108" s="889">
        <f t="shared" si="75"/>
        <v>184.28635246817063</v>
      </c>
      <c r="Q108" s="889">
        <f t="shared" si="75"/>
        <v>435.61710272351996</v>
      </c>
      <c r="R108" s="889">
        <f t="shared" si="75"/>
        <v>1473.2675706132029</v>
      </c>
      <c r="S108" s="889">
        <f t="shared" si="75"/>
        <v>989.83201408692855</v>
      </c>
      <c r="T108" s="889" t="e">
        <f>SUM(M108:S108)</f>
        <v>#REF!</v>
      </c>
    </row>
    <row r="109" spans="2:20" x14ac:dyDescent="0.45">
      <c r="B109" s="888" t="s">
        <v>163</v>
      </c>
      <c r="C109" s="889" t="e">
        <f t="shared" ref="C109:J109" si="76">C102-C104-C106-C108</f>
        <v>#REF!</v>
      </c>
      <c r="D109" s="889" t="e">
        <f t="shared" si="76"/>
        <v>#REF!</v>
      </c>
      <c r="E109" s="889" t="e">
        <f t="shared" si="76"/>
        <v>#REF!</v>
      </c>
      <c r="F109" s="889">
        <f t="shared" si="76"/>
        <v>1233.2271610453427</v>
      </c>
      <c r="G109" s="889">
        <f t="shared" si="76"/>
        <v>10979.474789168371</v>
      </c>
      <c r="H109" s="889">
        <f t="shared" si="76"/>
        <v>13876.732429386797</v>
      </c>
      <c r="I109" s="889">
        <f t="shared" si="76"/>
        <v>3606.362580507674</v>
      </c>
      <c r="J109" s="889" t="e">
        <f t="shared" si="76"/>
        <v>#REF!</v>
      </c>
      <c r="L109" s="888" t="s">
        <v>163</v>
      </c>
      <c r="M109" s="889" t="e">
        <f t="shared" si="75"/>
        <v>#REF!</v>
      </c>
      <c r="N109" s="889" t="e">
        <f t="shared" si="75"/>
        <v>#REF!</v>
      </c>
      <c r="O109" s="889" t="e">
        <f t="shared" si="75"/>
        <v>#REF!</v>
      </c>
      <c r="P109" s="889">
        <f t="shared" si="75"/>
        <v>1233.2271610453427</v>
      </c>
      <c r="Q109" s="889">
        <f t="shared" si="75"/>
        <v>10979.474789168373</v>
      </c>
      <c r="R109" s="889">
        <f t="shared" si="75"/>
        <v>13876.732429386797</v>
      </c>
      <c r="S109" s="889">
        <f t="shared" si="75"/>
        <v>3606.3625805076713</v>
      </c>
      <c r="T109" s="889" t="e">
        <f>T102-T104-T106-T108</f>
        <v>#REF!</v>
      </c>
    </row>
    <row r="110" spans="2:20" x14ac:dyDescent="0.45">
      <c r="B110" s="890" t="s">
        <v>164</v>
      </c>
      <c r="C110" s="891" t="e">
        <f t="shared" ref="C110:J110" si="77">C109/C$100</f>
        <v>#REF!</v>
      </c>
      <c r="D110" s="891" t="e">
        <f t="shared" si="77"/>
        <v>#REF!</v>
      </c>
      <c r="E110" s="891" t="e">
        <f t="shared" si="77"/>
        <v>#REF!</v>
      </c>
      <c r="F110" s="891">
        <f t="shared" si="77"/>
        <v>0.13427996091521588</v>
      </c>
      <c r="G110" s="891">
        <f t="shared" si="77"/>
        <v>0.19280095929507282</v>
      </c>
      <c r="H110" s="891">
        <f t="shared" si="77"/>
        <v>8.409503782675129E-2</v>
      </c>
      <c r="I110" s="891">
        <f t="shared" si="77"/>
        <v>4.9773963636745584E-2</v>
      </c>
      <c r="J110" s="891" t="e">
        <f t="shared" si="77"/>
        <v>#REF!</v>
      </c>
      <c r="L110" s="890" t="s">
        <v>164</v>
      </c>
      <c r="M110" s="891" t="e">
        <f t="shared" ref="M110:S110" si="78">M109/M$100</f>
        <v>#REF!</v>
      </c>
      <c r="N110" s="891" t="e">
        <f t="shared" si="78"/>
        <v>#REF!</v>
      </c>
      <c r="O110" s="891" t="e">
        <f t="shared" si="78"/>
        <v>#REF!</v>
      </c>
      <c r="P110" s="891">
        <f t="shared" si="78"/>
        <v>0.13427996091521588</v>
      </c>
      <c r="Q110" s="891">
        <f t="shared" si="78"/>
        <v>0.19280095929507288</v>
      </c>
      <c r="R110" s="891">
        <f t="shared" si="78"/>
        <v>8.409503782675129E-2</v>
      </c>
      <c r="S110" s="891">
        <f t="shared" si="78"/>
        <v>4.9773963636745543E-2</v>
      </c>
      <c r="T110" s="891">
        <f>IFERROR(T109/T$69,0)</f>
        <v>0</v>
      </c>
    </row>
    <row r="111" spans="2:20" x14ac:dyDescent="0.45">
      <c r="B111" s="888" t="s">
        <v>165</v>
      </c>
      <c r="C111" s="889">
        <f t="shared" ref="C111:I111" si="79">SUM(C80,C49,C18)</f>
        <v>0</v>
      </c>
      <c r="D111" s="889">
        <f t="shared" si="79"/>
        <v>0</v>
      </c>
      <c r="E111" s="889">
        <f t="shared" si="79"/>
        <v>0</v>
      </c>
      <c r="F111" s="889">
        <f t="shared" si="79"/>
        <v>0</v>
      </c>
      <c r="G111" s="889">
        <f t="shared" si="79"/>
        <v>0</v>
      </c>
      <c r="H111" s="889">
        <f t="shared" si="79"/>
        <v>0</v>
      </c>
      <c r="I111" s="889">
        <f t="shared" si="79"/>
        <v>0</v>
      </c>
      <c r="J111" s="889">
        <f>SUM(C111:I111)</f>
        <v>0</v>
      </c>
      <c r="L111" s="888" t="s">
        <v>165</v>
      </c>
      <c r="M111" s="889">
        <f t="shared" ref="M111:S112" si="80">SUM(M80,M49,C18)</f>
        <v>0</v>
      </c>
      <c r="N111" s="889">
        <f t="shared" si="80"/>
        <v>0</v>
      </c>
      <c r="O111" s="889">
        <f t="shared" si="80"/>
        <v>0</v>
      </c>
      <c r="P111" s="889">
        <f t="shared" si="80"/>
        <v>0</v>
      </c>
      <c r="Q111" s="889">
        <f t="shared" si="80"/>
        <v>0</v>
      </c>
      <c r="R111" s="889">
        <f t="shared" si="80"/>
        <v>0</v>
      </c>
      <c r="S111" s="889">
        <f t="shared" si="80"/>
        <v>0</v>
      </c>
      <c r="T111" s="889">
        <f>SUM(M111:S111)</f>
        <v>0</v>
      </c>
    </row>
    <row r="112" spans="2:20" x14ac:dyDescent="0.45">
      <c r="B112" s="888" t="s">
        <v>166</v>
      </c>
      <c r="C112" s="889" t="e">
        <f t="shared" ref="C112:J112" si="81">C109-C111</f>
        <v>#REF!</v>
      </c>
      <c r="D112" s="889" t="e">
        <f t="shared" si="81"/>
        <v>#REF!</v>
      </c>
      <c r="E112" s="889" t="e">
        <f t="shared" si="81"/>
        <v>#REF!</v>
      </c>
      <c r="F112" s="889">
        <f t="shared" si="81"/>
        <v>1233.2271610453427</v>
      </c>
      <c r="G112" s="889">
        <f t="shared" si="81"/>
        <v>10979.474789168371</v>
      </c>
      <c r="H112" s="889">
        <f t="shared" si="81"/>
        <v>13876.732429386797</v>
      </c>
      <c r="I112" s="889">
        <f t="shared" si="81"/>
        <v>3606.362580507674</v>
      </c>
      <c r="J112" s="889" t="e">
        <f t="shared" si="81"/>
        <v>#REF!</v>
      </c>
      <c r="L112" s="888" t="s">
        <v>166</v>
      </c>
      <c r="M112" s="889" t="e">
        <f t="shared" si="80"/>
        <v>#REF!</v>
      </c>
      <c r="N112" s="889" t="e">
        <f t="shared" si="80"/>
        <v>#REF!</v>
      </c>
      <c r="O112" s="889" t="e">
        <f t="shared" si="80"/>
        <v>#REF!</v>
      </c>
      <c r="P112" s="889">
        <f t="shared" si="80"/>
        <v>1233.2271610453427</v>
      </c>
      <c r="Q112" s="889">
        <f t="shared" si="80"/>
        <v>10979.474789168373</v>
      </c>
      <c r="R112" s="889">
        <f t="shared" si="80"/>
        <v>13876.732429386797</v>
      </c>
      <c r="S112" s="889">
        <f t="shared" si="80"/>
        <v>3606.3625805076713</v>
      </c>
      <c r="T112" s="889" t="e">
        <f>T109-T111</f>
        <v>#REF!</v>
      </c>
    </row>
    <row r="113" spans="2:20" x14ac:dyDescent="0.45">
      <c r="B113" s="890" t="s">
        <v>167</v>
      </c>
      <c r="C113" s="891" t="e">
        <f t="shared" ref="C113:J113" si="82">C112/C$100</f>
        <v>#REF!</v>
      </c>
      <c r="D113" s="891" t="e">
        <f t="shared" si="82"/>
        <v>#REF!</v>
      </c>
      <c r="E113" s="891" t="e">
        <f t="shared" si="82"/>
        <v>#REF!</v>
      </c>
      <c r="F113" s="891">
        <f t="shared" si="82"/>
        <v>0.13427996091521588</v>
      </c>
      <c r="G113" s="891">
        <f t="shared" si="82"/>
        <v>0.19280095929507282</v>
      </c>
      <c r="H113" s="891">
        <f t="shared" si="82"/>
        <v>8.409503782675129E-2</v>
      </c>
      <c r="I113" s="891">
        <f t="shared" si="82"/>
        <v>4.9773963636745584E-2</v>
      </c>
      <c r="J113" s="891" t="e">
        <f t="shared" si="82"/>
        <v>#REF!</v>
      </c>
      <c r="L113" s="890" t="s">
        <v>167</v>
      </c>
      <c r="M113" s="891" t="e">
        <f t="shared" ref="M113:S113" si="83">M112/M$100</f>
        <v>#REF!</v>
      </c>
      <c r="N113" s="891" t="e">
        <f t="shared" si="83"/>
        <v>#REF!</v>
      </c>
      <c r="O113" s="891" t="e">
        <f t="shared" si="83"/>
        <v>#REF!</v>
      </c>
      <c r="P113" s="891">
        <f t="shared" si="83"/>
        <v>0.13427996091521588</v>
      </c>
      <c r="Q113" s="891">
        <f t="shared" si="83"/>
        <v>0.19280095929507288</v>
      </c>
      <c r="R113" s="891">
        <f t="shared" si="83"/>
        <v>8.409503782675129E-2</v>
      </c>
      <c r="S113" s="891">
        <f t="shared" si="83"/>
        <v>4.9773963636745543E-2</v>
      </c>
      <c r="T113" s="891">
        <f>IFERROR(T112/T$69,0)</f>
        <v>0</v>
      </c>
    </row>
    <row r="114" spans="2:20" x14ac:dyDescent="0.45">
      <c r="B114" s="888" t="s">
        <v>97</v>
      </c>
      <c r="C114" s="889" t="e">
        <f t="shared" ref="C114:I114" si="84">SUM(C83,C52,C21)</f>
        <v>#REF!</v>
      </c>
      <c r="D114" s="889" t="e">
        <f t="shared" si="84"/>
        <v>#REF!</v>
      </c>
      <c r="E114" s="889" t="e">
        <f t="shared" si="84"/>
        <v>#REF!</v>
      </c>
      <c r="F114" s="889">
        <f t="shared" si="84"/>
        <v>-123.96694214876034</v>
      </c>
      <c r="G114" s="889">
        <f t="shared" si="84"/>
        <v>-720.48582995951415</v>
      </c>
      <c r="H114" s="889">
        <f t="shared" si="84"/>
        <v>-2398.4375</v>
      </c>
      <c r="I114" s="889">
        <f t="shared" si="84"/>
        <v>-1497</v>
      </c>
      <c r="J114" s="889" t="e">
        <f>SUM(C114:I114)</f>
        <v>#REF!</v>
      </c>
      <c r="L114" s="888" t="s">
        <v>97</v>
      </c>
      <c r="M114" s="889" t="e">
        <f t="shared" ref="M114:S115" si="85">SUM(M83,M52,C21)</f>
        <v>#REF!</v>
      </c>
      <c r="N114" s="889" t="e">
        <f t="shared" si="85"/>
        <v>#REF!</v>
      </c>
      <c r="O114" s="889" t="e">
        <f t="shared" si="85"/>
        <v>#REF!</v>
      </c>
      <c r="P114" s="889">
        <f t="shared" si="85"/>
        <v>-123.96694214876034</v>
      </c>
      <c r="Q114" s="889">
        <f t="shared" si="85"/>
        <v>-720.48582995951415</v>
      </c>
      <c r="R114" s="889">
        <f t="shared" si="85"/>
        <v>-2398.4375</v>
      </c>
      <c r="S114" s="889">
        <f t="shared" si="85"/>
        <v>-1497</v>
      </c>
      <c r="T114" s="889" t="e">
        <f>SUM(M114:S114)</f>
        <v>#REF!</v>
      </c>
    </row>
    <row r="115" spans="2:20" x14ac:dyDescent="0.45">
      <c r="B115" s="888" t="s">
        <v>168</v>
      </c>
      <c r="C115" s="889" t="e">
        <f t="shared" ref="C115:J115" si="86">C112-C114</f>
        <v>#REF!</v>
      </c>
      <c r="D115" s="889" t="e">
        <f t="shared" si="86"/>
        <v>#REF!</v>
      </c>
      <c r="E115" s="889" t="e">
        <f t="shared" si="86"/>
        <v>#REF!</v>
      </c>
      <c r="F115" s="889">
        <f t="shared" si="86"/>
        <v>1357.194103194103</v>
      </c>
      <c r="G115" s="889">
        <f t="shared" si="86"/>
        <v>11699.960619127885</v>
      </c>
      <c r="H115" s="889">
        <f t="shared" si="86"/>
        <v>16275.169929386797</v>
      </c>
      <c r="I115" s="889">
        <f t="shared" si="86"/>
        <v>5103.3625805076736</v>
      </c>
      <c r="J115" s="889" t="e">
        <f t="shared" si="86"/>
        <v>#REF!</v>
      </c>
      <c r="L115" s="888" t="s">
        <v>168</v>
      </c>
      <c r="M115" s="889" t="e">
        <f t="shared" si="85"/>
        <v>#REF!</v>
      </c>
      <c r="N115" s="889" t="e">
        <f t="shared" si="85"/>
        <v>#REF!</v>
      </c>
      <c r="O115" s="889" t="e">
        <f t="shared" si="85"/>
        <v>#REF!</v>
      </c>
      <c r="P115" s="889">
        <f t="shared" si="85"/>
        <v>1357.194103194103</v>
      </c>
      <c r="Q115" s="889">
        <f t="shared" si="85"/>
        <v>11699.960619127887</v>
      </c>
      <c r="R115" s="889">
        <f t="shared" si="85"/>
        <v>16275.169929386797</v>
      </c>
      <c r="S115" s="889">
        <f t="shared" si="85"/>
        <v>5103.3625805076717</v>
      </c>
      <c r="T115" s="889" t="e">
        <f>T112-T114</f>
        <v>#REF!</v>
      </c>
    </row>
    <row r="116" spans="2:20" x14ac:dyDescent="0.45">
      <c r="B116" s="890" t="s">
        <v>169</v>
      </c>
      <c r="C116" s="891" t="e">
        <f t="shared" ref="C116:J116" si="87">C115/C$100</f>
        <v>#REF!</v>
      </c>
      <c r="D116" s="891" t="e">
        <f t="shared" si="87"/>
        <v>#REF!</v>
      </c>
      <c r="E116" s="891" t="e">
        <f t="shared" si="87"/>
        <v>#REF!</v>
      </c>
      <c r="F116" s="891">
        <f t="shared" si="87"/>
        <v>0.14777810357078647</v>
      </c>
      <c r="G116" s="891">
        <f t="shared" si="87"/>
        <v>0.20545278115742102</v>
      </c>
      <c r="H116" s="891">
        <f t="shared" si="87"/>
        <v>9.8629921547681521E-2</v>
      </c>
      <c r="I116" s="891">
        <f t="shared" si="87"/>
        <v>7.0435120661538966E-2</v>
      </c>
      <c r="J116" s="891" t="e">
        <f t="shared" si="87"/>
        <v>#REF!</v>
      </c>
      <c r="L116" s="890" t="s">
        <v>169</v>
      </c>
      <c r="M116" s="891" t="e">
        <f t="shared" ref="M116:S116" si="88">M115/M$100</f>
        <v>#REF!</v>
      </c>
      <c r="N116" s="891" t="e">
        <f t="shared" si="88"/>
        <v>#REF!</v>
      </c>
      <c r="O116" s="891" t="e">
        <f t="shared" si="88"/>
        <v>#REF!</v>
      </c>
      <c r="P116" s="891">
        <f t="shared" si="88"/>
        <v>0.14777810357078647</v>
      </c>
      <c r="Q116" s="891">
        <f t="shared" si="88"/>
        <v>0.20545278115742105</v>
      </c>
      <c r="R116" s="891">
        <f t="shared" si="88"/>
        <v>9.8629921547681521E-2</v>
      </c>
      <c r="S116" s="891">
        <f t="shared" si="88"/>
        <v>7.0435120661538939E-2</v>
      </c>
      <c r="T116" s="891">
        <f>IFERROR(T115/T$69,0)</f>
        <v>0</v>
      </c>
    </row>
    <row r="117" spans="2:20" outlineLevel="1" x14ac:dyDescent="0.45">
      <c r="B117" s="1246">
        <v>2021</v>
      </c>
      <c r="C117" s="1247"/>
      <c r="D117" s="1247"/>
      <c r="E117" s="1247"/>
      <c r="F117" s="1247"/>
      <c r="G117" s="1247"/>
      <c r="H117" s="1247"/>
      <c r="I117" s="1247"/>
      <c r="J117" s="1248"/>
      <c r="L117" s="1246">
        <v>2021</v>
      </c>
      <c r="M117" s="1247"/>
      <c r="N117" s="1247"/>
      <c r="O117" s="1247"/>
      <c r="P117" s="1247"/>
      <c r="Q117" s="1247"/>
      <c r="R117" s="1247"/>
      <c r="S117" s="1247"/>
      <c r="T117" s="1248"/>
    </row>
    <row r="118" spans="2:20" outlineLevel="1" x14ac:dyDescent="0.45">
      <c r="B118" s="895" t="s">
        <v>230</v>
      </c>
      <c r="C118" s="896">
        <f>'STT STD - By SKU 150'!C106</f>
        <v>42547772.200000003</v>
      </c>
      <c r="D118" s="896">
        <f>'STT STD - By SKU 150'!D106</f>
        <v>11956594.4</v>
      </c>
      <c r="E118" s="896">
        <f>'STT STD - By SKU 150'!E106</f>
        <v>32847775.399999995</v>
      </c>
      <c r="F118" s="896">
        <f>'STT STD - By SKU 150'!F106</f>
        <v>405318.60000000003</v>
      </c>
      <c r="G118" s="896">
        <f>'STT STD - By SKU 150'!G106</f>
        <v>118749.28648</v>
      </c>
      <c r="H118" s="896">
        <f>'STT STD - By SKU 150'!H106</f>
        <v>246108.48816000001</v>
      </c>
      <c r="I118" s="896">
        <f>'STT STD - By SKU 150'!I106</f>
        <v>248740.12800000008</v>
      </c>
      <c r="J118" s="896">
        <f>'STT STD - By SKU 150'!J106</f>
        <v>88371058.502639994</v>
      </c>
      <c r="L118" s="895" t="s">
        <v>230</v>
      </c>
      <c r="M118" s="896">
        <f t="shared" ref="M118:T122" si="89">C118</f>
        <v>42547772.200000003</v>
      </c>
      <c r="N118" s="896">
        <f t="shared" si="89"/>
        <v>11956594.4</v>
      </c>
      <c r="O118" s="896">
        <f t="shared" si="89"/>
        <v>32847775.399999995</v>
      </c>
      <c r="P118" s="896">
        <f t="shared" si="89"/>
        <v>405318.60000000003</v>
      </c>
      <c r="Q118" s="896">
        <f t="shared" si="89"/>
        <v>118749.28648</v>
      </c>
      <c r="R118" s="896">
        <f t="shared" si="89"/>
        <v>246108.48816000001</v>
      </c>
      <c r="S118" s="896">
        <f t="shared" si="89"/>
        <v>248740.12800000008</v>
      </c>
      <c r="T118" s="896">
        <f t="shared" si="89"/>
        <v>88371058.502639994</v>
      </c>
    </row>
    <row r="119" spans="2:20" outlineLevel="1" x14ac:dyDescent="0.45">
      <c r="B119" s="895" t="s">
        <v>171</v>
      </c>
      <c r="C119" s="927">
        <f>'P&amp;L by Ctn'!D33*'STT STD - By SKU 150'!C$107</f>
        <v>6854358.5568051925</v>
      </c>
      <c r="D119" s="927">
        <f>'P&amp;L by Ctn'!J33*'STT STD - By SKU 150'!D$107</f>
        <v>1929794.3361599997</v>
      </c>
      <c r="E119" s="927">
        <f>'P&amp;L by Ctn'!P33*'STT STD - By SKU 150'!E$107</f>
        <v>5348473.727859295</v>
      </c>
      <c r="F119" s="927">
        <f>'P&amp;L by Ctn'!V33*'STT STD - By SKU 150'!F$107</f>
        <v>65569.160362314055</v>
      </c>
      <c r="G119" s="927">
        <f>'P&amp;L by Ctn'!AB33*'STT STD - By SKU 150'!G$107</f>
        <v>45928.654320374473</v>
      </c>
      <c r="H119" s="927">
        <f>'P&amp;L by Ctn'!Y33*'STT STD - By SKU 150'!H$107</f>
        <v>87045.495906089986</v>
      </c>
      <c r="I119" s="927">
        <f>'P&amp;L by Ctn'!AE33*'STT STD - By SKU 150'!I$107</f>
        <v>64633.567635000029</v>
      </c>
      <c r="J119" s="927">
        <f>SUM(C119:I119)</f>
        <v>14395803.499048265</v>
      </c>
      <c r="L119" s="895" t="s">
        <v>171</v>
      </c>
      <c r="M119" s="927">
        <f t="shared" si="89"/>
        <v>6854358.5568051925</v>
      </c>
      <c r="N119" s="927">
        <f t="shared" si="89"/>
        <v>1929794.3361599997</v>
      </c>
      <c r="O119" s="927">
        <f t="shared" si="89"/>
        <v>5348473.727859295</v>
      </c>
      <c r="P119" s="927">
        <f t="shared" si="89"/>
        <v>65569.160362314055</v>
      </c>
      <c r="Q119" s="927">
        <f t="shared" si="89"/>
        <v>45928.654320374473</v>
      </c>
      <c r="R119" s="927">
        <f t="shared" si="89"/>
        <v>87045.495906089986</v>
      </c>
      <c r="S119" s="927">
        <f t="shared" si="89"/>
        <v>64633.567635000029</v>
      </c>
      <c r="T119" s="927">
        <f t="shared" si="89"/>
        <v>14395803.499048265</v>
      </c>
    </row>
    <row r="120" spans="2:20" outlineLevel="1" x14ac:dyDescent="0.45">
      <c r="B120" s="895" t="s">
        <v>172</v>
      </c>
      <c r="C120" s="927">
        <f>'P&amp;L by Ctn'!D34*'STT STD - By SKU 150'!C$107</f>
        <v>7828790.0848000012</v>
      </c>
      <c r="D120" s="927">
        <f>'P&amp;L by Ctn'!J34*'STT STD - By SKU 150'!D$107</f>
        <v>2200013.3695999999</v>
      </c>
      <c r="E120" s="927">
        <f>'P&amp;L by Ctn'!P34*'STT STD - By SKU 150'!E$107</f>
        <v>6043990.6735999994</v>
      </c>
      <c r="F120" s="927">
        <f>'P&amp;L by Ctn'!V34*'STT STD - By SKU 150'!F$107</f>
        <v>74578.622400000007</v>
      </c>
      <c r="G120" s="927">
        <f>'P&amp;L by Ctn'!AB34*'STT STD - By SKU 150'!G$107</f>
        <v>59540.1297771748</v>
      </c>
      <c r="H120" s="927">
        <f>'P&amp;L by Ctn'!Y34*'STT STD - By SKU 150'!H$107</f>
        <v>88561.766572727283</v>
      </c>
      <c r="I120" s="927">
        <f>'P&amp;L by Ctn'!AE34*'STT STD - By SKU 150'!I$107</f>
        <v>85223.080432378294</v>
      </c>
      <c r="J120" s="927">
        <f>SUM(C120:I120)</f>
        <v>16380697.72718228</v>
      </c>
      <c r="L120" s="895" t="s">
        <v>172</v>
      </c>
      <c r="M120" s="927">
        <f t="shared" si="89"/>
        <v>7828790.0848000012</v>
      </c>
      <c r="N120" s="927">
        <f t="shared" si="89"/>
        <v>2200013.3695999999</v>
      </c>
      <c r="O120" s="927">
        <f t="shared" si="89"/>
        <v>6043990.6735999994</v>
      </c>
      <c r="P120" s="927">
        <f t="shared" si="89"/>
        <v>74578.622400000007</v>
      </c>
      <c r="Q120" s="927">
        <f t="shared" si="89"/>
        <v>59540.1297771748</v>
      </c>
      <c r="R120" s="927">
        <f t="shared" si="89"/>
        <v>88561.766572727283</v>
      </c>
      <c r="S120" s="927">
        <f t="shared" si="89"/>
        <v>85223.080432378294</v>
      </c>
      <c r="T120" s="927">
        <f t="shared" si="89"/>
        <v>16380697.72718228</v>
      </c>
    </row>
    <row r="121" spans="2:20" outlineLevel="1" x14ac:dyDescent="0.45">
      <c r="B121" s="895" t="s">
        <v>173</v>
      </c>
      <c r="C121" s="927">
        <f>'P&amp;L by Ctn'!D35*'STT STD - By SKU 150'!C$107</f>
        <v>840893.57191395073</v>
      </c>
      <c r="D121" s="927">
        <f>'P&amp;L by Ctn'!J35*'STT STD - By SKU 150'!D$107</f>
        <v>233425.33158181817</v>
      </c>
      <c r="E121" s="927">
        <f>'P&amp;L by Ctn'!P35*'STT STD - By SKU 150'!E$107</f>
        <v>594435.38235070405</v>
      </c>
      <c r="F121" s="927">
        <f>'P&amp;L by Ctn'!V35*'STT STD - By SKU 150'!F$107</f>
        <v>7762.1861640495827</v>
      </c>
      <c r="G121" s="927">
        <f>'P&amp;L by Ctn'!AB35*'STT STD - By SKU 150'!G$107</f>
        <v>12046.273363892829</v>
      </c>
      <c r="H121" s="927">
        <f>'P&amp;L by Ctn'!Y35*'STT STD - By SKU 150'!H$107</f>
        <v>679.25603739753797</v>
      </c>
      <c r="I121" s="927">
        <f>'P&amp;L by Ctn'!AE35*'STT STD - By SKU 150'!I$107</f>
        <v>18011.090815798412</v>
      </c>
      <c r="J121" s="927">
        <f>SUM(C121:I121)</f>
        <v>1707253.0922276117</v>
      </c>
      <c r="L121" s="895" t="s">
        <v>173</v>
      </c>
      <c r="M121" s="927">
        <f t="shared" si="89"/>
        <v>840893.57191395073</v>
      </c>
      <c r="N121" s="927">
        <f t="shared" si="89"/>
        <v>233425.33158181817</v>
      </c>
      <c r="O121" s="927">
        <f t="shared" si="89"/>
        <v>594435.38235070405</v>
      </c>
      <c r="P121" s="927">
        <f t="shared" si="89"/>
        <v>7762.1861640495827</v>
      </c>
      <c r="Q121" s="927">
        <f t="shared" si="89"/>
        <v>12046.273363892829</v>
      </c>
      <c r="R121" s="927">
        <f t="shared" si="89"/>
        <v>679.25603739753797</v>
      </c>
      <c r="S121" s="927">
        <f t="shared" si="89"/>
        <v>18011.090815798412</v>
      </c>
      <c r="T121" s="927">
        <f t="shared" si="89"/>
        <v>1707253.0922276117</v>
      </c>
    </row>
    <row r="122" spans="2:20" outlineLevel="1" x14ac:dyDescent="0.45">
      <c r="B122" s="893" t="s">
        <v>174</v>
      </c>
      <c r="C122" s="894">
        <f t="shared" ref="C122:J122" si="90">IFERROR(C121/C$120,0)</f>
        <v>0.10741041243992336</v>
      </c>
      <c r="D122" s="894">
        <f t="shared" si="90"/>
        <v>0.10610177865612648</v>
      </c>
      <c r="E122" s="894">
        <f t="shared" si="90"/>
        <v>9.8351472471190762E-2</v>
      </c>
      <c r="F122" s="894">
        <f t="shared" si="90"/>
        <v>0.10408057851239663</v>
      </c>
      <c r="G122" s="894">
        <f t="shared" si="90"/>
        <v>0.20232191983751549</v>
      </c>
      <c r="H122" s="894">
        <f t="shared" si="90"/>
        <v>7.6698564593303377E-3</v>
      </c>
      <c r="I122" s="894">
        <f t="shared" si="90"/>
        <v>0.21134052799334824</v>
      </c>
      <c r="J122" s="894">
        <f t="shared" si="90"/>
        <v>0.1042234659757246</v>
      </c>
      <c r="L122" s="893" t="s">
        <v>174</v>
      </c>
      <c r="M122" s="894">
        <f t="shared" si="89"/>
        <v>0.10741041243992336</v>
      </c>
      <c r="N122" s="894">
        <f t="shared" si="89"/>
        <v>0.10610177865612648</v>
      </c>
      <c r="O122" s="894">
        <f t="shared" si="89"/>
        <v>9.8351472471190762E-2</v>
      </c>
      <c r="P122" s="894">
        <f t="shared" si="89"/>
        <v>0.10408057851239663</v>
      </c>
      <c r="Q122" s="894">
        <f t="shared" si="89"/>
        <v>0.20232191983751549</v>
      </c>
      <c r="R122" s="894">
        <f t="shared" si="89"/>
        <v>7.6698564593303377E-3</v>
      </c>
      <c r="S122" s="894">
        <f t="shared" si="89"/>
        <v>0.21134052799334824</v>
      </c>
      <c r="T122" s="894">
        <f t="shared" si="89"/>
        <v>0.1042234659757246</v>
      </c>
    </row>
    <row r="123" spans="2:20" x14ac:dyDescent="0.45">
      <c r="B123" s="1246">
        <v>2022</v>
      </c>
      <c r="C123" s="1247"/>
      <c r="D123" s="1247"/>
      <c r="E123" s="1247"/>
      <c r="F123" s="1247"/>
      <c r="G123" s="1247"/>
      <c r="H123" s="1247"/>
      <c r="I123" s="1247"/>
      <c r="J123" s="1248"/>
      <c r="L123" s="1246">
        <v>2022</v>
      </c>
      <c r="M123" s="1247"/>
      <c r="N123" s="1247"/>
      <c r="O123" s="1247"/>
      <c r="P123" s="1247"/>
      <c r="Q123" s="1247"/>
      <c r="R123" s="1247"/>
      <c r="S123" s="1247"/>
      <c r="T123" s="1248"/>
    </row>
    <row r="124" spans="2:20" x14ac:dyDescent="0.45">
      <c r="B124" s="895" t="s">
        <v>230</v>
      </c>
      <c r="C124" s="896">
        <f>'STT STD - By SKU 150'!C90</f>
        <v>65013688.399999999</v>
      </c>
      <c r="D124" s="896">
        <f>'STT STD - By SKU 150'!D90</f>
        <v>15804197.199999999</v>
      </c>
      <c r="E124" s="896">
        <f>'STT STD - By SKU 150'!E90</f>
        <v>57406248.400000006</v>
      </c>
      <c r="F124" s="896">
        <f>'STT STD - By SKU 150'!F90</f>
        <v>86840</v>
      </c>
      <c r="G124" s="896">
        <f>'STT STD - By SKU 150'!G90</f>
        <v>127476</v>
      </c>
      <c r="H124" s="896">
        <f>'STT STD - By SKU 150'!H90</f>
        <v>394595.64</v>
      </c>
      <c r="I124" s="896">
        <f>'STT STD - By SKU 150'!I90</f>
        <v>163854</v>
      </c>
      <c r="J124" s="896">
        <f>'STT STD - By SKU 150'!J90</f>
        <v>138996899.63999999</v>
      </c>
      <c r="L124" s="895" t="s">
        <v>230</v>
      </c>
      <c r="M124" s="896">
        <f>'STT STD - By SKU 150'!C90</f>
        <v>65013688.399999999</v>
      </c>
      <c r="N124" s="896">
        <f>'STT STD - By SKU 150'!D90</f>
        <v>15804197.199999999</v>
      </c>
      <c r="O124" s="896">
        <f>'STT STD - By SKU 150'!E90</f>
        <v>57406248.400000006</v>
      </c>
      <c r="P124" s="896">
        <f>'STT STD - By SKU 150'!F90</f>
        <v>86840</v>
      </c>
      <c r="Q124" s="896">
        <f>'STT STD - By SKU 150'!G90</f>
        <v>127476</v>
      </c>
      <c r="R124" s="896">
        <f>'STT STD - By SKU 150'!H90</f>
        <v>394595.64</v>
      </c>
      <c r="S124" s="896">
        <f>'STT STD - By SKU 150'!I90</f>
        <v>163854</v>
      </c>
      <c r="T124" s="896">
        <f>'STT STD - By SKU 150'!J90</f>
        <v>138996899.63999999</v>
      </c>
    </row>
    <row r="125" spans="2:20" x14ac:dyDescent="0.45">
      <c r="B125" s="895" t="s">
        <v>171</v>
      </c>
      <c r="C125" s="927" t="e">
        <f t="shared" ref="C125:I127" si="91">SUM(C87,C56,C25)</f>
        <v>#REF!</v>
      </c>
      <c r="D125" s="927" t="e">
        <f t="shared" si="91"/>
        <v>#REF!</v>
      </c>
      <c r="E125" s="927" t="e">
        <f t="shared" si="91"/>
        <v>#REF!</v>
      </c>
      <c r="F125" s="927">
        <f t="shared" si="91"/>
        <v>10449.890085619838</v>
      </c>
      <c r="G125" s="927">
        <f t="shared" si="91"/>
        <v>60830.238144284216</v>
      </c>
      <c r="H125" s="927">
        <f t="shared" si="91"/>
        <v>176729.20425281252</v>
      </c>
      <c r="I125" s="927">
        <f t="shared" si="91"/>
        <v>66468.173552437511</v>
      </c>
      <c r="J125" s="927" t="e">
        <f>SUM(C125:I125)</f>
        <v>#REF!</v>
      </c>
      <c r="L125" s="895" t="s">
        <v>171</v>
      </c>
      <c r="M125" s="927" t="e">
        <f t="shared" ref="M125:T127" si="92">M87+M56+C25</f>
        <v>#REF!</v>
      </c>
      <c r="N125" s="927" t="e">
        <f t="shared" si="92"/>
        <v>#REF!</v>
      </c>
      <c r="O125" s="927" t="e">
        <f t="shared" si="92"/>
        <v>#REF!</v>
      </c>
      <c r="P125" s="927">
        <f t="shared" si="92"/>
        <v>10449.890085619838</v>
      </c>
      <c r="Q125" s="927">
        <f t="shared" si="92"/>
        <v>60830.238144284216</v>
      </c>
      <c r="R125" s="927">
        <f t="shared" si="92"/>
        <v>176729.20425281252</v>
      </c>
      <c r="S125" s="927">
        <f t="shared" si="92"/>
        <v>66468.173552437511</v>
      </c>
      <c r="T125" s="927" t="e">
        <f t="shared" si="92"/>
        <v>#REF!</v>
      </c>
    </row>
    <row r="126" spans="2:20" x14ac:dyDescent="0.45">
      <c r="B126" s="895" t="s">
        <v>172</v>
      </c>
      <c r="C126" s="927" t="e">
        <f t="shared" si="91"/>
        <v>#REF!</v>
      </c>
      <c r="D126" s="927" t="e">
        <f t="shared" si="91"/>
        <v>#REF!</v>
      </c>
      <c r="E126" s="927" t="e">
        <f t="shared" si="91"/>
        <v>#REF!</v>
      </c>
      <c r="F126" s="927">
        <f t="shared" si="91"/>
        <v>11740.395457875489</v>
      </c>
      <c r="G126" s="927">
        <f t="shared" si="91"/>
        <v>73590.399999999994</v>
      </c>
      <c r="H126" s="927">
        <f t="shared" si="91"/>
        <v>181881.81818181818</v>
      </c>
      <c r="I126" s="927">
        <f t="shared" si="91"/>
        <v>79158.577777777798</v>
      </c>
      <c r="J126" s="927" t="e">
        <f>SUM(C126:I126)</f>
        <v>#REF!</v>
      </c>
      <c r="L126" s="895" t="s">
        <v>172</v>
      </c>
      <c r="M126" s="927" t="e">
        <f t="shared" si="92"/>
        <v>#REF!</v>
      </c>
      <c r="N126" s="927" t="e">
        <f t="shared" si="92"/>
        <v>#REF!</v>
      </c>
      <c r="O126" s="927" t="e">
        <f t="shared" si="92"/>
        <v>#REF!</v>
      </c>
      <c r="P126" s="927">
        <f t="shared" si="92"/>
        <v>11740.395457875489</v>
      </c>
      <c r="Q126" s="927">
        <f t="shared" si="92"/>
        <v>73590.399999999994</v>
      </c>
      <c r="R126" s="927">
        <f t="shared" si="92"/>
        <v>181881.81818181818</v>
      </c>
      <c r="S126" s="927">
        <f t="shared" si="92"/>
        <v>79158.577777777798</v>
      </c>
      <c r="T126" s="927" t="e">
        <f t="shared" si="92"/>
        <v>#REF!</v>
      </c>
    </row>
    <row r="127" spans="2:20" x14ac:dyDescent="0.45">
      <c r="B127" s="895" t="s">
        <v>173</v>
      </c>
      <c r="C127" s="927" t="e">
        <f t="shared" si="91"/>
        <v>#REF!</v>
      </c>
      <c r="D127" s="927" t="e">
        <f t="shared" si="91"/>
        <v>#REF!</v>
      </c>
      <c r="E127" s="927" t="e">
        <f t="shared" si="91"/>
        <v>#REF!</v>
      </c>
      <c r="F127" s="927">
        <f t="shared" si="91"/>
        <v>1105.5683699694496</v>
      </c>
      <c r="G127" s="927">
        <f t="shared" si="91"/>
        <v>11200.529916679421</v>
      </c>
      <c r="H127" s="927">
        <f t="shared" si="91"/>
        <v>3372.546753641504</v>
      </c>
      <c r="I127" s="927">
        <f t="shared" si="91"/>
        <v>10854.503841218433</v>
      </c>
      <c r="J127" s="927" t="e">
        <f>SUM(C127:I127)</f>
        <v>#REF!</v>
      </c>
      <c r="L127" s="895" t="s">
        <v>173</v>
      </c>
      <c r="M127" s="927" t="e">
        <f t="shared" si="92"/>
        <v>#REF!</v>
      </c>
      <c r="N127" s="927" t="e">
        <f t="shared" si="92"/>
        <v>#REF!</v>
      </c>
      <c r="O127" s="927" t="e">
        <f t="shared" si="92"/>
        <v>#REF!</v>
      </c>
      <c r="P127" s="927">
        <f t="shared" si="92"/>
        <v>1105.5683699694496</v>
      </c>
      <c r="Q127" s="927">
        <f t="shared" si="92"/>
        <v>11200.529916679421</v>
      </c>
      <c r="R127" s="927">
        <f t="shared" si="92"/>
        <v>3372.546753641504</v>
      </c>
      <c r="S127" s="927">
        <f t="shared" si="92"/>
        <v>10854.503841218433</v>
      </c>
      <c r="T127" s="927" t="e">
        <f t="shared" si="92"/>
        <v>#REF!</v>
      </c>
    </row>
    <row r="128" spans="2:20" x14ac:dyDescent="0.45">
      <c r="B128" s="893" t="s">
        <v>174</v>
      </c>
      <c r="C128" s="894">
        <f t="shared" ref="C128:J128" si="93">IFERROR(C127/C$126,0)</f>
        <v>0</v>
      </c>
      <c r="D128" s="894">
        <f t="shared" si="93"/>
        <v>0</v>
      </c>
      <c r="E128" s="894">
        <f t="shared" si="93"/>
        <v>0</v>
      </c>
      <c r="F128" s="894">
        <f t="shared" si="93"/>
        <v>9.4167898682478476E-2</v>
      </c>
      <c r="G128" s="894">
        <f t="shared" si="93"/>
        <v>0.15220096529818322</v>
      </c>
      <c r="H128" s="894">
        <f t="shared" si="93"/>
        <v>1.8542517263985876E-2</v>
      </c>
      <c r="I128" s="894">
        <f t="shared" si="93"/>
        <v>0.13712353286197645</v>
      </c>
      <c r="J128" s="894">
        <f t="shared" si="93"/>
        <v>0</v>
      </c>
      <c r="L128" s="893" t="s">
        <v>174</v>
      </c>
      <c r="M128" s="894">
        <f t="shared" ref="M128:T128" si="94">IFERROR(M127/M$126,0)</f>
        <v>0</v>
      </c>
      <c r="N128" s="894">
        <f t="shared" si="94"/>
        <v>0</v>
      </c>
      <c r="O128" s="894">
        <f t="shared" si="94"/>
        <v>0</v>
      </c>
      <c r="P128" s="894">
        <f t="shared" si="94"/>
        <v>9.4167898682478476E-2</v>
      </c>
      <c r="Q128" s="894">
        <f t="shared" si="94"/>
        <v>0.15220096529818322</v>
      </c>
      <c r="R128" s="894">
        <f t="shared" si="94"/>
        <v>1.8542517263985876E-2</v>
      </c>
      <c r="S128" s="894">
        <f t="shared" si="94"/>
        <v>0.13712353286197645</v>
      </c>
      <c r="T128" s="894">
        <f t="shared" si="94"/>
        <v>0</v>
      </c>
    </row>
    <row r="129" spans="2:20" x14ac:dyDescent="0.45">
      <c r="B129" s="1243"/>
      <c r="C129" s="1244"/>
      <c r="D129" s="1244"/>
      <c r="E129" s="1244"/>
      <c r="F129" s="1244"/>
      <c r="G129" s="1244"/>
      <c r="H129" s="1244"/>
      <c r="I129" s="1244"/>
      <c r="J129" s="1245"/>
      <c r="L129" s="1243"/>
      <c r="M129" s="1244"/>
      <c r="N129" s="1244"/>
      <c r="O129" s="1244"/>
      <c r="P129" s="1244"/>
      <c r="Q129" s="1244"/>
      <c r="R129" s="1244"/>
      <c r="S129" s="1244"/>
      <c r="T129" s="1245"/>
    </row>
    <row r="130" spans="2:20" x14ac:dyDescent="0.45">
      <c r="B130" s="888" t="s">
        <v>218</v>
      </c>
      <c r="C130" s="928" t="e">
        <f t="shared" ref="C130:J130" si="95">C102-C104</f>
        <v>#REF!</v>
      </c>
      <c r="D130" s="928" t="e">
        <f t="shared" si="95"/>
        <v>#REF!</v>
      </c>
      <c r="E130" s="928" t="e">
        <f t="shared" si="95"/>
        <v>#REF!</v>
      </c>
      <c r="F130" s="928">
        <f t="shared" si="95"/>
        <v>1417.5135135135133</v>
      </c>
      <c r="G130" s="928">
        <f t="shared" si="95"/>
        <v>11415.091891891891</v>
      </c>
      <c r="H130" s="928">
        <f t="shared" si="95"/>
        <v>15350</v>
      </c>
      <c r="I130" s="928">
        <f t="shared" si="95"/>
        <v>4596.1945945946027</v>
      </c>
      <c r="J130" s="928" t="e">
        <f t="shared" si="95"/>
        <v>#REF!</v>
      </c>
      <c r="L130" s="888" t="s">
        <v>218</v>
      </c>
      <c r="M130" s="928" t="e">
        <f t="shared" ref="M130:T130" si="96">M102-M104</f>
        <v>#REF!</v>
      </c>
      <c r="N130" s="928" t="e">
        <f t="shared" si="96"/>
        <v>#REF!</v>
      </c>
      <c r="O130" s="928" t="e">
        <f t="shared" si="96"/>
        <v>#REF!</v>
      </c>
      <c r="P130" s="928">
        <f t="shared" si="96"/>
        <v>1417.5135135135133</v>
      </c>
      <c r="Q130" s="928">
        <f t="shared" si="96"/>
        <v>11415.091891891894</v>
      </c>
      <c r="R130" s="928">
        <f t="shared" si="96"/>
        <v>15350</v>
      </c>
      <c r="S130" s="928">
        <f t="shared" si="96"/>
        <v>4596.194594594599</v>
      </c>
      <c r="T130" s="928" t="e">
        <f t="shared" si="96"/>
        <v>#REF!</v>
      </c>
    </row>
    <row r="131" spans="2:20" x14ac:dyDescent="0.45">
      <c r="B131" s="890" t="s">
        <v>219</v>
      </c>
      <c r="C131" s="891">
        <f t="shared" ref="C131:J131" si="97">IFERROR(C130/C100,0)</f>
        <v>0</v>
      </c>
      <c r="D131" s="891">
        <f t="shared" si="97"/>
        <v>0</v>
      </c>
      <c r="E131" s="891">
        <f t="shared" si="97"/>
        <v>0</v>
      </c>
      <c r="F131" s="891">
        <f t="shared" si="97"/>
        <v>0.15434598361427629</v>
      </c>
      <c r="G131" s="891">
        <f t="shared" si="97"/>
        <v>0.20045045045045043</v>
      </c>
      <c r="H131" s="891">
        <f t="shared" si="97"/>
        <v>9.3023255813953487E-2</v>
      </c>
      <c r="I131" s="891">
        <f t="shared" si="97"/>
        <v>6.3435336162609005E-2</v>
      </c>
      <c r="J131" s="891">
        <f t="shared" si="97"/>
        <v>0</v>
      </c>
      <c r="L131" s="890" t="s">
        <v>219</v>
      </c>
      <c r="M131" s="891">
        <f t="shared" ref="M131:T131" si="98">IFERROR(M130/M100,0)</f>
        <v>0</v>
      </c>
      <c r="N131" s="891">
        <f t="shared" si="98"/>
        <v>0</v>
      </c>
      <c r="O131" s="891">
        <f t="shared" si="98"/>
        <v>0</v>
      </c>
      <c r="P131" s="891">
        <f t="shared" si="98"/>
        <v>0.15434598361427629</v>
      </c>
      <c r="Q131" s="891">
        <f t="shared" si="98"/>
        <v>0.20045045045045051</v>
      </c>
      <c r="R131" s="891">
        <f t="shared" si="98"/>
        <v>9.3023255813953487E-2</v>
      </c>
      <c r="S131" s="891">
        <f t="shared" si="98"/>
        <v>6.3435336162608949E-2</v>
      </c>
      <c r="T131" s="891">
        <f t="shared" si="98"/>
        <v>0</v>
      </c>
    </row>
    <row r="135" spans="2:20" ht="14.65" thickBot="1" x14ac:dyDescent="0.5">
      <c r="G135" t="s">
        <v>231</v>
      </c>
      <c r="H135" s="344">
        <v>3588138</v>
      </c>
    </row>
    <row r="136" spans="2:20" ht="15" thickTop="1" thickBot="1" x14ac:dyDescent="0.5">
      <c r="C136" s="929" t="s">
        <v>232</v>
      </c>
      <c r="D136" s="929" t="s">
        <v>233</v>
      </c>
      <c r="G136" t="s">
        <v>234</v>
      </c>
      <c r="H136" s="344" t="e">
        <f>J104/150*110</f>
        <v>#REF!</v>
      </c>
    </row>
    <row r="137" spans="2:20" ht="15" thickTop="1" thickBot="1" x14ac:dyDescent="0.5">
      <c r="B137" s="929" t="s">
        <v>183</v>
      </c>
      <c r="C137" s="929">
        <v>4</v>
      </c>
      <c r="D137" s="929">
        <v>5</v>
      </c>
      <c r="G137" t="s">
        <v>235</v>
      </c>
      <c r="H137" s="344" t="e">
        <f>H135-H136</f>
        <v>#REF!</v>
      </c>
    </row>
    <row r="138" spans="2:20" ht="14.65" thickTop="1" x14ac:dyDescent="0.45"/>
    <row r="140" spans="2:20" x14ac:dyDescent="0.45">
      <c r="H140" s="344">
        <f>0.1*C97/40</f>
        <v>163932.29999999999</v>
      </c>
    </row>
    <row r="147" spans="8:8" x14ac:dyDescent="0.45">
      <c r="H147" s="483" t="e">
        <f>(H140+J115)/J100</f>
        <v>#REF!</v>
      </c>
    </row>
  </sheetData>
  <mergeCells count="8">
    <mergeCell ref="L129:T129"/>
    <mergeCell ref="B123:J123"/>
    <mergeCell ref="B129:J129"/>
    <mergeCell ref="B24:J24"/>
    <mergeCell ref="B29:J29"/>
    <mergeCell ref="B117:J117"/>
    <mergeCell ref="L117:T117"/>
    <mergeCell ref="L123:T123"/>
  </mergeCells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0421-524B-461E-B72B-CD66A04C19BC}">
  <dimension ref="A2:DE43"/>
  <sheetViews>
    <sheetView showGridLines="0" zoomScaleNormal="100" workbookViewId="0">
      <pane xSplit="2" ySplit="14" topLeftCell="AH15" activePane="bottomRight" state="frozen"/>
      <selection pane="topRight" activeCell="CS62" sqref="CS62"/>
      <selection pane="bottomLeft" activeCell="CS62" sqref="CS62"/>
      <selection pane="bottomRight" activeCell="CS62" sqref="CS62"/>
    </sheetView>
  </sheetViews>
  <sheetFormatPr defaultRowHeight="14.25" outlineLevelRow="1" outlineLevelCol="1" x14ac:dyDescent="0.45"/>
  <cols>
    <col min="2" max="2" width="23" bestFit="1" customWidth="1"/>
    <col min="3" max="3" width="12.86328125" hidden="1" customWidth="1" outlineLevel="1"/>
    <col min="4" max="4" width="11.73046875" hidden="1" customWidth="1" outlineLevel="1"/>
    <col min="5" max="5" width="14.1328125" hidden="1" customWidth="1" outlineLevel="1"/>
    <col min="6" max="6" width="13.3984375" hidden="1" customWidth="1" outlineLevel="1"/>
    <col min="7" max="7" width="16" hidden="1" customWidth="1" outlineLevel="1"/>
    <col min="8" max="8" width="15.1328125" hidden="1" customWidth="1" outlineLevel="1"/>
    <col min="9" max="9" width="14.59765625" hidden="1" customWidth="1" outlineLevel="1"/>
    <col min="10" max="10" width="13.265625" bestFit="1" customWidth="1" collapsed="1"/>
    <col min="11" max="11" width="12.86328125" hidden="1" customWidth="1" outlineLevel="1"/>
    <col min="12" max="12" width="11.73046875" hidden="1" customWidth="1" outlineLevel="1"/>
    <col min="13" max="13" width="14.1328125" hidden="1" customWidth="1" outlineLevel="1"/>
    <col min="14" max="14" width="13.3984375" hidden="1" customWidth="1" outlineLevel="1"/>
    <col min="15" max="15" width="16" hidden="1" customWidth="1" outlineLevel="1"/>
    <col min="16" max="16" width="15.1328125" hidden="1" customWidth="1" outlineLevel="1"/>
    <col min="17" max="17" width="14.59765625" hidden="1" customWidth="1" outlineLevel="1"/>
    <col min="18" max="18" width="12.265625" bestFit="1" customWidth="1" collapsed="1"/>
    <col min="19" max="19" width="12.86328125" hidden="1" customWidth="1" outlineLevel="1"/>
    <col min="20" max="20" width="11.73046875" hidden="1" customWidth="1" outlineLevel="1"/>
    <col min="21" max="21" width="14.1328125" hidden="1" customWidth="1" outlineLevel="1"/>
    <col min="22" max="22" width="13.3984375" hidden="1" customWidth="1" outlineLevel="1"/>
    <col min="23" max="23" width="16" hidden="1" customWidth="1" outlineLevel="1"/>
    <col min="24" max="24" width="15.1328125" hidden="1" customWidth="1" outlineLevel="1"/>
    <col min="25" max="25" width="14.59765625" hidden="1" customWidth="1" outlineLevel="1"/>
    <col min="26" max="26" width="12.265625" bestFit="1" customWidth="1" collapsed="1"/>
    <col min="27" max="27" width="12.86328125" hidden="1" customWidth="1" outlineLevel="1"/>
    <col min="28" max="28" width="11.73046875" hidden="1" customWidth="1" outlineLevel="1"/>
    <col min="29" max="29" width="14.1328125" hidden="1" customWidth="1" outlineLevel="1"/>
    <col min="30" max="30" width="13.3984375" hidden="1" customWidth="1" outlineLevel="1"/>
    <col min="31" max="31" width="16" hidden="1" customWidth="1" outlineLevel="1"/>
    <col min="32" max="32" width="15.1328125" hidden="1" customWidth="1" outlineLevel="1"/>
    <col min="33" max="33" width="14.59765625" hidden="1" customWidth="1" outlineLevel="1"/>
    <col min="34" max="34" width="12.265625" bestFit="1" customWidth="1" collapsed="1"/>
    <col min="35" max="35" width="12.86328125" hidden="1" customWidth="1" outlineLevel="1"/>
    <col min="36" max="36" width="11.73046875" hidden="1" customWidth="1" outlineLevel="1"/>
    <col min="37" max="37" width="14.1328125" hidden="1" customWidth="1" outlineLevel="1"/>
    <col min="38" max="38" width="13.3984375" hidden="1" customWidth="1" outlineLevel="1"/>
    <col min="39" max="39" width="16" hidden="1" customWidth="1" outlineLevel="1"/>
    <col min="40" max="40" width="15.1328125" hidden="1" customWidth="1" outlineLevel="1"/>
    <col min="41" max="41" width="14.59765625" hidden="1" customWidth="1" outlineLevel="1"/>
    <col min="42" max="42" width="11.59765625" bestFit="1" customWidth="1" collapsed="1"/>
    <col min="43" max="43" width="12.86328125" hidden="1" customWidth="1" outlineLevel="1"/>
    <col min="44" max="44" width="11.73046875" hidden="1" customWidth="1" outlineLevel="1"/>
    <col min="45" max="45" width="14.1328125" hidden="1" customWidth="1" outlineLevel="1"/>
    <col min="46" max="46" width="13.3984375" hidden="1" customWidth="1" outlineLevel="1"/>
    <col min="47" max="47" width="16" hidden="1" customWidth="1" outlineLevel="1"/>
    <col min="48" max="48" width="15.1328125" hidden="1" customWidth="1" outlineLevel="1"/>
    <col min="49" max="49" width="14.59765625" hidden="1" customWidth="1" outlineLevel="1"/>
    <col min="50" max="50" width="12.265625" bestFit="1" customWidth="1" collapsed="1"/>
    <col min="51" max="51" width="12.86328125" hidden="1" customWidth="1" outlineLevel="1"/>
    <col min="52" max="52" width="11.73046875" hidden="1" customWidth="1" outlineLevel="1"/>
    <col min="53" max="53" width="14.1328125" hidden="1" customWidth="1" outlineLevel="1"/>
    <col min="54" max="54" width="13.3984375" hidden="1" customWidth="1" outlineLevel="1"/>
    <col min="55" max="55" width="16" hidden="1" customWidth="1" outlineLevel="1"/>
    <col min="56" max="56" width="15.1328125" hidden="1" customWidth="1" outlineLevel="1"/>
    <col min="57" max="57" width="14.59765625" hidden="1" customWidth="1" outlineLevel="1"/>
    <col min="58" max="58" width="12.265625" bestFit="1" customWidth="1" collapsed="1"/>
    <col min="59" max="59" width="12.86328125" hidden="1" customWidth="1" outlineLevel="1"/>
    <col min="60" max="60" width="11.73046875" hidden="1" customWidth="1" outlineLevel="1"/>
    <col min="61" max="61" width="14.1328125" hidden="1" customWidth="1" outlineLevel="1"/>
    <col min="62" max="62" width="13.3984375" hidden="1" customWidth="1" outlineLevel="1"/>
    <col min="63" max="63" width="16" hidden="1" customWidth="1" outlineLevel="1"/>
    <col min="64" max="64" width="15.1328125" hidden="1" customWidth="1" outlineLevel="1"/>
    <col min="65" max="65" width="14.59765625" hidden="1" customWidth="1" outlineLevel="1"/>
    <col min="66" max="66" width="12.265625" bestFit="1" customWidth="1" collapsed="1"/>
    <col min="67" max="67" width="12.86328125" hidden="1" customWidth="1" outlineLevel="1"/>
    <col min="68" max="68" width="11.73046875" hidden="1" customWidth="1" outlineLevel="1"/>
    <col min="69" max="69" width="14.1328125" hidden="1" customWidth="1" outlineLevel="1"/>
    <col min="70" max="70" width="13.3984375" hidden="1" customWidth="1" outlineLevel="1"/>
    <col min="71" max="71" width="16" hidden="1" customWidth="1" outlineLevel="1"/>
    <col min="72" max="72" width="15.1328125" hidden="1" customWidth="1" outlineLevel="1"/>
    <col min="73" max="73" width="14.59765625" hidden="1" customWidth="1" outlineLevel="1"/>
    <col min="74" max="74" width="12.265625" bestFit="1" customWidth="1" collapsed="1"/>
    <col min="75" max="75" width="12.86328125" hidden="1" customWidth="1" outlineLevel="1"/>
    <col min="76" max="76" width="11.73046875" hidden="1" customWidth="1" outlineLevel="1"/>
    <col min="77" max="77" width="14.1328125" hidden="1" customWidth="1" outlineLevel="1"/>
    <col min="78" max="78" width="13.3984375" hidden="1" customWidth="1" outlineLevel="1"/>
    <col min="79" max="79" width="16" hidden="1" customWidth="1" outlineLevel="1"/>
    <col min="80" max="80" width="15.1328125" hidden="1" customWidth="1" outlineLevel="1"/>
    <col min="81" max="81" width="14.59765625" hidden="1" customWidth="1" outlineLevel="1"/>
    <col min="82" max="82" width="11.59765625" bestFit="1" customWidth="1" collapsed="1"/>
    <col min="83" max="83" width="12.86328125" hidden="1" customWidth="1" outlineLevel="1"/>
    <col min="84" max="84" width="11.73046875" hidden="1" customWidth="1" outlineLevel="1"/>
    <col min="85" max="85" width="14.1328125" hidden="1" customWidth="1" outlineLevel="1"/>
    <col min="86" max="86" width="13.3984375" hidden="1" customWidth="1" outlineLevel="1"/>
    <col min="87" max="87" width="16" hidden="1" customWidth="1" outlineLevel="1"/>
    <col min="88" max="88" width="15.1328125" hidden="1" customWidth="1" outlineLevel="1"/>
    <col min="89" max="89" width="14.59765625" hidden="1" customWidth="1" outlineLevel="1"/>
    <col min="90" max="90" width="12.265625" bestFit="1" customWidth="1" collapsed="1"/>
    <col min="91" max="91" width="12.86328125" hidden="1" customWidth="1" outlineLevel="1"/>
    <col min="92" max="92" width="11.73046875" hidden="1" customWidth="1" outlineLevel="1"/>
    <col min="93" max="93" width="14.1328125" hidden="1" customWidth="1" outlineLevel="1"/>
    <col min="94" max="94" width="13.3984375" hidden="1" customWidth="1" outlineLevel="1"/>
    <col min="95" max="95" width="16" hidden="1" customWidth="1" outlineLevel="1"/>
    <col min="96" max="96" width="15.1328125" hidden="1" customWidth="1" outlineLevel="1"/>
    <col min="97" max="97" width="14.59765625" hidden="1" customWidth="1" outlineLevel="1"/>
    <col min="98" max="98" width="12.265625" bestFit="1" customWidth="1" collapsed="1"/>
    <col min="99" max="99" width="12.86328125" hidden="1" customWidth="1" outlineLevel="1"/>
    <col min="100" max="100" width="11.73046875" hidden="1" customWidth="1" outlineLevel="1"/>
    <col min="101" max="101" width="14.1328125" hidden="1" customWidth="1" outlineLevel="1"/>
    <col min="102" max="102" width="13.3984375" hidden="1" customWidth="1" outlineLevel="1"/>
    <col min="103" max="103" width="16" hidden="1" customWidth="1" outlineLevel="1"/>
    <col min="104" max="104" width="15.1328125" hidden="1" customWidth="1" outlineLevel="1"/>
    <col min="105" max="105" width="14.59765625" hidden="1" customWidth="1" outlineLevel="1"/>
    <col min="106" max="106" width="13.265625" bestFit="1" customWidth="1" collapsed="1"/>
    <col min="107" max="107" width="12.59765625" bestFit="1" customWidth="1"/>
  </cols>
  <sheetData>
    <row r="2" spans="2:107" hidden="1" outlineLevel="1" x14ac:dyDescent="0.45">
      <c r="B2" t="s">
        <v>178</v>
      </c>
      <c r="C2">
        <v>3</v>
      </c>
      <c r="D2">
        <v>9</v>
      </c>
      <c r="E2">
        <v>15</v>
      </c>
      <c r="F2">
        <v>21</v>
      </c>
      <c r="G2">
        <v>27</v>
      </c>
      <c r="H2">
        <v>24</v>
      </c>
      <c r="I2">
        <v>30</v>
      </c>
    </row>
    <row r="3" spans="2:107" hidden="1" outlineLevel="1" x14ac:dyDescent="0.45">
      <c r="B3" t="s">
        <v>179</v>
      </c>
      <c r="C3">
        <v>5</v>
      </c>
      <c r="D3">
        <v>11</v>
      </c>
      <c r="E3">
        <v>19</v>
      </c>
      <c r="F3">
        <v>22</v>
      </c>
      <c r="G3">
        <v>28</v>
      </c>
      <c r="H3">
        <v>25</v>
      </c>
      <c r="I3">
        <v>31</v>
      </c>
    </row>
    <row r="4" spans="2:107" hidden="1" outlineLevel="1" x14ac:dyDescent="0.45"/>
    <row r="5" spans="2:107" hidden="1" outlineLevel="1" x14ac:dyDescent="0.45">
      <c r="B5" t="s">
        <v>180</v>
      </c>
      <c r="C5">
        <v>3</v>
      </c>
      <c r="D5">
        <v>9</v>
      </c>
      <c r="E5">
        <v>15</v>
      </c>
      <c r="F5">
        <v>21</v>
      </c>
      <c r="G5">
        <v>27</v>
      </c>
      <c r="H5">
        <v>24</v>
      </c>
      <c r="I5">
        <v>30</v>
      </c>
    </row>
    <row r="6" spans="2:107" hidden="1" outlineLevel="1" x14ac:dyDescent="0.45">
      <c r="B6" t="s">
        <v>181</v>
      </c>
      <c r="C6">
        <v>5</v>
      </c>
      <c r="D6">
        <v>11</v>
      </c>
      <c r="E6">
        <v>19</v>
      </c>
      <c r="F6">
        <v>22</v>
      </c>
      <c r="G6">
        <v>28</v>
      </c>
      <c r="H6">
        <v>25</v>
      </c>
      <c r="I6">
        <v>31</v>
      </c>
    </row>
    <row r="7" spans="2:107" hidden="1" outlineLevel="1" x14ac:dyDescent="0.45">
      <c r="B7" t="s">
        <v>182</v>
      </c>
      <c r="C7">
        <v>5</v>
      </c>
      <c r="D7">
        <v>11</v>
      </c>
      <c r="E7">
        <v>19</v>
      </c>
      <c r="F7">
        <v>22</v>
      </c>
      <c r="G7">
        <v>28</v>
      </c>
      <c r="H7">
        <v>25</v>
      </c>
      <c r="I7">
        <v>31</v>
      </c>
    </row>
    <row r="8" spans="2:107" hidden="1" outlineLevel="1" x14ac:dyDescent="0.45"/>
    <row r="9" spans="2:107" hidden="1" outlineLevel="1" x14ac:dyDescent="0.45">
      <c r="B9" t="s">
        <v>183</v>
      </c>
      <c r="C9">
        <v>1</v>
      </c>
      <c r="K9">
        <v>1</v>
      </c>
      <c r="S9">
        <v>1</v>
      </c>
      <c r="AA9">
        <v>1</v>
      </c>
      <c r="AI9">
        <v>1</v>
      </c>
      <c r="AQ9">
        <v>1</v>
      </c>
      <c r="AY9">
        <v>2</v>
      </c>
      <c r="BG9">
        <v>2</v>
      </c>
      <c r="BO9">
        <v>2</v>
      </c>
      <c r="BW9">
        <v>2</v>
      </c>
      <c r="CE9">
        <v>2</v>
      </c>
      <c r="CM9">
        <v>2</v>
      </c>
    </row>
    <row r="10" spans="2:107" hidden="1" outlineLevel="1" x14ac:dyDescent="0.45">
      <c r="C10">
        <f>IF($C9=1,$C2,$C3)</f>
        <v>3</v>
      </c>
      <c r="D10">
        <f>IF($C9=1,$D2,$D3)</f>
        <v>9</v>
      </c>
      <c r="E10">
        <f>IF($C9=1,$E2,$E3)</f>
        <v>15</v>
      </c>
      <c r="F10">
        <f>IF($C9=1,$F2,$F3)</f>
        <v>21</v>
      </c>
      <c r="G10">
        <f>IF($C9=1,$G2,$G3)</f>
        <v>27</v>
      </c>
      <c r="H10">
        <f>IF($C9=1,$H2,$H3)</f>
        <v>24</v>
      </c>
      <c r="I10">
        <f>IF($I9=1,$I2,$I3)</f>
        <v>31</v>
      </c>
      <c r="K10">
        <f>IF(K9=1,$C2,$C3)</f>
        <v>3</v>
      </c>
      <c r="L10">
        <f>IF(K9=1,$D2,$D3)</f>
        <v>9</v>
      </c>
      <c r="M10">
        <f>IF(K9=1,$E2,$E3)</f>
        <v>15</v>
      </c>
      <c r="N10">
        <f>IF(K9=1,$F2,$F3)</f>
        <v>21</v>
      </c>
      <c r="O10">
        <f>IF(K9=1,$G2,$G3)</f>
        <v>27</v>
      </c>
      <c r="P10">
        <f>IF(K9=1,$H2,$H3)</f>
        <v>24</v>
      </c>
      <c r="Q10">
        <f>IF(K9=1,$I2,$I3)</f>
        <v>30</v>
      </c>
      <c r="S10">
        <f>IF(S9=1,$C2,$C3)</f>
        <v>3</v>
      </c>
      <c r="T10">
        <f>IF(S9=1,$D2,$D3)</f>
        <v>9</v>
      </c>
      <c r="U10">
        <f>IF(S9=1,$E2,$E3)</f>
        <v>15</v>
      </c>
      <c r="V10">
        <f>IF(S9=1,$F2,$F3)</f>
        <v>21</v>
      </c>
      <c r="W10">
        <f>IF(S9=1,$G2,$G3)</f>
        <v>27</v>
      </c>
      <c r="X10">
        <f>IF(S9=1,$H2,$H3)</f>
        <v>24</v>
      </c>
      <c r="Y10">
        <f>IF(S9=1,$I2,$I3)</f>
        <v>30</v>
      </c>
      <c r="AA10">
        <f>IF(AA9=1,$C2,$C3)</f>
        <v>3</v>
      </c>
      <c r="AB10">
        <f>IF(AA9=1,$D2,$D3)</f>
        <v>9</v>
      </c>
      <c r="AC10">
        <f>IF(AA9=1,$E2,$E3)</f>
        <v>15</v>
      </c>
      <c r="AD10">
        <f>IF(AA9=1,$F2,$F3)</f>
        <v>21</v>
      </c>
      <c r="AE10">
        <f>IF(AA9=1,$G2,$G3)</f>
        <v>27</v>
      </c>
      <c r="AF10">
        <f>IF(AA9=1,$H2,$H3)</f>
        <v>24</v>
      </c>
      <c r="AG10">
        <f>IF(AA9=1,$I2,$I3)</f>
        <v>30</v>
      </c>
      <c r="AI10">
        <f>IF(AI9=1,$C2,$C3)</f>
        <v>3</v>
      </c>
      <c r="AJ10">
        <f>IF(AI9=1,$D2,$D3)</f>
        <v>9</v>
      </c>
      <c r="AK10">
        <f>IF(AI9=1,$E2,$E3)</f>
        <v>15</v>
      </c>
      <c r="AL10">
        <f>IF(AI9=1,$F2,$F3)</f>
        <v>21</v>
      </c>
      <c r="AM10">
        <f>IF(AI9=1,$G2,$G3)</f>
        <v>27</v>
      </c>
      <c r="AN10">
        <f>IF(AI9=1,$H2,$H3)</f>
        <v>24</v>
      </c>
      <c r="AO10">
        <f>IF(AI9=1,$I2,$I3)</f>
        <v>30</v>
      </c>
      <c r="AQ10">
        <f>IF(AQ9=1,$C2,$C3)</f>
        <v>3</v>
      </c>
      <c r="AR10">
        <f>IF(AQ9=1,$D2,$D3)</f>
        <v>9</v>
      </c>
      <c r="AS10">
        <f>IF(AQ9=1,$E2,$E3)</f>
        <v>15</v>
      </c>
      <c r="AT10">
        <f>IF(AQ9=1,$F2,$F3)</f>
        <v>21</v>
      </c>
      <c r="AU10">
        <f>IF(AQ9=1,$G2,$G3)</f>
        <v>27</v>
      </c>
      <c r="AV10">
        <f>IF(AQ9=1,$H2,$H3)</f>
        <v>24</v>
      </c>
      <c r="AW10">
        <f>IF(AQ9=1,$I2,$I3)</f>
        <v>30</v>
      </c>
      <c r="AY10">
        <f>IF(AY9=1,$C2,$C3)</f>
        <v>5</v>
      </c>
      <c r="AZ10">
        <f>IF(AY9=1,$D2,$D3)</f>
        <v>11</v>
      </c>
      <c r="BA10">
        <f>IF(AY9=1,$E2,$E3)</f>
        <v>19</v>
      </c>
      <c r="BB10">
        <f>IF(AY9=1,$F2,$F3)</f>
        <v>22</v>
      </c>
      <c r="BC10">
        <f>IF(AY9=1,$G2,$G3)</f>
        <v>28</v>
      </c>
      <c r="BD10">
        <f>IF(AY9=1,$H2,$H3)</f>
        <v>25</v>
      </c>
      <c r="BE10">
        <f>IF(AY9=1,$I2,$I3)</f>
        <v>31</v>
      </c>
      <c r="BG10">
        <f>IF(BG9=1,$C2,$C3)</f>
        <v>5</v>
      </c>
      <c r="BH10">
        <f>IF(BG9=1,$D2,$D3)</f>
        <v>11</v>
      </c>
      <c r="BI10">
        <f>IF(BG9=1,$E2,$E3)</f>
        <v>19</v>
      </c>
      <c r="BJ10">
        <f>IF(BG9=1,$F2,$F3)</f>
        <v>22</v>
      </c>
      <c r="BK10">
        <f>IF(BG9=1,$G2,$G3)</f>
        <v>28</v>
      </c>
      <c r="BL10">
        <f>IF(BG9=1,$H2,$H3)</f>
        <v>25</v>
      </c>
      <c r="BM10">
        <f>IF(BG9=1,$I2,$I3)</f>
        <v>31</v>
      </c>
      <c r="BO10">
        <f>IF(BO9=1,$C2,$C3)</f>
        <v>5</v>
      </c>
      <c r="BP10">
        <f>IF(BO9=1,$D2,$D3)</f>
        <v>11</v>
      </c>
      <c r="BQ10">
        <f>IF(BO9=1,$E2,$E3)</f>
        <v>19</v>
      </c>
      <c r="BR10">
        <f>IF(BO9=1,$F2,$F3)</f>
        <v>22</v>
      </c>
      <c r="BS10">
        <f>IF(BO9=1,$G2,$G3)</f>
        <v>28</v>
      </c>
      <c r="BT10">
        <f>IF(BO9=1,$H2,$H3)</f>
        <v>25</v>
      </c>
      <c r="BU10">
        <f>IF(BO9=1,$I2,$I3)</f>
        <v>31</v>
      </c>
      <c r="BW10">
        <f>IF(BW9=1,$C2,$C3)</f>
        <v>5</v>
      </c>
      <c r="BX10">
        <f>IF(BW9=1,$D2,$D3)</f>
        <v>11</v>
      </c>
      <c r="BY10">
        <f>IF(BW9=1,$E2,$E3)</f>
        <v>19</v>
      </c>
      <c r="BZ10">
        <f>IF(BW9=1,$F2,$F3)</f>
        <v>22</v>
      </c>
      <c r="CA10">
        <f>IF(BW9=1,$G2,$G3)</f>
        <v>28</v>
      </c>
      <c r="CB10">
        <f>IF(BW9=1,$H2,$H3)</f>
        <v>25</v>
      </c>
      <c r="CC10">
        <f>IF(BW9=1,$I2,$I3)</f>
        <v>31</v>
      </c>
      <c r="CE10">
        <f>IF(CE9=1,$C2,$C3)</f>
        <v>5</v>
      </c>
      <c r="CF10">
        <f>IF(CE9=1,$D2,$D3)</f>
        <v>11</v>
      </c>
      <c r="CG10">
        <f>IF(CE9=1,$E2,$E3)</f>
        <v>19</v>
      </c>
      <c r="CH10">
        <f>IF(CE9=1,$F2,$F3)</f>
        <v>22</v>
      </c>
      <c r="CI10">
        <f>IF(CE9=1,$G2,$G3)</f>
        <v>28</v>
      </c>
      <c r="CJ10">
        <f>IF(CE9=1,$H2,$H3)</f>
        <v>25</v>
      </c>
      <c r="CK10">
        <f>IF(CE9=1,$I2,$I3)</f>
        <v>31</v>
      </c>
      <c r="CM10">
        <f>IF(CM9=1,$C2,$C3)</f>
        <v>5</v>
      </c>
      <c r="CN10">
        <f>IF(CM9=1,$D2,$D3)</f>
        <v>11</v>
      </c>
      <c r="CO10">
        <f>IF(CM9=1,$E2,$E3)</f>
        <v>19</v>
      </c>
      <c r="CP10">
        <f>IF(CM9=1,$F2,$F3)</f>
        <v>22</v>
      </c>
      <c r="CQ10">
        <f>IF(CM9=1,$G2,$G3)</f>
        <v>28</v>
      </c>
      <c r="CR10">
        <f>IF(CM9=1,$H2,$H3)</f>
        <v>25</v>
      </c>
      <c r="CS10">
        <f>IF(CM9=1,$I2,$I3)</f>
        <v>31</v>
      </c>
    </row>
    <row r="11" spans="2:107" hidden="1" outlineLevel="1" x14ac:dyDescent="0.45">
      <c r="B11" t="s">
        <v>184</v>
      </c>
      <c r="J11" t="s">
        <v>185</v>
      </c>
      <c r="R11" t="s">
        <v>186</v>
      </c>
      <c r="Z11" t="s">
        <v>186</v>
      </c>
      <c r="AA11" t="str">
        <f>AH11</f>
        <v>Q2</v>
      </c>
      <c r="AH11" t="s">
        <v>187</v>
      </c>
      <c r="AI11" t="str">
        <f>AP11</f>
        <v>Q2</v>
      </c>
      <c r="AP11" t="s">
        <v>187</v>
      </c>
      <c r="AQ11" t="str">
        <f>AX11</f>
        <v>Q2</v>
      </c>
      <c r="AX11" t="s">
        <v>187</v>
      </c>
      <c r="AY11" t="str">
        <f>BF11</f>
        <v>Q4</v>
      </c>
      <c r="BF11" t="s">
        <v>188</v>
      </c>
      <c r="BG11" t="str">
        <f>BN11</f>
        <v>Q4</v>
      </c>
      <c r="BN11" t="s">
        <v>188</v>
      </c>
      <c r="BO11" t="str">
        <f>BV11</f>
        <v>Q4</v>
      </c>
      <c r="BV11" t="s">
        <v>188</v>
      </c>
      <c r="BW11" t="str">
        <f>CD11</f>
        <v>Q4</v>
      </c>
      <c r="CD11" t="s">
        <v>188</v>
      </c>
      <c r="CE11" t="str">
        <f>CL11</f>
        <v>Q4</v>
      </c>
      <c r="CL11" t="s">
        <v>188</v>
      </c>
      <c r="CM11" t="str">
        <f>CT11</f>
        <v>Q4</v>
      </c>
      <c r="CT11" t="s">
        <v>188</v>
      </c>
    </row>
    <row r="12" spans="2:107" hidden="1" outlineLevel="1" x14ac:dyDescent="0.45">
      <c r="J12" s="934">
        <f t="shared" ref="J12" si="0">J24/J16</f>
        <v>0.62652933273622935</v>
      </c>
      <c r="R12" s="934">
        <f t="shared" ref="R12" si="1">R24/R16</f>
        <v>0.39722463153605392</v>
      </c>
      <c r="Z12" s="934">
        <f t="shared" ref="Z12:BF12" si="2">Z24/Z16</f>
        <v>0.38935032755343141</v>
      </c>
      <c r="AA12">
        <f t="shared" si="2"/>
        <v>0.88511290471026527</v>
      </c>
      <c r="AB12">
        <f t="shared" si="2"/>
        <v>0.39456601511220452</v>
      </c>
      <c r="AC12">
        <f t="shared" si="2"/>
        <v>0</v>
      </c>
      <c r="AD12" t="e">
        <f t="shared" si="2"/>
        <v>#DIV/0!</v>
      </c>
      <c r="AE12">
        <f t="shared" si="2"/>
        <v>0</v>
      </c>
      <c r="AF12">
        <f t="shared" si="2"/>
        <v>0</v>
      </c>
      <c r="AG12">
        <f t="shared" si="2"/>
        <v>0</v>
      </c>
      <c r="AH12" s="934">
        <f t="shared" si="2"/>
        <v>0.43563356466916553</v>
      </c>
      <c r="AI12">
        <v>0.6</v>
      </c>
      <c r="AJ12">
        <v>0.15</v>
      </c>
      <c r="AK12">
        <v>0</v>
      </c>
      <c r="AL12">
        <v>0</v>
      </c>
      <c r="AM12">
        <v>0</v>
      </c>
      <c r="AN12">
        <v>0</v>
      </c>
      <c r="AO12">
        <v>0</v>
      </c>
      <c r="AP12" s="934">
        <f t="shared" si="2"/>
        <v>0.28355356694823114</v>
      </c>
      <c r="AQ12" s="934">
        <v>0.6</v>
      </c>
      <c r="AR12" s="934">
        <v>0.15</v>
      </c>
      <c r="AS12" s="934">
        <v>0</v>
      </c>
      <c r="AT12" s="934">
        <v>0</v>
      </c>
      <c r="AU12" s="934">
        <v>0</v>
      </c>
      <c r="AV12" s="934">
        <v>0</v>
      </c>
      <c r="AW12" s="934">
        <v>0</v>
      </c>
      <c r="AX12" s="934">
        <f t="shared" si="2"/>
        <v>0.27917973712182093</v>
      </c>
      <c r="AY12" s="934" t="e">
        <f t="shared" si="2"/>
        <v>#REF!</v>
      </c>
      <c r="AZ12" s="934" t="e">
        <f t="shared" si="2"/>
        <v>#REF!</v>
      </c>
      <c r="BA12" s="934" t="e">
        <f t="shared" si="2"/>
        <v>#REF!</v>
      </c>
      <c r="BB12" s="934" t="e">
        <f t="shared" si="2"/>
        <v>#DIV/0!</v>
      </c>
      <c r="BC12" s="934" t="e">
        <f t="shared" si="2"/>
        <v>#DIV/0!</v>
      </c>
      <c r="BD12" s="934">
        <f t="shared" si="2"/>
        <v>0</v>
      </c>
      <c r="BE12" s="934" t="e">
        <f t="shared" si="2"/>
        <v>#DIV/0!</v>
      </c>
      <c r="BF12" s="934" t="e">
        <f t="shared" si="2"/>
        <v>#REF!</v>
      </c>
      <c r="BN12" s="934" t="e">
        <f t="shared" ref="BN12" si="3">BN24/BN16</f>
        <v>#REF!</v>
      </c>
      <c r="BV12" s="934" t="e">
        <f t="shared" ref="BV12" si="4">BV24/BV16</f>
        <v>#REF!</v>
      </c>
      <c r="CD12" s="934" t="e">
        <f t="shared" ref="CD12" si="5">CD24/CD16</f>
        <v>#REF!</v>
      </c>
      <c r="CL12" s="934" t="e">
        <f t="shared" ref="CL12" si="6">CL24/CL16</f>
        <v>#REF!</v>
      </c>
      <c r="CT12" s="934" t="e">
        <f t="shared" ref="CT12" si="7">CT24/CT16</f>
        <v>#REF!</v>
      </c>
    </row>
    <row r="13" spans="2:107" collapsed="1" x14ac:dyDescent="0.45">
      <c r="B13" s="741"/>
      <c r="C13" s="741" t="s">
        <v>189</v>
      </c>
      <c r="K13" s="741" t="s">
        <v>190</v>
      </c>
      <c r="S13" s="741" t="s">
        <v>191</v>
      </c>
      <c r="AA13" s="741" t="s">
        <v>192</v>
      </c>
      <c r="AI13" s="741" t="s">
        <v>193</v>
      </c>
      <c r="AQ13" s="741" t="s">
        <v>194</v>
      </c>
      <c r="AY13" s="741" t="s">
        <v>195</v>
      </c>
      <c r="BG13" s="741" t="s">
        <v>196</v>
      </c>
      <c r="BO13" s="741" t="s">
        <v>197</v>
      </c>
      <c r="BW13" s="741" t="s">
        <v>198</v>
      </c>
      <c r="CE13" s="741" t="s">
        <v>199</v>
      </c>
      <c r="CM13" s="741" t="s">
        <v>200</v>
      </c>
      <c r="CU13" s="741" t="s">
        <v>201</v>
      </c>
    </row>
    <row r="14" spans="2:107" x14ac:dyDescent="0.45">
      <c r="B14" s="1029" t="s">
        <v>202</v>
      </c>
      <c r="C14" s="332" t="s">
        <v>2</v>
      </c>
      <c r="D14" s="332" t="s">
        <v>3</v>
      </c>
      <c r="E14" s="332" t="s">
        <v>4</v>
      </c>
      <c r="F14" s="332" t="s">
        <v>135</v>
      </c>
      <c r="G14" s="332" t="s">
        <v>154</v>
      </c>
      <c r="H14" s="332" t="s">
        <v>137</v>
      </c>
      <c r="I14" s="332" t="s">
        <v>138</v>
      </c>
      <c r="J14" s="332" t="s">
        <v>203</v>
      </c>
      <c r="K14" s="332" t="s">
        <v>2</v>
      </c>
      <c r="L14" s="332" t="s">
        <v>3</v>
      </c>
      <c r="M14" s="332" t="s">
        <v>4</v>
      </c>
      <c r="N14" s="332" t="s">
        <v>135</v>
      </c>
      <c r="O14" s="332" t="s">
        <v>154</v>
      </c>
      <c r="P14" s="332" t="s">
        <v>137</v>
      </c>
      <c r="Q14" s="332" t="s">
        <v>138</v>
      </c>
      <c r="R14" s="332" t="s">
        <v>204</v>
      </c>
      <c r="S14" s="332" t="s">
        <v>2</v>
      </c>
      <c r="T14" s="332" t="s">
        <v>3</v>
      </c>
      <c r="U14" s="332" t="s">
        <v>4</v>
      </c>
      <c r="V14" s="332" t="s">
        <v>135</v>
      </c>
      <c r="W14" s="332" t="s">
        <v>154</v>
      </c>
      <c r="X14" s="332" t="s">
        <v>137</v>
      </c>
      <c r="Y14" s="332" t="s">
        <v>138</v>
      </c>
      <c r="Z14" s="332" t="s">
        <v>205</v>
      </c>
      <c r="AA14" s="332" t="s">
        <v>2</v>
      </c>
      <c r="AB14" s="332" t="s">
        <v>3</v>
      </c>
      <c r="AC14" s="332" t="s">
        <v>4</v>
      </c>
      <c r="AD14" s="332" t="s">
        <v>135</v>
      </c>
      <c r="AE14" s="332" t="s">
        <v>154</v>
      </c>
      <c r="AF14" s="332" t="s">
        <v>137</v>
      </c>
      <c r="AG14" s="332" t="s">
        <v>138</v>
      </c>
      <c r="AH14" s="332" t="s">
        <v>206</v>
      </c>
      <c r="AI14" s="332" t="s">
        <v>2</v>
      </c>
      <c r="AJ14" s="332" t="s">
        <v>3</v>
      </c>
      <c r="AK14" s="332" t="s">
        <v>4</v>
      </c>
      <c r="AL14" s="332" t="s">
        <v>135</v>
      </c>
      <c r="AM14" s="332" t="s">
        <v>154</v>
      </c>
      <c r="AN14" s="332" t="s">
        <v>137</v>
      </c>
      <c r="AO14" s="332" t="s">
        <v>138</v>
      </c>
      <c r="AP14" s="332" t="s">
        <v>207</v>
      </c>
      <c r="AQ14" s="332" t="s">
        <v>2</v>
      </c>
      <c r="AR14" s="332" t="s">
        <v>3</v>
      </c>
      <c r="AS14" s="332" t="s">
        <v>4</v>
      </c>
      <c r="AT14" s="332" t="s">
        <v>135</v>
      </c>
      <c r="AU14" s="332" t="s">
        <v>154</v>
      </c>
      <c r="AV14" s="332" t="s">
        <v>137</v>
      </c>
      <c r="AW14" s="332" t="s">
        <v>138</v>
      </c>
      <c r="AX14" s="332" t="s">
        <v>208</v>
      </c>
      <c r="AY14" s="332" t="s">
        <v>2</v>
      </c>
      <c r="AZ14" s="332" t="s">
        <v>3</v>
      </c>
      <c r="BA14" s="332" t="s">
        <v>4</v>
      </c>
      <c r="BB14" s="332" t="s">
        <v>135</v>
      </c>
      <c r="BC14" s="332" t="s">
        <v>154</v>
      </c>
      <c r="BD14" s="332" t="s">
        <v>137</v>
      </c>
      <c r="BE14" s="332" t="s">
        <v>138</v>
      </c>
      <c r="BF14" s="332" t="s">
        <v>209</v>
      </c>
      <c r="BG14" s="332" t="s">
        <v>2</v>
      </c>
      <c r="BH14" s="332" t="s">
        <v>3</v>
      </c>
      <c r="BI14" s="332" t="s">
        <v>4</v>
      </c>
      <c r="BJ14" s="332" t="s">
        <v>135</v>
      </c>
      <c r="BK14" s="332" t="s">
        <v>154</v>
      </c>
      <c r="BL14" s="332" t="s">
        <v>137</v>
      </c>
      <c r="BM14" s="332" t="s">
        <v>138</v>
      </c>
      <c r="BN14" s="332" t="s">
        <v>210</v>
      </c>
      <c r="BO14" s="332" t="s">
        <v>2</v>
      </c>
      <c r="BP14" s="332" t="s">
        <v>3</v>
      </c>
      <c r="BQ14" s="332" t="s">
        <v>4</v>
      </c>
      <c r="BR14" s="332" t="s">
        <v>135</v>
      </c>
      <c r="BS14" s="332" t="s">
        <v>154</v>
      </c>
      <c r="BT14" s="332" t="s">
        <v>137</v>
      </c>
      <c r="BU14" s="332" t="s">
        <v>138</v>
      </c>
      <c r="BV14" s="332" t="s">
        <v>211</v>
      </c>
      <c r="BW14" s="332" t="s">
        <v>2</v>
      </c>
      <c r="BX14" s="332" t="s">
        <v>3</v>
      </c>
      <c r="BY14" s="332" t="s">
        <v>4</v>
      </c>
      <c r="BZ14" s="332" t="s">
        <v>135</v>
      </c>
      <c r="CA14" s="332" t="s">
        <v>154</v>
      </c>
      <c r="CB14" s="332" t="s">
        <v>137</v>
      </c>
      <c r="CC14" s="332" t="s">
        <v>138</v>
      </c>
      <c r="CD14" s="332" t="s">
        <v>212</v>
      </c>
      <c r="CE14" s="332" t="s">
        <v>2</v>
      </c>
      <c r="CF14" s="332" t="s">
        <v>3</v>
      </c>
      <c r="CG14" s="332" t="s">
        <v>4</v>
      </c>
      <c r="CH14" s="332" t="s">
        <v>135</v>
      </c>
      <c r="CI14" s="332" t="s">
        <v>154</v>
      </c>
      <c r="CJ14" s="332" t="s">
        <v>137</v>
      </c>
      <c r="CK14" s="332" t="s">
        <v>138</v>
      </c>
      <c r="CL14" s="332" t="s">
        <v>213</v>
      </c>
      <c r="CM14" s="332" t="s">
        <v>2</v>
      </c>
      <c r="CN14" s="332" t="s">
        <v>3</v>
      </c>
      <c r="CO14" s="332" t="s">
        <v>4</v>
      </c>
      <c r="CP14" s="332" t="s">
        <v>135</v>
      </c>
      <c r="CQ14" s="332" t="s">
        <v>154</v>
      </c>
      <c r="CR14" s="332" t="s">
        <v>137</v>
      </c>
      <c r="CS14" s="332" t="s">
        <v>138</v>
      </c>
      <c r="CT14" s="332" t="s">
        <v>214</v>
      </c>
      <c r="CU14" s="1029" t="s">
        <v>2</v>
      </c>
      <c r="CV14" s="1029" t="s">
        <v>3</v>
      </c>
      <c r="CW14" s="1029" t="s">
        <v>4</v>
      </c>
      <c r="CX14" s="1029" t="s">
        <v>135</v>
      </c>
      <c r="CY14" s="1029" t="s">
        <v>154</v>
      </c>
      <c r="CZ14" s="1029" t="s">
        <v>137</v>
      </c>
      <c r="DA14" s="1029" t="s">
        <v>138</v>
      </c>
      <c r="DB14" s="1029" t="s">
        <v>201</v>
      </c>
      <c r="DC14" s="1029" t="s">
        <v>215</v>
      </c>
    </row>
    <row r="15" spans="2:107" x14ac:dyDescent="0.45">
      <c r="B15" s="1034" t="s">
        <v>216</v>
      </c>
      <c r="C15" s="889">
        <f>'STT STD - By SKU &lt;150'!$C5</f>
        <v>10376960</v>
      </c>
      <c r="D15" s="889">
        <f>'STT STD - By SKU &lt;150'!$D5</f>
        <v>2560000</v>
      </c>
      <c r="E15" s="889">
        <f>'STT STD - By SKU &lt;150'!$E5</f>
        <v>5677200</v>
      </c>
      <c r="F15" s="889">
        <f>'STT STD - By SKU &lt;150'!$F5</f>
        <v>0</v>
      </c>
      <c r="G15" s="889">
        <f>'STT STD - By SKU &lt;150'!$G5</f>
        <v>0</v>
      </c>
      <c r="H15" s="889">
        <f>'STT STD - By SKU &lt;150'!$H5</f>
        <v>28800</v>
      </c>
      <c r="I15" s="889">
        <f>'STT STD - By SKU &lt;150'!$I5</f>
        <v>28224</v>
      </c>
      <c r="J15" s="889">
        <f>SUM(C15:I15)</f>
        <v>18671184</v>
      </c>
      <c r="K15" s="889">
        <f>'STT STD - By SKU &lt;150'!$C6</f>
        <v>4985400</v>
      </c>
      <c r="L15" s="889">
        <f>'STT STD - By SKU &lt;150'!$D6</f>
        <v>2080000</v>
      </c>
      <c r="M15" s="889">
        <f>'STT STD - By SKU &lt;150'!$E6</f>
        <v>5968800</v>
      </c>
      <c r="N15" s="889">
        <f>'STT STD - By SKU &lt;150'!$F6</f>
        <v>0</v>
      </c>
      <c r="O15" s="889">
        <f>'STT STD - By SKU &lt;150'!$G6</f>
        <v>13668</v>
      </c>
      <c r="P15" s="889">
        <f>'STT STD - By SKU &lt;150'!$H6</f>
        <v>28500</v>
      </c>
      <c r="Q15" s="889">
        <f>'STT STD - By SKU &lt;150'!$I6</f>
        <v>0</v>
      </c>
      <c r="R15" s="889">
        <f>SUM(K15:Q15)</f>
        <v>13076368</v>
      </c>
      <c r="S15" s="889">
        <f>'STT STD - By SKU &lt;150'!$C7</f>
        <v>7376400</v>
      </c>
      <c r="T15" s="889">
        <f>'STT STD - By SKU &lt;150'!$D7</f>
        <v>1760000</v>
      </c>
      <c r="U15" s="889">
        <f>'STT STD - By SKU &lt;150'!$E7</f>
        <v>8875000</v>
      </c>
      <c r="V15" s="889">
        <f>'STT STD - By SKU &lt;150'!$F7</f>
        <v>64000</v>
      </c>
      <c r="W15" s="889">
        <f>'STT STD - By SKU &lt;150'!$G7</f>
        <v>27900</v>
      </c>
      <c r="X15" s="889">
        <f>'STT STD - By SKU &lt;150'!$H7</f>
        <v>86400</v>
      </c>
      <c r="Y15" s="889">
        <f>'STT STD - By SKU &lt;150'!$I7</f>
        <v>57600</v>
      </c>
      <c r="Z15" s="889">
        <f>SUM(S15:Y15)</f>
        <v>18247300</v>
      </c>
      <c r="AA15" s="889">
        <f>'STT STD - By SKU &lt;150'!$C8</f>
        <v>5699680</v>
      </c>
      <c r="AB15" s="889">
        <f>'STT STD - By SKU &lt;150'!$D8</f>
        <v>1600000</v>
      </c>
      <c r="AC15" s="889">
        <f>'STT STD - By SKU &lt;150'!$E8</f>
        <v>5538000</v>
      </c>
      <c r="AD15" s="889">
        <f>'STT STD - By SKU &lt;150'!$F8</f>
        <v>0</v>
      </c>
      <c r="AE15" s="889">
        <f>'STT STD - By SKU &lt;150'!$G8</f>
        <v>14400</v>
      </c>
      <c r="AF15" s="889">
        <f>'STT STD - By SKU &lt;150'!$H8</f>
        <v>28800</v>
      </c>
      <c r="AG15" s="889">
        <f>'STT STD - By SKU &lt;150'!$I8</f>
        <v>28800</v>
      </c>
      <c r="AH15" s="889">
        <f>SUM(AA15:AG15)</f>
        <v>12909680</v>
      </c>
      <c r="AI15" s="889">
        <f>'STT STD - By SKU &lt;150'!$C9</f>
        <v>3376480</v>
      </c>
      <c r="AJ15" s="889">
        <f>'STT STD - By SKU &lt;150'!$D9</f>
        <v>960000</v>
      </c>
      <c r="AK15" s="889">
        <f>'STT STD - By SKU &lt;150'!$E9</f>
        <v>3124000</v>
      </c>
      <c r="AL15" s="889">
        <f>'STT STD - By SKU &lt;150'!$F9</f>
        <v>0</v>
      </c>
      <c r="AM15" s="889">
        <f>'STT STD - By SKU &lt;150'!$G9</f>
        <v>14400</v>
      </c>
      <c r="AN15" s="889">
        <f>'STT STD - By SKU &lt;150'!$H9</f>
        <v>28800</v>
      </c>
      <c r="AO15" s="889">
        <f>'STT STD - By SKU &lt;150'!$I9</f>
        <v>28800</v>
      </c>
      <c r="AP15" s="889">
        <f>SUM(AI15:AO15)</f>
        <v>7532480</v>
      </c>
      <c r="AQ15" s="889">
        <f>'STT STD - By SKU &lt;150'!$C10</f>
        <v>5343360</v>
      </c>
      <c r="AR15" s="889">
        <f>'STT STD - By SKU &lt;150'!$D10</f>
        <v>1600000</v>
      </c>
      <c r="AS15" s="889">
        <f>'STT STD - By SKU &lt;150'!$E10</f>
        <v>5112000</v>
      </c>
      <c r="AT15" s="889">
        <f>'STT STD - By SKU &lt;150'!$F10</f>
        <v>0</v>
      </c>
      <c r="AU15" s="889">
        <f>'STT STD - By SKU &lt;150'!$G10</f>
        <v>14400</v>
      </c>
      <c r="AV15" s="889">
        <f>'STT STD - By SKU &lt;150'!$H10</f>
        <v>57600</v>
      </c>
      <c r="AW15" s="889">
        <f>'STT STD - By SKU &lt;150'!$I10</f>
        <v>28800</v>
      </c>
      <c r="AX15" s="889">
        <f>SUM(AQ15:AW15)</f>
        <v>12156160</v>
      </c>
      <c r="AY15" s="889">
        <f>'STT STD - By SKU &lt;150'!$C11</f>
        <v>2578752</v>
      </c>
      <c r="AZ15" s="889">
        <f>'STT STD - By SKU &lt;150'!$D11</f>
        <v>710400.00000000012</v>
      </c>
      <c r="BA15" s="889">
        <f>'STT STD - By SKU &lt;150'!$E11</f>
        <v>2443110</v>
      </c>
      <c r="BB15" s="889">
        <f>'STT STD - By SKU &lt;150'!$F11</f>
        <v>0</v>
      </c>
      <c r="BC15" s="889">
        <f>'STT STD - By SKU &lt;150'!$G11</f>
        <v>0</v>
      </c>
      <c r="BD15" s="889">
        <f>'STT STD - By SKU &lt;150'!$H11</f>
        <v>15984.000000000002</v>
      </c>
      <c r="BE15" s="889">
        <f>'STT STD - By SKU &lt;150'!$I11</f>
        <v>0</v>
      </c>
      <c r="BF15" s="889">
        <f>SUM(AY15:BE15)</f>
        <v>5748246</v>
      </c>
      <c r="BG15" s="889">
        <f>'STT STD - By SKU &lt;150'!$C12</f>
        <v>2277897.6</v>
      </c>
      <c r="BH15" s="889">
        <f>'STT STD - By SKU &lt;150'!$D12</f>
        <v>710400.00000000012</v>
      </c>
      <c r="BI15" s="889">
        <f>'STT STD - By SKU &lt;150'!$E12</f>
        <v>2521920</v>
      </c>
      <c r="BJ15" s="889">
        <f>'STT STD - By SKU &lt;150'!$F12</f>
        <v>0</v>
      </c>
      <c r="BK15" s="889">
        <f>'STT STD - By SKU &lt;150'!$G12</f>
        <v>7992.0000000000009</v>
      </c>
      <c r="BL15" s="889">
        <f>'STT STD - By SKU &lt;150'!$H12</f>
        <v>31968.000000000004</v>
      </c>
      <c r="BM15" s="889">
        <f>'STT STD - By SKU &lt;150'!$I12</f>
        <v>15984.000000000002</v>
      </c>
      <c r="BN15" s="889">
        <f>SUM(BG15:BM15)</f>
        <v>5566161.5999999996</v>
      </c>
      <c r="BO15" s="889">
        <f>'STT STD - By SKU &lt;150'!$C13</f>
        <v>2922585.6</v>
      </c>
      <c r="BP15" s="889">
        <f>'STT STD - By SKU &lt;150'!$D13</f>
        <v>976800.00000000012</v>
      </c>
      <c r="BQ15" s="889">
        <f>'STT STD - By SKU &lt;150'!$E13</f>
        <v>3231210.0000000005</v>
      </c>
      <c r="BR15" s="889">
        <f>'STT STD - By SKU &lt;150'!$F13</f>
        <v>0</v>
      </c>
      <c r="BS15" s="889">
        <f>'STT STD - By SKU &lt;150'!$G13</f>
        <v>7992.0000000000009</v>
      </c>
      <c r="BT15" s="889">
        <f>'STT STD - By SKU &lt;150'!$H13</f>
        <v>15984.000000000002</v>
      </c>
      <c r="BU15" s="889">
        <f>'STT STD - By SKU &lt;150'!$I13</f>
        <v>15984.000000000002</v>
      </c>
      <c r="BV15" s="889">
        <f>SUM(BO15:BU15)</f>
        <v>7170555.6000000006</v>
      </c>
      <c r="BW15" s="889">
        <f>'STT STD - By SKU &lt;150'!$C14</f>
        <v>2148960</v>
      </c>
      <c r="BX15" s="889">
        <f>'STT STD - By SKU &lt;150'!$D14</f>
        <v>799200.00000000012</v>
      </c>
      <c r="BY15" s="889">
        <f>'STT STD - By SKU &lt;150'!$E14</f>
        <v>2521920</v>
      </c>
      <c r="BZ15" s="889">
        <f>'STT STD - By SKU &lt;150'!$F14</f>
        <v>0</v>
      </c>
      <c r="CA15" s="889">
        <f>'STT STD - By SKU &lt;150'!$G14</f>
        <v>7992.0000000000009</v>
      </c>
      <c r="CB15" s="889">
        <f>'STT STD - By SKU &lt;150'!$H14</f>
        <v>15984.000000000002</v>
      </c>
      <c r="CC15" s="889">
        <f>'STT STD - By SKU &lt;150'!$I14</f>
        <v>0</v>
      </c>
      <c r="CD15" s="889">
        <f>SUM(BW15:CC15)</f>
        <v>5494056</v>
      </c>
      <c r="CE15" s="889">
        <f>'STT STD - By SKU &lt;150'!$C15</f>
        <v>2277897.6</v>
      </c>
      <c r="CF15" s="889">
        <f>'STT STD - By SKU &lt;150'!$D15</f>
        <v>710400.00000000012</v>
      </c>
      <c r="CG15" s="889">
        <f>'STT STD - By SKU &lt;150'!$E15</f>
        <v>2600730</v>
      </c>
      <c r="CH15" s="889">
        <f>'STT STD - By SKU &lt;150'!$F15</f>
        <v>0</v>
      </c>
      <c r="CI15" s="889">
        <f>'STT STD - By SKU &lt;150'!$G15</f>
        <v>0</v>
      </c>
      <c r="CJ15" s="889">
        <f>'STT STD - By SKU &lt;150'!$H15</f>
        <v>15984.000000000002</v>
      </c>
      <c r="CK15" s="889">
        <f>'STT STD - By SKU &lt;150'!$I15</f>
        <v>15984.000000000002</v>
      </c>
      <c r="CL15" s="889">
        <f>SUM(CE15:CK15)</f>
        <v>5620995.5999999996</v>
      </c>
      <c r="CM15" s="889">
        <f>'STT STD - By SKU &lt;150'!$C16</f>
        <v>3564032.4000000004</v>
      </c>
      <c r="CN15" s="889">
        <f>'STT STD - By SKU &lt;150'!$D16</f>
        <v>976800.00000000012</v>
      </c>
      <c r="CO15" s="889">
        <f>'STT STD - By SKU &lt;150'!$E16</f>
        <v>3231210.0000000005</v>
      </c>
      <c r="CP15" s="889">
        <f>'STT STD - By SKU &lt;150'!$F16</f>
        <v>0</v>
      </c>
      <c r="CQ15" s="889">
        <f>'STT STD - By SKU &lt;150'!$G16</f>
        <v>7992.0000000000009</v>
      </c>
      <c r="CR15" s="889">
        <f>'STT STD - By SKU &lt;150'!$H16</f>
        <v>15984.000000000002</v>
      </c>
      <c r="CS15" s="889">
        <f>'STT STD - By SKU &lt;150'!$I16</f>
        <v>15984.000000000002</v>
      </c>
      <c r="CT15" s="889">
        <f>SUM(CM15:CS15)</f>
        <v>7812002.4000000004</v>
      </c>
      <c r="CU15" s="1030">
        <f t="shared" ref="CU15:DA19" si="8">SUMIFS($C15:$CT15,$C$14:$CT$14,CU$14)</f>
        <v>52928405.200000003</v>
      </c>
      <c r="CV15" s="1030">
        <f t="shared" si="8"/>
        <v>15444000</v>
      </c>
      <c r="CW15" s="1030">
        <f t="shared" si="8"/>
        <v>50845100</v>
      </c>
      <c r="CX15" s="1030">
        <f t="shared" si="8"/>
        <v>64000</v>
      </c>
      <c r="CY15" s="1030">
        <f t="shared" si="8"/>
        <v>116736</v>
      </c>
      <c r="CZ15" s="1030">
        <f t="shared" si="8"/>
        <v>370788</v>
      </c>
      <c r="DA15" s="1030">
        <f t="shared" si="8"/>
        <v>236160</v>
      </c>
      <c r="DB15" s="1030">
        <f>SUM(CU15:DA15)</f>
        <v>120005189.2</v>
      </c>
      <c r="DC15" s="1030">
        <f>SUM(J15,R15)</f>
        <v>31747552</v>
      </c>
    </row>
    <row r="16" spans="2:107" x14ac:dyDescent="0.45">
      <c r="B16" s="1034" t="s">
        <v>217</v>
      </c>
      <c r="C16" s="889">
        <f t="shared" ref="C16:I16" si="9">C15/RIGHT(C14,2)</f>
        <v>259424</v>
      </c>
      <c r="D16" s="889">
        <f t="shared" si="9"/>
        <v>64000</v>
      </c>
      <c r="E16" s="889">
        <f t="shared" si="9"/>
        <v>141930</v>
      </c>
      <c r="F16" s="889">
        <f t="shared" si="9"/>
        <v>0</v>
      </c>
      <c r="G16" s="889">
        <f t="shared" si="9"/>
        <v>0</v>
      </c>
      <c r="H16" s="889">
        <f t="shared" si="9"/>
        <v>2400</v>
      </c>
      <c r="I16" s="889">
        <f t="shared" si="9"/>
        <v>1176</v>
      </c>
      <c r="J16" s="889">
        <f>SUM(C16:I16)</f>
        <v>468930</v>
      </c>
      <c r="K16" s="889">
        <f t="shared" ref="K16:Q16" si="10">K15/RIGHT(K14,2)</f>
        <v>124635</v>
      </c>
      <c r="L16" s="889">
        <f t="shared" si="10"/>
        <v>52000</v>
      </c>
      <c r="M16" s="889">
        <f t="shared" si="10"/>
        <v>149220</v>
      </c>
      <c r="N16" s="889">
        <f t="shared" si="10"/>
        <v>0</v>
      </c>
      <c r="O16" s="889">
        <f t="shared" si="10"/>
        <v>1139</v>
      </c>
      <c r="P16" s="889">
        <f t="shared" si="10"/>
        <v>2375</v>
      </c>
      <c r="Q16" s="889">
        <f t="shared" si="10"/>
        <v>0</v>
      </c>
      <c r="R16" s="889">
        <f>SUM(K16:Q16)</f>
        <v>329369</v>
      </c>
      <c r="S16" s="889">
        <f t="shared" ref="S16:Y16" si="11">S15/RIGHT(S14,2)</f>
        <v>184410</v>
      </c>
      <c r="T16" s="889">
        <f t="shared" si="11"/>
        <v>44000</v>
      </c>
      <c r="U16" s="889">
        <f t="shared" si="11"/>
        <v>221875</v>
      </c>
      <c r="V16" s="889">
        <f t="shared" si="11"/>
        <v>1600</v>
      </c>
      <c r="W16" s="889">
        <f t="shared" si="11"/>
        <v>2325</v>
      </c>
      <c r="X16" s="889">
        <f t="shared" si="11"/>
        <v>7200</v>
      </c>
      <c r="Y16" s="889">
        <f t="shared" si="11"/>
        <v>2400</v>
      </c>
      <c r="Z16" s="889">
        <f>SUM(S16:Y16)</f>
        <v>463810</v>
      </c>
      <c r="AA16" s="889">
        <f t="shared" ref="AA16:AG16" si="12">AA15/RIGHT(AA14,2)</f>
        <v>142492</v>
      </c>
      <c r="AB16" s="889">
        <f t="shared" si="12"/>
        <v>40000</v>
      </c>
      <c r="AC16" s="889">
        <f t="shared" si="12"/>
        <v>138450</v>
      </c>
      <c r="AD16" s="889">
        <f t="shared" si="12"/>
        <v>0</v>
      </c>
      <c r="AE16" s="889">
        <f t="shared" si="12"/>
        <v>1200</v>
      </c>
      <c r="AF16" s="889">
        <f t="shared" si="12"/>
        <v>2400</v>
      </c>
      <c r="AG16" s="889">
        <f t="shared" si="12"/>
        <v>1200</v>
      </c>
      <c r="AH16" s="889">
        <f>SUM(AA16:AG16)</f>
        <v>325742</v>
      </c>
      <c r="AI16" s="889">
        <f t="shared" ref="AI16:AO16" si="13">AI15/RIGHT(AI14,2)</f>
        <v>84412</v>
      </c>
      <c r="AJ16" s="889">
        <f t="shared" si="13"/>
        <v>24000</v>
      </c>
      <c r="AK16" s="889">
        <f t="shared" si="13"/>
        <v>78100</v>
      </c>
      <c r="AL16" s="889">
        <f t="shared" si="13"/>
        <v>0</v>
      </c>
      <c r="AM16" s="889">
        <f t="shared" si="13"/>
        <v>1200</v>
      </c>
      <c r="AN16" s="889">
        <f t="shared" si="13"/>
        <v>2400</v>
      </c>
      <c r="AO16" s="889">
        <f t="shared" si="13"/>
        <v>1200</v>
      </c>
      <c r="AP16" s="889">
        <f>SUM(AI16:AO16)</f>
        <v>191312</v>
      </c>
      <c r="AQ16" s="889">
        <f t="shared" ref="AQ16:AW16" si="14">AQ15/RIGHT(AQ14,2)</f>
        <v>133584</v>
      </c>
      <c r="AR16" s="889">
        <f t="shared" si="14"/>
        <v>40000</v>
      </c>
      <c r="AS16" s="889">
        <f t="shared" si="14"/>
        <v>127800</v>
      </c>
      <c r="AT16" s="889">
        <f t="shared" si="14"/>
        <v>0</v>
      </c>
      <c r="AU16" s="889">
        <f t="shared" si="14"/>
        <v>1200</v>
      </c>
      <c r="AV16" s="889">
        <f t="shared" si="14"/>
        <v>4800</v>
      </c>
      <c r="AW16" s="889">
        <f t="shared" si="14"/>
        <v>1200</v>
      </c>
      <c r="AX16" s="889">
        <f>SUM(AQ16:AW16)</f>
        <v>308584</v>
      </c>
      <c r="AY16" s="889">
        <f t="shared" ref="AY16:BE16" si="15">AY15/RIGHT(AY14,2)</f>
        <v>64468.800000000003</v>
      </c>
      <c r="AZ16" s="889">
        <f t="shared" si="15"/>
        <v>17760.000000000004</v>
      </c>
      <c r="BA16" s="889">
        <f t="shared" si="15"/>
        <v>61077.75</v>
      </c>
      <c r="BB16" s="889">
        <f t="shared" si="15"/>
        <v>0</v>
      </c>
      <c r="BC16" s="889">
        <f t="shared" si="15"/>
        <v>0</v>
      </c>
      <c r="BD16" s="889">
        <f t="shared" si="15"/>
        <v>1332.0000000000002</v>
      </c>
      <c r="BE16" s="889">
        <f t="shared" si="15"/>
        <v>0</v>
      </c>
      <c r="BF16" s="889">
        <f>SUM(AY16:BE16)</f>
        <v>144638.54999999999</v>
      </c>
      <c r="BG16" s="889">
        <f t="shared" ref="BG16:BM16" si="16">BG15/RIGHT(BG14,2)</f>
        <v>56947.44</v>
      </c>
      <c r="BH16" s="889">
        <f t="shared" si="16"/>
        <v>17760.000000000004</v>
      </c>
      <c r="BI16" s="889">
        <f t="shared" si="16"/>
        <v>63048</v>
      </c>
      <c r="BJ16" s="889">
        <f t="shared" si="16"/>
        <v>0</v>
      </c>
      <c r="BK16" s="889">
        <f t="shared" si="16"/>
        <v>666.00000000000011</v>
      </c>
      <c r="BL16" s="889">
        <f t="shared" si="16"/>
        <v>2664.0000000000005</v>
      </c>
      <c r="BM16" s="889">
        <f t="shared" si="16"/>
        <v>666.00000000000011</v>
      </c>
      <c r="BN16" s="889">
        <f>SUM(BG16:BM16)</f>
        <v>141751.44</v>
      </c>
      <c r="BO16" s="889">
        <f t="shared" ref="BO16:BU16" si="17">BO15/RIGHT(BO14,2)</f>
        <v>73064.639999999999</v>
      </c>
      <c r="BP16" s="889">
        <f t="shared" si="17"/>
        <v>24420.000000000004</v>
      </c>
      <c r="BQ16" s="889">
        <f t="shared" si="17"/>
        <v>80780.250000000015</v>
      </c>
      <c r="BR16" s="889">
        <f t="shared" si="17"/>
        <v>0</v>
      </c>
      <c r="BS16" s="889">
        <f t="shared" si="17"/>
        <v>666.00000000000011</v>
      </c>
      <c r="BT16" s="889">
        <f t="shared" si="17"/>
        <v>1332.0000000000002</v>
      </c>
      <c r="BU16" s="889">
        <f t="shared" si="17"/>
        <v>666.00000000000011</v>
      </c>
      <c r="BV16" s="889">
        <f>SUM(BO16:BU16)</f>
        <v>180928.89</v>
      </c>
      <c r="BW16" s="889">
        <f t="shared" ref="BW16:CC16" si="18">BW15/RIGHT(BW14,2)</f>
        <v>53724</v>
      </c>
      <c r="BX16" s="889">
        <f t="shared" si="18"/>
        <v>19980.000000000004</v>
      </c>
      <c r="BY16" s="889">
        <f t="shared" si="18"/>
        <v>63048</v>
      </c>
      <c r="BZ16" s="889">
        <f t="shared" si="18"/>
        <v>0</v>
      </c>
      <c r="CA16" s="889">
        <f t="shared" si="18"/>
        <v>666.00000000000011</v>
      </c>
      <c r="CB16" s="889">
        <f t="shared" si="18"/>
        <v>1332.0000000000002</v>
      </c>
      <c r="CC16" s="889">
        <f t="shared" si="18"/>
        <v>0</v>
      </c>
      <c r="CD16" s="889">
        <f>SUM(BW16:CC16)</f>
        <v>138750</v>
      </c>
      <c r="CE16" s="889">
        <f t="shared" ref="CE16:CK16" si="19">CE15/RIGHT(CE14,2)</f>
        <v>56947.44</v>
      </c>
      <c r="CF16" s="889">
        <f t="shared" si="19"/>
        <v>17760.000000000004</v>
      </c>
      <c r="CG16" s="889">
        <f t="shared" si="19"/>
        <v>65018.25</v>
      </c>
      <c r="CH16" s="889">
        <f t="shared" si="19"/>
        <v>0</v>
      </c>
      <c r="CI16" s="889">
        <f t="shared" si="19"/>
        <v>0</v>
      </c>
      <c r="CJ16" s="889">
        <f t="shared" si="19"/>
        <v>1332.0000000000002</v>
      </c>
      <c r="CK16" s="889">
        <f t="shared" si="19"/>
        <v>666.00000000000011</v>
      </c>
      <c r="CL16" s="889">
        <f>SUM(CE16:CK16)</f>
        <v>141723.69</v>
      </c>
      <c r="CM16" s="889">
        <f t="shared" ref="CM16:CS16" si="20">CM15/RIGHT(CM14,2)</f>
        <v>89100.810000000012</v>
      </c>
      <c r="CN16" s="889">
        <f t="shared" si="20"/>
        <v>24420.000000000004</v>
      </c>
      <c r="CO16" s="889">
        <f t="shared" si="20"/>
        <v>80780.250000000015</v>
      </c>
      <c r="CP16" s="889">
        <f t="shared" si="20"/>
        <v>0</v>
      </c>
      <c r="CQ16" s="889">
        <f t="shared" si="20"/>
        <v>666.00000000000011</v>
      </c>
      <c r="CR16" s="889">
        <f t="shared" si="20"/>
        <v>1332.0000000000002</v>
      </c>
      <c r="CS16" s="889">
        <f t="shared" si="20"/>
        <v>666.00000000000011</v>
      </c>
      <c r="CT16" s="889">
        <f>SUM(CM16:CS16)</f>
        <v>196965.06000000003</v>
      </c>
      <c r="CU16" s="1030">
        <f t="shared" si="8"/>
        <v>1323210.1299999999</v>
      </c>
      <c r="CV16" s="1030">
        <f t="shared" si="8"/>
        <v>386100</v>
      </c>
      <c r="CW16" s="1030">
        <f t="shared" si="8"/>
        <v>1271127.5</v>
      </c>
      <c r="CX16" s="1030">
        <f t="shared" si="8"/>
        <v>1600</v>
      </c>
      <c r="CY16" s="1030">
        <f t="shared" si="8"/>
        <v>9728</v>
      </c>
      <c r="CZ16" s="1030">
        <f t="shared" si="8"/>
        <v>30899</v>
      </c>
      <c r="DA16" s="1030">
        <f t="shared" si="8"/>
        <v>9840</v>
      </c>
      <c r="DB16" s="1030">
        <f>SUM(CU16:DA16)</f>
        <v>3032504.63</v>
      </c>
      <c r="DC16" s="1030">
        <f>SUM(J16,R16)</f>
        <v>798299</v>
      </c>
    </row>
    <row r="17" spans="1:109" x14ac:dyDescent="0.45">
      <c r="A17">
        <v>5</v>
      </c>
      <c r="B17" s="1034" t="s">
        <v>12</v>
      </c>
      <c r="C17" s="889">
        <f>C$16*HLOOKUP(C$10,'P&amp;L by Ctn'!$C$8:$AG$31,'P&amp;L TOTAL &lt;150'!$A17,0)</f>
        <v>1567690.5264596785</v>
      </c>
      <c r="D17" s="889">
        <f>D$16*HLOOKUP(D$10,'P&amp;L by Ctn'!$C$8:$AG$31,'P&amp;L TOTAL &lt;150'!$A17,0)</f>
        <v>386402.02122068958</v>
      </c>
      <c r="E17" s="889">
        <f>E$16*HLOOKUP(E$10,'P&amp;L by Ctn'!$C$8:$AG$31,'P&amp;L TOTAL &lt;150'!$A17,0)</f>
        <v>857909.3025903363</v>
      </c>
      <c r="F17" s="889">
        <f>F$16*HLOOKUP(F$10,'P&amp;L by Ctn'!$C$8:$AG$31,'P&amp;L TOTAL &lt;150'!$A17,0)</f>
        <v>0</v>
      </c>
      <c r="G17" s="889">
        <f>G$16*HLOOKUP(G$10,'P&amp;L by Ctn'!$C$8:$AG$31,'P&amp;L TOTAL &lt;150'!$A17,0)</f>
        <v>0</v>
      </c>
      <c r="H17" s="889">
        <f>H$16*HLOOKUP(H$10,'P&amp;L by Ctn'!$C$8:$AG$31,'P&amp;L TOTAL &lt;150'!$A17,0)</f>
        <v>10512</v>
      </c>
      <c r="I17" s="889">
        <f>I$16*HLOOKUP(I$10,'P&amp;L by Ctn'!$C$8:$AG$31,'P&amp;L TOTAL &lt;150'!$A17,0)</f>
        <v>7705.1740500000005</v>
      </c>
      <c r="J17" s="889">
        <f>SUM(C17:I17)</f>
        <v>2830219.0243207044</v>
      </c>
      <c r="K17" s="889">
        <f>K$16*HLOOKUP(K$10,'P&amp;L by Ctn'!$C$8:$AG$31,'P&amp;L TOTAL &lt;150'!$A17,0)</f>
        <v>753165.12259969022</v>
      </c>
      <c r="L17" s="889">
        <f>L$16*HLOOKUP(L$10,'P&amp;L by Ctn'!$C$8:$AG$31,'P&amp;L TOTAL &lt;150'!$A17,0)</f>
        <v>313951.64224181027</v>
      </c>
      <c r="M17" s="889">
        <f>M$16*HLOOKUP(M$10,'P&amp;L by Ctn'!$C$8:$AG$31,'P&amp;L TOTAL &lt;150'!$A17,0)</f>
        <v>901974.39676269982</v>
      </c>
      <c r="N17" s="889">
        <f>N$16*HLOOKUP(N$10,'P&amp;L by Ctn'!$C$8:$AG$31,'P&amp;L TOTAL &lt;150'!$A17,0)</f>
        <v>0</v>
      </c>
      <c r="O17" s="889">
        <f>O$16*HLOOKUP(O$10,'P&amp;L by Ctn'!$C$8:$AG$31,'P&amp;L TOTAL &lt;150'!$A17,0)</f>
        <v>5379.4001619433202</v>
      </c>
      <c r="P17" s="889">
        <f>P$16*HLOOKUP(P$10,'P&amp;L by Ctn'!$C$8:$AG$31,'P&amp;L TOTAL &lt;150'!$A17,0)</f>
        <v>10402.5</v>
      </c>
      <c r="Q17" s="889">
        <f>Q$16*HLOOKUP(Q$10,'P&amp;L by Ctn'!$C$8:$AG$31,'P&amp;L TOTAL &lt;150'!$A17,0)</f>
        <v>0</v>
      </c>
      <c r="R17" s="889">
        <f t="shared" ref="R17:R19" si="21">SUM(K17:Q17)</f>
        <v>1984873.0617661437</v>
      </c>
      <c r="S17" s="889">
        <f>S$16*HLOOKUP(S$10,'P&amp;L by Ctn'!$C$8:$AG$31,'P&amp;L TOTAL &lt;150'!$A17,0)</f>
        <v>1114383.4417186896</v>
      </c>
      <c r="T17" s="889">
        <f>T$16*HLOOKUP(T$10,'P&amp;L by Ctn'!$C$8:$AG$31,'P&amp;L TOTAL &lt;150'!$A17,0)</f>
        <v>265651.38958922407</v>
      </c>
      <c r="U17" s="889">
        <f>U$16*HLOOKUP(U$10,'P&amp;L by Ctn'!$C$8:$AG$31,'P&amp;L TOTAL &lt;150'!$A17,0)</f>
        <v>1341144.4128248494</v>
      </c>
      <c r="V17" s="889">
        <f>V$16*HLOOKUP(V$10,'P&amp;L by Ctn'!$C$8:$AG$31,'P&amp;L TOTAL &lt;150'!$A17,0)</f>
        <v>9679.8677685950424</v>
      </c>
      <c r="W17" s="889">
        <f>W$16*HLOOKUP(W$10,'P&amp;L by Ctn'!$C$8:$AG$31,'P&amp;L TOTAL &lt;150'!$A17,0)</f>
        <v>10980.777327935224</v>
      </c>
      <c r="X17" s="889">
        <f>X$16*HLOOKUP(X$10,'P&amp;L by Ctn'!$C$8:$AG$31,'P&amp;L TOTAL &lt;150'!$A17,0)</f>
        <v>31536</v>
      </c>
      <c r="Y17" s="889">
        <f>Y$16*HLOOKUP(Y$10,'P&amp;L by Ctn'!$C$8:$AG$31,'P&amp;L TOTAL &lt;150'!$A17,0)</f>
        <v>15720</v>
      </c>
      <c r="Z17" s="889">
        <f t="shared" ref="Z17:Z19" si="22">SUM(S17:Y17)</f>
        <v>2789095.889229293</v>
      </c>
      <c r="AA17" s="889">
        <f>AA$16*HLOOKUP(AA$10,'P&amp;L by Ctn'!$C$8:$AG$31,'P&amp;L TOTAL &lt;150'!$A17,0)</f>
        <v>861074.37436895783</v>
      </c>
      <c r="AB17" s="889">
        <f>AB$16*HLOOKUP(AB$10,'P&amp;L by Ctn'!$C$8:$AG$31,'P&amp;L TOTAL &lt;150'!$A17,0)</f>
        <v>241501.26326293097</v>
      </c>
      <c r="AC17" s="889">
        <f>AC$16*HLOOKUP(AC$10,'P&amp;L by Ctn'!$C$8:$AG$31,'P&amp;L TOTAL &lt;150'!$A17,0)</f>
        <v>836874.113602706</v>
      </c>
      <c r="AD17" s="889">
        <f>AD$16*HLOOKUP(AD$10,'P&amp;L by Ctn'!$C$8:$AG$31,'P&amp;L TOTAL &lt;150'!$A17,0)</f>
        <v>0</v>
      </c>
      <c r="AE17" s="889">
        <f>AE$16*HLOOKUP(AE$10,'P&amp;L by Ctn'!$C$8:$AG$31,'P&amp;L TOTAL &lt;150'!$A17,0)</f>
        <v>5667.497975708503</v>
      </c>
      <c r="AF17" s="889">
        <f>AF$16*HLOOKUP(AF$10,'P&amp;L by Ctn'!$C$8:$AG$31,'P&amp;L TOTAL &lt;150'!$A17,0)</f>
        <v>10512</v>
      </c>
      <c r="AG17" s="889">
        <f>AG$16*HLOOKUP(AG$10,'P&amp;L by Ctn'!$C$8:$AG$31,'P&amp;L TOTAL &lt;150'!$A17,0)</f>
        <v>7860</v>
      </c>
      <c r="AH17" s="889">
        <f t="shared" ref="AH17:AH19" si="23">SUM(AA17:AG17)</f>
        <v>1963489.2492103032</v>
      </c>
      <c r="AI17" s="889">
        <f>AI$16*HLOOKUP(AI$10,'P&amp;L by Ctn'!$C$8:$AG$31,'P&amp;L TOTAL &lt;150'!$A17,0)</f>
        <v>510098.88337052235</v>
      </c>
      <c r="AJ17" s="889">
        <f>AJ$16*HLOOKUP(AJ$10,'P&amp;L by Ctn'!$C$8:$AG$31,'P&amp;L TOTAL &lt;150'!$A17,0)</f>
        <v>144900.75795775859</v>
      </c>
      <c r="AK17" s="889">
        <f>AK$16*HLOOKUP(AK$10,'P&amp;L by Ctn'!$C$8:$AG$31,'P&amp;L TOTAL &lt;150'!$A17,0)</f>
        <v>472082.83331434696</v>
      </c>
      <c r="AL17" s="889">
        <f>AL$16*HLOOKUP(AL$10,'P&amp;L by Ctn'!$C$8:$AG$31,'P&amp;L TOTAL &lt;150'!$A17,0)</f>
        <v>0</v>
      </c>
      <c r="AM17" s="889">
        <f>AM$16*HLOOKUP(AM$10,'P&amp;L by Ctn'!$C$8:$AG$31,'P&amp;L TOTAL &lt;150'!$A17,0)</f>
        <v>5667.497975708503</v>
      </c>
      <c r="AN17" s="889">
        <f>AN$16*HLOOKUP(AN$10,'P&amp;L by Ctn'!$C$8:$AG$31,'P&amp;L TOTAL &lt;150'!$A17,0)</f>
        <v>10512</v>
      </c>
      <c r="AO17" s="889">
        <f>AO$16*HLOOKUP(AO$10,'P&amp;L by Ctn'!$C$8:$AG$31,'P&amp;L TOTAL &lt;150'!$A17,0)</f>
        <v>7860</v>
      </c>
      <c r="AP17" s="889">
        <f t="shared" ref="AP17:AP19" si="24">SUM(AI17:AO17)</f>
        <v>1151121.9726183363</v>
      </c>
      <c r="AQ17" s="889">
        <f>AQ$16*HLOOKUP(AQ$10,'P&amp;L by Ctn'!$C$8:$AG$31,'P&amp;L TOTAL &lt;150'!$A17,0)</f>
        <v>807243.62929640163</v>
      </c>
      <c r="AR17" s="889">
        <f>AR$16*HLOOKUP(AR$10,'P&amp;L by Ctn'!$C$8:$AG$31,'P&amp;L TOTAL &lt;150'!$A17,0)</f>
        <v>241501.26326293097</v>
      </c>
      <c r="AS17" s="889">
        <f>AS$16*HLOOKUP(AS$10,'P&amp;L by Ctn'!$C$8:$AG$31,'P&amp;L TOTAL &lt;150'!$A17,0)</f>
        <v>772499.18178711319</v>
      </c>
      <c r="AT17" s="889">
        <f>AT$16*HLOOKUP(AT$10,'P&amp;L by Ctn'!$C$8:$AG$31,'P&amp;L TOTAL &lt;150'!$A17,0)</f>
        <v>0</v>
      </c>
      <c r="AU17" s="889">
        <f>AU$16*HLOOKUP(AU$10,'P&amp;L by Ctn'!$C$8:$AG$31,'P&amp;L TOTAL &lt;150'!$A17,0)</f>
        <v>5667.497975708503</v>
      </c>
      <c r="AV17" s="889">
        <f>AV$16*HLOOKUP(AV$10,'P&amp;L by Ctn'!$C$8:$AG$31,'P&amp;L TOTAL &lt;150'!$A17,0)</f>
        <v>21024</v>
      </c>
      <c r="AW17" s="889">
        <f>AW$16*HLOOKUP(AW$10,'P&amp;L by Ctn'!$C$8:$AG$31,'P&amp;L TOTAL &lt;150'!$A17,0)</f>
        <v>7860</v>
      </c>
      <c r="AX17" s="889">
        <f t="shared" ref="AX17:AX19" si="25">SUM(AQ17:AW17)</f>
        <v>1855795.5723221542</v>
      </c>
      <c r="AY17" s="889" t="e">
        <f>AY$16*HLOOKUP(AY$10,'P&amp;L by Ctn'!$C$8:$AG$31,'P&amp;L TOTAL &lt;150'!$A17,0)</f>
        <v>#REF!</v>
      </c>
      <c r="AZ17" s="889" t="e">
        <f>AZ$16*HLOOKUP(AZ$10,'P&amp;L by Ctn'!$C$8:$AG$31,'P&amp;L TOTAL &lt;150'!$A17,0)</f>
        <v>#REF!</v>
      </c>
      <c r="BA17" s="889" t="e">
        <f>BA$16*HLOOKUP(BA$10,'P&amp;L by Ctn'!$C$8:$AG$31,'P&amp;L TOTAL &lt;150'!$A17,0)</f>
        <v>#REF!</v>
      </c>
      <c r="BB17" s="889">
        <f>BB$16*HLOOKUP(BB$10,'P&amp;L by Ctn'!$C$8:$AG$31,'P&amp;L TOTAL &lt;150'!$A17,0)</f>
        <v>0</v>
      </c>
      <c r="BC17" s="889">
        <f>BC$16*HLOOKUP(BC$10,'P&amp;L by Ctn'!$C$8:$AG$31,'P&amp;L TOTAL &lt;150'!$A17,0)</f>
        <v>0</v>
      </c>
      <c r="BD17" s="889">
        <f>BD$16*HLOOKUP(BD$10,'P&amp;L by Ctn'!$C$8:$AG$31,'P&amp;L TOTAL &lt;150'!$A17,0)</f>
        <v>6063.6003300000011</v>
      </c>
      <c r="BE17" s="889">
        <f>BE$16*HLOOKUP(BE$10,'P&amp;L by Ctn'!$C$8:$AG$31,'P&amp;L TOTAL &lt;150'!$A17,0)</f>
        <v>0</v>
      </c>
      <c r="BF17" s="889" t="e">
        <f t="shared" ref="BF17:BF19" si="26">SUM(AY17:BE17)</f>
        <v>#REF!</v>
      </c>
      <c r="BG17" s="889" t="e">
        <f>BG$16*HLOOKUP(BG$10,'P&amp;L by Ctn'!$C$8:$AG$31,'P&amp;L TOTAL &lt;150'!$A17,0)</f>
        <v>#REF!</v>
      </c>
      <c r="BH17" s="889" t="e">
        <f>BH$16*HLOOKUP(BH$10,'P&amp;L by Ctn'!$C$8:$AG$31,'P&amp;L TOTAL &lt;150'!$A17,0)</f>
        <v>#REF!</v>
      </c>
      <c r="BI17" s="889" t="e">
        <f>BI$16*HLOOKUP(BI$10,'P&amp;L by Ctn'!$C$8:$AG$31,'P&amp;L TOTAL &lt;150'!$A17,0)</f>
        <v>#REF!</v>
      </c>
      <c r="BJ17" s="889">
        <f>BJ$16*HLOOKUP(BJ$10,'P&amp;L by Ctn'!$C$8:$AG$31,'P&amp;L TOTAL &lt;150'!$A17,0)</f>
        <v>0</v>
      </c>
      <c r="BK17" s="889">
        <f>BK$16*HLOOKUP(BK$10,'P&amp;L by Ctn'!$C$8:$AG$31,'P&amp;L TOTAL &lt;150'!$A17,0)</f>
        <v>3363.3990675000005</v>
      </c>
      <c r="BL17" s="889">
        <f>BL$16*HLOOKUP(BL$10,'P&amp;L by Ctn'!$C$8:$AG$31,'P&amp;L TOTAL &lt;150'!$A17,0)</f>
        <v>12127.200660000002</v>
      </c>
      <c r="BM17" s="889">
        <f>BM$16*HLOOKUP(BM$10,'P&amp;L by Ctn'!$C$8:$AG$31,'P&amp;L TOTAL &lt;150'!$A17,0)</f>
        <v>4363.6444875000007</v>
      </c>
      <c r="BN17" s="889" t="e">
        <f t="shared" ref="BN17:BN19" si="27">SUM(BG17:BM17)</f>
        <v>#REF!</v>
      </c>
      <c r="BO17" s="889" t="e">
        <f>BO$16*HLOOKUP(BO$10,'P&amp;L by Ctn'!$C$8:$AG$31,'P&amp;L TOTAL &lt;150'!$A17,0)</f>
        <v>#REF!</v>
      </c>
      <c r="BP17" s="889" t="e">
        <f>BP$16*HLOOKUP(BP$10,'P&amp;L by Ctn'!$C$8:$AG$31,'P&amp;L TOTAL &lt;150'!$A17,0)</f>
        <v>#REF!</v>
      </c>
      <c r="BQ17" s="889" t="e">
        <f>BQ$16*HLOOKUP(BQ$10,'P&amp;L by Ctn'!$C$8:$AG$31,'P&amp;L TOTAL &lt;150'!$A17,0)</f>
        <v>#REF!</v>
      </c>
      <c r="BR17" s="889">
        <f>BR$16*HLOOKUP(BR$10,'P&amp;L by Ctn'!$C$8:$AG$31,'P&amp;L TOTAL &lt;150'!$A17,0)</f>
        <v>0</v>
      </c>
      <c r="BS17" s="889">
        <f>BS$16*HLOOKUP(BS$10,'P&amp;L by Ctn'!$C$8:$AG$31,'P&amp;L TOTAL &lt;150'!$A17,0)</f>
        <v>3363.3990675000005</v>
      </c>
      <c r="BT17" s="889">
        <f>BT$16*HLOOKUP(BT$10,'P&amp;L by Ctn'!$C$8:$AG$31,'P&amp;L TOTAL &lt;150'!$A17,0)</f>
        <v>6063.6003300000011</v>
      </c>
      <c r="BU17" s="889">
        <f>BU$16*HLOOKUP(BU$10,'P&amp;L by Ctn'!$C$8:$AG$31,'P&amp;L TOTAL &lt;150'!$A17,0)</f>
        <v>4363.6444875000007</v>
      </c>
      <c r="BV17" s="889" t="e">
        <f t="shared" ref="BV17:BV19" si="28">SUM(BO17:BU17)</f>
        <v>#REF!</v>
      </c>
      <c r="BW17" s="889" t="e">
        <f>BW$16*HLOOKUP(BW$10,'P&amp;L by Ctn'!$C$8:$AG$31,'P&amp;L TOTAL &lt;150'!$A17,0)</f>
        <v>#REF!</v>
      </c>
      <c r="BX17" s="889" t="e">
        <f>BX$16*HLOOKUP(BX$10,'P&amp;L by Ctn'!$C$8:$AG$31,'P&amp;L TOTAL &lt;150'!$A17,0)</f>
        <v>#REF!</v>
      </c>
      <c r="BY17" s="889" t="e">
        <f>BY$16*HLOOKUP(BY$10,'P&amp;L by Ctn'!$C$8:$AG$31,'P&amp;L TOTAL &lt;150'!$A17,0)</f>
        <v>#REF!</v>
      </c>
      <c r="BZ17" s="889">
        <f>BZ$16*HLOOKUP(BZ$10,'P&amp;L by Ctn'!$C$8:$AG$31,'P&amp;L TOTAL &lt;150'!$A17,0)</f>
        <v>0</v>
      </c>
      <c r="CA17" s="889">
        <f>CA$16*HLOOKUP(CA$10,'P&amp;L by Ctn'!$C$8:$AG$31,'P&amp;L TOTAL &lt;150'!$A17,0)</f>
        <v>3363.3990675000005</v>
      </c>
      <c r="CB17" s="889">
        <f>CB$16*HLOOKUP(CB$10,'P&amp;L by Ctn'!$C$8:$AG$31,'P&amp;L TOTAL &lt;150'!$A17,0)</f>
        <v>6063.6003300000011</v>
      </c>
      <c r="CC17" s="889">
        <f>CC$16*HLOOKUP(CC$10,'P&amp;L by Ctn'!$C$8:$AG$31,'P&amp;L TOTAL &lt;150'!$A17,0)</f>
        <v>0</v>
      </c>
      <c r="CD17" s="889" t="e">
        <f t="shared" ref="CD17:CD19" si="29">SUM(BW17:CC17)</f>
        <v>#REF!</v>
      </c>
      <c r="CE17" s="889" t="e">
        <f>CE$16*HLOOKUP(CE$10,'P&amp;L by Ctn'!$C$8:$AG$31,'P&amp;L TOTAL &lt;150'!$A17,0)</f>
        <v>#REF!</v>
      </c>
      <c r="CF17" s="889" t="e">
        <f>CF$16*HLOOKUP(CF$10,'P&amp;L by Ctn'!$C$8:$AG$31,'P&amp;L TOTAL &lt;150'!$A17,0)</f>
        <v>#REF!</v>
      </c>
      <c r="CG17" s="889" t="e">
        <f>CG$16*HLOOKUP(CG$10,'P&amp;L by Ctn'!$C$8:$AG$31,'P&amp;L TOTAL &lt;150'!$A17,0)</f>
        <v>#REF!</v>
      </c>
      <c r="CH17" s="889">
        <f>CH$16*HLOOKUP(CH$10,'P&amp;L by Ctn'!$C$8:$AG$31,'P&amp;L TOTAL &lt;150'!$A17,0)</f>
        <v>0</v>
      </c>
      <c r="CI17" s="889">
        <f>CI$16*HLOOKUP(CI$10,'P&amp;L by Ctn'!$C$8:$AG$31,'P&amp;L TOTAL &lt;150'!$A17,0)</f>
        <v>0</v>
      </c>
      <c r="CJ17" s="889">
        <f>CJ$16*HLOOKUP(CJ$10,'P&amp;L by Ctn'!$C$8:$AG$31,'P&amp;L TOTAL &lt;150'!$A17,0)</f>
        <v>6063.6003300000011</v>
      </c>
      <c r="CK17" s="889">
        <f>CK$16*HLOOKUP(CK$10,'P&amp;L by Ctn'!$C$8:$AG$31,'P&amp;L TOTAL &lt;150'!$A17,0)</f>
        <v>4363.6444875000007</v>
      </c>
      <c r="CL17" s="889" t="e">
        <f t="shared" ref="CL17:CL19" si="30">SUM(CE17:CK17)</f>
        <v>#REF!</v>
      </c>
      <c r="CM17" s="889" t="e">
        <f>CM$16*HLOOKUP(CM$10,'P&amp;L by Ctn'!$C$8:$AG$31,'P&amp;L TOTAL &lt;150'!$A17,0)</f>
        <v>#REF!</v>
      </c>
      <c r="CN17" s="889" t="e">
        <f>CN$16*HLOOKUP(CN$10,'P&amp;L by Ctn'!$C$8:$AG$31,'P&amp;L TOTAL &lt;150'!$A17,0)</f>
        <v>#REF!</v>
      </c>
      <c r="CO17" s="889" t="e">
        <f>CO$16*HLOOKUP(CO$10,'P&amp;L by Ctn'!$C$8:$AG$31,'P&amp;L TOTAL &lt;150'!$A17,0)</f>
        <v>#REF!</v>
      </c>
      <c r="CP17" s="889">
        <f>CP$16*HLOOKUP(CP$10,'P&amp;L by Ctn'!$C$8:$AG$31,'P&amp;L TOTAL &lt;150'!$A17,0)</f>
        <v>0</v>
      </c>
      <c r="CQ17" s="889">
        <f>CQ$16*HLOOKUP(CQ$10,'P&amp;L by Ctn'!$C$8:$AG$31,'P&amp;L TOTAL &lt;150'!$A17,0)</f>
        <v>3363.3990675000005</v>
      </c>
      <c r="CR17" s="889">
        <f>CR$16*HLOOKUP(CR$10,'P&amp;L by Ctn'!$C$8:$AG$31,'P&amp;L TOTAL &lt;150'!$A17,0)</f>
        <v>6063.6003300000011</v>
      </c>
      <c r="CS17" s="889">
        <f>CS$16*HLOOKUP(CS$10,'P&amp;L by Ctn'!$C$8:$AG$31,'P&amp;L TOTAL &lt;150'!$A17,0)</f>
        <v>4363.6444875000007</v>
      </c>
      <c r="CT17" s="889" t="e">
        <f t="shared" ref="CT17:CT19" si="31">SUM(CM17:CS17)</f>
        <v>#REF!</v>
      </c>
      <c r="CU17" s="1030" t="e">
        <f t="shared" si="8"/>
        <v>#REF!</v>
      </c>
      <c r="CV17" s="1030" t="e">
        <f t="shared" si="8"/>
        <v>#REF!</v>
      </c>
      <c r="CW17" s="1030" t="e">
        <f t="shared" si="8"/>
        <v>#REF!</v>
      </c>
      <c r="CX17" s="1030">
        <f t="shared" si="8"/>
        <v>9679.8677685950424</v>
      </c>
      <c r="CY17" s="1030">
        <f t="shared" si="8"/>
        <v>46816.26768700406</v>
      </c>
      <c r="CZ17" s="1030">
        <f t="shared" si="8"/>
        <v>136943.70231000002</v>
      </c>
      <c r="DA17" s="1030">
        <f t="shared" si="8"/>
        <v>64459.752000000008</v>
      </c>
      <c r="DB17" s="1030" t="e">
        <f>SUM(CU17:DA17)</f>
        <v>#REF!</v>
      </c>
      <c r="DC17" s="1030">
        <f>SUM(J17,R17)</f>
        <v>4815092.0860868478</v>
      </c>
    </row>
    <row r="18" spans="1:109" x14ac:dyDescent="0.45">
      <c r="A18">
        <v>6</v>
      </c>
      <c r="B18" s="1034" t="s">
        <v>155</v>
      </c>
      <c r="C18" s="889">
        <f>C$16*HLOOKUP(C$10,'P&amp;L by Ctn'!$C$8:$AG$31,'P&amp;L TOTAL &lt;150'!$A18,0)</f>
        <v>1487325.1577122149</v>
      </c>
      <c r="D18" s="889">
        <f>D$16*HLOOKUP(D$10,'P&amp;L by Ctn'!$C$8:$AG$31,'P&amp;L TOTAL &lt;150'!$A18,0)</f>
        <v>366601.4265976178</v>
      </c>
      <c r="E18" s="889">
        <f>E$16*HLOOKUP(E$10,'P&amp;L by Ctn'!$C$8:$AG$31,'P&amp;L TOTAL &lt;150'!$A18,0)</f>
        <v>809687.20025298803</v>
      </c>
      <c r="F18" s="889">
        <f>F$16*HLOOKUP(F$10,'P&amp;L by Ctn'!$C$8:$AG$31,'P&amp;L TOTAL &lt;150'!$A18,0)</f>
        <v>0</v>
      </c>
      <c r="G18" s="889">
        <f>G$16*HLOOKUP(G$10,'P&amp;L by Ctn'!$C$8:$AG$31,'P&amp;L TOTAL &lt;150'!$A18,0)</f>
        <v>0</v>
      </c>
      <c r="H18" s="889">
        <f>H$16*HLOOKUP(H$10,'P&amp;L by Ctn'!$C$8:$AG$31,'P&amp;L TOTAL &lt;150'!$A18,0)</f>
        <v>9912</v>
      </c>
      <c r="I18" s="889">
        <f>I$16*HLOOKUP(I$10,'P&amp;L by Ctn'!$C$8:$AG$31,'P&amp;L TOTAL &lt;150'!$A18,0)</f>
        <v>7114.8</v>
      </c>
      <c r="J18" s="889">
        <f t="shared" ref="J18:J19" si="32">SUM(C18:I18)</f>
        <v>2680640.5845628204</v>
      </c>
      <c r="K18" s="889">
        <f>K$16*HLOOKUP(K$10,'P&amp;L by Ctn'!$C$8:$AG$31,'P&amp;L TOTAL &lt;150'!$A18,0)</f>
        <v>714555.21089591517</v>
      </c>
      <c r="L18" s="889">
        <f>L$16*HLOOKUP(L$10,'P&amp;L by Ctn'!$C$8:$AG$31,'P&amp;L TOTAL &lt;150'!$A18,0)</f>
        <v>297863.65911056445</v>
      </c>
      <c r="M18" s="889">
        <f>M$16*HLOOKUP(M$10,'P&amp;L by Ctn'!$C$8:$AG$31,'P&amp;L TOTAL &lt;150'!$A18,0)</f>
        <v>851275.44579546875</v>
      </c>
      <c r="N18" s="889">
        <f>N$16*HLOOKUP(N$10,'P&amp;L by Ctn'!$C$8:$AG$31,'P&amp;L TOTAL &lt;150'!$A18,0)</f>
        <v>0</v>
      </c>
      <c r="O18" s="889">
        <f>O$16*HLOOKUP(O$10,'P&amp;L by Ctn'!$C$8:$AG$31,'P&amp;L TOTAL &lt;150'!$A18,0)</f>
        <v>5102.72</v>
      </c>
      <c r="P18" s="889">
        <f>P$16*HLOOKUP(P$10,'P&amp;L by Ctn'!$C$8:$AG$31,'P&amp;L TOTAL &lt;150'!$A18,0)</f>
        <v>9808.75</v>
      </c>
      <c r="Q18" s="889">
        <f>Q$16*HLOOKUP(Q$10,'P&amp;L by Ctn'!$C$8:$AG$31,'P&amp;L TOTAL &lt;150'!$A18,0)</f>
        <v>0</v>
      </c>
      <c r="R18" s="889">
        <f t="shared" si="21"/>
        <v>1878605.7858019483</v>
      </c>
      <c r="S18" s="889">
        <f>S$16*HLOOKUP(S$10,'P&amp;L by Ctn'!$C$8:$AG$31,'P&amp;L TOTAL &lt;150'!$A18,0)</f>
        <v>1057256.1996334554</v>
      </c>
      <c r="T18" s="889">
        <f>T$16*HLOOKUP(T$10,'P&amp;L by Ctn'!$C$8:$AG$31,'P&amp;L TOTAL &lt;150'!$A18,0)</f>
        <v>252038.48078586222</v>
      </c>
      <c r="U18" s="889">
        <f>U$16*HLOOKUP(U$10,'P&amp;L by Ctn'!$C$8:$AG$31,'P&amp;L TOTAL &lt;150'!$A18,0)</f>
        <v>1265760.2166993006</v>
      </c>
      <c r="V18" s="889">
        <f>V$16*HLOOKUP(V$10,'P&amp;L by Ctn'!$C$8:$AG$31,'P&amp;L TOTAL &lt;150'!$A18,0)</f>
        <v>9184</v>
      </c>
      <c r="W18" s="889">
        <f>W$16*HLOOKUP(W$10,'P&amp;L by Ctn'!$C$8:$AG$31,'P&amp;L TOTAL &lt;150'!$A18,0)</f>
        <v>10416.000000000002</v>
      </c>
      <c r="X18" s="889">
        <f>X$16*HLOOKUP(X$10,'P&amp;L by Ctn'!$C$8:$AG$31,'P&amp;L TOTAL &lt;150'!$A18,0)</f>
        <v>29736</v>
      </c>
      <c r="Y18" s="889">
        <f>Y$16*HLOOKUP(Y$10,'P&amp;L by Ctn'!$C$8:$AG$31,'P&amp;L TOTAL &lt;150'!$A18,0)</f>
        <v>14520</v>
      </c>
      <c r="Z18" s="889">
        <f t="shared" si="22"/>
        <v>2638910.8971186182</v>
      </c>
      <c r="AA18" s="889">
        <f>AA$16*HLOOKUP(AA$10,'P&amp;L by Ctn'!$C$8:$AG$31,'P&amp;L TOTAL &lt;150'!$A18,0)</f>
        <v>816932.6522323644</v>
      </c>
      <c r="AB18" s="889">
        <f>AB$16*HLOOKUP(AB$10,'P&amp;L by Ctn'!$C$8:$AG$31,'P&amp;L TOTAL &lt;150'!$A18,0)</f>
        <v>229125.8916235111</v>
      </c>
      <c r="AC18" s="889">
        <f>AC$16*HLOOKUP(AC$10,'P&amp;L by Ctn'!$C$8:$AG$31,'P&amp;L TOTAL &lt;150'!$A18,0)</f>
        <v>789834.37522036349</v>
      </c>
      <c r="AD18" s="889">
        <f>AD$16*HLOOKUP(AD$10,'P&amp;L by Ctn'!$C$8:$AG$31,'P&amp;L TOTAL &lt;150'!$A18,0)</f>
        <v>0</v>
      </c>
      <c r="AE18" s="889">
        <f>AE$16*HLOOKUP(AE$10,'P&amp;L by Ctn'!$C$8:$AG$31,'P&amp;L TOTAL &lt;150'!$A18,0)</f>
        <v>5376.0000000000009</v>
      </c>
      <c r="AF18" s="889">
        <f>AF$16*HLOOKUP(AF$10,'P&amp;L by Ctn'!$C$8:$AG$31,'P&amp;L TOTAL &lt;150'!$A18,0)</f>
        <v>9912</v>
      </c>
      <c r="AG18" s="889">
        <f>AG$16*HLOOKUP(AG$10,'P&amp;L by Ctn'!$C$8:$AG$31,'P&amp;L TOTAL &lt;150'!$A18,0)</f>
        <v>7260</v>
      </c>
      <c r="AH18" s="889">
        <f t="shared" si="23"/>
        <v>1858440.919076239</v>
      </c>
      <c r="AI18" s="889">
        <f>AI$16*HLOOKUP(AI$10,'P&amp;L by Ctn'!$C$8:$AG$31,'P&amp;L TOTAL &lt;150'!$A18,0)</f>
        <v>483949.40796843573</v>
      </c>
      <c r="AJ18" s="889">
        <f>AJ$16*HLOOKUP(AJ$10,'P&amp;L by Ctn'!$C$8:$AG$31,'P&amp;L TOTAL &lt;150'!$A18,0)</f>
        <v>137475.53497410667</v>
      </c>
      <c r="AK18" s="889">
        <f>AK$16*HLOOKUP(AK$10,'P&amp;L by Ctn'!$C$8:$AG$31,'P&amp;L TOTAL &lt;150'!$A18,0)</f>
        <v>445547.59627815377</v>
      </c>
      <c r="AL18" s="889">
        <f>AL$16*HLOOKUP(AL$10,'P&amp;L by Ctn'!$C$8:$AG$31,'P&amp;L TOTAL &lt;150'!$A18,0)</f>
        <v>0</v>
      </c>
      <c r="AM18" s="889">
        <f>AM$16*HLOOKUP(AM$10,'P&amp;L by Ctn'!$C$8:$AG$31,'P&amp;L TOTAL &lt;150'!$A18,0)</f>
        <v>5376.0000000000009</v>
      </c>
      <c r="AN18" s="889">
        <f>AN$16*HLOOKUP(AN$10,'P&amp;L by Ctn'!$C$8:$AG$31,'P&amp;L TOTAL &lt;150'!$A18,0)</f>
        <v>9912</v>
      </c>
      <c r="AO18" s="889">
        <f>AO$16*HLOOKUP(AO$10,'P&amp;L by Ctn'!$C$8:$AG$31,'P&amp;L TOTAL &lt;150'!$A18,0)</f>
        <v>7260</v>
      </c>
      <c r="AP18" s="889">
        <f t="shared" si="24"/>
        <v>1089520.5392206961</v>
      </c>
      <c r="AQ18" s="889">
        <f>AQ$16*HLOOKUP(AQ$10,'P&amp;L by Ctn'!$C$8:$AG$31,'P&amp;L TOTAL &lt;150'!$A18,0)</f>
        <v>765861.46180703596</v>
      </c>
      <c r="AR18" s="889">
        <f>AR$16*HLOOKUP(AR$10,'P&amp;L by Ctn'!$C$8:$AG$31,'P&amp;L TOTAL &lt;150'!$A18,0)</f>
        <v>229125.8916235111</v>
      </c>
      <c r="AS18" s="889">
        <f>AS$16*HLOOKUP(AS$10,'P&amp;L by Ctn'!$C$8:$AG$31,'P&amp;L TOTAL &lt;150'!$A18,0)</f>
        <v>729077.88481879712</v>
      </c>
      <c r="AT18" s="889">
        <f>AT$16*HLOOKUP(AT$10,'P&amp;L by Ctn'!$C$8:$AG$31,'P&amp;L TOTAL &lt;150'!$A18,0)</f>
        <v>0</v>
      </c>
      <c r="AU18" s="889">
        <f>AU$16*HLOOKUP(AU$10,'P&amp;L by Ctn'!$C$8:$AG$31,'P&amp;L TOTAL &lt;150'!$A18,0)</f>
        <v>5376.0000000000009</v>
      </c>
      <c r="AV18" s="889">
        <f>AV$16*HLOOKUP(AV$10,'P&amp;L by Ctn'!$C$8:$AG$31,'P&amp;L TOTAL &lt;150'!$A18,0)</f>
        <v>19824</v>
      </c>
      <c r="AW18" s="889">
        <f>AW$16*HLOOKUP(AW$10,'P&amp;L by Ctn'!$C$8:$AG$31,'P&amp;L TOTAL &lt;150'!$A18,0)</f>
        <v>7260</v>
      </c>
      <c r="AX18" s="889">
        <f t="shared" si="25"/>
        <v>1756525.2382493443</v>
      </c>
      <c r="AY18" s="889" t="e">
        <f>AY$16*HLOOKUP(AY$10,'P&amp;L by Ctn'!$C$8:$AG$31,'P&amp;L TOTAL &lt;150'!$A18,0)</f>
        <v>#REF!</v>
      </c>
      <c r="AZ18" s="889" t="e">
        <f>AZ$16*HLOOKUP(AZ$10,'P&amp;L by Ctn'!$C$8:$AG$31,'P&amp;L TOTAL &lt;150'!$A18,0)</f>
        <v>#REF!</v>
      </c>
      <c r="BA18" s="889" t="e">
        <f>BA$16*HLOOKUP(BA$10,'P&amp;L by Ctn'!$C$8:$AG$31,'P&amp;L TOTAL &lt;150'!$A18,0)</f>
        <v>#REF!</v>
      </c>
      <c r="BB18" s="889">
        <f>BB$16*HLOOKUP(BB$10,'P&amp;L by Ctn'!$C$8:$AG$31,'P&amp;L TOTAL &lt;150'!$A18,0)</f>
        <v>0</v>
      </c>
      <c r="BC18" s="889">
        <f>BC$16*HLOOKUP(BC$10,'P&amp;L by Ctn'!$C$8:$AG$31,'P&amp;L TOTAL &lt;150'!$A18,0)</f>
        <v>0</v>
      </c>
      <c r="BD18" s="889">
        <f>BD$16*HLOOKUP(BD$10,'P&amp;L by Ctn'!$C$8:$AG$31,'P&amp;L TOTAL &lt;150'!$A18,0)</f>
        <v>5727.6</v>
      </c>
      <c r="BE18" s="889">
        <f>BE$16*HLOOKUP(BE$10,'P&amp;L by Ctn'!$C$8:$AG$31,'P&amp;L TOTAL &lt;150'!$A18,0)</f>
        <v>0</v>
      </c>
      <c r="BF18" s="889" t="e">
        <f t="shared" si="26"/>
        <v>#REF!</v>
      </c>
      <c r="BG18" s="889" t="e">
        <f>BG$16*HLOOKUP(BG$10,'P&amp;L by Ctn'!$C$8:$AG$31,'P&amp;L TOTAL &lt;150'!$A18,0)</f>
        <v>#REF!</v>
      </c>
      <c r="BH18" s="889" t="e">
        <f>BH$16*HLOOKUP(BH$10,'P&amp;L by Ctn'!$C$8:$AG$31,'P&amp;L TOTAL &lt;150'!$A18,0)</f>
        <v>#REF!</v>
      </c>
      <c r="BI18" s="889" t="e">
        <f>BI$16*HLOOKUP(BI$10,'P&amp;L by Ctn'!$C$8:$AG$31,'P&amp;L TOTAL &lt;150'!$A18,0)</f>
        <v>#REF!</v>
      </c>
      <c r="BJ18" s="889">
        <f>BJ$16*HLOOKUP(BJ$10,'P&amp;L by Ctn'!$C$8:$AG$31,'P&amp;L TOTAL &lt;150'!$A18,0)</f>
        <v>0</v>
      </c>
      <c r="BK18" s="889">
        <f>BK$16*HLOOKUP(BK$10,'P&amp;L by Ctn'!$C$8:$AG$31,'P&amp;L TOTAL &lt;150'!$A18,0)</f>
        <v>3196.8000000000006</v>
      </c>
      <c r="BL18" s="889">
        <f>BL$16*HLOOKUP(BL$10,'P&amp;L by Ctn'!$C$8:$AG$31,'P&amp;L TOTAL &lt;150'!$A18,0)</f>
        <v>11455.2</v>
      </c>
      <c r="BM18" s="889">
        <f>BM$16*HLOOKUP(BM$10,'P&amp;L by Ctn'!$C$8:$AG$31,'P&amp;L TOTAL &lt;150'!$A18,0)</f>
        <v>4029.3000000000006</v>
      </c>
      <c r="BN18" s="889" t="e">
        <f t="shared" si="27"/>
        <v>#REF!</v>
      </c>
      <c r="BO18" s="889" t="e">
        <f>BO$16*HLOOKUP(BO$10,'P&amp;L by Ctn'!$C$8:$AG$31,'P&amp;L TOTAL &lt;150'!$A18,0)</f>
        <v>#REF!</v>
      </c>
      <c r="BP18" s="889" t="e">
        <f>BP$16*HLOOKUP(BP$10,'P&amp;L by Ctn'!$C$8:$AG$31,'P&amp;L TOTAL &lt;150'!$A18,0)</f>
        <v>#REF!</v>
      </c>
      <c r="BQ18" s="889" t="e">
        <f>BQ$16*HLOOKUP(BQ$10,'P&amp;L by Ctn'!$C$8:$AG$31,'P&amp;L TOTAL &lt;150'!$A18,0)</f>
        <v>#REF!</v>
      </c>
      <c r="BR18" s="889">
        <f>BR$16*HLOOKUP(BR$10,'P&amp;L by Ctn'!$C$8:$AG$31,'P&amp;L TOTAL &lt;150'!$A18,0)</f>
        <v>0</v>
      </c>
      <c r="BS18" s="889">
        <f>BS$16*HLOOKUP(BS$10,'P&amp;L by Ctn'!$C$8:$AG$31,'P&amp;L TOTAL &lt;150'!$A18,0)</f>
        <v>3196.8000000000006</v>
      </c>
      <c r="BT18" s="889">
        <f>BT$16*HLOOKUP(BT$10,'P&amp;L by Ctn'!$C$8:$AG$31,'P&amp;L TOTAL &lt;150'!$A18,0)</f>
        <v>5727.6</v>
      </c>
      <c r="BU18" s="889">
        <f>BU$16*HLOOKUP(BU$10,'P&amp;L by Ctn'!$C$8:$AG$31,'P&amp;L TOTAL &lt;150'!$A18,0)</f>
        <v>4029.3000000000006</v>
      </c>
      <c r="BV18" s="889" t="e">
        <f t="shared" si="28"/>
        <v>#REF!</v>
      </c>
      <c r="BW18" s="889" t="e">
        <f>BW$16*HLOOKUP(BW$10,'P&amp;L by Ctn'!$C$8:$AG$31,'P&amp;L TOTAL &lt;150'!$A18,0)</f>
        <v>#REF!</v>
      </c>
      <c r="BX18" s="889" t="e">
        <f>BX$16*HLOOKUP(BX$10,'P&amp;L by Ctn'!$C$8:$AG$31,'P&amp;L TOTAL &lt;150'!$A18,0)</f>
        <v>#REF!</v>
      </c>
      <c r="BY18" s="889" t="e">
        <f>BY$16*HLOOKUP(BY$10,'P&amp;L by Ctn'!$C$8:$AG$31,'P&amp;L TOTAL &lt;150'!$A18,0)</f>
        <v>#REF!</v>
      </c>
      <c r="BZ18" s="889">
        <f>BZ$16*HLOOKUP(BZ$10,'P&amp;L by Ctn'!$C$8:$AG$31,'P&amp;L TOTAL &lt;150'!$A18,0)</f>
        <v>0</v>
      </c>
      <c r="CA18" s="889">
        <f>CA$16*HLOOKUP(CA$10,'P&amp;L by Ctn'!$C$8:$AG$31,'P&amp;L TOTAL &lt;150'!$A18,0)</f>
        <v>3196.8000000000006</v>
      </c>
      <c r="CB18" s="889">
        <f>CB$16*HLOOKUP(CB$10,'P&amp;L by Ctn'!$C$8:$AG$31,'P&amp;L TOTAL &lt;150'!$A18,0)</f>
        <v>5727.6</v>
      </c>
      <c r="CC18" s="889">
        <f>CC$16*HLOOKUP(CC$10,'P&amp;L by Ctn'!$C$8:$AG$31,'P&amp;L TOTAL &lt;150'!$A18,0)</f>
        <v>0</v>
      </c>
      <c r="CD18" s="889" t="e">
        <f t="shared" si="29"/>
        <v>#REF!</v>
      </c>
      <c r="CE18" s="889" t="e">
        <f>CE$16*HLOOKUP(CE$10,'P&amp;L by Ctn'!$C$8:$AG$31,'P&amp;L TOTAL &lt;150'!$A18,0)</f>
        <v>#REF!</v>
      </c>
      <c r="CF18" s="889" t="e">
        <f>CF$16*HLOOKUP(CF$10,'P&amp;L by Ctn'!$C$8:$AG$31,'P&amp;L TOTAL &lt;150'!$A18,0)</f>
        <v>#REF!</v>
      </c>
      <c r="CG18" s="889" t="e">
        <f>CG$16*HLOOKUP(CG$10,'P&amp;L by Ctn'!$C$8:$AG$31,'P&amp;L TOTAL &lt;150'!$A18,0)</f>
        <v>#REF!</v>
      </c>
      <c r="CH18" s="889">
        <f>CH$16*HLOOKUP(CH$10,'P&amp;L by Ctn'!$C$8:$AG$31,'P&amp;L TOTAL &lt;150'!$A18,0)</f>
        <v>0</v>
      </c>
      <c r="CI18" s="889">
        <f>CI$16*HLOOKUP(CI$10,'P&amp;L by Ctn'!$C$8:$AG$31,'P&amp;L TOTAL &lt;150'!$A18,0)</f>
        <v>0</v>
      </c>
      <c r="CJ18" s="889">
        <f>CJ$16*HLOOKUP(CJ$10,'P&amp;L by Ctn'!$C$8:$AG$31,'P&amp;L TOTAL &lt;150'!$A18,0)</f>
        <v>5727.6</v>
      </c>
      <c r="CK18" s="889">
        <f>CK$16*HLOOKUP(CK$10,'P&amp;L by Ctn'!$C$8:$AG$31,'P&amp;L TOTAL &lt;150'!$A18,0)</f>
        <v>4029.3000000000006</v>
      </c>
      <c r="CL18" s="889" t="e">
        <f t="shared" si="30"/>
        <v>#REF!</v>
      </c>
      <c r="CM18" s="889" t="e">
        <f>CM$16*HLOOKUP(CM$10,'P&amp;L by Ctn'!$C$8:$AG$31,'P&amp;L TOTAL &lt;150'!$A18,0)</f>
        <v>#REF!</v>
      </c>
      <c r="CN18" s="889" t="e">
        <f>CN$16*HLOOKUP(CN$10,'P&amp;L by Ctn'!$C$8:$AG$31,'P&amp;L TOTAL &lt;150'!$A18,0)</f>
        <v>#REF!</v>
      </c>
      <c r="CO18" s="889" t="e">
        <f>CO$16*HLOOKUP(CO$10,'P&amp;L by Ctn'!$C$8:$AG$31,'P&amp;L TOTAL &lt;150'!$A18,0)</f>
        <v>#REF!</v>
      </c>
      <c r="CP18" s="889">
        <f>CP$16*HLOOKUP(CP$10,'P&amp;L by Ctn'!$C$8:$AG$31,'P&amp;L TOTAL &lt;150'!$A18,0)</f>
        <v>0</v>
      </c>
      <c r="CQ18" s="889">
        <f>CQ$16*HLOOKUP(CQ$10,'P&amp;L by Ctn'!$C$8:$AG$31,'P&amp;L TOTAL &lt;150'!$A18,0)</f>
        <v>3196.8000000000006</v>
      </c>
      <c r="CR18" s="889">
        <f>CR$16*HLOOKUP(CR$10,'P&amp;L by Ctn'!$C$8:$AG$31,'P&amp;L TOTAL &lt;150'!$A18,0)</f>
        <v>5727.6</v>
      </c>
      <c r="CS18" s="889">
        <f>CS$16*HLOOKUP(CS$10,'P&amp;L by Ctn'!$C$8:$AG$31,'P&amp;L TOTAL &lt;150'!$A18,0)</f>
        <v>4029.3000000000006</v>
      </c>
      <c r="CT18" s="889" t="e">
        <f t="shared" si="31"/>
        <v>#REF!</v>
      </c>
      <c r="CU18" s="1030" t="e">
        <f t="shared" si="8"/>
        <v>#REF!</v>
      </c>
      <c r="CV18" s="1030" t="e">
        <f t="shared" si="8"/>
        <v>#REF!</v>
      </c>
      <c r="CW18" s="1030" t="e">
        <f t="shared" si="8"/>
        <v>#REF!</v>
      </c>
      <c r="CX18" s="1030">
        <f t="shared" si="8"/>
        <v>9184</v>
      </c>
      <c r="CY18" s="1030">
        <f t="shared" si="8"/>
        <v>44433.920000000013</v>
      </c>
      <c r="CZ18" s="1030">
        <f t="shared" si="8"/>
        <v>129197.95000000003</v>
      </c>
      <c r="DA18" s="1030">
        <f t="shared" si="8"/>
        <v>59532.000000000015</v>
      </c>
      <c r="DB18" s="1030" t="e">
        <f t="shared" ref="DB18:DB19" si="33">SUM(CU18:DA18)</f>
        <v>#REF!</v>
      </c>
      <c r="DC18" s="1030">
        <f>SUM(J18,R18)</f>
        <v>4559246.3703647684</v>
      </c>
    </row>
    <row r="19" spans="1:109" x14ac:dyDescent="0.45">
      <c r="A19">
        <v>7</v>
      </c>
      <c r="B19" s="1034" t="s">
        <v>79</v>
      </c>
      <c r="C19" s="889">
        <f>C$16*3.56413598195</f>
        <v>924622.41298139677</v>
      </c>
      <c r="D19" s="889">
        <f>D$16*3.99304894848</f>
        <v>255555.13270271997</v>
      </c>
      <c r="E19" s="889">
        <f>E$16*4.71581901013</f>
        <v>669316.1921077508</v>
      </c>
      <c r="F19" s="889">
        <f>F$16*HLOOKUP(F$10,'P&amp;L by Ctn'!$C$8:$AG$31,'P&amp;L TOTAL &lt;150'!$A19,0)</f>
        <v>0</v>
      </c>
      <c r="G19" s="889">
        <f>G$16*HLOOKUP(G$10,'P&amp;L by Ctn'!$C$8:$AG$31,'P&amp;L TOTAL &lt;150'!$A19,0)</f>
        <v>0</v>
      </c>
      <c r="H19" s="889">
        <f>H$16*2.59998957605</f>
        <v>6239.9749825199997</v>
      </c>
      <c r="I19" s="889">
        <f>I$16*3.79029334655</f>
        <v>4457.3849755428</v>
      </c>
      <c r="J19" s="889">
        <f t="shared" si="32"/>
        <v>1860191.0977499303</v>
      </c>
      <c r="K19" s="889">
        <f>K$16*3.80167859783</f>
        <v>473822.21204054204</v>
      </c>
      <c r="L19" s="889">
        <f>L$16*4.1428912669</f>
        <v>215430.34587880003</v>
      </c>
      <c r="M19" s="889">
        <f>M$16*4.99930685414</f>
        <v>745996.56877477083</v>
      </c>
      <c r="N19" s="889">
        <f>N$16*HLOOKUP(N$10,'P&amp;L by Ctn'!$C$8:$AG$31,'P&amp;L TOTAL &lt;150'!$A19,0)</f>
        <v>0</v>
      </c>
      <c r="O19" s="889">
        <f>O$16*2.34330836385</f>
        <v>2669.02822642515</v>
      </c>
      <c r="P19" s="889">
        <f>P$16*2.73075243152</f>
        <v>6485.5370248600002</v>
      </c>
      <c r="Q19" s="889">
        <f>Q$16*HLOOKUP(Q$10,'P&amp;L by Ctn'!$C$8:$AG$31,'P&amp;L TOTAL &lt;150'!$A19,0)</f>
        <v>0</v>
      </c>
      <c r="R19" s="889">
        <f t="shared" si="21"/>
        <v>1444403.6919453982</v>
      </c>
      <c r="S19" s="889">
        <f>S$16*3.80167859783</f>
        <v>701067.55022583029</v>
      </c>
      <c r="T19" s="889">
        <f>T$16*4.1428912669</f>
        <v>182287.21574360001</v>
      </c>
      <c r="U19" s="889">
        <f>U$16*4.99930685414</f>
        <v>1109221.2082623125</v>
      </c>
      <c r="V19" s="889">
        <f>V$16*HLOOKUP(V$10,'P&amp;L by Ctn'!$C$8:$AG$31,'P&amp;L TOTAL &lt;150'!$A19,0)</f>
        <v>6207.0379130079518</v>
      </c>
      <c r="W19" s="889">
        <f>W$16*2.34330836385</f>
        <v>5448.1919459512501</v>
      </c>
      <c r="X19" s="889">
        <f>X$16*2.73075243152</f>
        <v>19661.417506943999</v>
      </c>
      <c r="Y19" s="889">
        <f>Y$16*HLOOKUP(Y$10,'P&amp;L by Ctn'!$C$8:$AG$31,'P&amp;L TOTAL &lt;150'!$A19,0)</f>
        <v>9458.24551837525</v>
      </c>
      <c r="Z19" s="889">
        <f t="shared" si="22"/>
        <v>2033350.867116021</v>
      </c>
      <c r="AA19" s="889">
        <f>AA$16*VLOOKUP(AA14,Table3[#All],IF(AA11="q2",3,5),0)</f>
        <v>563144.43943661975</v>
      </c>
      <c r="AB19" s="889">
        <f>AB$16*VLOOKUP(AB14,Table3[#All],IF(AA11="q2",3,5),0)</f>
        <v>177352.11267605631</v>
      </c>
      <c r="AC19" s="889">
        <f>AC$16*VLOOKUP(AC14,Table3[#All],IF(AA11="q2",3,5),0)</f>
        <v>723840</v>
      </c>
      <c r="AD19" s="889">
        <f>AD$16*VLOOKUP(AD14,Table3[#All],IF(AA11="q2",3,5),0)</f>
        <v>0</v>
      </c>
      <c r="AE19" s="889">
        <f>AE$16*VLOOKUP(AE14,Table3[#All],IF(AA11="q2",3,5),0)</f>
        <v>3330.2535211267609</v>
      </c>
      <c r="AF19" s="889">
        <f>AF$16*VLOOKUP(AF14,Table3[#All],IF(AA11="q2",3,5),0)</f>
        <v>6589.5211267605628</v>
      </c>
      <c r="AG19" s="889">
        <f>AG$16*VLOOKUP(AG14,Table3[#All],IF(AA11="q2",3,5),0)</f>
        <v>4822.9859154929582</v>
      </c>
      <c r="AH19" s="889">
        <f t="shared" si="23"/>
        <v>1479079.3126760565</v>
      </c>
      <c r="AI19" s="889">
        <f>AI$16*VLOOKUP(AI14,Table3[#All],IF(AI11="q2",3,5),0)</f>
        <v>333605.7352112676</v>
      </c>
      <c r="AJ19" s="889">
        <f>AJ$16*VLOOKUP(AJ14,Table3[#All],IF(AI11="q2",3,5),0)</f>
        <v>106411.2676056338</v>
      </c>
      <c r="AK19" s="889">
        <f>AK$16*VLOOKUP(AK14,Table3[#All],IF(AI11="q2",3,5),0)</f>
        <v>408320</v>
      </c>
      <c r="AL19" s="889">
        <f>AL$16*VLOOKUP(AL14,Table3[#All],IF(AI11="q2",3,5),0)</f>
        <v>0</v>
      </c>
      <c r="AM19" s="889">
        <f>AM$16*VLOOKUP(AM14,Table3[#All],IF(AI11="q2",3,5),0)</f>
        <v>3330.2535211267609</v>
      </c>
      <c r="AN19" s="889">
        <f>AN$16*VLOOKUP(AN14,Table3[#All],IF(AI11="q2",3,5),0)</f>
        <v>6589.5211267605628</v>
      </c>
      <c r="AO19" s="889">
        <f>AO$16*VLOOKUP(AO14,Table3[#All],IF(AI11="q2",3,5),0)</f>
        <v>4822.9859154929582</v>
      </c>
      <c r="AP19" s="889">
        <f t="shared" si="24"/>
        <v>863079.76338028174</v>
      </c>
      <c r="AQ19" s="889">
        <f>AQ$16*VLOOKUP(AQ14,Table3[#All],IF(AQ11="q2",3,5),0)</f>
        <v>527939.01971830986</v>
      </c>
      <c r="AR19" s="889">
        <f>AR$16*VLOOKUP(AR14,Table3[#All],IF(AQ11="q2",3,5),0)</f>
        <v>177352.11267605631</v>
      </c>
      <c r="AS19" s="889">
        <f>AS$16*VLOOKUP(AS14,Table3[#All],IF(AQ11="q2",3,5),0)</f>
        <v>668160</v>
      </c>
      <c r="AT19" s="889">
        <f>AT$16*VLOOKUP(AT14,Table3[#All],IF(AQ11="q2",3,5),0)</f>
        <v>0</v>
      </c>
      <c r="AU19" s="889">
        <f>AU$16*VLOOKUP(AU14,Table3[#All],IF(AQ11="q2",3,5),0)</f>
        <v>3330.2535211267609</v>
      </c>
      <c r="AV19" s="889">
        <f>AV$16*VLOOKUP(AV14,Table3[#All],IF(AQ11="q2",3,5),0)</f>
        <v>13179.042253521126</v>
      </c>
      <c r="AW19" s="889">
        <f>AW$16*VLOOKUP(AW14,Table3[#All],IF(AQ11="q2",3,5),0)</f>
        <v>4822.9859154929582</v>
      </c>
      <c r="AX19" s="889">
        <f t="shared" si="25"/>
        <v>1394783.4140845069</v>
      </c>
      <c r="AY19" s="889">
        <f>AY$16*VLOOKUP(AY14,Table3[#All],IF(AY11="q2",3,5),0)</f>
        <v>302004.54760563385</v>
      </c>
      <c r="AZ19" s="889">
        <f>AZ$16*VLOOKUP(AZ14,Table3[#All],IF(AY11="q2",3,5),0)</f>
        <v>94353.126760563406</v>
      </c>
      <c r="BA19" s="889">
        <f>BA$16*VLOOKUP(BA14,Table3[#All],IF(AY11="q2",3,5),0)</f>
        <v>361477.05000000005</v>
      </c>
      <c r="BB19" s="889">
        <f>BB$16*VLOOKUP(BB14,Table3[#All],IF(AY11="q2",3,5),0)</f>
        <v>0</v>
      </c>
      <c r="BC19" s="889">
        <f>BC$16*VLOOKUP(BC14,Table3[#All],IF(AY11="q2",3,5),0)</f>
        <v>0</v>
      </c>
      <c r="BD19" s="889">
        <f>BD$16*VLOOKUP(BD14,Table3[#All],IF(AY11="q2",3,5),0)</f>
        <v>4002.753802816902</v>
      </c>
      <c r="BE19" s="889">
        <f>BE$16*VLOOKUP(BE14,Table3[#All],IF(AY11="q2",3,5),0)</f>
        <v>0</v>
      </c>
      <c r="BF19" s="889">
        <f t="shared" si="26"/>
        <v>761837.47816901421</v>
      </c>
      <c r="BG19" s="889">
        <f>BG$16*VLOOKUP(BG14,Table3[#All],IF(BG11="q2",3,5),0)</f>
        <v>266770.68371830991</v>
      </c>
      <c r="BH19" s="889">
        <f>BH$16*VLOOKUP(BH14,Table3[#All],IF(BG11="q2",3,5),0)</f>
        <v>94353.126760563406</v>
      </c>
      <c r="BI19" s="889">
        <f>BI$16*VLOOKUP(BI14,Table3[#All],IF(BG11="q2",3,5),0)</f>
        <v>373137.60000000003</v>
      </c>
      <c r="BJ19" s="889">
        <f>BJ$16*VLOOKUP(BJ14,Table3[#All],IF(BG11="q2",3,5),0)</f>
        <v>0</v>
      </c>
      <c r="BK19" s="889">
        <f>BK$16*VLOOKUP(BK14,Table3[#All],IF(BG11="q2",3,5),0)</f>
        <v>2034.5830985915495</v>
      </c>
      <c r="BL19" s="889">
        <f>BL$16*VLOOKUP(BL14,Table3[#All],IF(BG11="q2",3,5),0)</f>
        <v>8005.5076056338039</v>
      </c>
      <c r="BM19" s="889">
        <f>BM$16*VLOOKUP(BM14,Table3[#All],IF(BG11="q2",3,5),0)</f>
        <v>2800.5769014084512</v>
      </c>
      <c r="BN19" s="889">
        <f t="shared" si="27"/>
        <v>747102.07808450726</v>
      </c>
      <c r="BO19" s="889">
        <f>BO$16*VLOOKUP(BO14,Table3[#All],IF(BO11="q2",3,5),0)</f>
        <v>342271.82061971835</v>
      </c>
      <c r="BP19" s="889">
        <f>BP$16*VLOOKUP(BP14,Table3[#All],IF(BO11="q2",3,5),0)</f>
        <v>129735.54929577466</v>
      </c>
      <c r="BQ19" s="889">
        <f>BQ$16*VLOOKUP(BQ14,Table3[#All],IF(BO11="q2",3,5),0)</f>
        <v>478082.5500000001</v>
      </c>
      <c r="BR19" s="889">
        <f>BR$16*VLOOKUP(BR14,Table3[#All],IF(BO11="q2",3,5),0)</f>
        <v>0</v>
      </c>
      <c r="BS19" s="889">
        <f>BS$16*VLOOKUP(BS14,Table3[#All],IF(BO11="q2",3,5),0)</f>
        <v>2034.5830985915495</v>
      </c>
      <c r="BT19" s="889">
        <f>BT$16*VLOOKUP(BT14,Table3[#All],IF(BO11="q2",3,5),0)</f>
        <v>4002.753802816902</v>
      </c>
      <c r="BU19" s="889">
        <f>BU$16*VLOOKUP(BU14,Table3[#All],IF(BO11="q2",3,5),0)</f>
        <v>2800.5769014084512</v>
      </c>
      <c r="BV19" s="889">
        <f t="shared" si="28"/>
        <v>958927.83371830999</v>
      </c>
      <c r="BW19" s="889">
        <f>BW$16*VLOOKUP(BW14,Table3[#All],IF(BW11="q2",3,5),0)</f>
        <v>251670.45633802819</v>
      </c>
      <c r="BX19" s="889">
        <f>BX$16*VLOOKUP(BX14,Table3[#All],IF(BW11="q2",3,5),0)</f>
        <v>106147.26760563382</v>
      </c>
      <c r="BY19" s="889">
        <f>BY$16*VLOOKUP(BY14,Table3[#All],IF(BW11="q2",3,5),0)</f>
        <v>373137.60000000003</v>
      </c>
      <c r="BZ19" s="889">
        <f>BZ$16*VLOOKUP(BZ14,Table3[#All],IF(BW11="q2",3,5),0)</f>
        <v>0</v>
      </c>
      <c r="CA19" s="889">
        <f>CA$16*VLOOKUP(CA14,Table3[#All],IF(BW11="q2",3,5),0)</f>
        <v>2034.5830985915495</v>
      </c>
      <c r="CB19" s="889">
        <f>CB$16*VLOOKUP(CB14,Table3[#All],IF(BW11="q2",3,5),0)</f>
        <v>4002.753802816902</v>
      </c>
      <c r="CC19" s="889">
        <f>CC$16*VLOOKUP(CC14,Table3[#All],IF(BW11="q2",3,5),0)</f>
        <v>0</v>
      </c>
      <c r="CD19" s="889">
        <f t="shared" si="29"/>
        <v>736992.66084507038</v>
      </c>
      <c r="CE19" s="889">
        <f>CE$16*VLOOKUP(CE14,Table3[#All],IF(CE11="q2",3,5),0)</f>
        <v>266770.68371830991</v>
      </c>
      <c r="CF19" s="889">
        <f>CF$16*VLOOKUP(CF14,Table3[#All],IF(CE11="q2",3,5),0)</f>
        <v>94353.126760563406</v>
      </c>
      <c r="CG19" s="889">
        <f>CG$16*VLOOKUP(CG14,Table3[#All],IF(CE11="q2",3,5),0)</f>
        <v>384798.15</v>
      </c>
      <c r="CH19" s="889">
        <f>CH$16*VLOOKUP(CH14,Table3[#All],IF(CE11="q2",3,5),0)</f>
        <v>0</v>
      </c>
      <c r="CI19" s="889">
        <f>CI$16*VLOOKUP(CI14,Table3[#All],IF(CE11="q2",3,5),0)</f>
        <v>0</v>
      </c>
      <c r="CJ19" s="889">
        <f>CJ$16*VLOOKUP(CJ14,Table3[#All],IF(CE11="q2",3,5),0)</f>
        <v>4002.753802816902</v>
      </c>
      <c r="CK19" s="889">
        <f>CK$16*VLOOKUP(CK14,Table3[#All],IF(CE11="q2",3,5),0)</f>
        <v>2800.5769014084512</v>
      </c>
      <c r="CL19" s="889">
        <f t="shared" si="30"/>
        <v>752725.29118309868</v>
      </c>
      <c r="CM19" s="889">
        <f>CM$16*VLOOKUP(CM14,Table3[#All],IF(CM11="q2",3,5),0)</f>
        <v>417393.37191549304</v>
      </c>
      <c r="CN19" s="889">
        <f>CN$16*VLOOKUP(CN14,Table3[#All],IF(CM11="q2",3,5),0)</f>
        <v>129735.54929577466</v>
      </c>
      <c r="CO19" s="889">
        <f>CO$16*VLOOKUP(CO14,Table3[#All],IF(CM11="q2",3,5),0)</f>
        <v>478082.5500000001</v>
      </c>
      <c r="CP19" s="889">
        <f>CP$16*VLOOKUP(CP14,Table3[#All],IF(CM11="q2",3,5),0)</f>
        <v>0</v>
      </c>
      <c r="CQ19" s="889">
        <f>CQ$16*VLOOKUP(CQ14,Table3[#All],IF(CM11="q2",3,5),0)</f>
        <v>2034.5830985915495</v>
      </c>
      <c r="CR19" s="889">
        <f>CR$16*VLOOKUP(CR14,Table3[#All],IF(CM11="q2",3,5),0)</f>
        <v>4002.753802816902</v>
      </c>
      <c r="CS19" s="889">
        <f>CS$16*VLOOKUP(CS14,Table3[#All],IF(CM11="q2",3,5),0)</f>
        <v>2800.5769014084512</v>
      </c>
      <c r="CT19" s="889">
        <f t="shared" si="31"/>
        <v>1034049.3850140847</v>
      </c>
      <c r="CU19" s="1030">
        <f t="shared" si="8"/>
        <v>5371082.9335294589</v>
      </c>
      <c r="CV19" s="1030">
        <f t="shared" si="8"/>
        <v>1763065.9337617396</v>
      </c>
      <c r="CW19" s="1030">
        <f t="shared" si="8"/>
        <v>6773569.4691448333</v>
      </c>
      <c r="CX19" s="1030">
        <f t="shared" si="8"/>
        <v>6207.0379130079518</v>
      </c>
      <c r="CY19" s="1030">
        <f t="shared" si="8"/>
        <v>26246.313130122879</v>
      </c>
      <c r="CZ19" s="1030">
        <f t="shared" si="8"/>
        <v>86764.29064108459</v>
      </c>
      <c r="DA19" s="1030">
        <f t="shared" si="8"/>
        <v>39586.895846030726</v>
      </c>
      <c r="DB19" s="1030">
        <f t="shared" si="33"/>
        <v>14066522.87396628</v>
      </c>
      <c r="DC19" s="1030">
        <f>SUM(J19,R19)</f>
        <v>3304594.7896953286</v>
      </c>
    </row>
    <row r="20" spans="1:109" x14ac:dyDescent="0.45">
      <c r="B20" s="1034" t="s">
        <v>156</v>
      </c>
      <c r="C20" s="889">
        <f t="shared" ref="C20:BN20" si="34">C18-C19</f>
        <v>562702.74473081809</v>
      </c>
      <c r="D20" s="889">
        <f t="shared" si="34"/>
        <v>111046.29389489783</v>
      </c>
      <c r="E20" s="889">
        <f t="shared" si="34"/>
        <v>140371.00814523723</v>
      </c>
      <c r="F20" s="889">
        <f t="shared" si="34"/>
        <v>0</v>
      </c>
      <c r="G20" s="889">
        <f t="shared" si="34"/>
        <v>0</v>
      </c>
      <c r="H20" s="889">
        <f t="shared" si="34"/>
        <v>3672.0250174800003</v>
      </c>
      <c r="I20" s="889">
        <f t="shared" si="34"/>
        <v>2657.4150244572002</v>
      </c>
      <c r="J20" s="889">
        <f t="shared" si="34"/>
        <v>820449.48681289004</v>
      </c>
      <c r="K20" s="889">
        <f t="shared" si="34"/>
        <v>240732.99885537312</v>
      </c>
      <c r="L20" s="889">
        <f t="shared" si="34"/>
        <v>82433.313231764419</v>
      </c>
      <c r="M20" s="889">
        <f t="shared" si="34"/>
        <v>105278.87702069792</v>
      </c>
      <c r="N20" s="889">
        <f t="shared" si="34"/>
        <v>0</v>
      </c>
      <c r="O20" s="889">
        <f t="shared" si="34"/>
        <v>2433.6917735748502</v>
      </c>
      <c r="P20" s="889">
        <f t="shared" si="34"/>
        <v>3323.2129751399998</v>
      </c>
      <c r="Q20" s="889">
        <f t="shared" si="34"/>
        <v>0</v>
      </c>
      <c r="R20" s="889">
        <f t="shared" si="34"/>
        <v>434202.09385655005</v>
      </c>
      <c r="S20" s="889">
        <f t="shared" si="34"/>
        <v>356188.64940762508</v>
      </c>
      <c r="T20" s="889">
        <f t="shared" si="34"/>
        <v>69751.26504226221</v>
      </c>
      <c r="U20" s="889">
        <f t="shared" si="34"/>
        <v>156539.00843698811</v>
      </c>
      <c r="V20" s="889">
        <f t="shared" si="34"/>
        <v>2976.9620869920482</v>
      </c>
      <c r="W20" s="889">
        <f t="shared" si="34"/>
        <v>4967.8080540487517</v>
      </c>
      <c r="X20" s="889">
        <f t="shared" si="34"/>
        <v>10074.582493056001</v>
      </c>
      <c r="Y20" s="889">
        <f t="shared" si="34"/>
        <v>5061.75448162475</v>
      </c>
      <c r="Z20" s="889">
        <f t="shared" si="34"/>
        <v>605560.03000259725</v>
      </c>
      <c r="AA20" s="889">
        <f t="shared" si="34"/>
        <v>253788.21279574465</v>
      </c>
      <c r="AB20" s="889">
        <f t="shared" si="34"/>
        <v>51773.77894745479</v>
      </c>
      <c r="AC20" s="889">
        <f t="shared" si="34"/>
        <v>65994.375220363494</v>
      </c>
      <c r="AD20" s="889">
        <f t="shared" si="34"/>
        <v>0</v>
      </c>
      <c r="AE20" s="889">
        <f t="shared" si="34"/>
        <v>2045.74647887324</v>
      </c>
      <c r="AF20" s="889">
        <f t="shared" si="34"/>
        <v>3322.4788732394372</v>
      </c>
      <c r="AG20" s="889">
        <f t="shared" si="34"/>
        <v>2437.0140845070418</v>
      </c>
      <c r="AH20" s="889">
        <f t="shared" si="34"/>
        <v>379361.60640018247</v>
      </c>
      <c r="AI20" s="889">
        <f t="shared" si="34"/>
        <v>150343.67275716813</v>
      </c>
      <c r="AJ20" s="889">
        <f t="shared" si="34"/>
        <v>31064.26736847288</v>
      </c>
      <c r="AK20" s="889">
        <f t="shared" si="34"/>
        <v>37227.596278153767</v>
      </c>
      <c r="AL20" s="889">
        <f t="shared" si="34"/>
        <v>0</v>
      </c>
      <c r="AM20" s="889">
        <f t="shared" si="34"/>
        <v>2045.74647887324</v>
      </c>
      <c r="AN20" s="889">
        <f t="shared" si="34"/>
        <v>3322.4788732394372</v>
      </c>
      <c r="AO20" s="889">
        <f t="shared" si="34"/>
        <v>2437.0140845070418</v>
      </c>
      <c r="AP20" s="889">
        <f t="shared" si="34"/>
        <v>226440.77584041434</v>
      </c>
      <c r="AQ20" s="889">
        <f t="shared" si="34"/>
        <v>237922.44208872609</v>
      </c>
      <c r="AR20" s="889">
        <f t="shared" si="34"/>
        <v>51773.77894745479</v>
      </c>
      <c r="AS20" s="889">
        <f t="shared" si="34"/>
        <v>60917.884818797116</v>
      </c>
      <c r="AT20" s="889">
        <f t="shared" si="34"/>
        <v>0</v>
      </c>
      <c r="AU20" s="889">
        <f t="shared" si="34"/>
        <v>2045.74647887324</v>
      </c>
      <c r="AV20" s="889">
        <f t="shared" si="34"/>
        <v>6644.9577464788745</v>
      </c>
      <c r="AW20" s="889">
        <f t="shared" si="34"/>
        <v>2437.0140845070418</v>
      </c>
      <c r="AX20" s="889">
        <f t="shared" si="34"/>
        <v>361741.82416483737</v>
      </c>
      <c r="AY20" s="889" t="e">
        <f t="shared" si="34"/>
        <v>#REF!</v>
      </c>
      <c r="AZ20" s="889" t="e">
        <f t="shared" si="34"/>
        <v>#REF!</v>
      </c>
      <c r="BA20" s="889" t="e">
        <f t="shared" si="34"/>
        <v>#REF!</v>
      </c>
      <c r="BB20" s="889">
        <f t="shared" si="34"/>
        <v>0</v>
      </c>
      <c r="BC20" s="889">
        <f t="shared" si="34"/>
        <v>0</v>
      </c>
      <c r="BD20" s="889">
        <f t="shared" si="34"/>
        <v>1724.8461971830984</v>
      </c>
      <c r="BE20" s="889">
        <f t="shared" si="34"/>
        <v>0</v>
      </c>
      <c r="BF20" s="889" t="e">
        <f t="shared" si="34"/>
        <v>#REF!</v>
      </c>
      <c r="BG20" s="889" t="e">
        <f t="shared" si="34"/>
        <v>#REF!</v>
      </c>
      <c r="BH20" s="889" t="e">
        <f t="shared" si="34"/>
        <v>#REF!</v>
      </c>
      <c r="BI20" s="889" t="e">
        <f t="shared" si="34"/>
        <v>#REF!</v>
      </c>
      <c r="BJ20" s="889">
        <f t="shared" si="34"/>
        <v>0</v>
      </c>
      <c r="BK20" s="889">
        <f t="shared" si="34"/>
        <v>1162.2169014084511</v>
      </c>
      <c r="BL20" s="889">
        <f t="shared" si="34"/>
        <v>3449.6923943661968</v>
      </c>
      <c r="BM20" s="889">
        <f t="shared" si="34"/>
        <v>1228.7230985915494</v>
      </c>
      <c r="BN20" s="889" t="e">
        <f t="shared" si="34"/>
        <v>#REF!</v>
      </c>
      <c r="BO20" s="889" t="e">
        <f t="shared" ref="BO20:DC20" si="35">BO18-BO19</f>
        <v>#REF!</v>
      </c>
      <c r="BP20" s="889" t="e">
        <f t="shared" si="35"/>
        <v>#REF!</v>
      </c>
      <c r="BQ20" s="889" t="e">
        <f t="shared" si="35"/>
        <v>#REF!</v>
      </c>
      <c r="BR20" s="889">
        <f t="shared" si="35"/>
        <v>0</v>
      </c>
      <c r="BS20" s="889">
        <f t="shared" si="35"/>
        <v>1162.2169014084511</v>
      </c>
      <c r="BT20" s="889">
        <f t="shared" si="35"/>
        <v>1724.8461971830984</v>
      </c>
      <c r="BU20" s="889">
        <f t="shared" si="35"/>
        <v>1228.7230985915494</v>
      </c>
      <c r="BV20" s="889" t="e">
        <f t="shared" si="35"/>
        <v>#REF!</v>
      </c>
      <c r="BW20" s="889" t="e">
        <f t="shared" si="35"/>
        <v>#REF!</v>
      </c>
      <c r="BX20" s="889" t="e">
        <f t="shared" si="35"/>
        <v>#REF!</v>
      </c>
      <c r="BY20" s="889" t="e">
        <f t="shared" si="35"/>
        <v>#REF!</v>
      </c>
      <c r="BZ20" s="889">
        <f t="shared" si="35"/>
        <v>0</v>
      </c>
      <c r="CA20" s="889">
        <f t="shared" si="35"/>
        <v>1162.2169014084511</v>
      </c>
      <c r="CB20" s="889">
        <f t="shared" si="35"/>
        <v>1724.8461971830984</v>
      </c>
      <c r="CC20" s="889">
        <f t="shared" si="35"/>
        <v>0</v>
      </c>
      <c r="CD20" s="889" t="e">
        <f t="shared" si="35"/>
        <v>#REF!</v>
      </c>
      <c r="CE20" s="889" t="e">
        <f t="shared" si="35"/>
        <v>#REF!</v>
      </c>
      <c r="CF20" s="889" t="e">
        <f t="shared" si="35"/>
        <v>#REF!</v>
      </c>
      <c r="CG20" s="889" t="e">
        <f t="shared" si="35"/>
        <v>#REF!</v>
      </c>
      <c r="CH20" s="889">
        <f t="shared" si="35"/>
        <v>0</v>
      </c>
      <c r="CI20" s="889">
        <f t="shared" si="35"/>
        <v>0</v>
      </c>
      <c r="CJ20" s="889">
        <f t="shared" si="35"/>
        <v>1724.8461971830984</v>
      </c>
      <c r="CK20" s="889">
        <f t="shared" si="35"/>
        <v>1228.7230985915494</v>
      </c>
      <c r="CL20" s="889" t="e">
        <f t="shared" si="35"/>
        <v>#REF!</v>
      </c>
      <c r="CM20" s="889" t="e">
        <f t="shared" si="35"/>
        <v>#REF!</v>
      </c>
      <c r="CN20" s="889" t="e">
        <f t="shared" si="35"/>
        <v>#REF!</v>
      </c>
      <c r="CO20" s="889" t="e">
        <f t="shared" si="35"/>
        <v>#REF!</v>
      </c>
      <c r="CP20" s="889">
        <f t="shared" si="35"/>
        <v>0</v>
      </c>
      <c r="CQ20" s="889">
        <f t="shared" si="35"/>
        <v>1162.2169014084511</v>
      </c>
      <c r="CR20" s="889">
        <f t="shared" si="35"/>
        <v>1724.8461971830984</v>
      </c>
      <c r="CS20" s="889">
        <f t="shared" si="35"/>
        <v>1228.7230985915494</v>
      </c>
      <c r="CT20" s="889" t="e">
        <f t="shared" si="35"/>
        <v>#REF!</v>
      </c>
      <c r="CU20" s="1030" t="e">
        <f t="shared" si="35"/>
        <v>#REF!</v>
      </c>
      <c r="CV20" s="1030" t="e">
        <f t="shared" si="35"/>
        <v>#REF!</v>
      </c>
      <c r="CW20" s="1030" t="e">
        <f t="shared" si="35"/>
        <v>#REF!</v>
      </c>
      <c r="CX20" s="1030">
        <f t="shared" si="35"/>
        <v>2976.9620869920482</v>
      </c>
      <c r="CY20" s="1030">
        <f t="shared" si="35"/>
        <v>18187.606869877134</v>
      </c>
      <c r="CZ20" s="1030">
        <f t="shared" si="35"/>
        <v>42433.659358915436</v>
      </c>
      <c r="DA20" s="1030">
        <f t="shared" si="35"/>
        <v>19945.104153969289</v>
      </c>
      <c r="DB20" s="1030" t="e">
        <f t="shared" si="35"/>
        <v>#REF!</v>
      </c>
      <c r="DC20" s="1030">
        <f t="shared" si="35"/>
        <v>1254651.5806694399</v>
      </c>
    </row>
    <row r="21" spans="1:109" x14ac:dyDescent="0.45">
      <c r="B21" s="1035" t="s">
        <v>157</v>
      </c>
      <c r="C21" s="891">
        <f t="shared" ref="C21:BN21" si="36">IFERROR(C20/C$18,0)</f>
        <v>0.37833202902071561</v>
      </c>
      <c r="D21" s="891">
        <f t="shared" si="36"/>
        <v>0.30290742435321283</v>
      </c>
      <c r="E21" s="891">
        <f t="shared" si="36"/>
        <v>0.17336448952308753</v>
      </c>
      <c r="F21" s="891">
        <f t="shared" si="36"/>
        <v>0</v>
      </c>
      <c r="G21" s="891">
        <f t="shared" si="36"/>
        <v>0</v>
      </c>
      <c r="H21" s="891">
        <f t="shared" si="36"/>
        <v>0.37046257238498792</v>
      </c>
      <c r="I21" s="891">
        <f t="shared" si="36"/>
        <v>0.37350523197520663</v>
      </c>
      <c r="J21" s="891">
        <f t="shared" si="36"/>
        <v>0.30606471137446251</v>
      </c>
      <c r="K21" s="891">
        <f t="shared" si="36"/>
        <v>0.33689908797045942</v>
      </c>
      <c r="L21" s="891">
        <f t="shared" si="36"/>
        <v>0.27674847437889655</v>
      </c>
      <c r="M21" s="891">
        <f t="shared" si="36"/>
        <v>0.12367192962122943</v>
      </c>
      <c r="N21" s="891">
        <f t="shared" si="36"/>
        <v>0</v>
      </c>
      <c r="O21" s="891">
        <f t="shared" si="36"/>
        <v>0.47694009735491072</v>
      </c>
      <c r="P21" s="891">
        <f t="shared" si="36"/>
        <v>0.33880086403874088</v>
      </c>
      <c r="Q21" s="891">
        <f t="shared" si="36"/>
        <v>0</v>
      </c>
      <c r="R21" s="891">
        <f t="shared" si="36"/>
        <v>0.23112996730774774</v>
      </c>
      <c r="S21" s="891">
        <f t="shared" si="36"/>
        <v>0.33689908797045942</v>
      </c>
      <c r="T21" s="891">
        <f t="shared" si="36"/>
        <v>0.2767484743788966</v>
      </c>
      <c r="U21" s="891">
        <f t="shared" si="36"/>
        <v>0.12367192962122951</v>
      </c>
      <c r="V21" s="891">
        <f t="shared" si="36"/>
        <v>0.32414656870558017</v>
      </c>
      <c r="W21" s="891">
        <f t="shared" si="36"/>
        <v>0.47694009735491077</v>
      </c>
      <c r="X21" s="891">
        <f t="shared" si="36"/>
        <v>0.33880086403874093</v>
      </c>
      <c r="Y21" s="891">
        <f t="shared" si="36"/>
        <v>0.34860568055266872</v>
      </c>
      <c r="Z21" s="891">
        <f t="shared" si="36"/>
        <v>0.22947346599076077</v>
      </c>
      <c r="AA21" s="891">
        <f t="shared" si="36"/>
        <v>0.31065989601742389</v>
      </c>
      <c r="AB21" s="891">
        <f t="shared" si="36"/>
        <v>0.22596214936951356</v>
      </c>
      <c r="AC21" s="891">
        <f t="shared" si="36"/>
        <v>8.3554701201693185E-2</v>
      </c>
      <c r="AD21" s="891">
        <f t="shared" si="36"/>
        <v>0</v>
      </c>
      <c r="AE21" s="891">
        <f t="shared" si="36"/>
        <v>0.38053319919517109</v>
      </c>
      <c r="AF21" s="891">
        <f t="shared" si="36"/>
        <v>0.33519762643658568</v>
      </c>
      <c r="AG21" s="891">
        <f t="shared" si="36"/>
        <v>0.33567687114422062</v>
      </c>
      <c r="AH21" s="891">
        <f t="shared" si="36"/>
        <v>0.20412895696934441</v>
      </c>
      <c r="AI21" s="891">
        <f t="shared" si="36"/>
        <v>0.31065989601742394</v>
      </c>
      <c r="AJ21" s="891">
        <f t="shared" si="36"/>
        <v>0.22596214936951356</v>
      </c>
      <c r="AK21" s="891">
        <f t="shared" si="36"/>
        <v>8.3554701201693185E-2</v>
      </c>
      <c r="AL21" s="891">
        <f t="shared" si="36"/>
        <v>0</v>
      </c>
      <c r="AM21" s="891">
        <f t="shared" si="36"/>
        <v>0.38053319919517109</v>
      </c>
      <c r="AN21" s="891">
        <f t="shared" si="36"/>
        <v>0.33519762643658568</v>
      </c>
      <c r="AO21" s="891">
        <f t="shared" si="36"/>
        <v>0.33567687114422062</v>
      </c>
      <c r="AP21" s="891">
        <f t="shared" si="36"/>
        <v>0.20783525201129405</v>
      </c>
      <c r="AQ21" s="891">
        <f t="shared" si="36"/>
        <v>0.31065989601742394</v>
      </c>
      <c r="AR21" s="891">
        <f t="shared" si="36"/>
        <v>0.22596214936951356</v>
      </c>
      <c r="AS21" s="891">
        <f t="shared" si="36"/>
        <v>8.3554701201693241E-2</v>
      </c>
      <c r="AT21" s="891">
        <f t="shared" si="36"/>
        <v>0</v>
      </c>
      <c r="AU21" s="891">
        <f t="shared" si="36"/>
        <v>0.38053319919517109</v>
      </c>
      <c r="AV21" s="891">
        <f t="shared" si="36"/>
        <v>0.33519762643658568</v>
      </c>
      <c r="AW21" s="891">
        <f t="shared" si="36"/>
        <v>0.33567687114422062</v>
      </c>
      <c r="AX21" s="891">
        <f t="shared" si="36"/>
        <v>0.20594171736773359</v>
      </c>
      <c r="AY21" s="891">
        <f t="shared" si="36"/>
        <v>0</v>
      </c>
      <c r="AZ21" s="891">
        <f t="shared" si="36"/>
        <v>0</v>
      </c>
      <c r="BA21" s="891">
        <f t="shared" si="36"/>
        <v>0</v>
      </c>
      <c r="BB21" s="891">
        <f t="shared" si="36"/>
        <v>0</v>
      </c>
      <c r="BC21" s="891">
        <f t="shared" si="36"/>
        <v>0</v>
      </c>
      <c r="BD21" s="891">
        <f t="shared" si="36"/>
        <v>0.3011464133639043</v>
      </c>
      <c r="BE21" s="891">
        <f t="shared" si="36"/>
        <v>0</v>
      </c>
      <c r="BF21" s="891">
        <f t="shared" si="36"/>
        <v>0</v>
      </c>
      <c r="BG21" s="891">
        <f t="shared" si="36"/>
        <v>0</v>
      </c>
      <c r="BH21" s="891">
        <f t="shared" si="36"/>
        <v>0</v>
      </c>
      <c r="BI21" s="891">
        <f t="shared" si="36"/>
        <v>0</v>
      </c>
      <c r="BJ21" s="891">
        <f t="shared" si="36"/>
        <v>0</v>
      </c>
      <c r="BK21" s="891">
        <f t="shared" si="36"/>
        <v>0.36355633802816906</v>
      </c>
      <c r="BL21" s="891">
        <f t="shared" si="36"/>
        <v>0.3011464133639043</v>
      </c>
      <c r="BM21" s="891">
        <f t="shared" si="36"/>
        <v>0.3049470375974857</v>
      </c>
      <c r="BN21" s="891">
        <f t="shared" si="36"/>
        <v>0</v>
      </c>
      <c r="BO21" s="891">
        <f t="shared" ref="BO21:DC21" si="37">IFERROR(BO20/BO$18,0)</f>
        <v>0</v>
      </c>
      <c r="BP21" s="891">
        <f t="shared" si="37"/>
        <v>0</v>
      </c>
      <c r="BQ21" s="891">
        <f t="shared" si="37"/>
        <v>0</v>
      </c>
      <c r="BR21" s="891">
        <f t="shared" si="37"/>
        <v>0</v>
      </c>
      <c r="BS21" s="891">
        <f t="shared" si="37"/>
        <v>0.36355633802816906</v>
      </c>
      <c r="BT21" s="891">
        <f t="shared" si="37"/>
        <v>0.3011464133639043</v>
      </c>
      <c r="BU21" s="891">
        <f t="shared" si="37"/>
        <v>0.3049470375974857</v>
      </c>
      <c r="BV21" s="891">
        <f t="shared" si="37"/>
        <v>0</v>
      </c>
      <c r="BW21" s="891">
        <f t="shared" si="37"/>
        <v>0</v>
      </c>
      <c r="BX21" s="891">
        <f t="shared" si="37"/>
        <v>0</v>
      </c>
      <c r="BY21" s="891">
        <f t="shared" si="37"/>
        <v>0</v>
      </c>
      <c r="BZ21" s="891">
        <f t="shared" si="37"/>
        <v>0</v>
      </c>
      <c r="CA21" s="891">
        <f t="shared" si="37"/>
        <v>0.36355633802816906</v>
      </c>
      <c r="CB21" s="891">
        <f t="shared" si="37"/>
        <v>0.3011464133639043</v>
      </c>
      <c r="CC21" s="891">
        <f t="shared" si="37"/>
        <v>0</v>
      </c>
      <c r="CD21" s="891">
        <f t="shared" si="37"/>
        <v>0</v>
      </c>
      <c r="CE21" s="891">
        <f t="shared" si="37"/>
        <v>0</v>
      </c>
      <c r="CF21" s="891">
        <f t="shared" si="37"/>
        <v>0</v>
      </c>
      <c r="CG21" s="891">
        <f t="shared" si="37"/>
        <v>0</v>
      </c>
      <c r="CH21" s="891">
        <f t="shared" si="37"/>
        <v>0</v>
      </c>
      <c r="CI21" s="891">
        <f t="shared" si="37"/>
        <v>0</v>
      </c>
      <c r="CJ21" s="891">
        <f t="shared" si="37"/>
        <v>0.3011464133639043</v>
      </c>
      <c r="CK21" s="891">
        <f t="shared" si="37"/>
        <v>0.3049470375974857</v>
      </c>
      <c r="CL21" s="891">
        <f t="shared" si="37"/>
        <v>0</v>
      </c>
      <c r="CM21" s="891">
        <f t="shared" si="37"/>
        <v>0</v>
      </c>
      <c r="CN21" s="891">
        <f t="shared" si="37"/>
        <v>0</v>
      </c>
      <c r="CO21" s="891">
        <f t="shared" si="37"/>
        <v>0</v>
      </c>
      <c r="CP21" s="891">
        <f t="shared" si="37"/>
        <v>0</v>
      </c>
      <c r="CQ21" s="891">
        <f t="shared" si="37"/>
        <v>0.36355633802816906</v>
      </c>
      <c r="CR21" s="891">
        <f t="shared" si="37"/>
        <v>0.3011464133639043</v>
      </c>
      <c r="CS21" s="891">
        <f t="shared" si="37"/>
        <v>0.3049470375974857</v>
      </c>
      <c r="CT21" s="891">
        <f t="shared" si="37"/>
        <v>0</v>
      </c>
      <c r="CU21" s="1031">
        <f t="shared" si="37"/>
        <v>0</v>
      </c>
      <c r="CV21" s="1031">
        <f t="shared" si="37"/>
        <v>0</v>
      </c>
      <c r="CW21" s="1031">
        <f t="shared" si="37"/>
        <v>0</v>
      </c>
      <c r="CX21" s="1031">
        <f t="shared" si="37"/>
        <v>0.32414656870558017</v>
      </c>
      <c r="CY21" s="1031">
        <f t="shared" si="37"/>
        <v>0.40931808109383844</v>
      </c>
      <c r="CZ21" s="1031">
        <f t="shared" si="37"/>
        <v>0.32843910726846232</v>
      </c>
      <c r="DA21" s="1031">
        <f t="shared" si="37"/>
        <v>0.33503164943172214</v>
      </c>
      <c r="DB21" s="1031">
        <f t="shared" si="37"/>
        <v>0</v>
      </c>
      <c r="DC21" s="1031">
        <f t="shared" si="37"/>
        <v>0.27518837078529274</v>
      </c>
    </row>
    <row r="22" spans="1:109" x14ac:dyDescent="0.45">
      <c r="A22">
        <v>10</v>
      </c>
      <c r="B22" s="1034" t="s">
        <v>158</v>
      </c>
      <c r="C22" s="889">
        <v>201343.99999999997</v>
      </c>
      <c r="D22" s="889">
        <v>48000</v>
      </c>
      <c r="E22" s="889">
        <v>89592</v>
      </c>
      <c r="F22" s="889">
        <f>F$16*HLOOKUP(F$10,'P&amp;L by Ctn'!$C$8:$AG$31,'P&amp;L TOTAL &lt;150'!$A22,0)</f>
        <v>0</v>
      </c>
      <c r="G22" s="889">
        <f>G$16*HLOOKUP(G$10,'P&amp;L by Ctn'!$C$8:$AG$31,'P&amp;L TOTAL &lt;150'!$A22,0)</f>
        <v>0</v>
      </c>
      <c r="H22" s="889">
        <v>2472</v>
      </c>
      <c r="I22" s="889">
        <v>2116.8000000000002</v>
      </c>
      <c r="J22" s="889">
        <f>SUM(C22:I22)</f>
        <v>343524.8</v>
      </c>
      <c r="K22" s="889">
        <f>K$16*HLOOKUP(K$10,'P&amp;L by Ctn'!$C$8:$AG$31,'P&amp;L TOTAL &lt;150'!$A22,0)</f>
        <v>98935.55535992251</v>
      </c>
      <c r="L22" s="889">
        <f>L$16*HLOOKUP(L$10,'P&amp;L by Ctn'!$C$8:$AG$31,'P&amp;L TOTAL &lt;150'!$A22,0)</f>
        <v>41026.659637734345</v>
      </c>
      <c r="M22" s="889">
        <f>M$16*HLOOKUP(M$10,'P&amp;L by Ctn'!$C$8:$AG$31,'P&amp;L TOTAL &lt;150'!$A22,0)</f>
        <v>96544.887090388831</v>
      </c>
      <c r="N22" s="889">
        <f>N$16*HLOOKUP(N$10,'P&amp;L by Ctn'!$C$8:$AG$31,'P&amp;L TOTAL &lt;150'!$A22,0)</f>
        <v>0</v>
      </c>
      <c r="O22" s="889">
        <f>O$16*HLOOKUP(O$10,'P&amp;L by Ctn'!$C$8:$AG$31,'P&amp;L TOTAL &lt;150'!$A22,0)</f>
        <v>1161.78</v>
      </c>
      <c r="P22" s="889">
        <f>P$16*HLOOKUP(P$10,'P&amp;L by Ctn'!$C$8:$AG$31,'P&amp;L TOTAL &lt;150'!$A22,0)</f>
        <v>2446.25</v>
      </c>
      <c r="Q22" s="889">
        <f>Q$16*HLOOKUP(Q$10,'P&amp;L by Ctn'!$C$8:$AG$31,'P&amp;L TOTAL &lt;150'!$A22,0)</f>
        <v>0</v>
      </c>
      <c r="R22" s="889">
        <f t="shared" ref="R22" si="38">SUM(K22:Q22)</f>
        <v>240115.13208804568</v>
      </c>
      <c r="S22" s="889">
        <f>S$16*HLOOKUP(S$10,'P&amp;L by Ctn'!$C$8:$AG$31,'P&amp;L TOTAL &lt;150'!$A22,0)</f>
        <v>146385.09057586803</v>
      </c>
      <c r="T22" s="889">
        <f>T$16*HLOOKUP(T$10,'P&amp;L by Ctn'!$C$8:$AG$31,'P&amp;L TOTAL &lt;150'!$A22,0)</f>
        <v>34714.865847313675</v>
      </c>
      <c r="U22" s="889">
        <f>U$16*HLOOKUP(U$10,'P&amp;L by Ctn'!$C$8:$AG$31,'P&amp;L TOTAL &lt;150'!$A22,0)</f>
        <v>143552.45156936083</v>
      </c>
      <c r="V22" s="889">
        <f>V$16*HLOOKUP(V$10,'P&amp;L by Ctn'!$C$8:$AG$31,'P&amp;L TOTAL &lt;150'!$A22,0)</f>
        <v>1280</v>
      </c>
      <c r="W22" s="889">
        <f>W$16*HLOOKUP(W$10,'P&amp;L by Ctn'!$C$8:$AG$31,'P&amp;L TOTAL &lt;150'!$A22,0)</f>
        <v>2371.5</v>
      </c>
      <c r="X22" s="889">
        <f>X$16*HLOOKUP(X$10,'P&amp;L by Ctn'!$C$8:$AG$31,'P&amp;L TOTAL &lt;150'!$A22,0)</f>
        <v>7416</v>
      </c>
      <c r="Y22" s="889">
        <f>Y$16*HLOOKUP(Y$10,'P&amp;L by Ctn'!$C$8:$AG$31,'P&amp;L TOTAL &lt;150'!$A22,0)</f>
        <v>4320</v>
      </c>
      <c r="Z22" s="889">
        <f t="shared" ref="Z22" si="39">SUM(S22:Y22)</f>
        <v>340039.90799254249</v>
      </c>
      <c r="AA22" s="889">
        <f>AA$16*HLOOKUP(AA$10,'P&amp;L by Ctn'!$C$8:$AG$31,'P&amp;L TOTAL &lt;150'!$A22,0)</f>
        <v>113110.48384760364</v>
      </c>
      <c r="AB22" s="889">
        <f>AB$16*HLOOKUP(AB$10,'P&amp;L by Ctn'!$C$8:$AG$31,'P&amp;L TOTAL &lt;150'!$A22,0)</f>
        <v>31558.96895210334</v>
      </c>
      <c r="AC22" s="889">
        <f>AC$16*HLOOKUP(AC$10,'P&amp;L by Ctn'!$C$8:$AG$31,'P&amp;L TOTAL &lt;150'!$A22,0)</f>
        <v>89576.729779281159</v>
      </c>
      <c r="AD22" s="889">
        <f>AD$16*HLOOKUP(AD$10,'P&amp;L by Ctn'!$C$8:$AG$31,'P&amp;L TOTAL &lt;150'!$A22,0)</f>
        <v>0</v>
      </c>
      <c r="AE22" s="889">
        <f>AE$16*HLOOKUP(AE$10,'P&amp;L by Ctn'!$C$8:$AG$31,'P&amp;L TOTAL &lt;150'!$A22,0)</f>
        <v>1224</v>
      </c>
      <c r="AF22" s="889">
        <f>AF$16*HLOOKUP(AF$10,'P&amp;L by Ctn'!$C$8:$AG$31,'P&amp;L TOTAL &lt;150'!$A22,0)</f>
        <v>2472</v>
      </c>
      <c r="AG22" s="889">
        <f>AG$16*HLOOKUP(AG$10,'P&amp;L by Ctn'!$C$8:$AG$31,'P&amp;L TOTAL &lt;150'!$A22,0)</f>
        <v>2160</v>
      </c>
      <c r="AH22" s="889">
        <f t="shared" ref="AH22" si="40">SUM(AA22:AG22)</f>
        <v>240102.18257898814</v>
      </c>
      <c r="AI22" s="889">
        <f>AI$16*HLOOKUP(AI$10,'P&amp;L by Ctn'!$C$8:$AG$31,'P&amp;L TOTAL &lt;150'!$A22,0)</f>
        <v>67006.443607668625</v>
      </c>
      <c r="AJ22" s="889">
        <f>AJ$16*HLOOKUP(AJ$10,'P&amp;L by Ctn'!$C$8:$AG$31,'P&amp;L TOTAL &lt;150'!$A22,0)</f>
        <v>18935.381371262003</v>
      </c>
      <c r="AK22" s="889">
        <f>AK$16*HLOOKUP(AK$10,'P&amp;L by Ctn'!$C$8:$AG$31,'P&amp;L TOTAL &lt;150'!$A22,0)</f>
        <v>50530.462952415008</v>
      </c>
      <c r="AL22" s="889">
        <f>AL$16*HLOOKUP(AL$10,'P&amp;L by Ctn'!$C$8:$AG$31,'P&amp;L TOTAL &lt;150'!$A22,0)</f>
        <v>0</v>
      </c>
      <c r="AM22" s="889">
        <f>AM$16*HLOOKUP(AM$10,'P&amp;L by Ctn'!$C$8:$AG$31,'P&amp;L TOTAL &lt;150'!$A22,0)</f>
        <v>1224</v>
      </c>
      <c r="AN22" s="889">
        <f>AN$16*HLOOKUP(AN$10,'P&amp;L by Ctn'!$C$8:$AG$31,'P&amp;L TOTAL &lt;150'!$A22,0)</f>
        <v>2472</v>
      </c>
      <c r="AO22" s="889">
        <f>AO$16*HLOOKUP(AO$10,'P&amp;L by Ctn'!$C$8:$AG$31,'P&amp;L TOTAL &lt;150'!$A22,0)</f>
        <v>2160</v>
      </c>
      <c r="AP22" s="889">
        <f t="shared" ref="AP22" si="41">SUM(AI22:AO22)</f>
        <v>142328.28793134564</v>
      </c>
      <c r="AQ22" s="889">
        <f>AQ$16*HLOOKUP(AQ$10,'P&amp;L by Ctn'!$C$8:$AG$31,'P&amp;L TOTAL &lt;150'!$A22,0)</f>
        <v>106039.29255185051</v>
      </c>
      <c r="AR22" s="889">
        <f>AR$16*HLOOKUP(AR$10,'P&amp;L by Ctn'!$C$8:$AG$31,'P&amp;L TOTAL &lt;150'!$A22,0)</f>
        <v>31558.96895210334</v>
      </c>
      <c r="AS22" s="889">
        <f>AS$16*HLOOKUP(AS$10,'P&amp;L by Ctn'!$C$8:$AG$31,'P&amp;L TOTAL &lt;150'!$A22,0)</f>
        <v>82686.212103951839</v>
      </c>
      <c r="AT22" s="889">
        <f>AT$16*HLOOKUP(AT$10,'P&amp;L by Ctn'!$C$8:$AG$31,'P&amp;L TOTAL &lt;150'!$A22,0)</f>
        <v>0</v>
      </c>
      <c r="AU22" s="889">
        <f>AU$16*HLOOKUP(AU$10,'P&amp;L by Ctn'!$C$8:$AG$31,'P&amp;L TOTAL &lt;150'!$A22,0)</f>
        <v>1224</v>
      </c>
      <c r="AV22" s="889">
        <f>AV$16*HLOOKUP(AV$10,'P&amp;L by Ctn'!$C$8:$AG$31,'P&amp;L TOTAL &lt;150'!$A22,0)</f>
        <v>4944</v>
      </c>
      <c r="AW22" s="889">
        <f>AW$16*HLOOKUP(AW$10,'P&amp;L by Ctn'!$C$8:$AG$31,'P&amp;L TOTAL &lt;150'!$A22,0)</f>
        <v>2160</v>
      </c>
      <c r="AX22" s="889">
        <f t="shared" ref="AX22" si="42">SUM(AQ22:AW22)</f>
        <v>228612.47360790567</v>
      </c>
      <c r="AY22" s="889" t="e">
        <f>AY$16*HLOOKUP(AY$10,'P&amp;L by Ctn'!$C$8:$AG$31,'P&amp;L TOTAL &lt;150'!$A22,0)</f>
        <v>#REF!</v>
      </c>
      <c r="AZ22" s="889" t="e">
        <f>AZ$16*HLOOKUP(AZ$10,'P&amp;L by Ctn'!$C$8:$AG$31,'P&amp;L TOTAL &lt;150'!$A22,0)</f>
        <v>#REF!</v>
      </c>
      <c r="BA22" s="889" t="e">
        <f>BA$16*HLOOKUP(BA$10,'P&amp;L by Ctn'!$C$8:$AG$31,'P&amp;L TOTAL &lt;150'!$A22,0)</f>
        <v>#REF!</v>
      </c>
      <c r="BB22" s="889">
        <f>BB$16*HLOOKUP(BB$10,'P&amp;L by Ctn'!$C$8:$AG$31,'P&amp;L TOTAL &lt;150'!$A22,0)</f>
        <v>0</v>
      </c>
      <c r="BC22" s="889">
        <f>BC$16*HLOOKUP(BC$10,'P&amp;L by Ctn'!$C$8:$AG$31,'P&amp;L TOTAL &lt;150'!$A22,0)</f>
        <v>0</v>
      </c>
      <c r="BD22" s="889">
        <f>BD$16*HLOOKUP(BD$10,'P&amp;L by Ctn'!$C$8:$AG$31,'P&amp;L TOTAL &lt;150'!$A22,0)</f>
        <v>1198.8000000000002</v>
      </c>
      <c r="BE22" s="889">
        <f>BE$16*HLOOKUP(BE$10,'P&amp;L by Ctn'!$C$8:$AG$31,'P&amp;L TOTAL &lt;150'!$A22,0)</f>
        <v>0</v>
      </c>
      <c r="BF22" s="889" t="e">
        <f t="shared" ref="BF22" si="43">SUM(AY22:BE22)</f>
        <v>#REF!</v>
      </c>
      <c r="BG22" s="889" t="e">
        <f>BG$16*HLOOKUP(BG$10,'P&amp;L by Ctn'!$C$8:$AG$31,'P&amp;L TOTAL &lt;150'!$A22,0)</f>
        <v>#REF!</v>
      </c>
      <c r="BH22" s="889" t="e">
        <f>BH$16*HLOOKUP(BH$10,'P&amp;L by Ctn'!$C$8:$AG$31,'P&amp;L TOTAL &lt;150'!$A22,0)</f>
        <v>#REF!</v>
      </c>
      <c r="BI22" s="889" t="e">
        <f>BI$16*HLOOKUP(BI$10,'P&amp;L by Ctn'!$C$8:$AG$31,'P&amp;L TOTAL &lt;150'!$A22,0)</f>
        <v>#REF!</v>
      </c>
      <c r="BJ22" s="889">
        <f>BJ$16*HLOOKUP(BJ$10,'P&amp;L by Ctn'!$C$8:$AG$31,'P&amp;L TOTAL &lt;150'!$A22,0)</f>
        <v>0</v>
      </c>
      <c r="BK22" s="889">
        <f>BK$16*HLOOKUP(BK$10,'P&amp;L by Ctn'!$C$8:$AG$31,'P&amp;L TOTAL &lt;150'!$A22,0)</f>
        <v>666.00000000000011</v>
      </c>
      <c r="BL22" s="889">
        <f>BL$16*HLOOKUP(BL$10,'P&amp;L by Ctn'!$C$8:$AG$31,'P&amp;L TOTAL &lt;150'!$A22,0)</f>
        <v>2397.6000000000004</v>
      </c>
      <c r="BM22" s="889">
        <f>BM$16*HLOOKUP(BM$10,'P&amp;L by Ctn'!$C$8:$AG$31,'P&amp;L TOTAL &lt;150'!$A22,0)</f>
        <v>965.70000000000016</v>
      </c>
      <c r="BN22" s="889" t="e">
        <f t="shared" ref="BN22" si="44">SUM(BG22:BM22)</f>
        <v>#REF!</v>
      </c>
      <c r="BO22" s="889" t="e">
        <f>BO$16*HLOOKUP(BO$10,'P&amp;L by Ctn'!$C$8:$AG$31,'P&amp;L TOTAL &lt;150'!$A22,0)</f>
        <v>#REF!</v>
      </c>
      <c r="BP22" s="889" t="e">
        <f>BP$16*HLOOKUP(BP$10,'P&amp;L by Ctn'!$C$8:$AG$31,'P&amp;L TOTAL &lt;150'!$A22,0)</f>
        <v>#REF!</v>
      </c>
      <c r="BQ22" s="889" t="e">
        <f>BQ$16*HLOOKUP(BQ$10,'P&amp;L by Ctn'!$C$8:$AG$31,'P&amp;L TOTAL &lt;150'!$A22,0)</f>
        <v>#REF!</v>
      </c>
      <c r="BR22" s="889">
        <f>BR$16*HLOOKUP(BR$10,'P&amp;L by Ctn'!$C$8:$AG$31,'P&amp;L TOTAL &lt;150'!$A22,0)</f>
        <v>0</v>
      </c>
      <c r="BS22" s="889">
        <f>BS$16*HLOOKUP(BS$10,'P&amp;L by Ctn'!$C$8:$AG$31,'P&amp;L TOTAL &lt;150'!$A22,0)</f>
        <v>666.00000000000011</v>
      </c>
      <c r="BT22" s="889">
        <f>BT$16*HLOOKUP(BT$10,'P&amp;L by Ctn'!$C$8:$AG$31,'P&amp;L TOTAL &lt;150'!$A22,0)</f>
        <v>1198.8000000000002</v>
      </c>
      <c r="BU22" s="889">
        <f>BU$16*HLOOKUP(BU$10,'P&amp;L by Ctn'!$C$8:$AG$31,'P&amp;L TOTAL &lt;150'!$A22,0)</f>
        <v>965.70000000000016</v>
      </c>
      <c r="BV22" s="889" t="e">
        <f t="shared" ref="BV22" si="45">SUM(BO22:BU22)</f>
        <v>#REF!</v>
      </c>
      <c r="BW22" s="889" t="e">
        <f>BW$16*HLOOKUP(BW$10,'P&amp;L by Ctn'!$C$8:$AG$31,'P&amp;L TOTAL &lt;150'!$A22,0)</f>
        <v>#REF!</v>
      </c>
      <c r="BX22" s="889" t="e">
        <f>BX$16*HLOOKUP(BX$10,'P&amp;L by Ctn'!$C$8:$AG$31,'P&amp;L TOTAL &lt;150'!$A22,0)</f>
        <v>#REF!</v>
      </c>
      <c r="BY22" s="889" t="e">
        <f>BY$16*HLOOKUP(BY$10,'P&amp;L by Ctn'!$C$8:$AG$31,'P&amp;L TOTAL &lt;150'!$A22,0)</f>
        <v>#REF!</v>
      </c>
      <c r="BZ22" s="889">
        <f>BZ$16*HLOOKUP(BZ$10,'P&amp;L by Ctn'!$C$8:$AG$31,'P&amp;L TOTAL &lt;150'!$A22,0)</f>
        <v>0</v>
      </c>
      <c r="CA22" s="889">
        <f>CA$16*HLOOKUP(CA$10,'P&amp;L by Ctn'!$C$8:$AG$31,'P&amp;L TOTAL &lt;150'!$A22,0)</f>
        <v>666.00000000000011</v>
      </c>
      <c r="CB22" s="889">
        <f>CB$16*HLOOKUP(CB$10,'P&amp;L by Ctn'!$C$8:$AG$31,'P&amp;L TOTAL &lt;150'!$A22,0)</f>
        <v>1198.8000000000002</v>
      </c>
      <c r="CC22" s="889">
        <f>CC$16*HLOOKUP(CC$10,'P&amp;L by Ctn'!$C$8:$AG$31,'P&amp;L TOTAL &lt;150'!$A22,0)</f>
        <v>0</v>
      </c>
      <c r="CD22" s="889" t="e">
        <f t="shared" ref="CD22" si="46">SUM(BW22:CC22)</f>
        <v>#REF!</v>
      </c>
      <c r="CE22" s="889" t="e">
        <f>CE$16*HLOOKUP(CE$10,'P&amp;L by Ctn'!$C$8:$AG$31,'P&amp;L TOTAL &lt;150'!$A22,0)</f>
        <v>#REF!</v>
      </c>
      <c r="CF22" s="889" t="e">
        <f>CF$16*HLOOKUP(CF$10,'P&amp;L by Ctn'!$C$8:$AG$31,'P&amp;L TOTAL &lt;150'!$A22,0)</f>
        <v>#REF!</v>
      </c>
      <c r="CG22" s="889" t="e">
        <f>CG$16*HLOOKUP(CG$10,'P&amp;L by Ctn'!$C$8:$AG$31,'P&amp;L TOTAL &lt;150'!$A22,0)</f>
        <v>#REF!</v>
      </c>
      <c r="CH22" s="889">
        <f>CH$16*HLOOKUP(CH$10,'P&amp;L by Ctn'!$C$8:$AG$31,'P&amp;L TOTAL &lt;150'!$A22,0)</f>
        <v>0</v>
      </c>
      <c r="CI22" s="889">
        <f>CI$16*HLOOKUP(CI$10,'P&amp;L by Ctn'!$C$8:$AG$31,'P&amp;L TOTAL &lt;150'!$A22,0)</f>
        <v>0</v>
      </c>
      <c r="CJ22" s="889">
        <f>CJ$16*HLOOKUP(CJ$10,'P&amp;L by Ctn'!$C$8:$AG$31,'P&amp;L TOTAL &lt;150'!$A22,0)</f>
        <v>1198.8000000000002</v>
      </c>
      <c r="CK22" s="889">
        <f>CK$16*HLOOKUP(CK$10,'P&amp;L by Ctn'!$C$8:$AG$31,'P&amp;L TOTAL &lt;150'!$A22,0)</f>
        <v>965.70000000000016</v>
      </c>
      <c r="CL22" s="889" t="e">
        <f t="shared" ref="CL22" si="47">SUM(CE22:CK22)</f>
        <v>#REF!</v>
      </c>
      <c r="CM22" s="889" t="e">
        <f>CM$16*HLOOKUP(CM$10,'P&amp;L by Ctn'!$C$8:$AG$31,'P&amp;L TOTAL &lt;150'!$A22,0)</f>
        <v>#REF!</v>
      </c>
      <c r="CN22" s="889" t="e">
        <f>CN$16*HLOOKUP(CN$10,'P&amp;L by Ctn'!$C$8:$AG$31,'P&amp;L TOTAL &lt;150'!$A22,0)</f>
        <v>#REF!</v>
      </c>
      <c r="CO22" s="889" t="e">
        <f>CO$16*HLOOKUP(CO$10,'P&amp;L by Ctn'!$C$8:$AG$31,'P&amp;L TOTAL &lt;150'!$A22,0)</f>
        <v>#REF!</v>
      </c>
      <c r="CP22" s="889">
        <f>CP$16*HLOOKUP(CP$10,'P&amp;L by Ctn'!$C$8:$AG$31,'P&amp;L TOTAL &lt;150'!$A22,0)</f>
        <v>0</v>
      </c>
      <c r="CQ22" s="889">
        <f>CQ$16*HLOOKUP(CQ$10,'P&amp;L by Ctn'!$C$8:$AG$31,'P&amp;L TOTAL &lt;150'!$A22,0)</f>
        <v>666.00000000000011</v>
      </c>
      <c r="CR22" s="889">
        <f>CR$16*HLOOKUP(CR$10,'P&amp;L by Ctn'!$C$8:$AG$31,'P&amp;L TOTAL &lt;150'!$A22,0)</f>
        <v>1198.8000000000002</v>
      </c>
      <c r="CS22" s="889">
        <f>CS$16*HLOOKUP(CS$10,'P&amp;L by Ctn'!$C$8:$AG$31,'P&amp;L TOTAL &lt;150'!$A22,0)</f>
        <v>965.70000000000016</v>
      </c>
      <c r="CT22" s="889" t="e">
        <f t="shared" ref="CT22" si="48">SUM(CM22:CS22)</f>
        <v>#REF!</v>
      </c>
      <c r="CU22" s="1030" t="e">
        <f t="shared" ref="CU22:DA22" si="49">SUMIFS($C22:$CT22,$C$14:$CT$14,CU$14)</f>
        <v>#REF!</v>
      </c>
      <c r="CV22" s="1030" t="e">
        <f t="shared" si="49"/>
        <v>#REF!</v>
      </c>
      <c r="CW22" s="1030" t="e">
        <f t="shared" si="49"/>
        <v>#REF!</v>
      </c>
      <c r="CX22" s="1030">
        <f t="shared" si="49"/>
        <v>1280</v>
      </c>
      <c r="CY22" s="1030">
        <f t="shared" si="49"/>
        <v>9869.2800000000007</v>
      </c>
      <c r="CZ22" s="1030">
        <f t="shared" si="49"/>
        <v>30613.85</v>
      </c>
      <c r="DA22" s="1030">
        <f t="shared" si="49"/>
        <v>16779.600000000002</v>
      </c>
      <c r="DB22" s="1030" t="e">
        <f>SUM(CU22:DA22)</f>
        <v>#REF!</v>
      </c>
      <c r="DC22" s="1030">
        <f>SUM(J22,R22)</f>
        <v>583639.93208804564</v>
      </c>
      <c r="DE22" s="1049" t="e">
        <f>SUM(DB22,DB24)/$DB$18</f>
        <v>#REF!</v>
      </c>
    </row>
    <row r="23" spans="1:109" x14ac:dyDescent="0.45">
      <c r="B23" s="1036" t="s">
        <v>159</v>
      </c>
      <c r="C23" s="891">
        <f t="shared" ref="C23:BN23" si="50">IFERROR(C22/C$18,0)</f>
        <v>0.13537322283293104</v>
      </c>
      <c r="D23" s="891">
        <f t="shared" si="50"/>
        <v>0.13093238737634499</v>
      </c>
      <c r="E23" s="891">
        <f t="shared" si="50"/>
        <v>0.11065013745061901</v>
      </c>
      <c r="F23" s="891">
        <f t="shared" si="50"/>
        <v>0</v>
      </c>
      <c r="G23" s="891">
        <f t="shared" si="50"/>
        <v>0</v>
      </c>
      <c r="H23" s="891">
        <f t="shared" si="50"/>
        <v>0.24939467312348668</v>
      </c>
      <c r="I23" s="891">
        <f t="shared" si="50"/>
        <v>0.2975206611570248</v>
      </c>
      <c r="J23" s="891">
        <f t="shared" si="50"/>
        <v>0.12815026452194994</v>
      </c>
      <c r="K23" s="891">
        <f t="shared" si="50"/>
        <v>0.13845753813183492</v>
      </c>
      <c r="L23" s="891">
        <f t="shared" si="50"/>
        <v>0.13773637160116131</v>
      </c>
      <c r="M23" s="891">
        <f t="shared" si="50"/>
        <v>0.11341204256182098</v>
      </c>
      <c r="N23" s="891">
        <f t="shared" si="50"/>
        <v>0</v>
      </c>
      <c r="O23" s="891">
        <f t="shared" si="50"/>
        <v>0.22767857142857142</v>
      </c>
      <c r="P23" s="891">
        <f t="shared" si="50"/>
        <v>0.24939467312348668</v>
      </c>
      <c r="Q23" s="891">
        <f t="shared" si="50"/>
        <v>0</v>
      </c>
      <c r="R23" s="891">
        <f t="shared" si="50"/>
        <v>0.12781560341332823</v>
      </c>
      <c r="S23" s="891">
        <f t="shared" si="50"/>
        <v>0.13845753813183492</v>
      </c>
      <c r="T23" s="891">
        <f t="shared" si="50"/>
        <v>0.13773637160116131</v>
      </c>
      <c r="U23" s="891">
        <f t="shared" si="50"/>
        <v>0.11341204256182098</v>
      </c>
      <c r="V23" s="891">
        <f t="shared" si="50"/>
        <v>0.13937282229965156</v>
      </c>
      <c r="W23" s="891">
        <f t="shared" si="50"/>
        <v>0.2276785714285714</v>
      </c>
      <c r="X23" s="891">
        <f t="shared" si="50"/>
        <v>0.24939467312348668</v>
      </c>
      <c r="Y23" s="891">
        <f t="shared" si="50"/>
        <v>0.2975206611570248</v>
      </c>
      <c r="Z23" s="891">
        <f t="shared" si="50"/>
        <v>0.12885615363664846</v>
      </c>
      <c r="AA23" s="891">
        <f t="shared" si="50"/>
        <v>0.13845753813183492</v>
      </c>
      <c r="AB23" s="891">
        <f t="shared" si="50"/>
        <v>0.13773637160116131</v>
      </c>
      <c r="AC23" s="891">
        <f t="shared" si="50"/>
        <v>0.113412042561821</v>
      </c>
      <c r="AD23" s="891">
        <f t="shared" si="50"/>
        <v>0</v>
      </c>
      <c r="AE23" s="891">
        <f t="shared" si="50"/>
        <v>0.2276785714285714</v>
      </c>
      <c r="AF23" s="891">
        <f t="shared" si="50"/>
        <v>0.24939467312348668</v>
      </c>
      <c r="AG23" s="891">
        <f t="shared" si="50"/>
        <v>0.2975206611570248</v>
      </c>
      <c r="AH23" s="891">
        <f t="shared" si="50"/>
        <v>0.12919548860252922</v>
      </c>
      <c r="AI23" s="891">
        <f t="shared" si="50"/>
        <v>0.13845753813183492</v>
      </c>
      <c r="AJ23" s="891">
        <f t="shared" si="50"/>
        <v>0.13773637160116128</v>
      </c>
      <c r="AK23" s="891">
        <f t="shared" si="50"/>
        <v>0.11341204256182098</v>
      </c>
      <c r="AL23" s="891">
        <f t="shared" si="50"/>
        <v>0</v>
      </c>
      <c r="AM23" s="891">
        <f t="shared" si="50"/>
        <v>0.2276785714285714</v>
      </c>
      <c r="AN23" s="891">
        <f t="shared" si="50"/>
        <v>0.24939467312348668</v>
      </c>
      <c r="AO23" s="891">
        <f t="shared" si="50"/>
        <v>0.2975206611570248</v>
      </c>
      <c r="AP23" s="891">
        <f t="shared" si="50"/>
        <v>0.1306338731651164</v>
      </c>
      <c r="AQ23" s="891">
        <f t="shared" si="50"/>
        <v>0.13845753813183492</v>
      </c>
      <c r="AR23" s="891">
        <f t="shared" si="50"/>
        <v>0.13773637160116131</v>
      </c>
      <c r="AS23" s="891">
        <f t="shared" si="50"/>
        <v>0.11341204256182098</v>
      </c>
      <c r="AT23" s="891">
        <f t="shared" si="50"/>
        <v>0</v>
      </c>
      <c r="AU23" s="891">
        <f t="shared" si="50"/>
        <v>0.2276785714285714</v>
      </c>
      <c r="AV23" s="891">
        <f t="shared" si="50"/>
        <v>0.24939467312348668</v>
      </c>
      <c r="AW23" s="891">
        <f t="shared" si="50"/>
        <v>0.2975206611570248</v>
      </c>
      <c r="AX23" s="891">
        <f t="shared" si="50"/>
        <v>0.13015040639880257</v>
      </c>
      <c r="AY23" s="891">
        <f t="shared" si="50"/>
        <v>0</v>
      </c>
      <c r="AZ23" s="891">
        <f t="shared" si="50"/>
        <v>0</v>
      </c>
      <c r="BA23" s="891">
        <f t="shared" si="50"/>
        <v>0</v>
      </c>
      <c r="BB23" s="891">
        <f t="shared" si="50"/>
        <v>0</v>
      </c>
      <c r="BC23" s="891">
        <f t="shared" si="50"/>
        <v>0</v>
      </c>
      <c r="BD23" s="891">
        <f t="shared" si="50"/>
        <v>0.20930232558139536</v>
      </c>
      <c r="BE23" s="891">
        <f t="shared" si="50"/>
        <v>0</v>
      </c>
      <c r="BF23" s="891">
        <f t="shared" si="50"/>
        <v>0</v>
      </c>
      <c r="BG23" s="891">
        <f t="shared" si="50"/>
        <v>0</v>
      </c>
      <c r="BH23" s="891">
        <f t="shared" si="50"/>
        <v>0</v>
      </c>
      <c r="BI23" s="891">
        <f t="shared" si="50"/>
        <v>0</v>
      </c>
      <c r="BJ23" s="891">
        <f t="shared" si="50"/>
        <v>0</v>
      </c>
      <c r="BK23" s="891">
        <f t="shared" si="50"/>
        <v>0.20833333333333331</v>
      </c>
      <c r="BL23" s="891">
        <f t="shared" si="50"/>
        <v>0.20930232558139536</v>
      </c>
      <c r="BM23" s="891">
        <f t="shared" si="50"/>
        <v>0.23966942148760331</v>
      </c>
      <c r="BN23" s="891">
        <f t="shared" si="50"/>
        <v>0</v>
      </c>
      <c r="BO23" s="891">
        <f t="shared" ref="BO23:DC23" si="51">IFERROR(BO22/BO$18,0)</f>
        <v>0</v>
      </c>
      <c r="BP23" s="891">
        <f t="shared" si="51"/>
        <v>0</v>
      </c>
      <c r="BQ23" s="891">
        <f t="shared" si="51"/>
        <v>0</v>
      </c>
      <c r="BR23" s="891">
        <f t="shared" si="51"/>
        <v>0</v>
      </c>
      <c r="BS23" s="891">
        <f t="shared" si="51"/>
        <v>0.20833333333333331</v>
      </c>
      <c r="BT23" s="891">
        <f t="shared" si="51"/>
        <v>0.20930232558139536</v>
      </c>
      <c r="BU23" s="891">
        <f t="shared" si="51"/>
        <v>0.23966942148760331</v>
      </c>
      <c r="BV23" s="891">
        <f t="shared" si="51"/>
        <v>0</v>
      </c>
      <c r="BW23" s="891">
        <f t="shared" si="51"/>
        <v>0</v>
      </c>
      <c r="BX23" s="891">
        <f t="shared" si="51"/>
        <v>0</v>
      </c>
      <c r="BY23" s="891">
        <f t="shared" si="51"/>
        <v>0</v>
      </c>
      <c r="BZ23" s="891">
        <f t="shared" si="51"/>
        <v>0</v>
      </c>
      <c r="CA23" s="891">
        <f t="shared" si="51"/>
        <v>0.20833333333333331</v>
      </c>
      <c r="CB23" s="891">
        <f t="shared" si="51"/>
        <v>0.20930232558139536</v>
      </c>
      <c r="CC23" s="891">
        <f t="shared" si="51"/>
        <v>0</v>
      </c>
      <c r="CD23" s="891">
        <f t="shared" si="51"/>
        <v>0</v>
      </c>
      <c r="CE23" s="891">
        <f t="shared" si="51"/>
        <v>0</v>
      </c>
      <c r="CF23" s="891">
        <f t="shared" si="51"/>
        <v>0</v>
      </c>
      <c r="CG23" s="891">
        <f t="shared" si="51"/>
        <v>0</v>
      </c>
      <c r="CH23" s="891">
        <f t="shared" si="51"/>
        <v>0</v>
      </c>
      <c r="CI23" s="891">
        <f t="shared" si="51"/>
        <v>0</v>
      </c>
      <c r="CJ23" s="891">
        <f t="shared" si="51"/>
        <v>0.20930232558139536</v>
      </c>
      <c r="CK23" s="891">
        <f t="shared" si="51"/>
        <v>0.23966942148760331</v>
      </c>
      <c r="CL23" s="891">
        <f t="shared" si="51"/>
        <v>0</v>
      </c>
      <c r="CM23" s="891">
        <f t="shared" si="51"/>
        <v>0</v>
      </c>
      <c r="CN23" s="891">
        <f t="shared" si="51"/>
        <v>0</v>
      </c>
      <c r="CO23" s="891">
        <f t="shared" si="51"/>
        <v>0</v>
      </c>
      <c r="CP23" s="891">
        <f t="shared" si="51"/>
        <v>0</v>
      </c>
      <c r="CQ23" s="891">
        <f t="shared" si="51"/>
        <v>0.20833333333333331</v>
      </c>
      <c r="CR23" s="891">
        <f t="shared" si="51"/>
        <v>0.20930232558139536</v>
      </c>
      <c r="CS23" s="891">
        <f t="shared" si="51"/>
        <v>0.23966942148760331</v>
      </c>
      <c r="CT23" s="891">
        <f t="shared" si="51"/>
        <v>0</v>
      </c>
      <c r="CU23" s="1031">
        <f t="shared" si="51"/>
        <v>0</v>
      </c>
      <c r="CV23" s="1031">
        <f t="shared" si="51"/>
        <v>0</v>
      </c>
      <c r="CW23" s="1031">
        <f t="shared" si="51"/>
        <v>0</v>
      </c>
      <c r="CX23" s="1031">
        <f t="shared" si="51"/>
        <v>0.13937282229965156</v>
      </c>
      <c r="CY23" s="1031">
        <f t="shared" si="51"/>
        <v>0.22211139597856769</v>
      </c>
      <c r="CZ23" s="1031">
        <f t="shared" si="51"/>
        <v>0.23695306310974742</v>
      </c>
      <c r="DA23" s="1031">
        <f t="shared" si="51"/>
        <v>0.28185849627091308</v>
      </c>
      <c r="DB23" s="1031">
        <f t="shared" si="51"/>
        <v>0</v>
      </c>
      <c r="DC23" s="1031">
        <f t="shared" si="51"/>
        <v>0.12801236973762195</v>
      </c>
    </row>
    <row r="24" spans="1:109" x14ac:dyDescent="0.45">
      <c r="A24">
        <v>13</v>
      </c>
      <c r="B24" s="1034" t="s">
        <v>161</v>
      </c>
      <c r="C24" s="889">
        <v>260198.39999999999</v>
      </c>
      <c r="D24" s="889">
        <v>33600</v>
      </c>
      <c r="E24" s="889">
        <f>E$16*HLOOKUP(E$10,'P&amp;L by Ctn'!$C$8:$AG$31,'P&amp;L TOTAL &lt;150'!$A24,0)</f>
        <v>0</v>
      </c>
      <c r="F24" s="889">
        <f>F$16*HLOOKUP(F$10,'P&amp;L by Ctn'!$C$8:$AG$31,'P&amp;L TOTAL &lt;150'!$A24,0)</f>
        <v>0</v>
      </c>
      <c r="G24" s="889">
        <f>G$16*HLOOKUP(G$10,'P&amp;L by Ctn'!$C$8:$AG$31,'P&amp;L TOTAL &lt;150'!$A24,0)</f>
        <v>0</v>
      </c>
      <c r="H24" s="889">
        <f>H$16*HLOOKUP(H$10,'P&amp;L by Ctn'!$C$8:$AG$31,'P&amp;L TOTAL &lt;150'!$A24,0)</f>
        <v>0</v>
      </c>
      <c r="I24" s="889">
        <f>I$16*HLOOKUP(I$10,'P&amp;L by Ctn'!$C$8:$AG$31,'P&amp;L TOTAL &lt;150'!$A24,0)</f>
        <v>0</v>
      </c>
      <c r="J24" s="889">
        <f>SUM(C24:I24)</f>
        <v>293798.40000000002</v>
      </c>
      <c r="K24" s="889">
        <f>K$16*HLOOKUP(K$10,'P&amp;L by Ctn'!$C$8:$AG$31,'P&amp;L TOTAL &lt;150'!$A24,0)</f>
        <v>110316.04687856391</v>
      </c>
      <c r="L24" s="889">
        <f>L$16*HLOOKUP(L$10,'P&amp;L by Ctn'!$C$8:$AG$31,'P&amp;L TOTAL &lt;150'!$A24,0)</f>
        <v>20517.432785834633</v>
      </c>
      <c r="M24" s="889">
        <f>M$16*HLOOKUP(M$10,'P&amp;L by Ctn'!$C$8:$AG$31,'P&amp;L TOTAL &lt;150'!$A24,0)</f>
        <v>0</v>
      </c>
      <c r="N24" s="889">
        <f>N$16*HLOOKUP(N$10,'P&amp;L by Ctn'!$C$8:$AG$31,'P&amp;L TOTAL &lt;150'!$A24,0)</f>
        <v>0</v>
      </c>
      <c r="O24" s="889">
        <f>O$16*HLOOKUP(O$10,'P&amp;L by Ctn'!$C$8:$AG$31,'P&amp;L TOTAL &lt;150'!$A24,0)</f>
        <v>0</v>
      </c>
      <c r="P24" s="889">
        <f>P$16*HLOOKUP(P$10,'P&amp;L by Ctn'!$C$8:$AG$31,'P&amp;L TOTAL &lt;150'!$A24,0)</f>
        <v>0</v>
      </c>
      <c r="Q24" s="889">
        <f>Q$16*HLOOKUP(Q$10,'P&amp;L by Ctn'!$C$8:$AG$31,'P&amp;L TOTAL &lt;150'!$A24,0)</f>
        <v>0</v>
      </c>
      <c r="R24" s="889">
        <f t="shared" ref="R24" si="52">SUM(K24:Q24)</f>
        <v>130833.47966439855</v>
      </c>
      <c r="S24" s="889">
        <f>S$16*HLOOKUP(S$10,'P&amp;L by Ctn'!$C$8:$AG$31,'P&amp;L TOTAL &lt;150'!$A24,0)</f>
        <v>163223.67075762001</v>
      </c>
      <c r="T24" s="889">
        <f>T$16*HLOOKUP(T$10,'P&amp;L by Ctn'!$C$8:$AG$31,'P&amp;L TOTAL &lt;150'!$A24,0)</f>
        <v>17360.904664936999</v>
      </c>
      <c r="U24" s="889">
        <f>U$16*HLOOKUP(U$10,'P&amp;L by Ctn'!$C$8:$AG$31,'P&amp;L TOTAL &lt;150'!$A24,0)</f>
        <v>0</v>
      </c>
      <c r="V24" s="889">
        <f>V$16*HLOOKUP(V$10,'P&amp;L by Ctn'!$C$8:$AG$31,'P&amp;L TOTAL &lt;150'!$A24,0)</f>
        <v>0</v>
      </c>
      <c r="W24" s="889">
        <f>W$16*HLOOKUP(W$10,'P&amp;L by Ctn'!$C$8:$AG$31,'P&amp;L TOTAL &lt;150'!$A24,0)</f>
        <v>0</v>
      </c>
      <c r="X24" s="889">
        <f>X$16*HLOOKUP(X$10,'P&amp;L by Ctn'!$C$8:$AG$31,'P&amp;L TOTAL &lt;150'!$A24,0)</f>
        <v>0</v>
      </c>
      <c r="Y24" s="889">
        <f>Y$16*HLOOKUP(Y$10,'P&amp;L by Ctn'!$C$8:$AG$31,'P&amp;L TOTAL &lt;150'!$A24,0)</f>
        <v>0</v>
      </c>
      <c r="Z24" s="889">
        <f t="shared" ref="Z24" si="53">SUM(S24:Y24)</f>
        <v>180584.57542255701</v>
      </c>
      <c r="AA24" s="889">
        <f>AA$16*HLOOKUP(AA$10,'P&amp;L by Ctn'!$C$8:$AG$31,'P&amp;L TOTAL &lt;150'!$A24,0)</f>
        <v>126121.50801797512</v>
      </c>
      <c r="AB24" s="889">
        <f>AB$16*HLOOKUP(AB$10,'P&amp;L by Ctn'!$C$8:$AG$31,'P&amp;L TOTAL &lt;150'!$A24,0)</f>
        <v>15782.640604488181</v>
      </c>
      <c r="AC24" s="889">
        <f>AC$16*HLOOKUP(AC$10,'P&amp;L by Ctn'!$C$8:$AG$31,'P&amp;L TOTAL &lt;150'!$A24,0)</f>
        <v>0</v>
      </c>
      <c r="AD24" s="889">
        <f>AD$16*HLOOKUP(AD$10,'P&amp;L by Ctn'!$C$8:$AG$31,'P&amp;L TOTAL &lt;150'!$A24,0)</f>
        <v>0</v>
      </c>
      <c r="AE24" s="889">
        <f>AE$16*HLOOKUP(AE$10,'P&amp;L by Ctn'!$C$8:$AG$31,'P&amp;L TOTAL &lt;150'!$A24,0)</f>
        <v>0</v>
      </c>
      <c r="AF24" s="889">
        <f>AF$16*HLOOKUP(AF$10,'P&amp;L by Ctn'!$C$8:$AG$31,'P&amp;L TOTAL &lt;150'!$A24,0)</f>
        <v>0</v>
      </c>
      <c r="AG24" s="889">
        <f>AG$16*HLOOKUP(AG$10,'P&amp;L by Ctn'!$C$8:$AG$31,'P&amp;L TOTAL &lt;150'!$A24,0)</f>
        <v>0</v>
      </c>
      <c r="AH24" s="889">
        <f t="shared" ref="AH24" si="54">SUM(AA24:AG24)</f>
        <v>141904.14862246331</v>
      </c>
      <c r="AI24" s="889">
        <f>AI$16*AI12</f>
        <v>50647.199999999997</v>
      </c>
      <c r="AJ24" s="889">
        <f t="shared" ref="AJ24:AO24" si="55">AJ$16*AJ12</f>
        <v>3600</v>
      </c>
      <c r="AK24" s="889">
        <f t="shared" si="55"/>
        <v>0</v>
      </c>
      <c r="AL24" s="889">
        <f t="shared" si="55"/>
        <v>0</v>
      </c>
      <c r="AM24" s="889">
        <f t="shared" si="55"/>
        <v>0</v>
      </c>
      <c r="AN24" s="889">
        <f t="shared" si="55"/>
        <v>0</v>
      </c>
      <c r="AO24" s="889">
        <f t="shared" si="55"/>
        <v>0</v>
      </c>
      <c r="AP24" s="889">
        <f t="shared" ref="AP24" si="56">SUM(AI24:AO24)</f>
        <v>54247.199999999997</v>
      </c>
      <c r="AQ24" s="889">
        <f>AQ$16*AQ12</f>
        <v>80150.399999999994</v>
      </c>
      <c r="AR24" s="889">
        <f t="shared" ref="AR24:AW24" si="57">AR$16*AR12</f>
        <v>6000</v>
      </c>
      <c r="AS24" s="889">
        <f t="shared" si="57"/>
        <v>0</v>
      </c>
      <c r="AT24" s="889">
        <f t="shared" si="57"/>
        <v>0</v>
      </c>
      <c r="AU24" s="889">
        <f t="shared" si="57"/>
        <v>0</v>
      </c>
      <c r="AV24" s="889">
        <f t="shared" si="57"/>
        <v>0</v>
      </c>
      <c r="AW24" s="889">
        <f t="shared" si="57"/>
        <v>0</v>
      </c>
      <c r="AX24" s="889">
        <f t="shared" ref="AX24" si="58">SUM(AQ24:AW24)</f>
        <v>86150.399999999994</v>
      </c>
      <c r="AY24" s="889" t="e">
        <f>AY$16*HLOOKUP(AY$10,'P&amp;L by Ctn'!$C$8:$AG$31,'P&amp;L TOTAL &lt;150'!$A24,0)</f>
        <v>#REF!</v>
      </c>
      <c r="AZ24" s="889" t="e">
        <f>AZ$16*HLOOKUP(AZ$10,'P&amp;L by Ctn'!$C$8:$AG$31,'P&amp;L TOTAL &lt;150'!$A24,0)</f>
        <v>#REF!</v>
      </c>
      <c r="BA24" s="889" t="e">
        <f>BA$16*HLOOKUP(BA$10,'P&amp;L by Ctn'!$C$8:$AG$31,'P&amp;L TOTAL &lt;150'!$A24,0)</f>
        <v>#REF!</v>
      </c>
      <c r="BB24" s="889">
        <f>BB$16*HLOOKUP(BB$10,'P&amp;L by Ctn'!$C$8:$AG$31,'P&amp;L TOTAL &lt;150'!$A24,0)</f>
        <v>0</v>
      </c>
      <c r="BC24" s="889">
        <f>BC$16*HLOOKUP(BC$10,'P&amp;L by Ctn'!$C$8:$AG$31,'P&amp;L TOTAL &lt;150'!$A24,0)</f>
        <v>0</v>
      </c>
      <c r="BD24" s="889">
        <f>BD$16*HLOOKUP(BD$10,'P&amp;L by Ctn'!$C$8:$AG$31,'P&amp;L TOTAL &lt;150'!$A24,0)</f>
        <v>0</v>
      </c>
      <c r="BE24" s="889">
        <f>BE$16*HLOOKUP(BE$10,'P&amp;L by Ctn'!$C$8:$AG$31,'P&amp;L TOTAL &lt;150'!$A24,0)</f>
        <v>0</v>
      </c>
      <c r="BF24" s="889" t="e">
        <f t="shared" ref="BF24" si="59">SUM(AY24:BE24)</f>
        <v>#REF!</v>
      </c>
      <c r="BG24" s="889" t="e">
        <f>BG$16*HLOOKUP(BG$10,'P&amp;L by Ctn'!$C$8:$AG$31,'P&amp;L TOTAL &lt;150'!$A24,0)</f>
        <v>#REF!</v>
      </c>
      <c r="BH24" s="889" t="e">
        <f>BH$16*HLOOKUP(BH$10,'P&amp;L by Ctn'!$C$8:$AG$31,'P&amp;L TOTAL &lt;150'!$A24,0)</f>
        <v>#REF!</v>
      </c>
      <c r="BI24" s="889" t="e">
        <f>BI$16*HLOOKUP(BI$10,'P&amp;L by Ctn'!$C$8:$AG$31,'P&amp;L TOTAL &lt;150'!$A24,0)</f>
        <v>#REF!</v>
      </c>
      <c r="BJ24" s="889">
        <f>BJ$16*HLOOKUP(BJ$10,'P&amp;L by Ctn'!$C$8:$AG$31,'P&amp;L TOTAL &lt;150'!$A24,0)</f>
        <v>0</v>
      </c>
      <c r="BK24" s="889">
        <f>BK$16*HLOOKUP(BK$10,'P&amp;L by Ctn'!$C$8:$AG$31,'P&amp;L TOTAL &lt;150'!$A24,0)</f>
        <v>0</v>
      </c>
      <c r="BL24" s="889">
        <f>BL$16*HLOOKUP(BL$10,'P&amp;L by Ctn'!$C$8:$AG$31,'P&amp;L TOTAL &lt;150'!$A24,0)</f>
        <v>0</v>
      </c>
      <c r="BM24" s="889">
        <f>BM$16*HLOOKUP(BM$10,'P&amp;L by Ctn'!$C$8:$AG$31,'P&amp;L TOTAL &lt;150'!$A24,0)</f>
        <v>0</v>
      </c>
      <c r="BN24" s="889" t="e">
        <f t="shared" ref="BN24" si="60">SUM(BG24:BM24)</f>
        <v>#REF!</v>
      </c>
      <c r="BO24" s="889" t="e">
        <f>BO$16*HLOOKUP(BO$10,'P&amp;L by Ctn'!$C$8:$AG$31,'P&amp;L TOTAL &lt;150'!$A24,0)</f>
        <v>#REF!</v>
      </c>
      <c r="BP24" s="889" t="e">
        <f>BP$16*HLOOKUP(BP$10,'P&amp;L by Ctn'!$C$8:$AG$31,'P&amp;L TOTAL &lt;150'!$A24,0)</f>
        <v>#REF!</v>
      </c>
      <c r="BQ24" s="889" t="e">
        <f>BQ$16*HLOOKUP(BQ$10,'P&amp;L by Ctn'!$C$8:$AG$31,'P&amp;L TOTAL &lt;150'!$A24,0)</f>
        <v>#REF!</v>
      </c>
      <c r="BR24" s="889">
        <f>BR$16*HLOOKUP(BR$10,'P&amp;L by Ctn'!$C$8:$AG$31,'P&amp;L TOTAL &lt;150'!$A24,0)</f>
        <v>0</v>
      </c>
      <c r="BS24" s="889">
        <f>BS$16*HLOOKUP(BS$10,'P&amp;L by Ctn'!$C$8:$AG$31,'P&amp;L TOTAL &lt;150'!$A24,0)</f>
        <v>0</v>
      </c>
      <c r="BT24" s="889">
        <f>BT$16*HLOOKUP(BT$10,'P&amp;L by Ctn'!$C$8:$AG$31,'P&amp;L TOTAL &lt;150'!$A24,0)</f>
        <v>0</v>
      </c>
      <c r="BU24" s="889">
        <f>BU$16*HLOOKUP(BU$10,'P&amp;L by Ctn'!$C$8:$AG$31,'P&amp;L TOTAL &lt;150'!$A24,0)</f>
        <v>0</v>
      </c>
      <c r="BV24" s="889" t="e">
        <f t="shared" ref="BV24" si="61">SUM(BO24:BU24)</f>
        <v>#REF!</v>
      </c>
      <c r="BW24" s="889" t="e">
        <f>BW$16*HLOOKUP(BW$10,'P&amp;L by Ctn'!$C$8:$AG$31,'P&amp;L TOTAL &lt;150'!$A24,0)</f>
        <v>#REF!</v>
      </c>
      <c r="BX24" s="889" t="e">
        <f>BX$16*HLOOKUP(BX$10,'P&amp;L by Ctn'!$C$8:$AG$31,'P&amp;L TOTAL &lt;150'!$A24,0)</f>
        <v>#REF!</v>
      </c>
      <c r="BY24" s="889" t="e">
        <f>BY$16*HLOOKUP(BY$10,'P&amp;L by Ctn'!$C$8:$AG$31,'P&amp;L TOTAL &lt;150'!$A24,0)</f>
        <v>#REF!</v>
      </c>
      <c r="BZ24" s="889">
        <f>BZ$16*HLOOKUP(BZ$10,'P&amp;L by Ctn'!$C$8:$AG$31,'P&amp;L TOTAL &lt;150'!$A24,0)</f>
        <v>0</v>
      </c>
      <c r="CA24" s="889">
        <f>CA$16*HLOOKUP(CA$10,'P&amp;L by Ctn'!$C$8:$AG$31,'P&amp;L TOTAL &lt;150'!$A24,0)</f>
        <v>0</v>
      </c>
      <c r="CB24" s="889">
        <f>CB$16*HLOOKUP(CB$10,'P&amp;L by Ctn'!$C$8:$AG$31,'P&amp;L TOTAL &lt;150'!$A24,0)</f>
        <v>0</v>
      </c>
      <c r="CC24" s="889">
        <f>CC$16*HLOOKUP(CC$10,'P&amp;L by Ctn'!$C$8:$AG$31,'P&amp;L TOTAL &lt;150'!$A24,0)</f>
        <v>0</v>
      </c>
      <c r="CD24" s="889" t="e">
        <f t="shared" ref="CD24" si="62">SUM(BW24:CC24)</f>
        <v>#REF!</v>
      </c>
      <c r="CE24" s="889" t="e">
        <f>CE$16*HLOOKUP(CE$10,'P&amp;L by Ctn'!$C$8:$AG$31,'P&amp;L TOTAL &lt;150'!$A24,0)</f>
        <v>#REF!</v>
      </c>
      <c r="CF24" s="889" t="e">
        <f>CF$16*HLOOKUP(CF$10,'P&amp;L by Ctn'!$C$8:$AG$31,'P&amp;L TOTAL &lt;150'!$A24,0)</f>
        <v>#REF!</v>
      </c>
      <c r="CG24" s="889" t="e">
        <f>CG$16*HLOOKUP(CG$10,'P&amp;L by Ctn'!$C$8:$AG$31,'P&amp;L TOTAL &lt;150'!$A24,0)</f>
        <v>#REF!</v>
      </c>
      <c r="CH24" s="889">
        <f>CH$16*HLOOKUP(CH$10,'P&amp;L by Ctn'!$C$8:$AG$31,'P&amp;L TOTAL &lt;150'!$A24,0)</f>
        <v>0</v>
      </c>
      <c r="CI24" s="889">
        <f>CI$16*HLOOKUP(CI$10,'P&amp;L by Ctn'!$C$8:$AG$31,'P&amp;L TOTAL &lt;150'!$A24,0)</f>
        <v>0</v>
      </c>
      <c r="CJ24" s="889">
        <f>CJ$16*HLOOKUP(CJ$10,'P&amp;L by Ctn'!$C$8:$AG$31,'P&amp;L TOTAL &lt;150'!$A24,0)</f>
        <v>0</v>
      </c>
      <c r="CK24" s="889">
        <f>CK$16*HLOOKUP(CK$10,'P&amp;L by Ctn'!$C$8:$AG$31,'P&amp;L TOTAL &lt;150'!$A24,0)</f>
        <v>0</v>
      </c>
      <c r="CL24" s="889" t="e">
        <f t="shared" ref="CL24" si="63">SUM(CE24:CK24)</f>
        <v>#REF!</v>
      </c>
      <c r="CM24" s="889" t="e">
        <f>CM$16*HLOOKUP(CM$10,'P&amp;L by Ctn'!$C$8:$AG$31,'P&amp;L TOTAL &lt;150'!$A24,0)</f>
        <v>#REF!</v>
      </c>
      <c r="CN24" s="889" t="e">
        <f>CN$16*HLOOKUP(CN$10,'P&amp;L by Ctn'!$C$8:$AG$31,'P&amp;L TOTAL &lt;150'!$A24,0)</f>
        <v>#REF!</v>
      </c>
      <c r="CO24" s="889" t="e">
        <f>CO$16*HLOOKUP(CO$10,'P&amp;L by Ctn'!$C$8:$AG$31,'P&amp;L TOTAL &lt;150'!$A24,0)</f>
        <v>#REF!</v>
      </c>
      <c r="CP24" s="889">
        <f>CP$16*HLOOKUP(CP$10,'P&amp;L by Ctn'!$C$8:$AG$31,'P&amp;L TOTAL &lt;150'!$A24,0)</f>
        <v>0</v>
      </c>
      <c r="CQ24" s="889">
        <f>CQ$16*HLOOKUP(CQ$10,'P&amp;L by Ctn'!$C$8:$AG$31,'P&amp;L TOTAL &lt;150'!$A24,0)</f>
        <v>0</v>
      </c>
      <c r="CR24" s="889">
        <f>CR$16*HLOOKUP(CR$10,'P&amp;L by Ctn'!$C$8:$AG$31,'P&amp;L TOTAL &lt;150'!$A24,0)</f>
        <v>0</v>
      </c>
      <c r="CS24" s="889">
        <f>CS$16*HLOOKUP(CS$10,'P&amp;L by Ctn'!$C$8:$AG$31,'P&amp;L TOTAL &lt;150'!$A24,0)</f>
        <v>0</v>
      </c>
      <c r="CT24" s="889" t="e">
        <f t="shared" ref="CT24" si="64">SUM(CM24:CS24)</f>
        <v>#REF!</v>
      </c>
      <c r="CU24" s="1030" t="e">
        <f t="shared" ref="CU24:DA24" si="65">SUMIFS($C24:$CT24,$C$14:$CT$14,CU$14)</f>
        <v>#REF!</v>
      </c>
      <c r="CV24" s="1030" t="e">
        <f t="shared" si="65"/>
        <v>#REF!</v>
      </c>
      <c r="CW24" s="1030" t="e">
        <f t="shared" si="65"/>
        <v>#REF!</v>
      </c>
      <c r="CX24" s="1030">
        <f t="shared" si="65"/>
        <v>0</v>
      </c>
      <c r="CY24" s="1030">
        <f t="shared" si="65"/>
        <v>0</v>
      </c>
      <c r="CZ24" s="1030">
        <f t="shared" si="65"/>
        <v>0</v>
      </c>
      <c r="DA24" s="1030">
        <f t="shared" si="65"/>
        <v>0</v>
      </c>
      <c r="DB24" s="1030" t="e">
        <f>SUM(CU24:DA24)</f>
        <v>#REF!</v>
      </c>
      <c r="DC24" s="1030">
        <f>SUM(J24,R24)</f>
        <v>424631.87966439856</v>
      </c>
    </row>
    <row r="25" spans="1:109" x14ac:dyDescent="0.45">
      <c r="B25" s="1036" t="s">
        <v>162</v>
      </c>
      <c r="C25" s="891">
        <f t="shared" ref="C25:BN25" si="66">IFERROR(C24/C$18,0)</f>
        <v>0.17494385719948014</v>
      </c>
      <c r="D25" s="891">
        <f t="shared" si="66"/>
        <v>9.1652671163441501E-2</v>
      </c>
      <c r="E25" s="891">
        <f t="shared" si="66"/>
        <v>0</v>
      </c>
      <c r="F25" s="891">
        <f t="shared" si="66"/>
        <v>0</v>
      </c>
      <c r="G25" s="891">
        <f t="shared" si="66"/>
        <v>0</v>
      </c>
      <c r="H25" s="891">
        <f t="shared" si="66"/>
        <v>0</v>
      </c>
      <c r="I25" s="891">
        <f t="shared" si="66"/>
        <v>0</v>
      </c>
      <c r="J25" s="891">
        <f t="shared" si="66"/>
        <v>0.10960007159927221</v>
      </c>
      <c r="K25" s="891">
        <f t="shared" si="66"/>
        <v>0.15438421719750492</v>
      </c>
      <c r="L25" s="891">
        <f t="shared" si="66"/>
        <v>6.8881960448282611E-2</v>
      </c>
      <c r="M25" s="891">
        <f t="shared" si="66"/>
        <v>0</v>
      </c>
      <c r="N25" s="891">
        <f t="shared" si="66"/>
        <v>0</v>
      </c>
      <c r="O25" s="891">
        <f t="shared" si="66"/>
        <v>0</v>
      </c>
      <c r="P25" s="891">
        <f t="shared" si="66"/>
        <v>0</v>
      </c>
      <c r="Q25" s="891">
        <f t="shared" si="66"/>
        <v>0</v>
      </c>
      <c r="R25" s="891">
        <f t="shared" si="66"/>
        <v>6.9643924581307359E-2</v>
      </c>
      <c r="S25" s="891">
        <f t="shared" si="66"/>
        <v>0.15438421719750495</v>
      </c>
      <c r="T25" s="891">
        <f t="shared" si="66"/>
        <v>6.8881960448282611E-2</v>
      </c>
      <c r="U25" s="891">
        <f t="shared" si="66"/>
        <v>0</v>
      </c>
      <c r="V25" s="891">
        <f t="shared" si="66"/>
        <v>0</v>
      </c>
      <c r="W25" s="891">
        <f t="shared" si="66"/>
        <v>0</v>
      </c>
      <c r="X25" s="891">
        <f t="shared" si="66"/>
        <v>0</v>
      </c>
      <c r="Y25" s="891">
        <f t="shared" si="66"/>
        <v>0</v>
      </c>
      <c r="Z25" s="891">
        <f t="shared" si="66"/>
        <v>6.8431478917963556E-2</v>
      </c>
      <c r="AA25" s="891">
        <f t="shared" si="66"/>
        <v>0.15438421719750495</v>
      </c>
      <c r="AB25" s="891">
        <f t="shared" si="66"/>
        <v>6.8881960448282611E-2</v>
      </c>
      <c r="AC25" s="891">
        <f t="shared" si="66"/>
        <v>0</v>
      </c>
      <c r="AD25" s="891">
        <f t="shared" si="66"/>
        <v>0</v>
      </c>
      <c r="AE25" s="891">
        <f t="shared" si="66"/>
        <v>0</v>
      </c>
      <c r="AF25" s="891">
        <f t="shared" si="66"/>
        <v>0</v>
      </c>
      <c r="AG25" s="891">
        <f t="shared" si="66"/>
        <v>0</v>
      </c>
      <c r="AH25" s="891">
        <f t="shared" si="66"/>
        <v>7.6356556275675697E-2</v>
      </c>
      <c r="AI25" s="891">
        <f t="shared" si="66"/>
        <v>0.10465391457468902</v>
      </c>
      <c r="AJ25" s="891">
        <f t="shared" si="66"/>
        <v>2.6186477475269001E-2</v>
      </c>
      <c r="AK25" s="891">
        <f t="shared" si="66"/>
        <v>0</v>
      </c>
      <c r="AL25" s="891">
        <f t="shared" si="66"/>
        <v>0</v>
      </c>
      <c r="AM25" s="891">
        <f t="shared" si="66"/>
        <v>0</v>
      </c>
      <c r="AN25" s="891">
        <f t="shared" si="66"/>
        <v>0</v>
      </c>
      <c r="AO25" s="891">
        <f t="shared" si="66"/>
        <v>0</v>
      </c>
      <c r="AP25" s="891">
        <f t="shared" si="66"/>
        <v>4.9789974623885035E-2</v>
      </c>
      <c r="AQ25" s="891">
        <f t="shared" si="66"/>
        <v>0.10465391457468902</v>
      </c>
      <c r="AR25" s="891">
        <f t="shared" si="66"/>
        <v>2.6186477475269004E-2</v>
      </c>
      <c r="AS25" s="891">
        <f t="shared" si="66"/>
        <v>0</v>
      </c>
      <c r="AT25" s="891">
        <f t="shared" si="66"/>
        <v>0</v>
      </c>
      <c r="AU25" s="891">
        <f t="shared" si="66"/>
        <v>0</v>
      </c>
      <c r="AV25" s="891">
        <f t="shared" si="66"/>
        <v>0</v>
      </c>
      <c r="AW25" s="891">
        <f t="shared" si="66"/>
        <v>0</v>
      </c>
      <c r="AX25" s="891">
        <f t="shared" si="66"/>
        <v>4.9045922098940362E-2</v>
      </c>
      <c r="AY25" s="891">
        <f t="shared" si="66"/>
        <v>0</v>
      </c>
      <c r="AZ25" s="891">
        <f t="shared" si="66"/>
        <v>0</v>
      </c>
      <c r="BA25" s="891">
        <f t="shared" si="66"/>
        <v>0</v>
      </c>
      <c r="BB25" s="891">
        <f t="shared" si="66"/>
        <v>0</v>
      </c>
      <c r="BC25" s="891">
        <f t="shared" si="66"/>
        <v>0</v>
      </c>
      <c r="BD25" s="891">
        <f t="shared" si="66"/>
        <v>0</v>
      </c>
      <c r="BE25" s="891">
        <f t="shared" si="66"/>
        <v>0</v>
      </c>
      <c r="BF25" s="891">
        <f t="shared" si="66"/>
        <v>0</v>
      </c>
      <c r="BG25" s="891">
        <f t="shared" si="66"/>
        <v>0</v>
      </c>
      <c r="BH25" s="891">
        <f t="shared" si="66"/>
        <v>0</v>
      </c>
      <c r="BI25" s="891">
        <f t="shared" si="66"/>
        <v>0</v>
      </c>
      <c r="BJ25" s="891">
        <f t="shared" si="66"/>
        <v>0</v>
      </c>
      <c r="BK25" s="891">
        <f t="shared" si="66"/>
        <v>0</v>
      </c>
      <c r="BL25" s="891">
        <f t="shared" si="66"/>
        <v>0</v>
      </c>
      <c r="BM25" s="891">
        <f t="shared" si="66"/>
        <v>0</v>
      </c>
      <c r="BN25" s="891">
        <f t="shared" si="66"/>
        <v>0</v>
      </c>
      <c r="BO25" s="891">
        <f t="shared" ref="BO25:DC25" si="67">IFERROR(BO24/BO$18,0)</f>
        <v>0</v>
      </c>
      <c r="BP25" s="891">
        <f t="shared" si="67"/>
        <v>0</v>
      </c>
      <c r="BQ25" s="891">
        <f t="shared" si="67"/>
        <v>0</v>
      </c>
      <c r="BR25" s="891">
        <f t="shared" si="67"/>
        <v>0</v>
      </c>
      <c r="BS25" s="891">
        <f t="shared" si="67"/>
        <v>0</v>
      </c>
      <c r="BT25" s="891">
        <f t="shared" si="67"/>
        <v>0</v>
      </c>
      <c r="BU25" s="891">
        <f t="shared" si="67"/>
        <v>0</v>
      </c>
      <c r="BV25" s="891">
        <f t="shared" si="67"/>
        <v>0</v>
      </c>
      <c r="BW25" s="891">
        <f t="shared" si="67"/>
        <v>0</v>
      </c>
      <c r="BX25" s="891">
        <f t="shared" si="67"/>
        <v>0</v>
      </c>
      <c r="BY25" s="891">
        <f t="shared" si="67"/>
        <v>0</v>
      </c>
      <c r="BZ25" s="891">
        <f t="shared" si="67"/>
        <v>0</v>
      </c>
      <c r="CA25" s="891">
        <f t="shared" si="67"/>
        <v>0</v>
      </c>
      <c r="CB25" s="891">
        <f t="shared" si="67"/>
        <v>0</v>
      </c>
      <c r="CC25" s="891">
        <f t="shared" si="67"/>
        <v>0</v>
      </c>
      <c r="CD25" s="891">
        <f t="shared" si="67"/>
        <v>0</v>
      </c>
      <c r="CE25" s="891">
        <f t="shared" si="67"/>
        <v>0</v>
      </c>
      <c r="CF25" s="891">
        <f t="shared" si="67"/>
        <v>0</v>
      </c>
      <c r="CG25" s="891">
        <f t="shared" si="67"/>
        <v>0</v>
      </c>
      <c r="CH25" s="891">
        <f t="shared" si="67"/>
        <v>0</v>
      </c>
      <c r="CI25" s="891">
        <f t="shared" si="67"/>
        <v>0</v>
      </c>
      <c r="CJ25" s="891">
        <f t="shared" si="67"/>
        <v>0</v>
      </c>
      <c r="CK25" s="891">
        <f t="shared" si="67"/>
        <v>0</v>
      </c>
      <c r="CL25" s="891">
        <f t="shared" si="67"/>
        <v>0</v>
      </c>
      <c r="CM25" s="891">
        <f t="shared" si="67"/>
        <v>0</v>
      </c>
      <c r="CN25" s="891">
        <f t="shared" si="67"/>
        <v>0</v>
      </c>
      <c r="CO25" s="891">
        <f t="shared" si="67"/>
        <v>0</v>
      </c>
      <c r="CP25" s="891">
        <f t="shared" si="67"/>
        <v>0</v>
      </c>
      <c r="CQ25" s="891">
        <f t="shared" si="67"/>
        <v>0</v>
      </c>
      <c r="CR25" s="891">
        <f t="shared" si="67"/>
        <v>0</v>
      </c>
      <c r="CS25" s="891">
        <f t="shared" si="67"/>
        <v>0</v>
      </c>
      <c r="CT25" s="891">
        <f t="shared" si="67"/>
        <v>0</v>
      </c>
      <c r="CU25" s="1031">
        <f t="shared" si="67"/>
        <v>0</v>
      </c>
      <c r="CV25" s="1031">
        <f t="shared" si="67"/>
        <v>0</v>
      </c>
      <c r="CW25" s="1031">
        <f t="shared" si="67"/>
        <v>0</v>
      </c>
      <c r="CX25" s="1031">
        <f t="shared" si="67"/>
        <v>0</v>
      </c>
      <c r="CY25" s="1031">
        <f t="shared" si="67"/>
        <v>0</v>
      </c>
      <c r="CZ25" s="1031">
        <f t="shared" si="67"/>
        <v>0</v>
      </c>
      <c r="DA25" s="1031">
        <f t="shared" si="67"/>
        <v>0</v>
      </c>
      <c r="DB25" s="1031">
        <f t="shared" si="67"/>
        <v>0</v>
      </c>
      <c r="DC25" s="1031">
        <f t="shared" si="67"/>
        <v>9.3136418866178822E-2</v>
      </c>
    </row>
    <row r="26" spans="1:109" x14ac:dyDescent="0.45">
      <c r="A26">
        <v>15</v>
      </c>
      <c r="B26" s="1034" t="s">
        <v>78</v>
      </c>
      <c r="C26" s="889">
        <f>C$16*HLOOKUP(C$10,'P&amp;L by Ctn'!$C$8:$AG$31,'P&amp;L TOTAL &lt;150'!$A26,0)</f>
        <v>35584.86202407493</v>
      </c>
      <c r="D26" s="889">
        <f>D$16*HLOOKUP(D$10,'P&amp;L by Ctn'!$C$8:$AG$31,'P&amp;L TOTAL &lt;150'!$A26,0)</f>
        <v>6437.7613567399767</v>
      </c>
      <c r="E26" s="889">
        <f>E$16*HLOOKUP(E$10,'P&amp;L by Ctn'!$C$8:$AG$31,'P&amp;L TOTAL &lt;150'!$A26,0)</f>
        <v>15543.483298581788</v>
      </c>
      <c r="F26" s="889">
        <f>F$16*HLOOKUP(F$10,'P&amp;L by Ctn'!$C$8:$AG$31,'P&amp;L TOTAL &lt;150'!$A26,0)</f>
        <v>0</v>
      </c>
      <c r="G26" s="889">
        <f>G$16*HLOOKUP(G$10,'P&amp;L by Ctn'!$C$8:$AG$31,'P&amp;L TOTAL &lt;150'!$A26,0)</f>
        <v>0</v>
      </c>
      <c r="H26" s="889">
        <f>H$16*HLOOKUP(H$10,'P&amp;L by Ctn'!$C$8:$AG$31,'P&amp;L TOTAL &lt;150'!$A26,0)</f>
        <v>92.139209627926704</v>
      </c>
      <c r="I26" s="889">
        <f>I$16*HLOOKUP(I$10,'P&amp;L by Ctn'!$C$8:$AG$31,'P&amp;L TOTAL &lt;150'!$A26,0)</f>
        <v>97.197933247013026</v>
      </c>
      <c r="J26" s="889">
        <f>SUM(C26:I26)</f>
        <v>57755.443822271627</v>
      </c>
      <c r="K26" s="889">
        <f>K$16*HLOOKUP(K$10,'P&amp;L by Ctn'!$C$8:$AG$31,'P&amp;L TOTAL &lt;150'!$A26,0)</f>
        <v>17096.025342183373</v>
      </c>
      <c r="L26" s="889">
        <f>L$16*HLOOKUP(L$10,'P&amp;L by Ctn'!$C$8:$AG$31,'P&amp;L TOTAL &lt;150'!$A26,0)</f>
        <v>5230.6811023512309</v>
      </c>
      <c r="M26" s="889">
        <f>M$16*HLOOKUP(M$10,'P&amp;L by Ctn'!$C$8:$AG$31,'P&amp;L TOTAL &lt;150'!$A26,0)</f>
        <v>16341.84864238973</v>
      </c>
      <c r="N26" s="889">
        <f>N$16*HLOOKUP(N$10,'P&amp;L by Ctn'!$C$8:$AG$31,'P&amp;L TOTAL &lt;150'!$A26,0)</f>
        <v>0</v>
      </c>
      <c r="O26" s="889">
        <f>O$16*HLOOKUP(O$10,'P&amp;L by Ctn'!$C$8:$AG$31,'P&amp;L TOTAL &lt;150'!$A26,0)</f>
        <v>41.821298044680482</v>
      </c>
      <c r="P26" s="889">
        <f>P$16*HLOOKUP(P$10,'P&amp;L by Ctn'!$C$8:$AG$31,'P&amp;L TOTAL &lt;150'!$A26,0)</f>
        <v>91.179426194302465</v>
      </c>
      <c r="Q26" s="889">
        <f>Q$16*HLOOKUP(Q$10,'P&amp;L by Ctn'!$C$8:$AG$31,'P&amp;L TOTAL &lt;150'!$A26,0)</f>
        <v>0</v>
      </c>
      <c r="R26" s="889">
        <f t="shared" ref="R26" si="68">SUM(K26:Q26)</f>
        <v>38801.555811163307</v>
      </c>
      <c r="S26" s="889">
        <f>S$16*HLOOKUP(S$10,'P&amp;L by Ctn'!$C$8:$AG$31,'P&amp;L TOTAL &lt;150'!$A26,0)</f>
        <v>25295.286503406231</v>
      </c>
      <c r="T26" s="889">
        <f>T$16*HLOOKUP(T$10,'P&amp;L by Ctn'!$C$8:$AG$31,'P&amp;L TOTAL &lt;150'!$A26,0)</f>
        <v>4425.9609327587341</v>
      </c>
      <c r="U26" s="889">
        <f>U$16*HLOOKUP(U$10,'P&amp;L by Ctn'!$C$8:$AG$31,'P&amp;L TOTAL &lt;150'!$A26,0)</f>
        <v>24298.670872069571</v>
      </c>
      <c r="V26" s="889">
        <f>V$16*HLOOKUP(V$10,'P&amp;L by Ctn'!$C$8:$AG$31,'P&amp;L TOTAL &lt;150'!$A26,0)</f>
        <v>188.20146795353406</v>
      </c>
      <c r="W26" s="889">
        <f>W$16*HLOOKUP(W$10,'P&amp;L by Ctn'!$C$8:$AG$31,'P&amp;L TOTAL &lt;150'!$A26,0)</f>
        <v>85.368321294014152</v>
      </c>
      <c r="X26" s="889">
        <f>X$16*HLOOKUP(X$10,'P&amp;L by Ctn'!$C$8:$AG$31,'P&amp;L TOTAL &lt;150'!$A26,0)</f>
        <v>276.41762888378014</v>
      </c>
      <c r="Y26" s="889">
        <f>Y$16*HLOOKUP(Y$10,'P&amp;L by Ctn'!$C$8:$AG$31,'P&amp;L TOTAL &lt;150'!$A26,0)</f>
        <v>198.36312907553679</v>
      </c>
      <c r="Z26" s="889">
        <f t="shared" ref="Z26" si="69">SUM(S26:Y26)</f>
        <v>54768.268855441405</v>
      </c>
      <c r="AA26" s="889">
        <f>AA$16*HLOOKUP(AA$10,'P&amp;L by Ctn'!$C$8:$AG$31,'P&amp;L TOTAL &lt;150'!$A26,0)</f>
        <v>19545.447451024134</v>
      </c>
      <c r="AB26" s="889">
        <f>AB$16*HLOOKUP(AB$10,'P&amp;L by Ctn'!$C$8:$AG$31,'P&amp;L TOTAL &lt;150'!$A26,0)</f>
        <v>4023.6008479624852</v>
      </c>
      <c r="AC26" s="889">
        <f>AC$16*HLOOKUP(AC$10,'P&amp;L by Ctn'!$C$8:$AG$31,'P&amp;L TOTAL &lt;150'!$A26,0)</f>
        <v>15162.370624171412</v>
      </c>
      <c r="AD26" s="889">
        <f>AD$16*HLOOKUP(AD$10,'P&amp;L by Ctn'!$C$8:$AG$31,'P&amp;L TOTAL &lt;150'!$A26,0)</f>
        <v>0</v>
      </c>
      <c r="AE26" s="889">
        <f>AE$16*HLOOKUP(AE$10,'P&amp;L by Ctn'!$C$8:$AG$31,'P&amp;L TOTAL &lt;150'!$A26,0)</f>
        <v>44.06106905497505</v>
      </c>
      <c r="AF26" s="889">
        <f>AF$16*HLOOKUP(AF$10,'P&amp;L by Ctn'!$C$8:$AG$31,'P&amp;L TOTAL &lt;150'!$A26,0)</f>
        <v>92.139209627926704</v>
      </c>
      <c r="AG26" s="889">
        <f>AG$16*HLOOKUP(AG$10,'P&amp;L by Ctn'!$C$8:$AG$31,'P&amp;L TOTAL &lt;150'!$A26,0)</f>
        <v>99.181564537768395</v>
      </c>
      <c r="AH26" s="889">
        <f t="shared" ref="AH26" si="70">SUM(AA26:AG26)</f>
        <v>38966.800766378699</v>
      </c>
      <c r="AI26" s="889">
        <f>AI$16*HLOOKUP(AI$10,'P&amp;L by Ctn'!$C$8:$AG$31,'P&amp;L TOTAL &lt;150'!$A26,0)</f>
        <v>11578.687296380493</v>
      </c>
      <c r="AJ26" s="889">
        <f>AJ$16*HLOOKUP(AJ$10,'P&amp;L by Ctn'!$C$8:$AG$31,'P&amp;L TOTAL &lt;150'!$A26,0)</f>
        <v>2414.160508777491</v>
      </c>
      <c r="AK26" s="889">
        <f>AK$16*HLOOKUP(AK$10,'P&amp;L by Ctn'!$C$8:$AG$31,'P&amp;L TOTAL &lt;150'!$A26,0)</f>
        <v>8553.1321469684881</v>
      </c>
      <c r="AL26" s="889">
        <f>AL$16*HLOOKUP(AL$10,'P&amp;L by Ctn'!$C$8:$AG$31,'P&amp;L TOTAL &lt;150'!$A26,0)</f>
        <v>0</v>
      </c>
      <c r="AM26" s="889">
        <f>AM$16*HLOOKUP(AM$10,'P&amp;L by Ctn'!$C$8:$AG$31,'P&amp;L TOTAL &lt;150'!$A26,0)</f>
        <v>44.06106905497505</v>
      </c>
      <c r="AN26" s="889">
        <f>AN$16*HLOOKUP(AN$10,'P&amp;L by Ctn'!$C$8:$AG$31,'P&amp;L TOTAL &lt;150'!$A26,0)</f>
        <v>92.139209627926704</v>
      </c>
      <c r="AO26" s="889">
        <f>AO$16*HLOOKUP(AO$10,'P&amp;L by Ctn'!$C$8:$AG$31,'P&amp;L TOTAL &lt;150'!$A26,0)</f>
        <v>99.181564537768395</v>
      </c>
      <c r="AP26" s="889">
        <f t="shared" ref="AP26" si="71">SUM(AI26:AO26)</f>
        <v>22781.361795347144</v>
      </c>
      <c r="AQ26" s="889">
        <f>AQ$16*HLOOKUP(AQ$10,'P&amp;L by Ctn'!$C$8:$AG$31,'P&amp;L TOTAL &lt;150'!$A26,0)</f>
        <v>18323.548355680374</v>
      </c>
      <c r="AR26" s="889">
        <f>AR$16*HLOOKUP(AR$10,'P&amp;L by Ctn'!$C$8:$AG$31,'P&amp;L TOTAL &lt;150'!$A26,0)</f>
        <v>4023.6008479624852</v>
      </c>
      <c r="AS26" s="889">
        <f>AS$16*HLOOKUP(AS$10,'P&amp;L by Ctn'!$C$8:$AG$31,'P&amp;L TOTAL &lt;150'!$A26,0)</f>
        <v>13996.034422312072</v>
      </c>
      <c r="AT26" s="889">
        <f>AT$16*HLOOKUP(AT$10,'P&amp;L by Ctn'!$C$8:$AG$31,'P&amp;L TOTAL &lt;150'!$A26,0)</f>
        <v>0</v>
      </c>
      <c r="AU26" s="889">
        <f>AU$16*HLOOKUP(AU$10,'P&amp;L by Ctn'!$C$8:$AG$31,'P&amp;L TOTAL &lt;150'!$A26,0)</f>
        <v>44.06106905497505</v>
      </c>
      <c r="AV26" s="889">
        <f>AV$16*HLOOKUP(AV$10,'P&amp;L by Ctn'!$C$8:$AG$31,'P&amp;L TOTAL &lt;150'!$A26,0)</f>
        <v>184.27841925585341</v>
      </c>
      <c r="AW26" s="889">
        <f>AW$16*HLOOKUP(AW$10,'P&amp;L by Ctn'!$C$8:$AG$31,'P&amp;L TOTAL &lt;150'!$A26,0)</f>
        <v>99.181564537768395</v>
      </c>
      <c r="AX26" s="889">
        <f t="shared" ref="AX26" si="72">SUM(AQ26:AW26)</f>
        <v>36670.70467880353</v>
      </c>
      <c r="AY26" s="889" t="e">
        <f>AY$16*HLOOKUP(AY$10,'P&amp;L by Ctn'!$C$8:$AG$31,'P&amp;L TOTAL &lt;150'!$A26,0)</f>
        <v>#REF!</v>
      </c>
      <c r="AZ26" s="889" t="e">
        <f>AZ$16*HLOOKUP(AZ$10,'P&amp;L by Ctn'!$C$8:$AG$31,'P&amp;L TOTAL &lt;150'!$A26,0)</f>
        <v>#REF!</v>
      </c>
      <c r="BA26" s="889" t="e">
        <f>BA$16*HLOOKUP(BA$10,'P&amp;L by Ctn'!$C$8:$AG$31,'P&amp;L TOTAL &lt;150'!$A26,0)</f>
        <v>#REF!</v>
      </c>
      <c r="BB26" s="889">
        <f>BB$16*HLOOKUP(BB$10,'P&amp;L by Ctn'!$C$8:$AG$31,'P&amp;L TOTAL &lt;150'!$A26,0)</f>
        <v>0</v>
      </c>
      <c r="BC26" s="889">
        <f>BC$16*HLOOKUP(BC$10,'P&amp;L by Ctn'!$C$8:$AG$31,'P&amp;L TOTAL &lt;150'!$A26,0)</f>
        <v>0</v>
      </c>
      <c r="BD26" s="889">
        <f>BD$16*HLOOKUP(BD$10,'P&amp;L by Ctn'!$C$8:$AG$31,'P&amp;L TOTAL &lt;150'!$A26,0)</f>
        <v>51.137261343499333</v>
      </c>
      <c r="BE26" s="889">
        <f>BE$16*HLOOKUP(BE$10,'P&amp;L by Ctn'!$C$8:$AG$31,'P&amp;L TOTAL &lt;150'!$A26,0)</f>
        <v>0</v>
      </c>
      <c r="BF26" s="889" t="e">
        <f t="shared" ref="BF26" si="73">SUM(AY26:BE26)</f>
        <v>#REF!</v>
      </c>
      <c r="BG26" s="889" t="e">
        <f>BG$16*HLOOKUP(BG$10,'P&amp;L by Ctn'!$C$8:$AG$31,'P&amp;L TOTAL &lt;150'!$A26,0)</f>
        <v>#REF!</v>
      </c>
      <c r="BH26" s="889" t="e">
        <f>BH$16*HLOOKUP(BH$10,'P&amp;L by Ctn'!$C$8:$AG$31,'P&amp;L TOTAL &lt;150'!$A26,0)</f>
        <v>#REF!</v>
      </c>
      <c r="BI26" s="889" t="e">
        <f>BI$16*HLOOKUP(BI$10,'P&amp;L by Ctn'!$C$8:$AG$31,'P&amp;L TOTAL &lt;150'!$A26,0)</f>
        <v>#REF!</v>
      </c>
      <c r="BJ26" s="889">
        <f>BJ$16*HLOOKUP(BJ$10,'P&amp;L by Ctn'!$C$8:$AG$31,'P&amp;L TOTAL &lt;150'!$A26,0)</f>
        <v>0</v>
      </c>
      <c r="BK26" s="889">
        <f>BK$16*HLOOKUP(BK$10,'P&amp;L by Ctn'!$C$8:$AG$31,'P&amp;L TOTAL &lt;150'!$A26,0)</f>
        <v>24.453893325511157</v>
      </c>
      <c r="BL26" s="889">
        <f>BL$16*HLOOKUP(BL$10,'P&amp;L by Ctn'!$C$8:$AG$31,'P&amp;L TOTAL &lt;150'!$A26,0)</f>
        <v>102.27452268699867</v>
      </c>
      <c r="BM26" s="889">
        <f>BM$16*HLOOKUP(BM$10,'P&amp;L by Ctn'!$C$8:$AG$31,'P&amp;L TOTAL &lt;150'!$A26,0)</f>
        <v>55.045768318461469</v>
      </c>
      <c r="BN26" s="889" t="e">
        <f t="shared" ref="BN26" si="74">SUM(BG26:BM26)</f>
        <v>#REF!</v>
      </c>
      <c r="BO26" s="889" t="e">
        <f>BO$16*HLOOKUP(BO$10,'P&amp;L by Ctn'!$C$8:$AG$31,'P&amp;L TOTAL &lt;150'!$A26,0)</f>
        <v>#REF!</v>
      </c>
      <c r="BP26" s="889" t="e">
        <f>BP$16*HLOOKUP(BP$10,'P&amp;L by Ctn'!$C$8:$AG$31,'P&amp;L TOTAL &lt;150'!$A26,0)</f>
        <v>#REF!</v>
      </c>
      <c r="BQ26" s="889" t="e">
        <f>BQ$16*HLOOKUP(BQ$10,'P&amp;L by Ctn'!$C$8:$AG$31,'P&amp;L TOTAL &lt;150'!$A26,0)</f>
        <v>#REF!</v>
      </c>
      <c r="BR26" s="889">
        <f>BR$16*HLOOKUP(BR$10,'P&amp;L by Ctn'!$C$8:$AG$31,'P&amp;L TOTAL &lt;150'!$A26,0)</f>
        <v>0</v>
      </c>
      <c r="BS26" s="889">
        <f>BS$16*HLOOKUP(BS$10,'P&amp;L by Ctn'!$C$8:$AG$31,'P&amp;L TOTAL &lt;150'!$A26,0)</f>
        <v>24.453893325511157</v>
      </c>
      <c r="BT26" s="889">
        <f>BT$16*HLOOKUP(BT$10,'P&amp;L by Ctn'!$C$8:$AG$31,'P&amp;L TOTAL &lt;150'!$A26,0)</f>
        <v>51.137261343499333</v>
      </c>
      <c r="BU26" s="889">
        <f>BU$16*HLOOKUP(BU$10,'P&amp;L by Ctn'!$C$8:$AG$31,'P&amp;L TOTAL &lt;150'!$A26,0)</f>
        <v>55.045768318461469</v>
      </c>
      <c r="BV26" s="889" t="e">
        <f t="shared" ref="BV26" si="75">SUM(BO26:BU26)</f>
        <v>#REF!</v>
      </c>
      <c r="BW26" s="889" t="e">
        <f>BW$16*HLOOKUP(BW$10,'P&amp;L by Ctn'!$C$8:$AG$31,'P&amp;L TOTAL &lt;150'!$A26,0)</f>
        <v>#REF!</v>
      </c>
      <c r="BX26" s="889" t="e">
        <f>BX$16*HLOOKUP(BX$10,'P&amp;L by Ctn'!$C$8:$AG$31,'P&amp;L TOTAL &lt;150'!$A26,0)</f>
        <v>#REF!</v>
      </c>
      <c r="BY26" s="889" t="e">
        <f>BY$16*HLOOKUP(BY$10,'P&amp;L by Ctn'!$C$8:$AG$31,'P&amp;L TOTAL &lt;150'!$A26,0)</f>
        <v>#REF!</v>
      </c>
      <c r="BZ26" s="889">
        <f>BZ$16*HLOOKUP(BZ$10,'P&amp;L by Ctn'!$C$8:$AG$31,'P&amp;L TOTAL &lt;150'!$A26,0)</f>
        <v>0</v>
      </c>
      <c r="CA26" s="889">
        <f>CA$16*HLOOKUP(CA$10,'P&amp;L by Ctn'!$C$8:$AG$31,'P&amp;L TOTAL &lt;150'!$A26,0)</f>
        <v>24.453893325511157</v>
      </c>
      <c r="CB26" s="889">
        <f>CB$16*HLOOKUP(CB$10,'P&amp;L by Ctn'!$C$8:$AG$31,'P&amp;L TOTAL &lt;150'!$A26,0)</f>
        <v>51.137261343499333</v>
      </c>
      <c r="CC26" s="889">
        <f>CC$16*HLOOKUP(CC$10,'P&amp;L by Ctn'!$C$8:$AG$31,'P&amp;L TOTAL &lt;150'!$A26,0)</f>
        <v>0</v>
      </c>
      <c r="CD26" s="889" t="e">
        <f t="shared" ref="CD26" si="76">SUM(BW26:CC26)</f>
        <v>#REF!</v>
      </c>
      <c r="CE26" s="889" t="e">
        <f>CE$16*HLOOKUP(CE$10,'P&amp;L by Ctn'!$C$8:$AG$31,'P&amp;L TOTAL &lt;150'!$A26,0)</f>
        <v>#REF!</v>
      </c>
      <c r="CF26" s="889" t="e">
        <f>CF$16*HLOOKUP(CF$10,'P&amp;L by Ctn'!$C$8:$AG$31,'P&amp;L TOTAL &lt;150'!$A26,0)</f>
        <v>#REF!</v>
      </c>
      <c r="CG26" s="889" t="e">
        <f>CG$16*HLOOKUP(CG$10,'P&amp;L by Ctn'!$C$8:$AG$31,'P&amp;L TOTAL &lt;150'!$A26,0)</f>
        <v>#REF!</v>
      </c>
      <c r="CH26" s="889">
        <f>CH$16*HLOOKUP(CH$10,'P&amp;L by Ctn'!$C$8:$AG$31,'P&amp;L TOTAL &lt;150'!$A26,0)</f>
        <v>0</v>
      </c>
      <c r="CI26" s="889">
        <f>CI$16*HLOOKUP(CI$10,'P&amp;L by Ctn'!$C$8:$AG$31,'P&amp;L TOTAL &lt;150'!$A26,0)</f>
        <v>0</v>
      </c>
      <c r="CJ26" s="889">
        <f>CJ$16*HLOOKUP(CJ$10,'P&amp;L by Ctn'!$C$8:$AG$31,'P&amp;L TOTAL &lt;150'!$A26,0)</f>
        <v>51.137261343499333</v>
      </c>
      <c r="CK26" s="889">
        <f>CK$16*HLOOKUP(CK$10,'P&amp;L by Ctn'!$C$8:$AG$31,'P&amp;L TOTAL &lt;150'!$A26,0)</f>
        <v>55.045768318461469</v>
      </c>
      <c r="CL26" s="889" t="e">
        <f t="shared" ref="CL26" si="77">SUM(CE26:CK26)</f>
        <v>#REF!</v>
      </c>
      <c r="CM26" s="889" t="e">
        <f>CM$16*HLOOKUP(CM$10,'P&amp;L by Ctn'!$C$8:$AG$31,'P&amp;L TOTAL &lt;150'!$A26,0)</f>
        <v>#REF!</v>
      </c>
      <c r="CN26" s="889" t="e">
        <f>CN$16*HLOOKUP(CN$10,'P&amp;L by Ctn'!$C$8:$AG$31,'P&amp;L TOTAL &lt;150'!$A26,0)</f>
        <v>#REF!</v>
      </c>
      <c r="CO26" s="889" t="e">
        <f>CO$16*HLOOKUP(CO$10,'P&amp;L by Ctn'!$C$8:$AG$31,'P&amp;L TOTAL &lt;150'!$A26,0)</f>
        <v>#REF!</v>
      </c>
      <c r="CP26" s="889">
        <f>CP$16*HLOOKUP(CP$10,'P&amp;L by Ctn'!$C$8:$AG$31,'P&amp;L TOTAL &lt;150'!$A26,0)</f>
        <v>0</v>
      </c>
      <c r="CQ26" s="889">
        <f>CQ$16*HLOOKUP(CQ$10,'P&amp;L by Ctn'!$C$8:$AG$31,'P&amp;L TOTAL &lt;150'!$A26,0)</f>
        <v>24.453893325511157</v>
      </c>
      <c r="CR26" s="889">
        <f>CR$16*HLOOKUP(CR$10,'P&amp;L by Ctn'!$C$8:$AG$31,'P&amp;L TOTAL &lt;150'!$A26,0)</f>
        <v>51.137261343499333</v>
      </c>
      <c r="CS26" s="889">
        <f>CS$16*HLOOKUP(CS$10,'P&amp;L by Ctn'!$C$8:$AG$31,'P&amp;L TOTAL &lt;150'!$A26,0)</f>
        <v>55.045768318461469</v>
      </c>
      <c r="CT26" s="889" t="e">
        <f t="shared" ref="CT26" si="78">SUM(CM26:CS26)</f>
        <v>#REF!</v>
      </c>
      <c r="CU26" s="1030" t="e">
        <f t="shared" ref="CU26:DA26" si="79">SUMIFS($C26:$CT26,$C$14:$CT$14,CU$14)</f>
        <v>#REF!</v>
      </c>
      <c r="CV26" s="1030" t="e">
        <f t="shared" si="79"/>
        <v>#REF!</v>
      </c>
      <c r="CW26" s="1030" t="e">
        <f t="shared" si="79"/>
        <v>#REF!</v>
      </c>
      <c r="CX26" s="1030">
        <f t="shared" si="79"/>
        <v>188.20146795353406</v>
      </c>
      <c r="CY26" s="1030">
        <f t="shared" si="79"/>
        <v>357.18839980566446</v>
      </c>
      <c r="CZ26" s="1030">
        <f t="shared" si="79"/>
        <v>1186.2539326222118</v>
      </c>
      <c r="DA26" s="1030">
        <f t="shared" si="79"/>
        <v>813.28882920970079</v>
      </c>
      <c r="DB26" s="1030" t="e">
        <f>SUM(CU26:DA26)</f>
        <v>#REF!</v>
      </c>
      <c r="DC26" s="1030">
        <f>SUM(J26,R26)</f>
        <v>96556.999633434927</v>
      </c>
    </row>
    <row r="27" spans="1:109" x14ac:dyDescent="0.45">
      <c r="B27" s="1034" t="s">
        <v>163</v>
      </c>
      <c r="C27" s="889">
        <f t="shared" ref="C27:BN27" si="80">C20-C22-C24-C26</f>
        <v>65575.482706743162</v>
      </c>
      <c r="D27" s="889">
        <f t="shared" si="80"/>
        <v>23008.532538157851</v>
      </c>
      <c r="E27" s="889">
        <f t="shared" si="80"/>
        <v>35235.524846655433</v>
      </c>
      <c r="F27" s="889">
        <f t="shared" si="80"/>
        <v>0</v>
      </c>
      <c r="G27" s="889">
        <f t="shared" si="80"/>
        <v>0</v>
      </c>
      <c r="H27" s="889">
        <f t="shared" si="80"/>
        <v>1107.8858078520736</v>
      </c>
      <c r="I27" s="889">
        <f t="shared" si="80"/>
        <v>443.41709121018698</v>
      </c>
      <c r="J27" s="889">
        <f t="shared" si="80"/>
        <v>125370.8429906184</v>
      </c>
      <c r="K27" s="889">
        <f t="shared" si="80"/>
        <v>14385.371274703317</v>
      </c>
      <c r="L27" s="889">
        <f t="shared" si="80"/>
        <v>15658.53970584421</v>
      </c>
      <c r="M27" s="889">
        <f t="shared" si="80"/>
        <v>-7607.8587120806369</v>
      </c>
      <c r="N27" s="889">
        <f t="shared" si="80"/>
        <v>0</v>
      </c>
      <c r="O27" s="889">
        <f t="shared" si="80"/>
        <v>1230.0904755301697</v>
      </c>
      <c r="P27" s="889">
        <f t="shared" si="80"/>
        <v>785.78354894569736</v>
      </c>
      <c r="Q27" s="889">
        <f t="shared" si="80"/>
        <v>0</v>
      </c>
      <c r="R27" s="889">
        <f t="shared" si="80"/>
        <v>24451.926292942524</v>
      </c>
      <c r="S27" s="889">
        <f t="shared" si="80"/>
        <v>21284.601570730807</v>
      </c>
      <c r="T27" s="889">
        <f t="shared" si="80"/>
        <v>13249.533597252801</v>
      </c>
      <c r="U27" s="889">
        <f t="shared" si="80"/>
        <v>-11312.11400444229</v>
      </c>
      <c r="V27" s="889">
        <f t="shared" si="80"/>
        <v>1508.7606190385141</v>
      </c>
      <c r="W27" s="889">
        <f t="shared" si="80"/>
        <v>2510.9397327547376</v>
      </c>
      <c r="X27" s="889">
        <f t="shared" si="80"/>
        <v>2382.1648641722209</v>
      </c>
      <c r="Y27" s="889">
        <f t="shared" si="80"/>
        <v>543.39135254921325</v>
      </c>
      <c r="Z27" s="889">
        <f t="shared" si="80"/>
        <v>30167.277732056347</v>
      </c>
      <c r="AA27" s="889">
        <f t="shared" si="80"/>
        <v>-4989.2265208582467</v>
      </c>
      <c r="AB27" s="889">
        <f t="shared" si="80"/>
        <v>408.56854290078445</v>
      </c>
      <c r="AC27" s="889">
        <f t="shared" si="80"/>
        <v>-38744.725183089075</v>
      </c>
      <c r="AD27" s="889">
        <f t="shared" si="80"/>
        <v>0</v>
      </c>
      <c r="AE27" s="889">
        <f t="shared" si="80"/>
        <v>777.68540981826493</v>
      </c>
      <c r="AF27" s="889">
        <f t="shared" si="80"/>
        <v>758.33966361151056</v>
      </c>
      <c r="AG27" s="889">
        <f t="shared" si="80"/>
        <v>177.83251996927345</v>
      </c>
      <c r="AH27" s="889">
        <f t="shared" si="80"/>
        <v>-41611.525567647681</v>
      </c>
      <c r="AI27" s="889">
        <f t="shared" si="80"/>
        <v>21111.341853119011</v>
      </c>
      <c r="AJ27" s="889">
        <f t="shared" si="80"/>
        <v>6114.7254884333852</v>
      </c>
      <c r="AK27" s="889">
        <f t="shared" si="80"/>
        <v>-21855.998821229728</v>
      </c>
      <c r="AL27" s="889">
        <f t="shared" si="80"/>
        <v>0</v>
      </c>
      <c r="AM27" s="889">
        <f t="shared" si="80"/>
        <v>777.68540981826493</v>
      </c>
      <c r="AN27" s="889">
        <f t="shared" si="80"/>
        <v>758.33966361151056</v>
      </c>
      <c r="AO27" s="889">
        <f t="shared" si="80"/>
        <v>177.83251996927345</v>
      </c>
      <c r="AP27" s="889">
        <f t="shared" si="80"/>
        <v>7083.9261137215617</v>
      </c>
      <c r="AQ27" s="889">
        <f t="shared" si="80"/>
        <v>33409.201181195232</v>
      </c>
      <c r="AR27" s="889">
        <f t="shared" si="80"/>
        <v>10191.209147388965</v>
      </c>
      <c r="AS27" s="889">
        <f t="shared" si="80"/>
        <v>-35764.361707466793</v>
      </c>
      <c r="AT27" s="889">
        <f t="shared" si="80"/>
        <v>0</v>
      </c>
      <c r="AU27" s="889">
        <f t="shared" si="80"/>
        <v>777.68540981826493</v>
      </c>
      <c r="AV27" s="889">
        <f t="shared" si="80"/>
        <v>1516.6793272230211</v>
      </c>
      <c r="AW27" s="889">
        <f t="shared" si="80"/>
        <v>177.83251996927345</v>
      </c>
      <c r="AX27" s="889">
        <f t="shared" si="80"/>
        <v>10308.245878128168</v>
      </c>
      <c r="AY27" s="889" t="e">
        <f t="shared" si="80"/>
        <v>#REF!</v>
      </c>
      <c r="AZ27" s="889" t="e">
        <f t="shared" si="80"/>
        <v>#REF!</v>
      </c>
      <c r="BA27" s="889" t="e">
        <f t="shared" si="80"/>
        <v>#REF!</v>
      </c>
      <c r="BB27" s="889">
        <f t="shared" si="80"/>
        <v>0</v>
      </c>
      <c r="BC27" s="889">
        <f t="shared" si="80"/>
        <v>0</v>
      </c>
      <c r="BD27" s="889">
        <f t="shared" si="80"/>
        <v>474.90893583959888</v>
      </c>
      <c r="BE27" s="889">
        <f t="shared" si="80"/>
        <v>0</v>
      </c>
      <c r="BF27" s="889" t="e">
        <f t="shared" si="80"/>
        <v>#REF!</v>
      </c>
      <c r="BG27" s="889" t="e">
        <f t="shared" si="80"/>
        <v>#REF!</v>
      </c>
      <c r="BH27" s="889" t="e">
        <f t="shared" si="80"/>
        <v>#REF!</v>
      </c>
      <c r="BI27" s="889" t="e">
        <f t="shared" si="80"/>
        <v>#REF!</v>
      </c>
      <c r="BJ27" s="889">
        <f t="shared" si="80"/>
        <v>0</v>
      </c>
      <c r="BK27" s="889">
        <f t="shared" si="80"/>
        <v>471.76300808293985</v>
      </c>
      <c r="BL27" s="889">
        <f t="shared" si="80"/>
        <v>949.81787167919776</v>
      </c>
      <c r="BM27" s="889">
        <f t="shared" si="80"/>
        <v>207.97733027308777</v>
      </c>
      <c r="BN27" s="889" t="e">
        <f t="shared" si="80"/>
        <v>#REF!</v>
      </c>
      <c r="BO27" s="889" t="e">
        <f t="shared" ref="BO27:DC27" si="81">BO20-BO22-BO24-BO26</f>
        <v>#REF!</v>
      </c>
      <c r="BP27" s="889" t="e">
        <f t="shared" si="81"/>
        <v>#REF!</v>
      </c>
      <c r="BQ27" s="889" t="e">
        <f t="shared" si="81"/>
        <v>#REF!</v>
      </c>
      <c r="BR27" s="889">
        <f t="shared" si="81"/>
        <v>0</v>
      </c>
      <c r="BS27" s="889">
        <f t="shared" si="81"/>
        <v>471.76300808293985</v>
      </c>
      <c r="BT27" s="889">
        <f t="shared" si="81"/>
        <v>474.90893583959888</v>
      </c>
      <c r="BU27" s="889">
        <f t="shared" si="81"/>
        <v>207.97733027308777</v>
      </c>
      <c r="BV27" s="889" t="e">
        <f t="shared" si="81"/>
        <v>#REF!</v>
      </c>
      <c r="BW27" s="889" t="e">
        <f t="shared" si="81"/>
        <v>#REF!</v>
      </c>
      <c r="BX27" s="889" t="e">
        <f t="shared" si="81"/>
        <v>#REF!</v>
      </c>
      <c r="BY27" s="889" t="e">
        <f t="shared" si="81"/>
        <v>#REF!</v>
      </c>
      <c r="BZ27" s="889">
        <f t="shared" si="81"/>
        <v>0</v>
      </c>
      <c r="CA27" s="889">
        <f t="shared" si="81"/>
        <v>471.76300808293985</v>
      </c>
      <c r="CB27" s="889">
        <f t="shared" si="81"/>
        <v>474.90893583959888</v>
      </c>
      <c r="CC27" s="889">
        <f t="shared" si="81"/>
        <v>0</v>
      </c>
      <c r="CD27" s="889" t="e">
        <f t="shared" si="81"/>
        <v>#REF!</v>
      </c>
      <c r="CE27" s="889" t="e">
        <f t="shared" si="81"/>
        <v>#REF!</v>
      </c>
      <c r="CF27" s="889" t="e">
        <f t="shared" si="81"/>
        <v>#REF!</v>
      </c>
      <c r="CG27" s="889" t="e">
        <f t="shared" si="81"/>
        <v>#REF!</v>
      </c>
      <c r="CH27" s="889">
        <f t="shared" si="81"/>
        <v>0</v>
      </c>
      <c r="CI27" s="889">
        <f t="shared" si="81"/>
        <v>0</v>
      </c>
      <c r="CJ27" s="889">
        <f t="shared" si="81"/>
        <v>474.90893583959888</v>
      </c>
      <c r="CK27" s="889">
        <f t="shared" si="81"/>
        <v>207.97733027308777</v>
      </c>
      <c r="CL27" s="889" t="e">
        <f t="shared" si="81"/>
        <v>#REF!</v>
      </c>
      <c r="CM27" s="889" t="e">
        <f t="shared" si="81"/>
        <v>#REF!</v>
      </c>
      <c r="CN27" s="889" t="e">
        <f t="shared" si="81"/>
        <v>#REF!</v>
      </c>
      <c r="CO27" s="889" t="e">
        <f t="shared" si="81"/>
        <v>#REF!</v>
      </c>
      <c r="CP27" s="889">
        <f t="shared" si="81"/>
        <v>0</v>
      </c>
      <c r="CQ27" s="889">
        <f t="shared" si="81"/>
        <v>471.76300808293985</v>
      </c>
      <c r="CR27" s="889">
        <f t="shared" si="81"/>
        <v>474.90893583959888</v>
      </c>
      <c r="CS27" s="889">
        <f t="shared" si="81"/>
        <v>207.97733027308777</v>
      </c>
      <c r="CT27" s="889" t="e">
        <f t="shared" si="81"/>
        <v>#REF!</v>
      </c>
      <c r="CU27" s="1030" t="e">
        <f t="shared" si="81"/>
        <v>#REF!</v>
      </c>
      <c r="CV27" s="1030" t="e">
        <f t="shared" si="81"/>
        <v>#REF!</v>
      </c>
      <c r="CW27" s="1030" t="e">
        <f t="shared" si="81"/>
        <v>#REF!</v>
      </c>
      <c r="CX27" s="1030">
        <f t="shared" si="81"/>
        <v>1508.7606190385141</v>
      </c>
      <c r="CY27" s="1030">
        <f t="shared" si="81"/>
        <v>7961.1384700714689</v>
      </c>
      <c r="CZ27" s="1030">
        <f t="shared" si="81"/>
        <v>10633.555426293226</v>
      </c>
      <c r="DA27" s="1030">
        <f t="shared" si="81"/>
        <v>2352.2153247595857</v>
      </c>
      <c r="DB27" s="1030" t="e">
        <f t="shared" si="81"/>
        <v>#REF!</v>
      </c>
      <c r="DC27" s="1030">
        <f t="shared" si="81"/>
        <v>149822.76928356074</v>
      </c>
    </row>
    <row r="28" spans="1:109" x14ac:dyDescent="0.45">
      <c r="B28" s="1035" t="s">
        <v>164</v>
      </c>
      <c r="C28" s="891">
        <f t="shared" ref="C28:BN28" si="82">IFERROR(C27/C$18,0)</f>
        <v>4.408954045234504E-2</v>
      </c>
      <c r="D28" s="891">
        <f t="shared" si="82"/>
        <v>6.2761710317652541E-2</v>
      </c>
      <c r="E28" s="891">
        <f t="shared" si="82"/>
        <v>4.351745320371378E-2</v>
      </c>
      <c r="F28" s="891">
        <f t="shared" si="82"/>
        <v>0</v>
      </c>
      <c r="G28" s="891">
        <f t="shared" si="82"/>
        <v>0</v>
      </c>
      <c r="H28" s="891">
        <f t="shared" si="82"/>
        <v>0.11177217593342147</v>
      </c>
      <c r="I28" s="891">
        <f t="shared" si="82"/>
        <v>6.2323198292318402E-2</v>
      </c>
      <c r="J28" s="891">
        <f t="shared" si="82"/>
        <v>4.6768986380568749E-2</v>
      </c>
      <c r="K28" s="891">
        <f t="shared" si="82"/>
        <v>2.0131924105160216E-2</v>
      </c>
      <c r="L28" s="891">
        <f t="shared" si="82"/>
        <v>5.2569486833678805E-2</v>
      </c>
      <c r="M28" s="891">
        <f t="shared" si="82"/>
        <v>-8.9370118093462965E-3</v>
      </c>
      <c r="N28" s="891">
        <f t="shared" si="82"/>
        <v>0</v>
      </c>
      <c r="O28" s="891">
        <f t="shared" si="82"/>
        <v>0.24106564254557758</v>
      </c>
      <c r="P28" s="891">
        <f t="shared" si="82"/>
        <v>8.0110467587174453E-2</v>
      </c>
      <c r="Q28" s="891">
        <f t="shared" si="82"/>
        <v>0</v>
      </c>
      <c r="R28" s="891">
        <f t="shared" si="82"/>
        <v>1.301599647874201E-2</v>
      </c>
      <c r="S28" s="891">
        <f t="shared" si="82"/>
        <v>2.0131924105160182E-2</v>
      </c>
      <c r="T28" s="891">
        <f t="shared" si="82"/>
        <v>5.256948683367884E-2</v>
      </c>
      <c r="U28" s="891">
        <f t="shared" si="82"/>
        <v>-8.9370118093462288E-3</v>
      </c>
      <c r="V28" s="891">
        <f t="shared" si="82"/>
        <v>0.1642814262890368</v>
      </c>
      <c r="W28" s="891">
        <f t="shared" si="82"/>
        <v>0.24106564254557769</v>
      </c>
      <c r="X28" s="891">
        <f t="shared" si="82"/>
        <v>8.0110467587174494E-2</v>
      </c>
      <c r="Y28" s="891">
        <f t="shared" si="82"/>
        <v>3.742364686978053E-2</v>
      </c>
      <c r="Z28" s="891">
        <f t="shared" si="82"/>
        <v>1.1431715168934079E-2</v>
      </c>
      <c r="AA28" s="891">
        <f t="shared" si="82"/>
        <v>-6.1072678478753415E-3</v>
      </c>
      <c r="AB28" s="891">
        <f t="shared" si="82"/>
        <v>1.7831618242958116E-3</v>
      </c>
      <c r="AC28" s="891">
        <f t="shared" si="82"/>
        <v>-4.9054240228882558E-2</v>
      </c>
      <c r="AD28" s="891">
        <f t="shared" si="82"/>
        <v>0</v>
      </c>
      <c r="AE28" s="891">
        <f t="shared" si="82"/>
        <v>0.14465874438583795</v>
      </c>
      <c r="AF28" s="891">
        <f t="shared" si="82"/>
        <v>7.6507229985019229E-2</v>
      </c>
      <c r="AG28" s="891">
        <f t="shared" si="82"/>
        <v>2.4494837461332433E-2</v>
      </c>
      <c r="AH28" s="891">
        <f t="shared" si="82"/>
        <v>-2.2390556051860504E-2</v>
      </c>
      <c r="AI28" s="891">
        <f t="shared" si="82"/>
        <v>4.3623034774940651E-2</v>
      </c>
      <c r="AJ28" s="891">
        <f t="shared" si="82"/>
        <v>4.4478644797309466E-2</v>
      </c>
      <c r="AK28" s="891">
        <f t="shared" si="82"/>
        <v>-4.9054240228882544E-2</v>
      </c>
      <c r="AL28" s="891">
        <f t="shared" si="82"/>
        <v>0</v>
      </c>
      <c r="AM28" s="891">
        <f t="shared" si="82"/>
        <v>0.14465874438583795</v>
      </c>
      <c r="AN28" s="891">
        <f t="shared" si="82"/>
        <v>7.6507229985019229E-2</v>
      </c>
      <c r="AO28" s="891">
        <f t="shared" si="82"/>
        <v>2.4494837461332433E-2</v>
      </c>
      <c r="AP28" s="891">
        <f t="shared" si="82"/>
        <v>6.5018747776783518E-3</v>
      </c>
      <c r="AQ28" s="891">
        <f t="shared" si="82"/>
        <v>4.3623034774940679E-2</v>
      </c>
      <c r="AR28" s="891">
        <f t="shared" si="82"/>
        <v>4.4478644797309425E-2</v>
      </c>
      <c r="AS28" s="891">
        <f t="shared" si="82"/>
        <v>-4.9054240228882488E-2</v>
      </c>
      <c r="AT28" s="891">
        <f t="shared" si="82"/>
        <v>0</v>
      </c>
      <c r="AU28" s="891">
        <f t="shared" si="82"/>
        <v>0.14465874438583795</v>
      </c>
      <c r="AV28" s="891">
        <f t="shared" si="82"/>
        <v>7.6507229985019229E-2</v>
      </c>
      <c r="AW28" s="891">
        <f t="shared" si="82"/>
        <v>2.4494837461332433E-2</v>
      </c>
      <c r="AX28" s="891">
        <f t="shared" si="82"/>
        <v>5.8685441311403918E-3</v>
      </c>
      <c r="AY28" s="891">
        <f t="shared" si="82"/>
        <v>0</v>
      </c>
      <c r="AZ28" s="891">
        <f t="shared" si="82"/>
        <v>0</v>
      </c>
      <c r="BA28" s="891">
        <f t="shared" si="82"/>
        <v>0</v>
      </c>
      <c r="BB28" s="891">
        <f t="shared" si="82"/>
        <v>0</v>
      </c>
      <c r="BC28" s="891">
        <f t="shared" si="82"/>
        <v>0</v>
      </c>
      <c r="BD28" s="891">
        <f t="shared" si="82"/>
        <v>8.291586979530674E-2</v>
      </c>
      <c r="BE28" s="891">
        <f t="shared" si="82"/>
        <v>0</v>
      </c>
      <c r="BF28" s="891">
        <f t="shared" si="82"/>
        <v>0</v>
      </c>
      <c r="BG28" s="891">
        <f t="shared" si="82"/>
        <v>0</v>
      </c>
      <c r="BH28" s="891">
        <f t="shared" si="82"/>
        <v>0</v>
      </c>
      <c r="BI28" s="891">
        <f t="shared" si="82"/>
        <v>0</v>
      </c>
      <c r="BJ28" s="891">
        <f t="shared" si="82"/>
        <v>0</v>
      </c>
      <c r="BK28" s="891">
        <f t="shared" si="82"/>
        <v>0.14757351353945813</v>
      </c>
      <c r="BL28" s="891">
        <f t="shared" si="82"/>
        <v>8.291586979530674E-2</v>
      </c>
      <c r="BM28" s="891">
        <f t="shared" si="82"/>
        <v>5.1616243584018999E-2</v>
      </c>
      <c r="BN28" s="891">
        <f t="shared" si="82"/>
        <v>0</v>
      </c>
      <c r="BO28" s="891">
        <f t="shared" ref="BO28:DC28" si="83">IFERROR(BO27/BO$18,0)</f>
        <v>0</v>
      </c>
      <c r="BP28" s="891">
        <f t="shared" si="83"/>
        <v>0</v>
      </c>
      <c r="BQ28" s="891">
        <f t="shared" si="83"/>
        <v>0</v>
      </c>
      <c r="BR28" s="891">
        <f t="shared" si="83"/>
        <v>0</v>
      </c>
      <c r="BS28" s="891">
        <f t="shared" si="83"/>
        <v>0.14757351353945813</v>
      </c>
      <c r="BT28" s="891">
        <f t="shared" si="83"/>
        <v>8.291586979530674E-2</v>
      </c>
      <c r="BU28" s="891">
        <f t="shared" si="83"/>
        <v>5.1616243584018999E-2</v>
      </c>
      <c r="BV28" s="891">
        <f t="shared" si="83"/>
        <v>0</v>
      </c>
      <c r="BW28" s="891">
        <f t="shared" si="83"/>
        <v>0</v>
      </c>
      <c r="BX28" s="891">
        <f t="shared" si="83"/>
        <v>0</v>
      </c>
      <c r="BY28" s="891">
        <f t="shared" si="83"/>
        <v>0</v>
      </c>
      <c r="BZ28" s="891">
        <f t="shared" si="83"/>
        <v>0</v>
      </c>
      <c r="CA28" s="891">
        <f t="shared" si="83"/>
        <v>0.14757351353945813</v>
      </c>
      <c r="CB28" s="891">
        <f t="shared" si="83"/>
        <v>8.291586979530674E-2</v>
      </c>
      <c r="CC28" s="891">
        <f t="shared" si="83"/>
        <v>0</v>
      </c>
      <c r="CD28" s="891">
        <f t="shared" si="83"/>
        <v>0</v>
      </c>
      <c r="CE28" s="891">
        <f t="shared" si="83"/>
        <v>0</v>
      </c>
      <c r="CF28" s="891">
        <f t="shared" si="83"/>
        <v>0</v>
      </c>
      <c r="CG28" s="891">
        <f t="shared" si="83"/>
        <v>0</v>
      </c>
      <c r="CH28" s="891">
        <f t="shared" si="83"/>
        <v>0</v>
      </c>
      <c r="CI28" s="891">
        <f t="shared" si="83"/>
        <v>0</v>
      </c>
      <c r="CJ28" s="891">
        <f t="shared" si="83"/>
        <v>8.291586979530674E-2</v>
      </c>
      <c r="CK28" s="891">
        <f t="shared" si="83"/>
        <v>5.1616243584018999E-2</v>
      </c>
      <c r="CL28" s="891">
        <f t="shared" si="83"/>
        <v>0</v>
      </c>
      <c r="CM28" s="891">
        <f t="shared" si="83"/>
        <v>0</v>
      </c>
      <c r="CN28" s="891">
        <f t="shared" si="83"/>
        <v>0</v>
      </c>
      <c r="CO28" s="891">
        <f t="shared" si="83"/>
        <v>0</v>
      </c>
      <c r="CP28" s="891">
        <f t="shared" si="83"/>
        <v>0</v>
      </c>
      <c r="CQ28" s="891">
        <f t="shared" si="83"/>
        <v>0.14757351353945813</v>
      </c>
      <c r="CR28" s="891">
        <f t="shared" si="83"/>
        <v>8.291586979530674E-2</v>
      </c>
      <c r="CS28" s="891">
        <f t="shared" si="83"/>
        <v>5.1616243584018999E-2</v>
      </c>
      <c r="CT28" s="891">
        <f t="shared" si="83"/>
        <v>0</v>
      </c>
      <c r="CU28" s="1031">
        <f t="shared" si="83"/>
        <v>0</v>
      </c>
      <c r="CV28" s="1031">
        <f t="shared" si="83"/>
        <v>0</v>
      </c>
      <c r="CW28" s="1031">
        <f t="shared" si="83"/>
        <v>0</v>
      </c>
      <c r="CX28" s="1031">
        <f t="shared" si="83"/>
        <v>0.1642814262890368</v>
      </c>
      <c r="CY28" s="1031">
        <f t="shared" si="83"/>
        <v>0.17916804256908836</v>
      </c>
      <c r="CZ28" s="1031">
        <f t="shared" si="83"/>
        <v>8.2304366487960703E-2</v>
      </c>
      <c r="DA28" s="1031">
        <f t="shared" si="83"/>
        <v>3.9511780634945662E-2</v>
      </c>
      <c r="DB28" s="1031">
        <f t="shared" si="83"/>
        <v>0</v>
      </c>
      <c r="DC28" s="1031">
        <f t="shared" si="83"/>
        <v>3.2861301432932651E-2</v>
      </c>
    </row>
    <row r="29" spans="1:109" x14ac:dyDescent="0.45">
      <c r="A29">
        <v>18</v>
      </c>
      <c r="B29" s="1034" t="s">
        <v>165</v>
      </c>
      <c r="C29" s="889">
        <f>C$16*HLOOKUP(C$10,'P&amp;L by Ctn'!$C$8:$AG$31,'P&amp;L TOTAL &lt;150'!$A29,0)</f>
        <v>0</v>
      </c>
      <c r="D29" s="889">
        <f>D$16*HLOOKUP(D$10,'P&amp;L by Ctn'!$C$8:$AG$31,'P&amp;L TOTAL &lt;150'!$A29,0)</f>
        <v>0</v>
      </c>
      <c r="E29" s="889">
        <f>E$16*HLOOKUP(E$10,'P&amp;L by Ctn'!$C$8:$AG$31,'P&amp;L TOTAL &lt;150'!$A29,0)</f>
        <v>0</v>
      </c>
      <c r="F29" s="889">
        <f>F$16*HLOOKUP(F$10,'P&amp;L by Ctn'!$C$8:$AG$31,'P&amp;L TOTAL &lt;150'!$A29,0)</f>
        <v>0</v>
      </c>
      <c r="G29" s="889">
        <f>G$16*HLOOKUP(G$10,'P&amp;L by Ctn'!$C$8:$AG$31,'P&amp;L TOTAL &lt;150'!$A29,0)</f>
        <v>0</v>
      </c>
      <c r="H29" s="889">
        <f>H$16*HLOOKUP(H$10,'P&amp;L by Ctn'!$C$8:$AG$31,'P&amp;L TOTAL &lt;150'!$A29,0)</f>
        <v>0</v>
      </c>
      <c r="I29" s="889">
        <f>I$16*HLOOKUP(I$10,'P&amp;L by Ctn'!$C$8:$AG$31,'P&amp;L TOTAL &lt;150'!$A29,0)</f>
        <v>0</v>
      </c>
      <c r="J29" s="889">
        <f>SUM(C29:I29)</f>
        <v>0</v>
      </c>
      <c r="K29" s="889">
        <f>K$16*HLOOKUP(K$10,'P&amp;L by Ctn'!$C$8:$AG$31,'P&amp;L TOTAL &lt;150'!$A29,0)</f>
        <v>0</v>
      </c>
      <c r="L29" s="889">
        <f>L$16*HLOOKUP(L$10,'P&amp;L by Ctn'!$C$8:$AG$31,'P&amp;L TOTAL &lt;150'!$A29,0)</f>
        <v>0</v>
      </c>
      <c r="M29" s="889">
        <f>M$16*HLOOKUP(M$10,'P&amp;L by Ctn'!$C$8:$AG$31,'P&amp;L TOTAL &lt;150'!$A29,0)</f>
        <v>0</v>
      </c>
      <c r="N29" s="889">
        <f>N$16*HLOOKUP(N$10,'P&amp;L by Ctn'!$C$8:$AG$31,'P&amp;L TOTAL &lt;150'!$A29,0)</f>
        <v>0</v>
      </c>
      <c r="O29" s="889">
        <f>O$16*HLOOKUP(O$10,'P&amp;L by Ctn'!$C$8:$AG$31,'P&amp;L TOTAL &lt;150'!$A29,0)</f>
        <v>0</v>
      </c>
      <c r="P29" s="889">
        <f>P$16*HLOOKUP(P$10,'P&amp;L by Ctn'!$C$8:$AG$31,'P&amp;L TOTAL &lt;150'!$A29,0)</f>
        <v>0</v>
      </c>
      <c r="Q29" s="889">
        <f>Q$16*HLOOKUP(Q$10,'P&amp;L by Ctn'!$C$8:$AG$31,'P&amp;L TOTAL &lt;150'!$A29,0)</f>
        <v>0</v>
      </c>
      <c r="R29" s="889">
        <f t="shared" ref="R29" si="84">SUM(K29:Q29)</f>
        <v>0</v>
      </c>
      <c r="S29" s="889">
        <f>S$16*HLOOKUP(S$10,'P&amp;L by Ctn'!$C$8:$AG$31,'P&amp;L TOTAL &lt;150'!$A29,0)</f>
        <v>0</v>
      </c>
      <c r="T29" s="889">
        <f>T$16*HLOOKUP(T$10,'P&amp;L by Ctn'!$C$8:$AG$31,'P&amp;L TOTAL &lt;150'!$A29,0)</f>
        <v>0</v>
      </c>
      <c r="U29" s="889">
        <f>U$16*HLOOKUP(U$10,'P&amp;L by Ctn'!$C$8:$AG$31,'P&amp;L TOTAL &lt;150'!$A29,0)</f>
        <v>0</v>
      </c>
      <c r="V29" s="889">
        <f>V$16*HLOOKUP(V$10,'P&amp;L by Ctn'!$C$8:$AG$31,'P&amp;L TOTAL &lt;150'!$A29,0)</f>
        <v>0</v>
      </c>
      <c r="W29" s="889">
        <f>W$16*HLOOKUP(W$10,'P&amp;L by Ctn'!$C$8:$AG$31,'P&amp;L TOTAL &lt;150'!$A29,0)</f>
        <v>0</v>
      </c>
      <c r="X29" s="889">
        <f>X$16*HLOOKUP(X$10,'P&amp;L by Ctn'!$C$8:$AG$31,'P&amp;L TOTAL &lt;150'!$A29,0)</f>
        <v>0</v>
      </c>
      <c r="Y29" s="889">
        <f>Y$16*HLOOKUP(Y$10,'P&amp;L by Ctn'!$C$8:$AG$31,'P&amp;L TOTAL &lt;150'!$A29,0)</f>
        <v>0</v>
      </c>
      <c r="Z29" s="889">
        <f t="shared" ref="Z29" si="85">SUM(S29:Y29)</f>
        <v>0</v>
      </c>
      <c r="AA29" s="889">
        <f>AA$16*HLOOKUP(AA$10,'P&amp;L by Ctn'!$C$8:$AG$31,'P&amp;L TOTAL &lt;150'!$A29,0)</f>
        <v>0</v>
      </c>
      <c r="AB29" s="889">
        <f>AB$16*HLOOKUP(AB$10,'P&amp;L by Ctn'!$C$8:$AG$31,'P&amp;L TOTAL &lt;150'!$A29,0)</f>
        <v>0</v>
      </c>
      <c r="AC29" s="889">
        <f>AC$16*HLOOKUP(AC$10,'P&amp;L by Ctn'!$C$8:$AG$31,'P&amp;L TOTAL &lt;150'!$A29,0)</f>
        <v>0</v>
      </c>
      <c r="AD29" s="889">
        <f>AD$16*HLOOKUP(AD$10,'P&amp;L by Ctn'!$C$8:$AG$31,'P&amp;L TOTAL &lt;150'!$A29,0)</f>
        <v>0</v>
      </c>
      <c r="AE29" s="889">
        <f>AE$16*HLOOKUP(AE$10,'P&amp;L by Ctn'!$C$8:$AG$31,'P&amp;L TOTAL &lt;150'!$A29,0)</f>
        <v>0</v>
      </c>
      <c r="AF29" s="889">
        <f>AF$16*HLOOKUP(AF$10,'P&amp;L by Ctn'!$C$8:$AG$31,'P&amp;L TOTAL &lt;150'!$A29,0)</f>
        <v>0</v>
      </c>
      <c r="AG29" s="889">
        <f>AG$16*HLOOKUP(AG$10,'P&amp;L by Ctn'!$C$8:$AG$31,'P&amp;L TOTAL &lt;150'!$A29,0)</f>
        <v>0</v>
      </c>
      <c r="AH29" s="889">
        <f t="shared" ref="AH29" si="86">SUM(AA29:AG29)</f>
        <v>0</v>
      </c>
      <c r="AI29" s="889">
        <f>AI$16*HLOOKUP(AI$10,'P&amp;L by Ctn'!$C$8:$AG$31,'P&amp;L TOTAL &lt;150'!$A29,0)</f>
        <v>0</v>
      </c>
      <c r="AJ29" s="889">
        <f>AJ$16*HLOOKUP(AJ$10,'P&amp;L by Ctn'!$C$8:$AG$31,'P&amp;L TOTAL &lt;150'!$A29,0)</f>
        <v>0</v>
      </c>
      <c r="AK29" s="889">
        <f>AK$16*HLOOKUP(AK$10,'P&amp;L by Ctn'!$C$8:$AG$31,'P&amp;L TOTAL &lt;150'!$A29,0)</f>
        <v>0</v>
      </c>
      <c r="AL29" s="889">
        <f>AL$16*HLOOKUP(AL$10,'P&amp;L by Ctn'!$C$8:$AG$31,'P&amp;L TOTAL &lt;150'!$A29,0)</f>
        <v>0</v>
      </c>
      <c r="AM29" s="889">
        <f>AM$16*HLOOKUP(AM$10,'P&amp;L by Ctn'!$C$8:$AG$31,'P&amp;L TOTAL &lt;150'!$A29,0)</f>
        <v>0</v>
      </c>
      <c r="AN29" s="889">
        <f>AN$16*HLOOKUP(AN$10,'P&amp;L by Ctn'!$C$8:$AG$31,'P&amp;L TOTAL &lt;150'!$A29,0)</f>
        <v>0</v>
      </c>
      <c r="AO29" s="889">
        <f>AO$16*HLOOKUP(AO$10,'P&amp;L by Ctn'!$C$8:$AG$31,'P&amp;L TOTAL &lt;150'!$A29,0)</f>
        <v>0</v>
      </c>
      <c r="AP29" s="889">
        <f t="shared" ref="AP29" si="87">SUM(AI29:AO29)</f>
        <v>0</v>
      </c>
      <c r="AQ29" s="889">
        <f>AQ$16*HLOOKUP(AQ$10,'P&amp;L by Ctn'!$C$8:$AG$31,'P&amp;L TOTAL &lt;150'!$A29,0)</f>
        <v>0</v>
      </c>
      <c r="AR29" s="889">
        <f>AR$16*HLOOKUP(AR$10,'P&amp;L by Ctn'!$C$8:$AG$31,'P&amp;L TOTAL &lt;150'!$A29,0)</f>
        <v>0</v>
      </c>
      <c r="AS29" s="889">
        <f>AS$16*HLOOKUP(AS$10,'P&amp;L by Ctn'!$C$8:$AG$31,'P&amp;L TOTAL &lt;150'!$A29,0)</f>
        <v>0</v>
      </c>
      <c r="AT29" s="889">
        <f>AT$16*HLOOKUP(AT$10,'P&amp;L by Ctn'!$C$8:$AG$31,'P&amp;L TOTAL &lt;150'!$A29,0)</f>
        <v>0</v>
      </c>
      <c r="AU29" s="889">
        <f>AU$16*HLOOKUP(AU$10,'P&amp;L by Ctn'!$C$8:$AG$31,'P&amp;L TOTAL &lt;150'!$A29,0)</f>
        <v>0</v>
      </c>
      <c r="AV29" s="889">
        <f>AV$16*HLOOKUP(AV$10,'P&amp;L by Ctn'!$C$8:$AG$31,'P&amp;L TOTAL &lt;150'!$A29,0)</f>
        <v>0</v>
      </c>
      <c r="AW29" s="889">
        <f>AW$16*HLOOKUP(AW$10,'P&amp;L by Ctn'!$C$8:$AG$31,'P&amp;L TOTAL &lt;150'!$A29,0)</f>
        <v>0</v>
      </c>
      <c r="AX29" s="889">
        <f t="shared" ref="AX29" si="88">SUM(AQ29:AW29)</f>
        <v>0</v>
      </c>
      <c r="AY29" s="889">
        <f>AY$16*HLOOKUP(AY$10,'P&amp;L by Ctn'!$C$8:$AG$31,'P&amp;L TOTAL &lt;150'!$A29,0)</f>
        <v>0</v>
      </c>
      <c r="AZ29" s="889">
        <f>AZ$16*HLOOKUP(AZ$10,'P&amp;L by Ctn'!$C$8:$AG$31,'P&amp;L TOTAL &lt;150'!$A29,0)</f>
        <v>0</v>
      </c>
      <c r="BA29" s="889">
        <f>BA$16*HLOOKUP(BA$10,'P&amp;L by Ctn'!$C$8:$AG$31,'P&amp;L TOTAL &lt;150'!$A29,0)</f>
        <v>0</v>
      </c>
      <c r="BB29" s="889">
        <f>BB$16*HLOOKUP(BB$10,'P&amp;L by Ctn'!$C$8:$AG$31,'P&amp;L TOTAL &lt;150'!$A29,0)</f>
        <v>0</v>
      </c>
      <c r="BC29" s="889">
        <f>BC$16*HLOOKUP(BC$10,'P&amp;L by Ctn'!$C$8:$AG$31,'P&amp;L TOTAL &lt;150'!$A29,0)</f>
        <v>0</v>
      </c>
      <c r="BD29" s="889">
        <f>BD$16*HLOOKUP(BD$10,'P&amp;L by Ctn'!$C$8:$AG$31,'P&amp;L TOTAL &lt;150'!$A29,0)</f>
        <v>0</v>
      </c>
      <c r="BE29" s="889">
        <f>BE$16*HLOOKUP(BE$10,'P&amp;L by Ctn'!$C$8:$AG$31,'P&amp;L TOTAL &lt;150'!$A29,0)</f>
        <v>0</v>
      </c>
      <c r="BF29" s="889">
        <f t="shared" ref="BF29" si="89">SUM(AY29:BE29)</f>
        <v>0</v>
      </c>
      <c r="BG29" s="889">
        <f>BG$16*HLOOKUP(BG$10,'P&amp;L by Ctn'!$C$8:$AG$31,'P&amp;L TOTAL &lt;150'!$A29,0)</f>
        <v>0</v>
      </c>
      <c r="BH29" s="889">
        <f>BH$16*HLOOKUP(BH$10,'P&amp;L by Ctn'!$C$8:$AG$31,'P&amp;L TOTAL &lt;150'!$A29,0)</f>
        <v>0</v>
      </c>
      <c r="BI29" s="889">
        <f>BI$16*HLOOKUP(BI$10,'P&amp;L by Ctn'!$C$8:$AG$31,'P&amp;L TOTAL &lt;150'!$A29,0)</f>
        <v>0</v>
      </c>
      <c r="BJ29" s="889">
        <f>BJ$16*HLOOKUP(BJ$10,'P&amp;L by Ctn'!$C$8:$AG$31,'P&amp;L TOTAL &lt;150'!$A29,0)</f>
        <v>0</v>
      </c>
      <c r="BK29" s="889">
        <f>BK$16*HLOOKUP(BK$10,'P&amp;L by Ctn'!$C$8:$AG$31,'P&amp;L TOTAL &lt;150'!$A29,0)</f>
        <v>0</v>
      </c>
      <c r="BL29" s="889">
        <f>BL$16*HLOOKUP(BL$10,'P&amp;L by Ctn'!$C$8:$AG$31,'P&amp;L TOTAL &lt;150'!$A29,0)</f>
        <v>0</v>
      </c>
      <c r="BM29" s="889">
        <f>BM$16*HLOOKUP(BM$10,'P&amp;L by Ctn'!$C$8:$AG$31,'P&amp;L TOTAL &lt;150'!$A29,0)</f>
        <v>0</v>
      </c>
      <c r="BN29" s="889">
        <f t="shared" ref="BN29" si="90">SUM(BG29:BM29)</f>
        <v>0</v>
      </c>
      <c r="BO29" s="889">
        <f>BO$16*HLOOKUP(BO$10,'P&amp;L by Ctn'!$C$8:$AG$31,'P&amp;L TOTAL &lt;150'!$A29,0)</f>
        <v>0</v>
      </c>
      <c r="BP29" s="889">
        <f>BP$16*HLOOKUP(BP$10,'P&amp;L by Ctn'!$C$8:$AG$31,'P&amp;L TOTAL &lt;150'!$A29,0)</f>
        <v>0</v>
      </c>
      <c r="BQ29" s="889">
        <f>BQ$16*HLOOKUP(BQ$10,'P&amp;L by Ctn'!$C$8:$AG$31,'P&amp;L TOTAL &lt;150'!$A29,0)</f>
        <v>0</v>
      </c>
      <c r="BR29" s="889">
        <f>BR$16*HLOOKUP(BR$10,'P&amp;L by Ctn'!$C$8:$AG$31,'P&amp;L TOTAL &lt;150'!$A29,0)</f>
        <v>0</v>
      </c>
      <c r="BS29" s="889">
        <f>BS$16*HLOOKUP(BS$10,'P&amp;L by Ctn'!$C$8:$AG$31,'P&amp;L TOTAL &lt;150'!$A29,0)</f>
        <v>0</v>
      </c>
      <c r="BT29" s="889">
        <f>BT$16*HLOOKUP(BT$10,'P&amp;L by Ctn'!$C$8:$AG$31,'P&amp;L TOTAL &lt;150'!$A29,0)</f>
        <v>0</v>
      </c>
      <c r="BU29" s="889">
        <f>BU$16*HLOOKUP(BU$10,'P&amp;L by Ctn'!$C$8:$AG$31,'P&amp;L TOTAL &lt;150'!$A29,0)</f>
        <v>0</v>
      </c>
      <c r="BV29" s="889">
        <f t="shared" ref="BV29" si="91">SUM(BO29:BU29)</f>
        <v>0</v>
      </c>
      <c r="BW29" s="889">
        <f>BW$16*HLOOKUP(BW$10,'P&amp;L by Ctn'!$C$8:$AG$31,'P&amp;L TOTAL &lt;150'!$A29,0)</f>
        <v>0</v>
      </c>
      <c r="BX29" s="889">
        <f>BX$16*HLOOKUP(BX$10,'P&amp;L by Ctn'!$C$8:$AG$31,'P&amp;L TOTAL &lt;150'!$A29,0)</f>
        <v>0</v>
      </c>
      <c r="BY29" s="889">
        <f>BY$16*HLOOKUP(BY$10,'P&amp;L by Ctn'!$C$8:$AG$31,'P&amp;L TOTAL &lt;150'!$A29,0)</f>
        <v>0</v>
      </c>
      <c r="BZ29" s="889">
        <f>BZ$16*HLOOKUP(BZ$10,'P&amp;L by Ctn'!$C$8:$AG$31,'P&amp;L TOTAL &lt;150'!$A29,0)</f>
        <v>0</v>
      </c>
      <c r="CA29" s="889">
        <f>CA$16*HLOOKUP(CA$10,'P&amp;L by Ctn'!$C$8:$AG$31,'P&amp;L TOTAL &lt;150'!$A29,0)</f>
        <v>0</v>
      </c>
      <c r="CB29" s="889">
        <f>CB$16*HLOOKUP(CB$10,'P&amp;L by Ctn'!$C$8:$AG$31,'P&amp;L TOTAL &lt;150'!$A29,0)</f>
        <v>0</v>
      </c>
      <c r="CC29" s="889">
        <f>CC$16*HLOOKUP(CC$10,'P&amp;L by Ctn'!$C$8:$AG$31,'P&amp;L TOTAL &lt;150'!$A29,0)</f>
        <v>0</v>
      </c>
      <c r="CD29" s="889">
        <f t="shared" ref="CD29" si="92">SUM(BW29:CC29)</f>
        <v>0</v>
      </c>
      <c r="CE29" s="889">
        <f>CE$16*HLOOKUP(CE$10,'P&amp;L by Ctn'!$C$8:$AG$31,'P&amp;L TOTAL &lt;150'!$A29,0)</f>
        <v>0</v>
      </c>
      <c r="CF29" s="889">
        <f>CF$16*HLOOKUP(CF$10,'P&amp;L by Ctn'!$C$8:$AG$31,'P&amp;L TOTAL &lt;150'!$A29,0)</f>
        <v>0</v>
      </c>
      <c r="CG29" s="889">
        <f>CG$16*HLOOKUP(CG$10,'P&amp;L by Ctn'!$C$8:$AG$31,'P&amp;L TOTAL &lt;150'!$A29,0)</f>
        <v>0</v>
      </c>
      <c r="CH29" s="889">
        <f>CH$16*HLOOKUP(CH$10,'P&amp;L by Ctn'!$C$8:$AG$31,'P&amp;L TOTAL &lt;150'!$A29,0)</f>
        <v>0</v>
      </c>
      <c r="CI29" s="889">
        <f>CI$16*HLOOKUP(CI$10,'P&amp;L by Ctn'!$C$8:$AG$31,'P&amp;L TOTAL &lt;150'!$A29,0)</f>
        <v>0</v>
      </c>
      <c r="CJ29" s="889">
        <f>CJ$16*HLOOKUP(CJ$10,'P&amp;L by Ctn'!$C$8:$AG$31,'P&amp;L TOTAL &lt;150'!$A29,0)</f>
        <v>0</v>
      </c>
      <c r="CK29" s="889">
        <f>CK$16*HLOOKUP(CK$10,'P&amp;L by Ctn'!$C$8:$AG$31,'P&amp;L TOTAL &lt;150'!$A29,0)</f>
        <v>0</v>
      </c>
      <c r="CL29" s="889">
        <f t="shared" ref="CL29" si="93">SUM(CE29:CK29)</f>
        <v>0</v>
      </c>
      <c r="CM29" s="889">
        <f>CM$16*HLOOKUP(CM$10,'P&amp;L by Ctn'!$C$8:$AG$31,'P&amp;L TOTAL &lt;150'!$A29,0)</f>
        <v>0</v>
      </c>
      <c r="CN29" s="889">
        <f>CN$16*HLOOKUP(CN$10,'P&amp;L by Ctn'!$C$8:$AG$31,'P&amp;L TOTAL &lt;150'!$A29,0)</f>
        <v>0</v>
      </c>
      <c r="CO29" s="889">
        <f>CO$16*HLOOKUP(CO$10,'P&amp;L by Ctn'!$C$8:$AG$31,'P&amp;L TOTAL &lt;150'!$A29,0)</f>
        <v>0</v>
      </c>
      <c r="CP29" s="889">
        <f>CP$16*HLOOKUP(CP$10,'P&amp;L by Ctn'!$C$8:$AG$31,'P&amp;L TOTAL &lt;150'!$A29,0)</f>
        <v>0</v>
      </c>
      <c r="CQ29" s="889">
        <f>CQ$16*HLOOKUP(CQ$10,'P&amp;L by Ctn'!$C$8:$AG$31,'P&amp;L TOTAL &lt;150'!$A29,0)</f>
        <v>0</v>
      </c>
      <c r="CR29" s="889">
        <f>CR$16*HLOOKUP(CR$10,'P&amp;L by Ctn'!$C$8:$AG$31,'P&amp;L TOTAL &lt;150'!$A29,0)</f>
        <v>0</v>
      </c>
      <c r="CS29" s="889">
        <f>CS$16*HLOOKUP(CS$10,'P&amp;L by Ctn'!$C$8:$AG$31,'P&amp;L TOTAL &lt;150'!$A29,0)</f>
        <v>0</v>
      </c>
      <c r="CT29" s="889">
        <f t="shared" ref="CT29" si="94">SUM(CM29:CS29)</f>
        <v>0</v>
      </c>
      <c r="CU29" s="1030">
        <f t="shared" ref="CU29:DA29" si="95">SUMIFS($C29:$CT29,$C$14:$CT$14,CU$14)</f>
        <v>0</v>
      </c>
      <c r="CV29" s="1030">
        <f t="shared" si="95"/>
        <v>0</v>
      </c>
      <c r="CW29" s="1030">
        <f t="shared" si="95"/>
        <v>0</v>
      </c>
      <c r="CX29" s="1030">
        <f t="shared" si="95"/>
        <v>0</v>
      </c>
      <c r="CY29" s="1030">
        <f t="shared" si="95"/>
        <v>0</v>
      </c>
      <c r="CZ29" s="1030">
        <f t="shared" si="95"/>
        <v>0</v>
      </c>
      <c r="DA29" s="1030">
        <f t="shared" si="95"/>
        <v>0</v>
      </c>
      <c r="DB29" s="1030">
        <f>SUM(CU29:DA29)</f>
        <v>0</v>
      </c>
      <c r="DC29" s="1030">
        <f>SUM(J29,R29)</f>
        <v>0</v>
      </c>
    </row>
    <row r="30" spans="1:109" x14ac:dyDescent="0.45">
      <c r="B30" s="1034" t="s">
        <v>166</v>
      </c>
      <c r="C30" s="889">
        <f t="shared" ref="C30:BN30" si="96">C27-C29</f>
        <v>65575.482706743162</v>
      </c>
      <c r="D30" s="889">
        <f t="shared" si="96"/>
        <v>23008.532538157851</v>
      </c>
      <c r="E30" s="889">
        <f t="shared" si="96"/>
        <v>35235.524846655433</v>
      </c>
      <c r="F30" s="889">
        <f t="shared" si="96"/>
        <v>0</v>
      </c>
      <c r="G30" s="889">
        <f t="shared" si="96"/>
        <v>0</v>
      </c>
      <c r="H30" s="889">
        <f t="shared" si="96"/>
        <v>1107.8858078520736</v>
      </c>
      <c r="I30" s="889">
        <f t="shared" si="96"/>
        <v>443.41709121018698</v>
      </c>
      <c r="J30" s="889">
        <f t="shared" si="96"/>
        <v>125370.8429906184</v>
      </c>
      <c r="K30" s="889">
        <f t="shared" si="96"/>
        <v>14385.371274703317</v>
      </c>
      <c r="L30" s="889">
        <f t="shared" si="96"/>
        <v>15658.53970584421</v>
      </c>
      <c r="M30" s="889">
        <f t="shared" si="96"/>
        <v>-7607.8587120806369</v>
      </c>
      <c r="N30" s="889">
        <f t="shared" si="96"/>
        <v>0</v>
      </c>
      <c r="O30" s="889">
        <f t="shared" si="96"/>
        <v>1230.0904755301697</v>
      </c>
      <c r="P30" s="889">
        <f t="shared" si="96"/>
        <v>785.78354894569736</v>
      </c>
      <c r="Q30" s="889">
        <f t="shared" si="96"/>
        <v>0</v>
      </c>
      <c r="R30" s="889">
        <f t="shared" si="96"/>
        <v>24451.926292942524</v>
      </c>
      <c r="S30" s="889">
        <f t="shared" si="96"/>
        <v>21284.601570730807</v>
      </c>
      <c r="T30" s="889">
        <f t="shared" si="96"/>
        <v>13249.533597252801</v>
      </c>
      <c r="U30" s="889">
        <f t="shared" si="96"/>
        <v>-11312.11400444229</v>
      </c>
      <c r="V30" s="889">
        <f t="shared" si="96"/>
        <v>1508.7606190385141</v>
      </c>
      <c r="W30" s="889">
        <f t="shared" si="96"/>
        <v>2510.9397327547376</v>
      </c>
      <c r="X30" s="889">
        <f t="shared" si="96"/>
        <v>2382.1648641722209</v>
      </c>
      <c r="Y30" s="889">
        <f t="shared" si="96"/>
        <v>543.39135254921325</v>
      </c>
      <c r="Z30" s="889">
        <f t="shared" si="96"/>
        <v>30167.277732056347</v>
      </c>
      <c r="AA30" s="889">
        <f t="shared" si="96"/>
        <v>-4989.2265208582467</v>
      </c>
      <c r="AB30" s="889">
        <f t="shared" si="96"/>
        <v>408.56854290078445</v>
      </c>
      <c r="AC30" s="889">
        <f t="shared" si="96"/>
        <v>-38744.725183089075</v>
      </c>
      <c r="AD30" s="889">
        <f t="shared" si="96"/>
        <v>0</v>
      </c>
      <c r="AE30" s="889">
        <f t="shared" si="96"/>
        <v>777.68540981826493</v>
      </c>
      <c r="AF30" s="889">
        <f t="shared" si="96"/>
        <v>758.33966361151056</v>
      </c>
      <c r="AG30" s="889">
        <f t="shared" si="96"/>
        <v>177.83251996927345</v>
      </c>
      <c r="AH30" s="889">
        <f t="shared" si="96"/>
        <v>-41611.525567647681</v>
      </c>
      <c r="AI30" s="889">
        <f t="shared" si="96"/>
        <v>21111.341853119011</v>
      </c>
      <c r="AJ30" s="889">
        <f t="shared" si="96"/>
        <v>6114.7254884333852</v>
      </c>
      <c r="AK30" s="889">
        <f t="shared" si="96"/>
        <v>-21855.998821229728</v>
      </c>
      <c r="AL30" s="889">
        <f t="shared" si="96"/>
        <v>0</v>
      </c>
      <c r="AM30" s="889">
        <f t="shared" si="96"/>
        <v>777.68540981826493</v>
      </c>
      <c r="AN30" s="889">
        <f t="shared" si="96"/>
        <v>758.33966361151056</v>
      </c>
      <c r="AO30" s="889">
        <f t="shared" si="96"/>
        <v>177.83251996927345</v>
      </c>
      <c r="AP30" s="889">
        <f t="shared" si="96"/>
        <v>7083.9261137215617</v>
      </c>
      <c r="AQ30" s="889">
        <f t="shared" si="96"/>
        <v>33409.201181195232</v>
      </c>
      <c r="AR30" s="889">
        <f t="shared" si="96"/>
        <v>10191.209147388965</v>
      </c>
      <c r="AS30" s="889">
        <f t="shared" si="96"/>
        <v>-35764.361707466793</v>
      </c>
      <c r="AT30" s="889">
        <f t="shared" si="96"/>
        <v>0</v>
      </c>
      <c r="AU30" s="889">
        <f t="shared" si="96"/>
        <v>777.68540981826493</v>
      </c>
      <c r="AV30" s="889">
        <f t="shared" si="96"/>
        <v>1516.6793272230211</v>
      </c>
      <c r="AW30" s="889">
        <f t="shared" si="96"/>
        <v>177.83251996927345</v>
      </c>
      <c r="AX30" s="889">
        <f t="shared" si="96"/>
        <v>10308.245878128168</v>
      </c>
      <c r="AY30" s="889" t="e">
        <f t="shared" si="96"/>
        <v>#REF!</v>
      </c>
      <c r="AZ30" s="889" t="e">
        <f t="shared" si="96"/>
        <v>#REF!</v>
      </c>
      <c r="BA30" s="889" t="e">
        <f t="shared" si="96"/>
        <v>#REF!</v>
      </c>
      <c r="BB30" s="889">
        <f t="shared" si="96"/>
        <v>0</v>
      </c>
      <c r="BC30" s="889">
        <f t="shared" si="96"/>
        <v>0</v>
      </c>
      <c r="BD30" s="889">
        <f t="shared" si="96"/>
        <v>474.90893583959888</v>
      </c>
      <c r="BE30" s="889">
        <f t="shared" si="96"/>
        <v>0</v>
      </c>
      <c r="BF30" s="889" t="e">
        <f t="shared" si="96"/>
        <v>#REF!</v>
      </c>
      <c r="BG30" s="889" t="e">
        <f t="shared" si="96"/>
        <v>#REF!</v>
      </c>
      <c r="BH30" s="889" t="e">
        <f t="shared" si="96"/>
        <v>#REF!</v>
      </c>
      <c r="BI30" s="889" t="e">
        <f t="shared" si="96"/>
        <v>#REF!</v>
      </c>
      <c r="BJ30" s="889">
        <f t="shared" si="96"/>
        <v>0</v>
      </c>
      <c r="BK30" s="889">
        <f t="shared" si="96"/>
        <v>471.76300808293985</v>
      </c>
      <c r="BL30" s="889">
        <f t="shared" si="96"/>
        <v>949.81787167919776</v>
      </c>
      <c r="BM30" s="889">
        <f t="shared" si="96"/>
        <v>207.97733027308777</v>
      </c>
      <c r="BN30" s="889" t="e">
        <f t="shared" si="96"/>
        <v>#REF!</v>
      </c>
      <c r="BO30" s="889" t="e">
        <f t="shared" ref="BO30:DC30" si="97">BO27-BO29</f>
        <v>#REF!</v>
      </c>
      <c r="BP30" s="889" t="e">
        <f t="shared" si="97"/>
        <v>#REF!</v>
      </c>
      <c r="BQ30" s="889" t="e">
        <f t="shared" si="97"/>
        <v>#REF!</v>
      </c>
      <c r="BR30" s="889">
        <f t="shared" si="97"/>
        <v>0</v>
      </c>
      <c r="BS30" s="889">
        <f t="shared" si="97"/>
        <v>471.76300808293985</v>
      </c>
      <c r="BT30" s="889">
        <f t="shared" si="97"/>
        <v>474.90893583959888</v>
      </c>
      <c r="BU30" s="889">
        <f t="shared" si="97"/>
        <v>207.97733027308777</v>
      </c>
      <c r="BV30" s="889" t="e">
        <f t="shared" si="97"/>
        <v>#REF!</v>
      </c>
      <c r="BW30" s="889" t="e">
        <f t="shared" si="97"/>
        <v>#REF!</v>
      </c>
      <c r="BX30" s="889" t="e">
        <f t="shared" si="97"/>
        <v>#REF!</v>
      </c>
      <c r="BY30" s="889" t="e">
        <f t="shared" si="97"/>
        <v>#REF!</v>
      </c>
      <c r="BZ30" s="889">
        <f t="shared" si="97"/>
        <v>0</v>
      </c>
      <c r="CA30" s="889">
        <f t="shared" si="97"/>
        <v>471.76300808293985</v>
      </c>
      <c r="CB30" s="889">
        <f t="shared" si="97"/>
        <v>474.90893583959888</v>
      </c>
      <c r="CC30" s="889">
        <f t="shared" si="97"/>
        <v>0</v>
      </c>
      <c r="CD30" s="889" t="e">
        <f t="shared" si="97"/>
        <v>#REF!</v>
      </c>
      <c r="CE30" s="889" t="e">
        <f t="shared" si="97"/>
        <v>#REF!</v>
      </c>
      <c r="CF30" s="889" t="e">
        <f t="shared" si="97"/>
        <v>#REF!</v>
      </c>
      <c r="CG30" s="889" t="e">
        <f t="shared" si="97"/>
        <v>#REF!</v>
      </c>
      <c r="CH30" s="889">
        <f t="shared" si="97"/>
        <v>0</v>
      </c>
      <c r="CI30" s="889">
        <f t="shared" si="97"/>
        <v>0</v>
      </c>
      <c r="CJ30" s="889">
        <f t="shared" si="97"/>
        <v>474.90893583959888</v>
      </c>
      <c r="CK30" s="889">
        <f t="shared" si="97"/>
        <v>207.97733027308777</v>
      </c>
      <c r="CL30" s="889" t="e">
        <f t="shared" si="97"/>
        <v>#REF!</v>
      </c>
      <c r="CM30" s="889" t="e">
        <f t="shared" si="97"/>
        <v>#REF!</v>
      </c>
      <c r="CN30" s="889" t="e">
        <f t="shared" si="97"/>
        <v>#REF!</v>
      </c>
      <c r="CO30" s="889" t="e">
        <f t="shared" si="97"/>
        <v>#REF!</v>
      </c>
      <c r="CP30" s="889">
        <f t="shared" si="97"/>
        <v>0</v>
      </c>
      <c r="CQ30" s="889">
        <f t="shared" si="97"/>
        <v>471.76300808293985</v>
      </c>
      <c r="CR30" s="889">
        <f t="shared" si="97"/>
        <v>474.90893583959888</v>
      </c>
      <c r="CS30" s="889">
        <f t="shared" si="97"/>
        <v>207.97733027308777</v>
      </c>
      <c r="CT30" s="889" t="e">
        <f t="shared" si="97"/>
        <v>#REF!</v>
      </c>
      <c r="CU30" s="1030" t="e">
        <f t="shared" si="97"/>
        <v>#REF!</v>
      </c>
      <c r="CV30" s="1030" t="e">
        <f t="shared" si="97"/>
        <v>#REF!</v>
      </c>
      <c r="CW30" s="1030" t="e">
        <f t="shared" si="97"/>
        <v>#REF!</v>
      </c>
      <c r="CX30" s="1030">
        <f t="shared" si="97"/>
        <v>1508.7606190385141</v>
      </c>
      <c r="CY30" s="1030">
        <f t="shared" si="97"/>
        <v>7961.1384700714689</v>
      </c>
      <c r="CZ30" s="1030">
        <f t="shared" si="97"/>
        <v>10633.555426293226</v>
      </c>
      <c r="DA30" s="1030">
        <f t="shared" si="97"/>
        <v>2352.2153247595857</v>
      </c>
      <c r="DB30" s="1030" t="e">
        <f t="shared" si="97"/>
        <v>#REF!</v>
      </c>
      <c r="DC30" s="1030">
        <f t="shared" si="97"/>
        <v>149822.76928356074</v>
      </c>
    </row>
    <row r="31" spans="1:109" x14ac:dyDescent="0.45">
      <c r="B31" s="1035" t="s">
        <v>167</v>
      </c>
      <c r="C31" s="891">
        <f t="shared" ref="C31:BN31" si="98">IFERROR(C30/C$18,0)</f>
        <v>4.408954045234504E-2</v>
      </c>
      <c r="D31" s="891">
        <f t="shared" si="98"/>
        <v>6.2761710317652541E-2</v>
      </c>
      <c r="E31" s="891">
        <f t="shared" si="98"/>
        <v>4.351745320371378E-2</v>
      </c>
      <c r="F31" s="891">
        <f t="shared" si="98"/>
        <v>0</v>
      </c>
      <c r="G31" s="891">
        <f t="shared" si="98"/>
        <v>0</v>
      </c>
      <c r="H31" s="891">
        <f t="shared" si="98"/>
        <v>0.11177217593342147</v>
      </c>
      <c r="I31" s="891">
        <f t="shared" si="98"/>
        <v>6.2323198292318402E-2</v>
      </c>
      <c r="J31" s="891">
        <f t="shared" si="98"/>
        <v>4.6768986380568749E-2</v>
      </c>
      <c r="K31" s="891">
        <f t="shared" si="98"/>
        <v>2.0131924105160216E-2</v>
      </c>
      <c r="L31" s="891">
        <f t="shared" si="98"/>
        <v>5.2569486833678805E-2</v>
      </c>
      <c r="M31" s="891">
        <f t="shared" si="98"/>
        <v>-8.9370118093462965E-3</v>
      </c>
      <c r="N31" s="891">
        <f t="shared" si="98"/>
        <v>0</v>
      </c>
      <c r="O31" s="891">
        <f t="shared" si="98"/>
        <v>0.24106564254557758</v>
      </c>
      <c r="P31" s="891">
        <f t="shared" si="98"/>
        <v>8.0110467587174453E-2</v>
      </c>
      <c r="Q31" s="891">
        <f t="shared" si="98"/>
        <v>0</v>
      </c>
      <c r="R31" s="891">
        <f t="shared" si="98"/>
        <v>1.301599647874201E-2</v>
      </c>
      <c r="S31" s="891">
        <f t="shared" si="98"/>
        <v>2.0131924105160182E-2</v>
      </c>
      <c r="T31" s="891">
        <f t="shared" si="98"/>
        <v>5.256948683367884E-2</v>
      </c>
      <c r="U31" s="891">
        <f t="shared" si="98"/>
        <v>-8.9370118093462288E-3</v>
      </c>
      <c r="V31" s="891">
        <f t="shared" si="98"/>
        <v>0.1642814262890368</v>
      </c>
      <c r="W31" s="891">
        <f t="shared" si="98"/>
        <v>0.24106564254557769</v>
      </c>
      <c r="X31" s="891">
        <f t="shared" si="98"/>
        <v>8.0110467587174494E-2</v>
      </c>
      <c r="Y31" s="891">
        <f t="shared" si="98"/>
        <v>3.742364686978053E-2</v>
      </c>
      <c r="Z31" s="891">
        <f t="shared" si="98"/>
        <v>1.1431715168934079E-2</v>
      </c>
      <c r="AA31" s="891">
        <f t="shared" si="98"/>
        <v>-6.1072678478753415E-3</v>
      </c>
      <c r="AB31" s="891">
        <f t="shared" si="98"/>
        <v>1.7831618242958116E-3</v>
      </c>
      <c r="AC31" s="891">
        <f t="shared" si="98"/>
        <v>-4.9054240228882558E-2</v>
      </c>
      <c r="AD31" s="891">
        <f t="shared" si="98"/>
        <v>0</v>
      </c>
      <c r="AE31" s="891">
        <f t="shared" si="98"/>
        <v>0.14465874438583795</v>
      </c>
      <c r="AF31" s="891">
        <f t="shared" si="98"/>
        <v>7.6507229985019229E-2</v>
      </c>
      <c r="AG31" s="891">
        <f t="shared" si="98"/>
        <v>2.4494837461332433E-2</v>
      </c>
      <c r="AH31" s="891">
        <f t="shared" si="98"/>
        <v>-2.2390556051860504E-2</v>
      </c>
      <c r="AI31" s="891">
        <f t="shared" si="98"/>
        <v>4.3623034774940651E-2</v>
      </c>
      <c r="AJ31" s="891">
        <f t="shared" si="98"/>
        <v>4.4478644797309466E-2</v>
      </c>
      <c r="AK31" s="891">
        <f t="shared" si="98"/>
        <v>-4.9054240228882544E-2</v>
      </c>
      <c r="AL31" s="891">
        <f t="shared" si="98"/>
        <v>0</v>
      </c>
      <c r="AM31" s="891">
        <f t="shared" si="98"/>
        <v>0.14465874438583795</v>
      </c>
      <c r="AN31" s="891">
        <f t="shared" si="98"/>
        <v>7.6507229985019229E-2</v>
      </c>
      <c r="AO31" s="891">
        <f t="shared" si="98"/>
        <v>2.4494837461332433E-2</v>
      </c>
      <c r="AP31" s="891">
        <f t="shared" si="98"/>
        <v>6.5018747776783518E-3</v>
      </c>
      <c r="AQ31" s="891">
        <f t="shared" si="98"/>
        <v>4.3623034774940679E-2</v>
      </c>
      <c r="AR31" s="891">
        <f t="shared" si="98"/>
        <v>4.4478644797309425E-2</v>
      </c>
      <c r="AS31" s="891">
        <f t="shared" si="98"/>
        <v>-4.9054240228882488E-2</v>
      </c>
      <c r="AT31" s="891">
        <f t="shared" si="98"/>
        <v>0</v>
      </c>
      <c r="AU31" s="891">
        <f t="shared" si="98"/>
        <v>0.14465874438583795</v>
      </c>
      <c r="AV31" s="891">
        <f t="shared" si="98"/>
        <v>7.6507229985019229E-2</v>
      </c>
      <c r="AW31" s="891">
        <f t="shared" si="98"/>
        <v>2.4494837461332433E-2</v>
      </c>
      <c r="AX31" s="891">
        <f t="shared" si="98"/>
        <v>5.8685441311403918E-3</v>
      </c>
      <c r="AY31" s="891">
        <f t="shared" si="98"/>
        <v>0</v>
      </c>
      <c r="AZ31" s="891">
        <f t="shared" si="98"/>
        <v>0</v>
      </c>
      <c r="BA31" s="891">
        <f t="shared" si="98"/>
        <v>0</v>
      </c>
      <c r="BB31" s="891">
        <f t="shared" si="98"/>
        <v>0</v>
      </c>
      <c r="BC31" s="891">
        <f t="shared" si="98"/>
        <v>0</v>
      </c>
      <c r="BD31" s="891">
        <f t="shared" si="98"/>
        <v>8.291586979530674E-2</v>
      </c>
      <c r="BE31" s="891">
        <f t="shared" si="98"/>
        <v>0</v>
      </c>
      <c r="BF31" s="891">
        <f t="shared" si="98"/>
        <v>0</v>
      </c>
      <c r="BG31" s="891">
        <f t="shared" si="98"/>
        <v>0</v>
      </c>
      <c r="BH31" s="891">
        <f t="shared" si="98"/>
        <v>0</v>
      </c>
      <c r="BI31" s="891">
        <f t="shared" si="98"/>
        <v>0</v>
      </c>
      <c r="BJ31" s="891">
        <f t="shared" si="98"/>
        <v>0</v>
      </c>
      <c r="BK31" s="891">
        <f t="shared" si="98"/>
        <v>0.14757351353945813</v>
      </c>
      <c r="BL31" s="891">
        <f t="shared" si="98"/>
        <v>8.291586979530674E-2</v>
      </c>
      <c r="BM31" s="891">
        <f t="shared" si="98"/>
        <v>5.1616243584018999E-2</v>
      </c>
      <c r="BN31" s="891">
        <f t="shared" si="98"/>
        <v>0</v>
      </c>
      <c r="BO31" s="891">
        <f t="shared" ref="BO31:DC31" si="99">IFERROR(BO30/BO$18,0)</f>
        <v>0</v>
      </c>
      <c r="BP31" s="891">
        <f t="shared" si="99"/>
        <v>0</v>
      </c>
      <c r="BQ31" s="891">
        <f t="shared" si="99"/>
        <v>0</v>
      </c>
      <c r="BR31" s="891">
        <f t="shared" si="99"/>
        <v>0</v>
      </c>
      <c r="BS31" s="891">
        <f t="shared" si="99"/>
        <v>0.14757351353945813</v>
      </c>
      <c r="BT31" s="891">
        <f t="shared" si="99"/>
        <v>8.291586979530674E-2</v>
      </c>
      <c r="BU31" s="891">
        <f t="shared" si="99"/>
        <v>5.1616243584018999E-2</v>
      </c>
      <c r="BV31" s="891">
        <f t="shared" si="99"/>
        <v>0</v>
      </c>
      <c r="BW31" s="891">
        <f t="shared" si="99"/>
        <v>0</v>
      </c>
      <c r="BX31" s="891">
        <f t="shared" si="99"/>
        <v>0</v>
      </c>
      <c r="BY31" s="891">
        <f t="shared" si="99"/>
        <v>0</v>
      </c>
      <c r="BZ31" s="891">
        <f t="shared" si="99"/>
        <v>0</v>
      </c>
      <c r="CA31" s="891">
        <f t="shared" si="99"/>
        <v>0.14757351353945813</v>
      </c>
      <c r="CB31" s="891">
        <f t="shared" si="99"/>
        <v>8.291586979530674E-2</v>
      </c>
      <c r="CC31" s="891">
        <f t="shared" si="99"/>
        <v>0</v>
      </c>
      <c r="CD31" s="891">
        <f t="shared" si="99"/>
        <v>0</v>
      </c>
      <c r="CE31" s="891">
        <f t="shared" si="99"/>
        <v>0</v>
      </c>
      <c r="CF31" s="891">
        <f t="shared" si="99"/>
        <v>0</v>
      </c>
      <c r="CG31" s="891">
        <f t="shared" si="99"/>
        <v>0</v>
      </c>
      <c r="CH31" s="891">
        <f t="shared" si="99"/>
        <v>0</v>
      </c>
      <c r="CI31" s="891">
        <f t="shared" si="99"/>
        <v>0</v>
      </c>
      <c r="CJ31" s="891">
        <f t="shared" si="99"/>
        <v>8.291586979530674E-2</v>
      </c>
      <c r="CK31" s="891">
        <f t="shared" si="99"/>
        <v>5.1616243584018999E-2</v>
      </c>
      <c r="CL31" s="891">
        <f t="shared" si="99"/>
        <v>0</v>
      </c>
      <c r="CM31" s="891">
        <f t="shared" si="99"/>
        <v>0</v>
      </c>
      <c r="CN31" s="891">
        <f t="shared" si="99"/>
        <v>0</v>
      </c>
      <c r="CO31" s="891">
        <f t="shared" si="99"/>
        <v>0</v>
      </c>
      <c r="CP31" s="891">
        <f t="shared" si="99"/>
        <v>0</v>
      </c>
      <c r="CQ31" s="891">
        <f t="shared" si="99"/>
        <v>0.14757351353945813</v>
      </c>
      <c r="CR31" s="891">
        <f t="shared" si="99"/>
        <v>8.291586979530674E-2</v>
      </c>
      <c r="CS31" s="891">
        <f t="shared" si="99"/>
        <v>5.1616243584018999E-2</v>
      </c>
      <c r="CT31" s="891">
        <f t="shared" si="99"/>
        <v>0</v>
      </c>
      <c r="CU31" s="1031">
        <f t="shared" si="99"/>
        <v>0</v>
      </c>
      <c r="CV31" s="1031">
        <f t="shared" si="99"/>
        <v>0</v>
      </c>
      <c r="CW31" s="1031">
        <f t="shared" si="99"/>
        <v>0</v>
      </c>
      <c r="CX31" s="1031">
        <f t="shared" si="99"/>
        <v>0.1642814262890368</v>
      </c>
      <c r="CY31" s="1031">
        <f t="shared" si="99"/>
        <v>0.17916804256908836</v>
      </c>
      <c r="CZ31" s="1031">
        <f t="shared" si="99"/>
        <v>8.2304366487960703E-2</v>
      </c>
      <c r="DA31" s="1031">
        <f t="shared" si="99"/>
        <v>3.9511780634945662E-2</v>
      </c>
      <c r="DB31" s="1031">
        <f t="shared" si="99"/>
        <v>0</v>
      </c>
      <c r="DC31" s="1031">
        <f t="shared" si="99"/>
        <v>3.2861301432932651E-2</v>
      </c>
    </row>
    <row r="32" spans="1:109" x14ac:dyDescent="0.45">
      <c r="A32">
        <v>21</v>
      </c>
      <c r="B32" s="1034" t="s">
        <v>97</v>
      </c>
      <c r="C32" s="889">
        <f>'P&amp;L TOTAL 150'!C32</f>
        <v>3627.0496034963003</v>
      </c>
      <c r="D32" s="889">
        <f>'P&amp;L TOTAL 150'!D32</f>
        <v>894.79452411404975</v>
      </c>
      <c r="E32" s="889">
        <f>'P&amp;L TOTAL 150'!E32</f>
        <v>1984.3466688672979</v>
      </c>
      <c r="F32" s="889">
        <f>'P&amp;L TOTAL 150'!F32</f>
        <v>0</v>
      </c>
      <c r="G32" s="889">
        <f>'P&amp;L TOTAL 150'!G32</f>
        <v>0</v>
      </c>
      <c r="H32" s="889">
        <f>'P&amp;L TOTAL 150'!H32</f>
        <v>33.554794654276861</v>
      </c>
      <c r="I32" s="889">
        <f>'P&amp;L TOTAL 150'!I32</f>
        <v>16.441849380595663</v>
      </c>
      <c r="J32" s="889">
        <f>SUM(C32:I32)</f>
        <v>6556.1874405125209</v>
      </c>
      <c r="K32" s="889">
        <f>'P&amp;L TOTAL 150'!K32</f>
        <v>1604.2273497510691</v>
      </c>
      <c r="L32" s="889">
        <f>'P&amp;L TOTAL 150'!L32</f>
        <v>669.31297137285355</v>
      </c>
      <c r="M32" s="889">
        <f>'P&amp;L TOTAL 150'!M32</f>
        <v>1920.6707997741769</v>
      </c>
      <c r="N32" s="889">
        <f>'P&amp;L TOTAL 150'!N32</f>
        <v>0</v>
      </c>
      <c r="O32" s="889">
        <f>'P&amp;L TOTAL 150'!O32</f>
        <v>14.660528353724619</v>
      </c>
      <c r="P32" s="889">
        <f>'P&amp;L TOTAL 150'!P32</f>
        <v>30.569582827125522</v>
      </c>
      <c r="Q32" s="889">
        <f>'P&amp;L TOTAL 150'!Q32</f>
        <v>0</v>
      </c>
      <c r="R32" s="889">
        <f t="shared" ref="R32" si="100">SUM(K32:Q32)</f>
        <v>4239.4412320789497</v>
      </c>
      <c r="S32" s="889">
        <f>S$16*HLOOKUP(S$10,'P&amp;L by Ctn'!$C$8:$AG$31,'P&amp;L TOTAL &lt;150'!$A32,0)</f>
        <v>-831.61741194765727</v>
      </c>
      <c r="T32" s="889">
        <f>T$16*HLOOKUP(T$10,'P&amp;L by Ctn'!$C$8:$AG$31,'P&amp;L TOTAL &lt;150'!$A32,0)</f>
        <v>1191.3548592836439</v>
      </c>
      <c r="U32" s="889">
        <f>U$16*HLOOKUP(U$10,'P&amp;L by Ctn'!$C$8:$AG$31,'P&amp;L TOTAL &lt;150'!$A32,0)</f>
        <v>-1994.0535379604114</v>
      </c>
      <c r="V32" s="889">
        <f>V$16*HLOOKUP(V$10,'P&amp;L by Ctn'!$C$8:$AG$31,'P&amp;L TOTAL &lt;150'!$A32,0)</f>
        <v>-10.643685371316082</v>
      </c>
      <c r="W32" s="889">
        <f>W$16*HLOOKUP(W$10,'P&amp;L by Ctn'!$C$8:$AG$31,'P&amp;L TOTAL &lt;150'!$A32,0)</f>
        <v>61.86653137207476</v>
      </c>
      <c r="X32" s="889">
        <f>X$16*HLOOKUP(X$10,'P&amp;L by Ctn'!$C$8:$AG$31,'P&amp;L TOTAL &lt;150'!$A32,0)</f>
        <v>59.141462129970137</v>
      </c>
      <c r="Y32" s="889">
        <f>Y$16*HLOOKUP(Y$10,'P&amp;L by Ctn'!$C$8:$AG$31,'P&amp;L TOTAL &lt;150'!$A32,0)</f>
        <v>-572.99457543751112</v>
      </c>
      <c r="Z32" s="889">
        <f t="shared" ref="Z32" si="101">SUM(S32:Y32)</f>
        <v>-2096.9463579312069</v>
      </c>
      <c r="AA32" s="889">
        <f>AA$16*HLOOKUP(AA$10,'P&amp;L by Ctn'!$C$8:$AG$31,'P&amp;L TOTAL &lt;150'!$A32,0)</f>
        <v>-642.58352726666442</v>
      </c>
      <c r="AB32" s="889">
        <f>AB$16*HLOOKUP(AB$10,'P&amp;L by Ctn'!$C$8:$AG$31,'P&amp;L TOTAL &lt;150'!$A32,0)</f>
        <v>1083.0498720760399</v>
      </c>
      <c r="AC32" s="889">
        <f>AC$16*HLOOKUP(AC$10,'P&amp;L by Ctn'!$C$8:$AG$31,'P&amp;L TOTAL &lt;150'!$A32,0)</f>
        <v>-1244.2894076872967</v>
      </c>
      <c r="AD32" s="889">
        <f>AD$16*HLOOKUP(AD$10,'P&amp;L by Ctn'!$C$8:$AG$31,'P&amp;L TOTAL &lt;150'!$A32,0)</f>
        <v>0</v>
      </c>
      <c r="AE32" s="889">
        <f>AE$16*HLOOKUP(AE$10,'P&amp;L by Ctn'!$C$8:$AG$31,'P&amp;L TOTAL &lt;150'!$A32,0)</f>
        <v>31.931112966232135</v>
      </c>
      <c r="AF32" s="889">
        <f>AF$16*HLOOKUP(AF$10,'P&amp;L by Ctn'!$C$8:$AG$31,'P&amp;L TOTAL &lt;150'!$A32,0)</f>
        <v>19.713820709990046</v>
      </c>
      <c r="AG32" s="889">
        <f>AG$16*HLOOKUP(AG$10,'P&amp;L by Ctn'!$C$8:$AG$31,'P&amp;L TOTAL &lt;150'!$A32,0)</f>
        <v>-286.49728771875556</v>
      </c>
      <c r="AH32" s="889">
        <f t="shared" ref="AH32" si="102">SUM(AA32:AG32)</f>
        <v>-1038.6754169204546</v>
      </c>
      <c r="AI32" s="889">
        <f>AI$16*HLOOKUP(AI$10,'P&amp;L by Ctn'!$C$8:$AG$31,'P&amp;L TOTAL &lt;150'!$A32,0)</f>
        <v>-380.66530544615608</v>
      </c>
      <c r="AJ32" s="889">
        <f>AJ$16*HLOOKUP(AJ$10,'P&amp;L by Ctn'!$C$8:$AG$31,'P&amp;L TOTAL &lt;150'!$A32,0)</f>
        <v>649.82992324562395</v>
      </c>
      <c r="AK32" s="889">
        <f>AK$16*HLOOKUP(AK$10,'P&amp;L by Ctn'!$C$8:$AG$31,'P&amp;L TOTAL &lt;150'!$A32,0)</f>
        <v>-701.90684536206481</v>
      </c>
      <c r="AL32" s="889">
        <f>AL$16*HLOOKUP(AL$10,'P&amp;L by Ctn'!$C$8:$AG$31,'P&amp;L TOTAL &lt;150'!$A32,0)</f>
        <v>0</v>
      </c>
      <c r="AM32" s="889">
        <f>AM$16*HLOOKUP(AM$10,'P&amp;L by Ctn'!$C$8:$AG$31,'P&amp;L TOTAL &lt;150'!$A32,0)</f>
        <v>31.931112966232135</v>
      </c>
      <c r="AN32" s="889">
        <f>AN$16*HLOOKUP(AN$10,'P&amp;L by Ctn'!$C$8:$AG$31,'P&amp;L TOTAL &lt;150'!$A32,0)</f>
        <v>19.713820709990046</v>
      </c>
      <c r="AO32" s="889">
        <f>AO$16*HLOOKUP(AO$10,'P&amp;L by Ctn'!$C$8:$AG$31,'P&amp;L TOTAL &lt;150'!$A32,0)</f>
        <v>-286.49728771875556</v>
      </c>
      <c r="AP32" s="889">
        <f t="shared" ref="AP32" si="103">SUM(AI32:AO32)</f>
        <v>-667.59458160513032</v>
      </c>
      <c r="AQ32" s="889">
        <f>AQ$16*HLOOKUP(AQ$10,'P&amp;L by Ctn'!$C$8:$AG$31,'P&amp;L TOTAL &lt;150'!$A32,0)</f>
        <v>-602.41191018716904</v>
      </c>
      <c r="AR32" s="889">
        <f>AR$16*HLOOKUP(AR$10,'P&amp;L by Ctn'!$C$8:$AG$31,'P&amp;L TOTAL &lt;150'!$A32,0)</f>
        <v>1083.0498720760399</v>
      </c>
      <c r="AS32" s="889">
        <f>AS$16*HLOOKUP(AS$10,'P&amp;L by Ctn'!$C$8:$AG$31,'P&amp;L TOTAL &lt;150'!$A32,0)</f>
        <v>-1148.574837865197</v>
      </c>
      <c r="AT32" s="889">
        <f>AT$16*HLOOKUP(AT$10,'P&amp;L by Ctn'!$C$8:$AG$31,'P&amp;L TOTAL &lt;150'!$A32,0)</f>
        <v>0</v>
      </c>
      <c r="AU32" s="889">
        <f>AU$16*HLOOKUP(AU$10,'P&amp;L by Ctn'!$C$8:$AG$31,'P&amp;L TOTAL &lt;150'!$A32,0)</f>
        <v>31.931112966232135</v>
      </c>
      <c r="AV32" s="889">
        <f>AV$16*HLOOKUP(AV$10,'P&amp;L by Ctn'!$C$8:$AG$31,'P&amp;L TOTAL &lt;150'!$A32,0)</f>
        <v>39.427641419980091</v>
      </c>
      <c r="AW32" s="889">
        <f>AW$16*HLOOKUP(AW$10,'P&amp;L by Ctn'!$C$8:$AG$31,'P&amp;L TOTAL &lt;150'!$A32,0)</f>
        <v>-286.49728771875556</v>
      </c>
      <c r="AX32" s="889">
        <f t="shared" ref="AX32" si="104">SUM(AQ32:AW32)</f>
        <v>-883.07540930886944</v>
      </c>
      <c r="AY32" s="889" t="e">
        <f>AY$16*HLOOKUP(AY$10,'P&amp;L by Ctn'!$C$8:$AG$31,'P&amp;L TOTAL &lt;150'!$A32,0)</f>
        <v>#REF!</v>
      </c>
      <c r="AZ32" s="889" t="e">
        <f>AZ$16*HLOOKUP(AZ$10,'P&amp;L by Ctn'!$C$8:$AG$31,'P&amp;L TOTAL &lt;150'!$A32,0)</f>
        <v>#REF!</v>
      </c>
      <c r="BA32" s="889" t="e">
        <f>BA$16*HLOOKUP(BA$10,'P&amp;L by Ctn'!$C$8:$AG$31,'P&amp;L TOTAL &lt;150'!$A32,0)</f>
        <v>#REF!</v>
      </c>
      <c r="BB32" s="889">
        <f>BB$16*HLOOKUP(BB$10,'P&amp;L by Ctn'!$C$8:$AG$31,'P&amp;L TOTAL &lt;150'!$A32,0)</f>
        <v>0</v>
      </c>
      <c r="BC32" s="889">
        <f>BC$16*HLOOKUP(BC$10,'P&amp;L by Ctn'!$C$8:$AG$31,'P&amp;L TOTAL &lt;150'!$A32,0)</f>
        <v>0</v>
      </c>
      <c r="BD32" s="889">
        <f>BD$16*HLOOKUP(BD$10,'P&amp;L by Ctn'!$C$8:$AG$31,'P&amp;L TOTAL &lt;150'!$A32,0)</f>
        <v>-83.250000000000014</v>
      </c>
      <c r="BE32" s="889">
        <f>BE$16*HLOOKUP(BE$10,'P&amp;L by Ctn'!$C$8:$AG$31,'P&amp;L TOTAL &lt;150'!$A32,0)</f>
        <v>0</v>
      </c>
      <c r="BF32" s="889" t="e">
        <f t="shared" ref="BF32" si="105">SUM(AY32:BE32)</f>
        <v>#REF!</v>
      </c>
      <c r="BG32" s="889" t="e">
        <f>BG$16*HLOOKUP(BG$10,'P&amp;L by Ctn'!$C$8:$AG$31,'P&amp;L TOTAL &lt;150'!$A32,0)</f>
        <v>#REF!</v>
      </c>
      <c r="BH32" s="889" t="e">
        <f>BH$16*HLOOKUP(BH$10,'P&amp;L by Ctn'!$C$8:$AG$31,'P&amp;L TOTAL &lt;150'!$A32,0)</f>
        <v>#REF!</v>
      </c>
      <c r="BI32" s="889" t="e">
        <f>BI$16*HLOOKUP(BI$10,'P&amp;L by Ctn'!$C$8:$AG$31,'P&amp;L TOTAL &lt;150'!$A32,0)</f>
        <v>#REF!</v>
      </c>
      <c r="BJ32" s="889">
        <f>BJ$16*HLOOKUP(BJ$10,'P&amp;L by Ctn'!$C$8:$AG$31,'P&amp;L TOTAL &lt;150'!$A32,0)</f>
        <v>0</v>
      </c>
      <c r="BK32" s="889">
        <f>BK$16*HLOOKUP(BK$10,'P&amp;L by Ctn'!$C$8:$AG$31,'P&amp;L TOTAL &lt;150'!$A32,0)</f>
        <v>-40.445344129554663</v>
      </c>
      <c r="BL32" s="889">
        <f>BL$16*HLOOKUP(BL$10,'P&amp;L by Ctn'!$C$8:$AG$31,'P&amp;L TOTAL &lt;150'!$A32,0)</f>
        <v>-166.50000000000003</v>
      </c>
      <c r="BM32" s="889">
        <f>BM$16*HLOOKUP(BM$10,'P&amp;L by Ctn'!$C$8:$AG$31,'P&amp;L TOTAL &lt;150'!$A32,0)</f>
        <v>-83.250000000000014</v>
      </c>
      <c r="BN32" s="889" t="e">
        <f t="shared" ref="BN32" si="106">SUM(BG32:BM32)</f>
        <v>#REF!</v>
      </c>
      <c r="BO32" s="889" t="e">
        <f>BO$16*HLOOKUP(BO$10,'P&amp;L by Ctn'!$C$8:$AG$31,'P&amp;L TOTAL &lt;150'!$A32,0)</f>
        <v>#REF!</v>
      </c>
      <c r="BP32" s="889" t="e">
        <f>BP$16*HLOOKUP(BP$10,'P&amp;L by Ctn'!$C$8:$AG$31,'P&amp;L TOTAL &lt;150'!$A32,0)</f>
        <v>#REF!</v>
      </c>
      <c r="BQ32" s="889" t="e">
        <f>BQ$16*HLOOKUP(BQ$10,'P&amp;L by Ctn'!$C$8:$AG$31,'P&amp;L TOTAL &lt;150'!$A32,0)</f>
        <v>#REF!</v>
      </c>
      <c r="BR32" s="889">
        <f>BR$16*HLOOKUP(BR$10,'P&amp;L by Ctn'!$C$8:$AG$31,'P&amp;L TOTAL &lt;150'!$A32,0)</f>
        <v>0</v>
      </c>
      <c r="BS32" s="889">
        <f>BS$16*HLOOKUP(BS$10,'P&amp;L by Ctn'!$C$8:$AG$31,'P&amp;L TOTAL &lt;150'!$A32,0)</f>
        <v>-40.445344129554663</v>
      </c>
      <c r="BT32" s="889">
        <f>BT$16*HLOOKUP(BT$10,'P&amp;L by Ctn'!$C$8:$AG$31,'P&amp;L TOTAL &lt;150'!$A32,0)</f>
        <v>-83.250000000000014</v>
      </c>
      <c r="BU32" s="889">
        <f>BU$16*HLOOKUP(BU$10,'P&amp;L by Ctn'!$C$8:$AG$31,'P&amp;L TOTAL &lt;150'!$A32,0)</f>
        <v>-83.250000000000014</v>
      </c>
      <c r="BV32" s="889" t="e">
        <f t="shared" ref="BV32" si="107">SUM(BO32:BU32)</f>
        <v>#REF!</v>
      </c>
      <c r="BW32" s="889" t="e">
        <f>BW$16*HLOOKUP(BW$10,'P&amp;L by Ctn'!$C$8:$AG$31,'P&amp;L TOTAL &lt;150'!$A32,0)</f>
        <v>#REF!</v>
      </c>
      <c r="BX32" s="889" t="e">
        <f>BX$16*HLOOKUP(BX$10,'P&amp;L by Ctn'!$C$8:$AG$31,'P&amp;L TOTAL &lt;150'!$A32,0)</f>
        <v>#REF!</v>
      </c>
      <c r="BY32" s="889" t="e">
        <f>BY$16*HLOOKUP(BY$10,'P&amp;L by Ctn'!$C$8:$AG$31,'P&amp;L TOTAL &lt;150'!$A32,0)</f>
        <v>#REF!</v>
      </c>
      <c r="BZ32" s="889">
        <f>BZ$16*HLOOKUP(BZ$10,'P&amp;L by Ctn'!$C$8:$AG$31,'P&amp;L TOTAL &lt;150'!$A32,0)</f>
        <v>0</v>
      </c>
      <c r="CA32" s="889">
        <f>CA$16*HLOOKUP(CA$10,'P&amp;L by Ctn'!$C$8:$AG$31,'P&amp;L TOTAL &lt;150'!$A32,0)</f>
        <v>-40.445344129554663</v>
      </c>
      <c r="CB32" s="889">
        <f>CB$16*HLOOKUP(CB$10,'P&amp;L by Ctn'!$C$8:$AG$31,'P&amp;L TOTAL &lt;150'!$A32,0)</f>
        <v>-83.250000000000014</v>
      </c>
      <c r="CC32" s="889">
        <f>CC$16*HLOOKUP(CC$10,'P&amp;L by Ctn'!$C$8:$AG$31,'P&amp;L TOTAL &lt;150'!$A32,0)</f>
        <v>0</v>
      </c>
      <c r="CD32" s="889" t="e">
        <f t="shared" ref="CD32" si="108">SUM(BW32:CC32)</f>
        <v>#REF!</v>
      </c>
      <c r="CE32" s="889" t="e">
        <f>CE$16*HLOOKUP(CE$10,'P&amp;L by Ctn'!$C$8:$AG$31,'P&amp;L TOTAL &lt;150'!$A32,0)</f>
        <v>#REF!</v>
      </c>
      <c r="CF32" s="889" t="e">
        <f>CF$16*HLOOKUP(CF$10,'P&amp;L by Ctn'!$C$8:$AG$31,'P&amp;L TOTAL &lt;150'!$A32,0)</f>
        <v>#REF!</v>
      </c>
      <c r="CG32" s="889" t="e">
        <f>CG$16*HLOOKUP(CG$10,'P&amp;L by Ctn'!$C$8:$AG$31,'P&amp;L TOTAL &lt;150'!$A32,0)</f>
        <v>#REF!</v>
      </c>
      <c r="CH32" s="889">
        <f>CH$16*HLOOKUP(CH$10,'P&amp;L by Ctn'!$C$8:$AG$31,'P&amp;L TOTAL &lt;150'!$A32,0)</f>
        <v>0</v>
      </c>
      <c r="CI32" s="889">
        <f>CI$16*HLOOKUP(CI$10,'P&amp;L by Ctn'!$C$8:$AG$31,'P&amp;L TOTAL &lt;150'!$A32,0)</f>
        <v>0</v>
      </c>
      <c r="CJ32" s="889">
        <f>CJ$16*HLOOKUP(CJ$10,'P&amp;L by Ctn'!$C$8:$AG$31,'P&amp;L TOTAL &lt;150'!$A32,0)</f>
        <v>-83.250000000000014</v>
      </c>
      <c r="CK32" s="889">
        <f>CK$16*HLOOKUP(CK$10,'P&amp;L by Ctn'!$C$8:$AG$31,'P&amp;L TOTAL &lt;150'!$A32,0)</f>
        <v>-83.250000000000014</v>
      </c>
      <c r="CL32" s="889" t="e">
        <f t="shared" ref="CL32" si="109">SUM(CE32:CK32)</f>
        <v>#REF!</v>
      </c>
      <c r="CM32" s="889" t="e">
        <f>CM$16*HLOOKUP(CM$10,'P&amp;L by Ctn'!$C$8:$AG$31,'P&amp;L TOTAL &lt;150'!$A32,0)</f>
        <v>#REF!</v>
      </c>
      <c r="CN32" s="889" t="e">
        <f>CN$16*HLOOKUP(CN$10,'P&amp;L by Ctn'!$C$8:$AG$31,'P&amp;L TOTAL &lt;150'!$A32,0)</f>
        <v>#REF!</v>
      </c>
      <c r="CO32" s="889" t="e">
        <f>CO$16*HLOOKUP(CO$10,'P&amp;L by Ctn'!$C$8:$AG$31,'P&amp;L TOTAL &lt;150'!$A32,0)</f>
        <v>#REF!</v>
      </c>
      <c r="CP32" s="889">
        <f>CP$16*HLOOKUP(CP$10,'P&amp;L by Ctn'!$C$8:$AG$31,'P&amp;L TOTAL &lt;150'!$A32,0)</f>
        <v>0</v>
      </c>
      <c r="CQ32" s="889">
        <f>CQ$16*HLOOKUP(CQ$10,'P&amp;L by Ctn'!$C$8:$AG$31,'P&amp;L TOTAL &lt;150'!$A32,0)</f>
        <v>-40.445344129554663</v>
      </c>
      <c r="CR32" s="889">
        <f>CR$16*HLOOKUP(CR$10,'P&amp;L by Ctn'!$C$8:$AG$31,'P&amp;L TOTAL &lt;150'!$A32,0)</f>
        <v>-83.250000000000014</v>
      </c>
      <c r="CS32" s="889">
        <f>CS$16*HLOOKUP(CS$10,'P&amp;L by Ctn'!$C$8:$AG$31,'P&amp;L TOTAL &lt;150'!$A32,0)</f>
        <v>-83.250000000000014</v>
      </c>
      <c r="CT32" s="889" t="e">
        <f t="shared" ref="CT32" si="110">SUM(CM32:CS32)</f>
        <v>#REF!</v>
      </c>
      <c r="CU32" s="1030" t="e">
        <f t="shared" ref="CU32:DA32" si="111">SUMIFS($C32:$CT32,$C$14:$CT$14,CU$14)</f>
        <v>#REF!</v>
      </c>
      <c r="CV32" s="1030" t="e">
        <f t="shared" si="111"/>
        <v>#REF!</v>
      </c>
      <c r="CW32" s="1030" t="e">
        <f t="shared" si="111"/>
        <v>#REF!</v>
      </c>
      <c r="CX32" s="1030">
        <f t="shared" si="111"/>
        <v>-10.643685371316082</v>
      </c>
      <c r="CY32" s="1030">
        <f t="shared" si="111"/>
        <v>10.539022106277159</v>
      </c>
      <c r="CZ32" s="1030">
        <f t="shared" si="111"/>
        <v>-380.62887754866739</v>
      </c>
      <c r="DA32" s="1030">
        <f t="shared" si="111"/>
        <v>-1749.0445892131822</v>
      </c>
      <c r="DB32" s="1030" t="e">
        <f>SUM(CU32:DA32)</f>
        <v>#REF!</v>
      </c>
      <c r="DC32" s="1030">
        <f>SUM(J32,R32)</f>
        <v>10795.628672591471</v>
      </c>
    </row>
    <row r="33" spans="1:107" x14ac:dyDescent="0.45">
      <c r="B33" s="1034" t="s">
        <v>168</v>
      </c>
      <c r="C33" s="889">
        <f t="shared" ref="C33:BN33" si="112">C30-C32</f>
        <v>61948.433103246862</v>
      </c>
      <c r="D33" s="889">
        <f t="shared" si="112"/>
        <v>22113.7380140438</v>
      </c>
      <c r="E33" s="889">
        <f t="shared" si="112"/>
        <v>33251.178177788133</v>
      </c>
      <c r="F33" s="889">
        <f t="shared" si="112"/>
        <v>0</v>
      </c>
      <c r="G33" s="889">
        <f t="shared" si="112"/>
        <v>0</v>
      </c>
      <c r="H33" s="889">
        <f t="shared" si="112"/>
        <v>1074.3310131977969</v>
      </c>
      <c r="I33" s="889">
        <f t="shared" si="112"/>
        <v>426.97524182959131</v>
      </c>
      <c r="J33" s="889">
        <f t="shared" si="112"/>
        <v>118814.65555010588</v>
      </c>
      <c r="K33" s="889">
        <f t="shared" si="112"/>
        <v>12781.143924952248</v>
      </c>
      <c r="L33" s="889">
        <f t="shared" si="112"/>
        <v>14989.226734471356</v>
      </c>
      <c r="M33" s="889">
        <f t="shared" si="112"/>
        <v>-9528.5295118548129</v>
      </c>
      <c r="N33" s="889">
        <f t="shared" si="112"/>
        <v>0</v>
      </c>
      <c r="O33" s="889">
        <f t="shared" si="112"/>
        <v>1215.429947176445</v>
      </c>
      <c r="P33" s="889">
        <f t="shared" si="112"/>
        <v>755.21396611857188</v>
      </c>
      <c r="Q33" s="889">
        <f t="shared" si="112"/>
        <v>0</v>
      </c>
      <c r="R33" s="889">
        <f t="shared" si="112"/>
        <v>20212.485060863575</v>
      </c>
      <c r="S33" s="889">
        <f t="shared" si="112"/>
        <v>22116.218982678463</v>
      </c>
      <c r="T33" s="889">
        <f t="shared" si="112"/>
        <v>12058.178737969158</v>
      </c>
      <c r="U33" s="889">
        <f t="shared" si="112"/>
        <v>-9318.0604664818784</v>
      </c>
      <c r="V33" s="889">
        <f t="shared" si="112"/>
        <v>1519.40430440983</v>
      </c>
      <c r="W33" s="889">
        <f t="shared" si="112"/>
        <v>2449.0732013826628</v>
      </c>
      <c r="X33" s="889">
        <f t="shared" si="112"/>
        <v>2323.0234020422508</v>
      </c>
      <c r="Y33" s="889">
        <f t="shared" si="112"/>
        <v>1116.3859279867243</v>
      </c>
      <c r="Z33" s="889">
        <f t="shared" si="112"/>
        <v>32264.224089987554</v>
      </c>
      <c r="AA33" s="889">
        <f t="shared" si="112"/>
        <v>-4346.6429935915821</v>
      </c>
      <c r="AB33" s="889">
        <f t="shared" si="112"/>
        <v>-674.4813291752555</v>
      </c>
      <c r="AC33" s="889">
        <f t="shared" si="112"/>
        <v>-37500.435775401776</v>
      </c>
      <c r="AD33" s="889">
        <f t="shared" si="112"/>
        <v>0</v>
      </c>
      <c r="AE33" s="889">
        <f t="shared" si="112"/>
        <v>745.75429685203278</v>
      </c>
      <c r="AF33" s="889">
        <f t="shared" si="112"/>
        <v>738.62584290152051</v>
      </c>
      <c r="AG33" s="889">
        <f t="shared" si="112"/>
        <v>464.32980768802901</v>
      </c>
      <c r="AH33" s="889">
        <f t="shared" si="112"/>
        <v>-40572.850150727223</v>
      </c>
      <c r="AI33" s="889">
        <f t="shared" si="112"/>
        <v>21492.007158565168</v>
      </c>
      <c r="AJ33" s="889">
        <f t="shared" si="112"/>
        <v>5464.8955651877613</v>
      </c>
      <c r="AK33" s="889">
        <f t="shared" si="112"/>
        <v>-21154.091975867665</v>
      </c>
      <c r="AL33" s="889">
        <f t="shared" si="112"/>
        <v>0</v>
      </c>
      <c r="AM33" s="889">
        <f t="shared" si="112"/>
        <v>745.75429685203278</v>
      </c>
      <c r="AN33" s="889">
        <f t="shared" si="112"/>
        <v>738.62584290152051</v>
      </c>
      <c r="AO33" s="889">
        <f t="shared" si="112"/>
        <v>464.32980768802901</v>
      </c>
      <c r="AP33" s="889">
        <f t="shared" si="112"/>
        <v>7751.5206953266916</v>
      </c>
      <c r="AQ33" s="889">
        <f t="shared" si="112"/>
        <v>34011.613091382402</v>
      </c>
      <c r="AR33" s="889">
        <f t="shared" si="112"/>
        <v>9108.1592753129244</v>
      </c>
      <c r="AS33" s="889">
        <f t="shared" si="112"/>
        <v>-34615.786869601594</v>
      </c>
      <c r="AT33" s="889">
        <f t="shared" si="112"/>
        <v>0</v>
      </c>
      <c r="AU33" s="889">
        <f t="shared" si="112"/>
        <v>745.75429685203278</v>
      </c>
      <c r="AV33" s="889">
        <f t="shared" si="112"/>
        <v>1477.251685803041</v>
      </c>
      <c r="AW33" s="889">
        <f t="shared" si="112"/>
        <v>464.32980768802901</v>
      </c>
      <c r="AX33" s="889">
        <f t="shared" si="112"/>
        <v>11191.321287437037</v>
      </c>
      <c r="AY33" s="889" t="e">
        <f t="shared" si="112"/>
        <v>#REF!</v>
      </c>
      <c r="AZ33" s="889" t="e">
        <f t="shared" si="112"/>
        <v>#REF!</v>
      </c>
      <c r="BA33" s="889" t="e">
        <f t="shared" si="112"/>
        <v>#REF!</v>
      </c>
      <c r="BB33" s="889">
        <f t="shared" si="112"/>
        <v>0</v>
      </c>
      <c r="BC33" s="889">
        <f t="shared" si="112"/>
        <v>0</v>
      </c>
      <c r="BD33" s="889">
        <f t="shared" si="112"/>
        <v>558.15893583959894</v>
      </c>
      <c r="BE33" s="889">
        <f t="shared" si="112"/>
        <v>0</v>
      </c>
      <c r="BF33" s="889" t="e">
        <f t="shared" si="112"/>
        <v>#REF!</v>
      </c>
      <c r="BG33" s="889" t="e">
        <f t="shared" si="112"/>
        <v>#REF!</v>
      </c>
      <c r="BH33" s="889" t="e">
        <f t="shared" si="112"/>
        <v>#REF!</v>
      </c>
      <c r="BI33" s="889" t="e">
        <f t="shared" si="112"/>
        <v>#REF!</v>
      </c>
      <c r="BJ33" s="889">
        <f t="shared" si="112"/>
        <v>0</v>
      </c>
      <c r="BK33" s="889">
        <f t="shared" si="112"/>
        <v>512.20835221249456</v>
      </c>
      <c r="BL33" s="889">
        <f t="shared" si="112"/>
        <v>1116.3178716791979</v>
      </c>
      <c r="BM33" s="889">
        <f t="shared" si="112"/>
        <v>291.22733027308777</v>
      </c>
      <c r="BN33" s="889" t="e">
        <f t="shared" si="112"/>
        <v>#REF!</v>
      </c>
      <c r="BO33" s="889" t="e">
        <f t="shared" ref="BO33:DC33" si="113">BO30-BO32</f>
        <v>#REF!</v>
      </c>
      <c r="BP33" s="889" t="e">
        <f t="shared" si="113"/>
        <v>#REF!</v>
      </c>
      <c r="BQ33" s="889" t="e">
        <f t="shared" si="113"/>
        <v>#REF!</v>
      </c>
      <c r="BR33" s="889">
        <f t="shared" si="113"/>
        <v>0</v>
      </c>
      <c r="BS33" s="889">
        <f t="shared" si="113"/>
        <v>512.20835221249456</v>
      </c>
      <c r="BT33" s="889">
        <f t="shared" si="113"/>
        <v>558.15893583959894</v>
      </c>
      <c r="BU33" s="889">
        <f t="shared" si="113"/>
        <v>291.22733027308777</v>
      </c>
      <c r="BV33" s="889" t="e">
        <f t="shared" si="113"/>
        <v>#REF!</v>
      </c>
      <c r="BW33" s="889" t="e">
        <f t="shared" si="113"/>
        <v>#REF!</v>
      </c>
      <c r="BX33" s="889" t="e">
        <f t="shared" si="113"/>
        <v>#REF!</v>
      </c>
      <c r="BY33" s="889" t="e">
        <f t="shared" si="113"/>
        <v>#REF!</v>
      </c>
      <c r="BZ33" s="889">
        <f t="shared" si="113"/>
        <v>0</v>
      </c>
      <c r="CA33" s="889">
        <f t="shared" si="113"/>
        <v>512.20835221249456</v>
      </c>
      <c r="CB33" s="889">
        <f t="shared" si="113"/>
        <v>558.15893583959894</v>
      </c>
      <c r="CC33" s="889">
        <f t="shared" si="113"/>
        <v>0</v>
      </c>
      <c r="CD33" s="889" t="e">
        <f t="shared" si="113"/>
        <v>#REF!</v>
      </c>
      <c r="CE33" s="889" t="e">
        <f t="shared" si="113"/>
        <v>#REF!</v>
      </c>
      <c r="CF33" s="889" t="e">
        <f t="shared" si="113"/>
        <v>#REF!</v>
      </c>
      <c r="CG33" s="889" t="e">
        <f t="shared" si="113"/>
        <v>#REF!</v>
      </c>
      <c r="CH33" s="889">
        <f t="shared" si="113"/>
        <v>0</v>
      </c>
      <c r="CI33" s="889">
        <f t="shared" si="113"/>
        <v>0</v>
      </c>
      <c r="CJ33" s="889">
        <f t="shared" si="113"/>
        <v>558.15893583959894</v>
      </c>
      <c r="CK33" s="889">
        <f t="shared" si="113"/>
        <v>291.22733027308777</v>
      </c>
      <c r="CL33" s="889" t="e">
        <f t="shared" si="113"/>
        <v>#REF!</v>
      </c>
      <c r="CM33" s="889" t="e">
        <f t="shared" si="113"/>
        <v>#REF!</v>
      </c>
      <c r="CN33" s="889" t="e">
        <f t="shared" si="113"/>
        <v>#REF!</v>
      </c>
      <c r="CO33" s="889" t="e">
        <f t="shared" si="113"/>
        <v>#REF!</v>
      </c>
      <c r="CP33" s="889">
        <f t="shared" si="113"/>
        <v>0</v>
      </c>
      <c r="CQ33" s="889">
        <f t="shared" si="113"/>
        <v>512.20835221249456</v>
      </c>
      <c r="CR33" s="889">
        <f t="shared" si="113"/>
        <v>558.15893583959894</v>
      </c>
      <c r="CS33" s="889">
        <f t="shared" si="113"/>
        <v>291.22733027308777</v>
      </c>
      <c r="CT33" s="889" t="e">
        <f t="shared" si="113"/>
        <v>#REF!</v>
      </c>
      <c r="CU33" s="1030" t="e">
        <f t="shared" si="113"/>
        <v>#REF!</v>
      </c>
      <c r="CV33" s="1030" t="e">
        <f t="shared" si="113"/>
        <v>#REF!</v>
      </c>
      <c r="CW33" s="1030" t="e">
        <f t="shared" si="113"/>
        <v>#REF!</v>
      </c>
      <c r="CX33" s="1030">
        <f t="shared" si="113"/>
        <v>1519.40430440983</v>
      </c>
      <c r="CY33" s="1030">
        <f t="shared" si="113"/>
        <v>7950.5994479651918</v>
      </c>
      <c r="CZ33" s="1030">
        <f t="shared" si="113"/>
        <v>11014.184303841894</v>
      </c>
      <c r="DA33" s="1030">
        <f t="shared" si="113"/>
        <v>4101.2599139727681</v>
      </c>
      <c r="DB33" s="1030" t="e">
        <f t="shared" si="113"/>
        <v>#REF!</v>
      </c>
      <c r="DC33" s="1030">
        <f t="shared" si="113"/>
        <v>139027.14061096928</v>
      </c>
    </row>
    <row r="34" spans="1:107" x14ac:dyDescent="0.45">
      <c r="B34" s="1035" t="s">
        <v>169</v>
      </c>
      <c r="C34" s="891">
        <f t="shared" ref="C34:BN34" si="114">IFERROR(C33/C$18,0)</f>
        <v>4.1650901137539539E-2</v>
      </c>
      <c r="D34" s="891">
        <f t="shared" si="114"/>
        <v>6.0320927333203933E-2</v>
      </c>
      <c r="E34" s="891">
        <f t="shared" si="114"/>
        <v>4.1066696086338964E-2</v>
      </c>
      <c r="F34" s="891">
        <f t="shared" si="114"/>
        <v>0</v>
      </c>
      <c r="G34" s="891">
        <f t="shared" si="114"/>
        <v>0</v>
      </c>
      <c r="H34" s="891">
        <f t="shared" si="114"/>
        <v>0.10838690609340162</v>
      </c>
      <c r="I34" s="891">
        <f t="shared" si="114"/>
        <v>6.0012262021362693E-2</v>
      </c>
      <c r="J34" s="891">
        <f t="shared" si="114"/>
        <v>4.4323232377489016E-2</v>
      </c>
      <c r="K34" s="891">
        <f t="shared" si="114"/>
        <v>1.7886852870231184E-2</v>
      </c>
      <c r="L34" s="891">
        <f t="shared" si="114"/>
        <v>5.0322442083837703E-2</v>
      </c>
      <c r="M34" s="891">
        <f t="shared" si="114"/>
        <v>-1.1193238990877907E-2</v>
      </c>
      <c r="N34" s="891">
        <f t="shared" si="114"/>
        <v>0</v>
      </c>
      <c r="O34" s="891">
        <f t="shared" si="114"/>
        <v>0.23819256145280263</v>
      </c>
      <c r="P34" s="891">
        <f t="shared" si="114"/>
        <v>7.6993905045859248E-2</v>
      </c>
      <c r="Q34" s="891">
        <f t="shared" si="114"/>
        <v>0</v>
      </c>
      <c r="R34" s="891">
        <f t="shared" si="114"/>
        <v>1.0759300973958819E-2</v>
      </c>
      <c r="S34" s="891">
        <f t="shared" si="114"/>
        <v>2.0918504890627295E-2</v>
      </c>
      <c r="T34" s="891">
        <f t="shared" si="114"/>
        <v>4.7842609987060143E-2</v>
      </c>
      <c r="U34" s="891">
        <f t="shared" si="114"/>
        <v>-7.3616316451945467E-3</v>
      </c>
      <c r="V34" s="891">
        <f t="shared" si="114"/>
        <v>0.16544036415612262</v>
      </c>
      <c r="W34" s="891">
        <f t="shared" si="114"/>
        <v>0.23512607540156127</v>
      </c>
      <c r="X34" s="891">
        <f t="shared" si="114"/>
        <v>7.8121583334754205E-2</v>
      </c>
      <c r="Y34" s="891">
        <f t="shared" si="114"/>
        <v>7.6886083194677976E-2</v>
      </c>
      <c r="Z34" s="891">
        <f t="shared" si="114"/>
        <v>1.2226340845845273E-2</v>
      </c>
      <c r="AA34" s="891">
        <f t="shared" si="114"/>
        <v>-5.3206870624082289E-3</v>
      </c>
      <c r="AB34" s="891">
        <f t="shared" si="114"/>
        <v>-2.9437150223228874E-3</v>
      </c>
      <c r="AC34" s="891">
        <f t="shared" si="114"/>
        <v>-4.7478860064730871E-2</v>
      </c>
      <c r="AD34" s="891">
        <f t="shared" si="114"/>
        <v>0</v>
      </c>
      <c r="AE34" s="891">
        <f t="shared" si="114"/>
        <v>0.13871917724182156</v>
      </c>
      <c r="AF34" s="891">
        <f t="shared" si="114"/>
        <v>7.4518345732598926E-2</v>
      </c>
      <c r="AG34" s="891">
        <f t="shared" si="114"/>
        <v>6.3957273786229896E-2</v>
      </c>
      <c r="AH34" s="891">
        <f t="shared" si="114"/>
        <v>-2.1831659932936936E-2</v>
      </c>
      <c r="AI34" s="891">
        <f t="shared" si="114"/>
        <v>4.4409615560407761E-2</v>
      </c>
      <c r="AJ34" s="891">
        <f t="shared" si="114"/>
        <v>3.975176795069077E-2</v>
      </c>
      <c r="AK34" s="891">
        <f t="shared" si="114"/>
        <v>-4.7478860064730864E-2</v>
      </c>
      <c r="AL34" s="891">
        <f t="shared" si="114"/>
        <v>0</v>
      </c>
      <c r="AM34" s="891">
        <f t="shared" si="114"/>
        <v>0.13871917724182156</v>
      </c>
      <c r="AN34" s="891">
        <f t="shared" si="114"/>
        <v>7.4518345732598926E-2</v>
      </c>
      <c r="AO34" s="891">
        <f t="shared" si="114"/>
        <v>6.3957273786229896E-2</v>
      </c>
      <c r="AP34" s="891">
        <f t="shared" si="114"/>
        <v>7.1146163989447503E-3</v>
      </c>
      <c r="AQ34" s="891">
        <f t="shared" si="114"/>
        <v>4.4409615560407789E-2</v>
      </c>
      <c r="AR34" s="891">
        <f t="shared" si="114"/>
        <v>3.9751767950690721E-2</v>
      </c>
      <c r="AS34" s="891">
        <f t="shared" si="114"/>
        <v>-4.7478860064730809E-2</v>
      </c>
      <c r="AT34" s="891">
        <f t="shared" si="114"/>
        <v>0</v>
      </c>
      <c r="AU34" s="891">
        <f t="shared" si="114"/>
        <v>0.13871917724182156</v>
      </c>
      <c r="AV34" s="891">
        <f t="shared" si="114"/>
        <v>7.4518345732598926E-2</v>
      </c>
      <c r="AW34" s="891">
        <f t="shared" si="114"/>
        <v>6.3957273786229896E-2</v>
      </c>
      <c r="AX34" s="891">
        <f t="shared" si="114"/>
        <v>6.3712840804900483E-3</v>
      </c>
      <c r="AY34" s="891">
        <f t="shared" si="114"/>
        <v>0</v>
      </c>
      <c r="AZ34" s="891">
        <f t="shared" si="114"/>
        <v>0</v>
      </c>
      <c r="BA34" s="891">
        <f t="shared" si="114"/>
        <v>0</v>
      </c>
      <c r="BB34" s="891">
        <f t="shared" si="114"/>
        <v>0</v>
      </c>
      <c r="BC34" s="891">
        <f t="shared" si="114"/>
        <v>0</v>
      </c>
      <c r="BD34" s="891">
        <f t="shared" si="114"/>
        <v>9.7450753516236971E-2</v>
      </c>
      <c r="BE34" s="891">
        <f t="shared" si="114"/>
        <v>0</v>
      </c>
      <c r="BF34" s="891">
        <f t="shared" si="114"/>
        <v>0</v>
      </c>
      <c r="BG34" s="891">
        <f t="shared" si="114"/>
        <v>0</v>
      </c>
      <c r="BH34" s="891">
        <f t="shared" si="114"/>
        <v>0</v>
      </c>
      <c r="BI34" s="891">
        <f t="shared" si="114"/>
        <v>0</v>
      </c>
      <c r="BJ34" s="891">
        <f t="shared" si="114"/>
        <v>0</v>
      </c>
      <c r="BK34" s="891">
        <f t="shared" si="114"/>
        <v>0.16022533540180633</v>
      </c>
      <c r="BL34" s="891">
        <f t="shared" si="114"/>
        <v>9.7450753516236971E-2</v>
      </c>
      <c r="BM34" s="891">
        <f t="shared" si="114"/>
        <v>7.2277400608812381E-2</v>
      </c>
      <c r="BN34" s="891">
        <f t="shared" si="114"/>
        <v>0</v>
      </c>
      <c r="BO34" s="891">
        <f t="shared" ref="BO34:DC34" si="115">IFERROR(BO33/BO$18,0)</f>
        <v>0</v>
      </c>
      <c r="BP34" s="891">
        <f t="shared" si="115"/>
        <v>0</v>
      </c>
      <c r="BQ34" s="891">
        <f t="shared" si="115"/>
        <v>0</v>
      </c>
      <c r="BR34" s="891">
        <f t="shared" si="115"/>
        <v>0</v>
      </c>
      <c r="BS34" s="891">
        <f t="shared" si="115"/>
        <v>0.16022533540180633</v>
      </c>
      <c r="BT34" s="891">
        <f t="shared" si="115"/>
        <v>9.7450753516236971E-2</v>
      </c>
      <c r="BU34" s="891">
        <f t="shared" si="115"/>
        <v>7.2277400608812381E-2</v>
      </c>
      <c r="BV34" s="891">
        <f t="shared" si="115"/>
        <v>0</v>
      </c>
      <c r="BW34" s="891">
        <f t="shared" si="115"/>
        <v>0</v>
      </c>
      <c r="BX34" s="891">
        <f t="shared" si="115"/>
        <v>0</v>
      </c>
      <c r="BY34" s="891">
        <f t="shared" si="115"/>
        <v>0</v>
      </c>
      <c r="BZ34" s="891">
        <f t="shared" si="115"/>
        <v>0</v>
      </c>
      <c r="CA34" s="891">
        <f t="shared" si="115"/>
        <v>0.16022533540180633</v>
      </c>
      <c r="CB34" s="891">
        <f t="shared" si="115"/>
        <v>9.7450753516236971E-2</v>
      </c>
      <c r="CC34" s="891">
        <f t="shared" si="115"/>
        <v>0</v>
      </c>
      <c r="CD34" s="891">
        <f t="shared" si="115"/>
        <v>0</v>
      </c>
      <c r="CE34" s="891">
        <f t="shared" si="115"/>
        <v>0</v>
      </c>
      <c r="CF34" s="891">
        <f t="shared" si="115"/>
        <v>0</v>
      </c>
      <c r="CG34" s="891">
        <f t="shared" si="115"/>
        <v>0</v>
      </c>
      <c r="CH34" s="891">
        <f t="shared" si="115"/>
        <v>0</v>
      </c>
      <c r="CI34" s="891">
        <f t="shared" si="115"/>
        <v>0</v>
      </c>
      <c r="CJ34" s="891">
        <f t="shared" si="115"/>
        <v>9.7450753516236971E-2</v>
      </c>
      <c r="CK34" s="891">
        <f t="shared" si="115"/>
        <v>7.2277400608812381E-2</v>
      </c>
      <c r="CL34" s="891">
        <f t="shared" si="115"/>
        <v>0</v>
      </c>
      <c r="CM34" s="891">
        <f t="shared" si="115"/>
        <v>0</v>
      </c>
      <c r="CN34" s="891">
        <f t="shared" si="115"/>
        <v>0</v>
      </c>
      <c r="CO34" s="891">
        <f t="shared" si="115"/>
        <v>0</v>
      </c>
      <c r="CP34" s="891">
        <f t="shared" si="115"/>
        <v>0</v>
      </c>
      <c r="CQ34" s="891">
        <f t="shared" si="115"/>
        <v>0.16022533540180633</v>
      </c>
      <c r="CR34" s="891">
        <f t="shared" si="115"/>
        <v>9.7450753516236971E-2</v>
      </c>
      <c r="CS34" s="891">
        <f t="shared" si="115"/>
        <v>7.2277400608812381E-2</v>
      </c>
      <c r="CT34" s="891">
        <f t="shared" si="115"/>
        <v>0</v>
      </c>
      <c r="CU34" s="1031">
        <f t="shared" si="115"/>
        <v>0</v>
      </c>
      <c r="CV34" s="1031">
        <f t="shared" si="115"/>
        <v>0</v>
      </c>
      <c r="CW34" s="1031">
        <f t="shared" si="115"/>
        <v>0</v>
      </c>
      <c r="CX34" s="1031">
        <f t="shared" si="115"/>
        <v>0.16544036415612262</v>
      </c>
      <c r="CY34" s="1031">
        <f t="shared" si="115"/>
        <v>0.17893085840648743</v>
      </c>
      <c r="CZ34" s="1031">
        <f t="shared" si="115"/>
        <v>8.525045717708285E-2</v>
      </c>
      <c r="DA34" s="1031">
        <f t="shared" si="115"/>
        <v>6.8891687058603227E-2</v>
      </c>
      <c r="DB34" s="1031">
        <f t="shared" si="115"/>
        <v>0</v>
      </c>
      <c r="DC34" s="1031">
        <f t="shared" si="115"/>
        <v>3.0493447670353956E-2</v>
      </c>
    </row>
    <row r="35" spans="1:107" hidden="1" outlineLevel="1" x14ac:dyDescent="0.45">
      <c r="A35">
        <v>23</v>
      </c>
      <c r="B35" s="965"/>
      <c r="C35" s="966"/>
      <c r="D35" s="966"/>
      <c r="E35" s="966"/>
      <c r="F35" s="966"/>
      <c r="G35" s="966"/>
      <c r="H35" s="966"/>
      <c r="I35" s="966"/>
      <c r="J35" s="967"/>
      <c r="K35" s="966"/>
      <c r="L35" s="966"/>
      <c r="M35" s="966"/>
      <c r="N35" s="966"/>
      <c r="O35" s="966"/>
      <c r="P35" s="966"/>
      <c r="Q35" s="966"/>
      <c r="R35" s="967"/>
      <c r="S35" s="966"/>
      <c r="T35" s="966"/>
      <c r="U35" s="966"/>
      <c r="V35" s="966"/>
      <c r="W35" s="966"/>
      <c r="X35" s="966"/>
      <c r="Y35" s="966"/>
      <c r="Z35" s="967"/>
      <c r="AA35" s="966"/>
      <c r="AB35" s="966"/>
      <c r="AC35" s="966"/>
      <c r="AD35" s="966"/>
      <c r="AE35" s="966"/>
      <c r="AF35" s="966"/>
      <c r="AG35" s="966"/>
      <c r="AH35" s="967"/>
      <c r="AI35" s="966"/>
      <c r="AJ35" s="966"/>
      <c r="AK35" s="966"/>
      <c r="AL35" s="966"/>
      <c r="AM35" s="966"/>
      <c r="AN35" s="966"/>
      <c r="AO35" s="966"/>
      <c r="AP35" s="967"/>
      <c r="AQ35" s="966"/>
      <c r="AR35" s="966"/>
      <c r="AS35" s="966"/>
      <c r="AT35" s="966"/>
      <c r="AU35" s="966"/>
      <c r="AV35" s="966"/>
      <c r="AW35" s="966"/>
      <c r="AX35" s="967"/>
      <c r="AY35" s="966"/>
      <c r="AZ35" s="966"/>
      <c r="BA35" s="966"/>
      <c r="BB35" s="966"/>
      <c r="BC35" s="966"/>
      <c r="BD35" s="966"/>
      <c r="BE35" s="966"/>
      <c r="BF35" s="967"/>
      <c r="BG35" s="966"/>
      <c r="BH35" s="966"/>
      <c r="BI35" s="966"/>
      <c r="BJ35" s="966"/>
      <c r="BK35" s="966"/>
      <c r="BL35" s="966"/>
      <c r="BM35" s="966"/>
      <c r="BN35" s="967"/>
      <c r="BO35" s="966"/>
      <c r="BP35" s="966"/>
      <c r="BQ35" s="966"/>
      <c r="BR35" s="966"/>
      <c r="BS35" s="966"/>
      <c r="BT35" s="966"/>
      <c r="BU35" s="966"/>
      <c r="BV35" s="967"/>
      <c r="BW35" s="966"/>
      <c r="BX35" s="966"/>
      <c r="BY35" s="966"/>
      <c r="BZ35" s="966"/>
      <c r="CA35" s="966"/>
      <c r="CB35" s="966"/>
      <c r="CC35" s="966"/>
      <c r="CD35" s="967"/>
      <c r="CE35" s="966"/>
      <c r="CF35" s="966"/>
      <c r="CG35" s="966"/>
      <c r="CH35" s="966"/>
      <c r="CI35" s="966"/>
      <c r="CJ35" s="966"/>
      <c r="CK35" s="966"/>
      <c r="CL35" s="967"/>
      <c r="CM35" s="966"/>
      <c r="CN35" s="966"/>
      <c r="CO35" s="966"/>
      <c r="CP35" s="966"/>
      <c r="CQ35" s="966"/>
      <c r="CR35" s="966"/>
      <c r="CS35" s="966"/>
      <c r="CT35" s="967"/>
      <c r="CU35" s="966"/>
      <c r="CV35" s="966"/>
      <c r="CW35" s="966"/>
      <c r="CX35" s="966"/>
      <c r="CY35" s="966"/>
      <c r="CZ35" s="966"/>
      <c r="DA35" s="966"/>
      <c r="DB35" s="967"/>
      <c r="DC35" s="967"/>
    </row>
    <row r="36" spans="1:107" hidden="1" outlineLevel="1" x14ac:dyDescent="0.45">
      <c r="A36">
        <v>24</v>
      </c>
      <c r="B36" s="1037" t="s">
        <v>171</v>
      </c>
      <c r="C36" s="896">
        <f>C$16*'P&amp;L by Ctn'!E$33</f>
        <v>1692787.8480000012</v>
      </c>
      <c r="D36" s="896">
        <f>D$16*'P&amp;L by Ctn'!K$33</f>
        <v>417370.0661157025</v>
      </c>
      <c r="E36" s="896">
        <f>E$16*'P&amp;L by Ctn'!Q$33</f>
        <v>955099.29139619111</v>
      </c>
      <c r="F36" s="896">
        <f>F$16*'P&amp;L by Ctn'!X$33</f>
        <v>0</v>
      </c>
      <c r="G36" s="896">
        <f>G$16*'P&amp;L by Ctn'!AD$33</f>
        <v>0</v>
      </c>
      <c r="H36" s="896">
        <f>H$16*'P&amp;L by Ctn'!AA$33</f>
        <v>11024.043930000002</v>
      </c>
      <c r="I36" s="896">
        <f>I$16*'P&amp;L by Ctn'!AG$33</f>
        <v>7811.9700277500006</v>
      </c>
      <c r="J36" s="896">
        <f>SUM(C36:I36)</f>
        <v>3084093.2194696451</v>
      </c>
      <c r="K36" s="1027" t="e">
        <f>K$16*'P&amp;L by Ctn'!L$33</f>
        <v>#REF!</v>
      </c>
      <c r="L36" s="1027" t="e">
        <f>L$16*'P&amp;L by Ctn'!S$33</f>
        <v>#REF!</v>
      </c>
      <c r="M36" s="1027">
        <f>M$16*'P&amp;L by Ctn'!Y$33</f>
        <v>633326.98499999987</v>
      </c>
      <c r="N36" s="1027">
        <f>N$16*'P&amp;L by Ctn'!AF$33</f>
        <v>0</v>
      </c>
      <c r="O36" s="1027">
        <f>O$16*'P&amp;L by Ctn'!AL$33</f>
        <v>0</v>
      </c>
      <c r="P36" s="1027">
        <f>P$16*'P&amp;L by Ctn'!AI$33</f>
        <v>0</v>
      </c>
      <c r="Q36" s="1027">
        <f>Q$16*'P&amp;L by Ctn'!AO$33</f>
        <v>0</v>
      </c>
      <c r="R36" s="1027" t="e">
        <f>SUM(K36:Q36)</f>
        <v>#REF!</v>
      </c>
      <c r="S36" s="896" t="e">
        <f>S$16*'P&amp;L by Ctn'!T$33</f>
        <v>#REF!</v>
      </c>
      <c r="T36" s="896">
        <f>T$16*'P&amp;L by Ctn'!AA$33</f>
        <v>202107.47205000001</v>
      </c>
      <c r="U36" s="896">
        <f>U$16*'P&amp;L by Ctn'!AG$33</f>
        <v>1473878.2737304687</v>
      </c>
      <c r="V36" s="896">
        <f>V$16*'P&amp;L by Ctn'!AN$33</f>
        <v>0</v>
      </c>
      <c r="W36" s="896">
        <f>W$16*'P&amp;L by Ctn'!AT$33</f>
        <v>0</v>
      </c>
      <c r="X36" s="896">
        <f>X$16*'P&amp;L by Ctn'!AQ$33</f>
        <v>0</v>
      </c>
      <c r="Y36" s="896">
        <f>Y$16*'P&amp;L by Ctn'!AW$33</f>
        <v>0</v>
      </c>
      <c r="Z36" s="896" t="e">
        <f>SUM(S36:Y36)</f>
        <v>#REF!</v>
      </c>
      <c r="AA36" s="1027">
        <f>AA$16*'P&amp;L by Ctn'!AB$33</f>
        <v>661339.46623967611</v>
      </c>
      <c r="AB36" s="1027">
        <f>AB$16*'P&amp;L by Ctn'!AI$33</f>
        <v>0</v>
      </c>
      <c r="AC36" s="1027">
        <f>AC$16*'P&amp;L by Ctn'!AO$33</f>
        <v>0</v>
      </c>
      <c r="AD36" s="1027">
        <f>AD$16*'P&amp;L by Ctn'!AV$33</f>
        <v>0</v>
      </c>
      <c r="AE36" s="1027">
        <f>AE$16*'P&amp;L by Ctn'!BB$33</f>
        <v>0</v>
      </c>
      <c r="AF36" s="1027">
        <f>AF$16*'P&amp;L by Ctn'!AY$33</f>
        <v>0</v>
      </c>
      <c r="AG36" s="1027">
        <f>AG$16*'P&amp;L by Ctn'!BE$33</f>
        <v>0</v>
      </c>
      <c r="AH36" s="1027">
        <f>SUM(AA36:AG36)</f>
        <v>661339.46623967611</v>
      </c>
      <c r="AI36" s="896">
        <f>AI$16*'P&amp;L by Ctn'!AJ$33</f>
        <v>0</v>
      </c>
      <c r="AJ36" s="896">
        <f>AJ$16*'P&amp;L by Ctn'!AQ$33</f>
        <v>0</v>
      </c>
      <c r="AK36" s="896">
        <f>AK$16*'P&amp;L by Ctn'!AW$33</f>
        <v>0</v>
      </c>
      <c r="AL36" s="896">
        <f>AL$16*'P&amp;L by Ctn'!BD$33</f>
        <v>0</v>
      </c>
      <c r="AM36" s="896">
        <f>AM$16*'P&amp;L by Ctn'!BJ$33</f>
        <v>0</v>
      </c>
      <c r="AN36" s="896">
        <f>AN$16*'P&amp;L by Ctn'!BG$33</f>
        <v>0</v>
      </c>
      <c r="AO36" s="896">
        <f>AO$16*'P&amp;L by Ctn'!BM$33</f>
        <v>0</v>
      </c>
      <c r="AP36" s="896">
        <f>SUM(AI36:AO36)</f>
        <v>0</v>
      </c>
      <c r="AQ36" s="1027">
        <f>AQ$16*'P&amp;L by Ctn'!AR$33</f>
        <v>0</v>
      </c>
      <c r="AR36" s="1027">
        <f>AR$16*'P&amp;L by Ctn'!AY$33</f>
        <v>0</v>
      </c>
      <c r="AS36" s="1027">
        <f>AS$16*'P&amp;L by Ctn'!BE$33</f>
        <v>0</v>
      </c>
      <c r="AT36" s="1027">
        <f>AT$16*'P&amp;L by Ctn'!BL$33</f>
        <v>0</v>
      </c>
      <c r="AU36" s="1027">
        <f>AU$16*'P&amp;L by Ctn'!BR$33</f>
        <v>0</v>
      </c>
      <c r="AV36" s="1027">
        <f>AV$16*'P&amp;L by Ctn'!BO$33</f>
        <v>0</v>
      </c>
      <c r="AW36" s="1027">
        <f>AW$16*'P&amp;L by Ctn'!BU$33</f>
        <v>0</v>
      </c>
      <c r="AX36" s="1027">
        <f>SUM(AQ36:AW36)</f>
        <v>0</v>
      </c>
      <c r="AY36" s="896">
        <f>AY$16*'P&amp;L by Ctn'!AZ$33</f>
        <v>0</v>
      </c>
      <c r="AZ36" s="896">
        <f>AZ$16*'P&amp;L by Ctn'!BG$33</f>
        <v>0</v>
      </c>
      <c r="BA36" s="896">
        <f>BA$16*'P&amp;L by Ctn'!BM$33</f>
        <v>0</v>
      </c>
      <c r="BB36" s="896">
        <f>BB$16*'P&amp;L by Ctn'!BT$33</f>
        <v>0</v>
      </c>
      <c r="BC36" s="896">
        <f>BC$16*'P&amp;L by Ctn'!BZ$33</f>
        <v>0</v>
      </c>
      <c r="BD36" s="896">
        <f>BD$16*'P&amp;L by Ctn'!BW$33</f>
        <v>0</v>
      </c>
      <c r="BE36" s="896">
        <f>BE$16*'P&amp;L by Ctn'!CC$33</f>
        <v>0</v>
      </c>
      <c r="BF36" s="896">
        <f>SUM(AY36:BE36)</f>
        <v>0</v>
      </c>
      <c r="BG36" s="1027">
        <f>BG$16*'P&amp;L by Ctn'!BH$33</f>
        <v>0</v>
      </c>
      <c r="BH36" s="1027">
        <f>BH$16*'P&amp;L by Ctn'!BO$33</f>
        <v>0</v>
      </c>
      <c r="BI36" s="1027">
        <f>BI$16*'P&amp;L by Ctn'!BU$33</f>
        <v>0</v>
      </c>
      <c r="BJ36" s="1027">
        <f>BJ$16*'P&amp;L by Ctn'!CB$33</f>
        <v>0</v>
      </c>
      <c r="BK36" s="1027">
        <f>BK$16*'P&amp;L by Ctn'!CH$33</f>
        <v>0</v>
      </c>
      <c r="BL36" s="1027">
        <f>BL$16*'P&amp;L by Ctn'!CE$33</f>
        <v>0</v>
      </c>
      <c r="BM36" s="1027">
        <f>BM$16*'P&amp;L by Ctn'!CK$33</f>
        <v>0</v>
      </c>
      <c r="BN36" s="1027">
        <f>SUM(BG36:BM36)</f>
        <v>0</v>
      </c>
      <c r="BO36" s="896">
        <f>BO$16*'P&amp;L by Ctn'!BP$33</f>
        <v>0</v>
      </c>
      <c r="BP36" s="896">
        <f>BP$16*'P&amp;L by Ctn'!BW$33</f>
        <v>0</v>
      </c>
      <c r="BQ36" s="896">
        <f>BQ$16*'P&amp;L by Ctn'!CC$33</f>
        <v>0</v>
      </c>
      <c r="BR36" s="896">
        <f>BR$16*'P&amp;L by Ctn'!CJ$33</f>
        <v>0</v>
      </c>
      <c r="BS36" s="896">
        <f>BS$16*'P&amp;L by Ctn'!CP$33</f>
        <v>0</v>
      </c>
      <c r="BT36" s="896">
        <f>BT$16*'P&amp;L by Ctn'!CM$33</f>
        <v>0</v>
      </c>
      <c r="BU36" s="896">
        <f>BU$16*'P&amp;L by Ctn'!CS$33</f>
        <v>0</v>
      </c>
      <c r="BV36" s="896">
        <f>SUM(BO36:BU36)</f>
        <v>0</v>
      </c>
      <c r="BW36" s="1027">
        <f>BW$16*'P&amp;L by Ctn'!BX$33</f>
        <v>0</v>
      </c>
      <c r="BX36" s="1027">
        <f>BX$16*'P&amp;L by Ctn'!CE$33</f>
        <v>0</v>
      </c>
      <c r="BY36" s="1027">
        <f>BY$16*'P&amp;L by Ctn'!CK$33</f>
        <v>0</v>
      </c>
      <c r="BZ36" s="1027">
        <f>BZ$16*'P&amp;L by Ctn'!CR$33</f>
        <v>0</v>
      </c>
      <c r="CA36" s="1027">
        <f>CA$16*'P&amp;L by Ctn'!CX$33</f>
        <v>0</v>
      </c>
      <c r="CB36" s="1027">
        <f>CB$16*'P&amp;L by Ctn'!CU$33</f>
        <v>0</v>
      </c>
      <c r="CC36" s="1027">
        <f>CC$16*'P&amp;L by Ctn'!DA$33</f>
        <v>0</v>
      </c>
      <c r="CD36" s="1027">
        <f>SUM(BW36:CC36)</f>
        <v>0</v>
      </c>
      <c r="CE36" s="896">
        <f>CE$16*'P&amp;L by Ctn'!CF$33</f>
        <v>0</v>
      </c>
      <c r="CF36" s="896">
        <f>CF$16*'P&amp;L by Ctn'!CM$33</f>
        <v>0</v>
      </c>
      <c r="CG36" s="896">
        <f>CG$16*'P&amp;L by Ctn'!CS$33</f>
        <v>0</v>
      </c>
      <c r="CH36" s="896">
        <f>CH$16*'P&amp;L by Ctn'!CZ$33</f>
        <v>0</v>
      </c>
      <c r="CI36" s="896">
        <f>CI$16*'P&amp;L by Ctn'!DF$33</f>
        <v>0</v>
      </c>
      <c r="CJ36" s="896">
        <f>CJ$16*'P&amp;L by Ctn'!DC$33</f>
        <v>0</v>
      </c>
      <c r="CK36" s="896">
        <f>CK$16*'P&amp;L by Ctn'!DI$33</f>
        <v>0</v>
      </c>
      <c r="CL36" s="896">
        <f>SUM(CE36:CK36)</f>
        <v>0</v>
      </c>
      <c r="CM36" s="1027">
        <f>CM$16*'P&amp;L by Ctn'!CN$33</f>
        <v>0</v>
      </c>
      <c r="CN36" s="1027">
        <f>CN$16*'P&amp;L by Ctn'!CU$33</f>
        <v>0</v>
      </c>
      <c r="CO36" s="1027">
        <f>CO$16*'P&amp;L by Ctn'!DA$33</f>
        <v>0</v>
      </c>
      <c r="CP36" s="1027">
        <f>CP$16*'P&amp;L by Ctn'!DH$33</f>
        <v>0</v>
      </c>
      <c r="CQ36" s="1027">
        <f>CQ$16*'P&amp;L by Ctn'!DN$33</f>
        <v>0</v>
      </c>
      <c r="CR36" s="1027">
        <f>CR$16*'P&amp;L by Ctn'!DK$33</f>
        <v>0</v>
      </c>
      <c r="CS36" s="1027">
        <f>CS$16*'P&amp;L by Ctn'!DQ$33</f>
        <v>0</v>
      </c>
      <c r="CT36" s="1027">
        <f>SUM(CM36:CS36)</f>
        <v>0</v>
      </c>
      <c r="CU36" s="1032">
        <f>CU$16*'P&amp;L by Ctn'!CV$33</f>
        <v>0</v>
      </c>
      <c r="CV36" s="1032">
        <f>CV$16*'P&amp;L by Ctn'!DC$33</f>
        <v>0</v>
      </c>
      <c r="CW36" s="1032">
        <f>CW$16*'P&amp;L by Ctn'!DI$33</f>
        <v>0</v>
      </c>
      <c r="CX36" s="1032">
        <f>CX$16*'P&amp;L by Ctn'!DP$33</f>
        <v>0</v>
      </c>
      <c r="CY36" s="1032">
        <f>CY$16*'P&amp;L by Ctn'!DV$33</f>
        <v>0</v>
      </c>
      <c r="CZ36" s="1032">
        <f>CZ$16*'P&amp;L by Ctn'!DS$33</f>
        <v>0</v>
      </c>
      <c r="DA36" s="1032">
        <f>DA$16*'P&amp;L by Ctn'!DY$33</f>
        <v>0</v>
      </c>
      <c r="DB36" s="1032">
        <f t="shared" ref="DB36:DC38" si="116">SUM(CU36:DA36)</f>
        <v>0</v>
      </c>
      <c r="DC36" s="1032">
        <f t="shared" si="116"/>
        <v>0</v>
      </c>
    </row>
    <row r="37" spans="1:107" hidden="1" outlineLevel="1" x14ac:dyDescent="0.45">
      <c r="A37">
        <v>25</v>
      </c>
      <c r="B37" s="1037" t="s">
        <v>172</v>
      </c>
      <c r="C37" s="896">
        <f>C$16*'P&amp;L by Ctn'!E$34</f>
        <v>1903587.7195399317</v>
      </c>
      <c r="D37" s="896">
        <f>D$16*'P&amp;L by Ctn'!K$34</f>
        <v>469615.81831501954</v>
      </c>
      <c r="E37" s="896">
        <f>E$16*'P&amp;L by Ctn'!Q$34</f>
        <v>1049516.9766364896</v>
      </c>
      <c r="F37" s="896">
        <f>F$16*'P&amp;L by Ctn'!X$34</f>
        <v>0</v>
      </c>
      <c r="G37" s="896">
        <f>G$16*'P&amp;L by Ctn'!AD$34</f>
        <v>0</v>
      </c>
      <c r="H37" s="896">
        <f>H$16*'P&amp;L by Ctn'!AA$34</f>
        <v>11345.454545454546</v>
      </c>
      <c r="I37" s="896">
        <f>I$16*'P&amp;L by Ctn'!AG$34</f>
        <v>9303.466666666669</v>
      </c>
      <c r="J37" s="896">
        <f>SUM(C37:I37)</f>
        <v>3443369.4357035621</v>
      </c>
      <c r="K37" s="1027" t="e">
        <f>K$16*'P&amp;L by Ctn'!L$34</f>
        <v>#REF!</v>
      </c>
      <c r="L37" s="1027" t="e">
        <f>L$16*'P&amp;L by Ctn'!S$34</f>
        <v>#REF!</v>
      </c>
      <c r="M37" s="1027">
        <f>M$16*'P&amp;L by Ctn'!Y$34</f>
        <v>644359.09090909094</v>
      </c>
      <c r="N37" s="1027">
        <f>N$16*'P&amp;L by Ctn'!AF$34</f>
        <v>0</v>
      </c>
      <c r="O37" s="1027">
        <f>O$16*'P&amp;L by Ctn'!AL$34</f>
        <v>0</v>
      </c>
      <c r="P37" s="1027">
        <f>P$16*'P&amp;L by Ctn'!AI$34</f>
        <v>0</v>
      </c>
      <c r="Q37" s="1027">
        <f>Q$16*'P&amp;L by Ctn'!AO$34</f>
        <v>0</v>
      </c>
      <c r="R37" s="1027" t="e">
        <f>SUM(K37:Q37)</f>
        <v>#REF!</v>
      </c>
      <c r="S37" s="896" t="e">
        <f>S$16*'P&amp;L by Ctn'!T$34</f>
        <v>#REF!</v>
      </c>
      <c r="T37" s="896">
        <f>T$16*'P&amp;L by Ctn'!AA$34</f>
        <v>208000</v>
      </c>
      <c r="U37" s="896">
        <f>U$16*'P&amp;L by Ctn'!AG$34</f>
        <v>1755277.777777778</v>
      </c>
      <c r="V37" s="896">
        <f>V$16*'P&amp;L by Ctn'!AN$34</f>
        <v>0</v>
      </c>
      <c r="W37" s="896">
        <f>W$16*'P&amp;L by Ctn'!AT$34</f>
        <v>0</v>
      </c>
      <c r="X37" s="896">
        <f>X$16*'P&amp;L by Ctn'!AQ$34</f>
        <v>0</v>
      </c>
      <c r="Y37" s="896">
        <f>Y$16*'P&amp;L by Ctn'!AW$34</f>
        <v>0</v>
      </c>
      <c r="Z37" s="896" t="e">
        <f>SUM(S37:Y37)</f>
        <v>#REF!</v>
      </c>
      <c r="AA37" s="1027">
        <f>AA$16*'P&amp;L by Ctn'!AB$34</f>
        <v>857334.88667030435</v>
      </c>
      <c r="AB37" s="1027">
        <f>AB$16*'P&amp;L by Ctn'!AI$34</f>
        <v>0</v>
      </c>
      <c r="AC37" s="1027">
        <f>AC$16*'P&amp;L by Ctn'!AO$34</f>
        <v>0</v>
      </c>
      <c r="AD37" s="1027">
        <f>AD$16*'P&amp;L by Ctn'!AV$34</f>
        <v>0</v>
      </c>
      <c r="AE37" s="1027">
        <f>AE$16*'P&amp;L by Ctn'!BB$34</f>
        <v>0</v>
      </c>
      <c r="AF37" s="1027">
        <f>AF$16*'P&amp;L by Ctn'!AY$34</f>
        <v>0</v>
      </c>
      <c r="AG37" s="1027">
        <f>AG$16*'P&amp;L by Ctn'!BE$34</f>
        <v>0</v>
      </c>
      <c r="AH37" s="1027">
        <f>SUM(AA37:AG37)</f>
        <v>857334.88667030435</v>
      </c>
      <c r="AI37" s="896">
        <f>AI$16*'P&amp;L by Ctn'!AJ$34</f>
        <v>0</v>
      </c>
      <c r="AJ37" s="896">
        <f>AJ$16*'P&amp;L by Ctn'!AQ$34</f>
        <v>0</v>
      </c>
      <c r="AK37" s="896">
        <f>AK$16*'P&amp;L by Ctn'!AW$34</f>
        <v>0</v>
      </c>
      <c r="AL37" s="896">
        <f>AL$16*'P&amp;L by Ctn'!BD$34</f>
        <v>0</v>
      </c>
      <c r="AM37" s="896">
        <f>AM$16*'P&amp;L by Ctn'!BJ$34</f>
        <v>0</v>
      </c>
      <c r="AN37" s="896">
        <f>AN$16*'P&amp;L by Ctn'!BG$34</f>
        <v>0</v>
      </c>
      <c r="AO37" s="896">
        <f>AO$16*'P&amp;L by Ctn'!BM$34</f>
        <v>0</v>
      </c>
      <c r="AP37" s="896">
        <f>SUM(AI37:AO37)</f>
        <v>0</v>
      </c>
      <c r="AQ37" s="1027">
        <f>AQ$16*'P&amp;L by Ctn'!AR$34</f>
        <v>0</v>
      </c>
      <c r="AR37" s="1027">
        <f>AR$16*'P&amp;L by Ctn'!AY$34</f>
        <v>0</v>
      </c>
      <c r="AS37" s="1027">
        <f>AS$16*'P&amp;L by Ctn'!BE$34</f>
        <v>0</v>
      </c>
      <c r="AT37" s="1027">
        <f>AT$16*'P&amp;L by Ctn'!BL$34</f>
        <v>0</v>
      </c>
      <c r="AU37" s="1027">
        <f>AU$16*'P&amp;L by Ctn'!BR$34</f>
        <v>0</v>
      </c>
      <c r="AV37" s="1027">
        <f>AV$16*'P&amp;L by Ctn'!BO$34</f>
        <v>0</v>
      </c>
      <c r="AW37" s="1027">
        <f>AW$16*'P&amp;L by Ctn'!BU$34</f>
        <v>0</v>
      </c>
      <c r="AX37" s="1027">
        <f>SUM(AQ37:AW37)</f>
        <v>0</v>
      </c>
      <c r="AY37" s="896">
        <f>AY$16*'P&amp;L by Ctn'!AZ$34</f>
        <v>0</v>
      </c>
      <c r="AZ37" s="896">
        <f>AZ$16*'P&amp;L by Ctn'!BG$34</f>
        <v>0</v>
      </c>
      <c r="BA37" s="896">
        <f>BA$16*'P&amp;L by Ctn'!BM$34</f>
        <v>0</v>
      </c>
      <c r="BB37" s="896">
        <f>BB$16*'P&amp;L by Ctn'!BT$34</f>
        <v>0</v>
      </c>
      <c r="BC37" s="896">
        <f>BC$16*'P&amp;L by Ctn'!BZ$34</f>
        <v>0</v>
      </c>
      <c r="BD37" s="896">
        <f>BD$16*'P&amp;L by Ctn'!BW$34</f>
        <v>0</v>
      </c>
      <c r="BE37" s="896">
        <f>BE$16*'P&amp;L by Ctn'!CC$34</f>
        <v>0</v>
      </c>
      <c r="BF37" s="896">
        <f>SUM(AY37:BE37)</f>
        <v>0</v>
      </c>
      <c r="BG37" s="1027">
        <f>BG$16*'P&amp;L by Ctn'!BH$34</f>
        <v>0</v>
      </c>
      <c r="BH37" s="1027">
        <f>BH$16*'P&amp;L by Ctn'!BO$34</f>
        <v>0</v>
      </c>
      <c r="BI37" s="1027">
        <f>BI$16*'P&amp;L by Ctn'!BU$34</f>
        <v>0</v>
      </c>
      <c r="BJ37" s="1027">
        <f>BJ$16*'P&amp;L by Ctn'!CB$34</f>
        <v>0</v>
      </c>
      <c r="BK37" s="1027">
        <f>BK$16*'P&amp;L by Ctn'!CH$34</f>
        <v>0</v>
      </c>
      <c r="BL37" s="1027">
        <f>BL$16*'P&amp;L by Ctn'!CE$34</f>
        <v>0</v>
      </c>
      <c r="BM37" s="1027">
        <f>BM$16*'P&amp;L by Ctn'!CK$34</f>
        <v>0</v>
      </c>
      <c r="BN37" s="1027">
        <f>SUM(BG37:BM37)</f>
        <v>0</v>
      </c>
      <c r="BO37" s="896">
        <f>BO$16*'P&amp;L by Ctn'!BP$34</f>
        <v>0</v>
      </c>
      <c r="BP37" s="896">
        <f>BP$16*'P&amp;L by Ctn'!BW$34</f>
        <v>0</v>
      </c>
      <c r="BQ37" s="896">
        <f>BQ$16*'P&amp;L by Ctn'!CC$34</f>
        <v>0</v>
      </c>
      <c r="BR37" s="896">
        <f>BR$16*'P&amp;L by Ctn'!CJ$34</f>
        <v>0</v>
      </c>
      <c r="BS37" s="896">
        <f>BS$16*'P&amp;L by Ctn'!CP$34</f>
        <v>0</v>
      </c>
      <c r="BT37" s="896">
        <f>BT$16*'P&amp;L by Ctn'!CM$34</f>
        <v>0</v>
      </c>
      <c r="BU37" s="896">
        <f>BU$16*'P&amp;L by Ctn'!CS$34</f>
        <v>0</v>
      </c>
      <c r="BV37" s="896">
        <f>SUM(BO37:BU37)</f>
        <v>0</v>
      </c>
      <c r="BW37" s="1027">
        <f>BW$16*'P&amp;L by Ctn'!BX$34</f>
        <v>0</v>
      </c>
      <c r="BX37" s="1027">
        <f>BX$16*'P&amp;L by Ctn'!CE$34</f>
        <v>0</v>
      </c>
      <c r="BY37" s="1027">
        <f>BY$16*'P&amp;L by Ctn'!CK$34</f>
        <v>0</v>
      </c>
      <c r="BZ37" s="1027">
        <f>BZ$16*'P&amp;L by Ctn'!CR$34</f>
        <v>0</v>
      </c>
      <c r="CA37" s="1027">
        <f>CA$16*'P&amp;L by Ctn'!CX$34</f>
        <v>0</v>
      </c>
      <c r="CB37" s="1027">
        <f>CB$16*'P&amp;L by Ctn'!CU$34</f>
        <v>0</v>
      </c>
      <c r="CC37" s="1027">
        <f>CC$16*'P&amp;L by Ctn'!DA$34</f>
        <v>0</v>
      </c>
      <c r="CD37" s="1027">
        <f>SUM(BW37:CC37)</f>
        <v>0</v>
      </c>
      <c r="CE37" s="896">
        <f>CE$16*'P&amp;L by Ctn'!CF$34</f>
        <v>0</v>
      </c>
      <c r="CF37" s="896">
        <f>CF$16*'P&amp;L by Ctn'!CM$34</f>
        <v>0</v>
      </c>
      <c r="CG37" s="896">
        <f>CG$16*'P&amp;L by Ctn'!CS$34</f>
        <v>0</v>
      </c>
      <c r="CH37" s="896">
        <f>CH$16*'P&amp;L by Ctn'!CZ$34</f>
        <v>0</v>
      </c>
      <c r="CI37" s="896">
        <f>CI$16*'P&amp;L by Ctn'!DF$34</f>
        <v>0</v>
      </c>
      <c r="CJ37" s="896">
        <f>CJ$16*'P&amp;L by Ctn'!DC$34</f>
        <v>0</v>
      </c>
      <c r="CK37" s="896">
        <f>CK$16*'P&amp;L by Ctn'!DI$34</f>
        <v>0</v>
      </c>
      <c r="CL37" s="896">
        <f>SUM(CE37:CK37)</f>
        <v>0</v>
      </c>
      <c r="CM37" s="1027">
        <f>CM$16*'P&amp;L by Ctn'!CN$34</f>
        <v>0</v>
      </c>
      <c r="CN37" s="1027">
        <f>CN$16*'P&amp;L by Ctn'!CU$34</f>
        <v>0</v>
      </c>
      <c r="CO37" s="1027">
        <f>CO$16*'P&amp;L by Ctn'!DA$34</f>
        <v>0</v>
      </c>
      <c r="CP37" s="1027">
        <f>CP$16*'P&amp;L by Ctn'!DH$34</f>
        <v>0</v>
      </c>
      <c r="CQ37" s="1027">
        <f>CQ$16*'P&amp;L by Ctn'!DN$34</f>
        <v>0</v>
      </c>
      <c r="CR37" s="1027">
        <f>CR$16*'P&amp;L by Ctn'!DK$34</f>
        <v>0</v>
      </c>
      <c r="CS37" s="1027">
        <f>CS$16*'P&amp;L by Ctn'!DQ$34</f>
        <v>0</v>
      </c>
      <c r="CT37" s="1027">
        <f>SUM(CM37:CS37)</f>
        <v>0</v>
      </c>
      <c r="CU37" s="1032">
        <f>CU$16*'P&amp;L by Ctn'!CV$34</f>
        <v>0</v>
      </c>
      <c r="CV37" s="1032">
        <f>CV$16*'P&amp;L by Ctn'!DC$34</f>
        <v>0</v>
      </c>
      <c r="CW37" s="1032">
        <f>CW$16*'P&amp;L by Ctn'!DI$34</f>
        <v>0</v>
      </c>
      <c r="CX37" s="1032">
        <f>CX$16*'P&amp;L by Ctn'!DP$34</f>
        <v>0</v>
      </c>
      <c r="CY37" s="1032">
        <f>CY$16*'P&amp;L by Ctn'!DV$34</f>
        <v>0</v>
      </c>
      <c r="CZ37" s="1032">
        <f>CZ$16*'P&amp;L by Ctn'!DS$34</f>
        <v>0</v>
      </c>
      <c r="DA37" s="1032">
        <f>DA$16*'P&amp;L by Ctn'!DY$34</f>
        <v>0</v>
      </c>
      <c r="DB37" s="1032">
        <f t="shared" si="116"/>
        <v>0</v>
      </c>
      <c r="DC37" s="1032">
        <f t="shared" si="116"/>
        <v>0</v>
      </c>
    </row>
    <row r="38" spans="1:107" hidden="1" outlineLevel="1" x14ac:dyDescent="0.45">
      <c r="A38">
        <v>26</v>
      </c>
      <c r="B38" s="1037" t="s">
        <v>173</v>
      </c>
      <c r="C38" s="896">
        <f>C$16*'P&amp;L by Ctn'!E$35</f>
        <v>180672.61049084589</v>
      </c>
      <c r="D38" s="896">
        <f>D$16*'P&amp;L by Ctn'!K$35</f>
        <v>44791.405079769786</v>
      </c>
      <c r="E38" s="896">
        <f>E$16*'P&amp;L by Ctn'!Q$35</f>
        <v>79292.031396430131</v>
      </c>
      <c r="F38" s="896">
        <f>F$16*'P&amp;L by Ctn'!X$35</f>
        <v>0</v>
      </c>
      <c r="G38" s="896">
        <f>G$16*'P&amp;L by Ctn'!AD$35</f>
        <v>0</v>
      </c>
      <c r="H38" s="896">
        <f>H$16*'P&amp;L by Ctn'!AA$35</f>
        <v>210.37328677685795</v>
      </c>
      <c r="I38" s="896">
        <f>I$16*'P&amp;L by Ctn'!AG$35</f>
        <v>1275.7242171969697</v>
      </c>
      <c r="J38" s="896">
        <f>SUM(C38:I38)</f>
        <v>306242.14447101968</v>
      </c>
      <c r="K38" s="1027" t="e">
        <f>K$16*'P&amp;L by Ctn'!L$35</f>
        <v>#REF!</v>
      </c>
      <c r="L38" s="1027" t="e">
        <f>L$16*'P&amp;L by Ctn'!S$35</f>
        <v>#REF!</v>
      </c>
      <c r="M38" s="1027">
        <f>M$16*'P&amp;L by Ctn'!Y$35</f>
        <v>4942.141735537316</v>
      </c>
      <c r="N38" s="1027">
        <f>N$16*'P&amp;L by Ctn'!AF$35</f>
        <v>0</v>
      </c>
      <c r="O38" s="1027">
        <f>O$16*'P&amp;L by Ctn'!AL$35</f>
        <v>0</v>
      </c>
      <c r="P38" s="1027">
        <f>P$16*'P&amp;L by Ctn'!AI$35</f>
        <v>0</v>
      </c>
      <c r="Q38" s="1027">
        <f>Q$16*'P&amp;L by Ctn'!AO$35</f>
        <v>0</v>
      </c>
      <c r="R38" s="1027" t="e">
        <f>SUM(K38:Q38)</f>
        <v>#REF!</v>
      </c>
      <c r="S38" s="896" t="e">
        <f>S$16*'P&amp;L by Ctn'!T$35</f>
        <v>#REF!</v>
      </c>
      <c r="T38" s="896">
        <f>T$16*'P&amp;L by Ctn'!AA$35</f>
        <v>3856.8435909090626</v>
      </c>
      <c r="U38" s="896">
        <f>U$16*'P&amp;L by Ctn'!AG$35</f>
        <v>240689.89004300817</v>
      </c>
      <c r="V38" s="896">
        <f>V$16*'P&amp;L by Ctn'!AN$35</f>
        <v>0</v>
      </c>
      <c r="W38" s="896">
        <f>W$16*'P&amp;L by Ctn'!AT$35</f>
        <v>0</v>
      </c>
      <c r="X38" s="896">
        <f>X$16*'P&amp;L by Ctn'!AQ$35</f>
        <v>0</v>
      </c>
      <c r="Y38" s="896">
        <f>Y$16*'P&amp;L by Ctn'!AW$35</f>
        <v>0</v>
      </c>
      <c r="Z38" s="896" t="e">
        <f>SUM(S38:Y38)</f>
        <v>#REF!</v>
      </c>
      <c r="AA38" s="1027">
        <f>AA$16*'P&amp;L by Ctn'!AB$35</f>
        <v>173457.64021481472</v>
      </c>
      <c r="AB38" s="1027">
        <f>AB$16*'P&amp;L by Ctn'!AI$35</f>
        <v>0</v>
      </c>
      <c r="AC38" s="1027">
        <f>AC$16*'P&amp;L by Ctn'!AO$35</f>
        <v>0</v>
      </c>
      <c r="AD38" s="1027">
        <f>AD$16*'P&amp;L by Ctn'!AV$35</f>
        <v>0</v>
      </c>
      <c r="AE38" s="1027">
        <f>AE$16*'P&amp;L by Ctn'!BB$35</f>
        <v>0</v>
      </c>
      <c r="AF38" s="1027">
        <f>AF$16*'P&amp;L by Ctn'!AY$35</f>
        <v>0</v>
      </c>
      <c r="AG38" s="1027">
        <f>AG$16*'P&amp;L by Ctn'!BE$35</f>
        <v>0</v>
      </c>
      <c r="AH38" s="1027">
        <f>SUM(AA38:AG38)</f>
        <v>173457.64021481472</v>
      </c>
      <c r="AI38" s="896">
        <f>AI$16*'P&amp;L by Ctn'!AJ$35</f>
        <v>0</v>
      </c>
      <c r="AJ38" s="896">
        <f>AJ$16*'P&amp;L by Ctn'!AQ$35</f>
        <v>0</v>
      </c>
      <c r="AK38" s="896">
        <f>AK$16*'P&amp;L by Ctn'!AW$35</f>
        <v>0</v>
      </c>
      <c r="AL38" s="896">
        <f>AL$16*'P&amp;L by Ctn'!BD$35</f>
        <v>0</v>
      </c>
      <c r="AM38" s="896">
        <f>AM$16*'P&amp;L by Ctn'!BJ$35</f>
        <v>0</v>
      </c>
      <c r="AN38" s="896">
        <f>AN$16*'P&amp;L by Ctn'!BG$35</f>
        <v>0</v>
      </c>
      <c r="AO38" s="896">
        <f>AO$16*'P&amp;L by Ctn'!BM$35</f>
        <v>0</v>
      </c>
      <c r="AP38" s="896">
        <f>SUM(AI38:AO38)</f>
        <v>0</v>
      </c>
      <c r="AQ38" s="1027">
        <f>AQ$16*'P&amp;L by Ctn'!AR$35</f>
        <v>0</v>
      </c>
      <c r="AR38" s="1027">
        <f>AR$16*'P&amp;L by Ctn'!AY$35</f>
        <v>0</v>
      </c>
      <c r="AS38" s="1027">
        <f>AS$16*'P&amp;L by Ctn'!BE$35</f>
        <v>0</v>
      </c>
      <c r="AT38" s="1027">
        <f>AT$16*'P&amp;L by Ctn'!BL$35</f>
        <v>0</v>
      </c>
      <c r="AU38" s="1027">
        <f>AU$16*'P&amp;L by Ctn'!BR$35</f>
        <v>0</v>
      </c>
      <c r="AV38" s="1027">
        <f>AV$16*'P&amp;L by Ctn'!BO$35</f>
        <v>0</v>
      </c>
      <c r="AW38" s="1027">
        <f>AW$16*'P&amp;L by Ctn'!BU$35</f>
        <v>0</v>
      </c>
      <c r="AX38" s="1027">
        <f>SUM(AQ38:AW38)</f>
        <v>0</v>
      </c>
      <c r="AY38" s="896">
        <f>AY$16*'P&amp;L by Ctn'!AZ$35</f>
        <v>0</v>
      </c>
      <c r="AZ38" s="896">
        <f>AZ$16*'P&amp;L by Ctn'!BG$35</f>
        <v>0</v>
      </c>
      <c r="BA38" s="896">
        <f>BA$16*'P&amp;L by Ctn'!BM$35</f>
        <v>0</v>
      </c>
      <c r="BB38" s="896">
        <f>BB$16*'P&amp;L by Ctn'!BT$35</f>
        <v>0</v>
      </c>
      <c r="BC38" s="896">
        <f>BC$16*'P&amp;L by Ctn'!BZ$35</f>
        <v>0</v>
      </c>
      <c r="BD38" s="896">
        <f>BD$16*'P&amp;L by Ctn'!BW$35</f>
        <v>0</v>
      </c>
      <c r="BE38" s="896">
        <f>BE$16*'P&amp;L by Ctn'!CC$35</f>
        <v>0</v>
      </c>
      <c r="BF38" s="896">
        <f>SUM(AY38:BE38)</f>
        <v>0</v>
      </c>
      <c r="BG38" s="1027">
        <f>BG$16*'P&amp;L by Ctn'!BH$35</f>
        <v>0</v>
      </c>
      <c r="BH38" s="1027">
        <f>BH$16*'P&amp;L by Ctn'!BO$35</f>
        <v>0</v>
      </c>
      <c r="BI38" s="1027">
        <f>BI$16*'P&amp;L by Ctn'!BU$35</f>
        <v>0</v>
      </c>
      <c r="BJ38" s="1027">
        <f>BJ$16*'P&amp;L by Ctn'!CB$35</f>
        <v>0</v>
      </c>
      <c r="BK38" s="1027">
        <f>BK$16*'P&amp;L by Ctn'!CH$35</f>
        <v>0</v>
      </c>
      <c r="BL38" s="1027">
        <f>BL$16*'P&amp;L by Ctn'!CE$35</f>
        <v>0</v>
      </c>
      <c r="BM38" s="1027">
        <f>BM$16*'P&amp;L by Ctn'!CK$35</f>
        <v>0</v>
      </c>
      <c r="BN38" s="1027">
        <f>SUM(BG38:BM38)</f>
        <v>0</v>
      </c>
      <c r="BO38" s="896">
        <f>BO$16*'P&amp;L by Ctn'!BP$35</f>
        <v>0</v>
      </c>
      <c r="BP38" s="896">
        <f>BP$16*'P&amp;L by Ctn'!BW$35</f>
        <v>0</v>
      </c>
      <c r="BQ38" s="896">
        <f>BQ$16*'P&amp;L by Ctn'!CC$35</f>
        <v>0</v>
      </c>
      <c r="BR38" s="896">
        <f>BR$16*'P&amp;L by Ctn'!CJ$35</f>
        <v>0</v>
      </c>
      <c r="BS38" s="896">
        <f>BS$16*'P&amp;L by Ctn'!CP$35</f>
        <v>0</v>
      </c>
      <c r="BT38" s="896">
        <f>BT$16*'P&amp;L by Ctn'!CM$35</f>
        <v>0</v>
      </c>
      <c r="BU38" s="896">
        <f>BU$16*'P&amp;L by Ctn'!CS$35</f>
        <v>0</v>
      </c>
      <c r="BV38" s="896">
        <f>SUM(BO38:BU38)</f>
        <v>0</v>
      </c>
      <c r="BW38" s="1027">
        <f>BW$16*'P&amp;L by Ctn'!BX$35</f>
        <v>0</v>
      </c>
      <c r="BX38" s="1027">
        <f>BX$16*'P&amp;L by Ctn'!CE$35</f>
        <v>0</v>
      </c>
      <c r="BY38" s="1027">
        <f>BY$16*'P&amp;L by Ctn'!CK$35</f>
        <v>0</v>
      </c>
      <c r="BZ38" s="1027">
        <f>BZ$16*'P&amp;L by Ctn'!CR$35</f>
        <v>0</v>
      </c>
      <c r="CA38" s="1027">
        <f>CA$16*'P&amp;L by Ctn'!CX$35</f>
        <v>0</v>
      </c>
      <c r="CB38" s="1027">
        <f>CB$16*'P&amp;L by Ctn'!CU$35</f>
        <v>0</v>
      </c>
      <c r="CC38" s="1027">
        <f>CC$16*'P&amp;L by Ctn'!DA$35</f>
        <v>0</v>
      </c>
      <c r="CD38" s="1027">
        <f>SUM(BW38:CC38)</f>
        <v>0</v>
      </c>
      <c r="CE38" s="896">
        <f>CE$16*'P&amp;L by Ctn'!CF$35</f>
        <v>0</v>
      </c>
      <c r="CF38" s="896">
        <f>CF$16*'P&amp;L by Ctn'!CM$35</f>
        <v>0</v>
      </c>
      <c r="CG38" s="896">
        <f>CG$16*'P&amp;L by Ctn'!CS$35</f>
        <v>0</v>
      </c>
      <c r="CH38" s="896">
        <f>CH$16*'P&amp;L by Ctn'!CZ$35</f>
        <v>0</v>
      </c>
      <c r="CI38" s="896">
        <f>CI$16*'P&amp;L by Ctn'!DF$35</f>
        <v>0</v>
      </c>
      <c r="CJ38" s="896">
        <f>CJ$16*'P&amp;L by Ctn'!DC$35</f>
        <v>0</v>
      </c>
      <c r="CK38" s="896">
        <f>CK$16*'P&amp;L by Ctn'!DI$35</f>
        <v>0</v>
      </c>
      <c r="CL38" s="896">
        <f>SUM(CE38:CK38)</f>
        <v>0</v>
      </c>
      <c r="CM38" s="1027">
        <f>CM$16*'P&amp;L by Ctn'!CN$35</f>
        <v>0</v>
      </c>
      <c r="CN38" s="1027">
        <f>CN$16*'P&amp;L by Ctn'!CU$35</f>
        <v>0</v>
      </c>
      <c r="CO38" s="1027">
        <f>CO$16*'P&amp;L by Ctn'!DA$35</f>
        <v>0</v>
      </c>
      <c r="CP38" s="1027">
        <f>CP$16*'P&amp;L by Ctn'!DH$35</f>
        <v>0</v>
      </c>
      <c r="CQ38" s="1027">
        <f>CQ$16*'P&amp;L by Ctn'!DN$35</f>
        <v>0</v>
      </c>
      <c r="CR38" s="1027">
        <f>CR$16*'P&amp;L by Ctn'!DK$35</f>
        <v>0</v>
      </c>
      <c r="CS38" s="1027">
        <f>CS$16*'P&amp;L by Ctn'!DQ$35</f>
        <v>0</v>
      </c>
      <c r="CT38" s="1027">
        <f>SUM(CM38:CS38)</f>
        <v>0</v>
      </c>
      <c r="CU38" s="1032">
        <f>CU$16*'P&amp;L by Ctn'!CV$35</f>
        <v>0</v>
      </c>
      <c r="CV38" s="1032">
        <f>CV$16*'P&amp;L by Ctn'!DC$35</f>
        <v>0</v>
      </c>
      <c r="CW38" s="1032">
        <f>CW$16*'P&amp;L by Ctn'!DI$35</f>
        <v>0</v>
      </c>
      <c r="CX38" s="1032">
        <f>CX$16*'P&amp;L by Ctn'!DP$35</f>
        <v>0</v>
      </c>
      <c r="CY38" s="1032">
        <f>CY$16*'P&amp;L by Ctn'!DV$35</f>
        <v>0</v>
      </c>
      <c r="CZ38" s="1032">
        <f>CZ$16*'P&amp;L by Ctn'!DS$35</f>
        <v>0</v>
      </c>
      <c r="DA38" s="1032">
        <f>DA$16*'P&amp;L by Ctn'!DY$35</f>
        <v>0</v>
      </c>
      <c r="DB38" s="1032">
        <f t="shared" si="116"/>
        <v>0</v>
      </c>
      <c r="DC38" s="1032">
        <f t="shared" si="116"/>
        <v>0</v>
      </c>
    </row>
    <row r="39" spans="1:107" hidden="1" outlineLevel="1" x14ac:dyDescent="0.45">
      <c r="A39">
        <v>27</v>
      </c>
      <c r="B39" s="1038" t="s">
        <v>174</v>
      </c>
      <c r="C39" s="894">
        <f t="shared" ref="C39:BN39" si="117">IFERROR(C38/C$37,0)</f>
        <v>9.4911628519284488E-2</v>
      </c>
      <c r="D39" s="894">
        <f t="shared" si="117"/>
        <v>9.5378825271434084E-2</v>
      </c>
      <c r="E39" s="894">
        <f t="shared" si="117"/>
        <v>7.5550975507367807E-2</v>
      </c>
      <c r="F39" s="894">
        <f t="shared" si="117"/>
        <v>0</v>
      </c>
      <c r="G39" s="894">
        <f t="shared" si="117"/>
        <v>0</v>
      </c>
      <c r="H39" s="894">
        <f t="shared" si="117"/>
        <v>1.8542517263985876E-2</v>
      </c>
      <c r="I39" s="894">
        <f t="shared" si="117"/>
        <v>0.13712353286197648</v>
      </c>
      <c r="J39" s="894">
        <f t="shared" si="117"/>
        <v>8.8936766788849403E-2</v>
      </c>
      <c r="K39" s="1028">
        <f t="shared" si="117"/>
        <v>0</v>
      </c>
      <c r="L39" s="1028">
        <f t="shared" si="117"/>
        <v>0</v>
      </c>
      <c r="M39" s="1028">
        <f t="shared" si="117"/>
        <v>7.6698564593303386E-3</v>
      </c>
      <c r="N39" s="1028">
        <f t="shared" si="117"/>
        <v>0</v>
      </c>
      <c r="O39" s="1028">
        <f t="shared" si="117"/>
        <v>0</v>
      </c>
      <c r="P39" s="1028">
        <f t="shared" si="117"/>
        <v>0</v>
      </c>
      <c r="Q39" s="1028">
        <f t="shared" si="117"/>
        <v>0</v>
      </c>
      <c r="R39" s="1028">
        <f t="shared" si="117"/>
        <v>0</v>
      </c>
      <c r="S39" s="894">
        <f t="shared" si="117"/>
        <v>0</v>
      </c>
      <c r="T39" s="894">
        <f t="shared" si="117"/>
        <v>1.854251726398588E-2</v>
      </c>
      <c r="U39" s="894">
        <f t="shared" si="117"/>
        <v>0.13712353286197648</v>
      </c>
      <c r="V39" s="894">
        <f t="shared" si="117"/>
        <v>0</v>
      </c>
      <c r="W39" s="894">
        <f t="shared" si="117"/>
        <v>0</v>
      </c>
      <c r="X39" s="894">
        <f t="shared" si="117"/>
        <v>0</v>
      </c>
      <c r="Y39" s="894">
        <f t="shared" si="117"/>
        <v>0</v>
      </c>
      <c r="Z39" s="894">
        <f t="shared" si="117"/>
        <v>0</v>
      </c>
      <c r="AA39" s="1028">
        <f t="shared" si="117"/>
        <v>0.20232191983751546</v>
      </c>
      <c r="AB39" s="1028">
        <f t="shared" si="117"/>
        <v>0</v>
      </c>
      <c r="AC39" s="1028">
        <f t="shared" si="117"/>
        <v>0</v>
      </c>
      <c r="AD39" s="1028">
        <f t="shared" si="117"/>
        <v>0</v>
      </c>
      <c r="AE39" s="1028">
        <f t="shared" si="117"/>
        <v>0</v>
      </c>
      <c r="AF39" s="1028">
        <f t="shared" si="117"/>
        <v>0</v>
      </c>
      <c r="AG39" s="1028">
        <f t="shared" si="117"/>
        <v>0</v>
      </c>
      <c r="AH39" s="1028">
        <f t="shared" si="117"/>
        <v>0.20232191983751546</v>
      </c>
      <c r="AI39" s="894">
        <f t="shared" si="117"/>
        <v>0</v>
      </c>
      <c r="AJ39" s="894">
        <f t="shared" si="117"/>
        <v>0</v>
      </c>
      <c r="AK39" s="894">
        <f t="shared" si="117"/>
        <v>0</v>
      </c>
      <c r="AL39" s="894">
        <f t="shared" si="117"/>
        <v>0</v>
      </c>
      <c r="AM39" s="894">
        <f t="shared" si="117"/>
        <v>0</v>
      </c>
      <c r="AN39" s="894">
        <f t="shared" si="117"/>
        <v>0</v>
      </c>
      <c r="AO39" s="894">
        <f t="shared" si="117"/>
        <v>0</v>
      </c>
      <c r="AP39" s="894">
        <f t="shared" si="117"/>
        <v>0</v>
      </c>
      <c r="AQ39" s="1028">
        <f t="shared" si="117"/>
        <v>0</v>
      </c>
      <c r="AR39" s="1028">
        <f t="shared" si="117"/>
        <v>0</v>
      </c>
      <c r="AS39" s="1028">
        <f t="shared" si="117"/>
        <v>0</v>
      </c>
      <c r="AT39" s="1028">
        <f t="shared" si="117"/>
        <v>0</v>
      </c>
      <c r="AU39" s="1028">
        <f t="shared" si="117"/>
        <v>0</v>
      </c>
      <c r="AV39" s="1028">
        <f t="shared" si="117"/>
        <v>0</v>
      </c>
      <c r="AW39" s="1028">
        <f t="shared" si="117"/>
        <v>0</v>
      </c>
      <c r="AX39" s="1028">
        <f t="shared" si="117"/>
        <v>0</v>
      </c>
      <c r="AY39" s="894">
        <f t="shared" si="117"/>
        <v>0</v>
      </c>
      <c r="AZ39" s="894">
        <f t="shared" si="117"/>
        <v>0</v>
      </c>
      <c r="BA39" s="894">
        <f t="shared" si="117"/>
        <v>0</v>
      </c>
      <c r="BB39" s="894">
        <f t="shared" si="117"/>
        <v>0</v>
      </c>
      <c r="BC39" s="894">
        <f t="shared" si="117"/>
        <v>0</v>
      </c>
      <c r="BD39" s="894">
        <f t="shared" si="117"/>
        <v>0</v>
      </c>
      <c r="BE39" s="894">
        <f t="shared" si="117"/>
        <v>0</v>
      </c>
      <c r="BF39" s="894">
        <f t="shared" si="117"/>
        <v>0</v>
      </c>
      <c r="BG39" s="1028">
        <f t="shared" si="117"/>
        <v>0</v>
      </c>
      <c r="BH39" s="1028">
        <f t="shared" si="117"/>
        <v>0</v>
      </c>
      <c r="BI39" s="1028">
        <f t="shared" si="117"/>
        <v>0</v>
      </c>
      <c r="BJ39" s="1028">
        <f t="shared" si="117"/>
        <v>0</v>
      </c>
      <c r="BK39" s="1028">
        <f t="shared" si="117"/>
        <v>0</v>
      </c>
      <c r="BL39" s="1028">
        <f t="shared" si="117"/>
        <v>0</v>
      </c>
      <c r="BM39" s="1028">
        <f t="shared" si="117"/>
        <v>0</v>
      </c>
      <c r="BN39" s="1028">
        <f t="shared" si="117"/>
        <v>0</v>
      </c>
      <c r="BO39" s="894">
        <f t="shared" ref="BO39:DC39" si="118">IFERROR(BO38/BO$37,0)</f>
        <v>0</v>
      </c>
      <c r="BP39" s="894">
        <f t="shared" si="118"/>
        <v>0</v>
      </c>
      <c r="BQ39" s="894">
        <f t="shared" si="118"/>
        <v>0</v>
      </c>
      <c r="BR39" s="894">
        <f t="shared" si="118"/>
        <v>0</v>
      </c>
      <c r="BS39" s="894">
        <f t="shared" si="118"/>
        <v>0</v>
      </c>
      <c r="BT39" s="894">
        <f t="shared" si="118"/>
        <v>0</v>
      </c>
      <c r="BU39" s="894">
        <f t="shared" si="118"/>
        <v>0</v>
      </c>
      <c r="BV39" s="894">
        <f t="shared" si="118"/>
        <v>0</v>
      </c>
      <c r="BW39" s="1028">
        <f t="shared" si="118"/>
        <v>0</v>
      </c>
      <c r="BX39" s="1028">
        <f t="shared" si="118"/>
        <v>0</v>
      </c>
      <c r="BY39" s="1028">
        <f t="shared" si="118"/>
        <v>0</v>
      </c>
      <c r="BZ39" s="1028">
        <f t="shared" si="118"/>
        <v>0</v>
      </c>
      <c r="CA39" s="1028">
        <f t="shared" si="118"/>
        <v>0</v>
      </c>
      <c r="CB39" s="1028">
        <f t="shared" si="118"/>
        <v>0</v>
      </c>
      <c r="CC39" s="1028">
        <f t="shared" si="118"/>
        <v>0</v>
      </c>
      <c r="CD39" s="1028">
        <f t="shared" si="118"/>
        <v>0</v>
      </c>
      <c r="CE39" s="894">
        <f t="shared" si="118"/>
        <v>0</v>
      </c>
      <c r="CF39" s="894">
        <f t="shared" si="118"/>
        <v>0</v>
      </c>
      <c r="CG39" s="894">
        <f t="shared" si="118"/>
        <v>0</v>
      </c>
      <c r="CH39" s="894">
        <f t="shared" si="118"/>
        <v>0</v>
      </c>
      <c r="CI39" s="894">
        <f t="shared" si="118"/>
        <v>0</v>
      </c>
      <c r="CJ39" s="894">
        <f t="shared" si="118"/>
        <v>0</v>
      </c>
      <c r="CK39" s="894">
        <f t="shared" si="118"/>
        <v>0</v>
      </c>
      <c r="CL39" s="894">
        <f t="shared" si="118"/>
        <v>0</v>
      </c>
      <c r="CM39" s="1028">
        <f t="shared" si="118"/>
        <v>0</v>
      </c>
      <c r="CN39" s="1028">
        <f t="shared" si="118"/>
        <v>0</v>
      </c>
      <c r="CO39" s="1028">
        <f t="shared" si="118"/>
        <v>0</v>
      </c>
      <c r="CP39" s="1028">
        <f t="shared" si="118"/>
        <v>0</v>
      </c>
      <c r="CQ39" s="1028">
        <f t="shared" si="118"/>
        <v>0</v>
      </c>
      <c r="CR39" s="1028">
        <f t="shared" si="118"/>
        <v>0</v>
      </c>
      <c r="CS39" s="1028">
        <f t="shared" si="118"/>
        <v>0</v>
      </c>
      <c r="CT39" s="1028">
        <f t="shared" si="118"/>
        <v>0</v>
      </c>
      <c r="CU39" s="1033">
        <f t="shared" si="118"/>
        <v>0</v>
      </c>
      <c r="CV39" s="1033">
        <f t="shared" si="118"/>
        <v>0</v>
      </c>
      <c r="CW39" s="1033">
        <f t="shared" si="118"/>
        <v>0</v>
      </c>
      <c r="CX39" s="1033">
        <f t="shared" si="118"/>
        <v>0</v>
      </c>
      <c r="CY39" s="1033">
        <f t="shared" si="118"/>
        <v>0</v>
      </c>
      <c r="CZ39" s="1033">
        <f t="shared" si="118"/>
        <v>0</v>
      </c>
      <c r="DA39" s="1033">
        <f t="shared" si="118"/>
        <v>0</v>
      </c>
      <c r="DB39" s="1033">
        <f t="shared" si="118"/>
        <v>0</v>
      </c>
      <c r="DC39" s="1033">
        <f t="shared" si="118"/>
        <v>0</v>
      </c>
    </row>
    <row r="40" spans="1:107" hidden="1" outlineLevel="1" x14ac:dyDescent="0.45">
      <c r="A40">
        <v>28</v>
      </c>
      <c r="B40" s="965"/>
      <c r="C40" s="966"/>
      <c r="D40" s="966"/>
      <c r="E40" s="966"/>
      <c r="F40" s="966"/>
      <c r="G40" s="966"/>
      <c r="H40" s="966"/>
      <c r="I40" s="966"/>
      <c r="J40" s="967"/>
      <c r="K40" s="966"/>
      <c r="L40" s="966"/>
      <c r="M40" s="966"/>
      <c r="N40" s="966"/>
      <c r="O40" s="966"/>
      <c r="P40" s="966"/>
      <c r="Q40" s="966"/>
      <c r="R40" s="967"/>
      <c r="S40" s="966"/>
      <c r="T40" s="966"/>
      <c r="U40" s="966"/>
      <c r="V40" s="966"/>
      <c r="W40" s="966"/>
      <c r="X40" s="966"/>
      <c r="Y40" s="966"/>
      <c r="Z40" s="967"/>
      <c r="AA40" s="966"/>
      <c r="AB40" s="966"/>
      <c r="AC40" s="966"/>
      <c r="AD40" s="966"/>
      <c r="AE40" s="966"/>
      <c r="AF40" s="966"/>
      <c r="AG40" s="966"/>
      <c r="AH40" s="967"/>
      <c r="AI40" s="966"/>
      <c r="AJ40" s="966"/>
      <c r="AK40" s="966"/>
      <c r="AL40" s="966"/>
      <c r="AM40" s="966"/>
      <c r="AN40" s="966"/>
      <c r="AO40" s="966"/>
      <c r="AP40" s="967"/>
      <c r="AQ40" s="966"/>
      <c r="AR40" s="966"/>
      <c r="AS40" s="966"/>
      <c r="AT40" s="966"/>
      <c r="AU40" s="966"/>
      <c r="AV40" s="966"/>
      <c r="AW40" s="966"/>
      <c r="AX40" s="967"/>
      <c r="AY40" s="966"/>
      <c r="AZ40" s="966"/>
      <c r="BA40" s="966"/>
      <c r="BB40" s="966"/>
      <c r="BC40" s="966"/>
      <c r="BD40" s="966"/>
      <c r="BE40" s="966"/>
      <c r="BF40" s="967"/>
      <c r="BG40" s="966"/>
      <c r="BH40" s="966"/>
      <c r="BI40" s="966"/>
      <c r="BJ40" s="966"/>
      <c r="BK40" s="966"/>
      <c r="BL40" s="966"/>
      <c r="BM40" s="966"/>
      <c r="BN40" s="967"/>
      <c r="BO40" s="966"/>
      <c r="BP40" s="966"/>
      <c r="BQ40" s="966"/>
      <c r="BR40" s="966"/>
      <c r="BS40" s="966"/>
      <c r="BT40" s="966"/>
      <c r="BU40" s="966"/>
      <c r="BV40" s="967"/>
      <c r="BW40" s="966"/>
      <c r="BX40" s="966"/>
      <c r="BY40" s="966"/>
      <c r="BZ40" s="966"/>
      <c r="CA40" s="966"/>
      <c r="CB40" s="966"/>
      <c r="CC40" s="966"/>
      <c r="CD40" s="967"/>
      <c r="CE40" s="966"/>
      <c r="CF40" s="966"/>
      <c r="CG40" s="966"/>
      <c r="CH40" s="966"/>
      <c r="CI40" s="966"/>
      <c r="CJ40" s="966"/>
      <c r="CK40" s="966"/>
      <c r="CL40" s="967"/>
      <c r="CM40" s="966"/>
      <c r="CN40" s="966"/>
      <c r="CO40" s="966"/>
      <c r="CP40" s="966"/>
      <c r="CQ40" s="966"/>
      <c r="CR40" s="966"/>
      <c r="CS40" s="966"/>
      <c r="CT40" s="967"/>
      <c r="CU40" s="966"/>
      <c r="CV40" s="966"/>
      <c r="CW40" s="966"/>
      <c r="CX40" s="966"/>
      <c r="CY40" s="966"/>
      <c r="CZ40" s="966"/>
      <c r="DA40" s="966"/>
      <c r="DB40" s="967"/>
      <c r="DC40" s="967"/>
    </row>
    <row r="41" spans="1:107" hidden="1" outlineLevel="1" x14ac:dyDescent="0.45">
      <c r="A41">
        <v>29</v>
      </c>
      <c r="B41" s="1034" t="s">
        <v>218</v>
      </c>
      <c r="C41" s="889">
        <f t="shared" ref="C41:BN41" si="119">C20-C22</f>
        <v>361358.74473081809</v>
      </c>
      <c r="D41" s="889">
        <f t="shared" si="119"/>
        <v>63046.293894897826</v>
      </c>
      <c r="E41" s="889">
        <f t="shared" si="119"/>
        <v>50779.008145237225</v>
      </c>
      <c r="F41" s="889">
        <f t="shared" si="119"/>
        <v>0</v>
      </c>
      <c r="G41" s="889">
        <f t="shared" si="119"/>
        <v>0</v>
      </c>
      <c r="H41" s="889">
        <f t="shared" si="119"/>
        <v>1200.0250174800003</v>
      </c>
      <c r="I41" s="889">
        <f t="shared" si="119"/>
        <v>540.61502445719998</v>
      </c>
      <c r="J41" s="889">
        <f t="shared" si="119"/>
        <v>476924.68681289005</v>
      </c>
      <c r="K41" s="1025">
        <f t="shared" si="119"/>
        <v>141797.4434954506</v>
      </c>
      <c r="L41" s="1025">
        <f t="shared" si="119"/>
        <v>41406.653594030075</v>
      </c>
      <c r="M41" s="1025">
        <f t="shared" si="119"/>
        <v>8733.9899303090933</v>
      </c>
      <c r="N41" s="1025">
        <f t="shared" si="119"/>
        <v>0</v>
      </c>
      <c r="O41" s="1025">
        <f t="shared" si="119"/>
        <v>1271.9117735748503</v>
      </c>
      <c r="P41" s="1025">
        <f t="shared" si="119"/>
        <v>876.9629751399998</v>
      </c>
      <c r="Q41" s="1025">
        <f t="shared" si="119"/>
        <v>0</v>
      </c>
      <c r="R41" s="1025">
        <f t="shared" si="119"/>
        <v>194086.96176850438</v>
      </c>
      <c r="S41" s="889">
        <f t="shared" si="119"/>
        <v>209803.55883175705</v>
      </c>
      <c r="T41" s="889">
        <f t="shared" si="119"/>
        <v>35036.399194948535</v>
      </c>
      <c r="U41" s="889">
        <f t="shared" si="119"/>
        <v>12986.556867627281</v>
      </c>
      <c r="V41" s="889">
        <f t="shared" si="119"/>
        <v>1696.9620869920482</v>
      </c>
      <c r="W41" s="889">
        <f t="shared" si="119"/>
        <v>2596.3080540487517</v>
      </c>
      <c r="X41" s="889">
        <f t="shared" si="119"/>
        <v>2658.5824930560011</v>
      </c>
      <c r="Y41" s="889">
        <f t="shared" si="119"/>
        <v>741.75448162475004</v>
      </c>
      <c r="Z41" s="889">
        <f t="shared" si="119"/>
        <v>265520.12201005477</v>
      </c>
      <c r="AA41" s="1025">
        <f t="shared" si="119"/>
        <v>140677.72894814101</v>
      </c>
      <c r="AB41" s="1025">
        <f t="shared" si="119"/>
        <v>20214.80999535145</v>
      </c>
      <c r="AC41" s="1025">
        <f t="shared" si="119"/>
        <v>-23582.354558917665</v>
      </c>
      <c r="AD41" s="1025">
        <f t="shared" si="119"/>
        <v>0</v>
      </c>
      <c r="AE41" s="1025">
        <f t="shared" si="119"/>
        <v>821.74647887323999</v>
      </c>
      <c r="AF41" s="1025">
        <f t="shared" si="119"/>
        <v>850.47887323943723</v>
      </c>
      <c r="AG41" s="1025">
        <f t="shared" si="119"/>
        <v>277.01408450704184</v>
      </c>
      <c r="AH41" s="1025">
        <f t="shared" si="119"/>
        <v>139259.42382119433</v>
      </c>
      <c r="AI41" s="889">
        <f t="shared" si="119"/>
        <v>83337.229149499501</v>
      </c>
      <c r="AJ41" s="889">
        <f t="shared" si="119"/>
        <v>12128.885997210877</v>
      </c>
      <c r="AK41" s="889">
        <f t="shared" si="119"/>
        <v>-13302.86667426124</v>
      </c>
      <c r="AL41" s="889">
        <f t="shared" si="119"/>
        <v>0</v>
      </c>
      <c r="AM41" s="889">
        <f t="shared" si="119"/>
        <v>821.74647887323999</v>
      </c>
      <c r="AN41" s="889">
        <f t="shared" si="119"/>
        <v>850.47887323943723</v>
      </c>
      <c r="AO41" s="889">
        <f t="shared" si="119"/>
        <v>277.01408450704184</v>
      </c>
      <c r="AP41" s="889">
        <f t="shared" si="119"/>
        <v>84112.487909068703</v>
      </c>
      <c r="AQ41" s="1025">
        <f t="shared" si="119"/>
        <v>131883.1495368756</v>
      </c>
      <c r="AR41" s="1025">
        <f t="shared" si="119"/>
        <v>20214.80999535145</v>
      </c>
      <c r="AS41" s="1025">
        <f t="shared" si="119"/>
        <v>-21768.327285154723</v>
      </c>
      <c r="AT41" s="1025">
        <f t="shared" si="119"/>
        <v>0</v>
      </c>
      <c r="AU41" s="1025">
        <f t="shared" si="119"/>
        <v>821.74647887323999</v>
      </c>
      <c r="AV41" s="1025">
        <f t="shared" si="119"/>
        <v>1700.9577464788745</v>
      </c>
      <c r="AW41" s="1025">
        <f t="shared" si="119"/>
        <v>277.01408450704184</v>
      </c>
      <c r="AX41" s="1025">
        <f t="shared" si="119"/>
        <v>133129.35055693169</v>
      </c>
      <c r="AY41" s="889" t="e">
        <f t="shared" si="119"/>
        <v>#REF!</v>
      </c>
      <c r="AZ41" s="889" t="e">
        <f t="shared" si="119"/>
        <v>#REF!</v>
      </c>
      <c r="BA41" s="889" t="e">
        <f t="shared" si="119"/>
        <v>#REF!</v>
      </c>
      <c r="BB41" s="889">
        <f t="shared" si="119"/>
        <v>0</v>
      </c>
      <c r="BC41" s="889">
        <f t="shared" si="119"/>
        <v>0</v>
      </c>
      <c r="BD41" s="889">
        <f t="shared" si="119"/>
        <v>526.04619718309823</v>
      </c>
      <c r="BE41" s="889">
        <f t="shared" si="119"/>
        <v>0</v>
      </c>
      <c r="BF41" s="889" t="e">
        <f t="shared" si="119"/>
        <v>#REF!</v>
      </c>
      <c r="BG41" s="1025" t="e">
        <f t="shared" si="119"/>
        <v>#REF!</v>
      </c>
      <c r="BH41" s="1025" t="e">
        <f t="shared" si="119"/>
        <v>#REF!</v>
      </c>
      <c r="BI41" s="1025" t="e">
        <f t="shared" si="119"/>
        <v>#REF!</v>
      </c>
      <c r="BJ41" s="1025">
        <f t="shared" si="119"/>
        <v>0</v>
      </c>
      <c r="BK41" s="1025">
        <f t="shared" si="119"/>
        <v>496.21690140845101</v>
      </c>
      <c r="BL41" s="1025">
        <f t="shared" si="119"/>
        <v>1052.0923943661965</v>
      </c>
      <c r="BM41" s="1025">
        <f t="shared" si="119"/>
        <v>263.02309859154923</v>
      </c>
      <c r="BN41" s="1025" t="e">
        <f t="shared" si="119"/>
        <v>#REF!</v>
      </c>
      <c r="BO41" s="889" t="e">
        <f t="shared" ref="BO41:DC41" si="120">BO20-BO22</f>
        <v>#REF!</v>
      </c>
      <c r="BP41" s="889" t="e">
        <f t="shared" si="120"/>
        <v>#REF!</v>
      </c>
      <c r="BQ41" s="889" t="e">
        <f t="shared" si="120"/>
        <v>#REF!</v>
      </c>
      <c r="BR41" s="889">
        <f t="shared" si="120"/>
        <v>0</v>
      </c>
      <c r="BS41" s="889">
        <f t="shared" si="120"/>
        <v>496.21690140845101</v>
      </c>
      <c r="BT41" s="889">
        <f t="shared" si="120"/>
        <v>526.04619718309823</v>
      </c>
      <c r="BU41" s="889">
        <f t="shared" si="120"/>
        <v>263.02309859154923</v>
      </c>
      <c r="BV41" s="889" t="e">
        <f t="shared" si="120"/>
        <v>#REF!</v>
      </c>
      <c r="BW41" s="1025" t="e">
        <f t="shared" si="120"/>
        <v>#REF!</v>
      </c>
      <c r="BX41" s="1025" t="e">
        <f t="shared" si="120"/>
        <v>#REF!</v>
      </c>
      <c r="BY41" s="1025" t="e">
        <f t="shared" si="120"/>
        <v>#REF!</v>
      </c>
      <c r="BZ41" s="1025">
        <f t="shared" si="120"/>
        <v>0</v>
      </c>
      <c r="CA41" s="1025">
        <f t="shared" si="120"/>
        <v>496.21690140845101</v>
      </c>
      <c r="CB41" s="1025">
        <f t="shared" si="120"/>
        <v>526.04619718309823</v>
      </c>
      <c r="CC41" s="1025">
        <f t="shared" si="120"/>
        <v>0</v>
      </c>
      <c r="CD41" s="1025" t="e">
        <f t="shared" si="120"/>
        <v>#REF!</v>
      </c>
      <c r="CE41" s="889" t="e">
        <f t="shared" si="120"/>
        <v>#REF!</v>
      </c>
      <c r="CF41" s="889" t="e">
        <f t="shared" si="120"/>
        <v>#REF!</v>
      </c>
      <c r="CG41" s="889" t="e">
        <f t="shared" si="120"/>
        <v>#REF!</v>
      </c>
      <c r="CH41" s="889">
        <f t="shared" si="120"/>
        <v>0</v>
      </c>
      <c r="CI41" s="889">
        <f t="shared" si="120"/>
        <v>0</v>
      </c>
      <c r="CJ41" s="889">
        <f t="shared" si="120"/>
        <v>526.04619718309823</v>
      </c>
      <c r="CK41" s="889">
        <f t="shared" si="120"/>
        <v>263.02309859154923</v>
      </c>
      <c r="CL41" s="889" t="e">
        <f t="shared" si="120"/>
        <v>#REF!</v>
      </c>
      <c r="CM41" s="1025" t="e">
        <f t="shared" si="120"/>
        <v>#REF!</v>
      </c>
      <c r="CN41" s="1025" t="e">
        <f t="shared" si="120"/>
        <v>#REF!</v>
      </c>
      <c r="CO41" s="1025" t="e">
        <f t="shared" si="120"/>
        <v>#REF!</v>
      </c>
      <c r="CP41" s="1025">
        <f t="shared" si="120"/>
        <v>0</v>
      </c>
      <c r="CQ41" s="1025">
        <f t="shared" si="120"/>
        <v>496.21690140845101</v>
      </c>
      <c r="CR41" s="1025">
        <f t="shared" si="120"/>
        <v>526.04619718309823</v>
      </c>
      <c r="CS41" s="1025">
        <f t="shared" si="120"/>
        <v>263.02309859154923</v>
      </c>
      <c r="CT41" s="1025" t="e">
        <f t="shared" si="120"/>
        <v>#REF!</v>
      </c>
      <c r="CU41" s="1030" t="e">
        <f t="shared" si="120"/>
        <v>#REF!</v>
      </c>
      <c r="CV41" s="1030" t="e">
        <f t="shared" si="120"/>
        <v>#REF!</v>
      </c>
      <c r="CW41" s="1030" t="e">
        <f t="shared" si="120"/>
        <v>#REF!</v>
      </c>
      <c r="CX41" s="1030">
        <f t="shared" si="120"/>
        <v>1696.9620869920482</v>
      </c>
      <c r="CY41" s="1030">
        <f t="shared" si="120"/>
        <v>8318.3268698771335</v>
      </c>
      <c r="CZ41" s="1030">
        <f t="shared" si="120"/>
        <v>11819.809358915438</v>
      </c>
      <c r="DA41" s="1030">
        <f t="shared" si="120"/>
        <v>3165.5041539692866</v>
      </c>
      <c r="DB41" s="1030" t="e">
        <f t="shared" si="120"/>
        <v>#REF!</v>
      </c>
      <c r="DC41" s="1030">
        <f t="shared" si="120"/>
        <v>671011.64858139423</v>
      </c>
    </row>
    <row r="42" spans="1:107" hidden="1" outlineLevel="1" x14ac:dyDescent="0.45">
      <c r="A42">
        <v>30</v>
      </c>
      <c r="B42" s="1035" t="s">
        <v>219</v>
      </c>
      <c r="C42" s="891">
        <f t="shared" ref="C42:BN42" si="121">IFERROR(C41/C18,0)</f>
        <v>0.24295880618778454</v>
      </c>
      <c r="D42" s="891">
        <f t="shared" si="121"/>
        <v>0.17197503697686786</v>
      </c>
      <c r="E42" s="891">
        <f t="shared" si="121"/>
        <v>6.2714352072468532E-2</v>
      </c>
      <c r="F42" s="891">
        <f t="shared" si="121"/>
        <v>0</v>
      </c>
      <c r="G42" s="891">
        <f t="shared" si="121"/>
        <v>0</v>
      </c>
      <c r="H42" s="891">
        <f t="shared" si="121"/>
        <v>0.12106789926150124</v>
      </c>
      <c r="I42" s="891">
        <f t="shared" si="121"/>
        <v>7.5984570818181815E-2</v>
      </c>
      <c r="J42" s="891">
        <f t="shared" si="121"/>
        <v>0.17791444685251254</v>
      </c>
      <c r="K42" s="1026">
        <f t="shared" si="121"/>
        <v>0.19844154983862453</v>
      </c>
      <c r="L42" s="1026">
        <f t="shared" si="121"/>
        <v>0.13901210277773524</v>
      </c>
      <c r="M42" s="1026">
        <f t="shared" si="121"/>
        <v>1.0259887059408454E-2</v>
      </c>
      <c r="N42" s="1026">
        <f t="shared" si="121"/>
        <v>0</v>
      </c>
      <c r="O42" s="1026">
        <f t="shared" si="121"/>
        <v>0.24926152592633932</v>
      </c>
      <c r="P42" s="1026">
        <f t="shared" si="121"/>
        <v>8.9406190915254216E-2</v>
      </c>
      <c r="Q42" s="1026">
        <f t="shared" si="121"/>
        <v>0</v>
      </c>
      <c r="R42" s="1026">
        <f t="shared" si="121"/>
        <v>0.1033143638944195</v>
      </c>
      <c r="S42" s="891">
        <f t="shared" si="121"/>
        <v>0.1984415498386245</v>
      </c>
      <c r="T42" s="891">
        <f t="shared" si="121"/>
        <v>0.13901210277773526</v>
      </c>
      <c r="U42" s="891">
        <f t="shared" si="121"/>
        <v>1.0259887059408522E-2</v>
      </c>
      <c r="V42" s="891">
        <f t="shared" si="121"/>
        <v>0.18477374640592859</v>
      </c>
      <c r="W42" s="891">
        <f t="shared" si="121"/>
        <v>0.24926152592633941</v>
      </c>
      <c r="X42" s="891">
        <f t="shared" si="121"/>
        <v>8.9406190915254272E-2</v>
      </c>
      <c r="Y42" s="891">
        <f t="shared" si="121"/>
        <v>5.1085019395643944E-2</v>
      </c>
      <c r="Z42" s="891">
        <f t="shared" si="121"/>
        <v>0.10061731235411232</v>
      </c>
      <c r="AA42" s="1026">
        <f t="shared" si="121"/>
        <v>0.17220235788558896</v>
      </c>
      <c r="AB42" s="1026">
        <f t="shared" si="121"/>
        <v>8.8225777768352234E-2</v>
      </c>
      <c r="AC42" s="1026">
        <f t="shared" si="121"/>
        <v>-2.9857341360127809E-2</v>
      </c>
      <c r="AD42" s="1026">
        <f t="shared" si="121"/>
        <v>0</v>
      </c>
      <c r="AE42" s="1026">
        <f t="shared" si="121"/>
        <v>0.15285462776659967</v>
      </c>
      <c r="AF42" s="1026">
        <f t="shared" si="121"/>
        <v>8.5802953313098992E-2</v>
      </c>
      <c r="AG42" s="1026">
        <f t="shared" si="121"/>
        <v>3.8156209987195849E-2</v>
      </c>
      <c r="AH42" s="1026">
        <f t="shared" si="121"/>
        <v>7.4933468366815206E-2</v>
      </c>
      <c r="AI42" s="891">
        <f t="shared" si="121"/>
        <v>0.17220235788558902</v>
      </c>
      <c r="AJ42" s="891">
        <f t="shared" si="121"/>
        <v>8.8225777768352276E-2</v>
      </c>
      <c r="AK42" s="891">
        <f t="shared" si="121"/>
        <v>-2.9857341360127795E-2</v>
      </c>
      <c r="AL42" s="891">
        <f t="shared" si="121"/>
        <v>0</v>
      </c>
      <c r="AM42" s="891">
        <f t="shared" si="121"/>
        <v>0.15285462776659967</v>
      </c>
      <c r="AN42" s="891">
        <f t="shared" si="121"/>
        <v>8.5802953313098992E-2</v>
      </c>
      <c r="AO42" s="891">
        <f t="shared" si="121"/>
        <v>3.8156209987195849E-2</v>
      </c>
      <c r="AP42" s="891">
        <f t="shared" si="121"/>
        <v>7.7201378846177643E-2</v>
      </c>
      <c r="AQ42" s="1026">
        <f t="shared" si="121"/>
        <v>0.17220235788558905</v>
      </c>
      <c r="AR42" s="1026">
        <f t="shared" si="121"/>
        <v>8.8225777768352234E-2</v>
      </c>
      <c r="AS42" s="1026">
        <f t="shared" si="121"/>
        <v>-2.9857341360127743E-2</v>
      </c>
      <c r="AT42" s="1026">
        <f t="shared" si="121"/>
        <v>0</v>
      </c>
      <c r="AU42" s="1026">
        <f t="shared" si="121"/>
        <v>0.15285462776659967</v>
      </c>
      <c r="AV42" s="1026">
        <f t="shared" si="121"/>
        <v>8.5802953313098992E-2</v>
      </c>
      <c r="AW42" s="1026">
        <f t="shared" si="121"/>
        <v>3.8156209987195849E-2</v>
      </c>
      <c r="AX42" s="1026">
        <f t="shared" si="121"/>
        <v>7.5791310968931019E-2</v>
      </c>
      <c r="AY42" s="891">
        <f t="shared" si="121"/>
        <v>0</v>
      </c>
      <c r="AZ42" s="891">
        <f t="shared" si="121"/>
        <v>0</v>
      </c>
      <c r="BA42" s="891">
        <f t="shared" si="121"/>
        <v>0</v>
      </c>
      <c r="BB42" s="891">
        <f t="shared" si="121"/>
        <v>0</v>
      </c>
      <c r="BC42" s="891">
        <f t="shared" si="121"/>
        <v>0</v>
      </c>
      <c r="BD42" s="891">
        <f t="shared" si="121"/>
        <v>9.1844087782508937E-2</v>
      </c>
      <c r="BE42" s="891">
        <f t="shared" si="121"/>
        <v>0</v>
      </c>
      <c r="BF42" s="891">
        <f t="shared" si="121"/>
        <v>0</v>
      </c>
      <c r="BG42" s="1026">
        <f t="shared" si="121"/>
        <v>0</v>
      </c>
      <c r="BH42" s="1026">
        <f t="shared" si="121"/>
        <v>0</v>
      </c>
      <c r="BI42" s="1026">
        <f t="shared" si="121"/>
        <v>0</v>
      </c>
      <c r="BJ42" s="1026">
        <f t="shared" si="121"/>
        <v>0</v>
      </c>
      <c r="BK42" s="1026">
        <f t="shared" si="121"/>
        <v>0.15522300469483574</v>
      </c>
      <c r="BL42" s="1026">
        <f t="shared" si="121"/>
        <v>9.1844087782508937E-2</v>
      </c>
      <c r="BM42" s="1026">
        <f t="shared" si="121"/>
        <v>6.5277616109882405E-2</v>
      </c>
      <c r="BN42" s="1026">
        <f t="shared" si="121"/>
        <v>0</v>
      </c>
      <c r="BO42" s="891">
        <f t="shared" ref="BO42:DC42" si="122">IFERROR(BO41/BO18,0)</f>
        <v>0</v>
      </c>
      <c r="BP42" s="891">
        <f t="shared" si="122"/>
        <v>0</v>
      </c>
      <c r="BQ42" s="891">
        <f t="shared" si="122"/>
        <v>0</v>
      </c>
      <c r="BR42" s="891">
        <f t="shared" si="122"/>
        <v>0</v>
      </c>
      <c r="BS42" s="891">
        <f t="shared" si="122"/>
        <v>0.15522300469483574</v>
      </c>
      <c r="BT42" s="891">
        <f t="shared" si="122"/>
        <v>9.1844087782508937E-2</v>
      </c>
      <c r="BU42" s="891">
        <f t="shared" si="122"/>
        <v>6.5277616109882405E-2</v>
      </c>
      <c r="BV42" s="891">
        <f t="shared" si="122"/>
        <v>0</v>
      </c>
      <c r="BW42" s="1026">
        <f t="shared" si="122"/>
        <v>0</v>
      </c>
      <c r="BX42" s="1026">
        <f t="shared" si="122"/>
        <v>0</v>
      </c>
      <c r="BY42" s="1026">
        <f t="shared" si="122"/>
        <v>0</v>
      </c>
      <c r="BZ42" s="1026">
        <f t="shared" si="122"/>
        <v>0</v>
      </c>
      <c r="CA42" s="1026">
        <f t="shared" si="122"/>
        <v>0.15522300469483574</v>
      </c>
      <c r="CB42" s="1026">
        <f t="shared" si="122"/>
        <v>9.1844087782508937E-2</v>
      </c>
      <c r="CC42" s="1026">
        <f t="shared" si="122"/>
        <v>0</v>
      </c>
      <c r="CD42" s="1026">
        <f t="shared" si="122"/>
        <v>0</v>
      </c>
      <c r="CE42" s="891">
        <f t="shared" si="122"/>
        <v>0</v>
      </c>
      <c r="CF42" s="891">
        <f t="shared" si="122"/>
        <v>0</v>
      </c>
      <c r="CG42" s="891">
        <f t="shared" si="122"/>
        <v>0</v>
      </c>
      <c r="CH42" s="891">
        <f t="shared" si="122"/>
        <v>0</v>
      </c>
      <c r="CI42" s="891">
        <f t="shared" si="122"/>
        <v>0</v>
      </c>
      <c r="CJ42" s="891">
        <f t="shared" si="122"/>
        <v>9.1844087782508937E-2</v>
      </c>
      <c r="CK42" s="891">
        <f t="shared" si="122"/>
        <v>6.5277616109882405E-2</v>
      </c>
      <c r="CL42" s="891">
        <f t="shared" si="122"/>
        <v>0</v>
      </c>
      <c r="CM42" s="1026">
        <f t="shared" si="122"/>
        <v>0</v>
      </c>
      <c r="CN42" s="1026">
        <f t="shared" si="122"/>
        <v>0</v>
      </c>
      <c r="CO42" s="1026">
        <f t="shared" si="122"/>
        <v>0</v>
      </c>
      <c r="CP42" s="1026">
        <f t="shared" si="122"/>
        <v>0</v>
      </c>
      <c r="CQ42" s="1026">
        <f t="shared" si="122"/>
        <v>0.15522300469483574</v>
      </c>
      <c r="CR42" s="1026">
        <f t="shared" si="122"/>
        <v>9.1844087782508937E-2</v>
      </c>
      <c r="CS42" s="1026">
        <f t="shared" si="122"/>
        <v>6.5277616109882405E-2</v>
      </c>
      <c r="CT42" s="1026">
        <f t="shared" si="122"/>
        <v>0</v>
      </c>
      <c r="CU42" s="1031">
        <f t="shared" si="122"/>
        <v>0</v>
      </c>
      <c r="CV42" s="1031">
        <f t="shared" si="122"/>
        <v>0</v>
      </c>
      <c r="CW42" s="1031">
        <f t="shared" si="122"/>
        <v>0</v>
      </c>
      <c r="CX42" s="1031">
        <f t="shared" si="122"/>
        <v>0.18477374640592859</v>
      </c>
      <c r="CY42" s="1031">
        <f t="shared" si="122"/>
        <v>0.18720668511527075</v>
      </c>
      <c r="CZ42" s="1031">
        <f t="shared" si="122"/>
        <v>9.1486044158714863E-2</v>
      </c>
      <c r="DA42" s="1031">
        <f t="shared" si="122"/>
        <v>5.3173153160809075E-2</v>
      </c>
      <c r="DB42" s="1031">
        <f t="shared" si="122"/>
        <v>0</v>
      </c>
      <c r="DC42" s="1031">
        <f t="shared" si="122"/>
        <v>0.14717600104767076</v>
      </c>
    </row>
    <row r="43" spans="1:107" collapsed="1" x14ac:dyDescent="0.45"/>
  </sheetData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44C9-6D73-4CCF-9C7D-057E8484FF29}">
  <dimension ref="B2:AK107"/>
  <sheetViews>
    <sheetView showGridLines="0" topLeftCell="A3" zoomScale="85" zoomScaleNormal="85" workbookViewId="0">
      <selection activeCell="CS62" sqref="CS62"/>
    </sheetView>
  </sheetViews>
  <sheetFormatPr defaultRowHeight="14.25" outlineLevelCol="1" x14ac:dyDescent="0.45"/>
  <cols>
    <col min="2" max="2" width="20.59765625" bestFit="1" customWidth="1"/>
    <col min="3" max="3" width="12.73046875" bestFit="1" customWidth="1"/>
    <col min="4" max="4" width="11.73046875" bestFit="1" customWidth="1"/>
    <col min="5" max="5" width="14" bestFit="1" customWidth="1"/>
    <col min="6" max="6" width="13.265625" bestFit="1" customWidth="1"/>
    <col min="7" max="7" width="15.73046875" bestFit="1" customWidth="1"/>
    <col min="8" max="8" width="15" bestFit="1" customWidth="1"/>
    <col min="9" max="9" width="14.3984375" bestFit="1" customWidth="1"/>
    <col min="10" max="10" width="12.59765625" bestFit="1" customWidth="1"/>
    <col min="13" max="14" width="15.265625" hidden="1" customWidth="1" outlineLevel="1"/>
    <col min="15" max="15" width="9.1328125" hidden="1" customWidth="1" outlineLevel="1"/>
    <col min="16" max="16" width="6.59765625" hidden="1" customWidth="1" outlineLevel="1"/>
    <col min="17" max="17" width="12.73046875" hidden="1" customWidth="1" outlineLevel="1"/>
    <col min="18" max="18" width="11.73046875" hidden="1" customWidth="1" outlineLevel="1"/>
    <col min="19" max="19" width="14.1328125" hidden="1" customWidth="1" outlineLevel="1"/>
    <col min="20" max="20" width="13.265625" hidden="1" customWidth="1" outlineLevel="1"/>
    <col min="21" max="21" width="15.73046875" hidden="1" customWidth="1" outlineLevel="1"/>
    <col min="22" max="22" width="15" hidden="1" customWidth="1" outlineLevel="1"/>
    <col min="23" max="23" width="14.3984375" hidden="1" customWidth="1" outlineLevel="1"/>
    <col min="24" max="24" width="12.59765625" hidden="1" customWidth="1" outlineLevel="1"/>
    <col min="25" max="36" width="0" hidden="1" customWidth="1" outlineLevel="1"/>
    <col min="37" max="37" width="9.1328125" collapsed="1"/>
  </cols>
  <sheetData>
    <row r="2" spans="2:19" x14ac:dyDescent="0.45">
      <c r="B2" s="875"/>
      <c r="C2" s="1045"/>
      <c r="D2" s="1045"/>
      <c r="E2" s="1045"/>
      <c r="F2" s="1045"/>
      <c r="G2" s="1045"/>
      <c r="H2" s="1045"/>
      <c r="I2" s="1045"/>
      <c r="J2" s="876"/>
    </row>
    <row r="3" spans="2:19" x14ac:dyDescent="0.45">
      <c r="B3" t="s">
        <v>236</v>
      </c>
    </row>
    <row r="4" spans="2:19" x14ac:dyDescent="0.45">
      <c r="B4" s="865"/>
      <c r="C4" s="865" t="s">
        <v>2</v>
      </c>
      <c r="D4" s="865" t="s">
        <v>3</v>
      </c>
      <c r="E4" s="865" t="s">
        <v>4</v>
      </c>
      <c r="F4" s="865" t="s">
        <v>135</v>
      </c>
      <c r="G4" s="865" t="s">
        <v>154</v>
      </c>
      <c r="H4" s="865" t="s">
        <v>137</v>
      </c>
      <c r="I4" s="865" t="s">
        <v>138</v>
      </c>
      <c r="J4" s="865" t="s">
        <v>201</v>
      </c>
      <c r="O4" t="s">
        <v>237</v>
      </c>
    </row>
    <row r="5" spans="2:19" x14ac:dyDescent="0.45">
      <c r="B5" s="865" t="s">
        <v>189</v>
      </c>
      <c r="C5" s="336">
        <v>10376960</v>
      </c>
      <c r="D5" s="336">
        <v>2560000</v>
      </c>
      <c r="E5" s="336">
        <v>5677200</v>
      </c>
      <c r="F5" s="336">
        <v>0</v>
      </c>
      <c r="G5" s="336">
        <v>0</v>
      </c>
      <c r="H5" s="336">
        <v>28800</v>
      </c>
      <c r="I5" s="336">
        <v>28224</v>
      </c>
      <c r="J5" s="740">
        <f t="shared" ref="J5:J17" si="0">SUM(C5:I5)</f>
        <v>18671184</v>
      </c>
      <c r="O5" t="s">
        <v>238</v>
      </c>
    </row>
    <row r="6" spans="2:19" x14ac:dyDescent="0.45">
      <c r="B6" s="865" t="s">
        <v>190</v>
      </c>
      <c r="C6" s="336">
        <v>4985400</v>
      </c>
      <c r="D6" s="336">
        <v>2080000</v>
      </c>
      <c r="E6" s="336">
        <v>5968800</v>
      </c>
      <c r="F6" s="336">
        <v>0</v>
      </c>
      <c r="G6" s="336">
        <v>13668</v>
      </c>
      <c r="H6" s="336">
        <v>28500</v>
      </c>
      <c r="I6" s="336">
        <v>0</v>
      </c>
      <c r="J6" s="740">
        <f t="shared" si="0"/>
        <v>13076368</v>
      </c>
    </row>
    <row r="7" spans="2:19" x14ac:dyDescent="0.45">
      <c r="B7" s="865" t="s">
        <v>191</v>
      </c>
      <c r="C7" s="336">
        <v>7376400</v>
      </c>
      <c r="D7" s="336">
        <v>1760000</v>
      </c>
      <c r="E7" s="336">
        <v>8875000</v>
      </c>
      <c r="F7" s="336">
        <v>64000</v>
      </c>
      <c r="G7" s="336">
        <v>27900</v>
      </c>
      <c r="H7" s="336">
        <v>86400</v>
      </c>
      <c r="I7" s="336">
        <v>57600</v>
      </c>
      <c r="J7" s="740">
        <f t="shared" si="0"/>
        <v>18247300</v>
      </c>
      <c r="O7" s="871" t="s">
        <v>239</v>
      </c>
      <c r="P7" s="871" t="s">
        <v>240</v>
      </c>
      <c r="Q7" s="871" t="s">
        <v>79</v>
      </c>
      <c r="R7" s="1249" t="s">
        <v>175</v>
      </c>
      <c r="S7" s="1250"/>
    </row>
    <row r="8" spans="2:19" x14ac:dyDescent="0.45">
      <c r="B8" s="865" t="s">
        <v>192</v>
      </c>
      <c r="C8" s="336">
        <v>5699680</v>
      </c>
      <c r="D8" s="336">
        <v>1600000</v>
      </c>
      <c r="E8" s="336">
        <v>5538000</v>
      </c>
      <c r="F8" s="336">
        <v>0</v>
      </c>
      <c r="G8" s="336">
        <v>14400</v>
      </c>
      <c r="H8" s="336">
        <v>28800</v>
      </c>
      <c r="I8" s="336">
        <v>28800</v>
      </c>
      <c r="J8" s="740">
        <f t="shared" si="0"/>
        <v>12909680</v>
      </c>
      <c r="O8" s="326" t="s">
        <v>241</v>
      </c>
      <c r="P8" s="326" t="s">
        <v>242</v>
      </c>
      <c r="Q8" s="326">
        <v>2987.2376435803112</v>
      </c>
      <c r="R8" s="325"/>
      <c r="S8" s="325"/>
    </row>
    <row r="9" spans="2:19" x14ac:dyDescent="0.45">
      <c r="B9" s="865" t="s">
        <v>193</v>
      </c>
      <c r="C9" s="336">
        <v>3376480</v>
      </c>
      <c r="D9" s="336">
        <v>960000</v>
      </c>
      <c r="E9" s="336">
        <v>3124000</v>
      </c>
      <c r="F9" s="336">
        <v>0</v>
      </c>
      <c r="G9" s="336">
        <v>14400</v>
      </c>
      <c r="H9" s="336">
        <v>28800</v>
      </c>
      <c r="I9" s="336">
        <v>28800</v>
      </c>
      <c r="J9" s="740">
        <f t="shared" si="0"/>
        <v>7532480</v>
      </c>
      <c r="O9" s="867" t="s">
        <v>241</v>
      </c>
      <c r="P9" s="867" t="s">
        <v>243</v>
      </c>
      <c r="Q9" s="867">
        <f>'Pricing Structure - All SKU'!BN77</f>
        <v>3288.7304973245705</v>
      </c>
      <c r="R9" s="869">
        <f>Q9/Q8-1</f>
        <v>0.1009269732497442</v>
      </c>
      <c r="S9" s="869"/>
    </row>
    <row r="10" spans="2:19" x14ac:dyDescent="0.45">
      <c r="B10" s="865" t="s">
        <v>194</v>
      </c>
      <c r="C10" s="336">
        <v>5343360</v>
      </c>
      <c r="D10" s="336">
        <v>1600000</v>
      </c>
      <c r="E10" s="336">
        <v>5112000</v>
      </c>
      <c r="F10" s="336">
        <v>0</v>
      </c>
      <c r="G10" s="336">
        <v>14400</v>
      </c>
      <c r="H10" s="336">
        <v>57600</v>
      </c>
      <c r="I10" s="336">
        <v>28800</v>
      </c>
      <c r="J10" s="740">
        <f t="shared" si="0"/>
        <v>12156160</v>
      </c>
      <c r="O10" s="326" t="s">
        <v>244</v>
      </c>
      <c r="P10" s="326" t="s">
        <v>242</v>
      </c>
      <c r="Q10" s="326">
        <v>2925.9328552956576</v>
      </c>
      <c r="R10" s="868"/>
      <c r="S10" s="868"/>
    </row>
    <row r="11" spans="2:19" x14ac:dyDescent="0.45">
      <c r="B11" s="865" t="s">
        <v>195</v>
      </c>
      <c r="C11" s="336">
        <v>4646400</v>
      </c>
      <c r="D11" s="336">
        <v>1280000</v>
      </c>
      <c r="E11" s="336">
        <v>4402000</v>
      </c>
      <c r="F11" s="336">
        <v>0</v>
      </c>
      <c r="G11" s="336">
        <v>0</v>
      </c>
      <c r="H11" s="336">
        <v>28800</v>
      </c>
      <c r="I11" s="336">
        <v>0</v>
      </c>
      <c r="J11" s="740">
        <f t="shared" si="0"/>
        <v>10357200</v>
      </c>
      <c r="O11" s="326" t="s">
        <v>244</v>
      </c>
      <c r="P11" s="872" t="s">
        <v>245</v>
      </c>
      <c r="Q11" s="326">
        <v>3120.8569665914602</v>
      </c>
      <c r="R11" s="868">
        <f>Q11/Q10-1</f>
        <v>6.6619475201903144E-2</v>
      </c>
      <c r="S11" s="868"/>
    </row>
    <row r="12" spans="2:19" x14ac:dyDescent="0.45">
      <c r="B12" s="865" t="s">
        <v>196</v>
      </c>
      <c r="C12" s="336">
        <v>4104320</v>
      </c>
      <c r="D12" s="336">
        <v>1280000</v>
      </c>
      <c r="E12" s="336">
        <v>4544000</v>
      </c>
      <c r="F12" s="336">
        <v>0</v>
      </c>
      <c r="G12" s="336">
        <v>14400</v>
      </c>
      <c r="H12" s="336">
        <v>57600</v>
      </c>
      <c r="I12" s="336">
        <v>28800</v>
      </c>
      <c r="J12" s="740">
        <f t="shared" si="0"/>
        <v>10029120</v>
      </c>
      <c r="O12" s="867" t="s">
        <v>244</v>
      </c>
      <c r="P12" s="867" t="s">
        <v>246</v>
      </c>
      <c r="Q12" s="867">
        <f>'Pricing Structure - All SKU'!BV77</f>
        <v>3553.3705699351972</v>
      </c>
      <c r="R12" s="869">
        <f>Q12/Q11-1</f>
        <v>0.13858808909660469</v>
      </c>
      <c r="S12" s="869">
        <f>Q12/Q10-1</f>
        <v>0.21444023006335833</v>
      </c>
    </row>
    <row r="13" spans="2:19" x14ac:dyDescent="0.45">
      <c r="B13" s="865" t="s">
        <v>197</v>
      </c>
      <c r="C13" s="336">
        <v>5265920</v>
      </c>
      <c r="D13" s="336">
        <v>1760000</v>
      </c>
      <c r="E13" s="336">
        <v>5822000</v>
      </c>
      <c r="F13" s="336">
        <v>0</v>
      </c>
      <c r="G13" s="336">
        <v>14400</v>
      </c>
      <c r="H13" s="336">
        <v>28800</v>
      </c>
      <c r="I13" s="336">
        <v>28800</v>
      </c>
      <c r="J13" s="740">
        <f t="shared" si="0"/>
        <v>12919920</v>
      </c>
    </row>
    <row r="14" spans="2:19" x14ac:dyDescent="0.45">
      <c r="B14" s="865" t="s">
        <v>198</v>
      </c>
      <c r="C14" s="336">
        <v>3872000</v>
      </c>
      <c r="D14" s="336">
        <v>1440000</v>
      </c>
      <c r="E14" s="336">
        <v>4544000</v>
      </c>
      <c r="F14" s="336">
        <v>0</v>
      </c>
      <c r="G14" s="336">
        <v>14400</v>
      </c>
      <c r="H14" s="336">
        <v>28800</v>
      </c>
      <c r="I14" s="336">
        <v>0</v>
      </c>
      <c r="J14" s="740">
        <f t="shared" si="0"/>
        <v>9899200</v>
      </c>
    </row>
    <row r="15" spans="2:19" x14ac:dyDescent="0.45">
      <c r="B15" s="865" t="s">
        <v>199</v>
      </c>
      <c r="C15" s="336">
        <v>4104320</v>
      </c>
      <c r="D15" s="336">
        <v>1280000</v>
      </c>
      <c r="E15" s="336">
        <v>4686000</v>
      </c>
      <c r="F15" s="336">
        <v>0</v>
      </c>
      <c r="G15" s="336">
        <v>0</v>
      </c>
      <c r="H15" s="336">
        <v>28800</v>
      </c>
      <c r="I15" s="336">
        <v>28800</v>
      </c>
      <c r="J15" s="740">
        <f t="shared" si="0"/>
        <v>10127920</v>
      </c>
    </row>
    <row r="16" spans="2:19" x14ac:dyDescent="0.45">
      <c r="B16" s="865" t="s">
        <v>200</v>
      </c>
      <c r="C16" s="336">
        <v>6421680</v>
      </c>
      <c r="D16" s="336">
        <v>1760000</v>
      </c>
      <c r="E16" s="336">
        <v>5822000</v>
      </c>
      <c r="F16" s="336">
        <v>0</v>
      </c>
      <c r="G16" s="336">
        <v>14400</v>
      </c>
      <c r="H16" s="336">
        <v>28800</v>
      </c>
      <c r="I16" s="336">
        <v>28800</v>
      </c>
      <c r="J16" s="740">
        <f t="shared" si="0"/>
        <v>14075680</v>
      </c>
    </row>
    <row r="17" spans="2:10" x14ac:dyDescent="0.45">
      <c r="B17" s="739" t="s">
        <v>201</v>
      </c>
      <c r="C17" s="740">
        <f t="shared" ref="C17:I17" si="1">SUM(C5:C16)</f>
        <v>65572920</v>
      </c>
      <c r="D17" s="740">
        <f t="shared" si="1"/>
        <v>19360000</v>
      </c>
      <c r="E17" s="740">
        <f t="shared" si="1"/>
        <v>64115000</v>
      </c>
      <c r="F17" s="740">
        <f t="shared" si="1"/>
        <v>64000</v>
      </c>
      <c r="G17" s="740">
        <f t="shared" si="1"/>
        <v>142368</v>
      </c>
      <c r="H17" s="740">
        <f t="shared" si="1"/>
        <v>460500</v>
      </c>
      <c r="I17" s="740">
        <f t="shared" si="1"/>
        <v>287424</v>
      </c>
      <c r="J17" s="740">
        <f t="shared" si="0"/>
        <v>150002212</v>
      </c>
    </row>
    <row r="18" spans="2:10" x14ac:dyDescent="0.45">
      <c r="C18" s="412"/>
      <c r="D18" s="412"/>
      <c r="E18" s="412"/>
      <c r="F18" s="412"/>
      <c r="G18" s="412"/>
      <c r="H18" s="412"/>
      <c r="I18" s="412"/>
      <c r="J18" s="412"/>
    </row>
    <row r="19" spans="2:10" x14ac:dyDescent="0.45">
      <c r="B19" s="865"/>
      <c r="C19" s="865" t="s">
        <v>2</v>
      </c>
      <c r="D19" s="865" t="s">
        <v>3</v>
      </c>
      <c r="E19" s="865" t="s">
        <v>4</v>
      </c>
      <c r="F19" s="865" t="s">
        <v>135</v>
      </c>
      <c r="G19" s="865" t="s">
        <v>154</v>
      </c>
      <c r="H19" s="865" t="s">
        <v>137</v>
      </c>
      <c r="I19" s="865" t="s">
        <v>138</v>
      </c>
      <c r="J19" s="865" t="s">
        <v>201</v>
      </c>
    </row>
    <row r="20" spans="2:10" x14ac:dyDescent="0.45">
      <c r="B20" s="865" t="s">
        <v>189</v>
      </c>
      <c r="C20" s="336">
        <f t="shared" ref="C20:I31" si="2">C5/RIGHT(C$4,2)</f>
        <v>259424</v>
      </c>
      <c r="D20" s="336">
        <f t="shared" si="2"/>
        <v>64000</v>
      </c>
      <c r="E20" s="336">
        <f t="shared" si="2"/>
        <v>141930</v>
      </c>
      <c r="F20" s="336">
        <f t="shared" si="2"/>
        <v>0</v>
      </c>
      <c r="G20" s="336">
        <f t="shared" si="2"/>
        <v>0</v>
      </c>
      <c r="H20" s="336">
        <f t="shared" si="2"/>
        <v>2400</v>
      </c>
      <c r="I20" s="336">
        <f t="shared" si="2"/>
        <v>1176</v>
      </c>
      <c r="J20" s="740">
        <f t="shared" ref="J20:J32" si="3">SUM(C20:I20)</f>
        <v>468930</v>
      </c>
    </row>
    <row r="21" spans="2:10" x14ac:dyDescent="0.45">
      <c r="B21" s="865" t="s">
        <v>190</v>
      </c>
      <c r="C21" s="336">
        <f t="shared" si="2"/>
        <v>124635</v>
      </c>
      <c r="D21" s="336">
        <f t="shared" si="2"/>
        <v>52000</v>
      </c>
      <c r="E21" s="336">
        <f t="shared" si="2"/>
        <v>149220</v>
      </c>
      <c r="F21" s="336">
        <f t="shared" si="2"/>
        <v>0</v>
      </c>
      <c r="G21" s="336">
        <f t="shared" si="2"/>
        <v>1139</v>
      </c>
      <c r="H21" s="336">
        <f t="shared" si="2"/>
        <v>2375</v>
      </c>
      <c r="I21" s="336">
        <f t="shared" si="2"/>
        <v>0</v>
      </c>
      <c r="J21" s="740">
        <f t="shared" si="3"/>
        <v>329369</v>
      </c>
    </row>
    <row r="22" spans="2:10" x14ac:dyDescent="0.45">
      <c r="B22" s="865" t="s">
        <v>191</v>
      </c>
      <c r="C22" s="336">
        <f t="shared" si="2"/>
        <v>184410</v>
      </c>
      <c r="D22" s="336">
        <f t="shared" si="2"/>
        <v>44000</v>
      </c>
      <c r="E22" s="336">
        <f t="shared" si="2"/>
        <v>221875</v>
      </c>
      <c r="F22" s="336">
        <f t="shared" si="2"/>
        <v>1600</v>
      </c>
      <c r="G22" s="336">
        <f t="shared" si="2"/>
        <v>2325</v>
      </c>
      <c r="H22" s="336">
        <f t="shared" si="2"/>
        <v>7200</v>
      </c>
      <c r="I22" s="336">
        <f t="shared" si="2"/>
        <v>2400</v>
      </c>
      <c r="J22" s="740">
        <f t="shared" si="3"/>
        <v>463810</v>
      </c>
    </row>
    <row r="23" spans="2:10" x14ac:dyDescent="0.45">
      <c r="B23" s="865" t="s">
        <v>192</v>
      </c>
      <c r="C23" s="336">
        <f t="shared" si="2"/>
        <v>142492</v>
      </c>
      <c r="D23" s="336">
        <f t="shared" si="2"/>
        <v>40000</v>
      </c>
      <c r="E23" s="336">
        <f t="shared" si="2"/>
        <v>138450</v>
      </c>
      <c r="F23" s="336">
        <f t="shared" si="2"/>
        <v>0</v>
      </c>
      <c r="G23" s="336">
        <f t="shared" si="2"/>
        <v>1200</v>
      </c>
      <c r="H23" s="336">
        <f t="shared" si="2"/>
        <v>2400</v>
      </c>
      <c r="I23" s="336">
        <f t="shared" si="2"/>
        <v>1200</v>
      </c>
      <c r="J23" s="740">
        <f t="shared" si="3"/>
        <v>325742</v>
      </c>
    </row>
    <row r="24" spans="2:10" x14ac:dyDescent="0.45">
      <c r="B24" s="865" t="s">
        <v>193</v>
      </c>
      <c r="C24" s="336">
        <f t="shared" si="2"/>
        <v>84412</v>
      </c>
      <c r="D24" s="336">
        <f t="shared" si="2"/>
        <v>24000</v>
      </c>
      <c r="E24" s="336">
        <f t="shared" si="2"/>
        <v>78100</v>
      </c>
      <c r="F24" s="336">
        <f t="shared" si="2"/>
        <v>0</v>
      </c>
      <c r="G24" s="336">
        <f t="shared" si="2"/>
        <v>1200</v>
      </c>
      <c r="H24" s="336">
        <f t="shared" si="2"/>
        <v>2400</v>
      </c>
      <c r="I24" s="336">
        <f t="shared" si="2"/>
        <v>1200</v>
      </c>
      <c r="J24" s="740">
        <f t="shared" si="3"/>
        <v>191312</v>
      </c>
    </row>
    <row r="25" spans="2:10" x14ac:dyDescent="0.45">
      <c r="B25" s="865" t="s">
        <v>194</v>
      </c>
      <c r="C25" s="336">
        <f t="shared" si="2"/>
        <v>133584</v>
      </c>
      <c r="D25" s="336">
        <f t="shared" si="2"/>
        <v>40000</v>
      </c>
      <c r="E25" s="336">
        <f t="shared" si="2"/>
        <v>127800</v>
      </c>
      <c r="F25" s="336">
        <f t="shared" si="2"/>
        <v>0</v>
      </c>
      <c r="G25" s="336">
        <f t="shared" si="2"/>
        <v>1200</v>
      </c>
      <c r="H25" s="336">
        <f t="shared" si="2"/>
        <v>4800</v>
      </c>
      <c r="I25" s="336">
        <f t="shared" si="2"/>
        <v>1200</v>
      </c>
      <c r="J25" s="740">
        <f t="shared" si="3"/>
        <v>308584</v>
      </c>
    </row>
    <row r="26" spans="2:10" x14ac:dyDescent="0.45">
      <c r="B26" s="865" t="s">
        <v>195</v>
      </c>
      <c r="C26" s="336">
        <f t="shared" si="2"/>
        <v>116160</v>
      </c>
      <c r="D26" s="336">
        <f t="shared" si="2"/>
        <v>32000</v>
      </c>
      <c r="E26" s="336">
        <f t="shared" si="2"/>
        <v>110050</v>
      </c>
      <c r="F26" s="336">
        <f t="shared" si="2"/>
        <v>0</v>
      </c>
      <c r="G26" s="336">
        <f t="shared" si="2"/>
        <v>0</v>
      </c>
      <c r="H26" s="336">
        <f t="shared" si="2"/>
        <v>2400</v>
      </c>
      <c r="I26" s="336">
        <f t="shared" si="2"/>
        <v>0</v>
      </c>
      <c r="J26" s="740">
        <f t="shared" si="3"/>
        <v>260610</v>
      </c>
    </row>
    <row r="27" spans="2:10" x14ac:dyDescent="0.45">
      <c r="B27" s="865" t="s">
        <v>196</v>
      </c>
      <c r="C27" s="336">
        <f t="shared" si="2"/>
        <v>102608</v>
      </c>
      <c r="D27" s="336">
        <f t="shared" si="2"/>
        <v>32000</v>
      </c>
      <c r="E27" s="336">
        <f t="shared" si="2"/>
        <v>113600</v>
      </c>
      <c r="F27" s="336">
        <f t="shared" si="2"/>
        <v>0</v>
      </c>
      <c r="G27" s="336">
        <f t="shared" si="2"/>
        <v>1200</v>
      </c>
      <c r="H27" s="336">
        <f t="shared" si="2"/>
        <v>4800</v>
      </c>
      <c r="I27" s="336">
        <f t="shared" si="2"/>
        <v>1200</v>
      </c>
      <c r="J27" s="740">
        <f t="shared" si="3"/>
        <v>255408</v>
      </c>
    </row>
    <row r="28" spans="2:10" x14ac:dyDescent="0.45">
      <c r="B28" s="865" t="s">
        <v>197</v>
      </c>
      <c r="C28" s="336">
        <f t="shared" si="2"/>
        <v>131648</v>
      </c>
      <c r="D28" s="336">
        <f t="shared" si="2"/>
        <v>44000</v>
      </c>
      <c r="E28" s="336">
        <f t="shared" si="2"/>
        <v>145550</v>
      </c>
      <c r="F28" s="336">
        <f t="shared" si="2"/>
        <v>0</v>
      </c>
      <c r="G28" s="336">
        <f t="shared" si="2"/>
        <v>1200</v>
      </c>
      <c r="H28" s="336">
        <f t="shared" si="2"/>
        <v>2400</v>
      </c>
      <c r="I28" s="336">
        <f t="shared" si="2"/>
        <v>1200</v>
      </c>
      <c r="J28" s="740">
        <f t="shared" si="3"/>
        <v>325998</v>
      </c>
    </row>
    <row r="29" spans="2:10" x14ac:dyDescent="0.45">
      <c r="B29" s="865" t="s">
        <v>198</v>
      </c>
      <c r="C29" s="336">
        <f t="shared" si="2"/>
        <v>96800</v>
      </c>
      <c r="D29" s="336">
        <f t="shared" si="2"/>
        <v>36000</v>
      </c>
      <c r="E29" s="336">
        <f t="shared" si="2"/>
        <v>113600</v>
      </c>
      <c r="F29" s="336">
        <f t="shared" si="2"/>
        <v>0</v>
      </c>
      <c r="G29" s="336">
        <f t="shared" si="2"/>
        <v>1200</v>
      </c>
      <c r="H29" s="336">
        <f t="shared" si="2"/>
        <v>2400</v>
      </c>
      <c r="I29" s="336">
        <f t="shared" si="2"/>
        <v>0</v>
      </c>
      <c r="J29" s="740">
        <f t="shared" si="3"/>
        <v>250000</v>
      </c>
    </row>
    <row r="30" spans="2:10" x14ac:dyDescent="0.45">
      <c r="B30" s="865" t="s">
        <v>199</v>
      </c>
      <c r="C30" s="336">
        <f t="shared" si="2"/>
        <v>102608</v>
      </c>
      <c r="D30" s="336">
        <f t="shared" si="2"/>
        <v>32000</v>
      </c>
      <c r="E30" s="336">
        <f t="shared" si="2"/>
        <v>117150</v>
      </c>
      <c r="F30" s="336">
        <f t="shared" si="2"/>
        <v>0</v>
      </c>
      <c r="G30" s="336">
        <f t="shared" si="2"/>
        <v>0</v>
      </c>
      <c r="H30" s="336">
        <f t="shared" si="2"/>
        <v>2400</v>
      </c>
      <c r="I30" s="336">
        <f t="shared" si="2"/>
        <v>1200</v>
      </c>
      <c r="J30" s="740">
        <f t="shared" si="3"/>
        <v>255358</v>
      </c>
    </row>
    <row r="31" spans="2:10" x14ac:dyDescent="0.45">
      <c r="B31" s="865" t="s">
        <v>200</v>
      </c>
      <c r="C31" s="336">
        <f t="shared" si="2"/>
        <v>160542</v>
      </c>
      <c r="D31" s="336">
        <f t="shared" si="2"/>
        <v>44000</v>
      </c>
      <c r="E31" s="336">
        <f t="shared" si="2"/>
        <v>145550</v>
      </c>
      <c r="F31" s="336">
        <f t="shared" si="2"/>
        <v>0</v>
      </c>
      <c r="G31" s="336">
        <f t="shared" si="2"/>
        <v>1200</v>
      </c>
      <c r="H31" s="336">
        <f t="shared" si="2"/>
        <v>2400</v>
      </c>
      <c r="I31" s="336">
        <f t="shared" si="2"/>
        <v>1200</v>
      </c>
      <c r="J31" s="740">
        <f t="shared" si="3"/>
        <v>354892</v>
      </c>
    </row>
    <row r="32" spans="2:10" x14ac:dyDescent="0.45">
      <c r="B32" s="739" t="s">
        <v>201</v>
      </c>
      <c r="C32" s="740">
        <f t="shared" ref="C32:I32" si="4">SUM(C20:C31)</f>
        <v>1639323</v>
      </c>
      <c r="D32" s="740">
        <f t="shared" si="4"/>
        <v>484000</v>
      </c>
      <c r="E32" s="740">
        <f t="shared" si="4"/>
        <v>1602875</v>
      </c>
      <c r="F32" s="740">
        <f t="shared" si="4"/>
        <v>1600</v>
      </c>
      <c r="G32" s="740">
        <f t="shared" si="4"/>
        <v>11864</v>
      </c>
      <c r="H32" s="740">
        <f t="shared" si="4"/>
        <v>38375</v>
      </c>
      <c r="I32" s="740">
        <f t="shared" si="4"/>
        <v>11976</v>
      </c>
      <c r="J32" s="740">
        <f t="shared" si="3"/>
        <v>3790013</v>
      </c>
    </row>
    <row r="33" spans="2:33" x14ac:dyDescent="0.45">
      <c r="C33" s="881"/>
      <c r="D33" s="881"/>
      <c r="E33" s="881"/>
      <c r="F33" s="881"/>
      <c r="G33" s="881"/>
      <c r="H33" s="881"/>
      <c r="I33" s="881"/>
      <c r="J33" s="881"/>
    </row>
    <row r="34" spans="2:33" x14ac:dyDescent="0.45">
      <c r="B34" t="s">
        <v>247</v>
      </c>
      <c r="C34" s="881"/>
      <c r="D34" s="881"/>
      <c r="E34" s="881"/>
      <c r="F34" s="881"/>
      <c r="G34" s="881"/>
      <c r="H34" s="881"/>
      <c r="I34" s="881"/>
      <c r="J34" s="881"/>
    </row>
    <row r="35" spans="2:33" x14ac:dyDescent="0.45">
      <c r="B35" s="882"/>
      <c r="C35" s="882" t="s">
        <v>2</v>
      </c>
      <c r="D35" s="882" t="s">
        <v>3</v>
      </c>
      <c r="E35" s="882" t="s">
        <v>4</v>
      </c>
      <c r="F35" s="882" t="s">
        <v>135</v>
      </c>
      <c r="G35" s="882" t="s">
        <v>154</v>
      </c>
      <c r="H35" s="882" t="s">
        <v>137</v>
      </c>
      <c r="I35" s="882" t="s">
        <v>138</v>
      </c>
      <c r="J35" s="882" t="s">
        <v>201</v>
      </c>
    </row>
    <row r="36" spans="2:33" x14ac:dyDescent="0.45">
      <c r="B36" s="882" t="s">
        <v>189</v>
      </c>
      <c r="C36" s="336">
        <v>6663902</v>
      </c>
      <c r="D36" s="336">
        <v>1045089.6000000001</v>
      </c>
      <c r="E36" s="336">
        <v>3967772.7999999984</v>
      </c>
      <c r="F36" s="336">
        <v>27040</v>
      </c>
      <c r="G36" s="336">
        <v>15564</v>
      </c>
      <c r="H36" s="336">
        <v>2.04</v>
      </c>
      <c r="I36" s="336">
        <v>390</v>
      </c>
      <c r="J36" s="740">
        <f t="shared" ref="J36:J48" si="5">SUM(C36:I36)</f>
        <v>11719760.439999998</v>
      </c>
    </row>
    <row r="37" spans="2:33" x14ac:dyDescent="0.45">
      <c r="B37" s="882" t="s">
        <v>190</v>
      </c>
      <c r="C37" s="336">
        <v>4097797.6</v>
      </c>
      <c r="D37" s="336">
        <v>1266710</v>
      </c>
      <c r="E37" s="336">
        <v>4233559.9999999991</v>
      </c>
      <c r="F37" s="336">
        <v>16320</v>
      </c>
      <c r="G37" s="336">
        <v>12</v>
      </c>
      <c r="H37" s="336">
        <v>28568.759999999995</v>
      </c>
      <c r="I37" s="336">
        <v>35496</v>
      </c>
      <c r="J37" s="740">
        <f t="shared" si="5"/>
        <v>9678464.3599999975</v>
      </c>
    </row>
    <row r="38" spans="2:33" x14ac:dyDescent="0.45">
      <c r="B38" s="882" t="s">
        <v>191</v>
      </c>
      <c r="C38" s="336">
        <v>5371988.7999999998</v>
      </c>
      <c r="D38" s="336">
        <v>1532397.6</v>
      </c>
      <c r="E38" s="336">
        <v>4744915.6000000099</v>
      </c>
      <c r="F38" s="336">
        <v>13480</v>
      </c>
      <c r="G38" s="336">
        <v>18300</v>
      </c>
      <c r="H38" s="336">
        <v>38424.839999999997</v>
      </c>
      <c r="I38" s="336">
        <v>6288</v>
      </c>
      <c r="J38" s="740">
        <f t="shared" si="5"/>
        <v>11725794.840000011</v>
      </c>
    </row>
    <row r="39" spans="2:33" x14ac:dyDescent="0.45">
      <c r="B39" s="882" t="s">
        <v>192</v>
      </c>
      <c r="C39" s="336">
        <v>4800000</v>
      </c>
      <c r="D39" s="336">
        <v>1120000</v>
      </c>
      <c r="E39" s="336">
        <v>4400000</v>
      </c>
      <c r="F39" s="336">
        <v>24000</v>
      </c>
      <c r="G39" s="336">
        <v>9600</v>
      </c>
      <c r="H39" s="336">
        <v>33600</v>
      </c>
      <c r="I39" s="336">
        <v>12480</v>
      </c>
      <c r="J39" s="740">
        <f t="shared" si="5"/>
        <v>10399680</v>
      </c>
    </row>
    <row r="40" spans="2:33" x14ac:dyDescent="0.45">
      <c r="B40" s="882" t="s">
        <v>193</v>
      </c>
      <c r="C40" s="336">
        <v>4800000</v>
      </c>
      <c r="D40" s="336">
        <v>1120000</v>
      </c>
      <c r="E40" s="336">
        <v>4400000</v>
      </c>
      <c r="F40" s="336">
        <v>6000</v>
      </c>
      <c r="G40" s="336">
        <v>9600</v>
      </c>
      <c r="H40" s="336">
        <v>33600</v>
      </c>
      <c r="I40" s="336">
        <v>12480</v>
      </c>
      <c r="J40" s="740">
        <f t="shared" si="5"/>
        <v>10381680</v>
      </c>
    </row>
    <row r="41" spans="2:33" x14ac:dyDescent="0.45">
      <c r="B41" s="882" t="s">
        <v>194</v>
      </c>
      <c r="C41" s="336">
        <v>6000000</v>
      </c>
      <c r="D41" s="336">
        <v>1400000</v>
      </c>
      <c r="E41" s="336">
        <v>5500000</v>
      </c>
      <c r="F41" s="336">
        <v>0</v>
      </c>
      <c r="G41" s="336">
        <v>12000</v>
      </c>
      <c r="H41" s="336">
        <v>42000</v>
      </c>
      <c r="I41" s="336">
        <v>15600</v>
      </c>
      <c r="J41" s="740">
        <f t="shared" si="5"/>
        <v>12969600</v>
      </c>
    </row>
    <row r="42" spans="2:33" x14ac:dyDescent="0.45">
      <c r="B42" s="882" t="s">
        <v>195</v>
      </c>
      <c r="C42" s="336">
        <v>5120000</v>
      </c>
      <c r="D42" s="336">
        <v>1280000</v>
      </c>
      <c r="E42" s="336">
        <v>4480000</v>
      </c>
      <c r="F42" s="336">
        <v>0</v>
      </c>
      <c r="G42" s="336">
        <v>9600</v>
      </c>
      <c r="H42" s="336">
        <v>33600</v>
      </c>
      <c r="I42" s="336">
        <v>12480</v>
      </c>
      <c r="J42" s="740">
        <f t="shared" si="5"/>
        <v>10935680</v>
      </c>
    </row>
    <row r="43" spans="2:33" x14ac:dyDescent="0.45">
      <c r="B43" s="882" t="s">
        <v>196</v>
      </c>
      <c r="C43" s="336">
        <v>5120000</v>
      </c>
      <c r="D43" s="336">
        <v>1280000</v>
      </c>
      <c r="E43" s="336">
        <v>4480000</v>
      </c>
      <c r="F43" s="336">
        <v>0</v>
      </c>
      <c r="G43" s="336">
        <v>9600</v>
      </c>
      <c r="H43" s="336">
        <v>33600</v>
      </c>
      <c r="I43" s="336">
        <v>12480</v>
      </c>
      <c r="J43" s="740">
        <f t="shared" si="5"/>
        <v>10935680</v>
      </c>
    </row>
    <row r="44" spans="2:33" x14ac:dyDescent="0.45">
      <c r="B44" s="882" t="s">
        <v>197</v>
      </c>
      <c r="C44" s="336">
        <v>6400000</v>
      </c>
      <c r="D44" s="336">
        <v>1600000</v>
      </c>
      <c r="E44" s="336">
        <v>5600000</v>
      </c>
      <c r="F44" s="336">
        <v>0</v>
      </c>
      <c r="G44" s="336">
        <v>12000</v>
      </c>
      <c r="H44" s="336">
        <v>42000</v>
      </c>
      <c r="I44" s="336">
        <v>15600</v>
      </c>
      <c r="J44" s="740">
        <f t="shared" si="5"/>
        <v>13669600</v>
      </c>
    </row>
    <row r="45" spans="2:33" x14ac:dyDescent="0.45">
      <c r="B45" s="882" t="s">
        <v>198</v>
      </c>
      <c r="C45" s="336">
        <v>5120000</v>
      </c>
      <c r="D45" s="336">
        <v>1280000</v>
      </c>
      <c r="E45" s="336">
        <v>4800000</v>
      </c>
      <c r="F45" s="336">
        <v>0</v>
      </c>
      <c r="G45" s="336">
        <v>9600</v>
      </c>
      <c r="H45" s="336">
        <v>33600</v>
      </c>
      <c r="I45" s="336">
        <v>12480</v>
      </c>
      <c r="J45" s="740">
        <f t="shared" si="5"/>
        <v>11255680</v>
      </c>
    </row>
    <row r="46" spans="2:33" x14ac:dyDescent="0.45">
      <c r="B46" s="882" t="s">
        <v>199</v>
      </c>
      <c r="C46" s="336">
        <v>5120000</v>
      </c>
      <c r="D46" s="336">
        <v>1280000</v>
      </c>
      <c r="E46" s="336">
        <v>4800000</v>
      </c>
      <c r="F46" s="336">
        <v>0</v>
      </c>
      <c r="G46" s="336">
        <v>9600</v>
      </c>
      <c r="H46" s="336">
        <v>33600</v>
      </c>
      <c r="I46" s="336">
        <v>12480</v>
      </c>
      <c r="J46" s="740">
        <f t="shared" si="5"/>
        <v>11255680</v>
      </c>
    </row>
    <row r="47" spans="2:33" x14ac:dyDescent="0.45">
      <c r="B47" s="882" t="s">
        <v>200</v>
      </c>
      <c r="C47" s="336">
        <v>6400000</v>
      </c>
      <c r="D47" s="336">
        <v>1600000</v>
      </c>
      <c r="E47" s="336">
        <v>6000000</v>
      </c>
      <c r="F47" s="336">
        <v>0</v>
      </c>
      <c r="G47" s="336">
        <v>12000</v>
      </c>
      <c r="H47" s="336">
        <v>42000</v>
      </c>
      <c r="I47" s="336">
        <v>15600</v>
      </c>
      <c r="J47" s="740">
        <f t="shared" si="5"/>
        <v>14069600</v>
      </c>
      <c r="AC47" s="329" t="s">
        <v>248</v>
      </c>
      <c r="AG47" s="329" t="str">
        <f>_xlfn.CONCAT("Vol ",TEXT(X64/1000000,"###"),"mio")</f>
        <v>Vol 122mio</v>
      </c>
    </row>
    <row r="48" spans="2:33" x14ac:dyDescent="0.45">
      <c r="B48" s="739" t="s">
        <v>201</v>
      </c>
      <c r="C48" s="740">
        <f t="shared" ref="C48:I48" si="6">SUM(C36:C47)</f>
        <v>65013688.399999999</v>
      </c>
      <c r="D48" s="740">
        <f t="shared" si="6"/>
        <v>15804197.199999999</v>
      </c>
      <c r="E48" s="740">
        <f t="shared" si="6"/>
        <v>57406248.400000006</v>
      </c>
      <c r="F48" s="740">
        <f t="shared" si="6"/>
        <v>86840</v>
      </c>
      <c r="G48" s="740">
        <f t="shared" si="6"/>
        <v>127476</v>
      </c>
      <c r="H48" s="740">
        <f t="shared" si="6"/>
        <v>394595.64</v>
      </c>
      <c r="I48" s="740">
        <f t="shared" si="6"/>
        <v>163854</v>
      </c>
      <c r="J48" s="740">
        <f t="shared" si="5"/>
        <v>138996899.63999999</v>
      </c>
    </row>
    <row r="49" spans="2:35" x14ac:dyDescent="0.45">
      <c r="C49" s="412"/>
      <c r="D49" s="412"/>
      <c r="E49" s="412"/>
      <c r="F49" s="412"/>
      <c r="G49" s="412"/>
      <c r="H49" s="412"/>
      <c r="I49" s="412"/>
      <c r="J49" s="412"/>
      <c r="Q49" s="1017">
        <v>0.875</v>
      </c>
      <c r="R49" s="1017">
        <v>0.82499999999999996</v>
      </c>
      <c r="S49" s="1017">
        <v>0.65</v>
      </c>
      <c r="T49" s="1017">
        <v>1</v>
      </c>
      <c r="U49" s="1017">
        <v>1</v>
      </c>
      <c r="V49" s="1017">
        <v>1</v>
      </c>
      <c r="W49" s="1017">
        <v>1</v>
      </c>
      <c r="AC49" t="s">
        <v>249</v>
      </c>
      <c r="AD49" s="410">
        <f>SUM(J51:J53)</f>
        <v>854687.5700000003</v>
      </c>
      <c r="AE49" s="1017">
        <f>AD49/$J$63</f>
        <v>0.24401465277481835</v>
      </c>
      <c r="AG49" t="s">
        <v>249</v>
      </c>
      <c r="AH49" s="410">
        <f>SUM(X51:X53)</f>
        <v>854687.5700000003</v>
      </c>
      <c r="AI49" s="1017">
        <f>AH49/$X$63</f>
        <v>0.2772814699636717</v>
      </c>
    </row>
    <row r="50" spans="2:35" x14ac:dyDescent="0.45">
      <c r="B50" s="882"/>
      <c r="C50" s="882" t="s">
        <v>2</v>
      </c>
      <c r="D50" s="882" t="s">
        <v>3</v>
      </c>
      <c r="E50" s="882" t="s">
        <v>4</v>
      </c>
      <c r="F50" s="882" t="s">
        <v>135</v>
      </c>
      <c r="G50" s="882" t="s">
        <v>154</v>
      </c>
      <c r="H50" s="882" t="s">
        <v>137</v>
      </c>
      <c r="I50" s="882" t="s">
        <v>138</v>
      </c>
      <c r="J50" s="882" t="s">
        <v>201</v>
      </c>
      <c r="M50" s="882" t="s">
        <v>250</v>
      </c>
      <c r="N50" s="882" t="s">
        <v>251</v>
      </c>
      <c r="P50" s="882"/>
      <c r="Q50" s="882" t="s">
        <v>2</v>
      </c>
      <c r="R50" s="882" t="s">
        <v>3</v>
      </c>
      <c r="S50" s="882" t="s">
        <v>4</v>
      </c>
      <c r="T50" s="882" t="s">
        <v>135</v>
      </c>
      <c r="U50" s="882" t="s">
        <v>154</v>
      </c>
      <c r="V50" s="882" t="s">
        <v>137</v>
      </c>
      <c r="W50" s="882" t="s">
        <v>138</v>
      </c>
      <c r="X50" s="882" t="s">
        <v>201</v>
      </c>
      <c r="AC50" s="329" t="s">
        <v>252</v>
      </c>
      <c r="AD50" s="1050">
        <f>AD49/13</f>
        <v>65745.197692307716</v>
      </c>
      <c r="AE50" s="1017"/>
      <c r="AG50" s="329" t="s">
        <v>252</v>
      </c>
      <c r="AH50" s="1050">
        <f>AH49/13</f>
        <v>65745.197692307716</v>
      </c>
      <c r="AI50" s="1017"/>
    </row>
    <row r="51" spans="2:35" x14ac:dyDescent="0.45">
      <c r="B51" s="882" t="s">
        <v>189</v>
      </c>
      <c r="C51" s="336">
        <f t="shared" ref="C51:I62" si="7">C36/RIGHT(C$4,2)</f>
        <v>166597.54999999999</v>
      </c>
      <c r="D51" s="336">
        <f t="shared" si="7"/>
        <v>26127.24</v>
      </c>
      <c r="E51" s="336">
        <f t="shared" si="7"/>
        <v>99194.319999999963</v>
      </c>
      <c r="F51" s="336">
        <f t="shared" si="7"/>
        <v>676</v>
      </c>
      <c r="G51" s="336">
        <f t="shared" si="7"/>
        <v>1297</v>
      </c>
      <c r="H51" s="336">
        <f t="shared" si="7"/>
        <v>0.17</v>
      </c>
      <c r="I51" s="336">
        <f t="shared" si="7"/>
        <v>16.25</v>
      </c>
      <c r="J51" s="740">
        <f t="shared" ref="J51:J63" si="8">SUM(C51:I51)</f>
        <v>293908.52999999991</v>
      </c>
      <c r="M51" s="740">
        <f>'STT STD - By Province'!I69</f>
        <v>290428.53000000014</v>
      </c>
      <c r="N51" s="740">
        <f>'STT STD - By Province'!R69</f>
        <v>290428.53000000014</v>
      </c>
      <c r="P51" s="882" t="s">
        <v>189</v>
      </c>
      <c r="Q51" s="336">
        <f>C51</f>
        <v>166597.54999999999</v>
      </c>
      <c r="R51" s="336">
        <f t="shared" ref="R51:R56" si="9">D51</f>
        <v>26127.24</v>
      </c>
      <c r="S51" s="336">
        <f t="shared" ref="S51:S56" si="10">E51</f>
        <v>99194.319999999963</v>
      </c>
      <c r="T51" s="336">
        <f t="shared" ref="T51:T56" si="11">F51</f>
        <v>676</v>
      </c>
      <c r="U51" s="336">
        <f t="shared" ref="U51:U56" si="12">G51</f>
        <v>1297</v>
      </c>
      <c r="V51" s="336">
        <f t="shared" ref="V51:V56" si="13">H51</f>
        <v>0.17</v>
      </c>
      <c r="W51" s="336">
        <f t="shared" ref="W51:W56" si="14">I51</f>
        <v>16.25</v>
      </c>
      <c r="X51" s="740">
        <f>SUM(Q51:W51)</f>
        <v>293908.52999999991</v>
      </c>
      <c r="Z51" s="334">
        <f>(X51-N51)</f>
        <v>3479.9999999997672</v>
      </c>
      <c r="AA51">
        <f>IF(Z51&gt;4000,1,IF(Z51&gt;1000,0,IF(Z51&gt;-1000,0,-1)))</f>
        <v>0</v>
      </c>
      <c r="AC51" s="875" t="s">
        <v>253</v>
      </c>
      <c r="AD51" s="410">
        <f>AD50*AE51</f>
        <v>32909.121012012292</v>
      </c>
      <c r="AE51" s="1051">
        <v>0.50055551077706639</v>
      </c>
      <c r="AG51" s="875" t="s">
        <v>253</v>
      </c>
      <c r="AH51" s="410">
        <f>AH50*AI51</f>
        <v>32909.121012012292</v>
      </c>
      <c r="AI51" s="1051">
        <v>0.50055551077706639</v>
      </c>
    </row>
    <row r="52" spans="2:35" x14ac:dyDescent="0.45">
      <c r="B52" s="882" t="s">
        <v>190</v>
      </c>
      <c r="C52" s="336">
        <f t="shared" si="7"/>
        <v>102444.94</v>
      </c>
      <c r="D52" s="336">
        <f t="shared" si="7"/>
        <v>31667.75</v>
      </c>
      <c r="E52" s="336">
        <f t="shared" si="7"/>
        <v>105838.99999999997</v>
      </c>
      <c r="F52" s="336">
        <f t="shared" si="7"/>
        <v>408</v>
      </c>
      <c r="G52" s="336">
        <f t="shared" si="7"/>
        <v>1</v>
      </c>
      <c r="H52" s="336">
        <f t="shared" si="7"/>
        <v>2380.7299999999996</v>
      </c>
      <c r="I52" s="336">
        <f t="shared" si="7"/>
        <v>1479</v>
      </c>
      <c r="J52" s="740">
        <f t="shared" si="8"/>
        <v>244220.41999999998</v>
      </c>
      <c r="M52" s="740">
        <f>'STT STD - By Province'!I70</f>
        <v>242441.41999999998</v>
      </c>
      <c r="N52" s="740">
        <f>'STT STD - By Province'!R70</f>
        <v>242441.41999999998</v>
      </c>
      <c r="P52" s="882" t="s">
        <v>190</v>
      </c>
      <c r="Q52" s="336">
        <f t="shared" ref="Q52:Q56" si="15">C52</f>
        <v>102444.94</v>
      </c>
      <c r="R52" s="336">
        <f t="shared" si="9"/>
        <v>31667.75</v>
      </c>
      <c r="S52" s="336">
        <f t="shared" si="10"/>
        <v>105838.99999999997</v>
      </c>
      <c r="T52" s="336">
        <f t="shared" si="11"/>
        <v>408</v>
      </c>
      <c r="U52" s="336">
        <f t="shared" si="12"/>
        <v>1</v>
      </c>
      <c r="V52" s="336">
        <f t="shared" si="13"/>
        <v>2380.7299999999996</v>
      </c>
      <c r="W52" s="336">
        <f t="shared" si="14"/>
        <v>1479</v>
      </c>
      <c r="X52" s="740">
        <f t="shared" ref="X52:X62" si="16">SUM(Q52:W52)</f>
        <v>244220.41999999998</v>
      </c>
      <c r="Z52" s="334">
        <f t="shared" ref="Z52:Z62" si="17">(X52-N52)</f>
        <v>1779</v>
      </c>
      <c r="AA52">
        <f t="shared" ref="AA52:AA62" si="18">IF(Z52&gt;4000,1,IF(Z52&gt;1000,0,IF(Z52&gt;-1000,0,-1)))</f>
        <v>0</v>
      </c>
      <c r="AC52" s="875" t="s">
        <v>233</v>
      </c>
      <c r="AD52" s="410">
        <f>AD50*AE52</f>
        <v>24969.63287201944</v>
      </c>
      <c r="AE52" s="1051">
        <v>0.37979401915983474</v>
      </c>
      <c r="AG52" s="875" t="s">
        <v>233</v>
      </c>
      <c r="AH52" s="410">
        <f>AH50*AI52</f>
        <v>24969.63287201944</v>
      </c>
      <c r="AI52" s="1051">
        <v>0.37979401915983474</v>
      </c>
    </row>
    <row r="53" spans="2:35" x14ac:dyDescent="0.45">
      <c r="B53" s="882" t="s">
        <v>191</v>
      </c>
      <c r="C53" s="336">
        <f>C38/RIGHT(C$4,2)+20000</f>
        <v>154299.72</v>
      </c>
      <c r="D53" s="336">
        <f t="shared" si="7"/>
        <v>38309.94</v>
      </c>
      <c r="E53" s="336">
        <f t="shared" si="7"/>
        <v>118622.89000000025</v>
      </c>
      <c r="F53" s="336">
        <f t="shared" si="7"/>
        <v>337</v>
      </c>
      <c r="G53" s="336">
        <f t="shared" si="7"/>
        <v>1525</v>
      </c>
      <c r="H53" s="336">
        <f t="shared" si="7"/>
        <v>3202.0699999999997</v>
      </c>
      <c r="I53" s="336">
        <f t="shared" si="7"/>
        <v>262</v>
      </c>
      <c r="J53" s="740">
        <f t="shared" si="8"/>
        <v>316558.62000000029</v>
      </c>
      <c r="M53" s="740">
        <f>'STT STD - By Province'!I71</f>
        <v>316695.63186628825</v>
      </c>
      <c r="N53" s="740">
        <f>'STT STD - By Province'!R71</f>
        <v>316695.63186628825</v>
      </c>
      <c r="P53" s="882" t="s">
        <v>191</v>
      </c>
      <c r="Q53" s="336">
        <f t="shared" si="15"/>
        <v>154299.72</v>
      </c>
      <c r="R53" s="336">
        <f t="shared" si="9"/>
        <v>38309.94</v>
      </c>
      <c r="S53" s="336">
        <f t="shared" si="10"/>
        <v>118622.89000000025</v>
      </c>
      <c r="T53" s="336">
        <f t="shared" si="11"/>
        <v>337</v>
      </c>
      <c r="U53" s="336">
        <f t="shared" si="12"/>
        <v>1525</v>
      </c>
      <c r="V53" s="336">
        <f t="shared" si="13"/>
        <v>3202.0699999999997</v>
      </c>
      <c r="W53" s="336">
        <f t="shared" si="14"/>
        <v>262</v>
      </c>
      <c r="X53" s="740">
        <f t="shared" si="16"/>
        <v>316558.62000000029</v>
      </c>
      <c r="Z53" s="334">
        <f t="shared" si="17"/>
        <v>-137.01186628796859</v>
      </c>
      <c r="AA53">
        <f t="shared" si="18"/>
        <v>0</v>
      </c>
      <c r="AC53" s="875" t="s">
        <v>254</v>
      </c>
      <c r="AD53" s="410">
        <f>AD50*AE53</f>
        <v>7113.0704216008917</v>
      </c>
      <c r="AE53" s="1051">
        <v>0.10819148274358495</v>
      </c>
      <c r="AG53" s="875" t="s">
        <v>254</v>
      </c>
      <c r="AH53" s="410">
        <f>AH50*AI53</f>
        <v>7113.0704216008917</v>
      </c>
      <c r="AI53" s="1051">
        <v>0.10819148274358495</v>
      </c>
    </row>
    <row r="54" spans="2:35" x14ac:dyDescent="0.45">
      <c r="B54" s="882" t="s">
        <v>192</v>
      </c>
      <c r="C54" s="336">
        <f>C39/RIGHT(C$4,2)-7000</f>
        <v>113000</v>
      </c>
      <c r="D54" s="336">
        <f>D39/RIGHT(D$4,2)-2000</f>
        <v>26000</v>
      </c>
      <c r="E54" s="336">
        <f>E39/RIGHT(E$4,2)-10000</f>
        <v>100000</v>
      </c>
      <c r="F54" s="336">
        <f t="shared" si="7"/>
        <v>600</v>
      </c>
      <c r="G54" s="336">
        <f t="shared" si="7"/>
        <v>800</v>
      </c>
      <c r="H54" s="336">
        <f t="shared" si="7"/>
        <v>2800</v>
      </c>
      <c r="I54" s="336">
        <f t="shared" si="7"/>
        <v>520</v>
      </c>
      <c r="J54" s="740">
        <f t="shared" si="8"/>
        <v>243720</v>
      </c>
      <c r="M54" s="740">
        <f>'STT STD - By Province'!I72</f>
        <v>243687.72371662391</v>
      </c>
      <c r="N54" s="740">
        <f>'STT STD - By Province'!R72</f>
        <v>243687.72371662391</v>
      </c>
      <c r="P54" s="882" t="s">
        <v>192</v>
      </c>
      <c r="Q54" s="336">
        <f t="shared" si="15"/>
        <v>113000</v>
      </c>
      <c r="R54" s="336">
        <f t="shared" si="9"/>
        <v>26000</v>
      </c>
      <c r="S54" s="336">
        <f t="shared" si="10"/>
        <v>100000</v>
      </c>
      <c r="T54" s="336">
        <f t="shared" si="11"/>
        <v>600</v>
      </c>
      <c r="U54" s="336">
        <f t="shared" si="12"/>
        <v>800</v>
      </c>
      <c r="V54" s="336">
        <f t="shared" si="13"/>
        <v>2800</v>
      </c>
      <c r="W54" s="336">
        <f t="shared" si="14"/>
        <v>520</v>
      </c>
      <c r="X54" s="740">
        <f t="shared" si="16"/>
        <v>243720</v>
      </c>
      <c r="Z54" s="334">
        <f t="shared" si="17"/>
        <v>32.276283376093488</v>
      </c>
      <c r="AA54">
        <f t="shared" si="18"/>
        <v>0</v>
      </c>
    </row>
    <row r="55" spans="2:35" x14ac:dyDescent="0.45">
      <c r="B55" s="882" t="s">
        <v>193</v>
      </c>
      <c r="C55" s="336">
        <f>C40/RIGHT(C$4,2)-8000</f>
        <v>112000</v>
      </c>
      <c r="D55" s="336">
        <f>D40/RIGHT(D$4,2)-3500</f>
        <v>24500</v>
      </c>
      <c r="E55" s="336">
        <f>E40/RIGHT(E$4,2)-6000</f>
        <v>104000</v>
      </c>
      <c r="F55" s="336">
        <f t="shared" si="7"/>
        <v>150</v>
      </c>
      <c r="G55" s="336">
        <f t="shared" si="7"/>
        <v>800</v>
      </c>
      <c r="H55" s="336">
        <f t="shared" si="7"/>
        <v>2800</v>
      </c>
      <c r="I55" s="336">
        <f t="shared" si="7"/>
        <v>520</v>
      </c>
      <c r="J55" s="740">
        <f t="shared" si="8"/>
        <v>244770</v>
      </c>
      <c r="M55" s="740">
        <f>'STT STD - By Province'!I73</f>
        <v>242351.8489546949</v>
      </c>
      <c r="N55" s="740">
        <f>'STT STD - By Province'!R73</f>
        <v>242351.8489546949</v>
      </c>
      <c r="P55" s="882" t="s">
        <v>193</v>
      </c>
      <c r="Q55" s="336">
        <f t="shared" si="15"/>
        <v>112000</v>
      </c>
      <c r="R55" s="336">
        <f t="shared" si="9"/>
        <v>24500</v>
      </c>
      <c r="S55" s="336">
        <f t="shared" si="10"/>
        <v>104000</v>
      </c>
      <c r="T55" s="336">
        <f t="shared" si="11"/>
        <v>150</v>
      </c>
      <c r="U55" s="336">
        <f t="shared" si="12"/>
        <v>800</v>
      </c>
      <c r="V55" s="336">
        <f t="shared" si="13"/>
        <v>2800</v>
      </c>
      <c r="W55" s="336">
        <f t="shared" si="14"/>
        <v>520</v>
      </c>
      <c r="X55" s="740">
        <f t="shared" si="16"/>
        <v>244770</v>
      </c>
      <c r="Z55" s="334">
        <f t="shared" si="17"/>
        <v>2418.1510453051014</v>
      </c>
      <c r="AA55">
        <f t="shared" si="18"/>
        <v>0</v>
      </c>
      <c r="AC55" t="s">
        <v>187</v>
      </c>
      <c r="AD55" s="410">
        <f>SUM(J54:J56)</f>
        <v>771140</v>
      </c>
      <c r="AE55" s="1017">
        <f>AD55/$J$63</f>
        <v>0.22016168942385969</v>
      </c>
      <c r="AG55" t="s">
        <v>187</v>
      </c>
      <c r="AH55" s="410">
        <f>SUM(X54:X56)</f>
        <v>771140</v>
      </c>
      <c r="AI55" s="1017">
        <f>AH55/$X$63</f>
        <v>0.25017660283486481</v>
      </c>
    </row>
    <row r="56" spans="2:35" x14ac:dyDescent="0.45">
      <c r="B56" s="882" t="s">
        <v>194</v>
      </c>
      <c r="C56" s="336">
        <f>C41/RIGHT(C$4,2)-20000</f>
        <v>130000</v>
      </c>
      <c r="D56" s="336">
        <f>D41/RIGHT(D$4,2)-5000</f>
        <v>30000</v>
      </c>
      <c r="E56" s="336">
        <f>E41/RIGHT(E$4,2)-20000</f>
        <v>117500</v>
      </c>
      <c r="F56" s="336">
        <f t="shared" si="7"/>
        <v>0</v>
      </c>
      <c r="G56" s="336">
        <f t="shared" si="7"/>
        <v>1000</v>
      </c>
      <c r="H56" s="336">
        <f t="shared" si="7"/>
        <v>3500</v>
      </c>
      <c r="I56" s="336">
        <f t="shared" si="7"/>
        <v>650</v>
      </c>
      <c r="J56" s="740">
        <f t="shared" si="8"/>
        <v>282650</v>
      </c>
      <c r="M56" s="740">
        <f>'STT STD - By Province'!I74</f>
        <v>282310.29764288885</v>
      </c>
      <c r="N56" s="740">
        <f>'STT STD - By Province'!R74</f>
        <v>282310.29764288885</v>
      </c>
      <c r="P56" s="882" t="s">
        <v>194</v>
      </c>
      <c r="Q56" s="336">
        <f t="shared" si="15"/>
        <v>130000</v>
      </c>
      <c r="R56" s="336">
        <f t="shared" si="9"/>
        <v>30000</v>
      </c>
      <c r="S56" s="336">
        <f t="shared" si="10"/>
        <v>117500</v>
      </c>
      <c r="T56" s="336">
        <f t="shared" si="11"/>
        <v>0</v>
      </c>
      <c r="U56" s="336">
        <f t="shared" si="12"/>
        <v>1000</v>
      </c>
      <c r="V56" s="336">
        <f t="shared" si="13"/>
        <v>3500</v>
      </c>
      <c r="W56" s="336">
        <f t="shared" si="14"/>
        <v>650</v>
      </c>
      <c r="X56" s="740">
        <f t="shared" si="16"/>
        <v>282650</v>
      </c>
      <c r="Z56" s="334">
        <f t="shared" si="17"/>
        <v>339.70235711114947</v>
      </c>
      <c r="AA56">
        <f t="shared" si="18"/>
        <v>0</v>
      </c>
      <c r="AC56" s="329" t="s">
        <v>252</v>
      </c>
      <c r="AD56" s="1050">
        <f>AD55/13</f>
        <v>59318.461538461539</v>
      </c>
      <c r="AE56" s="1017"/>
      <c r="AG56" s="329" t="s">
        <v>252</v>
      </c>
      <c r="AH56" s="1050">
        <f>AH55/13</f>
        <v>59318.461538461539</v>
      </c>
      <c r="AI56" s="1017"/>
    </row>
    <row r="57" spans="2:35" x14ac:dyDescent="0.45">
      <c r="B57" s="882" t="s">
        <v>195</v>
      </c>
      <c r="C57" s="336">
        <f>C42/RIGHT(C$4,2)</f>
        <v>128000</v>
      </c>
      <c r="D57" s="336">
        <f>D42/RIGHT(D$4,2)-7000</f>
        <v>25000</v>
      </c>
      <c r="E57" s="336">
        <f>E42/RIGHT(E$4,2)+3000</f>
        <v>115000</v>
      </c>
      <c r="F57" s="336">
        <f t="shared" si="7"/>
        <v>0</v>
      </c>
      <c r="G57" s="336">
        <f t="shared" si="7"/>
        <v>800</v>
      </c>
      <c r="H57" s="336">
        <f t="shared" si="7"/>
        <v>2800</v>
      </c>
      <c r="I57" s="336">
        <f t="shared" si="7"/>
        <v>520</v>
      </c>
      <c r="J57" s="740">
        <f t="shared" si="8"/>
        <v>272120</v>
      </c>
      <c r="M57" s="740">
        <f>'STT STD - By Province'!I75</f>
        <v>272577.95700051851</v>
      </c>
      <c r="N57" s="740">
        <f>'STT STD - By Province'!R75</f>
        <v>222589.43404504273</v>
      </c>
      <c r="P57" s="882" t="s">
        <v>195</v>
      </c>
      <c r="Q57" s="1053">
        <f>C57*Q$49</f>
        <v>112000</v>
      </c>
      <c r="R57" s="1053">
        <f t="shared" ref="R57:R62" si="19">D57*R$49</f>
        <v>20625</v>
      </c>
      <c r="S57" s="1053">
        <f t="shared" ref="S57:S62" si="20">E57*S$49</f>
        <v>74750</v>
      </c>
      <c r="T57" s="1053">
        <f t="shared" ref="T57:T62" si="21">F57*T$49</f>
        <v>0</v>
      </c>
      <c r="U57" s="1053">
        <f t="shared" ref="U57:U62" si="22">G57*U$49</f>
        <v>800</v>
      </c>
      <c r="V57" s="1053">
        <f t="shared" ref="V57:V62" si="23">H57*V$49</f>
        <v>2800</v>
      </c>
      <c r="W57" s="1053">
        <f t="shared" ref="W57:W62" si="24">I57*W$49</f>
        <v>520</v>
      </c>
      <c r="X57" s="740">
        <f t="shared" si="16"/>
        <v>211495</v>
      </c>
      <c r="Y57" s="1017">
        <f>X57/J57</f>
        <v>0.77721225929736881</v>
      </c>
      <c r="Z57" s="334">
        <f t="shared" si="17"/>
        <v>-11094.434045042726</v>
      </c>
      <c r="AA57">
        <f t="shared" si="18"/>
        <v>-1</v>
      </c>
      <c r="AC57" s="875" t="s">
        <v>253</v>
      </c>
      <c r="AD57" s="410">
        <f>AD56*AE57</f>
        <v>29692.182813894382</v>
      </c>
      <c r="AE57" s="1051">
        <v>0.50055551077706639</v>
      </c>
      <c r="AG57" s="875" t="s">
        <v>253</v>
      </c>
      <c r="AH57" s="410">
        <f>AH56*AI57</f>
        <v>29692.182813894382</v>
      </c>
      <c r="AI57" s="1051">
        <v>0.50055551077706639</v>
      </c>
    </row>
    <row r="58" spans="2:35" x14ac:dyDescent="0.45">
      <c r="B58" s="882" t="s">
        <v>196</v>
      </c>
      <c r="C58" s="336">
        <f>C43/RIGHT(C$4,2)-7000</f>
        <v>121000</v>
      </c>
      <c r="D58" s="336">
        <f>D43/RIGHT(D$4,2)-8000</f>
        <v>24000</v>
      </c>
      <c r="E58" s="336">
        <f t="shared" si="7"/>
        <v>112000</v>
      </c>
      <c r="F58" s="336">
        <f t="shared" si="7"/>
        <v>0</v>
      </c>
      <c r="G58" s="336">
        <f t="shared" si="7"/>
        <v>800</v>
      </c>
      <c r="H58" s="336">
        <f t="shared" si="7"/>
        <v>2800</v>
      </c>
      <c r="I58" s="336">
        <f t="shared" si="7"/>
        <v>520</v>
      </c>
      <c r="J58" s="740">
        <f t="shared" si="8"/>
        <v>261120</v>
      </c>
      <c r="M58" s="740">
        <f>'STT STD - By Province'!I76</f>
        <v>261532.11626205017</v>
      </c>
      <c r="N58" s="740">
        <f>'STT STD - By Province'!R76</f>
        <v>213891.18931311165</v>
      </c>
      <c r="P58" s="882" t="s">
        <v>196</v>
      </c>
      <c r="Q58" s="1053">
        <f t="shared" ref="Q58:Q62" si="25">C58*Q$49</f>
        <v>105875</v>
      </c>
      <c r="R58" s="1053">
        <f t="shared" si="19"/>
        <v>19800</v>
      </c>
      <c r="S58" s="1053">
        <f t="shared" si="20"/>
        <v>72800</v>
      </c>
      <c r="T58" s="1053">
        <f t="shared" si="21"/>
        <v>0</v>
      </c>
      <c r="U58" s="1053">
        <f t="shared" si="22"/>
        <v>800</v>
      </c>
      <c r="V58" s="1053">
        <f t="shared" si="23"/>
        <v>2800</v>
      </c>
      <c r="W58" s="1053">
        <f t="shared" si="24"/>
        <v>520</v>
      </c>
      <c r="X58" s="740">
        <f t="shared" si="16"/>
        <v>202595</v>
      </c>
      <c r="Z58" s="334">
        <f t="shared" si="17"/>
        <v>-11296.189313111652</v>
      </c>
      <c r="AA58">
        <f t="shared" si="18"/>
        <v>-1</v>
      </c>
      <c r="AC58" s="875" t="s">
        <v>233</v>
      </c>
      <c r="AD58" s="410">
        <f>AD56*AE58</f>
        <v>22528.79691807038</v>
      </c>
      <c r="AE58" s="1051">
        <v>0.37979401915983474</v>
      </c>
      <c r="AG58" s="875" t="s">
        <v>233</v>
      </c>
      <c r="AH58" s="410">
        <f>AH56*AI58</f>
        <v>22528.79691807038</v>
      </c>
      <c r="AI58" s="1051">
        <v>0.37979401915983474</v>
      </c>
    </row>
    <row r="59" spans="2:35" x14ac:dyDescent="0.45">
      <c r="B59" s="882" t="s">
        <v>197</v>
      </c>
      <c r="C59" s="336">
        <f>C44/RIGHT(C$4,2)+5000</f>
        <v>165000</v>
      </c>
      <c r="D59" s="336">
        <f>D44/RIGHT(D$4,2)+3000</f>
        <v>43000</v>
      </c>
      <c r="E59" s="336">
        <f>E44/RIGHT(E$4,2)+10000</f>
        <v>150000</v>
      </c>
      <c r="F59" s="336">
        <f t="shared" si="7"/>
        <v>0</v>
      </c>
      <c r="G59" s="336">
        <f t="shared" si="7"/>
        <v>1000</v>
      </c>
      <c r="H59" s="336">
        <f t="shared" si="7"/>
        <v>3500</v>
      </c>
      <c r="I59" s="336">
        <f t="shared" si="7"/>
        <v>650</v>
      </c>
      <c r="J59" s="740">
        <f t="shared" si="8"/>
        <v>363150</v>
      </c>
      <c r="M59" s="740">
        <f>'STT STD - By Province'!I77</f>
        <v>363481.44326039974</v>
      </c>
      <c r="N59" s="740">
        <f>'STT STD - By Province'!R77</f>
        <v>296227.46721362416</v>
      </c>
      <c r="P59" s="882" t="s">
        <v>197</v>
      </c>
      <c r="Q59" s="1053">
        <f t="shared" si="25"/>
        <v>144375</v>
      </c>
      <c r="R59" s="1053">
        <f t="shared" si="19"/>
        <v>35475</v>
      </c>
      <c r="S59" s="1053">
        <f t="shared" si="20"/>
        <v>97500</v>
      </c>
      <c r="T59" s="1053">
        <f t="shared" si="21"/>
        <v>0</v>
      </c>
      <c r="U59" s="1053">
        <f t="shared" si="22"/>
        <v>1000</v>
      </c>
      <c r="V59" s="1053">
        <f t="shared" si="23"/>
        <v>3500</v>
      </c>
      <c r="W59" s="1053">
        <f t="shared" si="24"/>
        <v>650</v>
      </c>
      <c r="X59" s="740">
        <f t="shared" si="16"/>
        <v>282500</v>
      </c>
      <c r="Z59" s="334">
        <f t="shared" si="17"/>
        <v>-13727.467213624157</v>
      </c>
      <c r="AA59">
        <f t="shared" si="18"/>
        <v>-1</v>
      </c>
      <c r="AC59" s="875" t="s">
        <v>254</v>
      </c>
      <c r="AD59" s="410">
        <f>AD56*AE59</f>
        <v>6417.7523079144694</v>
      </c>
      <c r="AE59" s="1051">
        <v>0.10819148274358495</v>
      </c>
      <c r="AG59" s="875" t="s">
        <v>254</v>
      </c>
      <c r="AH59" s="410">
        <f>AH56*AI59</f>
        <v>6417.7523079144694</v>
      </c>
      <c r="AI59" s="1051">
        <v>0.10819148274358495</v>
      </c>
    </row>
    <row r="60" spans="2:35" x14ac:dyDescent="0.45">
      <c r="B60" s="882" t="s">
        <v>198</v>
      </c>
      <c r="C60" s="336">
        <f>C45/RIGHT(C$4,2)+15000</f>
        <v>143000</v>
      </c>
      <c r="D60" s="336">
        <f t="shared" si="7"/>
        <v>32000</v>
      </c>
      <c r="E60" s="336">
        <f>E45/RIGHT(E$4,2)+15000</f>
        <v>135000</v>
      </c>
      <c r="F60" s="336">
        <f t="shared" si="7"/>
        <v>0</v>
      </c>
      <c r="G60" s="336">
        <f t="shared" si="7"/>
        <v>800</v>
      </c>
      <c r="H60" s="336">
        <f t="shared" si="7"/>
        <v>2800</v>
      </c>
      <c r="I60" s="336">
        <f t="shared" si="7"/>
        <v>520</v>
      </c>
      <c r="J60" s="740">
        <f t="shared" si="8"/>
        <v>314120</v>
      </c>
      <c r="M60" s="740">
        <f>'STT STD - By Province'!I78</f>
        <v>315172.57843018899</v>
      </c>
      <c r="N60" s="740">
        <f>'STT STD - By Province'!R78</f>
        <v>256413.7185711278</v>
      </c>
      <c r="P60" s="882" t="s">
        <v>198</v>
      </c>
      <c r="Q60" s="1053">
        <f t="shared" si="25"/>
        <v>125125</v>
      </c>
      <c r="R60" s="1053">
        <f t="shared" si="19"/>
        <v>26400</v>
      </c>
      <c r="S60" s="1053">
        <f t="shared" si="20"/>
        <v>87750</v>
      </c>
      <c r="T60" s="1053">
        <f t="shared" si="21"/>
        <v>0</v>
      </c>
      <c r="U60" s="1053">
        <f t="shared" si="22"/>
        <v>800</v>
      </c>
      <c r="V60" s="1053">
        <f t="shared" si="23"/>
        <v>2800</v>
      </c>
      <c r="W60" s="1053">
        <f t="shared" si="24"/>
        <v>520</v>
      </c>
      <c r="X60" s="740">
        <f t="shared" si="16"/>
        <v>243395</v>
      </c>
      <c r="Z60" s="334">
        <f t="shared" si="17"/>
        <v>-13018.7185711278</v>
      </c>
      <c r="AA60">
        <f t="shared" si="18"/>
        <v>-1</v>
      </c>
    </row>
    <row r="61" spans="2:35" x14ac:dyDescent="0.45">
      <c r="B61" s="882" t="s">
        <v>199</v>
      </c>
      <c r="C61" s="336">
        <f t="shared" si="7"/>
        <v>128000</v>
      </c>
      <c r="D61" s="336">
        <f>D46/RIGHT(D$4,2)-3000</f>
        <v>29000</v>
      </c>
      <c r="E61" s="336">
        <f t="shared" si="7"/>
        <v>120000</v>
      </c>
      <c r="F61" s="336">
        <f t="shared" si="7"/>
        <v>0</v>
      </c>
      <c r="G61" s="336">
        <f t="shared" si="7"/>
        <v>800</v>
      </c>
      <c r="H61" s="336">
        <f t="shared" si="7"/>
        <v>2800</v>
      </c>
      <c r="I61" s="336">
        <f t="shared" si="7"/>
        <v>520</v>
      </c>
      <c r="J61" s="740">
        <f t="shared" si="8"/>
        <v>281120</v>
      </c>
      <c r="M61" s="740">
        <f>'STT STD - By Province'!I79</f>
        <v>281372.90151340386</v>
      </c>
      <c r="N61" s="740">
        <f>'STT STD - By Province'!R79</f>
        <v>229752.75021432052</v>
      </c>
      <c r="P61" s="882" t="s">
        <v>199</v>
      </c>
      <c r="Q61" s="1053">
        <f t="shared" si="25"/>
        <v>112000</v>
      </c>
      <c r="R61" s="1053">
        <f t="shared" si="19"/>
        <v>23925</v>
      </c>
      <c r="S61" s="1053">
        <f t="shared" si="20"/>
        <v>78000</v>
      </c>
      <c r="T61" s="1053">
        <f t="shared" si="21"/>
        <v>0</v>
      </c>
      <c r="U61" s="1053">
        <f t="shared" si="22"/>
        <v>800</v>
      </c>
      <c r="V61" s="1053">
        <f t="shared" si="23"/>
        <v>2800</v>
      </c>
      <c r="W61" s="1053">
        <f t="shared" si="24"/>
        <v>520</v>
      </c>
      <c r="X61" s="740">
        <f t="shared" si="16"/>
        <v>218045</v>
      </c>
      <c r="Z61" s="334">
        <f t="shared" si="17"/>
        <v>-11707.75021432052</v>
      </c>
      <c r="AA61">
        <f t="shared" si="18"/>
        <v>-1</v>
      </c>
      <c r="AC61" t="s">
        <v>255</v>
      </c>
      <c r="AD61" s="410">
        <f>SUM(J57:J59)</f>
        <v>896390</v>
      </c>
      <c r="AE61" s="1017">
        <f>AD61/$J$63</f>
        <v>0.25592076248496198</v>
      </c>
      <c r="AG61" t="s">
        <v>255</v>
      </c>
      <c r="AH61" s="410">
        <f>SUM(X57:X59)</f>
        <v>696590</v>
      </c>
      <c r="AI61" s="1017">
        <f>AH61/$X$63</f>
        <v>0.2259907666166176</v>
      </c>
    </row>
    <row r="62" spans="2:35" x14ac:dyDescent="0.45">
      <c r="B62" s="882" t="s">
        <v>200</v>
      </c>
      <c r="C62" s="336">
        <f>C47/RIGHT(C$4,2)+15000</f>
        <v>175000</v>
      </c>
      <c r="D62" s="336">
        <f t="shared" si="7"/>
        <v>40000</v>
      </c>
      <c r="E62" s="336">
        <f>E47/RIGHT(E$4,2)+15000</f>
        <v>165000</v>
      </c>
      <c r="F62" s="336">
        <f t="shared" si="7"/>
        <v>0</v>
      </c>
      <c r="G62" s="336">
        <f t="shared" si="7"/>
        <v>1000</v>
      </c>
      <c r="H62" s="336">
        <f t="shared" si="7"/>
        <v>3500</v>
      </c>
      <c r="I62" s="336">
        <f t="shared" si="7"/>
        <v>650</v>
      </c>
      <c r="J62" s="740">
        <f t="shared" si="8"/>
        <v>385150</v>
      </c>
      <c r="M62" s="740">
        <f>'STT STD - By Province'!I80</f>
        <v>385116.58458361198</v>
      </c>
      <c r="N62" s="740">
        <f>'STT STD - By Province'!R80</f>
        <v>313925.25840919814</v>
      </c>
      <c r="P62" s="882" t="s">
        <v>200</v>
      </c>
      <c r="Q62" s="1053">
        <f t="shared" si="25"/>
        <v>153125</v>
      </c>
      <c r="R62" s="1053">
        <f t="shared" si="19"/>
        <v>33000</v>
      </c>
      <c r="S62" s="1053">
        <f t="shared" si="20"/>
        <v>107250</v>
      </c>
      <c r="T62" s="1053">
        <f t="shared" si="21"/>
        <v>0</v>
      </c>
      <c r="U62" s="1053">
        <f t="shared" si="22"/>
        <v>1000</v>
      </c>
      <c r="V62" s="1053">
        <f t="shared" si="23"/>
        <v>3500</v>
      </c>
      <c r="W62" s="1053">
        <f t="shared" si="24"/>
        <v>650</v>
      </c>
      <c r="X62" s="740">
        <f t="shared" si="16"/>
        <v>298525</v>
      </c>
      <c r="Z62" s="334">
        <f t="shared" si="17"/>
        <v>-15400.258409198141</v>
      </c>
      <c r="AA62">
        <f t="shared" si="18"/>
        <v>-1</v>
      </c>
      <c r="AC62" s="329" t="s">
        <v>252</v>
      </c>
      <c r="AD62" s="1050">
        <f>AD61/13</f>
        <v>68953.076923076922</v>
      </c>
      <c r="AE62" s="1017"/>
      <c r="AG62" s="329" t="s">
        <v>252</v>
      </c>
      <c r="AH62" s="1050">
        <f>AH61/13</f>
        <v>53583.846153846156</v>
      </c>
      <c r="AI62" s="1017"/>
    </row>
    <row r="63" spans="2:35" x14ac:dyDescent="0.45">
      <c r="B63" s="739" t="s">
        <v>201</v>
      </c>
      <c r="C63" s="740">
        <f t="shared" ref="C63:I63" si="26">SUM(C51:C62)</f>
        <v>1638342.21</v>
      </c>
      <c r="D63" s="740">
        <f t="shared" si="26"/>
        <v>369604.93</v>
      </c>
      <c r="E63" s="740">
        <f t="shared" si="26"/>
        <v>1442156.2100000002</v>
      </c>
      <c r="F63" s="740">
        <f t="shared" si="26"/>
        <v>2171</v>
      </c>
      <c r="G63" s="740">
        <f t="shared" si="26"/>
        <v>10623</v>
      </c>
      <c r="H63" s="740">
        <f t="shared" si="26"/>
        <v>32882.97</v>
      </c>
      <c r="I63" s="740">
        <f t="shared" si="26"/>
        <v>6827.25</v>
      </c>
      <c r="J63" s="740">
        <f t="shared" si="8"/>
        <v>3502607.5700000003</v>
      </c>
      <c r="M63" s="740">
        <f>SUM(M51:M62)</f>
        <v>3497169.0332306689</v>
      </c>
      <c r="N63" s="740">
        <f>SUM(N51:N62)</f>
        <v>3150715.2699469207</v>
      </c>
      <c r="P63" s="739" t="s">
        <v>201</v>
      </c>
      <c r="Q63" s="740">
        <f>SUM(Q51:Q62)</f>
        <v>1530842.21</v>
      </c>
      <c r="R63" s="740">
        <f t="shared" ref="R63:X63" si="27">SUM(R51:R62)</f>
        <v>335829.93</v>
      </c>
      <c r="S63" s="740">
        <f t="shared" si="27"/>
        <v>1163206.2100000002</v>
      </c>
      <c r="T63" s="740">
        <f t="shared" si="27"/>
        <v>2171</v>
      </c>
      <c r="U63" s="740">
        <f t="shared" si="27"/>
        <v>10623</v>
      </c>
      <c r="V63" s="740">
        <f t="shared" si="27"/>
        <v>32882.97</v>
      </c>
      <c r="W63" s="740">
        <f t="shared" si="27"/>
        <v>6827.25</v>
      </c>
      <c r="X63" s="740">
        <f t="shared" si="27"/>
        <v>3082382.5700000003</v>
      </c>
      <c r="AC63" s="875" t="s">
        <v>253</v>
      </c>
      <c r="AD63" s="410">
        <f>AD62*AE63</f>
        <v>34514.84263888112</v>
      </c>
      <c r="AE63" s="1051">
        <v>0.50055551077706639</v>
      </c>
      <c r="AG63" s="875" t="s">
        <v>253</v>
      </c>
      <c r="AH63" s="410">
        <f>AH62*AI63</f>
        <v>26821.689480938207</v>
      </c>
      <c r="AI63" s="1051">
        <v>0.50055551077706639</v>
      </c>
    </row>
    <row r="64" spans="2:35" x14ac:dyDescent="0.45">
      <c r="C64" s="410">
        <f>C63*RIGHT(C50,2)</f>
        <v>65533688.399999999</v>
      </c>
      <c r="D64" s="410">
        <f t="shared" ref="D64" si="28">D63*RIGHT(D50,2)</f>
        <v>14784197.199999999</v>
      </c>
      <c r="E64" s="410">
        <f t="shared" ref="E64" si="29">E63*RIGHT(E50,2)</f>
        <v>57686248.400000006</v>
      </c>
      <c r="F64" s="410">
        <f t="shared" ref="F64" si="30">F63*RIGHT(F50,2)</f>
        <v>86840</v>
      </c>
      <c r="G64" s="410">
        <f t="shared" ref="G64" si="31">G63*RIGHT(G50,2)</f>
        <v>127476</v>
      </c>
      <c r="H64" s="410">
        <f t="shared" ref="H64" si="32">H63*RIGHT(H50,2)</f>
        <v>394595.64</v>
      </c>
      <c r="I64" s="410">
        <f t="shared" ref="I64" si="33">I63*RIGHT(I50,2)</f>
        <v>163854</v>
      </c>
      <c r="J64" s="410">
        <f>SUM(C64:I64)</f>
        <v>138776899.63999999</v>
      </c>
      <c r="M64" s="344">
        <f>M63*'STT STD - By Province'!I86</f>
        <v>139157475.55176494</v>
      </c>
      <c r="N64" s="344">
        <f>N63*'STT STD - By Province'!R86</f>
        <v>125362020.62295185</v>
      </c>
      <c r="Q64" s="410">
        <f>Q63*RIGHT(Q50,2)</f>
        <v>61233688.399999999</v>
      </c>
      <c r="R64" s="410">
        <f t="shared" ref="R64:W64" si="34">R63*RIGHT(R50,2)</f>
        <v>13433197.199999999</v>
      </c>
      <c r="S64" s="410">
        <f t="shared" si="34"/>
        <v>46528248.400000006</v>
      </c>
      <c r="T64" s="410">
        <f t="shared" si="34"/>
        <v>86840</v>
      </c>
      <c r="U64" s="410">
        <f t="shared" si="34"/>
        <v>127476</v>
      </c>
      <c r="V64" s="410">
        <f t="shared" si="34"/>
        <v>394595.64</v>
      </c>
      <c r="W64" s="410">
        <f t="shared" si="34"/>
        <v>163854</v>
      </c>
      <c r="X64" s="410">
        <f>SUM(Q64:W64)</f>
        <v>121967899.64</v>
      </c>
      <c r="AC64" s="875" t="s">
        <v>233</v>
      </c>
      <c r="AD64" s="410">
        <f>AD62*AE64</f>
        <v>26187.966218052636</v>
      </c>
      <c r="AE64" s="1051">
        <v>0.37979401915983474</v>
      </c>
      <c r="AG64" s="875" t="s">
        <v>233</v>
      </c>
      <c r="AH64" s="410">
        <f>AH62*AI64</f>
        <v>20350.824292811485</v>
      </c>
      <c r="AI64" s="1051">
        <v>0.37979401915983474</v>
      </c>
    </row>
    <row r="65" spans="2:35" x14ac:dyDescent="0.45">
      <c r="C65" s="483">
        <f>C64/$J$64</f>
        <v>0.47222332081204005</v>
      </c>
      <c r="D65" s="483">
        <f t="shared" ref="D65:I65" si="35">D64/$J$64</f>
        <v>0.10653211909439946</v>
      </c>
      <c r="E65" s="483">
        <f t="shared" si="35"/>
        <v>0.41567615755679388</v>
      </c>
      <c r="F65" s="483">
        <f t="shared" si="35"/>
        <v>6.2575255842485988E-4</v>
      </c>
      <c r="G65" s="483">
        <f t="shared" si="35"/>
        <v>9.1856786201943155E-4</v>
      </c>
      <c r="H65" s="483">
        <f t="shared" si="35"/>
        <v>2.8433812905722588E-3</v>
      </c>
      <c r="I65" s="483">
        <f t="shared" si="35"/>
        <v>1.1807008257501955E-3</v>
      </c>
      <c r="Q65" s="483">
        <f>Q64/$X$64</f>
        <v>0.50204757629455887</v>
      </c>
      <c r="R65" s="483">
        <f t="shared" ref="R65:W65" si="36">R64/$X$64</f>
        <v>0.11013715280536415</v>
      </c>
      <c r="S65" s="483">
        <f t="shared" si="36"/>
        <v>0.38147945924569177</v>
      </c>
      <c r="T65" s="483">
        <f t="shared" si="36"/>
        <v>7.1199061602533634E-4</v>
      </c>
      <c r="U65" s="483">
        <f t="shared" si="36"/>
        <v>1.045160246066856E-3</v>
      </c>
      <c r="V65" s="483">
        <f t="shared" si="36"/>
        <v>3.2352417411850745E-3</v>
      </c>
      <c r="W65" s="483">
        <f t="shared" si="36"/>
        <v>1.3434190511079625E-3</v>
      </c>
      <c r="AC65" s="875" t="s">
        <v>254</v>
      </c>
      <c r="AD65" s="410">
        <f>AD62*AE65</f>
        <v>7460.1356320401628</v>
      </c>
      <c r="AE65" s="1051">
        <v>0.10819148274358495</v>
      </c>
      <c r="AG65" s="875" t="s">
        <v>254</v>
      </c>
      <c r="AH65" s="410">
        <f>AH62*AI65</f>
        <v>5797.3157664887567</v>
      </c>
      <c r="AI65" s="1051">
        <v>0.10819148274358495</v>
      </c>
    </row>
    <row r="66" spans="2:35" x14ac:dyDescent="0.45">
      <c r="Q66" s="483">
        <v>0.50388906795773492</v>
      </c>
      <c r="R66" s="483">
        <v>0.10832332728073478</v>
      </c>
      <c r="S66" s="483">
        <v>0.37681726821289252</v>
      </c>
      <c r="T66" s="483">
        <v>1.5955355884856364E-3</v>
      </c>
      <c r="U66" s="483">
        <v>3.4655719233774038E-3</v>
      </c>
      <c r="V66" s="483">
        <v>4.1474918244885101E-3</v>
      </c>
      <c r="W66" s="483">
        <v>1.7617372122862235E-3</v>
      </c>
    </row>
    <row r="67" spans="2:35" x14ac:dyDescent="0.45">
      <c r="B67" s="870" t="s">
        <v>239</v>
      </c>
      <c r="C67" s="870" t="s">
        <v>2</v>
      </c>
      <c r="D67" s="870" t="s">
        <v>3</v>
      </c>
      <c r="E67" s="870" t="s">
        <v>4</v>
      </c>
      <c r="F67" s="870" t="s">
        <v>135</v>
      </c>
      <c r="G67" s="870" t="s">
        <v>154</v>
      </c>
      <c r="H67" s="870" t="s">
        <v>137</v>
      </c>
      <c r="I67" s="870" t="s">
        <v>138</v>
      </c>
      <c r="J67" s="870" t="s">
        <v>201</v>
      </c>
    </row>
    <row r="68" spans="2:35" x14ac:dyDescent="0.45">
      <c r="B68" s="877" t="s">
        <v>256</v>
      </c>
      <c r="C68" s="877"/>
      <c r="D68" s="877"/>
      <c r="E68" s="877"/>
      <c r="F68" s="877"/>
      <c r="G68" s="877"/>
      <c r="H68" s="877"/>
      <c r="I68" s="877"/>
      <c r="J68" s="877"/>
      <c r="W68" t="s">
        <v>257</v>
      </c>
      <c r="X68" s="412">
        <v>120000000</v>
      </c>
      <c r="AC68" t="s">
        <v>188</v>
      </c>
      <c r="AD68" s="410">
        <f>SUM(J60:J62)</f>
        <v>980390</v>
      </c>
      <c r="AE68" s="1017">
        <f>AD68/$J$63</f>
        <v>0.27990289531635998</v>
      </c>
      <c r="AG68" t="s">
        <v>188</v>
      </c>
      <c r="AH68" s="410">
        <f>SUM(X60:X62)</f>
        <v>759965</v>
      </c>
      <c r="AI68" s="1017">
        <f>AH68/$X$63</f>
        <v>0.24655116058484589</v>
      </c>
    </row>
    <row r="69" spans="2:35" x14ac:dyDescent="0.45">
      <c r="B69" s="325" t="s">
        <v>258</v>
      </c>
      <c r="C69" s="336">
        <v>65819560</v>
      </c>
      <c r="D69" s="336">
        <v>19360000</v>
      </c>
      <c r="E69" s="336">
        <v>63891600</v>
      </c>
      <c r="F69" s="336">
        <v>64000</v>
      </c>
      <c r="G69" s="336">
        <v>143268</v>
      </c>
      <c r="H69" s="336">
        <v>460800</v>
      </c>
      <c r="I69" s="336">
        <v>287424</v>
      </c>
      <c r="J69" s="336">
        <f>SUM(C69:I69)</f>
        <v>150026652</v>
      </c>
      <c r="W69" t="s">
        <v>230</v>
      </c>
      <c r="X69" s="412">
        <v>110000000</v>
      </c>
      <c r="AC69" s="329" t="s">
        <v>252</v>
      </c>
      <c r="AD69" s="1050">
        <f>AD68/13</f>
        <v>75414.61538461539</v>
      </c>
      <c r="AG69" s="329" t="s">
        <v>252</v>
      </c>
      <c r="AH69" s="1050">
        <f>AH68/13</f>
        <v>58458.846153846156</v>
      </c>
    </row>
    <row r="70" spans="2:35" x14ac:dyDescent="0.45">
      <c r="B70" s="325" t="s">
        <v>259</v>
      </c>
      <c r="C70" s="336">
        <f t="shared" ref="C70:I70" si="37">C69/RIGHT(C67,2)</f>
        <v>1645489</v>
      </c>
      <c r="D70" s="336">
        <f t="shared" si="37"/>
        <v>484000</v>
      </c>
      <c r="E70" s="336">
        <f t="shared" si="37"/>
        <v>1597290</v>
      </c>
      <c r="F70" s="336">
        <f t="shared" si="37"/>
        <v>1600</v>
      </c>
      <c r="G70" s="336">
        <f t="shared" si="37"/>
        <v>11939</v>
      </c>
      <c r="H70" s="336">
        <f t="shared" si="37"/>
        <v>38400</v>
      </c>
      <c r="I70" s="336">
        <f t="shared" si="37"/>
        <v>11976</v>
      </c>
      <c r="J70" s="336">
        <f>SUM(C70:I70)</f>
        <v>3790694</v>
      </c>
      <c r="AC70" s="875" t="s">
        <v>253</v>
      </c>
      <c r="AD70" s="410">
        <f>AD69*AE70</f>
        <v>37749.201323902169</v>
      </c>
      <c r="AE70" s="1051">
        <v>0.50055551077706639</v>
      </c>
      <c r="AG70" s="875" t="s">
        <v>253</v>
      </c>
      <c r="AH70" s="410">
        <f>AH69*AI70</f>
        <v>29261.897595976407</v>
      </c>
      <c r="AI70" s="1051">
        <v>0.50055551077706639</v>
      </c>
    </row>
    <row r="71" spans="2:35" x14ac:dyDescent="0.45">
      <c r="B71" s="862" t="s">
        <v>260</v>
      </c>
      <c r="C71" s="863"/>
      <c r="D71" s="863"/>
      <c r="E71" s="863"/>
      <c r="F71" s="863"/>
      <c r="G71" s="863"/>
      <c r="H71" s="863"/>
      <c r="I71" s="863"/>
      <c r="J71" s="863"/>
      <c r="W71" t="s">
        <v>261</v>
      </c>
      <c r="AC71" s="875" t="s">
        <v>233</v>
      </c>
      <c r="AD71" s="410">
        <f>AD69*AE71</f>
        <v>28642.019880316184</v>
      </c>
      <c r="AE71" s="1051">
        <v>0.37979401915983474</v>
      </c>
      <c r="AG71" s="875" t="s">
        <v>233</v>
      </c>
      <c r="AH71" s="410">
        <f>AH69*AI71</f>
        <v>22202.32013621568</v>
      </c>
      <c r="AI71" s="1051">
        <v>0.37979401915983474</v>
      </c>
    </row>
    <row r="72" spans="2:35" x14ac:dyDescent="0.45">
      <c r="B72" s="864" t="s">
        <v>258</v>
      </c>
      <c r="C72" s="336">
        <f t="shared" ref="C72:I72" si="38">SUM(C5:C10)</f>
        <v>37158280</v>
      </c>
      <c r="D72" s="336">
        <f t="shared" si="38"/>
        <v>10560000</v>
      </c>
      <c r="E72" s="336">
        <f t="shared" si="38"/>
        <v>34295000</v>
      </c>
      <c r="F72" s="336">
        <f t="shared" si="38"/>
        <v>64000</v>
      </c>
      <c r="G72" s="336">
        <f t="shared" si="38"/>
        <v>84768</v>
      </c>
      <c r="H72" s="336">
        <f t="shared" si="38"/>
        <v>258900</v>
      </c>
      <c r="I72" s="336">
        <f t="shared" si="38"/>
        <v>172224</v>
      </c>
      <c r="J72" s="336">
        <f>SUM(C72:I72)</f>
        <v>82593172</v>
      </c>
      <c r="W72" t="s">
        <v>262</v>
      </c>
      <c r="AC72" s="875" t="s">
        <v>254</v>
      </c>
      <c r="AD72" s="410">
        <f>AD69*AE72</f>
        <v>8159.2190589987122</v>
      </c>
      <c r="AE72" s="1051">
        <v>0.10819148274358495</v>
      </c>
      <c r="AG72" s="875" t="s">
        <v>254</v>
      </c>
      <c r="AH72" s="410">
        <f>AH69*AI72</f>
        <v>6324.749244863734</v>
      </c>
      <c r="AI72" s="1051">
        <v>0.10819148274358495</v>
      </c>
    </row>
    <row r="73" spans="2:35" x14ac:dyDescent="0.45">
      <c r="B73" s="864" t="s">
        <v>259</v>
      </c>
      <c r="C73" s="336">
        <f t="shared" ref="C73:I73" si="39">C72/RIGHT(C$67,2)</f>
        <v>928957</v>
      </c>
      <c r="D73" s="336">
        <f t="shared" si="39"/>
        <v>264000</v>
      </c>
      <c r="E73" s="336">
        <f t="shared" si="39"/>
        <v>857375</v>
      </c>
      <c r="F73" s="336">
        <f t="shared" si="39"/>
        <v>1600</v>
      </c>
      <c r="G73" s="336">
        <f t="shared" si="39"/>
        <v>7064</v>
      </c>
      <c r="H73" s="336">
        <f t="shared" si="39"/>
        <v>21575</v>
      </c>
      <c r="I73" s="336">
        <f t="shared" si="39"/>
        <v>7176</v>
      </c>
      <c r="J73" s="336">
        <f>SUM(C73:I73)</f>
        <v>2087747</v>
      </c>
      <c r="W73" t="s">
        <v>263</v>
      </c>
    </row>
    <row r="74" spans="2:35" x14ac:dyDescent="0.45">
      <c r="B74" s="862" t="s">
        <v>264</v>
      </c>
      <c r="C74" s="863"/>
      <c r="D74" s="863"/>
      <c r="E74" s="863"/>
      <c r="F74" s="863"/>
      <c r="G74" s="863"/>
      <c r="H74" s="863"/>
      <c r="I74" s="863"/>
      <c r="J74" s="863"/>
    </row>
    <row r="75" spans="2:35" x14ac:dyDescent="0.45">
      <c r="B75" s="864" t="s">
        <v>258</v>
      </c>
      <c r="C75" s="336">
        <f t="shared" ref="C75:I75" si="40">SUM(C11:C16)</f>
        <v>28414640</v>
      </c>
      <c r="D75" s="336">
        <f t="shared" si="40"/>
        <v>8800000</v>
      </c>
      <c r="E75" s="336">
        <f t="shared" si="40"/>
        <v>29820000</v>
      </c>
      <c r="F75" s="336">
        <f t="shared" si="40"/>
        <v>0</v>
      </c>
      <c r="G75" s="336">
        <f t="shared" si="40"/>
        <v>57600</v>
      </c>
      <c r="H75" s="336">
        <f t="shared" si="40"/>
        <v>201600</v>
      </c>
      <c r="I75" s="336">
        <f t="shared" si="40"/>
        <v>115200</v>
      </c>
      <c r="J75" s="336">
        <f>SUM(C75:I75)</f>
        <v>67409040</v>
      </c>
    </row>
    <row r="76" spans="2:35" x14ac:dyDescent="0.45">
      <c r="B76" s="864" t="s">
        <v>259</v>
      </c>
      <c r="C76" s="336">
        <f t="shared" ref="C76:I76" si="41">C75/RIGHT(C$67,2)</f>
        <v>710366</v>
      </c>
      <c r="D76" s="336">
        <f t="shared" si="41"/>
        <v>220000</v>
      </c>
      <c r="E76" s="336">
        <f t="shared" si="41"/>
        <v>745500</v>
      </c>
      <c r="F76" s="336">
        <f t="shared" si="41"/>
        <v>0</v>
      </c>
      <c r="G76" s="336">
        <f t="shared" si="41"/>
        <v>4800</v>
      </c>
      <c r="H76" s="336">
        <f t="shared" si="41"/>
        <v>16800</v>
      </c>
      <c r="I76" s="336">
        <f t="shared" si="41"/>
        <v>4800</v>
      </c>
      <c r="J76" s="336">
        <f>SUM(C76:I76)</f>
        <v>1702266</v>
      </c>
    </row>
    <row r="77" spans="2:35" x14ac:dyDescent="0.45">
      <c r="B77" s="865" t="s">
        <v>265</v>
      </c>
      <c r="C77" s="866"/>
      <c r="D77" s="866"/>
      <c r="E77" s="866"/>
      <c r="F77" s="866"/>
      <c r="G77" s="866"/>
      <c r="H77" s="866"/>
      <c r="I77" s="866"/>
      <c r="J77" s="866"/>
    </row>
    <row r="78" spans="2:35" x14ac:dyDescent="0.45">
      <c r="B78" s="864" t="s">
        <v>258</v>
      </c>
      <c r="C78" s="336">
        <f t="shared" ref="C78:I78" si="42">SUM(C5:C7)</f>
        <v>22738760</v>
      </c>
      <c r="D78" s="336">
        <f t="shared" si="42"/>
        <v>6400000</v>
      </c>
      <c r="E78" s="336">
        <f t="shared" si="42"/>
        <v>20521000</v>
      </c>
      <c r="F78" s="336">
        <f t="shared" si="42"/>
        <v>64000</v>
      </c>
      <c r="G78" s="336">
        <f t="shared" si="42"/>
        <v>41568</v>
      </c>
      <c r="H78" s="336">
        <f t="shared" si="42"/>
        <v>143700</v>
      </c>
      <c r="I78" s="336">
        <f t="shared" si="42"/>
        <v>85824</v>
      </c>
      <c r="J78" s="336">
        <f>SUM(C78:I78)</f>
        <v>49994852</v>
      </c>
    </row>
    <row r="79" spans="2:35" x14ac:dyDescent="0.45">
      <c r="B79" s="864" t="s">
        <v>259</v>
      </c>
      <c r="C79" s="336">
        <f t="shared" ref="C79:I79" si="43">C78/RIGHT(C$67,2)</f>
        <v>568469</v>
      </c>
      <c r="D79" s="336">
        <f t="shared" si="43"/>
        <v>160000</v>
      </c>
      <c r="E79" s="336">
        <f t="shared" si="43"/>
        <v>513025</v>
      </c>
      <c r="F79" s="336">
        <f t="shared" si="43"/>
        <v>1600</v>
      </c>
      <c r="G79" s="336">
        <f t="shared" si="43"/>
        <v>3464</v>
      </c>
      <c r="H79" s="336">
        <f t="shared" si="43"/>
        <v>11975</v>
      </c>
      <c r="I79" s="336">
        <f t="shared" si="43"/>
        <v>3576</v>
      </c>
      <c r="J79" s="336">
        <f>SUM(C79:I79)</f>
        <v>1262109</v>
      </c>
    </row>
    <row r="80" spans="2:35" x14ac:dyDescent="0.45">
      <c r="B80" s="865" t="s">
        <v>266</v>
      </c>
      <c r="C80" s="866"/>
      <c r="D80" s="866"/>
      <c r="E80" s="866"/>
      <c r="F80" s="866"/>
      <c r="G80" s="866"/>
      <c r="H80" s="866"/>
      <c r="I80" s="866"/>
      <c r="J80" s="866"/>
    </row>
    <row r="81" spans="2:10" x14ac:dyDescent="0.45">
      <c r="B81" s="864" t="s">
        <v>258</v>
      </c>
      <c r="C81" s="336">
        <f t="shared" ref="C81:I81" si="44">SUM(C8:C10)</f>
        <v>14419520</v>
      </c>
      <c r="D81" s="336">
        <f t="shared" si="44"/>
        <v>4160000</v>
      </c>
      <c r="E81" s="336">
        <f t="shared" si="44"/>
        <v>13774000</v>
      </c>
      <c r="F81" s="336">
        <f t="shared" si="44"/>
        <v>0</v>
      </c>
      <c r="G81" s="336">
        <f t="shared" si="44"/>
        <v>43200</v>
      </c>
      <c r="H81" s="336">
        <f t="shared" si="44"/>
        <v>115200</v>
      </c>
      <c r="I81" s="336">
        <f t="shared" si="44"/>
        <v>86400</v>
      </c>
      <c r="J81" s="336">
        <f>SUM(C81:I81)</f>
        <v>32598320</v>
      </c>
    </row>
    <row r="82" spans="2:10" x14ac:dyDescent="0.45">
      <c r="B82" s="864" t="s">
        <v>259</v>
      </c>
      <c r="C82" s="336">
        <f t="shared" ref="C82:I82" si="45">C81/RIGHT(C$67,2)</f>
        <v>360488</v>
      </c>
      <c r="D82" s="336">
        <f t="shared" si="45"/>
        <v>104000</v>
      </c>
      <c r="E82" s="336">
        <f t="shared" si="45"/>
        <v>344350</v>
      </c>
      <c r="F82" s="336">
        <f t="shared" si="45"/>
        <v>0</v>
      </c>
      <c r="G82" s="336">
        <f t="shared" si="45"/>
        <v>3600</v>
      </c>
      <c r="H82" s="336">
        <f t="shared" si="45"/>
        <v>9600</v>
      </c>
      <c r="I82" s="336">
        <f t="shared" si="45"/>
        <v>3600</v>
      </c>
      <c r="J82" s="336">
        <f>SUM(C82:I82)</f>
        <v>825638</v>
      </c>
    </row>
    <row r="83" spans="2:10" x14ac:dyDescent="0.45">
      <c r="B83" s="865" t="s">
        <v>267</v>
      </c>
      <c r="C83" s="866"/>
      <c r="D83" s="866"/>
      <c r="E83" s="866"/>
      <c r="F83" s="866"/>
      <c r="G83" s="866"/>
      <c r="H83" s="866"/>
      <c r="I83" s="866"/>
      <c r="J83" s="866"/>
    </row>
    <row r="84" spans="2:10" x14ac:dyDescent="0.45">
      <c r="B84" s="864" t="s">
        <v>258</v>
      </c>
      <c r="C84" s="336">
        <f t="shared" ref="C84:I84" si="46">SUM(C11:C13)</f>
        <v>14016640</v>
      </c>
      <c r="D84" s="336">
        <f t="shared" si="46"/>
        <v>4320000</v>
      </c>
      <c r="E84" s="336">
        <f t="shared" si="46"/>
        <v>14768000</v>
      </c>
      <c r="F84" s="336">
        <f t="shared" si="46"/>
        <v>0</v>
      </c>
      <c r="G84" s="336">
        <f t="shared" si="46"/>
        <v>28800</v>
      </c>
      <c r="H84" s="336">
        <f t="shared" si="46"/>
        <v>115200</v>
      </c>
      <c r="I84" s="336">
        <f t="shared" si="46"/>
        <v>57600</v>
      </c>
      <c r="J84" s="336">
        <f>SUM(C84:I84)</f>
        <v>33306240</v>
      </c>
    </row>
    <row r="85" spans="2:10" x14ac:dyDescent="0.45">
      <c r="B85" s="864" t="s">
        <v>259</v>
      </c>
      <c r="C85" s="336">
        <f t="shared" ref="C85:I85" si="47">C84/RIGHT(C$67,2)</f>
        <v>350416</v>
      </c>
      <c r="D85" s="336">
        <f t="shared" si="47"/>
        <v>108000</v>
      </c>
      <c r="E85" s="336">
        <f t="shared" si="47"/>
        <v>369200</v>
      </c>
      <c r="F85" s="336">
        <f t="shared" si="47"/>
        <v>0</v>
      </c>
      <c r="G85" s="336">
        <f t="shared" si="47"/>
        <v>2400</v>
      </c>
      <c r="H85" s="336">
        <f t="shared" si="47"/>
        <v>9600</v>
      </c>
      <c r="I85" s="336">
        <f t="shared" si="47"/>
        <v>2400</v>
      </c>
      <c r="J85" s="336">
        <f>SUM(C85:I85)</f>
        <v>842016</v>
      </c>
    </row>
    <row r="86" spans="2:10" x14ac:dyDescent="0.45">
      <c r="B86" s="865" t="s">
        <v>268</v>
      </c>
      <c r="C86" s="866"/>
      <c r="D86" s="866"/>
      <c r="E86" s="866"/>
      <c r="F86" s="866"/>
      <c r="G86" s="866"/>
      <c r="H86" s="866"/>
      <c r="I86" s="866"/>
      <c r="J86" s="866"/>
    </row>
    <row r="87" spans="2:10" x14ac:dyDescent="0.45">
      <c r="B87" s="864" t="s">
        <v>258</v>
      </c>
      <c r="C87" s="336">
        <f t="shared" ref="C87:I87" si="48">SUM(C14:C16)</f>
        <v>14398000</v>
      </c>
      <c r="D87" s="336">
        <f t="shared" si="48"/>
        <v>4480000</v>
      </c>
      <c r="E87" s="336">
        <f t="shared" si="48"/>
        <v>15052000</v>
      </c>
      <c r="F87" s="336">
        <f t="shared" si="48"/>
        <v>0</v>
      </c>
      <c r="G87" s="336">
        <f t="shared" si="48"/>
        <v>28800</v>
      </c>
      <c r="H87" s="336">
        <f t="shared" si="48"/>
        <v>86400</v>
      </c>
      <c r="I87" s="336">
        <f t="shared" si="48"/>
        <v>57600</v>
      </c>
      <c r="J87" s="336">
        <f>SUM(C87:I87)</f>
        <v>34102800</v>
      </c>
    </row>
    <row r="88" spans="2:10" x14ac:dyDescent="0.45">
      <c r="B88" s="864" t="s">
        <v>259</v>
      </c>
      <c r="C88" s="336">
        <f t="shared" ref="C88:I88" si="49">C87/RIGHT(C$67,2)</f>
        <v>359950</v>
      </c>
      <c r="D88" s="336">
        <f t="shared" si="49"/>
        <v>112000</v>
      </c>
      <c r="E88" s="336">
        <f t="shared" si="49"/>
        <v>376300</v>
      </c>
      <c r="F88" s="336">
        <f t="shared" si="49"/>
        <v>0</v>
      </c>
      <c r="G88" s="336">
        <f t="shared" si="49"/>
        <v>2400</v>
      </c>
      <c r="H88" s="336">
        <f t="shared" si="49"/>
        <v>7200</v>
      </c>
      <c r="I88" s="336">
        <f t="shared" si="49"/>
        <v>2400</v>
      </c>
      <c r="J88" s="336">
        <f>SUM(C88:I88)</f>
        <v>860250</v>
      </c>
    </row>
    <row r="89" spans="2:10" x14ac:dyDescent="0.45">
      <c r="B89" s="878" t="s">
        <v>269</v>
      </c>
      <c r="C89" s="878"/>
      <c r="D89" s="878"/>
      <c r="E89" s="878"/>
      <c r="F89" s="878"/>
      <c r="G89" s="878"/>
      <c r="H89" s="878"/>
      <c r="I89" s="878"/>
      <c r="J89" s="878"/>
    </row>
    <row r="90" spans="2:10" x14ac:dyDescent="0.45">
      <c r="B90" s="864" t="s">
        <v>258</v>
      </c>
      <c r="C90" s="336">
        <f t="shared" ref="C90:I90" si="50">SUM(C48)</f>
        <v>65013688.399999999</v>
      </c>
      <c r="D90" s="336">
        <f t="shared" si="50"/>
        <v>15804197.199999999</v>
      </c>
      <c r="E90" s="336">
        <f t="shared" si="50"/>
        <v>57406248.400000006</v>
      </c>
      <c r="F90" s="336">
        <f t="shared" si="50"/>
        <v>86840</v>
      </c>
      <c r="G90" s="336">
        <f t="shared" si="50"/>
        <v>127476</v>
      </c>
      <c r="H90" s="336">
        <f t="shared" si="50"/>
        <v>394595.64</v>
      </c>
      <c r="I90" s="336">
        <f t="shared" si="50"/>
        <v>163854</v>
      </c>
      <c r="J90" s="336">
        <f>SUM(C90:I90)</f>
        <v>138996899.63999999</v>
      </c>
    </row>
    <row r="91" spans="2:10" x14ac:dyDescent="0.45">
      <c r="B91" s="864" t="s">
        <v>259</v>
      </c>
      <c r="C91" s="336">
        <f t="shared" ref="C91:I91" si="51">IFERROR(C90/RIGHT(C$67,2),0)</f>
        <v>1625342.21</v>
      </c>
      <c r="D91" s="336">
        <f t="shared" si="51"/>
        <v>395104.93</v>
      </c>
      <c r="E91" s="336">
        <f t="shared" si="51"/>
        <v>1435156.2100000002</v>
      </c>
      <c r="F91" s="336">
        <f t="shared" si="51"/>
        <v>2171</v>
      </c>
      <c r="G91" s="336">
        <f t="shared" si="51"/>
        <v>10623</v>
      </c>
      <c r="H91" s="336">
        <f t="shared" si="51"/>
        <v>32882.97</v>
      </c>
      <c r="I91" s="336">
        <f t="shared" si="51"/>
        <v>6827.25</v>
      </c>
      <c r="J91" s="336">
        <f>SUM(C91:I91)</f>
        <v>3508107.5700000003</v>
      </c>
    </row>
    <row r="92" spans="2:10" x14ac:dyDescent="0.45">
      <c r="B92" s="879" t="s">
        <v>265</v>
      </c>
      <c r="C92" s="880"/>
      <c r="D92" s="880"/>
      <c r="E92" s="880"/>
      <c r="F92" s="880"/>
      <c r="G92" s="880"/>
      <c r="H92" s="880"/>
      <c r="I92" s="880"/>
      <c r="J92" s="880"/>
    </row>
    <row r="93" spans="2:10" x14ac:dyDescent="0.45">
      <c r="B93" s="864" t="s">
        <v>258</v>
      </c>
      <c r="C93" s="336">
        <f t="shared" ref="C93:I93" si="52">SUM(C36:C38)</f>
        <v>16133688.399999999</v>
      </c>
      <c r="D93" s="336">
        <f t="shared" si="52"/>
        <v>3844197.2</v>
      </c>
      <c r="E93" s="336">
        <f t="shared" si="52"/>
        <v>12946248.400000006</v>
      </c>
      <c r="F93" s="336">
        <f t="shared" si="52"/>
        <v>56840</v>
      </c>
      <c r="G93" s="336">
        <f t="shared" si="52"/>
        <v>33876</v>
      </c>
      <c r="H93" s="336">
        <f t="shared" si="52"/>
        <v>66995.639999999985</v>
      </c>
      <c r="I93" s="336">
        <f t="shared" si="52"/>
        <v>42174</v>
      </c>
      <c r="J93" s="336">
        <f>SUM(C93:I93)</f>
        <v>33124019.640000004</v>
      </c>
    </row>
    <row r="94" spans="2:10" x14ac:dyDescent="0.45">
      <c r="B94" s="864" t="s">
        <v>259</v>
      </c>
      <c r="C94" s="336">
        <f t="shared" ref="C94:I94" si="53">IFERROR(C93/RIGHT(C$67,2),0)</f>
        <v>403342.20999999996</v>
      </c>
      <c r="D94" s="336">
        <f t="shared" si="53"/>
        <v>96104.930000000008</v>
      </c>
      <c r="E94" s="336">
        <f t="shared" si="53"/>
        <v>323656.21000000014</v>
      </c>
      <c r="F94" s="336">
        <f t="shared" si="53"/>
        <v>1421</v>
      </c>
      <c r="G94" s="336">
        <f t="shared" si="53"/>
        <v>2823</v>
      </c>
      <c r="H94" s="336">
        <f t="shared" si="53"/>
        <v>5582.9699999999984</v>
      </c>
      <c r="I94" s="336">
        <f t="shared" si="53"/>
        <v>1757.25</v>
      </c>
      <c r="J94" s="336">
        <f>SUM(C94:I94)</f>
        <v>834687.57000000007</v>
      </c>
    </row>
    <row r="95" spans="2:10" x14ac:dyDescent="0.45">
      <c r="B95" s="879" t="s">
        <v>266</v>
      </c>
      <c r="C95" s="880"/>
      <c r="D95" s="880"/>
      <c r="E95" s="880"/>
      <c r="F95" s="880"/>
      <c r="G95" s="880"/>
      <c r="H95" s="880"/>
      <c r="I95" s="880"/>
      <c r="J95" s="880"/>
    </row>
    <row r="96" spans="2:10" x14ac:dyDescent="0.45">
      <c r="B96" s="864" t="s">
        <v>258</v>
      </c>
      <c r="C96" s="336">
        <f t="shared" ref="C96:I96" si="54">SUM(C39:C41)</f>
        <v>15600000</v>
      </c>
      <c r="D96" s="336">
        <f t="shared" si="54"/>
        <v>3640000</v>
      </c>
      <c r="E96" s="336">
        <f t="shared" si="54"/>
        <v>14300000</v>
      </c>
      <c r="F96" s="336">
        <f t="shared" si="54"/>
        <v>30000</v>
      </c>
      <c r="G96" s="336">
        <f t="shared" si="54"/>
        <v>31200</v>
      </c>
      <c r="H96" s="336">
        <f t="shared" si="54"/>
        <v>109200</v>
      </c>
      <c r="I96" s="336">
        <f t="shared" si="54"/>
        <v>40560</v>
      </c>
      <c r="J96" s="336">
        <f>SUM(C96:I96)</f>
        <v>33750960</v>
      </c>
    </row>
    <row r="97" spans="2:10" x14ac:dyDescent="0.45">
      <c r="B97" s="864" t="s">
        <v>259</v>
      </c>
      <c r="C97" s="336">
        <f t="shared" ref="C97:I97" si="55">IFERROR(C96/RIGHT(C$67,2),0)</f>
        <v>390000</v>
      </c>
      <c r="D97" s="336">
        <f t="shared" si="55"/>
        <v>91000</v>
      </c>
      <c r="E97" s="336">
        <f t="shared" si="55"/>
        <v>357500</v>
      </c>
      <c r="F97" s="336">
        <f t="shared" si="55"/>
        <v>750</v>
      </c>
      <c r="G97" s="336">
        <f t="shared" si="55"/>
        <v>2600</v>
      </c>
      <c r="H97" s="336">
        <f t="shared" si="55"/>
        <v>9100</v>
      </c>
      <c r="I97" s="336">
        <f t="shared" si="55"/>
        <v>1690</v>
      </c>
      <c r="J97" s="336">
        <f>SUM(C97:I97)</f>
        <v>852640</v>
      </c>
    </row>
    <row r="98" spans="2:10" x14ac:dyDescent="0.45">
      <c r="B98" s="879" t="s">
        <v>267</v>
      </c>
      <c r="C98" s="880"/>
      <c r="D98" s="880"/>
      <c r="E98" s="880"/>
      <c r="F98" s="880"/>
      <c r="G98" s="880"/>
      <c r="H98" s="880"/>
      <c r="I98" s="880"/>
      <c r="J98" s="880"/>
    </row>
    <row r="99" spans="2:10" x14ac:dyDescent="0.45">
      <c r="B99" s="864" t="s">
        <v>258</v>
      </c>
      <c r="C99" s="336">
        <f t="shared" ref="C99:I99" si="56">SUM(C42:C44)</f>
        <v>16640000</v>
      </c>
      <c r="D99" s="336">
        <f t="shared" si="56"/>
        <v>4160000</v>
      </c>
      <c r="E99" s="336">
        <f t="shared" si="56"/>
        <v>14560000</v>
      </c>
      <c r="F99" s="336">
        <f t="shared" si="56"/>
        <v>0</v>
      </c>
      <c r="G99" s="336">
        <f t="shared" si="56"/>
        <v>31200</v>
      </c>
      <c r="H99" s="336">
        <f t="shared" si="56"/>
        <v>109200</v>
      </c>
      <c r="I99" s="336">
        <f t="shared" si="56"/>
        <v>40560</v>
      </c>
      <c r="J99" s="336">
        <f>SUM(C99:I99)</f>
        <v>35540960</v>
      </c>
    </row>
    <row r="100" spans="2:10" x14ac:dyDescent="0.45">
      <c r="B100" s="864" t="s">
        <v>259</v>
      </c>
      <c r="C100" s="336">
        <f t="shared" ref="C100:I100" si="57">IFERROR(C99/RIGHT(C$67,2),0)</f>
        <v>416000</v>
      </c>
      <c r="D100" s="336">
        <f t="shared" si="57"/>
        <v>104000</v>
      </c>
      <c r="E100" s="336">
        <f t="shared" si="57"/>
        <v>364000</v>
      </c>
      <c r="F100" s="336">
        <f t="shared" si="57"/>
        <v>0</v>
      </c>
      <c r="G100" s="336">
        <f t="shared" si="57"/>
        <v>2600</v>
      </c>
      <c r="H100" s="336">
        <f t="shared" si="57"/>
        <v>9100</v>
      </c>
      <c r="I100" s="336">
        <f t="shared" si="57"/>
        <v>1690</v>
      </c>
      <c r="J100" s="336">
        <f>SUM(C100:I100)</f>
        <v>897390</v>
      </c>
    </row>
    <row r="101" spans="2:10" x14ac:dyDescent="0.45">
      <c r="B101" s="879" t="s">
        <v>268</v>
      </c>
      <c r="C101" s="880"/>
      <c r="D101" s="880"/>
      <c r="E101" s="880"/>
      <c r="F101" s="880"/>
      <c r="G101" s="880"/>
      <c r="H101" s="880"/>
      <c r="I101" s="880"/>
      <c r="J101" s="880"/>
    </row>
    <row r="102" spans="2:10" x14ac:dyDescent="0.45">
      <c r="B102" s="864" t="s">
        <v>258</v>
      </c>
      <c r="C102" s="336">
        <f t="shared" ref="C102:I102" si="58">SUM(C45:C47)</f>
        <v>16640000</v>
      </c>
      <c r="D102" s="336">
        <f t="shared" si="58"/>
        <v>4160000</v>
      </c>
      <c r="E102" s="336">
        <f t="shared" si="58"/>
        <v>15600000</v>
      </c>
      <c r="F102" s="336">
        <f t="shared" si="58"/>
        <v>0</v>
      </c>
      <c r="G102" s="336">
        <f t="shared" si="58"/>
        <v>31200</v>
      </c>
      <c r="H102" s="336">
        <f t="shared" si="58"/>
        <v>109200</v>
      </c>
      <c r="I102" s="336">
        <f t="shared" si="58"/>
        <v>40560</v>
      </c>
      <c r="J102" s="336">
        <f>SUM(C102:I102)</f>
        <v>36580960</v>
      </c>
    </row>
    <row r="103" spans="2:10" x14ac:dyDescent="0.45">
      <c r="B103" s="864" t="s">
        <v>259</v>
      </c>
      <c r="C103" s="336">
        <f t="shared" ref="C103:I103" si="59">IFERROR(C102/RIGHT(C$67,2),0)</f>
        <v>416000</v>
      </c>
      <c r="D103" s="336">
        <f t="shared" si="59"/>
        <v>104000</v>
      </c>
      <c r="E103" s="336">
        <f t="shared" si="59"/>
        <v>390000</v>
      </c>
      <c r="F103" s="336">
        <f t="shared" si="59"/>
        <v>0</v>
      </c>
      <c r="G103" s="336">
        <f t="shared" si="59"/>
        <v>2600</v>
      </c>
      <c r="H103" s="336">
        <f t="shared" si="59"/>
        <v>9100</v>
      </c>
      <c r="I103" s="336">
        <f t="shared" si="59"/>
        <v>1690</v>
      </c>
      <c r="J103" s="336">
        <f>SUM(C103:I103)</f>
        <v>923390</v>
      </c>
    </row>
    <row r="104" spans="2:10" x14ac:dyDescent="0.45">
      <c r="B104" s="875"/>
      <c r="C104" s="876"/>
      <c r="D104" s="876"/>
      <c r="E104" s="876"/>
      <c r="F104" s="876"/>
      <c r="G104" s="876"/>
      <c r="H104" s="876"/>
      <c r="I104" s="876"/>
      <c r="J104" s="876"/>
    </row>
    <row r="105" spans="2:10" x14ac:dyDescent="0.45">
      <c r="B105" s="870" t="s">
        <v>270</v>
      </c>
      <c r="C105" s="870" t="s">
        <v>2</v>
      </c>
      <c r="D105" s="870" t="s">
        <v>3</v>
      </c>
      <c r="E105" s="870" t="s">
        <v>4</v>
      </c>
      <c r="F105" s="870" t="s">
        <v>135</v>
      </c>
      <c r="G105" s="870" t="s">
        <v>154</v>
      </c>
      <c r="H105" s="870" t="s">
        <v>137</v>
      </c>
      <c r="I105" s="870" t="s">
        <v>138</v>
      </c>
      <c r="J105" s="870" t="s">
        <v>201</v>
      </c>
    </row>
    <row r="106" spans="2:10" x14ac:dyDescent="0.45">
      <c r="B106" s="864" t="s">
        <v>258</v>
      </c>
      <c r="C106" s="336">
        <v>42547772.200000003</v>
      </c>
      <c r="D106" s="336">
        <v>11956594.4</v>
      </c>
      <c r="E106" s="336">
        <v>32847775.399999995</v>
      </c>
      <c r="F106" s="336">
        <v>405318.60000000003</v>
      </c>
      <c r="G106" s="336">
        <v>118749.28648</v>
      </c>
      <c r="H106" s="336">
        <v>246108.48816000001</v>
      </c>
      <c r="I106" s="336">
        <v>248740.12800000008</v>
      </c>
      <c r="J106" s="336">
        <f>SUM(C106:I106)</f>
        <v>88371058.502639994</v>
      </c>
    </row>
    <row r="107" spans="2:10" x14ac:dyDescent="0.45">
      <c r="B107" s="864" t="s">
        <v>259</v>
      </c>
      <c r="C107" s="336">
        <f t="shared" ref="C107:I107" si="60">IFERROR(C106/RIGHT(C$67,2),0)</f>
        <v>1063694.3050000002</v>
      </c>
      <c r="D107" s="336">
        <f t="shared" si="60"/>
        <v>298914.86</v>
      </c>
      <c r="E107" s="336">
        <f t="shared" si="60"/>
        <v>821194.38499999989</v>
      </c>
      <c r="F107" s="336">
        <f t="shared" si="60"/>
        <v>10132.965</v>
      </c>
      <c r="G107" s="336">
        <f t="shared" si="60"/>
        <v>9895.7738733333335</v>
      </c>
      <c r="H107" s="336">
        <f t="shared" si="60"/>
        <v>20509.040680000002</v>
      </c>
      <c r="I107" s="336">
        <f t="shared" si="60"/>
        <v>10364.172000000004</v>
      </c>
      <c r="J107" s="336">
        <f>SUM(C107:I107)</f>
        <v>2234705.5015533329</v>
      </c>
    </row>
  </sheetData>
  <mergeCells count="1">
    <mergeCell ref="R7:S7"/>
  </mergeCells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1F65-6548-4878-94B7-B8C7DE7983CB}">
  <dimension ref="B3:P16"/>
  <sheetViews>
    <sheetView showGridLines="0" zoomScaleNormal="100" workbookViewId="0">
      <selection activeCell="R26" sqref="R26"/>
    </sheetView>
  </sheetViews>
  <sheetFormatPr defaultRowHeight="14.25" outlineLevelCol="1" x14ac:dyDescent="0.45"/>
  <cols>
    <col min="1" max="1" width="2.265625" customWidth="1"/>
    <col min="2" max="2" width="11" customWidth="1"/>
    <col min="3" max="3" width="12.3984375" bestFit="1" customWidth="1"/>
    <col min="4" max="4" width="7.73046875" customWidth="1"/>
    <col min="5" max="5" width="64.3984375" bestFit="1" customWidth="1"/>
    <col min="6" max="9" width="7" bestFit="1" customWidth="1" outlineLevel="1"/>
    <col min="10" max="10" width="17.73046875" customWidth="1"/>
    <col min="11" max="11" width="16.73046875" customWidth="1"/>
    <col min="12" max="12" width="17.73046875" customWidth="1"/>
    <col min="13" max="13" width="20.1328125" customWidth="1"/>
    <col min="14" max="14" width="8.86328125" customWidth="1"/>
    <col min="15" max="15" width="18.3984375" customWidth="1"/>
    <col min="16" max="16" width="8" customWidth="1"/>
  </cols>
  <sheetData>
    <row r="3" spans="2:16" x14ac:dyDescent="0.45">
      <c r="J3" s="1251" t="s">
        <v>271</v>
      </c>
      <c r="K3" s="1251"/>
      <c r="L3" s="1251"/>
      <c r="M3" s="1252" t="s">
        <v>272</v>
      </c>
      <c r="N3" s="1252"/>
      <c r="O3" s="1252"/>
      <c r="P3" s="1252"/>
    </row>
    <row r="4" spans="2:16" ht="42.75" x14ac:dyDescent="0.45">
      <c r="B4" s="905" t="s">
        <v>273</v>
      </c>
      <c r="C4" s="905" t="s">
        <v>240</v>
      </c>
      <c r="D4" s="905" t="s">
        <v>239</v>
      </c>
      <c r="E4" s="905" t="s">
        <v>274</v>
      </c>
      <c r="F4" s="905" t="s">
        <v>155</v>
      </c>
      <c r="G4" s="905" t="s">
        <v>12</v>
      </c>
      <c r="H4" s="905" t="s">
        <v>158</v>
      </c>
      <c r="I4" s="905" t="s">
        <v>161</v>
      </c>
      <c r="J4" s="905" t="s">
        <v>275</v>
      </c>
      <c r="K4" s="905" t="s">
        <v>276</v>
      </c>
      <c r="L4" s="905" t="s">
        <v>277</v>
      </c>
      <c r="M4" s="906" t="s">
        <v>278</v>
      </c>
      <c r="N4" s="907" t="s">
        <v>279</v>
      </c>
      <c r="O4" s="906" t="s">
        <v>280</v>
      </c>
      <c r="P4" s="907" t="s">
        <v>281</v>
      </c>
    </row>
    <row r="5" spans="2:16" x14ac:dyDescent="0.45">
      <c r="B5" s="902" t="s">
        <v>282</v>
      </c>
      <c r="C5" s="903" t="s">
        <v>283</v>
      </c>
      <c r="D5" s="911" t="s">
        <v>253</v>
      </c>
      <c r="E5" s="904" t="s">
        <v>284</v>
      </c>
      <c r="F5" s="930">
        <v>5.74</v>
      </c>
      <c r="G5" s="930">
        <v>6.05</v>
      </c>
      <c r="H5" s="930">
        <f>'Pricing Structure - GSS'!$O$57</f>
        <v>0.77611940298507454</v>
      </c>
      <c r="I5" s="930">
        <f>'Pricing Structure - GSS'!$O$92</f>
        <v>1.0029850746268656</v>
      </c>
      <c r="J5" s="914">
        <f>'Pricing Structure - GSS'!O32</f>
        <v>7.3377471611721807</v>
      </c>
      <c r="K5" s="915">
        <f>'Pricing Structure - GSS'!Q32</f>
        <v>7.5817115888202347</v>
      </c>
      <c r="L5" s="915">
        <f>'Pricing Structure - GSS'!S38</f>
        <v>7.1151219512195123</v>
      </c>
      <c r="M5" s="915">
        <f>'Pricing Structure - GSS'!$O44</f>
        <v>0.69643753272960829</v>
      </c>
      <c r="N5" s="916">
        <f>'Pricing Structure - GSS'!$O43</f>
        <v>9.4911628519284474E-2</v>
      </c>
      <c r="O5" s="915">
        <f>'P&amp;L by Ctn'!E$15-'P&amp;L by Ctn'!E$17</f>
        <v>1.075582143135748</v>
      </c>
      <c r="P5" s="916">
        <f>O5/F5</f>
        <v>0.18738364862992124</v>
      </c>
    </row>
    <row r="6" spans="2:16" x14ac:dyDescent="0.45">
      <c r="B6" s="902" t="s">
        <v>8</v>
      </c>
      <c r="C6" s="902" t="s">
        <v>285</v>
      </c>
      <c r="D6" s="911" t="s">
        <v>253</v>
      </c>
      <c r="E6" s="904" t="s">
        <v>286</v>
      </c>
      <c r="F6" s="930">
        <v>5.8100000000000005</v>
      </c>
      <c r="G6" s="930">
        <v>6.2</v>
      </c>
      <c r="H6" s="930" t="e">
        <f>'Pricing Structure - GSS'!#REF!</f>
        <v>#REF!</v>
      </c>
      <c r="I6" s="930" t="e">
        <f>'Pricing Structure - GSS'!#REF!</f>
        <v>#REF!</v>
      </c>
      <c r="J6" s="914" t="e">
        <f>'Pricing Structure - GSS'!#REF!</f>
        <v>#REF!</v>
      </c>
      <c r="K6" s="915" t="e">
        <f>'Pricing Structure - GSS'!#REF!</f>
        <v>#REF!</v>
      </c>
      <c r="L6" s="915" t="e">
        <f>'Pricing Structure - GSS'!#REF!</f>
        <v>#REF!</v>
      </c>
      <c r="M6" s="915" t="e">
        <f>'Pricing Structure - GSS'!#REF!</f>
        <v>#REF!</v>
      </c>
      <c r="N6" s="916" t="e">
        <f>'Pricing Structure - GSS'!#REF!</f>
        <v>#REF!</v>
      </c>
      <c r="O6" s="915" t="e">
        <f>'P&amp;L by Ctn'!F$15-'P&amp;L by Ctn'!F$17</f>
        <v>#REF!</v>
      </c>
      <c r="P6" s="916" t="e">
        <f t="shared" ref="P6:P16" si="0">O6/F6</f>
        <v>#REF!</v>
      </c>
    </row>
    <row r="7" spans="2:16" x14ac:dyDescent="0.45">
      <c r="B7" s="902" t="s">
        <v>9</v>
      </c>
      <c r="C7" s="902" t="s">
        <v>285</v>
      </c>
      <c r="D7" s="911" t="s">
        <v>253</v>
      </c>
      <c r="E7" s="904" t="s">
        <v>287</v>
      </c>
      <c r="F7" s="930">
        <v>5.8100000000000005</v>
      </c>
      <c r="G7" s="930">
        <v>6.2</v>
      </c>
      <c r="H7" s="930" t="e">
        <f>'Pricing Structure - GSS'!#REF!</f>
        <v>#REF!</v>
      </c>
      <c r="I7" s="930" t="e">
        <f>'Pricing Structure - GSS'!#REF!</f>
        <v>#REF!</v>
      </c>
      <c r="J7" s="914" t="e">
        <f>'Pricing Structure - GSS'!#REF!</f>
        <v>#REF!</v>
      </c>
      <c r="K7" s="915" t="e">
        <f>'Pricing Structure - GSS'!#REF!</f>
        <v>#REF!</v>
      </c>
      <c r="L7" s="915" t="e">
        <f>'Pricing Structure - GSS'!#REF!</f>
        <v>#REF!</v>
      </c>
      <c r="M7" s="915" t="e">
        <f>'Pricing Structure - GSS'!#REF!</f>
        <v>#REF!</v>
      </c>
      <c r="N7" s="916" t="e">
        <f>'Pricing Structure - GSS'!#REF!</f>
        <v>#REF!</v>
      </c>
      <c r="O7" s="915" t="e">
        <f>'P&amp;L by Ctn'!F$15-'P&amp;L by Ctn'!F$17</f>
        <v>#REF!</v>
      </c>
      <c r="P7" s="916" t="e">
        <f t="shared" si="0"/>
        <v>#REF!</v>
      </c>
    </row>
    <row r="8" spans="2:16" x14ac:dyDescent="0.45">
      <c r="B8" s="902" t="s">
        <v>10</v>
      </c>
      <c r="C8" s="902" t="s">
        <v>285</v>
      </c>
      <c r="D8" s="911" t="s">
        <v>253</v>
      </c>
      <c r="E8" s="904" t="s">
        <v>288</v>
      </c>
      <c r="F8" s="930">
        <v>5.8100000000000005</v>
      </c>
      <c r="G8" s="930">
        <v>6.2</v>
      </c>
      <c r="H8" s="930" t="e">
        <f>'Pricing Structure - GSS'!#REF!</f>
        <v>#REF!</v>
      </c>
      <c r="I8" s="930" t="e">
        <f>'Pricing Structure - GSS'!#REF!</f>
        <v>#REF!</v>
      </c>
      <c r="J8" s="914" t="e">
        <f>'Pricing Structure - GSS'!#REF!</f>
        <v>#REF!</v>
      </c>
      <c r="K8" s="915" t="e">
        <f>'Pricing Structure - GSS'!#REF!</f>
        <v>#REF!</v>
      </c>
      <c r="L8" s="915" t="e">
        <f>'Pricing Structure - GSS'!#REF!</f>
        <v>#REF!</v>
      </c>
      <c r="M8" s="915" t="e">
        <f>'Pricing Structure - GSS'!#REF!</f>
        <v>#REF!</v>
      </c>
      <c r="N8" s="916" t="e">
        <f>'Pricing Structure - GSS'!#REF!</f>
        <v>#REF!</v>
      </c>
      <c r="O8" s="915" t="e">
        <f>'P&amp;L by Ctn'!F$15-'P&amp;L by Ctn'!F$17</f>
        <v>#REF!</v>
      </c>
      <c r="P8" s="916" t="e">
        <f t="shared" si="0"/>
        <v>#REF!</v>
      </c>
    </row>
    <row r="9" spans="2:16" x14ac:dyDescent="0.45">
      <c r="B9" s="908" t="s">
        <v>282</v>
      </c>
      <c r="C9" s="909" t="s">
        <v>283</v>
      </c>
      <c r="D9" s="912" t="s">
        <v>254</v>
      </c>
      <c r="E9" s="910" t="s">
        <v>284</v>
      </c>
      <c r="F9" s="931">
        <v>5.74</v>
      </c>
      <c r="G9" s="931">
        <v>6.05</v>
      </c>
      <c r="H9" s="931">
        <f>'Pricing Structure - IIP'!$O$57</f>
        <v>0.75</v>
      </c>
      <c r="I9" s="931">
        <f>'Pricing Structure - IIP'!$O$92</f>
        <v>0.52500000000000002</v>
      </c>
      <c r="J9" s="917">
        <f>'Pricing Structure - GSS'!O32</f>
        <v>7.3377471611721807</v>
      </c>
      <c r="K9" s="918">
        <f>'Pricing Structure - GSS'!Q32</f>
        <v>7.5817115888202347</v>
      </c>
      <c r="L9" s="918">
        <f>'Pricing Structure - GSS'!S38</f>
        <v>7.1151219512195123</v>
      </c>
      <c r="M9" s="918">
        <f>'Pricing Structure - GSS'!$O48</f>
        <v>0.16312945679659566</v>
      </c>
      <c r="N9" s="919">
        <f>'Pricing Structure - GSS'!$O43</f>
        <v>9.4911628519284474E-2</v>
      </c>
      <c r="O9" s="918">
        <f>'P&amp;L by Ctn'!K$15-'P&amp;L by Ctn'!K$17</f>
        <v>0.64970925140004765</v>
      </c>
      <c r="P9" s="919">
        <f>O9/F9</f>
        <v>0.1131897650522731</v>
      </c>
    </row>
    <row r="10" spans="2:16" x14ac:dyDescent="0.45">
      <c r="B10" s="908" t="s">
        <v>8</v>
      </c>
      <c r="C10" s="908" t="s">
        <v>285</v>
      </c>
      <c r="D10" s="912" t="s">
        <v>254</v>
      </c>
      <c r="E10" s="910" t="s">
        <v>286</v>
      </c>
      <c r="F10" s="931">
        <v>5.8100000000000005</v>
      </c>
      <c r="G10" s="931">
        <v>6.2</v>
      </c>
      <c r="H10" s="931" t="e">
        <f>'Pricing Structure - IIP'!#REF!</f>
        <v>#REF!</v>
      </c>
      <c r="I10" s="931" t="e">
        <f>'Pricing Structure - IIP'!#REF!</f>
        <v>#REF!</v>
      </c>
      <c r="J10" s="917" t="e">
        <f>'Pricing Structure - GSS'!#REF!</f>
        <v>#REF!</v>
      </c>
      <c r="K10" s="918" t="e">
        <f>'Pricing Structure - GSS'!#REF!</f>
        <v>#REF!</v>
      </c>
      <c r="L10" s="918" t="e">
        <f>'Pricing Structure - GSS'!#REF!</f>
        <v>#REF!</v>
      </c>
      <c r="M10" s="918" t="e">
        <f>'Pricing Structure - GSS'!#REF!</f>
        <v>#REF!</v>
      </c>
      <c r="N10" s="919" t="e">
        <f>'Pricing Structure - GSS'!#REF!</f>
        <v>#REF!</v>
      </c>
      <c r="O10" s="918" t="e">
        <f>'P&amp;L by Ctn'!L$15-'P&amp;L by Ctn'!L$17</f>
        <v>#REF!</v>
      </c>
      <c r="P10" s="919" t="e">
        <f t="shared" ref="P10:P12" si="1">O10/F10</f>
        <v>#REF!</v>
      </c>
    </row>
    <row r="11" spans="2:16" x14ac:dyDescent="0.45">
      <c r="B11" s="908" t="s">
        <v>9</v>
      </c>
      <c r="C11" s="908" t="s">
        <v>285</v>
      </c>
      <c r="D11" s="912" t="s">
        <v>254</v>
      </c>
      <c r="E11" s="910" t="s">
        <v>287</v>
      </c>
      <c r="F11" s="931">
        <v>5.8100000000000005</v>
      </c>
      <c r="G11" s="931">
        <v>6.2</v>
      </c>
      <c r="H11" s="931" t="e">
        <f>'Pricing Structure - IIP'!#REF!</f>
        <v>#REF!</v>
      </c>
      <c r="I11" s="931" t="e">
        <f>'Pricing Structure - IIP'!#REF!</f>
        <v>#REF!</v>
      </c>
      <c r="J11" s="917" t="e">
        <f>'Pricing Structure - GSS'!#REF!</f>
        <v>#REF!</v>
      </c>
      <c r="K11" s="918" t="e">
        <f>'Pricing Structure - GSS'!#REF!</f>
        <v>#REF!</v>
      </c>
      <c r="L11" s="918" t="e">
        <f>'Pricing Structure - GSS'!#REF!</f>
        <v>#REF!</v>
      </c>
      <c r="M11" s="918" t="e">
        <f>'Pricing Structure - GSS'!#REF!</f>
        <v>#REF!</v>
      </c>
      <c r="N11" s="919" t="e">
        <f>'Pricing Structure - GSS'!#REF!</f>
        <v>#REF!</v>
      </c>
      <c r="O11" s="918" t="e">
        <f>'P&amp;L by Ctn'!L$15-'P&amp;L by Ctn'!L$17</f>
        <v>#REF!</v>
      </c>
      <c r="P11" s="919" t="e">
        <f t="shared" si="1"/>
        <v>#REF!</v>
      </c>
    </row>
    <row r="12" spans="2:16" x14ac:dyDescent="0.45">
      <c r="B12" s="908" t="s">
        <v>10</v>
      </c>
      <c r="C12" s="908" t="s">
        <v>285</v>
      </c>
      <c r="D12" s="912" t="s">
        <v>254</v>
      </c>
      <c r="E12" s="910" t="s">
        <v>288</v>
      </c>
      <c r="F12" s="931">
        <v>5.8100000000000005</v>
      </c>
      <c r="G12" s="931">
        <v>6.2</v>
      </c>
      <c r="H12" s="931" t="e">
        <f>'Pricing Structure - IIP'!#REF!</f>
        <v>#REF!</v>
      </c>
      <c r="I12" s="931" t="e">
        <f>'Pricing Structure - IIP'!#REF!</f>
        <v>#REF!</v>
      </c>
      <c r="J12" s="917" t="e">
        <f>'Pricing Structure - GSS'!#REF!</f>
        <v>#REF!</v>
      </c>
      <c r="K12" s="918" t="e">
        <f>'Pricing Structure - GSS'!#REF!</f>
        <v>#REF!</v>
      </c>
      <c r="L12" s="918" t="e">
        <f>'Pricing Structure - GSS'!#REF!</f>
        <v>#REF!</v>
      </c>
      <c r="M12" s="918" t="e">
        <f>'Pricing Structure - GSS'!#REF!</f>
        <v>#REF!</v>
      </c>
      <c r="N12" s="919" t="e">
        <f>'Pricing Structure - GSS'!#REF!</f>
        <v>#REF!</v>
      </c>
      <c r="O12" s="918" t="e">
        <f>'P&amp;L by Ctn'!L$15-'P&amp;L by Ctn'!L$17</f>
        <v>#REF!</v>
      </c>
      <c r="P12" s="919" t="e">
        <f t="shared" si="1"/>
        <v>#REF!</v>
      </c>
    </row>
    <row r="13" spans="2:16" x14ac:dyDescent="0.45">
      <c r="B13" s="900" t="s">
        <v>282</v>
      </c>
      <c r="C13" s="901" t="s">
        <v>283</v>
      </c>
      <c r="D13" s="913" t="s">
        <v>233</v>
      </c>
      <c r="E13" s="888" t="s">
        <v>289</v>
      </c>
      <c r="F13" s="932">
        <v>5.71</v>
      </c>
      <c r="G13" s="932">
        <v>6.05</v>
      </c>
      <c r="H13" s="932">
        <f>'Pricing Structure - IHAG'!$O$57</f>
        <v>0.63124075248361866</v>
      </c>
      <c r="I13" s="932">
        <f>'Pricing Structure - IHAG'!$O$92</f>
        <v>0</v>
      </c>
      <c r="J13" s="920">
        <f>'Pricing Structure - IHAG'!O32</f>
        <v>7.3946098544105521</v>
      </c>
      <c r="K13" s="921">
        <f>'Pricing Structure - IHAG'!Q32</f>
        <v>7.6358602806524916</v>
      </c>
      <c r="L13" s="921">
        <f>'Pricing Structure - IHAG'!S38</f>
        <v>7.1734426229508195</v>
      </c>
      <c r="M13" s="921">
        <f>'Pricing Structure - IHAG'!$O44</f>
        <v>0.55866998799711221</v>
      </c>
      <c r="N13" s="922">
        <f>'Pricing Structure - IHAG'!$O43</f>
        <v>7.5550975507367807E-2</v>
      </c>
      <c r="O13" s="921">
        <f>'P&amp;L by Ctn'!Q$15-'P&amp;L by Ctn'!Q$17</f>
        <v>-1.7194961463366076E-2</v>
      </c>
      <c r="P13" s="922">
        <f t="shared" si="0"/>
        <v>-3.0113767886805736E-3</v>
      </c>
    </row>
    <row r="14" spans="2:16" x14ac:dyDescent="0.45">
      <c r="B14" s="900" t="s">
        <v>8</v>
      </c>
      <c r="C14" s="900" t="s">
        <v>285</v>
      </c>
      <c r="D14" s="913" t="s">
        <v>233</v>
      </c>
      <c r="E14" s="888" t="s">
        <v>290</v>
      </c>
      <c r="F14" s="932">
        <v>6.03</v>
      </c>
      <c r="G14" s="932">
        <v>6.45</v>
      </c>
      <c r="H14" s="932" t="e">
        <f>'Pricing Structure - IHAG'!#REF!</f>
        <v>#REF!</v>
      </c>
      <c r="I14" s="932" t="e">
        <f>'Pricing Structure - IHAG'!#REF!</f>
        <v>#REF!</v>
      </c>
      <c r="J14" s="920" t="e">
        <f>'Pricing Structure - IHAG'!#REF!</f>
        <v>#REF!</v>
      </c>
      <c r="K14" s="921" t="e">
        <f>'Pricing Structure - IHAG'!#REF!</f>
        <v>#REF!</v>
      </c>
      <c r="L14" s="921" t="e">
        <f>'Pricing Structure - IHAG'!#REF!</f>
        <v>#REF!</v>
      </c>
      <c r="M14" s="921" t="e">
        <f>'Pricing Structure - IHAG'!#REF!</f>
        <v>#REF!</v>
      </c>
      <c r="N14" s="922" t="e">
        <f>'Pricing Structure - IHAG'!#REF!</f>
        <v>#REF!</v>
      </c>
      <c r="O14" s="921" t="e">
        <f>'P&amp;L by Ctn'!S$15-'P&amp;L by Ctn'!S$17</f>
        <v>#REF!</v>
      </c>
      <c r="P14" s="922" t="e">
        <f t="shared" si="0"/>
        <v>#REF!</v>
      </c>
    </row>
    <row r="15" spans="2:16" x14ac:dyDescent="0.45">
      <c r="B15" s="900" t="s">
        <v>9</v>
      </c>
      <c r="C15" s="900" t="s">
        <v>285</v>
      </c>
      <c r="D15" s="913" t="s">
        <v>233</v>
      </c>
      <c r="E15" s="888" t="s">
        <v>291</v>
      </c>
      <c r="F15" s="932">
        <v>6.03</v>
      </c>
      <c r="G15" s="932">
        <v>6.45</v>
      </c>
      <c r="H15" s="932" t="e">
        <f>'Pricing Structure - IHAG'!#REF!</f>
        <v>#REF!</v>
      </c>
      <c r="I15" s="932" t="e">
        <f>'Pricing Structure - IHAG'!#REF!</f>
        <v>#REF!</v>
      </c>
      <c r="J15" s="920" t="e">
        <f>'Pricing Structure - IHAG'!#REF!</f>
        <v>#REF!</v>
      </c>
      <c r="K15" s="921" t="e">
        <f>'Pricing Structure - IHAG'!#REF!</f>
        <v>#REF!</v>
      </c>
      <c r="L15" s="921" t="e">
        <f>'Pricing Structure - IHAG'!#REF!</f>
        <v>#REF!</v>
      </c>
      <c r="M15" s="921" t="e">
        <f>'Pricing Structure - IHAG'!#REF!</f>
        <v>#REF!</v>
      </c>
      <c r="N15" s="922" t="e">
        <f>'Pricing Structure - IHAG'!#REF!</f>
        <v>#REF!</v>
      </c>
      <c r="O15" s="921" t="e">
        <f>'P&amp;L by Ctn'!S$15-'P&amp;L by Ctn'!S$17</f>
        <v>#REF!</v>
      </c>
      <c r="P15" s="922" t="e">
        <f t="shared" si="0"/>
        <v>#REF!</v>
      </c>
    </row>
    <row r="16" spans="2:16" x14ac:dyDescent="0.45">
      <c r="B16" s="900" t="s">
        <v>10</v>
      </c>
      <c r="C16" s="900" t="s">
        <v>285</v>
      </c>
      <c r="D16" s="913" t="s">
        <v>233</v>
      </c>
      <c r="E16" s="888" t="s">
        <v>292</v>
      </c>
      <c r="F16" s="932">
        <v>6.03</v>
      </c>
      <c r="G16" s="932">
        <v>6.45</v>
      </c>
      <c r="H16" s="932" t="e">
        <f>'Pricing Structure - IHAG'!#REF!</f>
        <v>#REF!</v>
      </c>
      <c r="I16" s="932" t="e">
        <f>'Pricing Structure - IHAG'!#REF!</f>
        <v>#REF!</v>
      </c>
      <c r="J16" s="920" t="e">
        <f>'Pricing Structure - IHAG'!#REF!</f>
        <v>#REF!</v>
      </c>
      <c r="K16" s="921" t="e">
        <f>'Pricing Structure - IHAG'!#REF!</f>
        <v>#REF!</v>
      </c>
      <c r="L16" s="921" t="e">
        <f>'Pricing Structure - IHAG'!#REF!</f>
        <v>#REF!</v>
      </c>
      <c r="M16" s="921" t="e">
        <f>'Pricing Structure - IHAG'!#REF!</f>
        <v>#REF!</v>
      </c>
      <c r="N16" s="922" t="e">
        <f>'Pricing Structure - IHAG'!#REF!</f>
        <v>#REF!</v>
      </c>
      <c r="O16" s="921" t="e">
        <f>'P&amp;L by Ctn'!S$15-'P&amp;L by Ctn'!S$17</f>
        <v>#REF!</v>
      </c>
      <c r="P16" s="922" t="e">
        <f t="shared" si="0"/>
        <v>#REF!</v>
      </c>
    </row>
  </sheetData>
  <mergeCells count="2">
    <mergeCell ref="J3:L3"/>
    <mergeCell ref="M3:P3"/>
  </mergeCells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694F-E7BD-4EEB-8506-7CAD65BF8B44}">
  <dimension ref="B2:AA91"/>
  <sheetViews>
    <sheetView showGridLines="0" topLeftCell="F33" zoomScale="85" zoomScaleNormal="85" workbookViewId="0">
      <selection activeCell="U77" activeCellId="2" sqref="U84 U76 U77"/>
    </sheetView>
  </sheetViews>
  <sheetFormatPr defaultRowHeight="14.25" outlineLevelRow="1" outlineLevelCol="1" x14ac:dyDescent="0.45"/>
  <cols>
    <col min="2" max="2" width="20.59765625" bestFit="1" customWidth="1"/>
    <col min="3" max="3" width="13.265625" bestFit="1" customWidth="1"/>
    <col min="4" max="4" width="15" bestFit="1" customWidth="1"/>
    <col min="5" max="5" width="14.1328125" bestFit="1" customWidth="1"/>
    <col min="6" max="6" width="13.3984375" bestFit="1" customWidth="1"/>
    <col min="7" max="7" width="15.86328125" bestFit="1" customWidth="1"/>
    <col min="8" max="8" width="15.1328125" bestFit="1" customWidth="1"/>
    <col min="9" max="9" width="14.86328125" bestFit="1" customWidth="1"/>
    <col min="11" max="11" width="16.265625" bestFit="1" customWidth="1"/>
    <col min="12" max="12" width="13.3984375" bestFit="1" customWidth="1"/>
    <col min="13" max="13" width="16.265625" bestFit="1" customWidth="1"/>
    <col min="14" max="14" width="15" customWidth="1" outlineLevel="1"/>
    <col min="15" max="15" width="13.1328125" bestFit="1" customWidth="1" outlineLevel="1"/>
    <col min="16" max="16" width="16.265625" bestFit="1" customWidth="1" outlineLevel="1"/>
    <col min="17" max="17" width="13.59765625" bestFit="1" customWidth="1" outlineLevel="1"/>
    <col min="18" max="18" width="14.3984375" bestFit="1" customWidth="1" outlineLevel="1"/>
    <col min="19" max="19" width="12.59765625" customWidth="1"/>
    <col min="20" max="20" width="12.3984375" bestFit="1" customWidth="1"/>
    <col min="21" max="21" width="15.265625" bestFit="1" customWidth="1"/>
    <col min="22" max="22" width="11.59765625" bestFit="1" customWidth="1"/>
    <col min="23" max="23" width="12.265625" bestFit="1" customWidth="1"/>
    <col min="24" max="24" width="15.265625" bestFit="1" customWidth="1"/>
    <col min="25" max="25" width="11.59765625" bestFit="1" customWidth="1"/>
    <col min="26" max="26" width="12.59765625" bestFit="1" customWidth="1"/>
    <col min="29" max="29" width="10.59765625" bestFit="1" customWidth="1"/>
  </cols>
  <sheetData>
    <row r="2" spans="2:18" x14ac:dyDescent="0.45">
      <c r="B2" s="875"/>
      <c r="C2" s="1045">
        <v>-0.1</v>
      </c>
      <c r="D2" s="1045"/>
      <c r="E2" s="1045">
        <v>-0.2</v>
      </c>
      <c r="F2" s="1045"/>
      <c r="G2" s="1045"/>
      <c r="H2" s="1045"/>
      <c r="I2" s="876"/>
    </row>
    <row r="3" spans="2:18" x14ac:dyDescent="0.45">
      <c r="B3" t="s">
        <v>236</v>
      </c>
    </row>
    <row r="4" spans="2:18" x14ac:dyDescent="0.45">
      <c r="B4" s="865"/>
      <c r="C4" s="865" t="s">
        <v>293</v>
      </c>
      <c r="D4" s="865" t="s">
        <v>294</v>
      </c>
      <c r="E4" s="865" t="s">
        <v>295</v>
      </c>
      <c r="F4" s="865" t="s">
        <v>296</v>
      </c>
      <c r="G4" s="865" t="s">
        <v>297</v>
      </c>
      <c r="H4" s="865" t="s">
        <v>298</v>
      </c>
      <c r="I4" s="865" t="s">
        <v>201</v>
      </c>
      <c r="N4" t="s">
        <v>237</v>
      </c>
    </row>
    <row r="5" spans="2:18" x14ac:dyDescent="0.45">
      <c r="B5" s="865" t="s">
        <v>189</v>
      </c>
      <c r="C5" s="336"/>
      <c r="D5" s="336"/>
      <c r="E5" s="336"/>
      <c r="F5" s="336"/>
      <c r="G5" s="336"/>
      <c r="H5" s="336"/>
      <c r="I5" s="740">
        <f t="shared" ref="I5:I17" si="0">SUM(C5:H5)</f>
        <v>0</v>
      </c>
      <c r="N5" t="s">
        <v>238</v>
      </c>
    </row>
    <row r="6" spans="2:18" x14ac:dyDescent="0.45">
      <c r="B6" s="865" t="s">
        <v>190</v>
      </c>
      <c r="C6" s="336"/>
      <c r="D6" s="336"/>
      <c r="E6" s="336"/>
      <c r="F6" s="336"/>
      <c r="G6" s="336"/>
      <c r="H6" s="336"/>
      <c r="I6" s="740">
        <f t="shared" si="0"/>
        <v>0</v>
      </c>
    </row>
    <row r="7" spans="2:18" x14ac:dyDescent="0.45">
      <c r="B7" s="865" t="s">
        <v>191</v>
      </c>
      <c r="C7" s="336"/>
      <c r="D7" s="336"/>
      <c r="E7" s="336"/>
      <c r="F7" s="336"/>
      <c r="G7" s="336"/>
      <c r="H7" s="336"/>
      <c r="I7" s="740">
        <f t="shared" si="0"/>
        <v>0</v>
      </c>
      <c r="N7" s="871" t="s">
        <v>239</v>
      </c>
      <c r="O7" s="871" t="s">
        <v>240</v>
      </c>
      <c r="P7" s="871" t="s">
        <v>79</v>
      </c>
      <c r="Q7" s="1249" t="s">
        <v>175</v>
      </c>
      <c r="R7" s="1250"/>
    </row>
    <row r="8" spans="2:18" x14ac:dyDescent="0.45">
      <c r="B8" s="865" t="s">
        <v>192</v>
      </c>
      <c r="C8" s="336"/>
      <c r="D8" s="336"/>
      <c r="E8" s="336"/>
      <c r="F8" s="336"/>
      <c r="G8" s="336"/>
      <c r="H8" s="336"/>
      <c r="I8" s="740">
        <f t="shared" si="0"/>
        <v>0</v>
      </c>
      <c r="N8" s="326" t="s">
        <v>241</v>
      </c>
      <c r="O8" s="326" t="s">
        <v>242</v>
      </c>
      <c r="P8" s="326">
        <v>2987.2376435803112</v>
      </c>
      <c r="Q8" s="325"/>
      <c r="R8" s="325"/>
    </row>
    <row r="9" spans="2:18" x14ac:dyDescent="0.45">
      <c r="B9" s="865" t="s">
        <v>193</v>
      </c>
      <c r="C9" s="336"/>
      <c r="D9" s="336"/>
      <c r="E9" s="336"/>
      <c r="F9" s="336"/>
      <c r="G9" s="336"/>
      <c r="H9" s="336"/>
      <c r="I9" s="740">
        <f t="shared" si="0"/>
        <v>0</v>
      </c>
      <c r="N9" s="867" t="s">
        <v>241</v>
      </c>
      <c r="O9" s="867" t="s">
        <v>243</v>
      </c>
      <c r="P9" s="867">
        <f>'Pricing Structure - All SKU'!BN77</f>
        <v>3288.7304973245705</v>
      </c>
      <c r="Q9" s="869">
        <f>P9/P8-1</f>
        <v>0.1009269732497442</v>
      </c>
      <c r="R9" s="869"/>
    </row>
    <row r="10" spans="2:18" x14ac:dyDescent="0.45">
      <c r="B10" s="865" t="s">
        <v>194</v>
      </c>
      <c r="C10" s="336"/>
      <c r="D10" s="336"/>
      <c r="E10" s="336"/>
      <c r="F10" s="336"/>
      <c r="G10" s="336"/>
      <c r="H10" s="336"/>
      <c r="I10" s="740">
        <f t="shared" si="0"/>
        <v>0</v>
      </c>
      <c r="N10" s="326" t="s">
        <v>244</v>
      </c>
      <c r="O10" s="326" t="s">
        <v>242</v>
      </c>
      <c r="P10" s="326">
        <v>2925.9328552956576</v>
      </c>
      <c r="Q10" s="868"/>
      <c r="R10" s="868"/>
    </row>
    <row r="11" spans="2:18" x14ac:dyDescent="0.45">
      <c r="B11" s="865" t="s">
        <v>195</v>
      </c>
      <c r="C11" s="336"/>
      <c r="D11" s="336"/>
      <c r="E11" s="336"/>
      <c r="F11" s="336"/>
      <c r="G11" s="336"/>
      <c r="H11" s="336"/>
      <c r="I11" s="740">
        <f t="shared" si="0"/>
        <v>0</v>
      </c>
      <c r="N11" s="326" t="s">
        <v>244</v>
      </c>
      <c r="O11" s="872" t="s">
        <v>245</v>
      </c>
      <c r="P11" s="326">
        <v>3120.8569665914602</v>
      </c>
      <c r="Q11" s="868">
        <f>P11/P10-1</f>
        <v>6.6619475201903144E-2</v>
      </c>
      <c r="R11" s="868"/>
    </row>
    <row r="12" spans="2:18" x14ac:dyDescent="0.45">
      <c r="B12" s="865" t="s">
        <v>196</v>
      </c>
      <c r="C12" s="336"/>
      <c r="D12" s="336"/>
      <c r="E12" s="336"/>
      <c r="F12" s="336"/>
      <c r="G12" s="336"/>
      <c r="H12" s="336"/>
      <c r="I12" s="740">
        <f t="shared" si="0"/>
        <v>0</v>
      </c>
      <c r="N12" s="867" t="s">
        <v>244</v>
      </c>
      <c r="O12" s="867" t="s">
        <v>246</v>
      </c>
      <c r="P12" s="867">
        <f>'Pricing Structure - All SKU'!BV77</f>
        <v>3553.3705699351972</v>
      </c>
      <c r="Q12" s="869">
        <f>P12/P11-1</f>
        <v>0.13858808909660469</v>
      </c>
      <c r="R12" s="869">
        <f>P12/P10-1</f>
        <v>0.21444023006335833</v>
      </c>
    </row>
    <row r="13" spans="2:18" x14ac:dyDescent="0.45">
      <c r="B13" s="865" t="s">
        <v>197</v>
      </c>
      <c r="C13" s="336"/>
      <c r="D13" s="336"/>
      <c r="E13" s="336"/>
      <c r="F13" s="336"/>
      <c r="G13" s="336"/>
      <c r="H13" s="336"/>
      <c r="I13" s="740">
        <f t="shared" si="0"/>
        <v>0</v>
      </c>
    </row>
    <row r="14" spans="2:18" x14ac:dyDescent="0.45">
      <c r="B14" s="865" t="s">
        <v>198</v>
      </c>
      <c r="C14" s="336"/>
      <c r="D14" s="336"/>
      <c r="E14" s="336"/>
      <c r="F14" s="336"/>
      <c r="G14" s="336"/>
      <c r="H14" s="336"/>
      <c r="I14" s="740">
        <f t="shared" si="0"/>
        <v>0</v>
      </c>
    </row>
    <row r="15" spans="2:18" x14ac:dyDescent="0.45">
      <c r="B15" s="865" t="s">
        <v>199</v>
      </c>
      <c r="C15" s="336"/>
      <c r="D15" s="336"/>
      <c r="E15" s="336"/>
      <c r="F15" s="336"/>
      <c r="G15" s="336"/>
      <c r="H15" s="336"/>
      <c r="I15" s="740">
        <f t="shared" si="0"/>
        <v>0</v>
      </c>
    </row>
    <row r="16" spans="2:18" x14ac:dyDescent="0.45">
      <c r="B16" s="865" t="s">
        <v>200</v>
      </c>
      <c r="C16" s="336"/>
      <c r="D16" s="336"/>
      <c r="E16" s="336"/>
      <c r="F16" s="336"/>
      <c r="G16" s="336"/>
      <c r="H16" s="336"/>
      <c r="I16" s="740">
        <f t="shared" si="0"/>
        <v>0</v>
      </c>
    </row>
    <row r="17" spans="2:9" x14ac:dyDescent="0.45">
      <c r="B17" s="739" t="s">
        <v>201</v>
      </c>
      <c r="C17" s="740">
        <f t="shared" ref="C17:H17" si="1">SUM(C5:C16)</f>
        <v>0</v>
      </c>
      <c r="D17" s="740">
        <f t="shared" si="1"/>
        <v>0</v>
      </c>
      <c r="E17" s="740">
        <f t="shared" si="1"/>
        <v>0</v>
      </c>
      <c r="F17" s="740">
        <f t="shared" si="1"/>
        <v>0</v>
      </c>
      <c r="G17" s="740">
        <f t="shared" si="1"/>
        <v>0</v>
      </c>
      <c r="H17" s="740">
        <f t="shared" si="1"/>
        <v>0</v>
      </c>
      <c r="I17" s="740">
        <f t="shared" si="0"/>
        <v>0</v>
      </c>
    </row>
    <row r="18" spans="2:9" x14ac:dyDescent="0.45">
      <c r="C18" s="412"/>
      <c r="D18" s="412"/>
      <c r="E18" s="412"/>
      <c r="F18" s="412"/>
      <c r="G18" s="412"/>
      <c r="H18" s="412"/>
      <c r="I18" s="412"/>
    </row>
    <row r="19" spans="2:9" x14ac:dyDescent="0.45">
      <c r="B19" s="865"/>
      <c r="C19" s="865" t="s">
        <v>293</v>
      </c>
      <c r="D19" s="865" t="s">
        <v>294</v>
      </c>
      <c r="E19" s="865" t="s">
        <v>295</v>
      </c>
      <c r="F19" s="865" t="s">
        <v>296</v>
      </c>
      <c r="G19" s="865" t="s">
        <v>297</v>
      </c>
      <c r="H19" s="865" t="s">
        <v>298</v>
      </c>
      <c r="I19" s="865" t="s">
        <v>201</v>
      </c>
    </row>
    <row r="20" spans="2:9" x14ac:dyDescent="0.45">
      <c r="B20" s="865" t="s">
        <v>189</v>
      </c>
      <c r="C20" s="336"/>
      <c r="D20" s="336"/>
      <c r="E20" s="336"/>
      <c r="F20" s="336"/>
      <c r="G20" s="336"/>
      <c r="H20" s="336"/>
      <c r="I20" s="740">
        <f t="shared" ref="I20:I32" si="2">SUM(C20:H20)</f>
        <v>0</v>
      </c>
    </row>
    <row r="21" spans="2:9" x14ac:dyDescent="0.45">
      <c r="B21" s="865" t="s">
        <v>190</v>
      </c>
      <c r="C21" s="336"/>
      <c r="D21" s="336"/>
      <c r="E21" s="336"/>
      <c r="F21" s="336"/>
      <c r="G21" s="336"/>
      <c r="H21" s="336"/>
      <c r="I21" s="740">
        <f t="shared" si="2"/>
        <v>0</v>
      </c>
    </row>
    <row r="22" spans="2:9" x14ac:dyDescent="0.45">
      <c r="B22" s="865" t="s">
        <v>191</v>
      </c>
      <c r="C22" s="336"/>
      <c r="D22" s="336"/>
      <c r="E22" s="336"/>
      <c r="F22" s="336"/>
      <c r="G22" s="336"/>
      <c r="H22" s="336"/>
      <c r="I22" s="740">
        <f t="shared" si="2"/>
        <v>0</v>
      </c>
    </row>
    <row r="23" spans="2:9" x14ac:dyDescent="0.45">
      <c r="B23" s="865" t="s">
        <v>192</v>
      </c>
      <c r="C23" s="336"/>
      <c r="D23" s="336"/>
      <c r="E23" s="336"/>
      <c r="F23" s="336"/>
      <c r="G23" s="336"/>
      <c r="H23" s="336"/>
      <c r="I23" s="740">
        <f t="shared" si="2"/>
        <v>0</v>
      </c>
    </row>
    <row r="24" spans="2:9" x14ac:dyDescent="0.45">
      <c r="B24" s="865" t="s">
        <v>193</v>
      </c>
      <c r="C24" s="336"/>
      <c r="D24" s="336"/>
      <c r="E24" s="336"/>
      <c r="F24" s="336"/>
      <c r="G24" s="336"/>
      <c r="H24" s="336"/>
      <c r="I24" s="740">
        <f t="shared" si="2"/>
        <v>0</v>
      </c>
    </row>
    <row r="25" spans="2:9" x14ac:dyDescent="0.45">
      <c r="B25" s="865" t="s">
        <v>194</v>
      </c>
      <c r="C25" s="336"/>
      <c r="D25" s="336"/>
      <c r="E25" s="336"/>
      <c r="F25" s="336"/>
      <c r="G25" s="336"/>
      <c r="H25" s="336"/>
      <c r="I25" s="740">
        <f t="shared" si="2"/>
        <v>0</v>
      </c>
    </row>
    <row r="26" spans="2:9" x14ac:dyDescent="0.45">
      <c r="B26" s="865" t="s">
        <v>195</v>
      </c>
      <c r="C26" s="336"/>
      <c r="D26" s="336"/>
      <c r="E26" s="336"/>
      <c r="F26" s="336"/>
      <c r="G26" s="336"/>
      <c r="H26" s="336"/>
      <c r="I26" s="740">
        <f t="shared" si="2"/>
        <v>0</v>
      </c>
    </row>
    <row r="27" spans="2:9" x14ac:dyDescent="0.45">
      <c r="B27" s="865" t="s">
        <v>196</v>
      </c>
      <c r="C27" s="336"/>
      <c r="D27" s="336"/>
      <c r="E27" s="336"/>
      <c r="F27" s="336"/>
      <c r="G27" s="336"/>
      <c r="H27" s="336"/>
      <c r="I27" s="740">
        <f t="shared" si="2"/>
        <v>0</v>
      </c>
    </row>
    <row r="28" spans="2:9" x14ac:dyDescent="0.45">
      <c r="B28" s="865" t="s">
        <v>197</v>
      </c>
      <c r="C28" s="336"/>
      <c r="D28" s="336"/>
      <c r="E28" s="336"/>
      <c r="F28" s="336"/>
      <c r="G28" s="336"/>
      <c r="H28" s="336"/>
      <c r="I28" s="740">
        <f t="shared" si="2"/>
        <v>0</v>
      </c>
    </row>
    <row r="29" spans="2:9" x14ac:dyDescent="0.45">
      <c r="B29" s="865" t="s">
        <v>198</v>
      </c>
      <c r="C29" s="336"/>
      <c r="D29" s="336"/>
      <c r="E29" s="336"/>
      <c r="F29" s="336"/>
      <c r="G29" s="336"/>
      <c r="H29" s="336"/>
      <c r="I29" s="740">
        <f t="shared" si="2"/>
        <v>0</v>
      </c>
    </row>
    <row r="30" spans="2:9" x14ac:dyDescent="0.45">
      <c r="B30" s="865" t="s">
        <v>199</v>
      </c>
      <c r="C30" s="336"/>
      <c r="D30" s="336"/>
      <c r="E30" s="336"/>
      <c r="F30" s="336"/>
      <c r="G30" s="336"/>
      <c r="H30" s="336"/>
      <c r="I30" s="740">
        <f t="shared" si="2"/>
        <v>0</v>
      </c>
    </row>
    <row r="31" spans="2:9" x14ac:dyDescent="0.45">
      <c r="B31" s="865" t="s">
        <v>200</v>
      </c>
      <c r="C31" s="336"/>
      <c r="D31" s="336"/>
      <c r="E31" s="336"/>
      <c r="F31" s="336"/>
      <c r="G31" s="336"/>
      <c r="H31" s="336"/>
      <c r="I31" s="740">
        <f t="shared" si="2"/>
        <v>0</v>
      </c>
    </row>
    <row r="32" spans="2:9" x14ac:dyDescent="0.45">
      <c r="B32" s="739" t="s">
        <v>201</v>
      </c>
      <c r="C32" s="740">
        <f t="shared" ref="C32:H32" si="3">SUM(C20:C31)</f>
        <v>0</v>
      </c>
      <c r="D32" s="740">
        <f t="shared" si="3"/>
        <v>0</v>
      </c>
      <c r="E32" s="740">
        <f t="shared" si="3"/>
        <v>0</v>
      </c>
      <c r="F32" s="740">
        <f t="shared" si="3"/>
        <v>0</v>
      </c>
      <c r="G32" s="740">
        <f t="shared" si="3"/>
        <v>0</v>
      </c>
      <c r="H32" s="740">
        <f t="shared" si="3"/>
        <v>0</v>
      </c>
      <c r="I32" s="740">
        <f t="shared" si="2"/>
        <v>0</v>
      </c>
    </row>
    <row r="33" spans="2:16" x14ac:dyDescent="0.45">
      <c r="C33" s="881"/>
      <c r="D33" s="881"/>
      <c r="E33" s="881"/>
      <c r="F33" s="881"/>
      <c r="G33" s="881"/>
      <c r="H33" s="881"/>
      <c r="I33" s="881"/>
    </row>
    <row r="34" spans="2:16" hidden="1" outlineLevel="1" x14ac:dyDescent="0.45">
      <c r="B34" t="s">
        <v>299</v>
      </c>
      <c r="C34" s="881"/>
      <c r="D34" s="881"/>
      <c r="E34" s="881"/>
      <c r="F34" s="881"/>
      <c r="G34" s="881"/>
      <c r="H34" s="881"/>
      <c r="I34" s="881"/>
    </row>
    <row r="35" spans="2:16" hidden="1" outlineLevel="1" x14ac:dyDescent="0.45">
      <c r="B35" s="882"/>
      <c r="C35" s="882" t="s">
        <v>293</v>
      </c>
      <c r="D35" s="882" t="s">
        <v>294</v>
      </c>
      <c r="E35" s="882" t="s">
        <v>295</v>
      </c>
      <c r="F35" s="882" t="s">
        <v>296</v>
      </c>
      <c r="G35" s="882" t="s">
        <v>297</v>
      </c>
      <c r="H35" s="882" t="s">
        <v>298</v>
      </c>
      <c r="I35" s="882" t="s">
        <v>201</v>
      </c>
    </row>
    <row r="36" spans="2:16" hidden="1" outlineLevel="1" x14ac:dyDescent="0.45">
      <c r="B36" s="882" t="s">
        <v>189</v>
      </c>
      <c r="C36" s="328">
        <f>C69/C$82</f>
        <v>8.3540661179252615E-2</v>
      </c>
      <c r="D36" s="328">
        <f t="shared" ref="D36:H36" si="4">D69/D$82</f>
        <v>7.7180442500887597E-2</v>
      </c>
      <c r="E36" s="328">
        <f t="shared" si="4"/>
        <v>6.6452218668921662E-2</v>
      </c>
      <c r="F36" s="328">
        <f t="shared" si="4"/>
        <v>7.2961086420399265E-2</v>
      </c>
      <c r="G36" s="328">
        <f t="shared" si="4"/>
        <v>7.9655656668605787E-2</v>
      </c>
      <c r="H36" s="328">
        <f t="shared" si="4"/>
        <v>9.1956784896601862E-2</v>
      </c>
      <c r="I36" s="1048">
        <f t="shared" ref="I36:I48" si="5">SUM(C36:H36)</f>
        <v>0.47174685033466879</v>
      </c>
    </row>
    <row r="37" spans="2:16" hidden="1" outlineLevel="1" x14ac:dyDescent="0.45">
      <c r="B37" s="882" t="s">
        <v>190</v>
      </c>
      <c r="C37" s="328">
        <f t="shared" ref="C37:H37" si="6">C70/C$82</f>
        <v>6.5700565556208318E-2</v>
      </c>
      <c r="D37" s="328">
        <f t="shared" si="6"/>
        <v>6.5783440287124323E-2</v>
      </c>
      <c r="E37" s="328">
        <f t="shared" si="6"/>
        <v>0.10000774898785521</v>
      </c>
      <c r="F37" s="328">
        <f t="shared" si="6"/>
        <v>8.0895373187341649E-2</v>
      </c>
      <c r="G37" s="328">
        <f t="shared" si="6"/>
        <v>4.7000140179197528E-2</v>
      </c>
      <c r="H37" s="328">
        <f t="shared" si="6"/>
        <v>6.2839084588475605E-2</v>
      </c>
      <c r="I37" s="1048">
        <f t="shared" si="5"/>
        <v>0.42222635278620257</v>
      </c>
    </row>
    <row r="38" spans="2:16" hidden="1" outlineLevel="1" x14ac:dyDescent="0.45">
      <c r="B38" s="882" t="s">
        <v>191</v>
      </c>
      <c r="C38" s="328">
        <v>0.11147098340518403</v>
      </c>
      <c r="D38" s="328">
        <v>0.1027655250730564</v>
      </c>
      <c r="E38" s="328">
        <v>9.0049472234120159E-2</v>
      </c>
      <c r="F38" s="328">
        <v>0.10643031499998627</v>
      </c>
      <c r="G38" s="328">
        <v>0.1094123927248679</v>
      </c>
      <c r="H38" s="328">
        <v>0.11076065730084317</v>
      </c>
      <c r="I38" s="1048">
        <f t="shared" si="5"/>
        <v>0.63088934573805788</v>
      </c>
    </row>
    <row r="39" spans="2:16" hidden="1" outlineLevel="1" x14ac:dyDescent="0.45">
      <c r="B39" s="882" t="s">
        <v>192</v>
      </c>
      <c r="C39" s="328">
        <v>6.0442073653645866E-2</v>
      </c>
      <c r="D39" s="328">
        <v>6.1134102423951939E-2</v>
      </c>
      <c r="E39" s="328">
        <v>6.8374513363156586E-2</v>
      </c>
      <c r="F39" s="328">
        <v>5.1523081191167094E-2</v>
      </c>
      <c r="G39" s="328">
        <v>6.8402027379954974E-2</v>
      </c>
      <c r="H39" s="328">
        <v>4.9394615711969875E-2</v>
      </c>
      <c r="I39" s="1048">
        <f t="shared" si="5"/>
        <v>0.35927041372384638</v>
      </c>
    </row>
    <row r="40" spans="2:16" hidden="1" outlineLevel="1" x14ac:dyDescent="0.45">
      <c r="B40" s="882" t="s">
        <v>193</v>
      </c>
      <c r="C40" s="328">
        <v>5.8630272049350521E-2</v>
      </c>
      <c r="D40" s="328">
        <v>5.136593876127158E-2</v>
      </c>
      <c r="E40" s="328">
        <v>4.7119394791663029E-2</v>
      </c>
      <c r="F40" s="328">
        <v>5.8267390028832973E-2</v>
      </c>
      <c r="G40" s="328">
        <v>4.7457784186222859E-2</v>
      </c>
      <c r="H40" s="328">
        <v>4.9180318192669846E-2</v>
      </c>
      <c r="I40" s="1048">
        <f t="shared" si="5"/>
        <v>0.31202109801001077</v>
      </c>
    </row>
    <row r="41" spans="2:16" hidden="1" outlineLevel="1" x14ac:dyDescent="0.45">
      <c r="B41" s="882" t="s">
        <v>194</v>
      </c>
      <c r="C41" s="328">
        <v>7.5721097774618523E-2</v>
      </c>
      <c r="D41" s="328">
        <v>8.1759242725689713E-2</v>
      </c>
      <c r="E41" s="328">
        <v>8.2973066185293903E-2</v>
      </c>
      <c r="F41" s="328">
        <v>9.4215152361775314E-2</v>
      </c>
      <c r="G41" s="328">
        <v>7.2037727492535855E-2</v>
      </c>
      <c r="H41" s="328">
        <v>6.2200379115420673E-2</v>
      </c>
      <c r="I41" s="1048">
        <f t="shared" si="5"/>
        <v>0.46890666565533401</v>
      </c>
    </row>
    <row r="42" spans="2:16" hidden="1" outlineLevel="1" x14ac:dyDescent="0.45">
      <c r="B42" s="882" t="s">
        <v>195</v>
      </c>
      <c r="C42" s="328">
        <v>8.173000556449822E-2</v>
      </c>
      <c r="D42" s="328">
        <v>7.6306436209364684E-2</v>
      </c>
      <c r="E42" s="328">
        <v>7.4113930900413155E-2</v>
      </c>
      <c r="F42" s="328">
        <v>8.7159803926059515E-2</v>
      </c>
      <c r="G42" s="328">
        <v>9.778062861504884E-2</v>
      </c>
      <c r="H42" s="328">
        <v>8.4380165893797571E-2</v>
      </c>
      <c r="I42" s="1048">
        <f t="shared" si="5"/>
        <v>0.50147097110918193</v>
      </c>
    </row>
    <row r="43" spans="2:16" hidden="1" outlineLevel="1" x14ac:dyDescent="0.45">
      <c r="B43" s="882" t="s">
        <v>196</v>
      </c>
      <c r="C43" s="328">
        <v>7.3785934555881644E-2</v>
      </c>
      <c r="D43" s="328">
        <v>8.8851688408919827E-2</v>
      </c>
      <c r="E43" s="328">
        <v>7.3557828278606296E-2</v>
      </c>
      <c r="F43" s="328">
        <v>5.0383738140974958E-2</v>
      </c>
      <c r="G43" s="328">
        <v>6.4003088427790206E-2</v>
      </c>
      <c r="H43" s="328">
        <v>7.9210897130811489E-2</v>
      </c>
      <c r="I43" s="1048">
        <f t="shared" si="5"/>
        <v>0.42979317494298436</v>
      </c>
    </row>
    <row r="44" spans="2:16" hidden="1" outlineLevel="1" x14ac:dyDescent="0.45">
      <c r="B44" s="882" t="s">
        <v>197</v>
      </c>
      <c r="C44" s="328">
        <v>9.8574852597618765E-2</v>
      </c>
      <c r="D44" s="328">
        <v>0.10192626138964356</v>
      </c>
      <c r="E44" s="328">
        <v>0.10402788577550015</v>
      </c>
      <c r="F44" s="328">
        <v>0.11296232573412592</v>
      </c>
      <c r="G44" s="328">
        <v>0.11195777330918512</v>
      </c>
      <c r="H44" s="328">
        <v>0.10759050307917926</v>
      </c>
      <c r="I44" s="1048">
        <f t="shared" si="5"/>
        <v>0.63703960188525277</v>
      </c>
    </row>
    <row r="45" spans="2:16" hidden="1" outlineLevel="1" x14ac:dyDescent="0.45">
      <c r="B45" s="882" t="s">
        <v>198</v>
      </c>
      <c r="C45" s="328">
        <v>8.7433709297275133E-2</v>
      </c>
      <c r="D45" s="328">
        <v>0.10144135848347122</v>
      </c>
      <c r="E45" s="328">
        <v>8.8422950511003795E-2</v>
      </c>
      <c r="F45" s="328">
        <v>9.1149567794847106E-2</v>
      </c>
      <c r="G45" s="328">
        <v>0.12614406836817199</v>
      </c>
      <c r="H45" s="328">
        <v>0.11504366609628208</v>
      </c>
      <c r="I45" s="1048">
        <f t="shared" si="5"/>
        <v>0.60963532055105141</v>
      </c>
    </row>
    <row r="46" spans="2:16" hidden="1" outlineLevel="1" x14ac:dyDescent="0.45">
      <c r="B46" s="882" t="s">
        <v>199</v>
      </c>
      <c r="C46" s="328">
        <v>8.0775233617248782E-2</v>
      </c>
      <c r="D46" s="328">
        <v>7.9773789091964586E-2</v>
      </c>
      <c r="E46" s="328">
        <v>8.3547279352265552E-2</v>
      </c>
      <c r="F46" s="328">
        <v>7.5554616504800068E-2</v>
      </c>
      <c r="G46" s="328">
        <v>6.7644664509956529E-2</v>
      </c>
      <c r="H46" s="328">
        <v>7.8622052390914868E-2</v>
      </c>
      <c r="I46" s="1048">
        <f t="shared" si="5"/>
        <v>0.46591763546715037</v>
      </c>
    </row>
    <row r="47" spans="2:16" hidden="1" outlineLevel="1" x14ac:dyDescent="0.45">
      <c r="B47" s="882" t="s">
        <v>200</v>
      </c>
      <c r="C47" s="328">
        <v>0.12202897902331626</v>
      </c>
      <c r="D47" s="328">
        <v>0.11462268149127355</v>
      </c>
      <c r="E47" s="328">
        <v>0.12271991319424908</v>
      </c>
      <c r="F47" s="328">
        <v>0.12153576431324811</v>
      </c>
      <c r="G47" s="328">
        <v>0.11420360476852523</v>
      </c>
      <c r="H47" s="328">
        <v>0.11942903344182035</v>
      </c>
      <c r="I47" s="1048">
        <f t="shared" si="5"/>
        <v>0.71453997623243248</v>
      </c>
      <c r="K47" s="1049">
        <f t="shared" ref="K47:P47" si="7">(1-C48)/6</f>
        <v>2.7605287650223076E-5</v>
      </c>
      <c r="L47" s="1049">
        <f t="shared" si="7"/>
        <v>-4.8515114110322016E-4</v>
      </c>
      <c r="M47" s="1049">
        <f t="shared" si="7"/>
        <v>-2.2770037384141814E-4</v>
      </c>
      <c r="N47" s="1049">
        <f t="shared" si="7"/>
        <v>-5.0636910059305895E-4</v>
      </c>
      <c r="O47" s="1049">
        <f t="shared" si="7"/>
        <v>-9.4992610501047159E-4</v>
      </c>
      <c r="P47" s="1049">
        <f t="shared" si="7"/>
        <v>-1.7680263064644801E-3</v>
      </c>
    </row>
    <row r="48" spans="2:16" hidden="1" outlineLevel="1" x14ac:dyDescent="0.45">
      <c r="B48" s="739" t="s">
        <v>201</v>
      </c>
      <c r="C48" s="1048">
        <f t="shared" ref="C48" si="8">SUM(C36:C47)</f>
        <v>0.99983436827409866</v>
      </c>
      <c r="D48" s="1048">
        <f t="shared" ref="D48" si="9">SUM(D36:D47)</f>
        <v>1.0029109068466193</v>
      </c>
      <c r="E48" s="1048">
        <f t="shared" ref="E48" si="10">SUM(E36:E47)</f>
        <v>1.0013662022430485</v>
      </c>
      <c r="F48" s="1048">
        <f t="shared" ref="F48" si="11">SUM(F36:F47)</f>
        <v>1.0030382146035584</v>
      </c>
      <c r="G48" s="1048">
        <f t="shared" ref="G48" si="12">SUM(G36:G47)</f>
        <v>1.0056995566300628</v>
      </c>
      <c r="H48" s="1048">
        <f t="shared" ref="H48" si="13">SUM(H36:H47)</f>
        <v>1.0106081578387869</v>
      </c>
      <c r="I48" s="1048">
        <f t="shared" si="5"/>
        <v>6.023457406436175</v>
      </c>
      <c r="K48" s="1049"/>
    </row>
    <row r="49" spans="2:25" hidden="1" outlineLevel="1" x14ac:dyDescent="0.45">
      <c r="K49" s="1049"/>
    </row>
    <row r="50" spans="2:25" collapsed="1" x14ac:dyDescent="0.45">
      <c r="B50" t="s">
        <v>247</v>
      </c>
      <c r="C50" s="881"/>
      <c r="D50" s="881"/>
      <c r="E50" s="881"/>
      <c r="F50" s="881"/>
      <c r="G50" s="881"/>
      <c r="H50" s="881"/>
      <c r="I50" s="881"/>
    </row>
    <row r="51" spans="2:25" x14ac:dyDescent="0.45">
      <c r="B51" s="882"/>
      <c r="C51" s="882" t="s">
        <v>293</v>
      </c>
      <c r="D51" s="882" t="s">
        <v>294</v>
      </c>
      <c r="E51" s="882" t="s">
        <v>295</v>
      </c>
      <c r="F51" s="882" t="s">
        <v>296</v>
      </c>
      <c r="G51" s="882" t="s">
        <v>297</v>
      </c>
      <c r="H51" s="882" t="s">
        <v>298</v>
      </c>
      <c r="I51" s="882" t="s">
        <v>201</v>
      </c>
      <c r="K51" s="1041" t="s">
        <v>300</v>
      </c>
      <c r="L51" s="1042" t="s">
        <v>301</v>
      </c>
    </row>
    <row r="52" spans="2:25" x14ac:dyDescent="0.45">
      <c r="B52" s="882" t="s">
        <v>189</v>
      </c>
      <c r="C52" s="336">
        <f>C69*VLOOKUP(C$51,Table4[#All],2,0)</f>
        <v>5657022.846195152</v>
      </c>
      <c r="D52" s="336">
        <f>D69*VLOOKUP(D$51,Table4[#All],2,0)</f>
        <v>1530200</v>
      </c>
      <c r="E52" s="336">
        <f>E69*VLOOKUP(E$51,Table4[#All],2,0)</f>
        <v>836465.70832311607</v>
      </c>
      <c r="F52" s="336">
        <f>F69*VLOOKUP(F$51,Table4[#All],2,0)</f>
        <v>634659.14817765774</v>
      </c>
      <c r="G52" s="336">
        <f>G69*VLOOKUP(G$51,Table4[#All],2,0)</f>
        <v>535156.40410947194</v>
      </c>
      <c r="H52" s="336">
        <f>H69*VLOOKUP(H$51,Table4[#All],2,0)</f>
        <v>2363140</v>
      </c>
      <c r="I52" s="740">
        <f t="shared" ref="I52:I63" si="14">SUM(C52:H52)</f>
        <v>11556644.106805399</v>
      </c>
      <c r="K52" s="1039" t="s">
        <v>293</v>
      </c>
      <c r="L52" s="1046">
        <v>39.629844915986013</v>
      </c>
    </row>
    <row r="53" spans="2:25" x14ac:dyDescent="0.45">
      <c r="B53" s="882" t="s">
        <v>190</v>
      </c>
      <c r="C53" s="336">
        <f>C70*VLOOKUP(C$51,Table4[#All],2,0)</f>
        <v>4448966.4686986841</v>
      </c>
      <c r="D53" s="336">
        <f>D70*VLOOKUP(D$51,Table4[#All],2,0)</f>
        <v>1304240</v>
      </c>
      <c r="E53" s="336">
        <f>E70*VLOOKUP(E$51,Table4[#All],2,0)</f>
        <v>1258845.141223998</v>
      </c>
      <c r="F53" s="336">
        <f>F70*VLOOKUP(F$51,Table4[#All],2,0)</f>
        <v>703676.31784931174</v>
      </c>
      <c r="G53" s="336">
        <f>G70*VLOOKUP(G$51,Table4[#All],2,0)</f>
        <v>315764.46749517083</v>
      </c>
      <c r="H53" s="336">
        <f>H70*VLOOKUP(H$51,Table4[#All],2,0)</f>
        <v>1614862.4</v>
      </c>
      <c r="I53" s="740">
        <f t="shared" si="14"/>
        <v>9646354.7952671647</v>
      </c>
      <c r="K53" s="1039" t="s">
        <v>294</v>
      </c>
      <c r="L53" s="1046">
        <v>40</v>
      </c>
    </row>
    <row r="54" spans="2:25" x14ac:dyDescent="0.45">
      <c r="B54" s="882" t="s">
        <v>191</v>
      </c>
      <c r="C54" s="336">
        <f>C71*VLOOKUP(C$51,Table4[#All],2,0)</f>
        <v>5963153.2107885443</v>
      </c>
      <c r="D54" s="336">
        <f>D71*VLOOKUP(D$51,Table4[#All],2,0)</f>
        <v>1677456.6583365013</v>
      </c>
      <c r="E54" s="336">
        <f>E71*VLOOKUP(E$51,Table4[#All],2,0)</f>
        <v>1133495.5714829015</v>
      </c>
      <c r="F54" s="336">
        <f>F71*VLOOKUP(F$51,Table4[#All],2,0)</f>
        <v>826402.27691988694</v>
      </c>
      <c r="G54" s="336">
        <f>G71*VLOOKUP(G$51,Table4[#All],2,0)</f>
        <v>595142.17710961984</v>
      </c>
      <c r="H54" s="336">
        <f>H71*VLOOKUP(H$51,Table4[#All],2,0)</f>
        <v>2406368.9763427875</v>
      </c>
      <c r="I54" s="740">
        <f t="shared" si="14"/>
        <v>12602018.87098024</v>
      </c>
      <c r="K54" s="1039" t="s">
        <v>295</v>
      </c>
      <c r="L54" s="1046">
        <v>39.832648792738688</v>
      </c>
    </row>
    <row r="55" spans="2:25" x14ac:dyDescent="0.45">
      <c r="B55" s="882" t="s">
        <v>192</v>
      </c>
      <c r="C55" s="336">
        <f>C72*VLOOKUP(C$51,Table4[#All],2,0)</f>
        <v>5043999.7517740456</v>
      </c>
      <c r="D55" s="336">
        <f>D72*VLOOKUP(D$51,Table4[#All],2,0)</f>
        <v>1372060.9897780186</v>
      </c>
      <c r="E55" s="336">
        <f>E72*VLOOKUP(E$51,Table4[#All],2,0)</f>
        <v>860662.54667143407</v>
      </c>
      <c r="F55" s="336">
        <f>F72*VLOOKUP(F$51,Table4[#All],2,0)</f>
        <v>487935.45453350962</v>
      </c>
      <c r="G55" s="336">
        <f>G72*VLOOKUP(G$51,Table4[#All],2,0)</f>
        <v>499530.63356473716</v>
      </c>
      <c r="H55" s="336">
        <f>H72*VLOOKUP(H$51,Table4[#All],2,0)</f>
        <v>1429361.3886657096</v>
      </c>
      <c r="I55" s="740">
        <f t="shared" si="14"/>
        <v>9693550.7649874557</v>
      </c>
      <c r="K55" s="1039" t="s">
        <v>296</v>
      </c>
      <c r="L55" s="1046">
        <v>39.756892171369543</v>
      </c>
    </row>
    <row r="56" spans="2:25" x14ac:dyDescent="0.45">
      <c r="B56" s="882" t="s">
        <v>193</v>
      </c>
      <c r="C56" s="336">
        <f>C73*VLOOKUP(C$51,Table4[#All],2,0)</f>
        <v>5159091.2231160551</v>
      </c>
      <c r="D56" s="336">
        <f>D73*VLOOKUP(D$51,Table4[#All],2,0)</f>
        <v>1218394.7765211873</v>
      </c>
      <c r="E56" s="336">
        <f>E73*VLOOKUP(E$51,Table4[#All],2,0)</f>
        <v>852026.46871048445</v>
      </c>
      <c r="F56" s="336">
        <f>F73*VLOOKUP(F$51,Table4[#All],2,0)</f>
        <v>566479.93085477664</v>
      </c>
      <c r="G56" s="336">
        <f>G73*VLOOKUP(G$51,Table4[#All],2,0)</f>
        <v>418789.85897336365</v>
      </c>
      <c r="H56" s="336">
        <f>H73*VLOOKUP(H$51,Table4[#All],2,0)</f>
        <v>1423854.2905181602</v>
      </c>
      <c r="I56" s="740">
        <f t="shared" si="14"/>
        <v>9638636.5486940276</v>
      </c>
      <c r="K56" s="1039" t="s">
        <v>297</v>
      </c>
      <c r="L56" s="1046">
        <v>39.98030735568129</v>
      </c>
    </row>
    <row r="57" spans="2:25" x14ac:dyDescent="0.45">
      <c r="B57" s="882" t="s">
        <v>194</v>
      </c>
      <c r="C57" s="336">
        <f>C74*VLOOKUP(C$51,Table4[#All],2,0)</f>
        <v>5622887.9027661197</v>
      </c>
      <c r="D57" s="336">
        <f>D74*VLOOKUP(D$51,Table4[#All],2,0)</f>
        <v>1620980.5122251227</v>
      </c>
      <c r="E57" s="336">
        <f>E74*VLOOKUP(E$51,Table4[#All],2,0)</f>
        <v>1084254.1288972327</v>
      </c>
      <c r="F57" s="336">
        <f>F74*VLOOKUP(F$51,Table4[#All],2,0)</f>
        <v>819539.72010255791</v>
      </c>
      <c r="G57" s="336">
        <f>G74*VLOOKUP(G$51,Table4[#All],2,0)</f>
        <v>483976.31527300668</v>
      </c>
      <c r="H57" s="336">
        <f>H74*VLOOKUP(H$51,Table4[#All],2,0)</f>
        <v>1598448.7068364976</v>
      </c>
      <c r="I57" s="740">
        <f t="shared" si="14"/>
        <v>11230087.286100538</v>
      </c>
      <c r="K57" s="444" t="s">
        <v>302</v>
      </c>
      <c r="L57" s="1047">
        <v>39.386482564531022</v>
      </c>
    </row>
    <row r="58" spans="2:25" x14ac:dyDescent="0.45">
      <c r="B58" s="882" t="s">
        <v>195</v>
      </c>
      <c r="C58" s="336">
        <f>C75*VLOOKUP(C$51,Table4[#All],2,0)</f>
        <v>5228589.9754200103</v>
      </c>
      <c r="D58" s="336">
        <f>D75*VLOOKUP(D$51,Table4[#All],2,0)</f>
        <v>1455159.3045036227</v>
      </c>
      <c r="E58" s="336">
        <f>E75*VLOOKUP(E$51,Table4[#All],2,0)</f>
        <v>915710.28927494725</v>
      </c>
      <c r="F58" s="336">
        <f>F75*VLOOKUP(F$51,Table4[#All],2,0)</f>
        <v>731739.87452909362</v>
      </c>
      <c r="G58" s="336">
        <f>G75*VLOOKUP(G$51,Table4[#All],2,0)</f>
        <v>618634.97748870018</v>
      </c>
      <c r="H58" s="336">
        <f>H75*VLOOKUP(H$51,Table4[#All],2,0)</f>
        <v>1895820.7739770683</v>
      </c>
      <c r="I58" s="740">
        <f t="shared" si="14"/>
        <v>10845655.195193443</v>
      </c>
      <c r="K58" s="1039" t="s">
        <v>298</v>
      </c>
      <c r="L58" s="1046">
        <v>40</v>
      </c>
    </row>
    <row r="59" spans="2:25" x14ac:dyDescent="0.45">
      <c r="B59" s="882" t="s">
        <v>196</v>
      </c>
      <c r="C59" s="336">
        <f>C76*VLOOKUP(C$51,Table4[#All],2,0)</f>
        <v>5055918.4799156087</v>
      </c>
      <c r="D59" s="336">
        <f>D76*VLOOKUP(D$51,Table4[#All],2,0)</f>
        <v>1521597.2284917326</v>
      </c>
      <c r="E59" s="336">
        <f>E76*VLOOKUP(E$51,Table4[#All],2,0)</f>
        <v>925907.39882324217</v>
      </c>
      <c r="F59" s="336">
        <f>F76*VLOOKUP(F$51,Table4[#All],2,0)</f>
        <v>438267.87537550955</v>
      </c>
      <c r="G59" s="336">
        <f>G76*VLOOKUP(G$51,Table4[#All],2,0)</f>
        <v>429996.61401845136</v>
      </c>
      <c r="H59" s="336">
        <f>H76*VLOOKUP(H$51,Table4[#All],2,0)</f>
        <v>2035591.3884568955</v>
      </c>
      <c r="I59" s="740">
        <f t="shared" si="14"/>
        <v>10407278.98508144</v>
      </c>
    </row>
    <row r="60" spans="2:25" x14ac:dyDescent="0.45">
      <c r="B60" s="882" t="s">
        <v>197</v>
      </c>
      <c r="C60" s="336">
        <f>C77*VLOOKUP(C$51,Table4[#All],2,0)</f>
        <v>6595815.4811500255</v>
      </c>
      <c r="D60" s="336">
        <f>D77*VLOOKUP(D$51,Table4[#All],2,0)</f>
        <v>2020817.1931203804</v>
      </c>
      <c r="E60" s="336">
        <f>E77*VLOOKUP(E$51,Table4[#All],2,0)</f>
        <v>1309448.5165964132</v>
      </c>
      <c r="F60" s="336">
        <f>F77*VLOOKUP(F$51,Table4[#All],2,0)</f>
        <v>982613.84176076157</v>
      </c>
      <c r="G60" s="336">
        <f>G77*VLOOKUP(G$51,Table4[#All],2,0)</f>
        <v>752174.06876090483</v>
      </c>
      <c r="H60" s="336">
        <f>H77*VLOOKUP(H$51,Table4[#All],2,0)</f>
        <v>2804901.1623494374</v>
      </c>
      <c r="I60" s="740">
        <f t="shared" si="14"/>
        <v>14465770.263737924</v>
      </c>
    </row>
    <row r="61" spans="2:25" x14ac:dyDescent="0.45">
      <c r="B61" s="882" t="s">
        <v>198</v>
      </c>
      <c r="C61" s="336">
        <f>C78*VLOOKUP(C$51,Table4[#All],2,0)</f>
        <v>5286566.2019030061</v>
      </c>
      <c r="D61" s="336">
        <f>D78*VLOOKUP(D$51,Table4[#All],2,0)</f>
        <v>1511203.3790117558</v>
      </c>
      <c r="E61" s="336">
        <f>E78*VLOOKUP(E$51,Table4[#All],2,0)</f>
        <v>1113021.7683130193</v>
      </c>
      <c r="F61" s="336">
        <f>F78*VLOOKUP(F$51,Table4[#All],2,0)</f>
        <v>792873.43283398915</v>
      </c>
      <c r="G61" s="336">
        <f>G78*VLOOKUP(G$51,Table4[#All],2,0)</f>
        <v>847482.88886125467</v>
      </c>
      <c r="H61" s="336">
        <f>H78*VLOOKUP(H$51,Table4[#All],2,0)</f>
        <v>2996435.3451945707</v>
      </c>
      <c r="I61" s="740">
        <f t="shared" si="14"/>
        <v>12547583.016117595</v>
      </c>
    </row>
    <row r="62" spans="2:25" x14ac:dyDescent="0.45">
      <c r="B62" s="882" t="s">
        <v>199</v>
      </c>
      <c r="C62" s="336">
        <f>C79*VLOOKUP(C$51,Table4[#All],2,0)</f>
        <v>5390500.0119623225</v>
      </c>
      <c r="D62" s="336">
        <f>D79*VLOOKUP(D$51,Table4[#All],2,0)</f>
        <v>1581616.3799154221</v>
      </c>
      <c r="E62" s="336">
        <f>E79*VLOOKUP(E$51,Table4[#All],2,0)</f>
        <v>1051649.3745685208</v>
      </c>
      <c r="F62" s="336">
        <f>F79*VLOOKUP(F$51,Table4[#All],2,0)</f>
        <v>657219.22334779298</v>
      </c>
      <c r="G62" s="336">
        <f>G79*VLOOKUP(G$51,Table4[#All],2,0)</f>
        <v>454462.08003715356</v>
      </c>
      <c r="H62" s="336">
        <f>H79*VLOOKUP(H$51,Table4[#All],2,0)</f>
        <v>2060459.0351432823</v>
      </c>
      <c r="I62" s="740">
        <f t="shared" si="14"/>
        <v>11195906.104974495</v>
      </c>
    </row>
    <row r="63" spans="2:25" x14ac:dyDescent="0.45">
      <c r="B63" s="882" t="s">
        <v>200</v>
      </c>
      <c r="C63" s="336">
        <f>C80*VLOOKUP(C$51,Table4[#All],2,0)</f>
        <v>6915875.4178979732</v>
      </c>
      <c r="D63" s="336">
        <f>D80*VLOOKUP(D$51,Table4[#All],2,0)</f>
        <v>2272539.7980962559</v>
      </c>
      <c r="E63" s="336">
        <f>E80*VLOOKUP(E$51,Table4[#All],2,0)</f>
        <v>1245989.0973673603</v>
      </c>
      <c r="F63" s="336">
        <f>F80*VLOOKUP(F$51,Table4[#All],2,0)</f>
        <v>1057190.7360003442</v>
      </c>
      <c r="G63" s="336">
        <f>G80*VLOOKUP(G$51,Table4[#All],2,0)</f>
        <v>767262.40194754303</v>
      </c>
      <c r="H63" s="336">
        <f>H80*VLOOKUP(H$51,Table4[#All],2,0)</f>
        <v>3069132.1625157497</v>
      </c>
      <c r="I63" s="740">
        <f t="shared" si="14"/>
        <v>15327989.613825226</v>
      </c>
      <c r="T63" s="329" t="s">
        <v>248</v>
      </c>
      <c r="Y63" s="329" t="str">
        <f>_xlfn.CONCAT("Vol ",TEXT(R83/1000000,"###"),"mio")</f>
        <v>Vol 125mio</v>
      </c>
    </row>
    <row r="64" spans="2:25" x14ac:dyDescent="0.45">
      <c r="B64" s="739" t="s">
        <v>201</v>
      </c>
      <c r="C64" s="740">
        <f t="shared" ref="C64:H64" si="15">SUM(C52:C63)</f>
        <v>66368386.971587554</v>
      </c>
      <c r="D64" s="740">
        <f t="shared" si="15"/>
        <v>19086266.219999999</v>
      </c>
      <c r="E64" s="740">
        <f t="shared" si="15"/>
        <v>12587476.010252669</v>
      </c>
      <c r="F64" s="740">
        <f t="shared" si="15"/>
        <v>8698597.8322851919</v>
      </c>
      <c r="G64" s="740">
        <f t="shared" si="15"/>
        <v>6718372.8876393773</v>
      </c>
      <c r="H64" s="740">
        <f t="shared" si="15"/>
        <v>25698375.630000155</v>
      </c>
      <c r="I64" s="740">
        <f>SUM(C64:H64)</f>
        <v>139157475.55176494</v>
      </c>
    </row>
    <row r="65" spans="2:27" x14ac:dyDescent="0.45">
      <c r="I65">
        <v>139170099.63999999</v>
      </c>
      <c r="T65" t="s">
        <v>249</v>
      </c>
      <c r="U65" s="410">
        <f>SUM(I69:I71)</f>
        <v>849565.58186628844</v>
      </c>
      <c r="V65" s="1017">
        <f>U65/$I$82</f>
        <v>0.23933656177885154</v>
      </c>
      <c r="Y65" t="s">
        <v>249</v>
      </c>
      <c r="Z65" s="410">
        <f>SUM(R69:R71)</f>
        <v>849565.58186628844</v>
      </c>
      <c r="AA65" s="1017">
        <f>Z65/$R$81</f>
        <v>0.269642131731123</v>
      </c>
    </row>
    <row r="66" spans="2:27" x14ac:dyDescent="0.45">
      <c r="T66" s="329" t="s">
        <v>252</v>
      </c>
      <c r="U66" s="1050">
        <f>U65/13</f>
        <v>65351.198605099111</v>
      </c>
      <c r="V66" s="1017"/>
      <c r="Y66" s="329" t="s">
        <v>252</v>
      </c>
      <c r="Z66" s="1050">
        <f>Z65/13</f>
        <v>65351.198605099111</v>
      </c>
      <c r="AA66" s="1017"/>
    </row>
    <row r="67" spans="2:27" x14ac:dyDescent="0.45">
      <c r="C67" s="412"/>
      <c r="D67" s="412"/>
      <c r="E67" s="412"/>
      <c r="F67" s="412"/>
      <c r="G67" s="412"/>
      <c r="H67" s="412"/>
      <c r="I67" s="412"/>
      <c r="L67" s="1017">
        <v>0.85</v>
      </c>
      <c r="M67" s="1017">
        <v>0.8</v>
      </c>
      <c r="N67" s="1017">
        <v>0.75</v>
      </c>
      <c r="O67" s="1017">
        <v>0.75</v>
      </c>
      <c r="P67" s="1017">
        <v>0.8</v>
      </c>
      <c r="Q67" s="1017">
        <v>0.8</v>
      </c>
      <c r="T67" s="875" t="s">
        <v>253</v>
      </c>
      <c r="U67" s="410">
        <f>U66*V67</f>
        <v>32711.902597668894</v>
      </c>
      <c r="V67" s="1051">
        <v>0.50055551077706639</v>
      </c>
      <c r="Y67" s="875" t="s">
        <v>253</v>
      </c>
      <c r="Z67" s="410">
        <f>Z66*AA67</f>
        <v>32711.902597668894</v>
      </c>
      <c r="AA67" s="1051">
        <v>0.50055551077706639</v>
      </c>
    </row>
    <row r="68" spans="2:27" x14ac:dyDescent="0.45">
      <c r="B68" s="882"/>
      <c r="C68" s="882" t="s">
        <v>293</v>
      </c>
      <c r="D68" s="882" t="s">
        <v>294</v>
      </c>
      <c r="E68" s="882" t="s">
        <v>295</v>
      </c>
      <c r="F68" s="882" t="s">
        <v>296</v>
      </c>
      <c r="G68" s="882" t="s">
        <v>297</v>
      </c>
      <c r="H68" s="882" t="s">
        <v>298</v>
      </c>
      <c r="I68" s="882" t="s">
        <v>201</v>
      </c>
      <c r="K68" s="882"/>
      <c r="L68" s="882" t="s">
        <v>293</v>
      </c>
      <c r="M68" s="882" t="s">
        <v>294</v>
      </c>
      <c r="N68" s="882" t="s">
        <v>295</v>
      </c>
      <c r="O68" s="882" t="s">
        <v>296</v>
      </c>
      <c r="P68" s="882" t="s">
        <v>297</v>
      </c>
      <c r="Q68" s="882" t="s">
        <v>298</v>
      </c>
      <c r="R68" s="882" t="s">
        <v>201</v>
      </c>
      <c r="T68" s="875" t="s">
        <v>233</v>
      </c>
      <c r="U68" s="410">
        <f>U66*V68</f>
        <v>24819.994375143178</v>
      </c>
      <c r="V68" s="1051">
        <v>0.37979401915983474</v>
      </c>
      <c r="Y68" s="875" t="s">
        <v>233</v>
      </c>
      <c r="Z68" s="410">
        <f>Z66*AA68</f>
        <v>24819.994375143178</v>
      </c>
      <c r="AA68" s="1051">
        <v>0.37979401915983474</v>
      </c>
    </row>
    <row r="69" spans="2:27" x14ac:dyDescent="0.45">
      <c r="B69" s="882" t="s">
        <v>189</v>
      </c>
      <c r="C69" s="336">
        <v>142746.53000000017</v>
      </c>
      <c r="D69" s="336">
        <v>38255</v>
      </c>
      <c r="E69" s="336">
        <v>20999.5</v>
      </c>
      <c r="F69" s="336">
        <v>15963.5</v>
      </c>
      <c r="G69" s="336">
        <v>13385.5</v>
      </c>
      <c r="H69" s="336">
        <v>59078.5</v>
      </c>
      <c r="I69" s="740">
        <f t="shared" ref="I69:I80" si="16">SUM(C69:H69)</f>
        <v>290428.53000000014</v>
      </c>
      <c r="K69" s="882" t="s">
        <v>189</v>
      </c>
      <c r="L69" s="336">
        <f t="shared" ref="L69:Q74" si="17">C69</f>
        <v>142746.53000000017</v>
      </c>
      <c r="M69" s="336">
        <f t="shared" si="17"/>
        <v>38255</v>
      </c>
      <c r="N69" s="336">
        <f t="shared" si="17"/>
        <v>20999.5</v>
      </c>
      <c r="O69" s="336">
        <f t="shared" si="17"/>
        <v>15963.5</v>
      </c>
      <c r="P69" s="336">
        <f t="shared" si="17"/>
        <v>13385.5</v>
      </c>
      <c r="Q69" s="336">
        <f t="shared" si="17"/>
        <v>59078.5</v>
      </c>
      <c r="R69" s="740">
        <f>SUM(L69:Q69)</f>
        <v>290428.53000000014</v>
      </c>
      <c r="T69" s="875" t="s">
        <v>254</v>
      </c>
      <c r="U69" s="410">
        <f>U66*V69</f>
        <v>7070.4430761561734</v>
      </c>
      <c r="V69" s="1051">
        <v>0.10819148274358495</v>
      </c>
      <c r="Y69" s="875" t="s">
        <v>254</v>
      </c>
      <c r="Z69" s="410">
        <f>Z66*AA69</f>
        <v>7070.4430761561734</v>
      </c>
      <c r="AA69" s="1051">
        <v>0.10819148274358495</v>
      </c>
    </row>
    <row r="70" spans="2:27" x14ac:dyDescent="0.45">
      <c r="B70" s="882" t="s">
        <v>190</v>
      </c>
      <c r="C70" s="336">
        <v>112263.02999999997</v>
      </c>
      <c r="D70" s="336">
        <v>32606</v>
      </c>
      <c r="E70" s="336">
        <v>31603.35</v>
      </c>
      <c r="F70" s="336">
        <v>17699.48</v>
      </c>
      <c r="G70" s="336">
        <v>7898</v>
      </c>
      <c r="H70" s="336">
        <v>40371.56</v>
      </c>
      <c r="I70" s="740">
        <f t="shared" si="16"/>
        <v>242441.41999999998</v>
      </c>
      <c r="K70" s="882" t="s">
        <v>190</v>
      </c>
      <c r="L70" s="336">
        <f t="shared" si="17"/>
        <v>112263.02999999997</v>
      </c>
      <c r="M70" s="336">
        <f t="shared" si="17"/>
        <v>32606</v>
      </c>
      <c r="N70" s="336">
        <f t="shared" si="17"/>
        <v>31603.35</v>
      </c>
      <c r="O70" s="336">
        <f t="shared" si="17"/>
        <v>17699.48</v>
      </c>
      <c r="P70" s="336">
        <f t="shared" si="17"/>
        <v>7898</v>
      </c>
      <c r="Q70" s="336">
        <f t="shared" si="17"/>
        <v>40371.56</v>
      </c>
      <c r="R70" s="740">
        <f t="shared" ref="R70:R80" si="18">SUM(L70:Q70)</f>
        <v>242441.41999999998</v>
      </c>
    </row>
    <row r="71" spans="2:27" x14ac:dyDescent="0.45">
      <c r="B71" s="882" t="s">
        <v>191</v>
      </c>
      <c r="C71" s="866">
        <f>C$82*C38-40000</f>
        <v>150471.27293660209</v>
      </c>
      <c r="D71" s="866">
        <f>D$82*D38-9000</f>
        <v>41936.416458412532</v>
      </c>
      <c r="E71" s="866">
        <f>E$82*E38</f>
        <v>28456.444796850483</v>
      </c>
      <c r="F71" s="866">
        <f>F$82*F38-2500</f>
        <v>20786.390278136751</v>
      </c>
      <c r="G71" s="866">
        <f>G$82*G38-3500</f>
        <v>14885.882987716672</v>
      </c>
      <c r="H71" s="866">
        <f>H$82*H38-11000</f>
        <v>60159.224408569688</v>
      </c>
      <c r="I71" s="866">
        <f t="shared" si="16"/>
        <v>316695.63186628825</v>
      </c>
      <c r="K71" s="882" t="s">
        <v>191</v>
      </c>
      <c r="L71" s="866">
        <f t="shared" si="17"/>
        <v>150471.27293660209</v>
      </c>
      <c r="M71" s="866">
        <f t="shared" si="17"/>
        <v>41936.416458412532</v>
      </c>
      <c r="N71" s="866">
        <f t="shared" si="17"/>
        <v>28456.444796850483</v>
      </c>
      <c r="O71" s="866">
        <f t="shared" si="17"/>
        <v>20786.390278136751</v>
      </c>
      <c r="P71" s="866">
        <f t="shared" si="17"/>
        <v>14885.882987716672</v>
      </c>
      <c r="Q71" s="866">
        <f t="shared" si="17"/>
        <v>60159.224408569688</v>
      </c>
      <c r="R71" s="866">
        <f t="shared" si="18"/>
        <v>316695.63186628825</v>
      </c>
      <c r="T71" t="s">
        <v>187</v>
      </c>
      <c r="U71" s="410">
        <f>SUM(I72:I74)</f>
        <v>768349.87031420763</v>
      </c>
      <c r="V71" s="1017">
        <f>U71/$I$82</f>
        <v>0.21645676346758089</v>
      </c>
      <c r="Y71" t="s">
        <v>187</v>
      </c>
      <c r="Z71" s="410">
        <f>SUM(R72:R74)</f>
        <v>768349.87031420763</v>
      </c>
      <c r="AA71" s="1017">
        <f>Z71/$R$81</f>
        <v>0.24386521931800959</v>
      </c>
    </row>
    <row r="72" spans="2:27" x14ac:dyDescent="0.45">
      <c r="B72" s="882" t="s">
        <v>192</v>
      </c>
      <c r="C72" s="336">
        <f>C$82*C39+13000+6000+5000</f>
        <v>127277.80697772505</v>
      </c>
      <c r="D72" s="336">
        <f>D$82*D39+4000</f>
        <v>34301.524744450464</v>
      </c>
      <c r="E72" s="336">
        <f>E$82*E39</f>
        <v>21606.962448059166</v>
      </c>
      <c r="F72" s="336">
        <f>F$82*F39+1000</f>
        <v>12272.977787858645</v>
      </c>
      <c r="G72" s="336">
        <f>G$82*G39+1000</f>
        <v>12494.417041887817</v>
      </c>
      <c r="H72" s="336">
        <f>H$82*H39+4000</f>
        <v>35734.034716642738</v>
      </c>
      <c r="I72" s="740">
        <f t="shared" si="16"/>
        <v>243687.72371662391</v>
      </c>
      <c r="K72" s="882" t="s">
        <v>192</v>
      </c>
      <c r="L72" s="336">
        <f t="shared" si="17"/>
        <v>127277.80697772505</v>
      </c>
      <c r="M72" s="336">
        <f t="shared" si="17"/>
        <v>34301.524744450464</v>
      </c>
      <c r="N72" s="336">
        <f t="shared" si="17"/>
        <v>21606.962448059166</v>
      </c>
      <c r="O72" s="336">
        <f t="shared" si="17"/>
        <v>12272.977787858645</v>
      </c>
      <c r="P72" s="336">
        <f t="shared" si="17"/>
        <v>12494.417041887817</v>
      </c>
      <c r="Q72" s="336">
        <f t="shared" si="17"/>
        <v>35734.034716642738</v>
      </c>
      <c r="R72" s="740">
        <f t="shared" si="18"/>
        <v>243687.72371662391</v>
      </c>
      <c r="T72" s="329" t="s">
        <v>252</v>
      </c>
      <c r="U72" s="1050">
        <f>U71/13</f>
        <v>59103.836178015968</v>
      </c>
      <c r="V72" s="1017"/>
      <c r="Y72" s="329" t="s">
        <v>252</v>
      </c>
      <c r="Z72" s="1050">
        <f>Z71/13</f>
        <v>59103.836178015968</v>
      </c>
      <c r="AA72" s="1017"/>
    </row>
    <row r="73" spans="2:27" x14ac:dyDescent="0.45">
      <c r="B73" s="882" t="s">
        <v>193</v>
      </c>
      <c r="C73" s="336">
        <f>C$82*C40+13000+12000+5000</f>
        <v>130181.96851522285</v>
      </c>
      <c r="D73" s="336">
        <f>D$82*D40+5000</f>
        <v>30459.869413029683</v>
      </c>
      <c r="E73" s="336">
        <f>E$82*E40+6500</f>
        <v>21390.153417711077</v>
      </c>
      <c r="F73" s="336">
        <f>F$82*F40+1500</f>
        <v>14248.596907751267</v>
      </c>
      <c r="G73" s="336">
        <f>G$82*G40+2500</f>
        <v>10474.903438026038</v>
      </c>
      <c r="H73" s="336">
        <f>H$82*H40+4000</f>
        <v>35596.357262954007</v>
      </c>
      <c r="I73" s="740">
        <f t="shared" si="16"/>
        <v>242351.8489546949</v>
      </c>
      <c r="K73" s="882" t="s">
        <v>193</v>
      </c>
      <c r="L73" s="336">
        <f t="shared" si="17"/>
        <v>130181.96851522285</v>
      </c>
      <c r="M73" s="336">
        <f t="shared" si="17"/>
        <v>30459.869413029683</v>
      </c>
      <c r="N73" s="336">
        <f t="shared" si="17"/>
        <v>21390.153417711077</v>
      </c>
      <c r="O73" s="336">
        <f t="shared" si="17"/>
        <v>14248.596907751267</v>
      </c>
      <c r="P73" s="336">
        <f t="shared" si="17"/>
        <v>10474.903438026038</v>
      </c>
      <c r="Q73" s="336">
        <f t="shared" si="17"/>
        <v>35596.357262954007</v>
      </c>
      <c r="R73" s="740">
        <f t="shared" si="18"/>
        <v>242351.8489546949</v>
      </c>
      <c r="T73" s="875" t="s">
        <v>253</v>
      </c>
      <c r="U73" s="410">
        <f>U72*V73</f>
        <v>29584.750906970839</v>
      </c>
      <c r="V73" s="1051">
        <v>0.50055551077706639</v>
      </c>
      <c r="Y73" s="875" t="s">
        <v>253</v>
      </c>
      <c r="Z73" s="410">
        <f>Z72*AA73</f>
        <v>29584.750906970839</v>
      </c>
      <c r="AA73" s="1051">
        <v>0.50055551077706639</v>
      </c>
    </row>
    <row r="74" spans="2:27" x14ac:dyDescent="0.45">
      <c r="B74" s="882" t="s">
        <v>194</v>
      </c>
      <c r="C74" s="866">
        <f>C$82*C41+5000+5000+2500</f>
        <v>141885.1856394205</v>
      </c>
      <c r="D74" s="866">
        <f>D$82*D41</f>
        <v>40524.512805628066</v>
      </c>
      <c r="E74" s="866">
        <f>E$82*E41+1000</f>
        <v>27220.23670931187</v>
      </c>
      <c r="F74" s="866">
        <f>F$82*F41</f>
        <v>20613.777268353479</v>
      </c>
      <c r="G74" s="866">
        <f>G$82*G41</f>
        <v>12105.367549262539</v>
      </c>
      <c r="H74" s="866">
        <f>H$82*H41</f>
        <v>39961.21767091244</v>
      </c>
      <c r="I74" s="866">
        <f t="shared" si="16"/>
        <v>282310.29764288885</v>
      </c>
      <c r="K74" s="882" t="s">
        <v>194</v>
      </c>
      <c r="L74" s="866">
        <f t="shared" si="17"/>
        <v>141885.1856394205</v>
      </c>
      <c r="M74" s="866">
        <f t="shared" si="17"/>
        <v>40524.512805628066</v>
      </c>
      <c r="N74" s="866">
        <f t="shared" si="17"/>
        <v>27220.23670931187</v>
      </c>
      <c r="O74" s="866">
        <f t="shared" si="17"/>
        <v>20613.777268353479</v>
      </c>
      <c r="P74" s="866">
        <f t="shared" si="17"/>
        <v>12105.367549262539</v>
      </c>
      <c r="Q74" s="866">
        <f t="shared" si="17"/>
        <v>39961.21767091244</v>
      </c>
      <c r="R74" s="866">
        <f t="shared" si="18"/>
        <v>282310.29764288885</v>
      </c>
      <c r="T74" s="875" t="s">
        <v>233</v>
      </c>
      <c r="U74" s="410">
        <f>U72*V74</f>
        <v>22447.28348981313</v>
      </c>
      <c r="V74" s="1051">
        <v>0.37979401915983474</v>
      </c>
      <c r="Y74" s="875" t="s">
        <v>233</v>
      </c>
      <c r="Z74" s="410">
        <f>Z72*AA74</f>
        <v>22447.28348981313</v>
      </c>
      <c r="AA74" s="1051">
        <v>0.37979401915983474</v>
      </c>
    </row>
    <row r="75" spans="2:27" x14ac:dyDescent="0.45">
      <c r="B75" s="882" t="s">
        <v>195</v>
      </c>
      <c r="C75" s="336">
        <f>((C$82*C42))+283.016124083427-8000</f>
        <v>131935.66582217143</v>
      </c>
      <c r="D75" s="336">
        <f>(D$82*D42)+-1442.81035206723</f>
        <v>36378.982612590567</v>
      </c>
      <c r="E75" s="336">
        <f>(E$82*E42)+-431.732221701066</f>
        <v>22988.93789463173</v>
      </c>
      <c r="F75" s="336">
        <f>(F$82*F42)+-664.745293737069</f>
        <v>18405.359034981298</v>
      </c>
      <c r="G75" s="336">
        <f>(G$82*G42)+-957.765191605955</f>
        <v>15473.49228671677</v>
      </c>
      <c r="H75" s="336">
        <f>(H$82*H42)+-6815.31062208674</f>
        <v>47395.519349426708</v>
      </c>
      <c r="I75" s="740">
        <f t="shared" si="16"/>
        <v>272577.95700051851</v>
      </c>
      <c r="K75" s="882" t="s">
        <v>195</v>
      </c>
      <c r="L75" s="336">
        <f t="shared" ref="L75:Q80" si="19">C75*L$67</f>
        <v>112145.31594884572</v>
      </c>
      <c r="M75" s="336">
        <f t="shared" si="19"/>
        <v>29103.186090072457</v>
      </c>
      <c r="N75" s="336">
        <f t="shared" si="19"/>
        <v>17241.703420973798</v>
      </c>
      <c r="O75" s="336">
        <f t="shared" si="19"/>
        <v>13804.019276235973</v>
      </c>
      <c r="P75" s="336">
        <f t="shared" si="19"/>
        <v>12378.793829373417</v>
      </c>
      <c r="Q75" s="336">
        <f t="shared" si="19"/>
        <v>37916.415479541371</v>
      </c>
      <c r="R75" s="740">
        <f t="shared" si="18"/>
        <v>222589.43404504273</v>
      </c>
      <c r="T75" s="875" t="s">
        <v>254</v>
      </c>
      <c r="U75" s="410">
        <f>U72*V75</f>
        <v>6394.5316719334869</v>
      </c>
      <c r="V75" s="1051">
        <v>0.10819148274358495</v>
      </c>
      <c r="Y75" s="875" t="s">
        <v>254</v>
      </c>
      <c r="Z75" s="410">
        <f>Z72*AA75</f>
        <v>6394.5316719334869</v>
      </c>
      <c r="AA75" s="1051">
        <v>0.10819148274358495</v>
      </c>
    </row>
    <row r="76" spans="2:27" x14ac:dyDescent="0.45">
      <c r="B76" s="882" t="s">
        <v>196</v>
      </c>
      <c r="C76" s="336">
        <f>(C$82*C43+5500)+1000-5000</f>
        <v>127578.55829701055</v>
      </c>
      <c r="D76" s="336">
        <f>D$82*D43-6000</f>
        <v>38039.930712293317</v>
      </c>
      <c r="E76" s="336">
        <f>E$82*E43</f>
        <v>23244.93667596695</v>
      </c>
      <c r="F76" s="336">
        <f>F$82*F43</f>
        <v>11023.695551613639</v>
      </c>
      <c r="G76" s="336">
        <f>G$82*G43</f>
        <v>10755.210313743321</v>
      </c>
      <c r="H76" s="336">
        <f>H$82*H43</f>
        <v>50889.784711422384</v>
      </c>
      <c r="I76" s="740">
        <f t="shared" si="16"/>
        <v>261532.11626205017</v>
      </c>
      <c r="K76" s="882" t="s">
        <v>196</v>
      </c>
      <c r="L76" s="336">
        <f t="shared" si="19"/>
        <v>108441.77455245896</v>
      </c>
      <c r="M76" s="336">
        <f t="shared" si="19"/>
        <v>30431.944569834654</v>
      </c>
      <c r="N76" s="336">
        <f t="shared" si="19"/>
        <v>17433.702506975213</v>
      </c>
      <c r="O76" s="336">
        <f t="shared" si="19"/>
        <v>8267.7716637102294</v>
      </c>
      <c r="P76" s="336">
        <f t="shared" si="19"/>
        <v>8604.1682509946568</v>
      </c>
      <c r="Q76" s="336">
        <f t="shared" si="19"/>
        <v>40711.827769137912</v>
      </c>
      <c r="R76" s="740">
        <f t="shared" si="18"/>
        <v>213891.18931311165</v>
      </c>
    </row>
    <row r="77" spans="2:27" x14ac:dyDescent="0.45">
      <c r="B77" s="882" t="s">
        <v>197</v>
      </c>
      <c r="C77" s="866">
        <f>(C$82*C44)+1000-3000</f>
        <v>166435.56125775765</v>
      </c>
      <c r="D77" s="866">
        <f>D$82*D44</f>
        <v>50520.42982800951</v>
      </c>
      <c r="E77" s="866">
        <f>E$82*E44</f>
        <v>32873.749456378602</v>
      </c>
      <c r="F77" s="866">
        <f>F$82*F44</f>
        <v>24715.559695291759</v>
      </c>
      <c r="G77" s="866">
        <f>G$82*G44</f>
        <v>18813.613964226297</v>
      </c>
      <c r="H77" s="866">
        <f>H$82*H44+1000</f>
        <v>70122.529058735934</v>
      </c>
      <c r="I77" s="866">
        <f t="shared" si="16"/>
        <v>363481.44326039974</v>
      </c>
      <c r="K77" s="882" t="s">
        <v>197</v>
      </c>
      <c r="L77" s="866">
        <f t="shared" si="19"/>
        <v>141470.22706909399</v>
      </c>
      <c r="M77" s="866">
        <f t="shared" si="19"/>
        <v>40416.343862407608</v>
      </c>
      <c r="N77" s="866">
        <f t="shared" si="19"/>
        <v>24655.312092283952</v>
      </c>
      <c r="O77" s="866">
        <f t="shared" si="19"/>
        <v>18536.66977146882</v>
      </c>
      <c r="P77" s="866">
        <f t="shared" si="19"/>
        <v>15050.891171381038</v>
      </c>
      <c r="Q77" s="866">
        <f t="shared" si="19"/>
        <v>56098.023246988749</v>
      </c>
      <c r="R77" s="866">
        <f t="shared" si="18"/>
        <v>296227.46721362416</v>
      </c>
      <c r="T77" t="s">
        <v>255</v>
      </c>
      <c r="U77" s="410">
        <f>SUM(I75:I77)</f>
        <v>897591.51652296842</v>
      </c>
      <c r="V77" s="1017">
        <f>U77/$I$82</f>
        <v>0.25286625545087538</v>
      </c>
      <c r="Y77" t="s">
        <v>255</v>
      </c>
      <c r="Z77" s="410">
        <f>SUM(R75:R77)</f>
        <v>732708.09057177859</v>
      </c>
      <c r="AA77" s="1017">
        <f>Z77/$R$81</f>
        <v>0.2325529372840226</v>
      </c>
    </row>
    <row r="78" spans="2:27" x14ac:dyDescent="0.45">
      <c r="B78" s="882" t="s">
        <v>198</v>
      </c>
      <c r="C78" s="336">
        <f>(C$82*C45)+1000-12000-5000</f>
        <v>133398.60938417385</v>
      </c>
      <c r="D78" s="336">
        <f>D$82*D45-12500</f>
        <v>37780.084475293894</v>
      </c>
      <c r="E78" s="336">
        <f t="shared" ref="E78:G79" si="20">E$82*E45</f>
        <v>27942.449273318682</v>
      </c>
      <c r="F78" s="336">
        <f t="shared" si="20"/>
        <v>19943.0435713224</v>
      </c>
      <c r="G78" s="336">
        <f t="shared" si="20"/>
        <v>21197.508096215912</v>
      </c>
      <c r="H78" s="336">
        <f>H$82*H45+1000</f>
        <v>74910.883629864271</v>
      </c>
      <c r="I78" s="740">
        <f t="shared" si="16"/>
        <v>315172.57843018899</v>
      </c>
      <c r="K78" s="882" t="s">
        <v>198</v>
      </c>
      <c r="L78" s="336">
        <f t="shared" si="19"/>
        <v>113388.81797654777</v>
      </c>
      <c r="M78" s="336">
        <f t="shared" si="19"/>
        <v>30224.067580235118</v>
      </c>
      <c r="N78" s="336">
        <f t="shared" si="19"/>
        <v>20956.836954989012</v>
      </c>
      <c r="O78" s="336">
        <f t="shared" si="19"/>
        <v>14957.2826784918</v>
      </c>
      <c r="P78" s="336">
        <f t="shared" si="19"/>
        <v>16958.006476972729</v>
      </c>
      <c r="Q78" s="336">
        <f t="shared" si="19"/>
        <v>59928.70690389142</v>
      </c>
      <c r="R78" s="740">
        <f t="shared" si="18"/>
        <v>256413.7185711278</v>
      </c>
      <c r="T78" s="329" t="s">
        <v>252</v>
      </c>
      <c r="U78" s="1050">
        <f>U77/13</f>
        <v>69045.501270997571</v>
      </c>
      <c r="V78" s="1017"/>
      <c r="Y78" s="329" t="s">
        <v>252</v>
      </c>
      <c r="Z78" s="1050">
        <f>Z77/13</f>
        <v>56362.160813213741</v>
      </c>
      <c r="AA78" s="1017"/>
    </row>
    <row r="79" spans="2:27" x14ac:dyDescent="0.45">
      <c r="B79" s="882" t="s">
        <v>199</v>
      </c>
      <c r="C79" s="336">
        <f>(C$82*C46)+1000-3000</f>
        <v>136021.22398889039</v>
      </c>
      <c r="D79" s="336">
        <f>D$82*D46</f>
        <v>39540.40949788555</v>
      </c>
      <c r="E79" s="336">
        <f t="shared" si="20"/>
        <v>26401.693245171078</v>
      </c>
      <c r="F79" s="336">
        <f t="shared" si="20"/>
        <v>16530.950671770104</v>
      </c>
      <c r="G79" s="336">
        <f t="shared" si="20"/>
        <v>11367.148231104669</v>
      </c>
      <c r="H79" s="336">
        <f>H$82*H46+1000</f>
        <v>51511.47587858206</v>
      </c>
      <c r="I79" s="740">
        <f t="shared" si="16"/>
        <v>281372.90151340386</v>
      </c>
      <c r="K79" s="882" t="s">
        <v>199</v>
      </c>
      <c r="L79" s="336">
        <f t="shared" si="19"/>
        <v>115618.04039055682</v>
      </c>
      <c r="M79" s="336">
        <f t="shared" si="19"/>
        <v>31632.327598308442</v>
      </c>
      <c r="N79" s="336">
        <f t="shared" si="19"/>
        <v>19801.26993387831</v>
      </c>
      <c r="O79" s="336">
        <f t="shared" si="19"/>
        <v>12398.213003827579</v>
      </c>
      <c r="P79" s="336">
        <f t="shared" si="19"/>
        <v>9093.7185848837362</v>
      </c>
      <c r="Q79" s="336">
        <f t="shared" si="19"/>
        <v>41209.180702865648</v>
      </c>
      <c r="R79" s="740">
        <f t="shared" si="18"/>
        <v>229752.75021432052</v>
      </c>
      <c r="T79" s="875" t="s">
        <v>253</v>
      </c>
      <c r="U79" s="410">
        <f>U78*V79</f>
        <v>34561.106155562775</v>
      </c>
      <c r="V79" s="1051">
        <v>0.50055551077706639</v>
      </c>
      <c r="Y79" s="875" t="s">
        <v>253</v>
      </c>
      <c r="Z79" s="410">
        <f>Z78*AA79</f>
        <v>28212.390194357358</v>
      </c>
      <c r="AA79" s="1051">
        <v>0.50055551077706639</v>
      </c>
    </row>
    <row r="80" spans="2:27" x14ac:dyDescent="0.45">
      <c r="B80" s="882" t="s">
        <v>200</v>
      </c>
      <c r="C80" s="866">
        <f>(C$82*C47-35000)+1000</f>
        <v>174511.7961616909</v>
      </c>
      <c r="D80" s="866">
        <f>D$82*D47</f>
        <v>56813.4949524064</v>
      </c>
      <c r="E80" s="866">
        <f>E$82*E47-7500</f>
        <v>31280.598582600374</v>
      </c>
      <c r="F80" s="866">
        <f>F$82*F47</f>
        <v>26591.382732920647</v>
      </c>
      <c r="G80" s="866">
        <f>G$82*G47</f>
        <v>19191.008091099964</v>
      </c>
      <c r="H80" s="866">
        <f>H$82*H47</f>
        <v>76728.304062893745</v>
      </c>
      <c r="I80" s="866">
        <f t="shared" si="16"/>
        <v>385116.58458361198</v>
      </c>
      <c r="K80" s="882" t="s">
        <v>200</v>
      </c>
      <c r="L80" s="866">
        <f t="shared" si="19"/>
        <v>148335.02673743726</v>
      </c>
      <c r="M80" s="866">
        <f t="shared" si="19"/>
        <v>45450.79596192512</v>
      </c>
      <c r="N80" s="866">
        <f t="shared" si="19"/>
        <v>23460.448936950281</v>
      </c>
      <c r="O80" s="866">
        <f t="shared" si="19"/>
        <v>19943.537049690487</v>
      </c>
      <c r="P80" s="866">
        <f t="shared" si="19"/>
        <v>15352.806472879973</v>
      </c>
      <c r="Q80" s="866">
        <f t="shared" si="19"/>
        <v>61382.643250314999</v>
      </c>
      <c r="R80" s="866">
        <f t="shared" si="18"/>
        <v>313925.25840919814</v>
      </c>
      <c r="T80" s="875" t="s">
        <v>233</v>
      </c>
      <c r="U80" s="410">
        <f>U78*V80</f>
        <v>26223.068432617645</v>
      </c>
      <c r="V80" s="1051">
        <v>0.37979401915983474</v>
      </c>
      <c r="Y80" s="875" t="s">
        <v>233</v>
      </c>
      <c r="Z80" s="410">
        <f>Z78*AA80</f>
        <v>21406.011583783387</v>
      </c>
      <c r="AA80" s="1051">
        <v>0.37979401915983474</v>
      </c>
    </row>
    <row r="81" spans="2:27" x14ac:dyDescent="0.45">
      <c r="B81" s="739" t="s">
        <v>303</v>
      </c>
      <c r="C81" s="740">
        <f>SUM(C69:C80)</f>
        <v>1674707.2089806655</v>
      </c>
      <c r="D81" s="740">
        <f>SUM(D69:D80)</f>
        <v>477156.65549999999</v>
      </c>
      <c r="E81" s="740">
        <f>SUM(E69:E80)</f>
        <v>316009.01250000001</v>
      </c>
      <c r="F81" s="740">
        <f t="shared" ref="F81:H81" si="21">SUM(F69:F80)</f>
        <v>218794.71349999998</v>
      </c>
      <c r="G81" s="740">
        <f t="shared" si="21"/>
        <v>168042.052</v>
      </c>
      <c r="H81" s="740">
        <f t="shared" si="21"/>
        <v>642459.39075000398</v>
      </c>
      <c r="I81" s="740">
        <f>SUM(C81:H81)</f>
        <v>3497169.0332306698</v>
      </c>
      <c r="K81" s="739" t="s">
        <v>303</v>
      </c>
      <c r="L81" s="740">
        <f>SUM(L69:L80)</f>
        <v>1544224.9967439116</v>
      </c>
      <c r="M81" s="740">
        <f t="shared" ref="M81:R81" si="22">SUM(M69:M80)</f>
        <v>425341.98908430419</v>
      </c>
      <c r="N81" s="740">
        <f t="shared" si="22"/>
        <v>274825.92121798312</v>
      </c>
      <c r="O81" s="740">
        <f t="shared" si="22"/>
        <v>189492.21568552501</v>
      </c>
      <c r="P81" s="740">
        <f t="shared" si="22"/>
        <v>148682.45580337863</v>
      </c>
      <c r="Q81" s="740">
        <f t="shared" si="22"/>
        <v>568147.69141181896</v>
      </c>
      <c r="R81" s="740">
        <f t="shared" si="22"/>
        <v>3150715.2699469207</v>
      </c>
      <c r="T81" s="875" t="s">
        <v>254</v>
      </c>
      <c r="U81" s="410">
        <f>U78*V81</f>
        <v>7470.1351592833062</v>
      </c>
      <c r="V81" s="1051">
        <v>0.10819148274358495</v>
      </c>
      <c r="Y81" s="875" t="s">
        <v>254</v>
      </c>
      <c r="Z81" s="410">
        <f>Z78*AA81</f>
        <v>6097.9057490139739</v>
      </c>
      <c r="AA81" s="1051">
        <v>0.10819148274358495</v>
      </c>
    </row>
    <row r="82" spans="2:27" outlineLevel="1" x14ac:dyDescent="0.45">
      <c r="B82" s="739"/>
      <c r="C82" s="740">
        <v>1708707.2089806655</v>
      </c>
      <c r="D82" s="740">
        <v>495656.65549999999</v>
      </c>
      <c r="E82" s="740">
        <v>316009.01250000001</v>
      </c>
      <c r="F82" s="740">
        <v>218794.71350000001</v>
      </c>
      <c r="G82" s="740">
        <v>168042.052</v>
      </c>
      <c r="H82" s="740">
        <f>3549669.03323067-SUM(C82:G82)</f>
        <v>642459.39075000398</v>
      </c>
      <c r="I82" s="740">
        <f>SUM(C82:H82)</f>
        <v>3549669.0332306698</v>
      </c>
      <c r="K82" s="739"/>
      <c r="L82" s="740"/>
      <c r="M82" s="740"/>
      <c r="N82" s="740"/>
      <c r="O82" s="740"/>
      <c r="P82" s="740"/>
      <c r="Q82" s="740"/>
      <c r="R82" s="740"/>
    </row>
    <row r="83" spans="2:27" x14ac:dyDescent="0.45">
      <c r="B83" s="739" t="s">
        <v>304</v>
      </c>
      <c r="C83" s="740">
        <f>C81*VLOOKUP(C$68,Table4[#All],2,0)</f>
        <v>66368386.971587554</v>
      </c>
      <c r="D83" s="740">
        <f>D81*VLOOKUP(D$68,Table4[#All],2,0)</f>
        <v>19086266.219999999</v>
      </c>
      <c r="E83" s="740">
        <f>E81*VLOOKUP(E$68,Table4[#All],2,0)</f>
        <v>12587476.010252669</v>
      </c>
      <c r="F83" s="740">
        <f>F81*VLOOKUP(F$68,Table4[#All],2,0)</f>
        <v>8698597.8322851919</v>
      </c>
      <c r="G83" s="740">
        <f>G81*VLOOKUP(G$68,Table4[#All],2,0)</f>
        <v>6718372.8876393782</v>
      </c>
      <c r="H83" s="740">
        <f>H81*VLOOKUP(H$68,Table4[#All],2,0)</f>
        <v>25698375.630000159</v>
      </c>
      <c r="I83" s="740">
        <f>SUM(C83:H83)</f>
        <v>139157475.55176497</v>
      </c>
      <c r="K83" s="739" t="s">
        <v>304</v>
      </c>
      <c r="L83" s="740">
        <f>L81*VLOOKUP(L$68,Table4[#All],2,0)</f>
        <v>61197397.136350222</v>
      </c>
      <c r="M83" s="740">
        <f>M81*VLOOKUP(M$68,Table4[#All],2,0)</f>
        <v>17013679.563372169</v>
      </c>
      <c r="N83" s="740">
        <f>N81*VLOOKUP(N$68,Table4[#All],2,0)</f>
        <v>10947044.399016794</v>
      </c>
      <c r="O83" s="740">
        <f>O81*VLOOKUP(O$68,Table4[#All],2,0)</f>
        <v>7533621.5863233181</v>
      </c>
      <c r="P83" s="740">
        <f>P81*VLOOKUP(P$68,Table4[#All],2,0)</f>
        <v>5944370.2814165773</v>
      </c>
      <c r="Q83" s="740">
        <f>Q81*VLOOKUP(Q$68,Table4[#All],2,0)</f>
        <v>22725907.656472757</v>
      </c>
      <c r="R83" s="740">
        <f>SUM(L83:Q83)</f>
        <v>125362020.62295185</v>
      </c>
    </row>
    <row r="84" spans="2:27" x14ac:dyDescent="0.45">
      <c r="B84" s="739" t="s">
        <v>305</v>
      </c>
      <c r="C84" s="1052">
        <f>C83/$I$83</f>
        <v>0.47693008735918957</v>
      </c>
      <c r="D84" s="1052">
        <f t="shared" ref="D84:H84" si="23">D83/$I$83</f>
        <v>0.13715588145244939</v>
      </c>
      <c r="E84" s="1052">
        <f t="shared" si="23"/>
        <v>9.0454903413149906E-2</v>
      </c>
      <c r="F84" s="1052">
        <f t="shared" si="23"/>
        <v>6.2509022945371084E-2</v>
      </c>
      <c r="G84" s="1052">
        <f t="shared" si="23"/>
        <v>4.8278921854544722E-2</v>
      </c>
      <c r="H84" s="1052">
        <f t="shared" si="23"/>
        <v>0.18467118297529522</v>
      </c>
      <c r="I84" s="740"/>
      <c r="K84" s="739" t="s">
        <v>305</v>
      </c>
      <c r="L84" s="1052">
        <f t="shared" ref="L84:Q84" si="24">L83/$R$83</f>
        <v>0.48816536964103402</v>
      </c>
      <c r="M84" s="1052">
        <f t="shared" si="24"/>
        <v>0.13571637948102144</v>
      </c>
      <c r="N84" s="1052">
        <f t="shared" si="24"/>
        <v>8.7323452068006624E-2</v>
      </c>
      <c r="O84" s="1052">
        <f t="shared" si="24"/>
        <v>6.0094927864811618E-2</v>
      </c>
      <c r="P84" s="1052">
        <f t="shared" si="24"/>
        <v>4.7417632963138875E-2</v>
      </c>
      <c r="Q84" s="1052">
        <f t="shared" si="24"/>
        <v>0.18128223798198731</v>
      </c>
      <c r="R84" s="740"/>
      <c r="T84" t="s">
        <v>188</v>
      </c>
      <c r="U84" s="410">
        <f>SUM(I78:I80)</f>
        <v>981662.06452720473</v>
      </c>
      <c r="V84" s="1017">
        <f>U84/$I$82</f>
        <v>0.27655030802512931</v>
      </c>
      <c r="Y84" t="s">
        <v>188</v>
      </c>
      <c r="Z84" s="410">
        <f>SUM(R78:R80)</f>
        <v>800091.72719464649</v>
      </c>
      <c r="AA84" s="1017">
        <f>Z84/$R$81</f>
        <v>0.25393971166684493</v>
      </c>
    </row>
    <row r="85" spans="2:27" x14ac:dyDescent="0.45">
      <c r="T85" s="329" t="s">
        <v>252</v>
      </c>
      <c r="U85" s="1050">
        <f>U84/13</f>
        <v>75512.466502092677</v>
      </c>
      <c r="Y85" s="329" t="s">
        <v>252</v>
      </c>
      <c r="Z85" s="1050">
        <f>Z84/13</f>
        <v>61545.517476511268</v>
      </c>
    </row>
    <row r="86" spans="2:27" x14ac:dyDescent="0.45">
      <c r="H86" s="1054" t="s">
        <v>306</v>
      </c>
      <c r="I86" s="1055">
        <f>I83/I81</f>
        <v>39.791463961126261</v>
      </c>
      <c r="Q86" s="1054" t="s">
        <v>306</v>
      </c>
      <c r="R86" s="1055">
        <f>R83/R81</f>
        <v>39.788432112135538</v>
      </c>
      <c r="T86" s="875" t="s">
        <v>253</v>
      </c>
      <c r="U86" s="410">
        <f>U85*V86</f>
        <v>37798.181239991114</v>
      </c>
      <c r="V86" s="1051">
        <v>0.50055551077706639</v>
      </c>
      <c r="Y86" s="875" t="s">
        <v>253</v>
      </c>
      <c r="Z86" s="410">
        <f>Z85*AA86</f>
        <v>30806.947936493965</v>
      </c>
      <c r="AA86" s="1051">
        <v>0.50055551077706639</v>
      </c>
    </row>
    <row r="87" spans="2:27" x14ac:dyDescent="0.45">
      <c r="T87" s="875" t="s">
        <v>233</v>
      </c>
      <c r="U87" s="410">
        <f>U85*V87</f>
        <v>28679.183149502165</v>
      </c>
      <c r="V87" s="1051">
        <v>0.37979401915983474</v>
      </c>
      <c r="Y87" s="875" t="s">
        <v>233</v>
      </c>
      <c r="Z87" s="410">
        <f>Z85*AA87</f>
        <v>23374.619443676063</v>
      </c>
      <c r="AA87" s="1051">
        <v>0.37979401915983474</v>
      </c>
    </row>
    <row r="88" spans="2:27" x14ac:dyDescent="0.45">
      <c r="T88" s="875" t="s">
        <v>254</v>
      </c>
      <c r="U88" s="410">
        <f>U85*V88</f>
        <v>8169.8057164866959</v>
      </c>
      <c r="V88" s="1051">
        <v>0.10819148274358495</v>
      </c>
      <c r="Y88" s="875" t="s">
        <v>254</v>
      </c>
      <c r="Z88" s="410">
        <f>Z85*AA88</f>
        <v>6658.7007920049746</v>
      </c>
      <c r="AA88" s="1051">
        <v>0.10819148274358495</v>
      </c>
    </row>
    <row r="91" spans="2:27" x14ac:dyDescent="0.45">
      <c r="Z91">
        <f>-(15000000/40)</f>
        <v>-375000</v>
      </c>
    </row>
  </sheetData>
  <mergeCells count="1">
    <mergeCell ref="Q7:R7"/>
  </mergeCells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D680-00AA-4024-B2C4-60EB826DB72D}">
  <dimension ref="B1:AX107"/>
  <sheetViews>
    <sheetView showGridLines="0" zoomScale="85" zoomScaleNormal="85" workbookViewId="0">
      <selection activeCell="CS62" sqref="CS62"/>
    </sheetView>
  </sheetViews>
  <sheetFormatPr defaultRowHeight="14.25" outlineLevelCol="1" x14ac:dyDescent="0.45"/>
  <cols>
    <col min="2" max="2" width="20.59765625" bestFit="1" customWidth="1"/>
    <col min="3" max="3" width="12.73046875" bestFit="1" customWidth="1"/>
    <col min="4" max="4" width="11.73046875" bestFit="1" customWidth="1"/>
    <col min="5" max="5" width="14" bestFit="1" customWidth="1"/>
    <col min="6" max="6" width="13.265625" bestFit="1" customWidth="1"/>
    <col min="7" max="7" width="15.73046875" bestFit="1" customWidth="1"/>
    <col min="8" max="8" width="15" bestFit="1" customWidth="1"/>
    <col min="9" max="9" width="14.3984375" bestFit="1" customWidth="1"/>
    <col min="10" max="10" width="12.59765625" bestFit="1" customWidth="1"/>
    <col min="13" max="14" width="15.265625" hidden="1" customWidth="1" outlineLevel="1"/>
    <col min="15" max="15" width="9.1328125" hidden="1" customWidth="1" outlineLevel="1"/>
    <col min="16" max="16" width="6.59765625" hidden="1" customWidth="1" outlineLevel="1"/>
    <col min="17" max="17" width="12.73046875" hidden="1" customWidth="1" outlineLevel="1"/>
    <col min="18" max="18" width="11.73046875" hidden="1" customWidth="1" outlineLevel="1"/>
    <col min="19" max="19" width="14.1328125" hidden="1" customWidth="1" outlineLevel="1"/>
    <col min="20" max="20" width="13.265625" hidden="1" customWidth="1" outlineLevel="1"/>
    <col min="21" max="21" width="15.73046875" hidden="1" customWidth="1" outlineLevel="1"/>
    <col min="22" max="22" width="15" hidden="1" customWidth="1" outlineLevel="1"/>
    <col min="23" max="23" width="14.3984375" hidden="1" customWidth="1" outlineLevel="1"/>
    <col min="24" max="24" width="12.59765625" hidden="1" customWidth="1" outlineLevel="1"/>
    <col min="25" max="35" width="0" hidden="1" customWidth="1" outlineLevel="1"/>
    <col min="36" max="36" width="9.1328125" collapsed="1"/>
    <col min="41" max="41" width="10.265625" bestFit="1" customWidth="1"/>
    <col min="42" max="42" width="9.265625" bestFit="1" customWidth="1"/>
    <col min="43" max="43" width="10.265625" bestFit="1" customWidth="1"/>
    <col min="44" max="49" width="9.265625" bestFit="1" customWidth="1"/>
    <col min="50" max="50" width="11.265625" bestFit="1" customWidth="1"/>
  </cols>
  <sheetData>
    <row r="1" spans="2:50" x14ac:dyDescent="0.45">
      <c r="C1" s="1017">
        <v>0.55500000000000005</v>
      </c>
    </row>
    <row r="2" spans="2:50" x14ac:dyDescent="0.45">
      <c r="B2" s="875"/>
      <c r="C2" s="1045"/>
      <c r="D2" s="1045"/>
      <c r="E2" s="1045"/>
      <c r="F2" s="1045"/>
      <c r="G2" s="1045"/>
      <c r="H2" s="1045"/>
      <c r="I2" s="1045"/>
      <c r="J2" s="876"/>
    </row>
    <row r="3" spans="2:50" x14ac:dyDescent="0.45">
      <c r="B3" t="s">
        <v>236</v>
      </c>
    </row>
    <row r="4" spans="2:50" x14ac:dyDescent="0.45">
      <c r="B4" s="865"/>
      <c r="C4" s="865" t="s">
        <v>2</v>
      </c>
      <c r="D4" s="865" t="s">
        <v>3</v>
      </c>
      <c r="E4" s="865" t="s">
        <v>4</v>
      </c>
      <c r="F4" s="865" t="s">
        <v>135</v>
      </c>
      <c r="G4" s="865" t="s">
        <v>154</v>
      </c>
      <c r="H4" s="865" t="s">
        <v>137</v>
      </c>
      <c r="I4" s="865" t="s">
        <v>138</v>
      </c>
      <c r="J4" s="865" t="s">
        <v>201</v>
      </c>
      <c r="O4" t="s">
        <v>237</v>
      </c>
      <c r="AK4" s="325" t="s">
        <v>239</v>
      </c>
      <c r="AL4" s="325" t="s">
        <v>189</v>
      </c>
      <c r="AM4" s="325" t="s">
        <v>190</v>
      </c>
      <c r="AN4" s="325" t="s">
        <v>191</v>
      </c>
      <c r="AO4" s="325" t="s">
        <v>192</v>
      </c>
      <c r="AP4" s="325" t="s">
        <v>193</v>
      </c>
      <c r="AQ4" s="325" t="s">
        <v>194</v>
      </c>
      <c r="AR4" s="325" t="s">
        <v>195</v>
      </c>
      <c r="AS4" s="325" t="s">
        <v>196</v>
      </c>
      <c r="AT4" s="325" t="s">
        <v>197</v>
      </c>
      <c r="AU4" s="325" t="s">
        <v>198</v>
      </c>
      <c r="AV4" s="325" t="s">
        <v>199</v>
      </c>
      <c r="AW4" s="325" t="s">
        <v>200</v>
      </c>
      <c r="AX4" s="325" t="s">
        <v>201</v>
      </c>
    </row>
    <row r="5" spans="2:50" x14ac:dyDescent="0.45">
      <c r="B5" s="865" t="s">
        <v>189</v>
      </c>
      <c r="C5" s="336">
        <v>10376960</v>
      </c>
      <c r="D5" s="336">
        <v>2560000</v>
      </c>
      <c r="E5" s="336">
        <v>5677200</v>
      </c>
      <c r="F5" s="336">
        <v>0</v>
      </c>
      <c r="G5" s="336">
        <v>0</v>
      </c>
      <c r="H5" s="336">
        <v>28800</v>
      </c>
      <c r="I5" s="336">
        <v>28224</v>
      </c>
      <c r="J5" s="740">
        <f t="shared" ref="J5:J17" si="0">SUM(C5:I5)</f>
        <v>18671184</v>
      </c>
      <c r="O5" t="s">
        <v>238</v>
      </c>
      <c r="AK5" s="325" t="s">
        <v>2</v>
      </c>
      <c r="AL5" s="325">
        <v>10376960</v>
      </c>
      <c r="AM5" s="325">
        <v>4985400</v>
      </c>
      <c r="AN5" s="325">
        <v>7376400</v>
      </c>
      <c r="AO5" s="335">
        <v>5699680</v>
      </c>
      <c r="AP5" s="335">
        <v>3376480</v>
      </c>
      <c r="AQ5" s="335">
        <v>5343360</v>
      </c>
      <c r="AR5" s="335">
        <v>2578752</v>
      </c>
      <c r="AS5" s="335">
        <v>2277897.6</v>
      </c>
      <c r="AT5" s="335">
        <v>2922585.6</v>
      </c>
      <c r="AU5" s="335">
        <v>2148960</v>
      </c>
      <c r="AV5" s="335">
        <v>2277897.6</v>
      </c>
      <c r="AW5" s="335">
        <v>3564032.4000000004</v>
      </c>
      <c r="AX5" s="335">
        <v>52928405.200000003</v>
      </c>
    </row>
    <row r="6" spans="2:50" x14ac:dyDescent="0.45">
      <c r="B6" s="865" t="s">
        <v>190</v>
      </c>
      <c r="C6" s="336">
        <v>4985400</v>
      </c>
      <c r="D6" s="336">
        <v>2080000</v>
      </c>
      <c r="E6" s="336">
        <v>5968800</v>
      </c>
      <c r="F6" s="336">
        <v>0</v>
      </c>
      <c r="G6" s="336">
        <v>13668</v>
      </c>
      <c r="H6" s="336">
        <v>28500</v>
      </c>
      <c r="I6" s="336">
        <v>0</v>
      </c>
      <c r="J6" s="740">
        <f t="shared" si="0"/>
        <v>13076368</v>
      </c>
      <c r="AK6" s="325" t="s">
        <v>3</v>
      </c>
      <c r="AL6" s="325">
        <v>2560000</v>
      </c>
      <c r="AM6" s="325">
        <v>2080000</v>
      </c>
      <c r="AN6" s="325">
        <v>1760000</v>
      </c>
      <c r="AO6" s="335">
        <v>1600000</v>
      </c>
      <c r="AP6" s="335">
        <v>960000</v>
      </c>
      <c r="AQ6" s="335">
        <v>1600000</v>
      </c>
      <c r="AR6" s="335">
        <v>710400.00000000012</v>
      </c>
      <c r="AS6" s="335">
        <v>710400.00000000012</v>
      </c>
      <c r="AT6" s="335">
        <v>976800.00000000012</v>
      </c>
      <c r="AU6" s="335">
        <v>799200.00000000012</v>
      </c>
      <c r="AV6" s="335">
        <v>710400.00000000012</v>
      </c>
      <c r="AW6" s="335">
        <v>976800.00000000012</v>
      </c>
      <c r="AX6" s="335">
        <v>15444000</v>
      </c>
    </row>
    <row r="7" spans="2:50" x14ac:dyDescent="0.45">
      <c r="B7" s="865" t="s">
        <v>191</v>
      </c>
      <c r="C7" s="336">
        <v>7376400</v>
      </c>
      <c r="D7" s="336">
        <v>1760000</v>
      </c>
      <c r="E7" s="336">
        <v>8875000</v>
      </c>
      <c r="F7" s="336">
        <v>64000</v>
      </c>
      <c r="G7" s="336">
        <v>27900</v>
      </c>
      <c r="H7" s="336">
        <v>86400</v>
      </c>
      <c r="I7" s="336">
        <v>57600</v>
      </c>
      <c r="J7" s="740">
        <f t="shared" si="0"/>
        <v>18247300</v>
      </c>
      <c r="O7" s="871" t="s">
        <v>239</v>
      </c>
      <c r="P7" s="871" t="s">
        <v>240</v>
      </c>
      <c r="Q7" s="871" t="s">
        <v>79</v>
      </c>
      <c r="R7" s="1249" t="s">
        <v>175</v>
      </c>
      <c r="S7" s="1250"/>
      <c r="AK7" s="325" t="s">
        <v>4</v>
      </c>
      <c r="AL7" s="325">
        <v>5677200</v>
      </c>
      <c r="AM7" s="325">
        <v>5968800</v>
      </c>
      <c r="AN7" s="325">
        <v>8875000</v>
      </c>
      <c r="AO7" s="335">
        <v>5538000</v>
      </c>
      <c r="AP7" s="335">
        <v>3124000</v>
      </c>
      <c r="AQ7" s="335">
        <v>5112000</v>
      </c>
      <c r="AR7" s="335">
        <v>2443110</v>
      </c>
      <c r="AS7" s="335">
        <v>2521920</v>
      </c>
      <c r="AT7" s="335">
        <v>3231210.0000000005</v>
      </c>
      <c r="AU7" s="335">
        <v>2521920</v>
      </c>
      <c r="AV7" s="335">
        <v>2600730</v>
      </c>
      <c r="AW7" s="335">
        <v>3231210.0000000005</v>
      </c>
      <c r="AX7" s="335">
        <v>50845100</v>
      </c>
    </row>
    <row r="8" spans="2:50" x14ac:dyDescent="0.45">
      <c r="B8" s="865" t="s">
        <v>192</v>
      </c>
      <c r="C8" s="336">
        <v>5699680</v>
      </c>
      <c r="D8" s="336">
        <v>1600000</v>
      </c>
      <c r="E8" s="336">
        <v>5538000</v>
      </c>
      <c r="F8" s="336">
        <v>0</v>
      </c>
      <c r="G8" s="336">
        <v>14400</v>
      </c>
      <c r="H8" s="336">
        <v>28800</v>
      </c>
      <c r="I8" s="336">
        <v>28800</v>
      </c>
      <c r="J8" s="740">
        <f t="shared" si="0"/>
        <v>12909680</v>
      </c>
      <c r="O8" s="326" t="s">
        <v>241</v>
      </c>
      <c r="P8" s="326" t="s">
        <v>242</v>
      </c>
      <c r="Q8" s="326">
        <v>2987.2376435803112</v>
      </c>
      <c r="R8" s="325"/>
      <c r="S8" s="325"/>
      <c r="AK8" s="325" t="s">
        <v>135</v>
      </c>
      <c r="AL8" s="325">
        <v>0</v>
      </c>
      <c r="AM8" s="325">
        <v>0</v>
      </c>
      <c r="AN8" s="325">
        <v>64000</v>
      </c>
      <c r="AO8" s="335">
        <v>0</v>
      </c>
      <c r="AP8" s="335">
        <v>0</v>
      </c>
      <c r="AQ8" s="335">
        <v>0</v>
      </c>
      <c r="AR8" s="335">
        <v>0</v>
      </c>
      <c r="AS8" s="335">
        <v>0</v>
      </c>
      <c r="AT8" s="335">
        <v>0</v>
      </c>
      <c r="AU8" s="335">
        <v>0</v>
      </c>
      <c r="AV8" s="335">
        <v>0</v>
      </c>
      <c r="AW8" s="335">
        <v>0</v>
      </c>
      <c r="AX8" s="335">
        <v>64000</v>
      </c>
    </row>
    <row r="9" spans="2:50" x14ac:dyDescent="0.45">
      <c r="B9" s="865" t="s">
        <v>193</v>
      </c>
      <c r="C9" s="336">
        <v>3376480</v>
      </c>
      <c r="D9" s="336">
        <v>960000</v>
      </c>
      <c r="E9" s="336">
        <v>3124000</v>
      </c>
      <c r="F9" s="336">
        <v>0</v>
      </c>
      <c r="G9" s="336">
        <v>14400</v>
      </c>
      <c r="H9" s="336">
        <v>28800</v>
      </c>
      <c r="I9" s="336">
        <v>28800</v>
      </c>
      <c r="J9" s="740">
        <f t="shared" si="0"/>
        <v>7532480</v>
      </c>
      <c r="O9" s="867" t="s">
        <v>241</v>
      </c>
      <c r="P9" s="867" t="s">
        <v>243</v>
      </c>
      <c r="Q9" s="867">
        <f>'Pricing Structure - All SKU'!BN77</f>
        <v>3288.7304973245705</v>
      </c>
      <c r="R9" s="869">
        <f>Q9/Q8-1</f>
        <v>0.1009269732497442</v>
      </c>
      <c r="S9" s="869"/>
      <c r="AK9" s="325" t="s">
        <v>154</v>
      </c>
      <c r="AL9" s="325">
        <v>0</v>
      </c>
      <c r="AM9" s="325">
        <v>13668</v>
      </c>
      <c r="AN9" s="325">
        <v>27900</v>
      </c>
      <c r="AO9" s="335">
        <v>14400</v>
      </c>
      <c r="AP9" s="335">
        <v>14400</v>
      </c>
      <c r="AQ9" s="335">
        <v>14400</v>
      </c>
      <c r="AR9" s="335">
        <v>0</v>
      </c>
      <c r="AS9" s="335">
        <v>7992.0000000000009</v>
      </c>
      <c r="AT9" s="335">
        <v>7992.0000000000009</v>
      </c>
      <c r="AU9" s="335">
        <v>7992.0000000000009</v>
      </c>
      <c r="AV9" s="335">
        <v>0</v>
      </c>
      <c r="AW9" s="335">
        <v>7992.0000000000009</v>
      </c>
      <c r="AX9" s="335">
        <v>116736</v>
      </c>
    </row>
    <row r="10" spans="2:50" x14ac:dyDescent="0.45">
      <c r="B10" s="865" t="s">
        <v>194</v>
      </c>
      <c r="C10" s="336">
        <v>5343360</v>
      </c>
      <c r="D10" s="336">
        <v>1600000</v>
      </c>
      <c r="E10" s="336">
        <v>5112000</v>
      </c>
      <c r="F10" s="336">
        <v>0</v>
      </c>
      <c r="G10" s="336">
        <v>14400</v>
      </c>
      <c r="H10" s="336">
        <v>57600</v>
      </c>
      <c r="I10" s="336">
        <v>28800</v>
      </c>
      <c r="J10" s="740">
        <f t="shared" si="0"/>
        <v>12156160</v>
      </c>
      <c r="O10" s="326" t="s">
        <v>244</v>
      </c>
      <c r="P10" s="326" t="s">
        <v>242</v>
      </c>
      <c r="Q10" s="326">
        <v>2925.9328552956576</v>
      </c>
      <c r="R10" s="868"/>
      <c r="S10" s="868"/>
      <c r="AK10" s="325" t="s">
        <v>137</v>
      </c>
      <c r="AL10" s="325">
        <v>28800</v>
      </c>
      <c r="AM10" s="325">
        <v>28500</v>
      </c>
      <c r="AN10" s="325">
        <v>86400</v>
      </c>
      <c r="AO10" s="335">
        <v>28800</v>
      </c>
      <c r="AP10" s="335">
        <v>28800</v>
      </c>
      <c r="AQ10" s="335">
        <v>57600</v>
      </c>
      <c r="AR10" s="335">
        <v>15984.000000000002</v>
      </c>
      <c r="AS10" s="335">
        <v>31968.000000000004</v>
      </c>
      <c r="AT10" s="335">
        <v>15984.000000000002</v>
      </c>
      <c r="AU10" s="335">
        <v>15984.000000000002</v>
      </c>
      <c r="AV10" s="335">
        <v>15984.000000000002</v>
      </c>
      <c r="AW10" s="335">
        <v>15984.000000000002</v>
      </c>
      <c r="AX10" s="335">
        <v>370788</v>
      </c>
    </row>
    <row r="11" spans="2:50" x14ac:dyDescent="0.45">
      <c r="B11" s="865" t="s">
        <v>195</v>
      </c>
      <c r="C11" s="336">
        <f>'STT STD - By SKU 150'!C11*$C$1</f>
        <v>2578752</v>
      </c>
      <c r="D11" s="336">
        <f>'STT STD - By SKU 150'!D11*$C$1</f>
        <v>710400.00000000012</v>
      </c>
      <c r="E11" s="336">
        <f>'STT STD - By SKU 150'!E11*$C$1</f>
        <v>2443110</v>
      </c>
      <c r="F11" s="336">
        <f>'STT STD - By SKU 150'!F11*$C$1</f>
        <v>0</v>
      </c>
      <c r="G11" s="336">
        <f>'STT STD - By SKU 150'!G11*$C$1</f>
        <v>0</v>
      </c>
      <c r="H11" s="336">
        <f>'STT STD - By SKU 150'!H11*$C$1</f>
        <v>15984.000000000002</v>
      </c>
      <c r="I11" s="336">
        <f>'STT STD - By SKU 150'!I11*$C$1</f>
        <v>0</v>
      </c>
      <c r="J11" s="740">
        <f t="shared" si="0"/>
        <v>5748246</v>
      </c>
      <c r="O11" s="326" t="s">
        <v>244</v>
      </c>
      <c r="P11" s="872" t="s">
        <v>245</v>
      </c>
      <c r="Q11" s="326">
        <v>3120.8569665914602</v>
      </c>
      <c r="R11" s="868">
        <f>Q11/Q10-1</f>
        <v>6.6619475201903144E-2</v>
      </c>
      <c r="S11" s="868"/>
      <c r="AK11" s="325" t="s">
        <v>138</v>
      </c>
      <c r="AL11" s="325">
        <v>28224</v>
      </c>
      <c r="AM11" s="325">
        <v>0</v>
      </c>
      <c r="AN11" s="325">
        <v>57600</v>
      </c>
      <c r="AO11" s="335">
        <v>28800</v>
      </c>
      <c r="AP11" s="335">
        <v>28800</v>
      </c>
      <c r="AQ11" s="335">
        <v>28800</v>
      </c>
      <c r="AR11" s="335">
        <v>0</v>
      </c>
      <c r="AS11" s="335">
        <v>15984.000000000002</v>
      </c>
      <c r="AT11" s="335">
        <v>15984.000000000002</v>
      </c>
      <c r="AU11" s="335">
        <v>0</v>
      </c>
      <c r="AV11" s="335">
        <v>15984.000000000002</v>
      </c>
      <c r="AW11" s="335">
        <v>15984.000000000002</v>
      </c>
      <c r="AX11" s="335">
        <v>236160</v>
      </c>
    </row>
    <row r="12" spans="2:50" x14ac:dyDescent="0.45">
      <c r="B12" s="865" t="s">
        <v>196</v>
      </c>
      <c r="C12" s="336">
        <f>'STT STD - By SKU 150'!C12*$C$1</f>
        <v>2277897.6</v>
      </c>
      <c r="D12" s="336">
        <f>'STT STD - By SKU 150'!D12*$C$1</f>
        <v>710400.00000000012</v>
      </c>
      <c r="E12" s="336">
        <f>'STT STD - By SKU 150'!E12*$C$1</f>
        <v>2521920</v>
      </c>
      <c r="F12" s="336">
        <f>'STT STD - By SKU 150'!F12*$C$1</f>
        <v>0</v>
      </c>
      <c r="G12" s="336">
        <f>'STT STD - By SKU 150'!G12*$C$1</f>
        <v>7992.0000000000009</v>
      </c>
      <c r="H12" s="336">
        <f>'STT STD - By SKU 150'!H12*$C$1</f>
        <v>31968.000000000004</v>
      </c>
      <c r="I12" s="336">
        <f>'STT STD - By SKU 150'!I12*$C$1</f>
        <v>15984.000000000002</v>
      </c>
      <c r="J12" s="740">
        <f t="shared" si="0"/>
        <v>5566161.5999999996</v>
      </c>
      <c r="O12" s="867" t="s">
        <v>244</v>
      </c>
      <c r="P12" s="867" t="s">
        <v>246</v>
      </c>
      <c r="Q12" s="867">
        <f>'Pricing Structure - All SKU'!BV77</f>
        <v>3553.3705699351972</v>
      </c>
      <c r="R12" s="869">
        <f>Q12/Q11-1</f>
        <v>0.13858808909660469</v>
      </c>
      <c r="S12" s="869">
        <f>Q12/Q10-1</f>
        <v>0.21444023006335833</v>
      </c>
      <c r="AK12" s="325" t="s">
        <v>201</v>
      </c>
      <c r="AL12" s="325">
        <v>18671184</v>
      </c>
      <c r="AM12" s="325">
        <v>13076368</v>
      </c>
      <c r="AN12" s="325">
        <v>18247300</v>
      </c>
      <c r="AO12" s="335">
        <v>12909680</v>
      </c>
      <c r="AP12" s="335">
        <v>7532480</v>
      </c>
      <c r="AQ12" s="335">
        <v>12156160</v>
      </c>
      <c r="AR12" s="335">
        <v>5748246</v>
      </c>
      <c r="AS12" s="335">
        <v>5566161.5999999996</v>
      </c>
      <c r="AT12" s="335">
        <v>7170555.6000000006</v>
      </c>
      <c r="AU12" s="335">
        <v>5494056</v>
      </c>
      <c r="AV12" s="335">
        <v>5620995.5999999996</v>
      </c>
      <c r="AW12" s="335">
        <v>7812002.4000000004</v>
      </c>
      <c r="AX12" s="335">
        <f>SUM(AX5:AX11)</f>
        <v>120005189.2</v>
      </c>
    </row>
    <row r="13" spans="2:50" x14ac:dyDescent="0.45">
      <c r="B13" s="865" t="s">
        <v>197</v>
      </c>
      <c r="C13" s="336">
        <f>'STT STD - By SKU 150'!C13*$C$1</f>
        <v>2922585.6</v>
      </c>
      <c r="D13" s="336">
        <f>'STT STD - By SKU 150'!D13*$C$1</f>
        <v>976800.00000000012</v>
      </c>
      <c r="E13" s="336">
        <f>'STT STD - By SKU 150'!E13*$C$1</f>
        <v>3231210.0000000005</v>
      </c>
      <c r="F13" s="336">
        <f>'STT STD - By SKU 150'!F13*$C$1</f>
        <v>0</v>
      </c>
      <c r="G13" s="336">
        <f>'STT STD - By SKU 150'!G13*$C$1</f>
        <v>7992.0000000000009</v>
      </c>
      <c r="H13" s="336">
        <f>'STT STD - By SKU 150'!H13*$C$1</f>
        <v>15984.000000000002</v>
      </c>
      <c r="I13" s="336">
        <f>'STT STD - By SKU 150'!I13*$C$1</f>
        <v>15984.000000000002</v>
      </c>
      <c r="J13" s="740">
        <f t="shared" si="0"/>
        <v>7170555.6000000006</v>
      </c>
      <c r="AO13" s="334"/>
      <c r="AP13" s="334"/>
      <c r="AQ13" s="334"/>
      <c r="AR13" s="334"/>
      <c r="AS13" s="334"/>
      <c r="AT13" s="334"/>
      <c r="AU13" s="334"/>
      <c r="AV13" s="334"/>
      <c r="AW13" s="334"/>
      <c r="AX13" s="334"/>
    </row>
    <row r="14" spans="2:50" x14ac:dyDescent="0.45">
      <c r="B14" s="865" t="s">
        <v>198</v>
      </c>
      <c r="C14" s="336">
        <f>'STT STD - By SKU 150'!C14*$C$1</f>
        <v>2148960</v>
      </c>
      <c r="D14" s="336">
        <f>'STT STD - By SKU 150'!D14*$C$1</f>
        <v>799200.00000000012</v>
      </c>
      <c r="E14" s="336">
        <f>'STT STD - By SKU 150'!E14*$C$1</f>
        <v>2521920</v>
      </c>
      <c r="F14" s="336">
        <f>'STT STD - By SKU 150'!F14*$C$1</f>
        <v>0</v>
      </c>
      <c r="G14" s="336">
        <f>'STT STD - By SKU 150'!G14*$C$1</f>
        <v>7992.0000000000009</v>
      </c>
      <c r="H14" s="336">
        <f>'STT STD - By SKU 150'!H14*$C$1</f>
        <v>15984.000000000002</v>
      </c>
      <c r="I14" s="336">
        <f>'STT STD - By SKU 150'!I14*$C$1</f>
        <v>0</v>
      </c>
      <c r="J14" s="740">
        <f t="shared" si="0"/>
        <v>5494056</v>
      </c>
      <c r="AN14" t="s">
        <v>307</v>
      </c>
      <c r="AO14" s="334">
        <f>3550*40*3*4</f>
        <v>1704000</v>
      </c>
      <c r="AP14" s="334">
        <f t="shared" ref="AP14:AV14" si="1">3550*40*3*4</f>
        <v>1704000</v>
      </c>
      <c r="AQ14" s="334">
        <f>3550*40*3*5</f>
        <v>2130000</v>
      </c>
      <c r="AR14" s="334">
        <f t="shared" si="1"/>
        <v>1704000</v>
      </c>
      <c r="AS14" s="334">
        <f t="shared" si="1"/>
        <v>1704000</v>
      </c>
      <c r="AT14" s="334">
        <f>3550*40*3*5</f>
        <v>2130000</v>
      </c>
      <c r="AU14" s="334">
        <f t="shared" si="1"/>
        <v>1704000</v>
      </c>
      <c r="AV14" s="334">
        <f t="shared" si="1"/>
        <v>1704000</v>
      </c>
      <c r="AW14" s="334">
        <f>3550*40*3*5</f>
        <v>2130000</v>
      </c>
      <c r="AX14" s="334"/>
    </row>
    <row r="15" spans="2:50" x14ac:dyDescent="0.45">
      <c r="B15" s="865" t="s">
        <v>199</v>
      </c>
      <c r="C15" s="336">
        <f>'STT STD - By SKU 150'!C15*$C$1</f>
        <v>2277897.6</v>
      </c>
      <c r="D15" s="336">
        <f>'STT STD - By SKU 150'!D15*$C$1</f>
        <v>710400.00000000012</v>
      </c>
      <c r="E15" s="336">
        <f>'STT STD - By SKU 150'!E15*$C$1</f>
        <v>2600730</v>
      </c>
      <c r="F15" s="336">
        <f>'STT STD - By SKU 150'!F15*$C$1</f>
        <v>0</v>
      </c>
      <c r="G15" s="336">
        <f>'STT STD - By SKU 150'!G15*$C$1</f>
        <v>0</v>
      </c>
      <c r="H15" s="336">
        <f>'STT STD - By SKU 150'!H15*$C$1</f>
        <v>15984.000000000002</v>
      </c>
      <c r="I15" s="336">
        <f>'STT STD - By SKU 150'!I15*$C$1</f>
        <v>15984.000000000002</v>
      </c>
      <c r="J15" s="740">
        <f t="shared" si="0"/>
        <v>5620995.5999999996</v>
      </c>
      <c r="AN15" t="s">
        <v>308</v>
      </c>
      <c r="AO15" s="334">
        <f>AO7-AO14</f>
        <v>3834000</v>
      </c>
      <c r="AP15" s="334">
        <f t="shared" ref="AP15:AW15" si="2">AP7-AP14</f>
        <v>1420000</v>
      </c>
      <c r="AQ15" s="334">
        <f t="shared" si="2"/>
        <v>2982000</v>
      </c>
      <c r="AR15" s="334">
        <f t="shared" si="2"/>
        <v>739110</v>
      </c>
      <c r="AS15" s="334">
        <f t="shared" si="2"/>
        <v>817920</v>
      </c>
      <c r="AT15" s="334">
        <f t="shared" si="2"/>
        <v>1101210.0000000005</v>
      </c>
      <c r="AU15" s="334">
        <f t="shared" si="2"/>
        <v>817920</v>
      </c>
      <c r="AV15" s="334">
        <f t="shared" si="2"/>
        <v>896730</v>
      </c>
      <c r="AW15" s="334">
        <f t="shared" si="2"/>
        <v>1101210.0000000005</v>
      </c>
    </row>
    <row r="16" spans="2:50" x14ac:dyDescent="0.45">
      <c r="B16" s="865" t="s">
        <v>200</v>
      </c>
      <c r="C16" s="336">
        <f>'STT STD - By SKU 150'!C16*$C$1</f>
        <v>3564032.4000000004</v>
      </c>
      <c r="D16" s="336">
        <f>'STT STD - By SKU 150'!D16*$C$1</f>
        <v>976800.00000000012</v>
      </c>
      <c r="E16" s="336">
        <f>'STT STD - By SKU 150'!E16*$C$1</f>
        <v>3231210.0000000005</v>
      </c>
      <c r="F16" s="336">
        <f>'STT STD - By SKU 150'!F16*$C$1</f>
        <v>0</v>
      </c>
      <c r="G16" s="336">
        <f>'STT STD - By SKU 150'!G16*$C$1</f>
        <v>7992.0000000000009</v>
      </c>
      <c r="H16" s="336">
        <f>'STT STD - By SKU 150'!H16*$C$1</f>
        <v>15984.000000000002</v>
      </c>
      <c r="I16" s="336">
        <f>'STT STD - By SKU 150'!I16*$C$1</f>
        <v>15984.000000000002</v>
      </c>
      <c r="J16" s="740">
        <f t="shared" si="0"/>
        <v>7812002.4000000004</v>
      </c>
    </row>
    <row r="17" spans="2:10" x14ac:dyDescent="0.45">
      <c r="B17" s="739" t="s">
        <v>201</v>
      </c>
      <c r="C17" s="740">
        <f t="shared" ref="C17:I17" si="3">SUM(C5:C16)</f>
        <v>52928405.200000003</v>
      </c>
      <c r="D17" s="740">
        <f t="shared" si="3"/>
        <v>15444000</v>
      </c>
      <c r="E17" s="740">
        <f t="shared" si="3"/>
        <v>50845100</v>
      </c>
      <c r="F17" s="740">
        <f t="shared" si="3"/>
        <v>64000</v>
      </c>
      <c r="G17" s="740">
        <f t="shared" si="3"/>
        <v>116736</v>
      </c>
      <c r="H17" s="740">
        <f t="shared" si="3"/>
        <v>370788</v>
      </c>
      <c r="I17" s="740">
        <f t="shared" si="3"/>
        <v>236160</v>
      </c>
      <c r="J17" s="740">
        <f t="shared" si="0"/>
        <v>120005189.2</v>
      </c>
    </row>
    <row r="18" spans="2:10" x14ac:dyDescent="0.45">
      <c r="C18" s="412"/>
      <c r="D18" s="412"/>
      <c r="E18" s="412"/>
      <c r="F18" s="412"/>
      <c r="G18" s="412"/>
      <c r="H18" s="412"/>
      <c r="I18" s="412"/>
      <c r="J18" s="412"/>
    </row>
    <row r="19" spans="2:10" x14ac:dyDescent="0.45">
      <c r="B19" s="865"/>
      <c r="C19" s="865" t="s">
        <v>2</v>
      </c>
      <c r="D19" s="865" t="s">
        <v>3</v>
      </c>
      <c r="E19" s="865" t="s">
        <v>4</v>
      </c>
      <c r="F19" s="865" t="s">
        <v>135</v>
      </c>
      <c r="G19" s="865" t="s">
        <v>154</v>
      </c>
      <c r="H19" s="865" t="s">
        <v>137</v>
      </c>
      <c r="I19" s="865" t="s">
        <v>138</v>
      </c>
      <c r="J19" s="865" t="s">
        <v>201</v>
      </c>
    </row>
    <row r="20" spans="2:10" x14ac:dyDescent="0.45">
      <c r="B20" s="865" t="s">
        <v>189</v>
      </c>
      <c r="C20" s="336">
        <f t="shared" ref="C20:I31" si="4">C5/RIGHT(C$4,2)</f>
        <v>259424</v>
      </c>
      <c r="D20" s="336">
        <f t="shared" si="4"/>
        <v>64000</v>
      </c>
      <c r="E20" s="336">
        <f t="shared" si="4"/>
        <v>141930</v>
      </c>
      <c r="F20" s="336">
        <f t="shared" si="4"/>
        <v>0</v>
      </c>
      <c r="G20" s="336">
        <f t="shared" si="4"/>
        <v>0</v>
      </c>
      <c r="H20" s="336">
        <f t="shared" si="4"/>
        <v>2400</v>
      </c>
      <c r="I20" s="336">
        <f t="shared" si="4"/>
        <v>1176</v>
      </c>
      <c r="J20" s="740">
        <f t="shared" ref="J20:J32" si="5">SUM(C20:I20)</f>
        <v>468930</v>
      </c>
    </row>
    <row r="21" spans="2:10" x14ac:dyDescent="0.45">
      <c r="B21" s="865" t="s">
        <v>190</v>
      </c>
      <c r="C21" s="336">
        <f t="shared" si="4"/>
        <v>124635</v>
      </c>
      <c r="D21" s="336">
        <f t="shared" si="4"/>
        <v>52000</v>
      </c>
      <c r="E21" s="336">
        <f t="shared" si="4"/>
        <v>149220</v>
      </c>
      <c r="F21" s="336">
        <f t="shared" si="4"/>
        <v>0</v>
      </c>
      <c r="G21" s="336">
        <f t="shared" si="4"/>
        <v>1139</v>
      </c>
      <c r="H21" s="336">
        <f t="shared" si="4"/>
        <v>2375</v>
      </c>
      <c r="I21" s="336">
        <f t="shared" si="4"/>
        <v>0</v>
      </c>
      <c r="J21" s="740">
        <f t="shared" si="5"/>
        <v>329369</v>
      </c>
    </row>
    <row r="22" spans="2:10" x14ac:dyDescent="0.45">
      <c r="B22" s="865" t="s">
        <v>191</v>
      </c>
      <c r="C22" s="336">
        <f t="shared" si="4"/>
        <v>184410</v>
      </c>
      <c r="D22" s="336">
        <f t="shared" si="4"/>
        <v>44000</v>
      </c>
      <c r="E22" s="336">
        <f t="shared" si="4"/>
        <v>221875</v>
      </c>
      <c r="F22" s="336">
        <f t="shared" si="4"/>
        <v>1600</v>
      </c>
      <c r="G22" s="336">
        <f t="shared" si="4"/>
        <v>2325</v>
      </c>
      <c r="H22" s="336">
        <f t="shared" si="4"/>
        <v>7200</v>
      </c>
      <c r="I22" s="336">
        <f t="shared" si="4"/>
        <v>2400</v>
      </c>
      <c r="J22" s="740">
        <f t="shared" si="5"/>
        <v>463810</v>
      </c>
    </row>
    <row r="23" spans="2:10" x14ac:dyDescent="0.45">
      <c r="B23" s="865" t="s">
        <v>192</v>
      </c>
      <c r="C23" s="336">
        <f t="shared" si="4"/>
        <v>142492</v>
      </c>
      <c r="D23" s="336">
        <f t="shared" si="4"/>
        <v>40000</v>
      </c>
      <c r="E23" s="336">
        <f t="shared" si="4"/>
        <v>138450</v>
      </c>
      <c r="F23" s="336">
        <f t="shared" si="4"/>
        <v>0</v>
      </c>
      <c r="G23" s="336">
        <f t="shared" si="4"/>
        <v>1200</v>
      </c>
      <c r="H23" s="336">
        <f t="shared" si="4"/>
        <v>2400</v>
      </c>
      <c r="I23" s="336">
        <f t="shared" si="4"/>
        <v>1200</v>
      </c>
      <c r="J23" s="740">
        <f t="shared" si="5"/>
        <v>325742</v>
      </c>
    </row>
    <row r="24" spans="2:10" x14ac:dyDescent="0.45">
      <c r="B24" s="865" t="s">
        <v>193</v>
      </c>
      <c r="C24" s="336">
        <f t="shared" si="4"/>
        <v>84412</v>
      </c>
      <c r="D24" s="336">
        <f t="shared" si="4"/>
        <v>24000</v>
      </c>
      <c r="E24" s="336">
        <f t="shared" si="4"/>
        <v>78100</v>
      </c>
      <c r="F24" s="336">
        <f t="shared" si="4"/>
        <v>0</v>
      </c>
      <c r="G24" s="336">
        <f t="shared" si="4"/>
        <v>1200</v>
      </c>
      <c r="H24" s="336">
        <f t="shared" si="4"/>
        <v>2400</v>
      </c>
      <c r="I24" s="336">
        <f t="shared" si="4"/>
        <v>1200</v>
      </c>
      <c r="J24" s="740">
        <f t="shared" si="5"/>
        <v>191312</v>
      </c>
    </row>
    <row r="25" spans="2:10" x14ac:dyDescent="0.45">
      <c r="B25" s="865" t="s">
        <v>194</v>
      </c>
      <c r="C25" s="336">
        <f t="shared" si="4"/>
        <v>133584</v>
      </c>
      <c r="D25" s="336">
        <f t="shared" si="4"/>
        <v>40000</v>
      </c>
      <c r="E25" s="336">
        <f t="shared" si="4"/>
        <v>127800</v>
      </c>
      <c r="F25" s="336">
        <f t="shared" si="4"/>
        <v>0</v>
      </c>
      <c r="G25" s="336">
        <f t="shared" si="4"/>
        <v>1200</v>
      </c>
      <c r="H25" s="336">
        <f t="shared" si="4"/>
        <v>4800</v>
      </c>
      <c r="I25" s="336">
        <f t="shared" si="4"/>
        <v>1200</v>
      </c>
      <c r="J25" s="740">
        <f t="shared" si="5"/>
        <v>308584</v>
      </c>
    </row>
    <row r="26" spans="2:10" x14ac:dyDescent="0.45">
      <c r="B26" s="865" t="s">
        <v>195</v>
      </c>
      <c r="C26" s="336">
        <f t="shared" si="4"/>
        <v>64468.800000000003</v>
      </c>
      <c r="D26" s="336">
        <f t="shared" si="4"/>
        <v>17760.000000000004</v>
      </c>
      <c r="E26" s="336">
        <f t="shared" si="4"/>
        <v>61077.75</v>
      </c>
      <c r="F26" s="336">
        <f t="shared" si="4"/>
        <v>0</v>
      </c>
      <c r="G26" s="336">
        <f t="shared" si="4"/>
        <v>0</v>
      </c>
      <c r="H26" s="336">
        <f t="shared" si="4"/>
        <v>1332.0000000000002</v>
      </c>
      <c r="I26" s="336">
        <f t="shared" si="4"/>
        <v>0</v>
      </c>
      <c r="J26" s="740">
        <f t="shared" si="5"/>
        <v>144638.54999999999</v>
      </c>
    </row>
    <row r="27" spans="2:10" x14ac:dyDescent="0.45">
      <c r="B27" s="865" t="s">
        <v>196</v>
      </c>
      <c r="C27" s="336">
        <f t="shared" si="4"/>
        <v>56947.44</v>
      </c>
      <c r="D27" s="336">
        <f t="shared" si="4"/>
        <v>17760.000000000004</v>
      </c>
      <c r="E27" s="336">
        <f t="shared" si="4"/>
        <v>63048</v>
      </c>
      <c r="F27" s="336">
        <f t="shared" si="4"/>
        <v>0</v>
      </c>
      <c r="G27" s="336">
        <f t="shared" si="4"/>
        <v>666.00000000000011</v>
      </c>
      <c r="H27" s="336">
        <f t="shared" si="4"/>
        <v>2664.0000000000005</v>
      </c>
      <c r="I27" s="336">
        <f t="shared" si="4"/>
        <v>666.00000000000011</v>
      </c>
      <c r="J27" s="740">
        <f t="shared" si="5"/>
        <v>141751.44</v>
      </c>
    </row>
    <row r="28" spans="2:10" x14ac:dyDescent="0.45">
      <c r="B28" s="865" t="s">
        <v>197</v>
      </c>
      <c r="C28" s="336">
        <f t="shared" si="4"/>
        <v>73064.639999999999</v>
      </c>
      <c r="D28" s="336">
        <f t="shared" si="4"/>
        <v>24420.000000000004</v>
      </c>
      <c r="E28" s="336">
        <f t="shared" si="4"/>
        <v>80780.250000000015</v>
      </c>
      <c r="F28" s="336">
        <f t="shared" si="4"/>
        <v>0</v>
      </c>
      <c r="G28" s="336">
        <f t="shared" si="4"/>
        <v>666.00000000000011</v>
      </c>
      <c r="H28" s="336">
        <f t="shared" si="4"/>
        <v>1332.0000000000002</v>
      </c>
      <c r="I28" s="336">
        <f t="shared" si="4"/>
        <v>666.00000000000011</v>
      </c>
      <c r="J28" s="740">
        <f t="shared" si="5"/>
        <v>180928.89</v>
      </c>
    </row>
    <row r="29" spans="2:10" x14ac:dyDescent="0.45">
      <c r="B29" s="865" t="s">
        <v>198</v>
      </c>
      <c r="C29" s="336">
        <f t="shared" si="4"/>
        <v>53724</v>
      </c>
      <c r="D29" s="336">
        <f t="shared" si="4"/>
        <v>19980.000000000004</v>
      </c>
      <c r="E29" s="336">
        <f t="shared" si="4"/>
        <v>63048</v>
      </c>
      <c r="F29" s="336">
        <f t="shared" si="4"/>
        <v>0</v>
      </c>
      <c r="G29" s="336">
        <f t="shared" si="4"/>
        <v>666.00000000000011</v>
      </c>
      <c r="H29" s="336">
        <f t="shared" si="4"/>
        <v>1332.0000000000002</v>
      </c>
      <c r="I29" s="336">
        <f t="shared" si="4"/>
        <v>0</v>
      </c>
      <c r="J29" s="740">
        <f t="shared" si="5"/>
        <v>138750</v>
      </c>
    </row>
    <row r="30" spans="2:10" x14ac:dyDescent="0.45">
      <c r="B30" s="865" t="s">
        <v>199</v>
      </c>
      <c r="C30" s="336">
        <f t="shared" si="4"/>
        <v>56947.44</v>
      </c>
      <c r="D30" s="336">
        <f t="shared" si="4"/>
        <v>17760.000000000004</v>
      </c>
      <c r="E30" s="336">
        <f t="shared" si="4"/>
        <v>65018.25</v>
      </c>
      <c r="F30" s="336">
        <f t="shared" si="4"/>
        <v>0</v>
      </c>
      <c r="G30" s="336">
        <f t="shared" si="4"/>
        <v>0</v>
      </c>
      <c r="H30" s="336">
        <f t="shared" si="4"/>
        <v>1332.0000000000002</v>
      </c>
      <c r="I30" s="336">
        <f t="shared" si="4"/>
        <v>666.00000000000011</v>
      </c>
      <c r="J30" s="740">
        <f t="shared" si="5"/>
        <v>141723.69</v>
      </c>
    </row>
    <row r="31" spans="2:10" x14ac:dyDescent="0.45">
      <c r="B31" s="865" t="s">
        <v>200</v>
      </c>
      <c r="C31" s="336">
        <f t="shared" si="4"/>
        <v>89100.810000000012</v>
      </c>
      <c r="D31" s="336">
        <f t="shared" si="4"/>
        <v>24420.000000000004</v>
      </c>
      <c r="E31" s="336">
        <f t="shared" si="4"/>
        <v>80780.250000000015</v>
      </c>
      <c r="F31" s="336">
        <f t="shared" si="4"/>
        <v>0</v>
      </c>
      <c r="G31" s="336">
        <f t="shared" si="4"/>
        <v>666.00000000000011</v>
      </c>
      <c r="H31" s="336">
        <f t="shared" si="4"/>
        <v>1332.0000000000002</v>
      </c>
      <c r="I31" s="336">
        <f t="shared" si="4"/>
        <v>666.00000000000011</v>
      </c>
      <c r="J31" s="740">
        <f t="shared" si="5"/>
        <v>196965.06000000003</v>
      </c>
    </row>
    <row r="32" spans="2:10" x14ac:dyDescent="0.45">
      <c r="B32" s="739" t="s">
        <v>201</v>
      </c>
      <c r="C32" s="740">
        <f t="shared" ref="C32:I32" si="6">SUM(C20:C31)</f>
        <v>1323210.1299999999</v>
      </c>
      <c r="D32" s="740">
        <f t="shared" si="6"/>
        <v>386100</v>
      </c>
      <c r="E32" s="740">
        <f t="shared" si="6"/>
        <v>1271127.5</v>
      </c>
      <c r="F32" s="740">
        <f t="shared" si="6"/>
        <v>1600</v>
      </c>
      <c r="G32" s="740">
        <f t="shared" si="6"/>
        <v>9728</v>
      </c>
      <c r="H32" s="740">
        <f t="shared" si="6"/>
        <v>30899</v>
      </c>
      <c r="I32" s="740">
        <f t="shared" si="6"/>
        <v>9840</v>
      </c>
      <c r="J32" s="740">
        <f t="shared" si="5"/>
        <v>3032504.63</v>
      </c>
    </row>
    <row r="33" spans="2:33" x14ac:dyDescent="0.45">
      <c r="C33" s="881"/>
      <c r="D33" s="881"/>
      <c r="E33" s="881"/>
      <c r="F33" s="881"/>
      <c r="G33" s="881"/>
      <c r="H33" s="881"/>
      <c r="I33" s="881"/>
      <c r="J33" s="881"/>
    </row>
    <row r="34" spans="2:33" x14ac:dyDescent="0.45">
      <c r="B34" t="s">
        <v>247</v>
      </c>
      <c r="C34" s="881"/>
      <c r="D34" s="881"/>
      <c r="E34" s="881"/>
      <c r="F34" s="881"/>
      <c r="G34" s="881"/>
      <c r="H34" s="881"/>
      <c r="I34" s="881"/>
      <c r="J34" s="881"/>
    </row>
    <row r="35" spans="2:33" x14ac:dyDescent="0.45">
      <c r="B35" s="882"/>
      <c r="C35" s="882" t="s">
        <v>2</v>
      </c>
      <c r="D35" s="882" t="s">
        <v>3</v>
      </c>
      <c r="E35" s="882" t="s">
        <v>4</v>
      </c>
      <c r="F35" s="882" t="s">
        <v>135</v>
      </c>
      <c r="G35" s="882" t="s">
        <v>154</v>
      </c>
      <c r="H35" s="882" t="s">
        <v>137</v>
      </c>
      <c r="I35" s="882" t="s">
        <v>138</v>
      </c>
      <c r="J35" s="882" t="s">
        <v>201</v>
      </c>
    </row>
    <row r="36" spans="2:33" x14ac:dyDescent="0.45">
      <c r="B36" s="882" t="s">
        <v>189</v>
      </c>
      <c r="C36" s="336">
        <f>SUMIFS('STT STD - By SKU By Province'!$X43:$AO43,'STT STD - By SKU By Province'!$X$42:$AO$42,'STT STD - By SKU &lt;150'!C$35)*RIGHT(C$35,2)</f>
        <v>6662884.6032528207</v>
      </c>
      <c r="D36" s="336">
        <f>SUMIFS('STT STD - By SKU By Province'!$X43:$AO43,'STT STD - By SKU By Province'!$X$42:$AO$42,'STT STD - By SKU &lt;150'!D$35)*RIGHT(D$35,2)</f>
        <v>1046770.0102344329</v>
      </c>
      <c r="E36" s="336">
        <f>SUMIFS('STT STD - By SKU By Province'!$X43:$AO43,'STT STD - By SKU By Province'!$X$42:$AO$42,'STT STD - By SKU &lt;150'!E$35)*RIGHT(E$35,2)</f>
        <v>3890919.6003313698</v>
      </c>
      <c r="F36" s="336">
        <v>27040</v>
      </c>
      <c r="G36" s="336">
        <v>15564</v>
      </c>
      <c r="H36" s="336">
        <v>2.04</v>
      </c>
      <c r="I36" s="336">
        <v>390</v>
      </c>
      <c r="J36" s="740">
        <f t="shared" ref="J36:J48" si="7">SUM(C36:I36)</f>
        <v>11643570.253818624</v>
      </c>
    </row>
    <row r="37" spans="2:33" x14ac:dyDescent="0.45">
      <c r="B37" s="882" t="s">
        <v>190</v>
      </c>
      <c r="C37" s="336">
        <f>SUMIFS('STT STD - By SKU By Province'!$X44:$AO44,'STT STD - By SKU By Province'!$X$42:$AO$42,'STT STD - By SKU &lt;150'!C$35)*RIGHT(C$35,2)</f>
        <v>4075261.4297388098</v>
      </c>
      <c r="D37" s="336">
        <f>SUMIFS('STT STD - By SKU By Province'!$X44:$AO44,'STT STD - By SKU By Province'!$X$42:$AO$42,'STT STD - By SKU &lt;150'!D$35)*RIGHT(D$35,2)</f>
        <v>1265973.2504769766</v>
      </c>
      <c r="E37" s="336">
        <f>SUMIFS('STT STD - By SKU By Province'!$X44:$AO44,'STT STD - By SKU By Province'!$X$42:$AO$42,'STT STD - By SKU &lt;150'!E$35)*RIGHT(E$35,2)</f>
        <v>4239922.0474311905</v>
      </c>
      <c r="F37" s="336">
        <v>16320</v>
      </c>
      <c r="G37" s="336">
        <v>12</v>
      </c>
      <c r="H37" s="336">
        <v>28568.759999999995</v>
      </c>
      <c r="I37" s="336">
        <v>35496</v>
      </c>
      <c r="J37" s="740">
        <f t="shared" si="7"/>
        <v>9661553.4876469765</v>
      </c>
    </row>
    <row r="38" spans="2:33" x14ac:dyDescent="0.45">
      <c r="B38" s="882" t="s">
        <v>191</v>
      </c>
      <c r="C38" s="336">
        <f>SUMIFS('STT STD - By SKU By Province'!$X45:$AO45,'STT STD - By SKU By Province'!$X$42:$AO$42,'STT STD - By SKU &lt;150'!C$35)*RIGHT(C$35,2)</f>
        <v>4914107.5573856626</v>
      </c>
      <c r="D38" s="336">
        <f>SUMIFS('STT STD - By SKU By Province'!$X45:$AO45,'STT STD - By SKU By Province'!$X$42:$AO$42,'STT STD - By SKU &lt;150'!D$35)*RIGHT(D$35,2)</f>
        <v>1193001.9939798918</v>
      </c>
      <c r="E38" s="336">
        <f>SUMIFS('STT STD - By SKU By Province'!$X45:$AO45,'STT STD - By SKU By Province'!$X$42:$AO$42,'STT STD - By SKU &lt;150'!E$35)*RIGHT(E$35,2)</f>
        <v>5955697.3111078059</v>
      </c>
      <c r="F38" s="336">
        <v>13480</v>
      </c>
      <c r="G38" s="336">
        <v>18300</v>
      </c>
      <c r="H38" s="336">
        <v>38424.839999999997</v>
      </c>
      <c r="I38" s="336">
        <v>6288</v>
      </c>
      <c r="J38" s="740">
        <f t="shared" si="7"/>
        <v>12139299.702473361</v>
      </c>
    </row>
    <row r="39" spans="2:33" x14ac:dyDescent="0.45">
      <c r="B39" s="882" t="s">
        <v>192</v>
      </c>
      <c r="C39" s="336">
        <f>SUMIFS('STT STD - By SKU By Province'!$X46:$AO46,'STT STD - By SKU By Province'!$X$42:$AO$42,'STT STD - By SKU &lt;150'!C$35)*RIGHT(C$35,2)</f>
        <v>5459981.4065316245</v>
      </c>
      <c r="D39" s="336">
        <f>SUMIFS('STT STD - By SKU By Province'!$X46:$AO46,'STT STD - By SKU By Province'!$X$42:$AO$42,'STT STD - By SKU &lt;150'!D$35)*RIGHT(D$35,2)</f>
        <v>1401420.1231833363</v>
      </c>
      <c r="E39" s="336">
        <f>SUMIFS('STT STD - By SKU By Province'!$X46:$AO46,'STT STD - By SKU By Province'!$X$42:$AO$42,'STT STD - By SKU &lt;150'!E$35)*RIGHT(E$35,2)</f>
        <v>3501834.2269631289</v>
      </c>
      <c r="F39" s="336">
        <v>24000</v>
      </c>
      <c r="G39" s="336">
        <v>9600</v>
      </c>
      <c r="H39" s="336">
        <v>33600</v>
      </c>
      <c r="I39" s="336">
        <v>12480</v>
      </c>
      <c r="J39" s="740">
        <f t="shared" si="7"/>
        <v>10442915.756678089</v>
      </c>
    </row>
    <row r="40" spans="2:33" x14ac:dyDescent="0.45">
      <c r="B40" s="882" t="s">
        <v>193</v>
      </c>
      <c r="C40" s="336">
        <f>SUMIFS('STT STD - By SKU By Province'!$X47:$AO47,'STT STD - By SKU By Province'!$X$42:$AO$42,'STT STD - By SKU &lt;150'!C$35)*RIGHT(C$35,2)</f>
        <v>5034229.6350871148</v>
      </c>
      <c r="D40" s="336">
        <f>SUMIFS('STT STD - By SKU By Province'!$X47:$AO47,'STT STD - By SKU By Province'!$X$42:$AO$42,'STT STD - By SKU &lt;150'!D$35)*RIGHT(D$35,2)</f>
        <v>1166524.227214084</v>
      </c>
      <c r="E40" s="336">
        <f>SUMIFS('STT STD - By SKU By Province'!$X47:$AO47,'STT STD - By SKU By Province'!$X$42:$AO$42,'STT STD - By SKU &lt;150'!E$35)*RIGHT(E$35,2)</f>
        <v>4060905.4557349505</v>
      </c>
      <c r="F40" s="336">
        <v>6000</v>
      </c>
      <c r="G40" s="336">
        <v>9600</v>
      </c>
      <c r="H40" s="336">
        <v>33600</v>
      </c>
      <c r="I40" s="336">
        <v>12480</v>
      </c>
      <c r="J40" s="740">
        <f t="shared" si="7"/>
        <v>10323339.31803615</v>
      </c>
    </row>
    <row r="41" spans="2:33" x14ac:dyDescent="0.45">
      <c r="B41" s="882" t="s">
        <v>194</v>
      </c>
      <c r="C41" s="336">
        <f>SUMIFS('STT STD - By SKU By Province'!$X48:$AO48,'STT STD - By SKU By Province'!$X$42:$AO$42,'STT STD - By SKU &lt;150'!C$35)*RIGHT(C$35,2)</f>
        <v>4766872.9491941407</v>
      </c>
      <c r="D41" s="336">
        <f>SUMIFS('STT STD - By SKU By Province'!$X48:$AO48,'STT STD - By SKU By Province'!$X$42:$AO$42,'STT STD - By SKU &lt;150'!D$35)*RIGHT(D$35,2)</f>
        <v>1301057.0688083689</v>
      </c>
      <c r="E41" s="336">
        <f>SUMIFS('STT STD - By SKU By Province'!$X48:$AO48,'STT STD - By SKU By Province'!$X$42:$AO$42,'STT STD - By SKU &lt;150'!E$35)*RIGHT(E$35,2)</f>
        <v>4532832.6474335659</v>
      </c>
      <c r="F41" s="336">
        <v>0</v>
      </c>
      <c r="G41" s="336">
        <v>12000</v>
      </c>
      <c r="H41" s="336">
        <v>42000</v>
      </c>
      <c r="I41" s="336">
        <v>15600</v>
      </c>
      <c r="J41" s="740">
        <f t="shared" si="7"/>
        <v>10670362.665436076</v>
      </c>
    </row>
    <row r="42" spans="2:33" x14ac:dyDescent="0.45">
      <c r="B42" s="882" t="s">
        <v>195</v>
      </c>
      <c r="C42" s="336">
        <f>SUMIFS('STT STD - By SKU By Province'!$X49:$AO49,'STT STD - By SKU By Province'!$X$42:$AO$42,'STT STD - By SKU &lt;150'!C$35)*RIGHT(C$35,2)</f>
        <v>2596132.5974959191</v>
      </c>
      <c r="D42" s="336">
        <f>SUMIFS('STT STD - By SKU By Province'!$X49:$AO49,'STT STD - By SKU By Province'!$X$42:$AO$42,'STT STD - By SKU &lt;150'!D$35)*RIGHT(D$35,2)</f>
        <v>926527.03038240667</v>
      </c>
      <c r="E42" s="336">
        <f>SUMIFS('STT STD - By SKU By Province'!$X49:$AO49,'STT STD - By SKU By Province'!$X$42:$AO$42,'STT STD - By SKU &lt;150'!E$35)*RIGHT(E$35,2)</f>
        <v>2518004.1731066373</v>
      </c>
      <c r="F42" s="336">
        <v>0</v>
      </c>
      <c r="G42" s="336">
        <v>9600</v>
      </c>
      <c r="H42" s="336">
        <v>33600</v>
      </c>
      <c r="I42" s="336">
        <v>12480</v>
      </c>
      <c r="J42" s="740">
        <f t="shared" si="7"/>
        <v>6096343.8009849638</v>
      </c>
    </row>
    <row r="43" spans="2:33" x14ac:dyDescent="0.45">
      <c r="B43" s="882" t="s">
        <v>196</v>
      </c>
      <c r="C43" s="336">
        <f>SUMIFS('STT STD - By SKU By Province'!$X50:$AO50,'STT STD - By SKU By Province'!$X$42:$AO$42,'STT STD - By SKU &lt;150'!C$35)*RIGHT(C$35,2)</f>
        <v>2848009.7900194139</v>
      </c>
      <c r="D43" s="336">
        <f>SUMIFS('STT STD - By SKU By Province'!$X50:$AO50,'STT STD - By SKU By Province'!$X$42:$AO$42,'STT STD - By SKU &lt;150'!D$35)*RIGHT(D$35,2)</f>
        <v>1061656.0675864343</v>
      </c>
      <c r="E43" s="336">
        <f>SUMIFS('STT STD - By SKU By Province'!$X50:$AO50,'STT STD - By SKU By Province'!$X$42:$AO$42,'STT STD - By SKU &lt;150'!E$35)*RIGHT(E$35,2)</f>
        <v>2458232.6399850934</v>
      </c>
      <c r="F43" s="336">
        <v>0</v>
      </c>
      <c r="G43" s="336">
        <v>9600</v>
      </c>
      <c r="H43" s="336">
        <v>33600</v>
      </c>
      <c r="I43" s="336">
        <v>12480</v>
      </c>
      <c r="J43" s="740">
        <f t="shared" si="7"/>
        <v>6423578.4975909423</v>
      </c>
    </row>
    <row r="44" spans="2:33" x14ac:dyDescent="0.45">
      <c r="B44" s="882" t="s">
        <v>197</v>
      </c>
      <c r="C44" s="336">
        <f>SUMIFS('STT STD - By SKU By Province'!$X51:$AO51,'STT STD - By SKU By Province'!$X$42:$AO$42,'STT STD - By SKU &lt;150'!C$35)*RIGHT(C$35,2)</f>
        <v>4244505.0272366405</v>
      </c>
      <c r="D44" s="336">
        <f>SUMIFS('STT STD - By SKU By Province'!$X51:$AO51,'STT STD - By SKU By Province'!$X$42:$AO$42,'STT STD - By SKU &lt;150'!D$35)*RIGHT(D$35,2)</f>
        <v>1381228.8370931875</v>
      </c>
      <c r="E44" s="336">
        <f>SUMIFS('STT STD - By SKU By Province'!$X51:$AO51,'STT STD - By SKU By Province'!$X$42:$AO$42,'STT STD - By SKU &lt;150'!E$35)*RIGHT(E$35,2)</f>
        <v>3714811.9235228114</v>
      </c>
      <c r="F44" s="336">
        <v>0</v>
      </c>
      <c r="G44" s="336">
        <v>12000</v>
      </c>
      <c r="H44" s="336">
        <v>42000</v>
      </c>
      <c r="I44" s="336">
        <v>15600</v>
      </c>
      <c r="J44" s="740">
        <f t="shared" si="7"/>
        <v>9410145.7878526393</v>
      </c>
    </row>
    <row r="45" spans="2:33" x14ac:dyDescent="0.45">
      <c r="B45" s="882" t="s">
        <v>198</v>
      </c>
      <c r="C45" s="336">
        <f>SUMIFS('STT STD - By SKU By Province'!$X52:$AO52,'STT STD - By SKU By Province'!$X$42:$AO$42,'STT STD - By SKU &lt;150'!C$35)*RIGHT(C$35,2)</f>
        <v>3349637.8855677089</v>
      </c>
      <c r="D45" s="336">
        <f>SUMIFS('STT STD - By SKU By Province'!$X52:$AO52,'STT STD - By SKU By Province'!$X$42:$AO$42,'STT STD - By SKU &lt;150'!D$35)*RIGHT(D$35,2)</f>
        <v>1046742.585283636</v>
      </c>
      <c r="E45" s="336">
        <f>SUMIFS('STT STD - By SKU By Province'!$X52:$AO52,'STT STD - By SKU By Province'!$X$42:$AO$42,'STT STD - By SKU &lt;150'!E$35)*RIGHT(E$35,2)</f>
        <v>2886316.2779208329</v>
      </c>
      <c r="F45" s="336">
        <v>0</v>
      </c>
      <c r="G45" s="336">
        <v>9600</v>
      </c>
      <c r="H45" s="336">
        <v>33600</v>
      </c>
      <c r="I45" s="336">
        <v>12480</v>
      </c>
      <c r="J45" s="740">
        <f t="shared" si="7"/>
        <v>7338376.7487721778</v>
      </c>
    </row>
    <row r="46" spans="2:33" x14ac:dyDescent="0.45">
      <c r="B46" s="882" t="s">
        <v>199</v>
      </c>
      <c r="C46" s="336">
        <f>SUMIFS('STT STD - By SKU By Province'!$X53:$AO53,'STT STD - By SKU By Province'!$X$42:$AO$42,'STT STD - By SKU &lt;150'!C$35)*RIGHT(C$35,2)</f>
        <v>2815345.3944064779</v>
      </c>
      <c r="D46" s="336">
        <f>SUMIFS('STT STD - By SKU By Province'!$X53:$AO53,'STT STD - By SKU By Province'!$X$42:$AO$42,'STT STD - By SKU &lt;150'!D$35)*RIGHT(D$35,2)</f>
        <v>812214.79577704147</v>
      </c>
      <c r="E46" s="336">
        <f>SUMIFS('STT STD - By SKU By Province'!$X53:$AO53,'STT STD - By SKU By Province'!$X$42:$AO$42,'STT STD - By SKU &lt;150'!E$35)*RIGHT(E$35,2)</f>
        <v>2505554.9812505827</v>
      </c>
      <c r="F46" s="336">
        <v>0</v>
      </c>
      <c r="G46" s="336">
        <v>9600</v>
      </c>
      <c r="H46" s="336">
        <v>33600</v>
      </c>
      <c r="I46" s="336">
        <v>12480</v>
      </c>
      <c r="J46" s="740">
        <f t="shared" si="7"/>
        <v>6188795.1714341026</v>
      </c>
    </row>
    <row r="47" spans="2:33" x14ac:dyDescent="0.45">
      <c r="B47" s="882" t="s">
        <v>200</v>
      </c>
      <c r="C47" s="336">
        <f>SUMIFS('STT STD - By SKU By Province'!$X54:$AO54,'STT STD - By SKU By Province'!$X$42:$AO$42,'STT STD - By SKU &lt;150'!C$35)*RIGHT(C$35,2)</f>
        <v>4172571.4819025784</v>
      </c>
      <c r="D47" s="336">
        <f>SUMIFS('STT STD - By SKU By Province'!$X54:$AO54,'STT STD - By SKU By Province'!$X$42:$AO$42,'STT STD - By SKU &lt;150'!D$35)*RIGHT(D$35,2)</f>
        <v>1578597.9579061039</v>
      </c>
      <c r="E47" s="336">
        <f>SUMIFS('STT STD - By SKU By Province'!$X54:$AO54,'STT STD - By SKU By Province'!$X$42:$AO$42,'STT STD - By SKU &lt;150'!E$35)*RIGHT(E$35,2)</f>
        <v>3960083.7287052711</v>
      </c>
      <c r="F47" s="336">
        <v>0</v>
      </c>
      <c r="G47" s="336">
        <v>12000</v>
      </c>
      <c r="H47" s="336">
        <v>42000</v>
      </c>
      <c r="I47" s="336">
        <v>15600</v>
      </c>
      <c r="J47" s="740">
        <f t="shared" si="7"/>
        <v>9780853.1685139537</v>
      </c>
      <c r="AC47" s="329" t="s">
        <v>248</v>
      </c>
      <c r="AG47" s="329" t="str">
        <f>_xlfn.CONCAT("Vol ",TEXT(X64/1000000,"###"),"mio")</f>
        <v>Vol 99mio</v>
      </c>
    </row>
    <row r="48" spans="2:33" x14ac:dyDescent="0.45">
      <c r="B48" s="739" t="s">
        <v>201</v>
      </c>
      <c r="C48" s="740">
        <f t="shared" ref="C48:I48" si="8">SUM(C36:C47)</f>
        <v>50939539.757818907</v>
      </c>
      <c r="D48" s="740">
        <f t="shared" si="8"/>
        <v>14181713.947925901</v>
      </c>
      <c r="E48" s="740">
        <f t="shared" si="8"/>
        <v>44225115.01349324</v>
      </c>
      <c r="F48" s="740">
        <f t="shared" si="8"/>
        <v>86840</v>
      </c>
      <c r="G48" s="740">
        <f t="shared" si="8"/>
        <v>127476</v>
      </c>
      <c r="H48" s="740">
        <f t="shared" si="8"/>
        <v>394595.64</v>
      </c>
      <c r="I48" s="740">
        <f t="shared" si="8"/>
        <v>163854</v>
      </c>
      <c r="J48" s="740">
        <f t="shared" si="7"/>
        <v>110119134.35923804</v>
      </c>
    </row>
    <row r="49" spans="2:35" x14ac:dyDescent="0.45">
      <c r="C49" s="412"/>
      <c r="D49" s="412"/>
      <c r="E49" s="412"/>
      <c r="F49" s="412"/>
      <c r="G49" s="412"/>
      <c r="H49" s="412"/>
      <c r="I49" s="412"/>
      <c r="J49" s="412"/>
      <c r="Q49" s="1017">
        <v>0.875</v>
      </c>
      <c r="R49" s="1017">
        <v>0.82499999999999996</v>
      </c>
      <c r="S49" s="1017">
        <v>0.65</v>
      </c>
      <c r="T49" s="1017">
        <v>1</v>
      </c>
      <c r="U49" s="1017">
        <v>1</v>
      </c>
      <c r="V49" s="1017">
        <v>1</v>
      </c>
      <c r="W49" s="1017">
        <v>1</v>
      </c>
      <c r="AC49" t="s">
        <v>249</v>
      </c>
      <c r="AD49" s="410">
        <f>SUM(J51:J53)</f>
        <v>862697.66509847413</v>
      </c>
      <c r="AE49" s="1017">
        <f>AD49/$J$63</f>
        <v>0.310248861230355</v>
      </c>
      <c r="AG49" t="s">
        <v>249</v>
      </c>
      <c r="AH49" s="410">
        <f>SUM(X51:X53)</f>
        <v>862697.66509847413</v>
      </c>
      <c r="AI49" s="1017">
        <f>AH49/$X$63</f>
        <v>0.34308917738769945</v>
      </c>
    </row>
    <row r="50" spans="2:35" x14ac:dyDescent="0.45">
      <c r="B50" s="882"/>
      <c r="C50" s="882" t="s">
        <v>2</v>
      </c>
      <c r="D50" s="882" t="s">
        <v>3</v>
      </c>
      <c r="E50" s="882" t="s">
        <v>4</v>
      </c>
      <c r="F50" s="882" t="s">
        <v>135</v>
      </c>
      <c r="G50" s="882" t="s">
        <v>154</v>
      </c>
      <c r="H50" s="882" t="s">
        <v>137</v>
      </c>
      <c r="I50" s="882" t="s">
        <v>138</v>
      </c>
      <c r="J50" s="882" t="s">
        <v>201</v>
      </c>
      <c r="M50" s="882" t="s">
        <v>250</v>
      </c>
      <c r="N50" s="882" t="s">
        <v>251</v>
      </c>
      <c r="P50" s="882"/>
      <c r="Q50" s="882" t="s">
        <v>2</v>
      </c>
      <c r="R50" s="882" t="s">
        <v>3</v>
      </c>
      <c r="S50" s="882" t="s">
        <v>4</v>
      </c>
      <c r="T50" s="882" t="s">
        <v>135</v>
      </c>
      <c r="U50" s="882" t="s">
        <v>154</v>
      </c>
      <c r="V50" s="882" t="s">
        <v>137</v>
      </c>
      <c r="W50" s="882" t="s">
        <v>138</v>
      </c>
      <c r="X50" s="882" t="s">
        <v>201</v>
      </c>
      <c r="AC50" s="329" t="s">
        <v>252</v>
      </c>
      <c r="AD50" s="1050">
        <f>AD49/13</f>
        <v>66361.358853728772</v>
      </c>
      <c r="AE50" s="1017"/>
      <c r="AG50" s="329" t="s">
        <v>252</v>
      </c>
      <c r="AH50" s="1050">
        <f>AH49/13</f>
        <v>66361.358853728772</v>
      </c>
      <c r="AI50" s="1017"/>
    </row>
    <row r="51" spans="2:35" x14ac:dyDescent="0.45">
      <c r="B51" s="882" t="s">
        <v>189</v>
      </c>
      <c r="C51" s="336">
        <f t="shared" ref="C51:I62" si="9">C36/RIGHT(C$4,2)</f>
        <v>166572.11508132052</v>
      </c>
      <c r="D51" s="336">
        <f t="shared" si="9"/>
        <v>26169.250255860821</v>
      </c>
      <c r="E51" s="336">
        <f t="shared" si="9"/>
        <v>97272.990008284251</v>
      </c>
      <c r="F51" s="336">
        <f t="shared" si="9"/>
        <v>676</v>
      </c>
      <c r="G51" s="336">
        <f t="shared" si="9"/>
        <v>1297</v>
      </c>
      <c r="H51" s="336">
        <f t="shared" si="9"/>
        <v>0.17</v>
      </c>
      <c r="I51" s="336">
        <f t="shared" si="9"/>
        <v>16.25</v>
      </c>
      <c r="J51" s="740">
        <f t="shared" ref="J51:J63" si="10">SUM(C51:I51)</f>
        <v>292003.77534546558</v>
      </c>
      <c r="M51" s="740">
        <f>'STT STD - By Province'!I69</f>
        <v>290428.53000000014</v>
      </c>
      <c r="N51" s="740">
        <f>'STT STD - By Province'!R69</f>
        <v>290428.53000000014</v>
      </c>
      <c r="P51" s="882" t="s">
        <v>189</v>
      </c>
      <c r="Q51" s="336">
        <f>C51</f>
        <v>166572.11508132052</v>
      </c>
      <c r="R51" s="336">
        <f t="shared" ref="R51:W56" si="11">D51</f>
        <v>26169.250255860821</v>
      </c>
      <c r="S51" s="336">
        <f t="shared" si="11"/>
        <v>97272.990008284251</v>
      </c>
      <c r="T51" s="336">
        <f t="shared" si="11"/>
        <v>676</v>
      </c>
      <c r="U51" s="336">
        <f t="shared" si="11"/>
        <v>1297</v>
      </c>
      <c r="V51" s="336">
        <f t="shared" si="11"/>
        <v>0.17</v>
      </c>
      <c r="W51" s="336">
        <f t="shared" si="11"/>
        <v>16.25</v>
      </c>
      <c r="X51" s="740">
        <f>SUM(Q51:W51)</f>
        <v>292003.77534546558</v>
      </c>
      <c r="Z51" s="334">
        <f>(X51-N51)</f>
        <v>1575.2453454654315</v>
      </c>
      <c r="AA51">
        <f>IF(Z51&gt;4000,1,IF(Z51&gt;1000,0,IF(Z51&gt;-1000,0,-1)))</f>
        <v>0</v>
      </c>
      <c r="AC51" s="875" t="s">
        <v>253</v>
      </c>
      <c r="AD51" s="410">
        <f>AD50*AE51</f>
        <v>33217.543876888405</v>
      </c>
      <c r="AE51" s="1051">
        <v>0.50055551077706639</v>
      </c>
      <c r="AG51" s="875" t="s">
        <v>253</v>
      </c>
      <c r="AH51" s="410">
        <f>AH50*AI51</f>
        <v>33217.543876888405</v>
      </c>
      <c r="AI51" s="1051">
        <v>0.50055551077706639</v>
      </c>
    </row>
    <row r="52" spans="2:35" x14ac:dyDescent="0.45">
      <c r="B52" s="882" t="s">
        <v>190</v>
      </c>
      <c r="C52" s="336">
        <f t="shared" si="9"/>
        <v>101881.53574347025</v>
      </c>
      <c r="D52" s="336">
        <f t="shared" si="9"/>
        <v>31649.331261924417</v>
      </c>
      <c r="E52" s="336">
        <f t="shared" si="9"/>
        <v>105998.05118577977</v>
      </c>
      <c r="F52" s="336">
        <f t="shared" si="9"/>
        <v>408</v>
      </c>
      <c r="G52" s="336">
        <f t="shared" si="9"/>
        <v>1</v>
      </c>
      <c r="H52" s="336">
        <f t="shared" si="9"/>
        <v>2380.7299999999996</v>
      </c>
      <c r="I52" s="336">
        <f t="shared" si="9"/>
        <v>1479</v>
      </c>
      <c r="J52" s="740">
        <f t="shared" si="10"/>
        <v>243797.64819117443</v>
      </c>
      <c r="M52" s="740">
        <f>'STT STD - By Province'!I70</f>
        <v>242441.41999999998</v>
      </c>
      <c r="N52" s="740">
        <f>'STT STD - By Province'!R70</f>
        <v>242441.41999999998</v>
      </c>
      <c r="P52" s="882" t="s">
        <v>190</v>
      </c>
      <c r="Q52" s="336">
        <f t="shared" ref="Q52:Q56" si="12">C52</f>
        <v>101881.53574347025</v>
      </c>
      <c r="R52" s="336">
        <f t="shared" si="11"/>
        <v>31649.331261924417</v>
      </c>
      <c r="S52" s="336">
        <f t="shared" si="11"/>
        <v>105998.05118577977</v>
      </c>
      <c r="T52" s="336">
        <f t="shared" si="11"/>
        <v>408</v>
      </c>
      <c r="U52" s="336">
        <f t="shared" si="11"/>
        <v>1</v>
      </c>
      <c r="V52" s="336">
        <f t="shared" si="11"/>
        <v>2380.7299999999996</v>
      </c>
      <c r="W52" s="336">
        <f t="shared" si="11"/>
        <v>1479</v>
      </c>
      <c r="X52" s="740">
        <f t="shared" ref="X52:X62" si="13">SUM(Q52:W52)</f>
        <v>243797.64819117443</v>
      </c>
      <c r="Z52" s="334">
        <f t="shared" ref="Z52:Z62" si="14">(X52-N52)</f>
        <v>1356.2281911744503</v>
      </c>
      <c r="AA52">
        <f t="shared" ref="AA52:AA62" si="15">IF(Z52&gt;4000,1,IF(Z52&gt;1000,0,IF(Z52&gt;-1000,0,-1)))</f>
        <v>0</v>
      </c>
      <c r="AC52" s="875" t="s">
        <v>233</v>
      </c>
      <c r="AD52" s="410">
        <f>AD50*AE52</f>
        <v>25203.647195965736</v>
      </c>
      <c r="AE52" s="1051">
        <v>0.37979401915983474</v>
      </c>
      <c r="AG52" s="875" t="s">
        <v>233</v>
      </c>
      <c r="AH52" s="410">
        <f>AH50*AI52</f>
        <v>25203.647195965736</v>
      </c>
      <c r="AI52" s="1051">
        <v>0.37979401915983474</v>
      </c>
    </row>
    <row r="53" spans="2:35" x14ac:dyDescent="0.45">
      <c r="B53" s="882" t="s">
        <v>191</v>
      </c>
      <c r="C53" s="336">
        <f>C38/RIGHT(C$4,2)+20000</f>
        <v>142852.68893464157</v>
      </c>
      <c r="D53" s="336">
        <f t="shared" si="9"/>
        <v>29825.049849497293</v>
      </c>
      <c r="E53" s="336">
        <f t="shared" si="9"/>
        <v>148892.43277769515</v>
      </c>
      <c r="F53" s="336">
        <f t="shared" si="9"/>
        <v>337</v>
      </c>
      <c r="G53" s="336">
        <f t="shared" si="9"/>
        <v>1525</v>
      </c>
      <c r="H53" s="336">
        <f t="shared" si="9"/>
        <v>3202.0699999999997</v>
      </c>
      <c r="I53" s="336">
        <f t="shared" si="9"/>
        <v>262</v>
      </c>
      <c r="J53" s="740">
        <f t="shared" si="10"/>
        <v>326896.24156183406</v>
      </c>
      <c r="M53" s="740">
        <f>'STT STD - By Province'!I71</f>
        <v>316695.63186628825</v>
      </c>
      <c r="N53" s="740">
        <f>'STT STD - By Province'!R71</f>
        <v>316695.63186628825</v>
      </c>
      <c r="P53" s="882" t="s">
        <v>191</v>
      </c>
      <c r="Q53" s="336">
        <f t="shared" si="12"/>
        <v>142852.68893464157</v>
      </c>
      <c r="R53" s="336">
        <f t="shared" si="11"/>
        <v>29825.049849497293</v>
      </c>
      <c r="S53" s="336">
        <f t="shared" si="11"/>
        <v>148892.43277769515</v>
      </c>
      <c r="T53" s="336">
        <f t="shared" si="11"/>
        <v>337</v>
      </c>
      <c r="U53" s="336">
        <f t="shared" si="11"/>
        <v>1525</v>
      </c>
      <c r="V53" s="336">
        <f t="shared" si="11"/>
        <v>3202.0699999999997</v>
      </c>
      <c r="W53" s="336">
        <f t="shared" si="11"/>
        <v>262</v>
      </c>
      <c r="X53" s="740">
        <f t="shared" si="13"/>
        <v>326896.24156183406</v>
      </c>
      <c r="Z53" s="334">
        <f t="shared" si="14"/>
        <v>10200.609695545805</v>
      </c>
      <c r="AA53">
        <f t="shared" si="15"/>
        <v>1</v>
      </c>
      <c r="AC53" s="875" t="s">
        <v>254</v>
      </c>
      <c r="AD53" s="410">
        <f>AD50*AE53</f>
        <v>7179.7338112640446</v>
      </c>
      <c r="AE53" s="1051">
        <v>0.10819148274358495</v>
      </c>
      <c r="AG53" s="875" t="s">
        <v>254</v>
      </c>
      <c r="AH53" s="410">
        <f>AH50*AI53</f>
        <v>7179.7338112640446</v>
      </c>
      <c r="AI53" s="1051">
        <v>0.10819148274358495</v>
      </c>
    </row>
    <row r="54" spans="2:35" x14ac:dyDescent="0.45">
      <c r="B54" s="882" t="s">
        <v>192</v>
      </c>
      <c r="C54" s="336">
        <f>C39/RIGHT(C$4,2)-7000</f>
        <v>129499.53516329062</v>
      </c>
      <c r="D54" s="336">
        <f>D39/RIGHT(D$4,2)-2000</f>
        <v>33035.50307958341</v>
      </c>
      <c r="E54" s="336">
        <f>E39/RIGHT(E$4,2)-10000</f>
        <v>77545.855674078222</v>
      </c>
      <c r="F54" s="336">
        <f t="shared" si="9"/>
        <v>600</v>
      </c>
      <c r="G54" s="336">
        <f t="shared" si="9"/>
        <v>800</v>
      </c>
      <c r="H54" s="336">
        <f t="shared" si="9"/>
        <v>2800</v>
      </c>
      <c r="I54" s="336">
        <f t="shared" si="9"/>
        <v>520</v>
      </c>
      <c r="J54" s="740">
        <f t="shared" si="10"/>
        <v>244800.89391695225</v>
      </c>
      <c r="M54" s="740">
        <f>'STT STD - By Province'!I72</f>
        <v>243687.72371662391</v>
      </c>
      <c r="N54" s="740">
        <f>'STT STD - By Province'!R72</f>
        <v>243687.72371662391</v>
      </c>
      <c r="P54" s="882" t="s">
        <v>192</v>
      </c>
      <c r="Q54" s="336">
        <f t="shared" si="12"/>
        <v>129499.53516329062</v>
      </c>
      <c r="R54" s="336">
        <f t="shared" si="11"/>
        <v>33035.50307958341</v>
      </c>
      <c r="S54" s="336">
        <f t="shared" si="11"/>
        <v>77545.855674078222</v>
      </c>
      <c r="T54" s="336">
        <f t="shared" si="11"/>
        <v>600</v>
      </c>
      <c r="U54" s="336">
        <f t="shared" si="11"/>
        <v>800</v>
      </c>
      <c r="V54" s="336">
        <f t="shared" si="11"/>
        <v>2800</v>
      </c>
      <c r="W54" s="336">
        <f t="shared" si="11"/>
        <v>520</v>
      </c>
      <c r="X54" s="740">
        <f t="shared" si="13"/>
        <v>244800.89391695225</v>
      </c>
      <c r="Z54" s="334">
        <f t="shared" si="14"/>
        <v>1113.1702003283426</v>
      </c>
      <c r="AA54">
        <f t="shared" si="15"/>
        <v>0</v>
      </c>
    </row>
    <row r="55" spans="2:35" x14ac:dyDescent="0.45">
      <c r="B55" s="882" t="s">
        <v>193</v>
      </c>
      <c r="C55" s="336">
        <f>C40/RIGHT(C$4,2)-8000</f>
        <v>117855.74087717787</v>
      </c>
      <c r="D55" s="336">
        <f>D40/RIGHT(D$4,2)-3500</f>
        <v>25663.105680352099</v>
      </c>
      <c r="E55" s="336">
        <f>E40/RIGHT(E$4,2)-6000</f>
        <v>95522.636393373759</v>
      </c>
      <c r="F55" s="336">
        <f t="shared" si="9"/>
        <v>150</v>
      </c>
      <c r="G55" s="336">
        <f t="shared" si="9"/>
        <v>800</v>
      </c>
      <c r="H55" s="336">
        <f t="shared" si="9"/>
        <v>2800</v>
      </c>
      <c r="I55" s="336">
        <f t="shared" si="9"/>
        <v>520</v>
      </c>
      <c r="J55" s="740">
        <f t="shared" si="10"/>
        <v>243311.48295090371</v>
      </c>
      <c r="M55" s="740">
        <f>'STT STD - By Province'!I73</f>
        <v>242351.8489546949</v>
      </c>
      <c r="N55" s="740">
        <f>'STT STD - By Province'!R73</f>
        <v>242351.8489546949</v>
      </c>
      <c r="P55" s="882" t="s">
        <v>193</v>
      </c>
      <c r="Q55" s="336">
        <f t="shared" si="12"/>
        <v>117855.74087717787</v>
      </c>
      <c r="R55" s="336">
        <f t="shared" si="11"/>
        <v>25663.105680352099</v>
      </c>
      <c r="S55" s="336">
        <f t="shared" si="11"/>
        <v>95522.636393373759</v>
      </c>
      <c r="T55" s="336">
        <f t="shared" si="11"/>
        <v>150</v>
      </c>
      <c r="U55" s="336">
        <f t="shared" si="11"/>
        <v>800</v>
      </c>
      <c r="V55" s="336">
        <f t="shared" si="11"/>
        <v>2800</v>
      </c>
      <c r="W55" s="336">
        <f t="shared" si="11"/>
        <v>520</v>
      </c>
      <c r="X55" s="740">
        <f t="shared" si="13"/>
        <v>243311.48295090371</v>
      </c>
      <c r="Z55" s="334">
        <f t="shared" si="14"/>
        <v>959.63399620880955</v>
      </c>
      <c r="AA55">
        <f t="shared" si="15"/>
        <v>0</v>
      </c>
      <c r="AC55" t="s">
        <v>187</v>
      </c>
      <c r="AD55" s="410">
        <f>SUM(J54:J56)</f>
        <v>713281.44350375782</v>
      </c>
      <c r="AE55" s="1017">
        <f>AD55/$J$63</f>
        <v>0.25651484237936889</v>
      </c>
      <c r="AG55" t="s">
        <v>187</v>
      </c>
      <c r="AH55" s="410">
        <f>SUM(X54:X56)</f>
        <v>713281.44350375782</v>
      </c>
      <c r="AI55" s="1017">
        <f>AH55/$X$63</f>
        <v>0.28366733051222665</v>
      </c>
    </row>
    <row r="56" spans="2:35" x14ac:dyDescent="0.45">
      <c r="B56" s="882" t="s">
        <v>194</v>
      </c>
      <c r="C56" s="336">
        <f>C41/RIGHT(C$4,2)-20000</f>
        <v>99171.823729853524</v>
      </c>
      <c r="D56" s="336">
        <f>D41/RIGHT(D$4,2)-5000</f>
        <v>27526.426720209223</v>
      </c>
      <c r="E56" s="336">
        <f>E41/RIGHT(E$4,2)-20000</f>
        <v>93320.816185839154</v>
      </c>
      <c r="F56" s="336">
        <f t="shared" si="9"/>
        <v>0</v>
      </c>
      <c r="G56" s="336">
        <f t="shared" si="9"/>
        <v>1000</v>
      </c>
      <c r="H56" s="336">
        <f t="shared" si="9"/>
        <v>3500</v>
      </c>
      <c r="I56" s="336">
        <f t="shared" si="9"/>
        <v>650</v>
      </c>
      <c r="J56" s="740">
        <f t="shared" si="10"/>
        <v>225169.06663590189</v>
      </c>
      <c r="M56" s="740">
        <f>'STT STD - By Province'!I74</f>
        <v>282310.29764288885</v>
      </c>
      <c r="N56" s="740">
        <f>'STT STD - By Province'!R74</f>
        <v>282310.29764288885</v>
      </c>
      <c r="P56" s="882" t="s">
        <v>194</v>
      </c>
      <c r="Q56" s="336">
        <f t="shared" si="12"/>
        <v>99171.823729853524</v>
      </c>
      <c r="R56" s="336">
        <f t="shared" si="11"/>
        <v>27526.426720209223</v>
      </c>
      <c r="S56" s="336">
        <f t="shared" si="11"/>
        <v>93320.816185839154</v>
      </c>
      <c r="T56" s="336">
        <f t="shared" si="11"/>
        <v>0</v>
      </c>
      <c r="U56" s="336">
        <f t="shared" si="11"/>
        <v>1000</v>
      </c>
      <c r="V56" s="336">
        <f t="shared" si="11"/>
        <v>3500</v>
      </c>
      <c r="W56" s="336">
        <f t="shared" si="11"/>
        <v>650</v>
      </c>
      <c r="X56" s="740">
        <f t="shared" si="13"/>
        <v>225169.06663590189</v>
      </c>
      <c r="Z56" s="334">
        <f t="shared" si="14"/>
        <v>-57141.231006986956</v>
      </c>
      <c r="AA56">
        <f t="shared" si="15"/>
        <v>-1</v>
      </c>
      <c r="AC56" s="329" t="s">
        <v>252</v>
      </c>
      <c r="AD56" s="1050">
        <f>AD55/13</f>
        <v>54867.80334644291</v>
      </c>
      <c r="AE56" s="1017"/>
      <c r="AG56" s="329" t="s">
        <v>252</v>
      </c>
      <c r="AH56" s="1050">
        <f>AH55/13</f>
        <v>54867.80334644291</v>
      </c>
      <c r="AI56" s="1017"/>
    </row>
    <row r="57" spans="2:35" x14ac:dyDescent="0.45">
      <c r="B57" s="882" t="s">
        <v>195</v>
      </c>
      <c r="C57" s="336">
        <f>C42/RIGHT(C$4,2)</f>
        <v>64903.314937397976</v>
      </c>
      <c r="D57" s="336">
        <f>D42/RIGHT(D$4,2)-7000</f>
        <v>16163.175759560167</v>
      </c>
      <c r="E57" s="336">
        <f>E42/RIGHT(E$4,2)+3000</f>
        <v>65950.104327665933</v>
      </c>
      <c r="F57" s="336">
        <f t="shared" si="9"/>
        <v>0</v>
      </c>
      <c r="G57" s="336">
        <f t="shared" si="9"/>
        <v>800</v>
      </c>
      <c r="H57" s="336">
        <f t="shared" si="9"/>
        <v>2800</v>
      </c>
      <c r="I57" s="336">
        <f t="shared" si="9"/>
        <v>520</v>
      </c>
      <c r="J57" s="740">
        <f t="shared" si="10"/>
        <v>151136.59502462408</v>
      </c>
      <c r="M57" s="740">
        <f>'STT STD - By Province'!I75</f>
        <v>272577.95700051851</v>
      </c>
      <c r="N57" s="740">
        <f>'STT STD - By Province'!R75</f>
        <v>222589.43404504273</v>
      </c>
      <c r="P57" s="882" t="s">
        <v>195</v>
      </c>
      <c r="Q57" s="1053">
        <f>C57*Q$49</f>
        <v>56790.400570223232</v>
      </c>
      <c r="R57" s="1053">
        <f t="shared" ref="R57:W62" si="16">D57*R$49</f>
        <v>13334.620001637137</v>
      </c>
      <c r="S57" s="1053">
        <f t="shared" si="16"/>
        <v>42867.567812982859</v>
      </c>
      <c r="T57" s="1053">
        <f t="shared" si="16"/>
        <v>0</v>
      </c>
      <c r="U57" s="1053">
        <f t="shared" si="16"/>
        <v>800</v>
      </c>
      <c r="V57" s="1053">
        <f t="shared" si="16"/>
        <v>2800</v>
      </c>
      <c r="W57" s="1053">
        <f t="shared" si="16"/>
        <v>520</v>
      </c>
      <c r="X57" s="740">
        <f t="shared" si="13"/>
        <v>117112.58838484323</v>
      </c>
      <c r="Y57" s="1017">
        <f>X57/J57</f>
        <v>0.77487909771794539</v>
      </c>
      <c r="Z57" s="334">
        <f t="shared" si="14"/>
        <v>-105476.8456601995</v>
      </c>
      <c r="AA57">
        <f t="shared" si="15"/>
        <v>-1</v>
      </c>
      <c r="AC57" s="875" t="s">
        <v>253</v>
      </c>
      <c r="AD57" s="410">
        <f>AD56*AE57</f>
        <v>27464.381329294363</v>
      </c>
      <c r="AE57" s="1051">
        <v>0.50055551077706639</v>
      </c>
      <c r="AG57" s="875" t="s">
        <v>253</v>
      </c>
      <c r="AH57" s="410">
        <f>AH56*AI57</f>
        <v>27464.381329294363</v>
      </c>
      <c r="AI57" s="1051">
        <v>0.50055551077706639</v>
      </c>
    </row>
    <row r="58" spans="2:35" x14ac:dyDescent="0.45">
      <c r="B58" s="882" t="s">
        <v>196</v>
      </c>
      <c r="C58" s="336">
        <f>C43/RIGHT(C$4,2)-7000</f>
        <v>64200.244750485348</v>
      </c>
      <c r="D58" s="336">
        <f>D43/RIGHT(D$4,2)-8000</f>
        <v>18541.401689660859</v>
      </c>
      <c r="E58" s="336">
        <f t="shared" si="9"/>
        <v>61455.815999627332</v>
      </c>
      <c r="F58" s="336">
        <f t="shared" si="9"/>
        <v>0</v>
      </c>
      <c r="G58" s="336">
        <f t="shared" si="9"/>
        <v>800</v>
      </c>
      <c r="H58" s="336">
        <f t="shared" si="9"/>
        <v>2800</v>
      </c>
      <c r="I58" s="336">
        <f t="shared" si="9"/>
        <v>520</v>
      </c>
      <c r="J58" s="740">
        <f t="shared" si="10"/>
        <v>148317.46243977355</v>
      </c>
      <c r="M58" s="740">
        <f>'STT STD - By Province'!I76</f>
        <v>261532.11626205017</v>
      </c>
      <c r="N58" s="740">
        <f>'STT STD - By Province'!R76</f>
        <v>213891.18931311165</v>
      </c>
      <c r="P58" s="882" t="s">
        <v>196</v>
      </c>
      <c r="Q58" s="1053">
        <f t="shared" ref="Q58:Q62" si="17">C58*Q$49</f>
        <v>56175.21415667468</v>
      </c>
      <c r="R58" s="1053">
        <f t="shared" si="16"/>
        <v>15296.656393970208</v>
      </c>
      <c r="S58" s="1053">
        <f t="shared" si="16"/>
        <v>39946.280399757765</v>
      </c>
      <c r="T58" s="1053">
        <f t="shared" si="16"/>
        <v>0</v>
      </c>
      <c r="U58" s="1053">
        <f t="shared" si="16"/>
        <v>800</v>
      </c>
      <c r="V58" s="1053">
        <f t="shared" si="16"/>
        <v>2800</v>
      </c>
      <c r="W58" s="1053">
        <f t="shared" si="16"/>
        <v>520</v>
      </c>
      <c r="X58" s="740">
        <f t="shared" si="13"/>
        <v>115538.15095040266</v>
      </c>
      <c r="Z58" s="334">
        <f t="shared" si="14"/>
        <v>-98353.03836270899</v>
      </c>
      <c r="AA58">
        <f t="shared" si="15"/>
        <v>-1</v>
      </c>
      <c r="AC58" s="875" t="s">
        <v>233</v>
      </c>
      <c r="AD58" s="410">
        <f>AD56*AE58</f>
        <v>20838.463555416984</v>
      </c>
      <c r="AE58" s="1051">
        <v>0.37979401915983474</v>
      </c>
      <c r="AG58" s="875" t="s">
        <v>233</v>
      </c>
      <c r="AH58" s="410">
        <f>AH56*AI58</f>
        <v>20838.463555416984</v>
      </c>
      <c r="AI58" s="1051">
        <v>0.37979401915983474</v>
      </c>
    </row>
    <row r="59" spans="2:35" x14ac:dyDescent="0.45">
      <c r="B59" s="882" t="s">
        <v>197</v>
      </c>
      <c r="C59" s="336">
        <f>C44/RIGHT(C$4,2)+5000</f>
        <v>111112.62568091601</v>
      </c>
      <c r="D59" s="336">
        <f>D44/RIGHT(D$4,2)+3000</f>
        <v>37530.72092732969</v>
      </c>
      <c r="E59" s="336">
        <f>E44/RIGHT(E$4,2)+10000</f>
        <v>102870.29808807028</v>
      </c>
      <c r="F59" s="336">
        <f t="shared" si="9"/>
        <v>0</v>
      </c>
      <c r="G59" s="336">
        <f t="shared" si="9"/>
        <v>1000</v>
      </c>
      <c r="H59" s="336">
        <f t="shared" si="9"/>
        <v>3500</v>
      </c>
      <c r="I59" s="336">
        <f t="shared" si="9"/>
        <v>650</v>
      </c>
      <c r="J59" s="740">
        <f t="shared" si="10"/>
        <v>256663.64469631598</v>
      </c>
      <c r="M59" s="740">
        <f>'STT STD - By Province'!I77</f>
        <v>363481.44326039974</v>
      </c>
      <c r="N59" s="740">
        <f>'STT STD - By Province'!R77</f>
        <v>296227.46721362416</v>
      </c>
      <c r="P59" s="882" t="s">
        <v>197</v>
      </c>
      <c r="Q59" s="1053">
        <f t="shared" si="17"/>
        <v>97223.54747080151</v>
      </c>
      <c r="R59" s="1053">
        <f t="shared" si="16"/>
        <v>30962.844765046993</v>
      </c>
      <c r="S59" s="1053">
        <f t="shared" si="16"/>
        <v>66865.693757245681</v>
      </c>
      <c r="T59" s="1053">
        <f t="shared" si="16"/>
        <v>0</v>
      </c>
      <c r="U59" s="1053">
        <f t="shared" si="16"/>
        <v>1000</v>
      </c>
      <c r="V59" s="1053">
        <f t="shared" si="16"/>
        <v>3500</v>
      </c>
      <c r="W59" s="1053">
        <f t="shared" si="16"/>
        <v>650</v>
      </c>
      <c r="X59" s="740">
        <f t="shared" si="13"/>
        <v>200202.0859930942</v>
      </c>
      <c r="Z59" s="334">
        <f t="shared" si="14"/>
        <v>-96025.381220529962</v>
      </c>
      <c r="AA59">
        <f t="shared" si="15"/>
        <v>-1</v>
      </c>
      <c r="AC59" s="875" t="s">
        <v>254</v>
      </c>
      <c r="AD59" s="410">
        <f>AD56*AE59</f>
        <v>5936.2289989350902</v>
      </c>
      <c r="AE59" s="1051">
        <v>0.10819148274358495</v>
      </c>
      <c r="AG59" s="875" t="s">
        <v>254</v>
      </c>
      <c r="AH59" s="410">
        <f>AH56*AI59</f>
        <v>5936.2289989350902</v>
      </c>
      <c r="AI59" s="1051">
        <v>0.10819148274358495</v>
      </c>
    </row>
    <row r="60" spans="2:35" x14ac:dyDescent="0.45">
      <c r="B60" s="882" t="s">
        <v>198</v>
      </c>
      <c r="C60" s="336">
        <f>C45/RIGHT(C$4,2)+15000</f>
        <v>98740.947139192722</v>
      </c>
      <c r="D60" s="336">
        <f t="shared" si="9"/>
        <v>26168.5646320909</v>
      </c>
      <c r="E60" s="336">
        <f>E45/RIGHT(E$4,2)+15000</f>
        <v>87157.906948020827</v>
      </c>
      <c r="F60" s="336">
        <f t="shared" si="9"/>
        <v>0</v>
      </c>
      <c r="G60" s="336">
        <f t="shared" si="9"/>
        <v>800</v>
      </c>
      <c r="H60" s="336">
        <f t="shared" si="9"/>
        <v>2800</v>
      </c>
      <c r="I60" s="336">
        <f t="shared" si="9"/>
        <v>520</v>
      </c>
      <c r="J60" s="740">
        <f t="shared" si="10"/>
        <v>216187.41871930443</v>
      </c>
      <c r="M60" s="740">
        <f>'STT STD - By Province'!I78</f>
        <v>315172.57843018899</v>
      </c>
      <c r="N60" s="740">
        <f>'STT STD - By Province'!R78</f>
        <v>256413.7185711278</v>
      </c>
      <c r="P60" s="882" t="s">
        <v>198</v>
      </c>
      <c r="Q60" s="1053">
        <f t="shared" si="17"/>
        <v>86398.328746793632</v>
      </c>
      <c r="R60" s="1053">
        <f t="shared" si="16"/>
        <v>21589.065821474993</v>
      </c>
      <c r="S60" s="1053">
        <f t="shared" si="16"/>
        <v>56652.639516213538</v>
      </c>
      <c r="T60" s="1053">
        <f t="shared" si="16"/>
        <v>0</v>
      </c>
      <c r="U60" s="1053">
        <f t="shared" si="16"/>
        <v>800</v>
      </c>
      <c r="V60" s="1053">
        <f t="shared" si="16"/>
        <v>2800</v>
      </c>
      <c r="W60" s="1053">
        <f t="shared" si="16"/>
        <v>520</v>
      </c>
      <c r="X60" s="740">
        <f t="shared" si="13"/>
        <v>168760.03408448215</v>
      </c>
      <c r="Z60" s="334">
        <f t="shared" si="14"/>
        <v>-87653.684486645652</v>
      </c>
      <c r="AA60">
        <f t="shared" si="15"/>
        <v>-1</v>
      </c>
    </row>
    <row r="61" spans="2:35" x14ac:dyDescent="0.45">
      <c r="B61" s="882" t="s">
        <v>199</v>
      </c>
      <c r="C61" s="336">
        <f t="shared" si="9"/>
        <v>70383.634860161954</v>
      </c>
      <c r="D61" s="336">
        <f>D46/RIGHT(D$4,2)-3000</f>
        <v>17305.369894426036</v>
      </c>
      <c r="E61" s="336">
        <f t="shared" si="9"/>
        <v>62638.87453126457</v>
      </c>
      <c r="F61" s="336">
        <f t="shared" si="9"/>
        <v>0</v>
      </c>
      <c r="G61" s="336">
        <f t="shared" si="9"/>
        <v>800</v>
      </c>
      <c r="H61" s="336">
        <f t="shared" si="9"/>
        <v>2800</v>
      </c>
      <c r="I61" s="336">
        <f t="shared" si="9"/>
        <v>520</v>
      </c>
      <c r="J61" s="740">
        <f t="shared" si="10"/>
        <v>154447.87928585257</v>
      </c>
      <c r="M61" s="740">
        <f>'STT STD - By Province'!I79</f>
        <v>281372.90151340386</v>
      </c>
      <c r="N61" s="740">
        <f>'STT STD - By Province'!R79</f>
        <v>229752.75021432052</v>
      </c>
      <c r="P61" s="882" t="s">
        <v>199</v>
      </c>
      <c r="Q61" s="1053">
        <f t="shared" si="17"/>
        <v>61585.680502641713</v>
      </c>
      <c r="R61" s="1053">
        <f t="shared" si="16"/>
        <v>14276.930162901479</v>
      </c>
      <c r="S61" s="1053">
        <f t="shared" si="16"/>
        <v>40715.26844532197</v>
      </c>
      <c r="T61" s="1053">
        <f t="shared" si="16"/>
        <v>0</v>
      </c>
      <c r="U61" s="1053">
        <f t="shared" si="16"/>
        <v>800</v>
      </c>
      <c r="V61" s="1053">
        <f t="shared" si="16"/>
        <v>2800</v>
      </c>
      <c r="W61" s="1053">
        <f t="shared" si="16"/>
        <v>520</v>
      </c>
      <c r="X61" s="740">
        <f t="shared" si="13"/>
        <v>120697.87911086516</v>
      </c>
      <c r="Z61" s="334">
        <f t="shared" si="14"/>
        <v>-109054.87110345536</v>
      </c>
      <c r="AA61">
        <f t="shared" si="15"/>
        <v>-1</v>
      </c>
      <c r="AC61" t="s">
        <v>255</v>
      </c>
      <c r="AD61" s="410">
        <f>SUM(J57:J59)</f>
        <v>556117.70216071361</v>
      </c>
      <c r="AE61" s="1017">
        <f>AD61/$J$63</f>
        <v>0.19999461084168904</v>
      </c>
      <c r="AG61" t="s">
        <v>255</v>
      </c>
      <c r="AH61" s="410">
        <f>SUM(X57:X59)</f>
        <v>432852.82532834006</v>
      </c>
      <c r="AI61" s="1017">
        <f>AH61/$X$63</f>
        <v>0.17214271671280129</v>
      </c>
    </row>
    <row r="62" spans="2:35" x14ac:dyDescent="0.45">
      <c r="B62" s="882" t="s">
        <v>200</v>
      </c>
      <c r="C62" s="336">
        <f>C47/RIGHT(C$4,2)+15000</f>
        <v>119314.28704756446</v>
      </c>
      <c r="D62" s="336">
        <f t="shared" si="9"/>
        <v>39464.9489476526</v>
      </c>
      <c r="E62" s="336">
        <f>E47/RIGHT(E$4,2)+15000</f>
        <v>114002.09321763177</v>
      </c>
      <c r="F62" s="336">
        <f t="shared" si="9"/>
        <v>0</v>
      </c>
      <c r="G62" s="336">
        <f t="shared" si="9"/>
        <v>1000</v>
      </c>
      <c r="H62" s="336">
        <f t="shared" si="9"/>
        <v>3500</v>
      </c>
      <c r="I62" s="336">
        <f t="shared" si="9"/>
        <v>650</v>
      </c>
      <c r="J62" s="740">
        <f t="shared" si="10"/>
        <v>277931.3292128488</v>
      </c>
      <c r="M62" s="740">
        <f>'STT STD - By Province'!I80</f>
        <v>385116.58458361198</v>
      </c>
      <c r="N62" s="740">
        <f>'STT STD - By Province'!R80</f>
        <v>313925.25840919814</v>
      </c>
      <c r="P62" s="882" t="s">
        <v>200</v>
      </c>
      <c r="Q62" s="1053">
        <f t="shared" si="17"/>
        <v>104400.00116661889</v>
      </c>
      <c r="R62" s="1053">
        <f t="shared" si="16"/>
        <v>32558.582881813392</v>
      </c>
      <c r="S62" s="1053">
        <f t="shared" si="16"/>
        <v>74101.36059146066</v>
      </c>
      <c r="T62" s="1053">
        <f t="shared" si="16"/>
        <v>0</v>
      </c>
      <c r="U62" s="1053">
        <f t="shared" si="16"/>
        <v>1000</v>
      </c>
      <c r="V62" s="1053">
        <f t="shared" si="16"/>
        <v>3500</v>
      </c>
      <c r="W62" s="1053">
        <f t="shared" si="16"/>
        <v>650</v>
      </c>
      <c r="X62" s="740">
        <f t="shared" si="13"/>
        <v>216209.94463989296</v>
      </c>
      <c r="Z62" s="334">
        <f t="shared" si="14"/>
        <v>-97715.313769305183</v>
      </c>
      <c r="AA62">
        <f t="shared" si="15"/>
        <v>-1</v>
      </c>
      <c r="AC62" s="329" t="s">
        <v>252</v>
      </c>
      <c r="AD62" s="1050">
        <f>AD61/13</f>
        <v>42778.284781593356</v>
      </c>
      <c r="AE62" s="1017"/>
      <c r="AG62" s="329" t="s">
        <v>252</v>
      </c>
      <c r="AH62" s="1050">
        <f>AH61/13</f>
        <v>33296.37117910308</v>
      </c>
      <c r="AI62" s="1017"/>
    </row>
    <row r="63" spans="2:35" x14ac:dyDescent="0.45">
      <c r="B63" s="739" t="s">
        <v>201</v>
      </c>
      <c r="C63" s="740">
        <f t="shared" ref="C63:I63" si="18">SUM(C51:C62)</f>
        <v>1286488.4939454731</v>
      </c>
      <c r="D63" s="740">
        <f t="shared" si="18"/>
        <v>329042.84869814751</v>
      </c>
      <c r="E63" s="740">
        <f t="shared" si="18"/>
        <v>1112627.8753373309</v>
      </c>
      <c r="F63" s="740">
        <f t="shared" si="18"/>
        <v>2171</v>
      </c>
      <c r="G63" s="740">
        <f t="shared" si="18"/>
        <v>10623</v>
      </c>
      <c r="H63" s="740">
        <f t="shared" si="18"/>
        <v>32882.97</v>
      </c>
      <c r="I63" s="740">
        <f t="shared" si="18"/>
        <v>6827.25</v>
      </c>
      <c r="J63" s="740">
        <f t="shared" si="10"/>
        <v>2780663.4379809517</v>
      </c>
      <c r="M63" s="740">
        <f>SUM(M51:M62)</f>
        <v>3497169.0332306689</v>
      </c>
      <c r="N63" s="740">
        <f>SUM(N51:N62)</f>
        <v>3150715.2699469207</v>
      </c>
      <c r="P63" s="739" t="s">
        <v>201</v>
      </c>
      <c r="Q63" s="740">
        <f>SUM(Q51:Q62)</f>
        <v>1220406.6121435082</v>
      </c>
      <c r="R63" s="740">
        <f t="shared" ref="R63:X63" si="19">SUM(R51:R62)</f>
        <v>301887.36687427148</v>
      </c>
      <c r="S63" s="740">
        <f t="shared" si="19"/>
        <v>939701.59274803265</v>
      </c>
      <c r="T63" s="740">
        <f t="shared" si="19"/>
        <v>2171</v>
      </c>
      <c r="U63" s="740">
        <f t="shared" si="19"/>
        <v>10623</v>
      </c>
      <c r="V63" s="740">
        <f t="shared" si="19"/>
        <v>32882.97</v>
      </c>
      <c r="W63" s="740">
        <f t="shared" si="19"/>
        <v>6827.25</v>
      </c>
      <c r="X63" s="740">
        <f t="shared" si="19"/>
        <v>2514499.7917658123</v>
      </c>
      <c r="AC63" s="875" t="s">
        <v>253</v>
      </c>
      <c r="AD63" s="410">
        <f>AD62*AE63</f>
        <v>21412.906189017267</v>
      </c>
      <c r="AE63" s="1051">
        <v>0.50055551077706639</v>
      </c>
      <c r="AG63" s="875" t="s">
        <v>253</v>
      </c>
      <c r="AH63" s="410">
        <f>AH62*AI63</f>
        <v>16666.682082578736</v>
      </c>
      <c r="AI63" s="1051">
        <v>0.50055551077706639</v>
      </c>
    </row>
    <row r="64" spans="2:35" x14ac:dyDescent="0.45">
      <c r="C64" s="410">
        <f>C63*RIGHT(C50,2)</f>
        <v>51459539.757818922</v>
      </c>
      <c r="D64" s="410">
        <f t="shared" ref="D64:I64" si="20">D63*RIGHT(D50,2)</f>
        <v>13161713.947925901</v>
      </c>
      <c r="E64" s="410">
        <f t="shared" si="20"/>
        <v>44505115.013493232</v>
      </c>
      <c r="F64" s="410">
        <f t="shared" si="20"/>
        <v>86840</v>
      </c>
      <c r="G64" s="410">
        <f t="shared" si="20"/>
        <v>127476</v>
      </c>
      <c r="H64" s="410">
        <f t="shared" si="20"/>
        <v>394595.64</v>
      </c>
      <c r="I64" s="410">
        <f t="shared" si="20"/>
        <v>163854</v>
      </c>
      <c r="J64" s="410">
        <f>SUM(C64:I64)</f>
        <v>109899134.35923806</v>
      </c>
      <c r="M64" s="344">
        <f>M63*'STT STD - By Province'!I86</f>
        <v>139157475.55176494</v>
      </c>
      <c r="N64" s="344">
        <f>N63*'STT STD - By Province'!R86</f>
        <v>125362020.62295185</v>
      </c>
      <c r="Q64" s="410">
        <f>Q63*RIGHT(Q50,2)</f>
        <v>48816264.485740326</v>
      </c>
      <c r="R64" s="410">
        <f t="shared" ref="R64:W64" si="21">R63*RIGHT(R50,2)</f>
        <v>12075494.67497086</v>
      </c>
      <c r="S64" s="410">
        <f t="shared" si="21"/>
        <v>37588063.709921308</v>
      </c>
      <c r="T64" s="410">
        <f t="shared" si="21"/>
        <v>86840</v>
      </c>
      <c r="U64" s="410">
        <f t="shared" si="21"/>
        <v>127476</v>
      </c>
      <c r="V64" s="410">
        <f t="shared" si="21"/>
        <v>394595.64</v>
      </c>
      <c r="W64" s="410">
        <f t="shared" si="21"/>
        <v>163854</v>
      </c>
      <c r="X64" s="410">
        <f>SUM(Q64:W64)</f>
        <v>99252588.5106325</v>
      </c>
      <c r="AC64" s="875" t="s">
        <v>233</v>
      </c>
      <c r="AD64" s="410">
        <f>AD62*AE64</f>
        <v>16246.936709965334</v>
      </c>
      <c r="AE64" s="1051">
        <v>0.37979401915983474</v>
      </c>
      <c r="AG64" s="875" t="s">
        <v>233</v>
      </c>
      <c r="AH64" s="410">
        <f>AH62*AI64</f>
        <v>12645.762633549244</v>
      </c>
      <c r="AI64" s="1051">
        <v>0.37979401915983474</v>
      </c>
    </row>
    <row r="65" spans="2:35" x14ac:dyDescent="0.45">
      <c r="C65" s="483">
        <f>C64/$J$64</f>
        <v>0.46824335840178766</v>
      </c>
      <c r="D65" s="483">
        <f t="shared" ref="D65:I65" si="22">D64/$J$64</f>
        <v>0.11976176177059701</v>
      </c>
      <c r="E65" s="483">
        <f t="shared" si="22"/>
        <v>0.40496328995654329</v>
      </c>
      <c r="F65" s="483">
        <f t="shared" si="22"/>
        <v>7.9017910838257918E-4</v>
      </c>
      <c r="G65" s="483">
        <f t="shared" si="22"/>
        <v>1.1599363429315715E-3</v>
      </c>
      <c r="H65" s="483">
        <f t="shared" si="22"/>
        <v>3.5905254604658363E-3</v>
      </c>
      <c r="I65" s="483">
        <f t="shared" si="22"/>
        <v>1.4909489592920212E-3</v>
      </c>
      <c r="Q65" s="483">
        <f>Q64/$X$64</f>
        <v>0.49183870383905254</v>
      </c>
      <c r="R65" s="483">
        <f t="shared" ref="R65:W65" si="23">R64/$X$64</f>
        <v>0.12166427955354801</v>
      </c>
      <c r="S65" s="483">
        <f t="shared" si="23"/>
        <v>0.37871116787946202</v>
      </c>
      <c r="T65" s="483">
        <f t="shared" si="23"/>
        <v>8.7493939758253464E-4</v>
      </c>
      <c r="U65" s="483">
        <f t="shared" si="23"/>
        <v>1.2843594500947858E-3</v>
      </c>
      <c r="V65" s="483">
        <f t="shared" si="23"/>
        <v>3.9756710219978663E-3</v>
      </c>
      <c r="W65" s="483">
        <f t="shared" si="23"/>
        <v>1.6508788582621906E-3</v>
      </c>
      <c r="AC65" s="875" t="s">
        <v>254</v>
      </c>
      <c r="AD65" s="410">
        <f>AD62*AE65</f>
        <v>4628.2460597479203</v>
      </c>
      <c r="AE65" s="1051">
        <v>0.10819148274358495</v>
      </c>
      <c r="AG65" s="875" t="s">
        <v>254</v>
      </c>
      <c r="AH65" s="410">
        <f>AH62*AI65</f>
        <v>3602.3837678479304</v>
      </c>
      <c r="AI65" s="1051">
        <v>0.10819148274358495</v>
      </c>
    </row>
    <row r="66" spans="2:35" x14ac:dyDescent="0.45">
      <c r="Q66" s="483">
        <v>0.50388906795773492</v>
      </c>
      <c r="R66" s="483">
        <v>0.10832332728073478</v>
      </c>
      <c r="S66" s="483">
        <v>0.37681726821289252</v>
      </c>
      <c r="T66" s="483">
        <v>1.5955355884856364E-3</v>
      </c>
      <c r="U66" s="483">
        <v>3.4655719233774038E-3</v>
      </c>
      <c r="V66" s="483">
        <v>4.1474918244885101E-3</v>
      </c>
      <c r="W66" s="483">
        <v>1.7617372122862235E-3</v>
      </c>
    </row>
    <row r="67" spans="2:35" x14ac:dyDescent="0.45">
      <c r="B67" s="870" t="s">
        <v>239</v>
      </c>
      <c r="C67" s="870" t="s">
        <v>2</v>
      </c>
      <c r="D67" s="870" t="s">
        <v>3</v>
      </c>
      <c r="E67" s="870" t="s">
        <v>4</v>
      </c>
      <c r="F67" s="870" t="s">
        <v>135</v>
      </c>
      <c r="G67" s="870" t="s">
        <v>154</v>
      </c>
      <c r="H67" s="870" t="s">
        <v>137</v>
      </c>
      <c r="I67" s="870" t="s">
        <v>138</v>
      </c>
      <c r="J67" s="870" t="s">
        <v>201</v>
      </c>
    </row>
    <row r="68" spans="2:35" x14ac:dyDescent="0.45">
      <c r="B68" s="877" t="s">
        <v>256</v>
      </c>
      <c r="C68" s="877"/>
      <c r="D68" s="877"/>
      <c r="E68" s="877"/>
      <c r="F68" s="877"/>
      <c r="G68" s="877"/>
      <c r="H68" s="877"/>
      <c r="I68" s="877"/>
      <c r="J68" s="877"/>
      <c r="W68" t="s">
        <v>257</v>
      </c>
      <c r="X68" s="412">
        <v>120000000</v>
      </c>
      <c r="AC68" t="s">
        <v>188</v>
      </c>
      <c r="AD68" s="410">
        <f>SUM(J60:J62)</f>
        <v>648566.62721800583</v>
      </c>
      <c r="AE68" s="1017">
        <f>AD68/$J$63</f>
        <v>0.23324168554858693</v>
      </c>
      <c r="AG68" t="s">
        <v>188</v>
      </c>
      <c r="AH68" s="410">
        <f>SUM(X60:X62)</f>
        <v>505667.85783524025</v>
      </c>
      <c r="AI68" s="1017">
        <f>AH68/$X$63</f>
        <v>0.20110077538727256</v>
      </c>
    </row>
    <row r="69" spans="2:35" x14ac:dyDescent="0.45">
      <c r="B69" s="325" t="s">
        <v>258</v>
      </c>
      <c r="C69" s="336">
        <v>65819560</v>
      </c>
      <c r="D69" s="336">
        <v>19360000</v>
      </c>
      <c r="E69" s="336">
        <v>63891600</v>
      </c>
      <c r="F69" s="336">
        <v>64000</v>
      </c>
      <c r="G69" s="336">
        <v>143268</v>
      </c>
      <c r="H69" s="336">
        <v>460800</v>
      </c>
      <c r="I69" s="336">
        <v>287424</v>
      </c>
      <c r="J69" s="336">
        <f>SUM(C69:I69)</f>
        <v>150026652</v>
      </c>
      <c r="W69" t="s">
        <v>230</v>
      </c>
      <c r="X69" s="412">
        <v>110000000</v>
      </c>
      <c r="AC69" s="329" t="s">
        <v>252</v>
      </c>
      <c r="AD69" s="1050">
        <f>AD68/13</f>
        <v>49889.740555231219</v>
      </c>
      <c r="AG69" s="329" t="s">
        <v>252</v>
      </c>
      <c r="AH69" s="1050">
        <f>AH68/13</f>
        <v>38897.527525787715</v>
      </c>
    </row>
    <row r="70" spans="2:35" x14ac:dyDescent="0.45">
      <c r="B70" s="325" t="s">
        <v>259</v>
      </c>
      <c r="C70" s="336">
        <f t="shared" ref="C70:I70" si="24">C69/RIGHT(C67,2)</f>
        <v>1645489</v>
      </c>
      <c r="D70" s="336">
        <f t="shared" si="24"/>
        <v>484000</v>
      </c>
      <c r="E70" s="336">
        <f t="shared" si="24"/>
        <v>1597290</v>
      </c>
      <c r="F70" s="336">
        <f t="shared" si="24"/>
        <v>1600</v>
      </c>
      <c r="G70" s="336">
        <f t="shared" si="24"/>
        <v>11939</v>
      </c>
      <c r="H70" s="336">
        <f t="shared" si="24"/>
        <v>38400</v>
      </c>
      <c r="I70" s="336">
        <f t="shared" si="24"/>
        <v>11976</v>
      </c>
      <c r="J70" s="336">
        <f>SUM(C70:I70)</f>
        <v>3790694</v>
      </c>
      <c r="AC70" s="875" t="s">
        <v>253</v>
      </c>
      <c r="AD70" s="410">
        <f>AD69*AE70</f>
        <v>24972.584566159087</v>
      </c>
      <c r="AE70" s="1051">
        <v>0.50055551077706639</v>
      </c>
      <c r="AG70" s="875" t="s">
        <v>253</v>
      </c>
      <c r="AH70" s="410">
        <f>AH69*AI70</f>
        <v>19470.371758635669</v>
      </c>
      <c r="AI70" s="1051">
        <v>0.50055551077706639</v>
      </c>
    </row>
    <row r="71" spans="2:35" x14ac:dyDescent="0.45">
      <c r="B71" s="862" t="s">
        <v>260</v>
      </c>
      <c r="C71" s="863"/>
      <c r="D71" s="863"/>
      <c r="E71" s="863"/>
      <c r="F71" s="863"/>
      <c r="G71" s="863"/>
      <c r="H71" s="863"/>
      <c r="I71" s="863"/>
      <c r="J71" s="863"/>
      <c r="W71" t="s">
        <v>261</v>
      </c>
      <c r="AC71" s="875" t="s">
        <v>233</v>
      </c>
      <c r="AD71" s="410">
        <f>AD69*AE71</f>
        <v>18947.825080312668</v>
      </c>
      <c r="AE71" s="1051">
        <v>0.37979401915983474</v>
      </c>
      <c r="AG71" s="875" t="s">
        <v>233</v>
      </c>
      <c r="AH71" s="410">
        <f>AH69*AI71</f>
        <v>14773.048314399219</v>
      </c>
      <c r="AI71" s="1051">
        <v>0.37979401915983474</v>
      </c>
    </row>
    <row r="72" spans="2:35" x14ac:dyDescent="0.45">
      <c r="B72" s="864" t="s">
        <v>258</v>
      </c>
      <c r="C72" s="336">
        <f t="shared" ref="C72:I72" si="25">SUM(C5:C10)</f>
        <v>37158280</v>
      </c>
      <c r="D72" s="336">
        <f t="shared" si="25"/>
        <v>10560000</v>
      </c>
      <c r="E72" s="336">
        <f t="shared" si="25"/>
        <v>34295000</v>
      </c>
      <c r="F72" s="336">
        <f t="shared" si="25"/>
        <v>64000</v>
      </c>
      <c r="G72" s="336">
        <f t="shared" si="25"/>
        <v>84768</v>
      </c>
      <c r="H72" s="336">
        <f t="shared" si="25"/>
        <v>258900</v>
      </c>
      <c r="I72" s="336">
        <f t="shared" si="25"/>
        <v>172224</v>
      </c>
      <c r="J72" s="336">
        <f>SUM(C72:I72)</f>
        <v>82593172</v>
      </c>
      <c r="W72" t="s">
        <v>262</v>
      </c>
      <c r="AC72" s="875" t="s">
        <v>254</v>
      </c>
      <c r="AD72" s="410">
        <f>AD69*AE72</f>
        <v>5397.6450043632285</v>
      </c>
      <c r="AE72" s="1051">
        <v>0.10819148274358495</v>
      </c>
      <c r="AG72" s="875" t="s">
        <v>254</v>
      </c>
      <c r="AH72" s="410">
        <f>AH69*AI72</f>
        <v>4208.3811780743818</v>
      </c>
      <c r="AI72" s="1051">
        <v>0.10819148274358495</v>
      </c>
    </row>
    <row r="73" spans="2:35" x14ac:dyDescent="0.45">
      <c r="B73" s="864" t="s">
        <v>259</v>
      </c>
      <c r="C73" s="336">
        <f t="shared" ref="C73:I73" si="26">C72/RIGHT(C$67,2)</f>
        <v>928957</v>
      </c>
      <c r="D73" s="336">
        <f t="shared" si="26"/>
        <v>264000</v>
      </c>
      <c r="E73" s="336">
        <f t="shared" si="26"/>
        <v>857375</v>
      </c>
      <c r="F73" s="336">
        <f t="shared" si="26"/>
        <v>1600</v>
      </c>
      <c r="G73" s="336">
        <f t="shared" si="26"/>
        <v>7064</v>
      </c>
      <c r="H73" s="336">
        <f t="shared" si="26"/>
        <v>21575</v>
      </c>
      <c r="I73" s="336">
        <f t="shared" si="26"/>
        <v>7176</v>
      </c>
      <c r="J73" s="336">
        <f>SUM(C73:I73)</f>
        <v>2087747</v>
      </c>
      <c r="W73" t="s">
        <v>263</v>
      </c>
    </row>
    <row r="74" spans="2:35" x14ac:dyDescent="0.45">
      <c r="B74" s="862" t="s">
        <v>264</v>
      </c>
      <c r="C74" s="863"/>
      <c r="D74" s="863"/>
      <c r="E74" s="863"/>
      <c r="F74" s="863"/>
      <c r="G74" s="863"/>
      <c r="H74" s="863"/>
      <c r="I74" s="863"/>
      <c r="J74" s="863"/>
    </row>
    <row r="75" spans="2:35" x14ac:dyDescent="0.45">
      <c r="B75" s="864" t="s">
        <v>258</v>
      </c>
      <c r="C75" s="336">
        <f t="shared" ref="C75:I75" si="27">SUM(C11:C16)</f>
        <v>15770125.199999999</v>
      </c>
      <c r="D75" s="336">
        <f t="shared" si="27"/>
        <v>4884000.0000000009</v>
      </c>
      <c r="E75" s="336">
        <f t="shared" si="27"/>
        <v>16550100</v>
      </c>
      <c r="F75" s="336">
        <f t="shared" si="27"/>
        <v>0</v>
      </c>
      <c r="G75" s="336">
        <f t="shared" si="27"/>
        <v>31968.000000000004</v>
      </c>
      <c r="H75" s="336">
        <f t="shared" si="27"/>
        <v>111888.00000000001</v>
      </c>
      <c r="I75" s="336">
        <f t="shared" si="27"/>
        <v>63936.000000000007</v>
      </c>
      <c r="J75" s="336">
        <f>SUM(C75:I75)</f>
        <v>37412017.200000003</v>
      </c>
    </row>
    <row r="76" spans="2:35" x14ac:dyDescent="0.45">
      <c r="B76" s="864" t="s">
        <v>259</v>
      </c>
      <c r="C76" s="336">
        <f t="shared" ref="C76:I76" si="28">C75/RIGHT(C$67,2)</f>
        <v>394253.13</v>
      </c>
      <c r="D76" s="336">
        <f t="shared" si="28"/>
        <v>122100.00000000003</v>
      </c>
      <c r="E76" s="336">
        <f t="shared" si="28"/>
        <v>413752.5</v>
      </c>
      <c r="F76" s="336">
        <f t="shared" si="28"/>
        <v>0</v>
      </c>
      <c r="G76" s="336">
        <f t="shared" si="28"/>
        <v>2664.0000000000005</v>
      </c>
      <c r="H76" s="336">
        <f t="shared" si="28"/>
        <v>9324.0000000000018</v>
      </c>
      <c r="I76" s="336">
        <f t="shared" si="28"/>
        <v>2664.0000000000005</v>
      </c>
      <c r="J76" s="336">
        <f>SUM(C76:I76)</f>
        <v>944757.63</v>
      </c>
    </row>
    <row r="77" spans="2:35" x14ac:dyDescent="0.45">
      <c r="B77" s="865" t="s">
        <v>265</v>
      </c>
      <c r="C77" s="866"/>
      <c r="D77" s="866"/>
      <c r="E77" s="866"/>
      <c r="F77" s="866"/>
      <c r="G77" s="866"/>
      <c r="H77" s="866"/>
      <c r="I77" s="866"/>
      <c r="J77" s="866"/>
    </row>
    <row r="78" spans="2:35" x14ac:dyDescent="0.45">
      <c r="B78" s="864" t="s">
        <v>258</v>
      </c>
      <c r="C78" s="336">
        <f t="shared" ref="C78:I78" si="29">SUM(C5:C7)</f>
        <v>22738760</v>
      </c>
      <c r="D78" s="336">
        <f t="shared" si="29"/>
        <v>6400000</v>
      </c>
      <c r="E78" s="336">
        <f t="shared" si="29"/>
        <v>20521000</v>
      </c>
      <c r="F78" s="336">
        <f t="shared" si="29"/>
        <v>64000</v>
      </c>
      <c r="G78" s="336">
        <f t="shared" si="29"/>
        <v>41568</v>
      </c>
      <c r="H78" s="336">
        <f t="shared" si="29"/>
        <v>143700</v>
      </c>
      <c r="I78" s="336">
        <f t="shared" si="29"/>
        <v>85824</v>
      </c>
      <c r="J78" s="336">
        <f>SUM(C78:I78)</f>
        <v>49994852</v>
      </c>
    </row>
    <row r="79" spans="2:35" x14ac:dyDescent="0.45">
      <c r="B79" s="864" t="s">
        <v>259</v>
      </c>
      <c r="C79" s="336">
        <f t="shared" ref="C79:I79" si="30">C78/RIGHT(C$67,2)</f>
        <v>568469</v>
      </c>
      <c r="D79" s="336">
        <f t="shared" si="30"/>
        <v>160000</v>
      </c>
      <c r="E79" s="336">
        <f t="shared" si="30"/>
        <v>513025</v>
      </c>
      <c r="F79" s="336">
        <f t="shared" si="30"/>
        <v>1600</v>
      </c>
      <c r="G79" s="336">
        <f t="shared" si="30"/>
        <v>3464</v>
      </c>
      <c r="H79" s="336">
        <f t="shared" si="30"/>
        <v>11975</v>
      </c>
      <c r="I79" s="336">
        <f t="shared" si="30"/>
        <v>3576</v>
      </c>
      <c r="J79" s="336">
        <f>SUM(C79:I79)</f>
        <v>1262109</v>
      </c>
    </row>
    <row r="80" spans="2:35" x14ac:dyDescent="0.45">
      <c r="B80" s="865" t="s">
        <v>266</v>
      </c>
      <c r="C80" s="866"/>
      <c r="D80" s="866"/>
      <c r="E80" s="866"/>
      <c r="F80" s="866"/>
      <c r="G80" s="866"/>
      <c r="H80" s="866"/>
      <c r="I80" s="866"/>
      <c r="J80" s="866"/>
    </row>
    <row r="81" spans="2:10" x14ac:dyDescent="0.45">
      <c r="B81" s="864" t="s">
        <v>258</v>
      </c>
      <c r="C81" s="336">
        <f t="shared" ref="C81:I81" si="31">SUM(C8:C10)</f>
        <v>14419520</v>
      </c>
      <c r="D81" s="336">
        <f t="shared" si="31"/>
        <v>4160000</v>
      </c>
      <c r="E81" s="336">
        <f t="shared" si="31"/>
        <v>13774000</v>
      </c>
      <c r="F81" s="336">
        <f t="shared" si="31"/>
        <v>0</v>
      </c>
      <c r="G81" s="336">
        <f t="shared" si="31"/>
        <v>43200</v>
      </c>
      <c r="H81" s="336">
        <f t="shared" si="31"/>
        <v>115200</v>
      </c>
      <c r="I81" s="336">
        <f t="shared" si="31"/>
        <v>86400</v>
      </c>
      <c r="J81" s="336">
        <f>SUM(C81:I81)</f>
        <v>32598320</v>
      </c>
    </row>
    <row r="82" spans="2:10" x14ac:dyDescent="0.45">
      <c r="B82" s="864" t="s">
        <v>259</v>
      </c>
      <c r="C82" s="336">
        <f t="shared" ref="C82:I82" si="32">C81/RIGHT(C$67,2)</f>
        <v>360488</v>
      </c>
      <c r="D82" s="336">
        <f t="shared" si="32"/>
        <v>104000</v>
      </c>
      <c r="E82" s="336">
        <f t="shared" si="32"/>
        <v>344350</v>
      </c>
      <c r="F82" s="336">
        <f t="shared" si="32"/>
        <v>0</v>
      </c>
      <c r="G82" s="336">
        <f t="shared" si="32"/>
        <v>3600</v>
      </c>
      <c r="H82" s="336">
        <f t="shared" si="32"/>
        <v>9600</v>
      </c>
      <c r="I82" s="336">
        <f t="shared" si="32"/>
        <v>3600</v>
      </c>
      <c r="J82" s="336">
        <f>SUM(C82:I82)</f>
        <v>825638</v>
      </c>
    </row>
    <row r="83" spans="2:10" x14ac:dyDescent="0.45">
      <c r="B83" s="865" t="s">
        <v>267</v>
      </c>
      <c r="C83" s="866"/>
      <c r="D83" s="866"/>
      <c r="E83" s="866"/>
      <c r="F83" s="866"/>
      <c r="G83" s="866"/>
      <c r="H83" s="866"/>
      <c r="I83" s="866"/>
      <c r="J83" s="866"/>
    </row>
    <row r="84" spans="2:10" x14ac:dyDescent="0.45">
      <c r="B84" s="864" t="s">
        <v>258</v>
      </c>
      <c r="C84" s="336">
        <f t="shared" ref="C84:I84" si="33">SUM(C11:C13)</f>
        <v>7779235.1999999993</v>
      </c>
      <c r="D84" s="336">
        <f t="shared" si="33"/>
        <v>2397600.0000000005</v>
      </c>
      <c r="E84" s="336">
        <f t="shared" si="33"/>
        <v>8196240</v>
      </c>
      <c r="F84" s="336">
        <f t="shared" si="33"/>
        <v>0</v>
      </c>
      <c r="G84" s="336">
        <f t="shared" si="33"/>
        <v>15984.000000000002</v>
      </c>
      <c r="H84" s="336">
        <f t="shared" si="33"/>
        <v>63936.000000000007</v>
      </c>
      <c r="I84" s="336">
        <f t="shared" si="33"/>
        <v>31968.000000000004</v>
      </c>
      <c r="J84" s="336">
        <f>SUM(C84:I84)</f>
        <v>18484963.199999999</v>
      </c>
    </row>
    <row r="85" spans="2:10" x14ac:dyDescent="0.45">
      <c r="B85" s="864" t="s">
        <v>259</v>
      </c>
      <c r="C85" s="336">
        <f t="shared" ref="C85:I85" si="34">C84/RIGHT(C$67,2)</f>
        <v>194480.87999999998</v>
      </c>
      <c r="D85" s="336">
        <f t="shared" si="34"/>
        <v>59940.000000000015</v>
      </c>
      <c r="E85" s="336">
        <f t="shared" si="34"/>
        <v>204906</v>
      </c>
      <c r="F85" s="336">
        <f t="shared" si="34"/>
        <v>0</v>
      </c>
      <c r="G85" s="336">
        <f t="shared" si="34"/>
        <v>1332.0000000000002</v>
      </c>
      <c r="H85" s="336">
        <f t="shared" si="34"/>
        <v>5328.0000000000009</v>
      </c>
      <c r="I85" s="336">
        <f t="shared" si="34"/>
        <v>1332.0000000000002</v>
      </c>
      <c r="J85" s="336">
        <f>SUM(C85:I85)</f>
        <v>467318.88</v>
      </c>
    </row>
    <row r="86" spans="2:10" x14ac:dyDescent="0.45">
      <c r="B86" s="865" t="s">
        <v>268</v>
      </c>
      <c r="C86" s="866"/>
      <c r="D86" s="866"/>
      <c r="E86" s="866"/>
      <c r="F86" s="866"/>
      <c r="G86" s="866"/>
      <c r="H86" s="866"/>
      <c r="I86" s="866"/>
      <c r="J86" s="866"/>
    </row>
    <row r="87" spans="2:10" x14ac:dyDescent="0.45">
      <c r="B87" s="864" t="s">
        <v>258</v>
      </c>
      <c r="C87" s="336">
        <f t="shared" ref="C87:I87" si="35">SUM(C14:C16)</f>
        <v>7990890</v>
      </c>
      <c r="D87" s="336">
        <f t="shared" si="35"/>
        <v>2486400.0000000005</v>
      </c>
      <c r="E87" s="336">
        <f t="shared" si="35"/>
        <v>8353860</v>
      </c>
      <c r="F87" s="336">
        <f t="shared" si="35"/>
        <v>0</v>
      </c>
      <c r="G87" s="336">
        <f t="shared" si="35"/>
        <v>15984.000000000002</v>
      </c>
      <c r="H87" s="336">
        <f t="shared" si="35"/>
        <v>47952.000000000007</v>
      </c>
      <c r="I87" s="336">
        <f t="shared" si="35"/>
        <v>31968.000000000004</v>
      </c>
      <c r="J87" s="336">
        <f>SUM(C87:I87)</f>
        <v>18927054</v>
      </c>
    </row>
    <row r="88" spans="2:10" x14ac:dyDescent="0.45">
      <c r="B88" s="864" t="s">
        <v>259</v>
      </c>
      <c r="C88" s="336">
        <f t="shared" ref="C88:I88" si="36">C87/RIGHT(C$67,2)</f>
        <v>199772.25</v>
      </c>
      <c r="D88" s="336">
        <f t="shared" si="36"/>
        <v>62160.000000000015</v>
      </c>
      <c r="E88" s="336">
        <f t="shared" si="36"/>
        <v>208846.5</v>
      </c>
      <c r="F88" s="336">
        <f t="shared" si="36"/>
        <v>0</v>
      </c>
      <c r="G88" s="336">
        <f t="shared" si="36"/>
        <v>1332.0000000000002</v>
      </c>
      <c r="H88" s="336">
        <f t="shared" si="36"/>
        <v>3996.0000000000005</v>
      </c>
      <c r="I88" s="336">
        <f t="shared" si="36"/>
        <v>1332.0000000000002</v>
      </c>
      <c r="J88" s="336">
        <f>SUM(C88:I88)</f>
        <v>477438.75</v>
      </c>
    </row>
    <row r="89" spans="2:10" x14ac:dyDescent="0.45">
      <c r="B89" s="878" t="s">
        <v>269</v>
      </c>
      <c r="C89" s="878"/>
      <c r="D89" s="878"/>
      <c r="E89" s="878"/>
      <c r="F89" s="878"/>
      <c r="G89" s="878"/>
      <c r="H89" s="878"/>
      <c r="I89" s="878"/>
      <c r="J89" s="878"/>
    </row>
    <row r="90" spans="2:10" x14ac:dyDescent="0.45">
      <c r="B90" s="864" t="s">
        <v>258</v>
      </c>
      <c r="C90" s="336">
        <f t="shared" ref="C90:I90" si="37">SUM(C48)</f>
        <v>50939539.757818907</v>
      </c>
      <c r="D90" s="336">
        <f t="shared" si="37"/>
        <v>14181713.947925901</v>
      </c>
      <c r="E90" s="336">
        <f t="shared" si="37"/>
        <v>44225115.01349324</v>
      </c>
      <c r="F90" s="336">
        <f t="shared" si="37"/>
        <v>86840</v>
      </c>
      <c r="G90" s="336">
        <f t="shared" si="37"/>
        <v>127476</v>
      </c>
      <c r="H90" s="336">
        <f t="shared" si="37"/>
        <v>394595.64</v>
      </c>
      <c r="I90" s="336">
        <f t="shared" si="37"/>
        <v>163854</v>
      </c>
      <c r="J90" s="336">
        <f>SUM(C90:I90)</f>
        <v>110119134.35923804</v>
      </c>
    </row>
    <row r="91" spans="2:10" x14ac:dyDescent="0.45">
      <c r="B91" s="864" t="s">
        <v>259</v>
      </c>
      <c r="C91" s="336">
        <f t="shared" ref="C91:I91" si="38">IFERROR(C90/RIGHT(C$67,2),0)</f>
        <v>1273488.4939454726</v>
      </c>
      <c r="D91" s="336">
        <f t="shared" si="38"/>
        <v>354542.84869814751</v>
      </c>
      <c r="E91" s="336">
        <f t="shared" si="38"/>
        <v>1105627.8753373311</v>
      </c>
      <c r="F91" s="336">
        <f t="shared" si="38"/>
        <v>2171</v>
      </c>
      <c r="G91" s="336">
        <f t="shared" si="38"/>
        <v>10623</v>
      </c>
      <c r="H91" s="336">
        <f t="shared" si="38"/>
        <v>32882.97</v>
      </c>
      <c r="I91" s="336">
        <f t="shared" si="38"/>
        <v>6827.25</v>
      </c>
      <c r="J91" s="336">
        <f>SUM(C91:I91)</f>
        <v>2786163.4379809513</v>
      </c>
    </row>
    <row r="92" spans="2:10" x14ac:dyDescent="0.45">
      <c r="B92" s="879" t="s">
        <v>265</v>
      </c>
      <c r="C92" s="880"/>
      <c r="D92" s="880"/>
      <c r="E92" s="880"/>
      <c r="F92" s="880"/>
      <c r="G92" s="880"/>
      <c r="H92" s="880"/>
      <c r="I92" s="880"/>
      <c r="J92" s="880"/>
    </row>
    <row r="93" spans="2:10" x14ac:dyDescent="0.45">
      <c r="B93" s="864" t="s">
        <v>258</v>
      </c>
      <c r="C93" s="336">
        <f t="shared" ref="C93:I93" si="39">SUM(C36:C38)</f>
        <v>15652253.590377294</v>
      </c>
      <c r="D93" s="336">
        <f t="shared" si="39"/>
        <v>3505745.2546913014</v>
      </c>
      <c r="E93" s="336">
        <f t="shared" si="39"/>
        <v>14086538.958870366</v>
      </c>
      <c r="F93" s="336">
        <f t="shared" si="39"/>
        <v>56840</v>
      </c>
      <c r="G93" s="336">
        <f t="shared" si="39"/>
        <v>33876</v>
      </c>
      <c r="H93" s="336">
        <f t="shared" si="39"/>
        <v>66995.639999999985</v>
      </c>
      <c r="I93" s="336">
        <f t="shared" si="39"/>
        <v>42174</v>
      </c>
      <c r="J93" s="336">
        <f>SUM(C93:I93)</f>
        <v>33444423.443938963</v>
      </c>
    </row>
    <row r="94" spans="2:10" x14ac:dyDescent="0.45">
      <c r="B94" s="864" t="s">
        <v>259</v>
      </c>
      <c r="C94" s="336">
        <f t="shared" ref="C94:I94" si="40">IFERROR(C93/RIGHT(C$67,2),0)</f>
        <v>391306.33975943236</v>
      </c>
      <c r="D94" s="336">
        <f t="shared" si="40"/>
        <v>87643.631367282534</v>
      </c>
      <c r="E94" s="336">
        <f t="shared" si="40"/>
        <v>352163.47397175914</v>
      </c>
      <c r="F94" s="336">
        <f t="shared" si="40"/>
        <v>1421</v>
      </c>
      <c r="G94" s="336">
        <f t="shared" si="40"/>
        <v>2823</v>
      </c>
      <c r="H94" s="336">
        <f t="shared" si="40"/>
        <v>5582.9699999999984</v>
      </c>
      <c r="I94" s="336">
        <f t="shared" si="40"/>
        <v>1757.25</v>
      </c>
      <c r="J94" s="336">
        <f>SUM(C94:I94)</f>
        <v>842697.66509847401</v>
      </c>
    </row>
    <row r="95" spans="2:10" x14ac:dyDescent="0.45">
      <c r="B95" s="879" t="s">
        <v>266</v>
      </c>
      <c r="C95" s="880"/>
      <c r="D95" s="880"/>
      <c r="E95" s="880"/>
      <c r="F95" s="880"/>
      <c r="G95" s="880"/>
      <c r="H95" s="880"/>
      <c r="I95" s="880"/>
      <c r="J95" s="880"/>
    </row>
    <row r="96" spans="2:10" x14ac:dyDescent="0.45">
      <c r="B96" s="864" t="s">
        <v>258</v>
      </c>
      <c r="C96" s="336">
        <f t="shared" ref="C96:I96" si="41">SUM(C39:C41)</f>
        <v>15261083.990812879</v>
      </c>
      <c r="D96" s="336">
        <f t="shared" si="41"/>
        <v>3869001.419205789</v>
      </c>
      <c r="E96" s="336">
        <f t="shared" si="41"/>
        <v>12095572.330131646</v>
      </c>
      <c r="F96" s="336">
        <f t="shared" si="41"/>
        <v>30000</v>
      </c>
      <c r="G96" s="336">
        <f t="shared" si="41"/>
        <v>31200</v>
      </c>
      <c r="H96" s="336">
        <f t="shared" si="41"/>
        <v>109200</v>
      </c>
      <c r="I96" s="336">
        <f t="shared" si="41"/>
        <v>40560</v>
      </c>
      <c r="J96" s="336">
        <f>SUM(C96:I96)</f>
        <v>31436617.740150314</v>
      </c>
    </row>
    <row r="97" spans="2:10" x14ac:dyDescent="0.45">
      <c r="B97" s="864" t="s">
        <v>259</v>
      </c>
      <c r="C97" s="336">
        <f t="shared" ref="C97:I97" si="42">IFERROR(C96/RIGHT(C$67,2),0)</f>
        <v>381527.09977032198</v>
      </c>
      <c r="D97" s="336">
        <f t="shared" si="42"/>
        <v>96725.035480144725</v>
      </c>
      <c r="E97" s="336">
        <f t="shared" si="42"/>
        <v>302389.30825329118</v>
      </c>
      <c r="F97" s="336">
        <f t="shared" si="42"/>
        <v>750</v>
      </c>
      <c r="G97" s="336">
        <f t="shared" si="42"/>
        <v>2600</v>
      </c>
      <c r="H97" s="336">
        <f t="shared" si="42"/>
        <v>9100</v>
      </c>
      <c r="I97" s="336">
        <f t="shared" si="42"/>
        <v>1690</v>
      </c>
      <c r="J97" s="336">
        <f>SUM(C97:I97)</f>
        <v>794781.44350375794</v>
      </c>
    </row>
    <row r="98" spans="2:10" x14ac:dyDescent="0.45">
      <c r="B98" s="879" t="s">
        <v>267</v>
      </c>
      <c r="C98" s="880"/>
      <c r="D98" s="880"/>
      <c r="E98" s="880"/>
      <c r="F98" s="880"/>
      <c r="G98" s="880"/>
      <c r="H98" s="880"/>
      <c r="I98" s="880"/>
      <c r="J98" s="880"/>
    </row>
    <row r="99" spans="2:10" x14ac:dyDescent="0.45">
      <c r="B99" s="864" t="s">
        <v>258</v>
      </c>
      <c r="C99" s="336">
        <f t="shared" ref="C99:I99" si="43">SUM(C42:C44)</f>
        <v>9688647.414751973</v>
      </c>
      <c r="D99" s="336">
        <f t="shared" si="43"/>
        <v>3369411.9350620285</v>
      </c>
      <c r="E99" s="336">
        <f t="shared" si="43"/>
        <v>8691048.7366145421</v>
      </c>
      <c r="F99" s="336">
        <f t="shared" si="43"/>
        <v>0</v>
      </c>
      <c r="G99" s="336">
        <f t="shared" si="43"/>
        <v>31200</v>
      </c>
      <c r="H99" s="336">
        <f t="shared" si="43"/>
        <v>109200</v>
      </c>
      <c r="I99" s="336">
        <f t="shared" si="43"/>
        <v>40560</v>
      </c>
      <c r="J99" s="336">
        <f>SUM(C99:I99)</f>
        <v>21930068.086428545</v>
      </c>
    </row>
    <row r="100" spans="2:10" x14ac:dyDescent="0.45">
      <c r="B100" s="864" t="s">
        <v>259</v>
      </c>
      <c r="C100" s="336">
        <f t="shared" ref="C100:I100" si="44">IFERROR(C99/RIGHT(C$67,2),0)</f>
        <v>242216.18536879931</v>
      </c>
      <c r="D100" s="336">
        <f t="shared" si="44"/>
        <v>84235.298376550709</v>
      </c>
      <c r="E100" s="336">
        <f t="shared" si="44"/>
        <v>217276.21841536355</v>
      </c>
      <c r="F100" s="336">
        <f t="shared" si="44"/>
        <v>0</v>
      </c>
      <c r="G100" s="336">
        <f t="shared" si="44"/>
        <v>2600</v>
      </c>
      <c r="H100" s="336">
        <f t="shared" si="44"/>
        <v>9100</v>
      </c>
      <c r="I100" s="336">
        <f t="shared" si="44"/>
        <v>1690</v>
      </c>
      <c r="J100" s="336">
        <f>SUM(C100:I100)</f>
        <v>557117.70216071361</v>
      </c>
    </row>
    <row r="101" spans="2:10" x14ac:dyDescent="0.45">
      <c r="B101" s="879" t="s">
        <v>268</v>
      </c>
      <c r="C101" s="880"/>
      <c r="D101" s="880"/>
      <c r="E101" s="880"/>
      <c r="F101" s="880"/>
      <c r="G101" s="880"/>
      <c r="H101" s="880"/>
      <c r="I101" s="880"/>
      <c r="J101" s="880"/>
    </row>
    <row r="102" spans="2:10" x14ac:dyDescent="0.45">
      <c r="B102" s="864" t="s">
        <v>258</v>
      </c>
      <c r="C102" s="336">
        <f t="shared" ref="C102:I102" si="45">SUM(C45:C47)</f>
        <v>10337554.761876766</v>
      </c>
      <c r="D102" s="336">
        <f t="shared" si="45"/>
        <v>3437555.3389667813</v>
      </c>
      <c r="E102" s="336">
        <f t="shared" si="45"/>
        <v>9351954.9878766872</v>
      </c>
      <c r="F102" s="336">
        <f t="shared" si="45"/>
        <v>0</v>
      </c>
      <c r="G102" s="336">
        <f t="shared" si="45"/>
        <v>31200</v>
      </c>
      <c r="H102" s="336">
        <f t="shared" si="45"/>
        <v>109200</v>
      </c>
      <c r="I102" s="336">
        <f t="shared" si="45"/>
        <v>40560</v>
      </c>
      <c r="J102" s="336">
        <f>SUM(C102:I102)</f>
        <v>23308025.088720232</v>
      </c>
    </row>
    <row r="103" spans="2:10" x14ac:dyDescent="0.45">
      <c r="B103" s="864" t="s">
        <v>259</v>
      </c>
      <c r="C103" s="336">
        <f t="shared" ref="C103:I103" si="46">IFERROR(C102/RIGHT(C$67,2),0)</f>
        <v>258438.86904691914</v>
      </c>
      <c r="D103" s="336">
        <f t="shared" si="46"/>
        <v>85938.883474169532</v>
      </c>
      <c r="E103" s="336">
        <f t="shared" si="46"/>
        <v>233798.87469691719</v>
      </c>
      <c r="F103" s="336">
        <f t="shared" si="46"/>
        <v>0</v>
      </c>
      <c r="G103" s="336">
        <f t="shared" si="46"/>
        <v>2600</v>
      </c>
      <c r="H103" s="336">
        <f t="shared" si="46"/>
        <v>9100</v>
      </c>
      <c r="I103" s="336">
        <f t="shared" si="46"/>
        <v>1690</v>
      </c>
      <c r="J103" s="336">
        <f>SUM(C103:I103)</f>
        <v>591566.62721800595</v>
      </c>
    </row>
    <row r="104" spans="2:10" x14ac:dyDescent="0.45">
      <c r="B104" s="875"/>
      <c r="C104" s="876"/>
      <c r="D104" s="876"/>
      <c r="E104" s="876"/>
      <c r="F104" s="876"/>
      <c r="G104" s="876"/>
      <c r="H104" s="876"/>
      <c r="I104" s="876"/>
      <c r="J104" s="876"/>
    </row>
    <row r="105" spans="2:10" x14ac:dyDescent="0.45">
      <c r="B105" s="870" t="s">
        <v>270</v>
      </c>
      <c r="C105" s="870" t="s">
        <v>2</v>
      </c>
      <c r="D105" s="870" t="s">
        <v>3</v>
      </c>
      <c r="E105" s="870" t="s">
        <v>4</v>
      </c>
      <c r="F105" s="870" t="s">
        <v>135</v>
      </c>
      <c r="G105" s="870" t="s">
        <v>154</v>
      </c>
      <c r="H105" s="870" t="s">
        <v>137</v>
      </c>
      <c r="I105" s="870" t="s">
        <v>138</v>
      </c>
      <c r="J105" s="870" t="s">
        <v>201</v>
      </c>
    </row>
    <row r="106" spans="2:10" x14ac:dyDescent="0.45">
      <c r="B106" s="864" t="s">
        <v>258</v>
      </c>
      <c r="C106" s="336">
        <v>42547772.200000003</v>
      </c>
      <c r="D106" s="336">
        <v>11956594.4</v>
      </c>
      <c r="E106" s="336">
        <v>32847775.399999995</v>
      </c>
      <c r="F106" s="336">
        <v>405318.60000000003</v>
      </c>
      <c r="G106" s="336">
        <v>118749.28648</v>
      </c>
      <c r="H106" s="336">
        <v>246108.48816000001</v>
      </c>
      <c r="I106" s="336">
        <v>248740.12800000008</v>
      </c>
      <c r="J106" s="336">
        <f>SUM(C106:I106)</f>
        <v>88371058.502639994</v>
      </c>
    </row>
    <row r="107" spans="2:10" x14ac:dyDescent="0.45">
      <c r="B107" s="864" t="s">
        <v>259</v>
      </c>
      <c r="C107" s="336">
        <f t="shared" ref="C107:I107" si="47">IFERROR(C106/RIGHT(C$67,2),0)</f>
        <v>1063694.3050000002</v>
      </c>
      <c r="D107" s="336">
        <f t="shared" si="47"/>
        <v>298914.86</v>
      </c>
      <c r="E107" s="336">
        <f t="shared" si="47"/>
        <v>821194.38499999989</v>
      </c>
      <c r="F107" s="336">
        <f t="shared" si="47"/>
        <v>10132.965</v>
      </c>
      <c r="G107" s="336">
        <f t="shared" si="47"/>
        <v>9895.7738733333335</v>
      </c>
      <c r="H107" s="336">
        <f t="shared" si="47"/>
        <v>20509.040680000002</v>
      </c>
      <c r="I107" s="336">
        <f t="shared" si="47"/>
        <v>10364.172000000004</v>
      </c>
      <c r="J107" s="336">
        <f>SUM(C107:I107)</f>
        <v>2234705.5015533329</v>
      </c>
    </row>
  </sheetData>
  <mergeCells count="1">
    <mergeCell ref="R7:S7"/>
  </mergeCells>
  <pageMargins left="0.7" right="0.7" top="0.75" bottom="0.75" header="0.3" footer="0.3"/>
  <pageSetup paperSize="9" orientation="portrait" verticalDpi="597" r:id="rId1"/>
  <customProperties>
    <customPr name="_pios_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756B-823F-4111-AC1D-1B5B612B68BB}">
  <dimension ref="B2:AY68"/>
  <sheetViews>
    <sheetView showGridLines="0" topLeftCell="W34" zoomScale="85" zoomScaleNormal="85" workbookViewId="0">
      <selection activeCell="CS62" sqref="CS62"/>
    </sheetView>
  </sheetViews>
  <sheetFormatPr defaultRowHeight="14.25" outlineLevelRow="1" x14ac:dyDescent="0.45"/>
  <cols>
    <col min="2" max="2" width="20.59765625" bestFit="1" customWidth="1"/>
    <col min="3" max="3" width="14.265625" bestFit="1" customWidth="1"/>
    <col min="4" max="4" width="13.265625" customWidth="1"/>
    <col min="5" max="5" width="15.86328125" customWidth="1"/>
    <col min="6" max="6" width="15" bestFit="1" customWidth="1"/>
    <col min="7" max="8" width="15" customWidth="1"/>
    <col min="9" max="9" width="14.1328125" bestFit="1" customWidth="1"/>
    <col min="10" max="11" width="14.1328125" customWidth="1"/>
    <col min="12" max="12" width="13.3984375" bestFit="1" customWidth="1"/>
    <col min="13" max="14" width="13.3984375" customWidth="1"/>
    <col min="15" max="15" width="15.86328125" bestFit="1" customWidth="1"/>
    <col min="16" max="17" width="15.86328125" customWidth="1"/>
    <col min="18" max="18" width="15.1328125" bestFit="1" customWidth="1"/>
    <col min="19" max="20" width="15.1328125" customWidth="1"/>
    <col min="21" max="21" width="14.86328125" bestFit="1" customWidth="1"/>
    <col min="23" max="23" width="16.265625" bestFit="1" customWidth="1"/>
    <col min="24" max="24" width="14.3984375" bestFit="1" customWidth="1"/>
    <col min="25" max="26" width="13.3984375" customWidth="1"/>
    <col min="27" max="27" width="16.3984375" bestFit="1" customWidth="1"/>
    <col min="28" max="29" width="16.265625" customWidth="1"/>
    <col min="30" max="32" width="15" customWidth="1"/>
    <col min="33" max="33" width="13.265625" bestFit="1" customWidth="1"/>
    <col min="34" max="35" width="13.1328125" customWidth="1"/>
    <col min="36" max="36" width="16.3984375" bestFit="1" customWidth="1"/>
    <col min="37" max="38" width="16.265625" customWidth="1"/>
    <col min="39" max="39" width="14.265625" bestFit="1" customWidth="1"/>
    <col min="40" max="41" width="13.59765625" customWidth="1"/>
    <col min="42" max="42" width="14.3984375" bestFit="1" customWidth="1"/>
    <col min="43" max="43" width="12.59765625" customWidth="1"/>
    <col min="44" max="44" width="12.3984375" bestFit="1" customWidth="1"/>
    <col min="45" max="45" width="15.265625" bestFit="1" customWidth="1"/>
    <col min="46" max="46" width="11.59765625" bestFit="1" customWidth="1"/>
    <col min="47" max="47" width="12.265625" bestFit="1" customWidth="1"/>
    <col min="48" max="48" width="15.265625" bestFit="1" customWidth="1"/>
    <col min="49" max="49" width="11.59765625" bestFit="1" customWidth="1"/>
    <col min="50" max="50" width="12.59765625" bestFit="1" customWidth="1"/>
    <col min="53" max="53" width="10.59765625" bestFit="1" customWidth="1"/>
  </cols>
  <sheetData>
    <row r="2" spans="2:38" x14ac:dyDescent="0.45">
      <c r="B2" t="s">
        <v>299</v>
      </c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</row>
    <row r="3" spans="2:38" x14ac:dyDescent="0.45">
      <c r="B3" s="882"/>
      <c r="C3" s="1070" t="s">
        <v>293</v>
      </c>
      <c r="D3" s="1070" t="s">
        <v>293</v>
      </c>
      <c r="E3" s="1070" t="s">
        <v>293</v>
      </c>
      <c r="F3" s="1070" t="s">
        <v>294</v>
      </c>
      <c r="G3" s="1070" t="s">
        <v>294</v>
      </c>
      <c r="H3" s="1070" t="s">
        <v>294</v>
      </c>
      <c r="I3" s="1070" t="s">
        <v>295</v>
      </c>
      <c r="J3" s="1070" t="s">
        <v>295</v>
      </c>
      <c r="K3" s="1070" t="s">
        <v>295</v>
      </c>
      <c r="L3" s="1070" t="s">
        <v>296</v>
      </c>
      <c r="M3" s="1070" t="s">
        <v>296</v>
      </c>
      <c r="N3" s="1070" t="s">
        <v>296</v>
      </c>
      <c r="O3" s="1070" t="s">
        <v>297</v>
      </c>
      <c r="P3" s="1070" t="s">
        <v>297</v>
      </c>
      <c r="Q3" s="1070" t="s">
        <v>297</v>
      </c>
      <c r="R3" s="1070" t="s">
        <v>298</v>
      </c>
      <c r="S3" s="1070" t="s">
        <v>298</v>
      </c>
      <c r="T3" s="1070" t="s">
        <v>298</v>
      </c>
      <c r="U3" s="882" t="s">
        <v>201</v>
      </c>
    </row>
    <row r="4" spans="2:38" x14ac:dyDescent="0.45">
      <c r="B4" s="882"/>
      <c r="C4" s="1057" t="s">
        <v>2</v>
      </c>
      <c r="D4" s="1057" t="s">
        <v>3</v>
      </c>
      <c r="E4" s="1057" t="s">
        <v>4</v>
      </c>
      <c r="F4" s="1057" t="s">
        <v>2</v>
      </c>
      <c r="G4" s="1057" t="s">
        <v>3</v>
      </c>
      <c r="H4" s="1057" t="s">
        <v>4</v>
      </c>
      <c r="I4" s="1057" t="s">
        <v>2</v>
      </c>
      <c r="J4" s="1057" t="s">
        <v>3</v>
      </c>
      <c r="K4" s="1057" t="s">
        <v>4</v>
      </c>
      <c r="L4" s="1057" t="s">
        <v>2</v>
      </c>
      <c r="M4" s="1057" t="s">
        <v>3</v>
      </c>
      <c r="N4" s="1057" t="s">
        <v>4</v>
      </c>
      <c r="O4" s="1057" t="s">
        <v>2</v>
      </c>
      <c r="P4" s="1057" t="s">
        <v>3</v>
      </c>
      <c r="Q4" s="1057" t="s">
        <v>4</v>
      </c>
      <c r="R4" s="1057" t="s">
        <v>2</v>
      </c>
      <c r="S4" s="1057" t="s">
        <v>3</v>
      </c>
      <c r="T4" s="1057" t="s">
        <v>4</v>
      </c>
      <c r="U4" s="882"/>
    </row>
    <row r="5" spans="2:38" x14ac:dyDescent="0.45">
      <c r="B5" s="882" t="s">
        <v>189</v>
      </c>
      <c r="C5" s="328">
        <v>0.10814249200678094</v>
      </c>
      <c r="D5" s="328">
        <v>7.3613133930363298E-2</v>
      </c>
      <c r="E5" s="328">
        <v>5.883187039974834E-2</v>
      </c>
      <c r="F5" s="328">
        <v>0.1155355403990951</v>
      </c>
      <c r="G5" s="328">
        <v>6.3656335230206959E-2</v>
      </c>
      <c r="H5" s="328">
        <v>7.5015409554593876E-2</v>
      </c>
      <c r="I5" s="328">
        <v>8.3399575476941351E-2</v>
      </c>
      <c r="J5" s="328">
        <v>4.9885704291425324E-2</v>
      </c>
      <c r="K5" s="328">
        <v>6.7515930257478748E-2</v>
      </c>
      <c r="L5" s="328">
        <v>0.11111500116928047</v>
      </c>
      <c r="M5" s="328">
        <v>7.5387577954226043E-2</v>
      </c>
      <c r="N5" s="328">
        <v>5.8693336882503111E-2</v>
      </c>
      <c r="O5" s="328">
        <v>0.14437923428288177</v>
      </c>
      <c r="P5" s="328">
        <v>6.3516742336406556E-2</v>
      </c>
      <c r="Q5" s="328">
        <v>8.0721697286074034E-2</v>
      </c>
      <c r="R5" s="328">
        <v>0.12245229199148661</v>
      </c>
      <c r="S5" s="328">
        <v>5.2519157038084283E-2</v>
      </c>
      <c r="T5" s="328">
        <v>6.9108995221753858E-2</v>
      </c>
      <c r="U5" s="1048">
        <f>SUM(C5:T5)</f>
        <v>1.4734900257093304</v>
      </c>
    </row>
    <row r="6" spans="2:38" x14ac:dyDescent="0.45">
      <c r="B6" s="882" t="s">
        <v>190</v>
      </c>
      <c r="C6" s="328">
        <v>7.3064676026814365E-2</v>
      </c>
      <c r="D6" s="328">
        <v>8.3300384093907234E-2</v>
      </c>
      <c r="E6" s="328">
        <v>5.9344295414239356E-2</v>
      </c>
      <c r="F6" s="328">
        <v>3.1415061091092669E-2</v>
      </c>
      <c r="G6" s="328">
        <v>7.7453002672447785E-2</v>
      </c>
      <c r="H6" s="328">
        <v>7.6762343749700854E-2</v>
      </c>
      <c r="I6" s="328">
        <v>8.0146129801126342E-2</v>
      </c>
      <c r="J6" s="328">
        <v>9.4097554475849526E-2</v>
      </c>
      <c r="K6" s="328">
        <v>0.11435382340923256</v>
      </c>
      <c r="L6" s="328">
        <v>0.1005123175488839</v>
      </c>
      <c r="M6" s="328">
        <v>5.731219376637068E-2</v>
      </c>
      <c r="N6" s="328">
        <v>7.5452673659402544E-2</v>
      </c>
      <c r="O6" s="328">
        <v>4.1711474339545446E-2</v>
      </c>
      <c r="P6" s="328">
        <v>6.0003648180631863E-2</v>
      </c>
      <c r="Q6" s="328">
        <v>4.1372649531884499E-2</v>
      </c>
      <c r="R6" s="328">
        <v>5.4789908937041901E-2</v>
      </c>
      <c r="S6" s="328">
        <v>5.44719241295199E-2</v>
      </c>
      <c r="T6" s="328">
        <v>7.2453243790263896E-2</v>
      </c>
      <c r="U6" s="1048">
        <f t="shared" ref="U6:U16" si="0">SUM(C6:T6)</f>
        <v>1.2480173046179552</v>
      </c>
    </row>
    <row r="7" spans="2:38" x14ac:dyDescent="0.45">
      <c r="B7" s="882" t="s">
        <v>191</v>
      </c>
      <c r="C7" s="1069">
        <v>8.5806672982505813E-2</v>
      </c>
      <c r="D7" s="1069">
        <v>7.0034999546478335E-2</v>
      </c>
      <c r="E7" s="1069">
        <v>0.10248447900524375</v>
      </c>
      <c r="F7" s="1069">
        <v>2.9219168623293285E-2</v>
      </c>
      <c r="G7" s="1069">
        <v>7.0279716026807978E-2</v>
      </c>
      <c r="H7" s="1069">
        <f>11.0456184040086%-2%</f>
        <v>9.0456184040085999E-2</v>
      </c>
      <c r="I7" s="1069">
        <v>7.5887085881876246E-2</v>
      </c>
      <c r="J7" s="1069">
        <v>9.4662596317293943E-2</v>
      </c>
      <c r="K7" s="1069">
        <v>0.1069543546446068</v>
      </c>
      <c r="L7" s="1069">
        <v>5.2532789263601186E-2</v>
      </c>
      <c r="M7" s="1069">
        <f>11.1468912558831%-4%</f>
        <v>7.1468912558831005E-2</v>
      </c>
      <c r="N7" s="1069">
        <v>0.1115009773757548</v>
      </c>
      <c r="O7" s="1069">
        <v>5.2742358064363615E-2</v>
      </c>
      <c r="P7" s="1069">
        <f>5.20082389289392%+2%-0.76%</f>
        <v>6.440823892893921E-2</v>
      </c>
      <c r="Q7" s="1069">
        <f>10.8648413733159%-1%</f>
        <v>9.8648413733158996E-2</v>
      </c>
      <c r="R7" s="1069">
        <f>6.58199560754245%+3%</f>
        <v>9.5819956075424498E-2</v>
      </c>
      <c r="S7" s="1069">
        <f>4.61721775394698%+2%</f>
        <v>6.6172177539469801E-2</v>
      </c>
      <c r="T7" s="1069">
        <v>9.2852352116246761E-2</v>
      </c>
      <c r="U7" s="1069">
        <f t="shared" si="0"/>
        <v>1.4319314327239818</v>
      </c>
    </row>
    <row r="8" spans="2:38" x14ac:dyDescent="0.45">
      <c r="B8" s="882" t="s">
        <v>192</v>
      </c>
      <c r="C8" s="328">
        <v>9.9019720372420419E-2</v>
      </c>
      <c r="D8" s="328">
        <v>6.8276112565015382E-2</v>
      </c>
      <c r="E8" s="328">
        <v>5.2135975671164417E-2</v>
      </c>
      <c r="F8" s="328">
        <f>11.0058762924305%-4%</f>
        <v>7.005876292430499E-2</v>
      </c>
      <c r="G8" s="328">
        <v>9.649574486200703E-2</v>
      </c>
      <c r="H8" s="328">
        <v>6.9486981232490183E-2</v>
      </c>
      <c r="I8" s="328">
        <v>6.7561309742026357E-2</v>
      </c>
      <c r="J8" s="328">
        <v>9.2399248277302157E-2</v>
      </c>
      <c r="K8" s="328">
        <f>11.3767518549052%-3%</f>
        <v>8.3767518549051997E-2</v>
      </c>
      <c r="L8" s="328">
        <v>8.2386733247070562E-2</v>
      </c>
      <c r="M8" s="328">
        <v>6.4404260589546694E-2</v>
      </c>
      <c r="N8" s="328">
        <v>7.6116839086667623E-2</v>
      </c>
      <c r="O8" s="328">
        <f>12.9858696130651%-5%</f>
        <v>7.9858696130651011E-2</v>
      </c>
      <c r="P8" s="328">
        <f>13.0278063851699%-6%</f>
        <v>7.0278063851698991E-2</v>
      </c>
      <c r="Q8" s="328">
        <v>6.9534984789222071E-2</v>
      </c>
      <c r="R8" s="328">
        <f>10.9981494584141%-3%</f>
        <v>7.9981494584141E-2</v>
      </c>
      <c r="S8" s="328">
        <f>9.24188263330354%-1%</f>
        <v>8.2418826333035405E-2</v>
      </c>
      <c r="T8" s="328">
        <v>3.9311581994332712E-2</v>
      </c>
      <c r="U8" s="1048">
        <f t="shared" si="0"/>
        <v>1.3434928548021494</v>
      </c>
    </row>
    <row r="9" spans="2:38" x14ac:dyDescent="0.45">
      <c r="B9" s="882" t="s">
        <v>193</v>
      </c>
      <c r="C9" s="328">
        <f>7.87577275383859%+2%</f>
        <v>9.8757727538385909E-2</v>
      </c>
      <c r="D9" s="328">
        <v>6.686932453139556E-2</v>
      </c>
      <c r="E9" s="328">
        <v>6.6752246355509776E-2</v>
      </c>
      <c r="F9" s="328">
        <v>6.5819921950271046E-2</v>
      </c>
      <c r="G9" s="328">
        <v>6.8690374346727867E-2</v>
      </c>
      <c r="H9" s="328">
        <f>6.38737987889986%+1%</f>
        <v>7.3873798788998593E-2</v>
      </c>
      <c r="I9" s="328">
        <f>4.17542979528045%+1%</f>
        <v>5.17542979528045E-2</v>
      </c>
      <c r="J9" s="328">
        <f>4.07183128001671%+2%</f>
        <v>6.0718312800167096E-2</v>
      </c>
      <c r="K9" s="328">
        <v>6.2067070339521087E-2</v>
      </c>
      <c r="L9" s="328">
        <f>4.97089374794642%+0.05%</f>
        <v>5.02089374794642E-2</v>
      </c>
      <c r="M9" s="328">
        <f>12.385434728759%-4%</f>
        <v>8.3854347287590003E-2</v>
      </c>
      <c r="N9" s="328">
        <v>6.0628656448066677E-2</v>
      </c>
      <c r="O9" s="328">
        <v>7.6056599805334246E-2</v>
      </c>
      <c r="P9" s="328">
        <f>2.57466529351184%+6%</f>
        <v>8.5746652935118406E-2</v>
      </c>
      <c r="Q9" s="328">
        <v>7.6488483268144281E-2</v>
      </c>
      <c r="R9" s="328">
        <v>5.7583122436269493E-2</v>
      </c>
      <c r="S9" s="328">
        <f>9.80041703902294%-1%</f>
        <v>8.8004170390229411E-2</v>
      </c>
      <c r="T9" s="328">
        <f>7.63767878747036%-0.42%</f>
        <v>7.2176787874703607E-2</v>
      </c>
      <c r="U9" s="1048">
        <f t="shared" si="0"/>
        <v>1.2660508325287019</v>
      </c>
    </row>
    <row r="10" spans="2:38" x14ac:dyDescent="0.45">
      <c r="B10" s="882" t="s">
        <v>194</v>
      </c>
      <c r="C10" s="1069">
        <f>4.37646614606167%+2%+1.5%</f>
        <v>7.8764661460616697E-2</v>
      </c>
      <c r="D10" s="1069">
        <v>6.7107159884106302E-2</v>
      </c>
      <c r="E10" s="1069">
        <v>6.5857897294131745E-2</v>
      </c>
      <c r="F10" s="1069">
        <f>6.50678299866824%+4%</f>
        <v>0.1050678299866824</v>
      </c>
      <c r="G10" s="1069">
        <v>7.7830587414504077E-2</v>
      </c>
      <c r="H10" s="1069">
        <f>11.3950616044263%-1%</f>
        <v>0.10395061604426299</v>
      </c>
      <c r="I10" s="1069">
        <f>10.212823431802%-0%</f>
        <v>0.10212823431802001</v>
      </c>
      <c r="J10" s="1069">
        <f>5.57005637920234%+2%</f>
        <v>7.5700563792023404E-2</v>
      </c>
      <c r="K10" s="1069">
        <f>6.66913039770304%+2%</f>
        <v>8.6691303977030412E-2</v>
      </c>
      <c r="L10" s="1069">
        <v>9.6609571508501621E-2</v>
      </c>
      <c r="M10" s="1069">
        <f>0.309635868218974%+4%+4%+3%</f>
        <v>0.11309635868218974</v>
      </c>
      <c r="N10" s="1069">
        <v>7.0245615746725526E-2</v>
      </c>
      <c r="O10" s="1069">
        <f>6.83123586675992%+3%</f>
        <v>9.8312358667599201E-2</v>
      </c>
      <c r="P10" s="1069">
        <f>6.01956745623069%+3%</f>
        <v>9.0195674562306899E-2</v>
      </c>
      <c r="Q10" s="1069">
        <f>7.64884832681443%+3%-1%</f>
        <v>9.6488483268144298E-2</v>
      </c>
      <c r="R10" s="1069">
        <v>6.1396832724756607E-2</v>
      </c>
      <c r="S10" s="1069">
        <f>3.33631218349717%+7%</f>
        <v>0.10336312183497171</v>
      </c>
      <c r="T10" s="1069">
        <v>6.8803291261917823E-2</v>
      </c>
      <c r="U10" s="1069">
        <f t="shared" si="0"/>
        <v>1.5616101624284915</v>
      </c>
    </row>
    <row r="11" spans="2:38" x14ac:dyDescent="0.45">
      <c r="B11" s="882" t="s">
        <v>195</v>
      </c>
      <c r="C11" s="328">
        <f>7.40965283022557%-2%</f>
        <v>5.4096528302255698E-2</v>
      </c>
      <c r="D11" s="328">
        <v>8.8935799687317907E-2</v>
      </c>
      <c r="E11" s="328">
        <v>9.2767155686038577E-2</v>
      </c>
      <c r="F11" s="328">
        <f>10.9013527364857%-2%</f>
        <v>8.9013527364857001E-2</v>
      </c>
      <c r="G11" s="328">
        <v>6.6411777346204834E-2</v>
      </c>
      <c r="H11" s="328">
        <v>7.1294446062237032E-2</v>
      </c>
      <c r="I11" s="328">
        <f>9.6619522642638%-2%</f>
        <v>7.6619522642637994E-2</v>
      </c>
      <c r="J11" s="328">
        <f>9.1877218626018%-2%</f>
        <v>7.1877218626017994E-2</v>
      </c>
      <c r="K11" s="328">
        <f>8.52829974130824%-2%</f>
        <v>6.5282997413082397E-2</v>
      </c>
      <c r="L11" s="328">
        <f>13.5287880828424%-5%</f>
        <v>8.5287880828423993E-2</v>
      </c>
      <c r="M11" s="328">
        <f>12.385434728759%-4%</f>
        <v>8.3854347287590003E-2</v>
      </c>
      <c r="N11" s="328">
        <v>5.3175631449362409E-2</v>
      </c>
      <c r="O11" s="328">
        <f>10.6299899406384%-3%</f>
        <v>7.6299899406384E-2</v>
      </c>
      <c r="P11" s="328">
        <v>8.7281153450051496E-2</v>
      </c>
      <c r="Q11" s="328">
        <f>10.0391134289439%-3%</f>
        <v>7.0391134289438995E-2</v>
      </c>
      <c r="R11" s="328">
        <f>8.45344011722141%-1%</f>
        <v>7.4534401172214104E-2</v>
      </c>
      <c r="S11" s="328">
        <v>7.4918081620494487E-2</v>
      </c>
      <c r="T11" s="328">
        <f>10.2178022097923%-3%</f>
        <v>7.2178022097922998E-2</v>
      </c>
      <c r="U11" s="1048">
        <f t="shared" si="0"/>
        <v>1.3542195247325317</v>
      </c>
    </row>
    <row r="12" spans="2:38" x14ac:dyDescent="0.45">
      <c r="B12" s="882" t="s">
        <v>196</v>
      </c>
      <c r="C12" s="328">
        <f>7.79084552783255%-1.5%</f>
        <v>6.2908455278325504E-2</v>
      </c>
      <c r="D12" s="328">
        <v>9.0798387043830558E-2</v>
      </c>
      <c r="E12" s="328">
        <v>8.0658310018100282E-2</v>
      </c>
      <c r="F12" s="328">
        <f>13.173484499068%-4%</f>
        <v>9.1734844990679992E-2</v>
      </c>
      <c r="G12" s="328">
        <v>8.7689494532583526E-2</v>
      </c>
      <c r="H12" s="328">
        <f>10.5937521965718%-2.5%</f>
        <v>8.093752196571799E-2</v>
      </c>
      <c r="I12" s="328">
        <v>9.7333436239797788E-2</v>
      </c>
      <c r="J12" s="328">
        <v>7.830444769262894E-2</v>
      </c>
      <c r="K12" s="328">
        <f>9.11580483459836%-2%</f>
        <v>7.1158048345983604E-2</v>
      </c>
      <c r="L12" s="328">
        <v>4.3523901790322027E-2</v>
      </c>
      <c r="M12" s="328">
        <v>7.7408967054743621E-2</v>
      </c>
      <c r="N12" s="328">
        <v>4.1812866515908056E-2</v>
      </c>
      <c r="O12" s="328">
        <f>11.5022360477306%-4%</f>
        <v>7.502236047730601E-2</v>
      </c>
      <c r="P12" s="328">
        <v>8.3573635427394433E-2</v>
      </c>
      <c r="Q12" s="328">
        <v>7.8661451542807473E-2</v>
      </c>
      <c r="R12" s="328">
        <v>7.926272728235785E-2</v>
      </c>
      <c r="S12" s="328">
        <v>8.0280011915400656E-2</v>
      </c>
      <c r="T12" s="328">
        <v>8.3372644915327671E-2</v>
      </c>
      <c r="U12" s="1048">
        <f t="shared" si="0"/>
        <v>1.3844415130292158</v>
      </c>
    </row>
    <row r="13" spans="2:38" x14ac:dyDescent="0.45">
      <c r="B13" s="882" t="s">
        <v>197</v>
      </c>
      <c r="C13" s="1069">
        <f>(11.4531843533531%-3%)--0.0140599062269757</f>
        <v>9.8591749760506706E-2</v>
      </c>
      <c r="D13" s="1069">
        <v>0.11973950037052118</v>
      </c>
      <c r="E13" s="1069">
        <v>0.1230782475276601</v>
      </c>
      <c r="F13" s="1069">
        <v>0.10637430397847147</v>
      </c>
      <c r="G13" s="1069">
        <v>0.10869150959078507</v>
      </c>
      <c r="H13" s="1069">
        <f>12.1732756283451%-1%-1.5%</f>
        <v>9.6732756283451016E-2</v>
      </c>
      <c r="I13" s="1069">
        <f>11.1426799400961%-1%</f>
        <v>0.101426799400961</v>
      </c>
      <c r="J13" s="1069">
        <v>0.10492795990812279</v>
      </c>
      <c r="K13" s="1069">
        <f>12.3186551818897%-3%</f>
        <v>9.3186551818896998E-2</v>
      </c>
      <c r="L13" s="1069">
        <f>13.0963386189284%-4%</f>
        <v>9.0963386189283985E-2</v>
      </c>
      <c r="M13" s="1069">
        <f>13.413425811246%-3%</f>
        <v>0.10413425811245999</v>
      </c>
      <c r="N13" s="1069">
        <f>16.1815793416564%-7%</f>
        <v>9.1815793416563984E-2</v>
      </c>
      <c r="O13" s="1069">
        <f>7.93906994109486%+2%</f>
        <v>9.9390699410948607E-2</v>
      </c>
      <c r="P13" s="1069">
        <f>9.97167868177137%+2%</f>
        <v>0.11971678681771371</v>
      </c>
      <c r="Q13" s="1069">
        <f>11.5601912212082%-1.5%</f>
        <v>0.10060191221208199</v>
      </c>
      <c r="R13" s="1069">
        <v>0.11836162113910619</v>
      </c>
      <c r="S13" s="1069">
        <v>0.11088769734882335</v>
      </c>
      <c r="T13" s="1069">
        <v>0.14004550516185141</v>
      </c>
      <c r="U13" s="1069">
        <f t="shared" si="0"/>
        <v>1.9286670384482096</v>
      </c>
    </row>
    <row r="14" spans="2:38" x14ac:dyDescent="0.45">
      <c r="B14" s="882" t="s">
        <v>198</v>
      </c>
      <c r="C14" s="328">
        <f>8.52024486209786%-2%</f>
        <v>6.5202448620978598E-2</v>
      </c>
      <c r="D14" s="328">
        <v>8.4045536522829964E-2</v>
      </c>
      <c r="E14" s="328">
        <v>9.5525130245315171E-2</v>
      </c>
      <c r="F14" s="328">
        <f>10.4659534301489%-1%</f>
        <v>9.4659534301489004E-2</v>
      </c>
      <c r="G14" s="328">
        <v>8.4251326816491848E-2</v>
      </c>
      <c r="H14" s="328">
        <f>9.78541375882394%-2%</f>
        <v>7.7854137588239405E-2</v>
      </c>
      <c r="I14" s="328">
        <v>7.7546452621220605E-2</v>
      </c>
      <c r="J14" s="328">
        <f>9.1877218626018%-1%</f>
        <v>8.1877218626018003E-2</v>
      </c>
      <c r="K14" s="328">
        <f>10.0160142517365%-3%</f>
        <v>7.0160142517365007E-2</v>
      </c>
      <c r="L14" s="328">
        <f>3.6649937726637%+5%</f>
        <v>8.6649937726637011E-2</v>
      </c>
      <c r="M14" s="328">
        <f>(13.1285608124845%-3%)-0.0144188700609485</f>
        <v>8.6866738063896498E-2</v>
      </c>
      <c r="N14" s="328">
        <f>9.33820685521946%+1%</f>
        <v>0.10338206855219459</v>
      </c>
      <c r="O14" s="328">
        <f>14.6818584222291%-7%-0.59%</f>
        <v>7.0918584222290984E-2</v>
      </c>
      <c r="P14" s="328">
        <f>10.9680741503605%-2%</f>
        <v>8.9680741503604999E-2</v>
      </c>
      <c r="Q14" s="328">
        <f>13.6897001303781%-4%</f>
        <v>9.6897001303780983E-2</v>
      </c>
      <c r="R14" s="328">
        <f>13.8718470679872%-0.93%</f>
        <v>0.129418470679872</v>
      </c>
      <c r="S14" s="328">
        <f>15.6613047363718%-7%</f>
        <v>8.6613047363717999E-2</v>
      </c>
      <c r="T14" s="328">
        <f>13.8235567835745%-5%</f>
        <v>8.8235567835745002E-2</v>
      </c>
      <c r="U14" s="1048">
        <f t="shared" si="0"/>
        <v>1.5697840851116875</v>
      </c>
    </row>
    <row r="15" spans="2:38" x14ac:dyDescent="0.45">
      <c r="B15" s="882" t="s">
        <v>199</v>
      </c>
      <c r="C15" s="328">
        <v>6.678573703280033E-2</v>
      </c>
      <c r="D15" s="328">
        <v>7.0962407810165606E-2</v>
      </c>
      <c r="E15" s="328">
        <v>7.3916122751761307E-2</v>
      </c>
      <c r="F15" s="328">
        <v>8.1305099642685064E-2</v>
      </c>
      <c r="G15" s="328">
        <v>6.3833151559136075E-2</v>
      </c>
      <c r="H15" s="328">
        <f>10.272425115728%-2%</f>
        <v>8.2724251157279993E-2</v>
      </c>
      <c r="I15" s="328">
        <f>7.5800258552492%+1%</f>
        <v>8.5800258552492001E-2</v>
      </c>
      <c r="J15" s="328">
        <v>7.830444769262894E-2</v>
      </c>
      <c r="K15" s="328">
        <f>9.99706247453355%-3%</f>
        <v>6.9970624745335497E-2</v>
      </c>
      <c r="L15" s="328">
        <f>11.9333461226%-3%</f>
        <v>8.9333461225999999E-2</v>
      </c>
      <c r="M15" s="328">
        <f>0%+1%+3%+3%</f>
        <v>7.0000000000000007E-2</v>
      </c>
      <c r="N15" s="328">
        <f>9.92219322422498%+1%</f>
        <v>0.1092219322422498</v>
      </c>
      <c r="O15" s="328">
        <f>5.20902114422386%+2%</f>
        <v>7.2090211442238608E-2</v>
      </c>
      <c r="P15" s="328">
        <v>5.9217301750772403E-2</v>
      </c>
      <c r="Q15" s="328">
        <v>7.214254671881791E-2</v>
      </c>
      <c r="R15" s="328">
        <v>5.9662988443454211E-2</v>
      </c>
      <c r="S15" s="328">
        <f>4.65445338099494%+0.67%</f>
        <v>5.3244533809949396E-2</v>
      </c>
      <c r="T15" s="328">
        <v>7.6829272206230162E-2</v>
      </c>
      <c r="U15" s="1048">
        <f t="shared" si="0"/>
        <v>1.3353443487839975</v>
      </c>
    </row>
    <row r="16" spans="2:38" x14ac:dyDescent="0.45">
      <c r="B16" s="882" t="s">
        <v>200</v>
      </c>
      <c r="C16" s="1069">
        <f>7.88591306176084%+3%</f>
        <v>0.10885913061760841</v>
      </c>
      <c r="D16" s="1069">
        <v>0.1163172540140687</v>
      </c>
      <c r="E16" s="1069">
        <v>0.12864826963108736</v>
      </c>
      <c r="F16" s="1069">
        <f>4.97964047470778%+7%</f>
        <v>0.11979640474707781</v>
      </c>
      <c r="G16" s="1069">
        <v>0.13471697960209697</v>
      </c>
      <c r="H16" s="1069">
        <f>8.94695090724693%+2.5%-1.36%</f>
        <v>0.1008695090724693</v>
      </c>
      <c r="I16" s="1069">
        <f>9.03968973700967%+1%</f>
        <v>0.1003968973700967</v>
      </c>
      <c r="J16" s="1069">
        <f>12.7244727500522%-1%</f>
        <v>0.11724472750052202</v>
      </c>
      <c r="K16" s="1069">
        <f>9.09685305739546%-0.21%+2%</f>
        <v>0.1088685305739546</v>
      </c>
      <c r="L16" s="1069">
        <f>8.08627678915019%+3%</f>
        <v>0.1108627678915019</v>
      </c>
      <c r="M16" s="1069">
        <v>0.11221203864255636</v>
      </c>
      <c r="N16" s="1069">
        <f>9.79536086246006%+5%</f>
        <v>0.14795360862460061</v>
      </c>
      <c r="O16" s="1069">
        <f>4.32047137157847%+7%</f>
        <v>0.11320471371578469</v>
      </c>
      <c r="P16" s="1069">
        <f>10.6410916580844%+2%</f>
        <v>0.126410916580844</v>
      </c>
      <c r="Q16" s="1069">
        <f>9.34376358105172%+4%-1.54%</f>
        <v>0.11803763581051721</v>
      </c>
      <c r="R16" s="1069">
        <v>6.6707926105460238E-2</v>
      </c>
      <c r="S16" s="1069">
        <v>0.14715519809353589</v>
      </c>
      <c r="T16" s="1069">
        <v>0.12468029254235222</v>
      </c>
      <c r="U16" s="1069">
        <f t="shared" si="0"/>
        <v>2.1029428011361353</v>
      </c>
      <c r="W16" s="1049"/>
      <c r="X16" s="1049"/>
      <c r="Y16" s="1049"/>
      <c r="Z16" s="1049"/>
      <c r="AA16" s="1049"/>
      <c r="AB16" s="1049"/>
      <c r="AC16" s="1049"/>
      <c r="AD16" s="1049"/>
      <c r="AE16" s="1049"/>
      <c r="AF16" s="1049"/>
      <c r="AG16" s="1049"/>
      <c r="AH16" s="1049"/>
      <c r="AI16" s="1049"/>
      <c r="AJ16" s="1049"/>
      <c r="AK16" s="1049"/>
      <c r="AL16" s="1049"/>
    </row>
    <row r="17" spans="2:26" x14ac:dyDescent="0.45">
      <c r="B17" s="739" t="s">
        <v>201</v>
      </c>
      <c r="C17" s="1058">
        <f t="shared" ref="C17" si="1">SUM(C5:C16)</f>
        <v>0.99999999999999933</v>
      </c>
      <c r="D17" s="1058">
        <f t="shared" ref="D17" si="2">SUM(D5:D16)</f>
        <v>1</v>
      </c>
      <c r="E17" s="1058">
        <f t="shared" ref="E17" si="3">SUM(E5:E16)</f>
        <v>1.0000000000000002</v>
      </c>
      <c r="F17" s="1058">
        <f t="shared" ref="F17" si="4">SUM(F5:F16)</f>
        <v>0.99999999999999978</v>
      </c>
      <c r="G17" s="1058">
        <f t="shared" ref="G17" si="5">SUM(G5:G16)</f>
        <v>1</v>
      </c>
      <c r="H17" s="1058">
        <f t="shared" ref="H17" si="6">SUM(H5:H16)</f>
        <v>0.99995795553952727</v>
      </c>
      <c r="I17" s="1058">
        <f t="shared" ref="I17" si="7">SUM(I5:I16)</f>
        <v>1.0000000000000007</v>
      </c>
      <c r="J17" s="1058">
        <f t="shared" ref="J17" si="8">SUM(J5:J16)</f>
        <v>1</v>
      </c>
      <c r="K17" s="1058">
        <f t="shared" ref="K17" si="9">SUM(K5:K16)</f>
        <v>0.99997689659153977</v>
      </c>
      <c r="L17" s="1058">
        <f t="shared" ref="L17" si="10">SUM(L5:L16)</f>
        <v>0.99998668586897099</v>
      </c>
      <c r="M17" s="1058">
        <f t="shared" ref="M17" si="11">SUM(M5:M16)</f>
        <v>1.0000000000000009</v>
      </c>
      <c r="N17" s="1058">
        <f t="shared" ref="N17" si="12">SUM(N5:N16)</f>
        <v>0.99999999999999989</v>
      </c>
      <c r="O17" s="1058">
        <f t="shared" ref="O17" si="13">SUM(O5:O16)</f>
        <v>0.9999871899653282</v>
      </c>
      <c r="P17" s="1058">
        <f t="shared" ref="P17" si="14">SUM(P5:P16)</f>
        <v>1.0000295563254831</v>
      </c>
      <c r="Q17" s="1058">
        <f t="shared" ref="Q17" si="15">SUM(Q5:Q16)</f>
        <v>0.99998639375407272</v>
      </c>
      <c r="R17" s="1058">
        <f t="shared" ref="R17" si="16">SUM(R5:R16)</f>
        <v>0.99997174157158464</v>
      </c>
      <c r="S17" s="1058">
        <f t="shared" ref="S17" si="17">SUM(S5:S16)</f>
        <v>1.0000479474172324</v>
      </c>
      <c r="T17" s="1058">
        <f t="shared" ref="T17" si="18">SUM(T5:T16)</f>
        <v>1.0000475570186482</v>
      </c>
      <c r="U17" s="1058">
        <f t="shared" ref="U17" si="19">SUM(U5:U16)</f>
        <v>17.999991924052388</v>
      </c>
      <c r="W17" s="1049"/>
    </row>
    <row r="18" spans="2:26" x14ac:dyDescent="0.45">
      <c r="C18" s="1049">
        <v>0.27011873759726601</v>
      </c>
      <c r="D18" s="1049">
        <v>2.4136988176226715E-2</v>
      </c>
      <c r="E18" s="1049">
        <v>0.16577211725443802</v>
      </c>
      <c r="F18" s="1049">
        <v>2.9304290402700415E-2</v>
      </c>
      <c r="G18" s="1049">
        <v>5.375205846648981E-2</v>
      </c>
      <c r="H18" s="1049">
        <v>5.6008926539139914E-2</v>
      </c>
      <c r="I18" s="1049">
        <v>2.1861096094952185E-2</v>
      </c>
      <c r="J18" s="1049">
        <v>1.5621668946112024E-2</v>
      </c>
      <c r="K18" s="1049">
        <v>5.0449118083802882E-2</v>
      </c>
      <c r="L18" s="1049">
        <v>1.7832723075640568E-2</v>
      </c>
      <c r="M18" s="1049">
        <v>2.6110259562421197E-3</v>
      </c>
      <c r="N18" s="1049">
        <v>4.0352078720735089E-2</v>
      </c>
      <c r="O18" s="1049">
        <v>5.0019269383578631E-3</v>
      </c>
      <c r="P18" s="1049">
        <v>1.6383062348350144E-2</v>
      </c>
      <c r="Q18" s="1049">
        <v>2.5882201485447082E-2</v>
      </c>
      <c r="R18" s="1049">
        <v>8.5900000000000004E-2</v>
      </c>
      <c r="S18" s="1049">
        <v>5.5999999999999999E-3</v>
      </c>
      <c r="T18" s="1049">
        <v>8.7599999999999997E-2</v>
      </c>
    </row>
    <row r="19" spans="2:26" x14ac:dyDescent="0.45">
      <c r="B19" t="s">
        <v>247</v>
      </c>
      <c r="C19" s="881"/>
      <c r="D19" s="881"/>
      <c r="E19" s="1049"/>
      <c r="F19" s="881"/>
      <c r="G19" s="881"/>
      <c r="H19" s="1049"/>
      <c r="I19" s="881"/>
      <c r="J19" s="881"/>
      <c r="K19" s="1049"/>
      <c r="L19" s="881"/>
      <c r="M19" s="881"/>
      <c r="N19" s="1049"/>
      <c r="O19" s="881"/>
      <c r="P19" s="881"/>
      <c r="Q19" s="1049"/>
      <c r="R19" s="881"/>
      <c r="S19" s="881"/>
      <c r="T19" s="1049"/>
      <c r="U19" s="881"/>
      <c r="W19" s="1041" t="s">
        <v>300</v>
      </c>
      <c r="X19" s="1042" t="s">
        <v>301</v>
      </c>
    </row>
    <row r="20" spans="2:26" x14ac:dyDescent="0.45">
      <c r="B20" s="882"/>
      <c r="C20" s="1070" t="s">
        <v>293</v>
      </c>
      <c r="D20" s="1070" t="s">
        <v>293</v>
      </c>
      <c r="E20" s="1070" t="s">
        <v>293</v>
      </c>
      <c r="F20" s="1070" t="s">
        <v>294</v>
      </c>
      <c r="G20" s="1070" t="s">
        <v>294</v>
      </c>
      <c r="H20" s="1070" t="s">
        <v>294</v>
      </c>
      <c r="I20" s="1070" t="s">
        <v>295</v>
      </c>
      <c r="J20" s="1070" t="s">
        <v>295</v>
      </c>
      <c r="K20" s="1070" t="s">
        <v>295</v>
      </c>
      <c r="L20" s="1070" t="s">
        <v>296</v>
      </c>
      <c r="M20" s="1070" t="s">
        <v>296</v>
      </c>
      <c r="N20" s="1070" t="s">
        <v>296</v>
      </c>
      <c r="O20" s="1070" t="s">
        <v>297</v>
      </c>
      <c r="P20" s="1070" t="s">
        <v>297</v>
      </c>
      <c r="Q20" s="1070" t="s">
        <v>297</v>
      </c>
      <c r="R20" s="1070" t="s">
        <v>298</v>
      </c>
      <c r="S20" s="1070" t="s">
        <v>298</v>
      </c>
      <c r="T20" s="1070" t="s">
        <v>298</v>
      </c>
      <c r="U20" s="882" t="s">
        <v>201</v>
      </c>
      <c r="W20" s="1039" t="s">
        <v>293</v>
      </c>
      <c r="X20" s="1046">
        <v>39.629844915986013</v>
      </c>
      <c r="Y20" s="1056"/>
      <c r="Z20" s="1056"/>
    </row>
    <row r="21" spans="2:26" x14ac:dyDescent="0.45">
      <c r="B21" s="882"/>
      <c r="C21" s="882" t="s">
        <v>2</v>
      </c>
      <c r="D21" s="882" t="s">
        <v>3</v>
      </c>
      <c r="E21" s="882" t="s">
        <v>4</v>
      </c>
      <c r="F21" s="882" t="s">
        <v>2</v>
      </c>
      <c r="G21" s="882" t="s">
        <v>3</v>
      </c>
      <c r="H21" s="882" t="s">
        <v>4</v>
      </c>
      <c r="I21" s="882" t="s">
        <v>2</v>
      </c>
      <c r="J21" s="882" t="s">
        <v>3</v>
      </c>
      <c r="K21" s="882" t="s">
        <v>4</v>
      </c>
      <c r="L21" s="882" t="s">
        <v>2</v>
      </c>
      <c r="M21" s="882" t="s">
        <v>3</v>
      </c>
      <c r="N21" s="882" t="s">
        <v>4</v>
      </c>
      <c r="O21" s="882" t="s">
        <v>2</v>
      </c>
      <c r="P21" s="882" t="s">
        <v>3</v>
      </c>
      <c r="Q21" s="882" t="s">
        <v>4</v>
      </c>
      <c r="R21" s="882" t="s">
        <v>2</v>
      </c>
      <c r="S21" s="882" t="s">
        <v>3</v>
      </c>
      <c r="T21" s="882" t="s">
        <v>4</v>
      </c>
      <c r="U21" s="882"/>
      <c r="W21" s="1039" t="s">
        <v>294</v>
      </c>
      <c r="X21" s="1046">
        <v>40</v>
      </c>
      <c r="Y21" s="1056"/>
      <c r="Z21" s="1056"/>
    </row>
    <row r="22" spans="2:26" x14ac:dyDescent="0.45">
      <c r="B22" s="882" t="s">
        <v>189</v>
      </c>
      <c r="C22" s="336">
        <f>C5*$U$35*C$18</f>
        <v>4060281.9999999995</v>
      </c>
      <c r="D22" s="336">
        <f t="shared" ref="D22:T22" si="20">D5*$U$35*D$18</f>
        <v>246969.59999999998</v>
      </c>
      <c r="E22" s="336">
        <f t="shared" si="20"/>
        <v>1355592.8</v>
      </c>
      <c r="F22" s="336">
        <f t="shared" si="20"/>
        <v>470600</v>
      </c>
      <c r="G22" s="336">
        <f t="shared" si="20"/>
        <v>475600</v>
      </c>
      <c r="H22" s="336">
        <f t="shared" si="20"/>
        <v>584000</v>
      </c>
      <c r="I22" s="336">
        <f t="shared" si="20"/>
        <v>253419.99999999997</v>
      </c>
      <c r="J22" s="336">
        <f t="shared" si="20"/>
        <v>108320</v>
      </c>
      <c r="K22" s="336">
        <f t="shared" si="20"/>
        <v>473439.99999999994</v>
      </c>
      <c r="L22" s="336">
        <f t="shared" si="20"/>
        <v>275420</v>
      </c>
      <c r="M22" s="336">
        <f t="shared" si="20"/>
        <v>27360</v>
      </c>
      <c r="N22" s="336">
        <f t="shared" si="20"/>
        <v>329200</v>
      </c>
      <c r="O22" s="336">
        <f t="shared" si="20"/>
        <v>100380</v>
      </c>
      <c r="P22" s="336">
        <f t="shared" si="20"/>
        <v>144640</v>
      </c>
      <c r="Q22" s="336">
        <f t="shared" si="20"/>
        <v>290400</v>
      </c>
      <c r="R22" s="336">
        <f t="shared" si="20"/>
        <v>1462060</v>
      </c>
      <c r="S22" s="336">
        <f t="shared" si="20"/>
        <v>40880</v>
      </c>
      <c r="T22" s="336">
        <f t="shared" si="20"/>
        <v>841479.99999999988</v>
      </c>
      <c r="U22" s="740">
        <f t="shared" ref="U22:U33" si="21">SUM(C22:T22)</f>
        <v>11540044.399999999</v>
      </c>
      <c r="W22" s="1039" t="s">
        <v>295</v>
      </c>
      <c r="X22" s="1046">
        <v>39.832648792738688</v>
      </c>
      <c r="Y22" s="1056"/>
      <c r="Z22" s="1056"/>
    </row>
    <row r="23" spans="2:26" x14ac:dyDescent="0.45">
      <c r="B23" s="882" t="s">
        <v>190</v>
      </c>
      <c r="C23" s="336">
        <f t="shared" ref="C23:T23" si="22">C6*$U$35*C$18</f>
        <v>2743262</v>
      </c>
      <c r="D23" s="336">
        <f t="shared" si="22"/>
        <v>279470</v>
      </c>
      <c r="E23" s="336">
        <f t="shared" si="22"/>
        <v>1367400.0000000002</v>
      </c>
      <c r="F23" s="336">
        <f t="shared" si="22"/>
        <v>127960</v>
      </c>
      <c r="G23" s="336">
        <f t="shared" si="22"/>
        <v>578680</v>
      </c>
      <c r="H23" s="336">
        <f t="shared" si="22"/>
        <v>597600</v>
      </c>
      <c r="I23" s="336">
        <f t="shared" si="22"/>
        <v>243534</v>
      </c>
      <c r="J23" s="336">
        <f t="shared" si="22"/>
        <v>204319.99999999997</v>
      </c>
      <c r="K23" s="336">
        <f t="shared" si="22"/>
        <v>801879.99999999988</v>
      </c>
      <c r="L23" s="336">
        <f t="shared" si="22"/>
        <v>249139.20000000004</v>
      </c>
      <c r="M23" s="336">
        <f t="shared" si="22"/>
        <v>20800</v>
      </c>
      <c r="N23" s="336">
        <f t="shared" si="22"/>
        <v>423200</v>
      </c>
      <c r="O23" s="336">
        <f t="shared" si="22"/>
        <v>29000.000000000004</v>
      </c>
      <c r="P23" s="336">
        <f t="shared" si="22"/>
        <v>136640</v>
      </c>
      <c r="Q23" s="336">
        <f t="shared" si="22"/>
        <v>148840</v>
      </c>
      <c r="R23" s="336">
        <f t="shared" si="22"/>
        <v>654182.39999999991</v>
      </c>
      <c r="S23" s="336">
        <f t="shared" si="22"/>
        <v>42400</v>
      </c>
      <c r="T23" s="336">
        <f t="shared" si="22"/>
        <v>882200</v>
      </c>
      <c r="U23" s="740">
        <f t="shared" si="21"/>
        <v>9530507.5999999996</v>
      </c>
      <c r="W23" s="1039" t="s">
        <v>296</v>
      </c>
      <c r="X23" s="1046">
        <v>39.756892171369543</v>
      </c>
      <c r="Y23" s="1056"/>
      <c r="Z23" s="1056"/>
    </row>
    <row r="24" spans="2:26" x14ac:dyDescent="0.45">
      <c r="B24" s="882" t="s">
        <v>191</v>
      </c>
      <c r="C24" s="336">
        <f t="shared" ref="C24:T24" si="23">C7*$U$35*C$18</f>
        <v>3221668.7753867251</v>
      </c>
      <c r="D24" s="336">
        <f t="shared" si="23"/>
        <v>234965.07892675957</v>
      </c>
      <c r="E24" s="336">
        <f t="shared" si="23"/>
        <v>2361427.928557816</v>
      </c>
      <c r="F24" s="336">
        <f t="shared" si="23"/>
        <v>119015.67869612454</v>
      </c>
      <c r="G24" s="336">
        <f t="shared" si="23"/>
        <v>525085.7251123786</v>
      </c>
      <c r="H24" s="336">
        <f t="shared" si="23"/>
        <v>704207.46608021669</v>
      </c>
      <c r="I24" s="336">
        <f t="shared" si="23"/>
        <v>230592.36445996328</v>
      </c>
      <c r="J24" s="336">
        <f t="shared" si="23"/>
        <v>205546.9112591396</v>
      </c>
      <c r="K24" s="336">
        <f t="shared" si="23"/>
        <v>749992.91974257631</v>
      </c>
      <c r="L24" s="336">
        <f t="shared" si="23"/>
        <v>130212.66855713367</v>
      </c>
      <c r="M24" s="336">
        <f t="shared" si="23"/>
        <v>25937.820270560926</v>
      </c>
      <c r="N24" s="336">
        <f t="shared" si="23"/>
        <v>625388.22465622716</v>
      </c>
      <c r="O24" s="336">
        <f t="shared" si="23"/>
        <v>36669.247685077462</v>
      </c>
      <c r="P24" s="336">
        <f t="shared" si="23"/>
        <v>146670.11146983859</v>
      </c>
      <c r="Q24" s="336">
        <f t="shared" si="23"/>
        <v>354892.18278679065</v>
      </c>
      <c r="R24" s="336">
        <f t="shared" si="23"/>
        <v>1144074.3386769362</v>
      </c>
      <c r="S24" s="336">
        <f t="shared" si="23"/>
        <v>51507.27411431809</v>
      </c>
      <c r="T24" s="336">
        <f t="shared" si="23"/>
        <v>1130582.1623953346</v>
      </c>
      <c r="U24" s="740">
        <f t="shared" si="21"/>
        <v>11998436.878833918</v>
      </c>
      <c r="W24" s="1039" t="s">
        <v>297</v>
      </c>
      <c r="X24" s="1046">
        <v>39.98030735568129</v>
      </c>
      <c r="Y24" s="1056"/>
      <c r="Z24" s="1056"/>
    </row>
    <row r="25" spans="2:26" x14ac:dyDescent="0.45">
      <c r="B25" s="882" t="s">
        <v>192</v>
      </c>
      <c r="C25" s="336">
        <f t="shared" ref="C25:T25" si="24">C8*$U$35*C$18</f>
        <v>3717761.4535455867</v>
      </c>
      <c r="D25" s="336">
        <f t="shared" si="24"/>
        <v>229064.07198595957</v>
      </c>
      <c r="E25" s="336">
        <f t="shared" si="24"/>
        <v>1201307.263573044</v>
      </c>
      <c r="F25" s="336">
        <f t="shared" si="24"/>
        <v>285363.7393159772</v>
      </c>
      <c r="G25" s="336">
        <f t="shared" si="24"/>
        <v>720955.36273650697</v>
      </c>
      <c r="H25" s="336">
        <f t="shared" si="24"/>
        <v>540960.8143276365</v>
      </c>
      <c r="I25" s="336">
        <f t="shared" si="24"/>
        <v>205293.45643441685</v>
      </c>
      <c r="J25" s="336">
        <f t="shared" si="24"/>
        <v>200632.3598225259</v>
      </c>
      <c r="K25" s="336">
        <f t="shared" si="24"/>
        <v>587400.54133328272</v>
      </c>
      <c r="L25" s="336">
        <f t="shared" si="24"/>
        <v>204211.43708885147</v>
      </c>
      <c r="M25" s="336">
        <f t="shared" si="24"/>
        <v>23373.884896526488</v>
      </c>
      <c r="N25" s="336">
        <f t="shared" si="24"/>
        <v>426925.18023797765</v>
      </c>
      <c r="O25" s="336">
        <f t="shared" si="24"/>
        <v>55521.945087259584</v>
      </c>
      <c r="P25" s="336">
        <f t="shared" si="24"/>
        <v>160036.84668952791</v>
      </c>
      <c r="Q25" s="336">
        <f t="shared" si="24"/>
        <v>250155.28986249084</v>
      </c>
      <c r="R25" s="336">
        <f t="shared" si="24"/>
        <v>954965.74273856136</v>
      </c>
      <c r="S25" s="336">
        <f t="shared" si="24"/>
        <v>64153.383460653255</v>
      </c>
      <c r="T25" s="336">
        <f t="shared" si="24"/>
        <v>478662.87030285632</v>
      </c>
      <c r="U25" s="740">
        <f t="shared" si="21"/>
        <v>10306745.643439641</v>
      </c>
      <c r="W25" s="444" t="s">
        <v>302</v>
      </c>
      <c r="X25" s="1047">
        <v>39.386482564531022</v>
      </c>
      <c r="Y25" s="1056"/>
      <c r="Z25" s="1056"/>
    </row>
    <row r="26" spans="2:26" x14ac:dyDescent="0.45">
      <c r="B26" s="882" t="s">
        <v>193</v>
      </c>
      <c r="C26" s="336">
        <f t="shared" ref="C26:T26" si="25">C9*$U$35*C$18</f>
        <v>3707924.7578266398</v>
      </c>
      <c r="D26" s="336">
        <f t="shared" si="25"/>
        <v>224344.34522800709</v>
      </c>
      <c r="E26" s="336">
        <f t="shared" si="25"/>
        <v>1538092.6006347467</v>
      </c>
      <c r="F26" s="336">
        <f t="shared" si="25"/>
        <v>268098.06889551843</v>
      </c>
      <c r="G26" s="336">
        <f t="shared" si="25"/>
        <v>513211.16619671858</v>
      </c>
      <c r="H26" s="336">
        <f t="shared" si="25"/>
        <v>575112.48354083253</v>
      </c>
      <c r="I26" s="336">
        <f t="shared" si="25"/>
        <v>157261.88187643667</v>
      </c>
      <c r="J26" s="336">
        <f t="shared" si="25"/>
        <v>131841.53127501495</v>
      </c>
      <c r="K26" s="336">
        <f t="shared" si="25"/>
        <v>435231.11759669305</v>
      </c>
      <c r="L26" s="336">
        <f t="shared" si="25"/>
        <v>124452.55289631545</v>
      </c>
      <c r="M26" s="336">
        <f t="shared" si="25"/>
        <v>30432.798135277564</v>
      </c>
      <c r="N26" s="336">
        <f t="shared" si="25"/>
        <v>340054.8471568235</v>
      </c>
      <c r="O26" s="336">
        <f t="shared" si="25"/>
        <v>52878.528732886058</v>
      </c>
      <c r="P26" s="336">
        <f t="shared" si="25"/>
        <v>195261.83844329047</v>
      </c>
      <c r="Q26" s="336">
        <f t="shared" si="25"/>
        <v>275170.81884873996</v>
      </c>
      <c r="R26" s="336">
        <f t="shared" si="25"/>
        <v>687532.90461092733</v>
      </c>
      <c r="S26" s="336">
        <f t="shared" si="25"/>
        <v>68500.918301940183</v>
      </c>
      <c r="T26" s="336">
        <f t="shared" si="25"/>
        <v>878833.83727285848</v>
      </c>
      <c r="U26" s="740">
        <f t="shared" si="21"/>
        <v>10204236.997469667</v>
      </c>
      <c r="W26" s="1039" t="s">
        <v>298</v>
      </c>
      <c r="X26" s="1046">
        <v>40</v>
      </c>
      <c r="Y26" s="1056"/>
      <c r="Z26" s="1056"/>
    </row>
    <row r="27" spans="2:26" x14ac:dyDescent="0.45">
      <c r="B27" s="882" t="s">
        <v>194</v>
      </c>
      <c r="C27" s="336">
        <f t="shared" ref="C27:T27" si="26">C10*$U$35*C$18</f>
        <v>2957271.7553483285</v>
      </c>
      <c r="D27" s="336">
        <f t="shared" si="26"/>
        <v>225142.27487437153</v>
      </c>
      <c r="E27" s="336">
        <f t="shared" si="26"/>
        <v>1517485.1791801329</v>
      </c>
      <c r="F27" s="336">
        <f t="shared" si="26"/>
        <v>427962.8642488264</v>
      </c>
      <c r="G27" s="336">
        <f t="shared" si="26"/>
        <v>581501.07511644426</v>
      </c>
      <c r="H27" s="336">
        <f t="shared" si="26"/>
        <v>809262.52526381006</v>
      </c>
      <c r="I27" s="336">
        <f t="shared" si="26"/>
        <v>310329.36310363357</v>
      </c>
      <c r="J27" s="336">
        <f t="shared" si="26"/>
        <v>164373.44498635101</v>
      </c>
      <c r="K27" s="336">
        <f t="shared" si="26"/>
        <v>607902.91710953531</v>
      </c>
      <c r="L27" s="336">
        <f t="shared" si="26"/>
        <v>239465.48985167796</v>
      </c>
      <c r="M27" s="336">
        <f t="shared" si="26"/>
        <v>41045.440873873456</v>
      </c>
      <c r="N27" s="336">
        <f t="shared" si="26"/>
        <v>393994.58153342316</v>
      </c>
      <c r="O27" s="336">
        <f t="shared" si="26"/>
        <v>68351.897085962526</v>
      </c>
      <c r="P27" s="336">
        <f t="shared" si="26"/>
        <v>205393.12768272145</v>
      </c>
      <c r="Q27" s="336">
        <f t="shared" si="26"/>
        <v>347121.73409543891</v>
      </c>
      <c r="R27" s="336">
        <f t="shared" si="26"/>
        <v>733067.97115564451</v>
      </c>
      <c r="S27" s="336">
        <f t="shared" si="26"/>
        <v>80456.059444166851</v>
      </c>
      <c r="T27" s="336">
        <f t="shared" si="26"/>
        <v>837757.70933006052</v>
      </c>
      <c r="U27" s="740">
        <f t="shared" si="21"/>
        <v>10547885.410284404</v>
      </c>
    </row>
    <row r="28" spans="2:26" x14ac:dyDescent="0.45">
      <c r="B28" s="882" t="s">
        <v>195</v>
      </c>
      <c r="C28" s="336">
        <f t="shared" ref="C28:T28" si="27">C11*$U$35*C$18</f>
        <v>2031090.2407757225</v>
      </c>
      <c r="D28" s="336">
        <f t="shared" si="27"/>
        <v>298376.63065989001</v>
      </c>
      <c r="E28" s="336">
        <f t="shared" si="27"/>
        <v>2137523.2075744253</v>
      </c>
      <c r="F28" s="336">
        <f t="shared" si="27"/>
        <v>362570.3903162753</v>
      </c>
      <c r="G28" s="336">
        <f t="shared" si="27"/>
        <v>496186.92611865478</v>
      </c>
      <c r="H28" s="336">
        <f t="shared" si="27"/>
        <v>555032.04938240151</v>
      </c>
      <c r="I28" s="336">
        <f t="shared" si="27"/>
        <v>232817.96480445858</v>
      </c>
      <c r="J28" s="336">
        <f t="shared" si="27"/>
        <v>156071.57265109583</v>
      </c>
      <c r="K28" s="336">
        <f t="shared" si="27"/>
        <v>457782.06976310001</v>
      </c>
      <c r="L28" s="336">
        <f t="shared" si="27"/>
        <v>211402.49192796409</v>
      </c>
      <c r="M28" s="336">
        <f t="shared" si="27"/>
        <v>30432.798135277564</v>
      </c>
      <c r="N28" s="336">
        <f t="shared" si="27"/>
        <v>298252.2174224616</v>
      </c>
      <c r="O28" s="336">
        <f t="shared" si="27"/>
        <v>53047.683349023748</v>
      </c>
      <c r="P28" s="336">
        <f t="shared" si="27"/>
        <v>198756.19514855722</v>
      </c>
      <c r="Q28" s="336">
        <f t="shared" si="27"/>
        <v>253235.32686892143</v>
      </c>
      <c r="R28" s="336">
        <f t="shared" si="27"/>
        <v>889928.35336576367</v>
      </c>
      <c r="S28" s="336">
        <f t="shared" si="27"/>
        <v>58314.934004461116</v>
      </c>
      <c r="T28" s="336">
        <f t="shared" si="27"/>
        <v>878848.86533326237</v>
      </c>
      <c r="U28" s="740">
        <f t="shared" si="21"/>
        <v>9599669.9176017158</v>
      </c>
    </row>
    <row r="29" spans="2:26" x14ac:dyDescent="0.45">
      <c r="B29" s="882" t="s">
        <v>196</v>
      </c>
      <c r="C29" s="336">
        <f t="shared" ref="C29:T29" si="28">C12*$U$35*C$18</f>
        <v>2361939.917182358</v>
      </c>
      <c r="D29" s="336">
        <f t="shared" si="28"/>
        <v>304625.54888741911</v>
      </c>
      <c r="E29" s="336">
        <f t="shared" si="28"/>
        <v>1858513.4821953974</v>
      </c>
      <c r="F29" s="336">
        <f t="shared" si="28"/>
        <v>373654.87627002195</v>
      </c>
      <c r="G29" s="336">
        <f t="shared" si="28"/>
        <v>655160.61282626772</v>
      </c>
      <c r="H29" s="336">
        <f t="shared" si="28"/>
        <v>630104.04273777222</v>
      </c>
      <c r="I29" s="336">
        <f t="shared" si="28"/>
        <v>295759.77180734416</v>
      </c>
      <c r="J29" s="336">
        <f t="shared" si="28"/>
        <v>170027.42357841178</v>
      </c>
      <c r="K29" s="336">
        <f t="shared" si="28"/>
        <v>498979.51906232873</v>
      </c>
      <c r="L29" s="336">
        <f t="shared" si="28"/>
        <v>107882.40026050227</v>
      </c>
      <c r="M29" s="336">
        <f t="shared" si="28"/>
        <v>28093.611654478955</v>
      </c>
      <c r="N29" s="336">
        <f t="shared" si="28"/>
        <v>234520.58424608523</v>
      </c>
      <c r="O29" s="336">
        <f t="shared" si="28"/>
        <v>52159.471423411298</v>
      </c>
      <c r="P29" s="336">
        <f t="shared" si="28"/>
        <v>190313.45411569814</v>
      </c>
      <c r="Q29" s="336">
        <f t="shared" si="28"/>
        <v>282988.17165694275</v>
      </c>
      <c r="R29" s="336">
        <f t="shared" si="28"/>
        <v>946383.78070131235</v>
      </c>
      <c r="S29" s="336">
        <f t="shared" si="28"/>
        <v>62488.567452096504</v>
      </c>
      <c r="T29" s="336">
        <f t="shared" si="28"/>
        <v>1015156.0302423027</v>
      </c>
      <c r="U29" s="740">
        <f t="shared" si="21"/>
        <v>10068751.266300155</v>
      </c>
    </row>
    <row r="30" spans="2:26" x14ac:dyDescent="0.45">
      <c r="B30" s="882" t="s">
        <v>197</v>
      </c>
      <c r="C30" s="336">
        <f t="shared" ref="C30:T30" si="29">C13*$U$35*C$18</f>
        <v>3701693.0114389141</v>
      </c>
      <c r="D30" s="336">
        <f t="shared" si="29"/>
        <v>401722.01524094958</v>
      </c>
      <c r="E30" s="336">
        <f t="shared" si="29"/>
        <v>2835945.6371427472</v>
      </c>
      <c r="F30" s="336">
        <f t="shared" si="29"/>
        <v>433284.40131363034</v>
      </c>
      <c r="G30" s="336">
        <f t="shared" si="29"/>
        <v>812074.42706891929</v>
      </c>
      <c r="H30" s="336">
        <f t="shared" si="29"/>
        <v>753071.00241080916</v>
      </c>
      <c r="I30" s="336">
        <f t="shared" si="29"/>
        <v>308197.96572343656</v>
      </c>
      <c r="J30" s="336">
        <f t="shared" si="29"/>
        <v>227836.74759507179</v>
      </c>
      <c r="K30" s="336">
        <f t="shared" si="29"/>
        <v>653449.35520978924</v>
      </c>
      <c r="L30" s="336">
        <f t="shared" si="29"/>
        <v>225470.32858403045</v>
      </c>
      <c r="M30" s="336">
        <f t="shared" si="29"/>
        <v>37792.874890964587</v>
      </c>
      <c r="N30" s="336">
        <f t="shared" si="29"/>
        <v>514977.69249755115</v>
      </c>
      <c r="O30" s="336">
        <f t="shared" si="29"/>
        <v>69101.616007489225</v>
      </c>
      <c r="P30" s="336">
        <f t="shared" si="29"/>
        <v>272618.45315686177</v>
      </c>
      <c r="Q30" s="336">
        <f t="shared" si="29"/>
        <v>361919.98296136787</v>
      </c>
      <c r="R30" s="336">
        <f t="shared" si="29"/>
        <v>1413218.0703867339</v>
      </c>
      <c r="S30" s="336">
        <f t="shared" si="29"/>
        <v>86313.058382348507</v>
      </c>
      <c r="T30" s="336">
        <f t="shared" si="29"/>
        <v>1705212.0538789106</v>
      </c>
      <c r="U30" s="740">
        <f t="shared" si="21"/>
        <v>14813898.693890527</v>
      </c>
    </row>
    <row r="31" spans="2:26" x14ac:dyDescent="0.45">
      <c r="B31" s="882" t="s">
        <v>198</v>
      </c>
      <c r="C31" s="336">
        <f t="shared" ref="C31:T31" si="30">C14*$U$35*C$18</f>
        <v>2448069.4274650519</v>
      </c>
      <c r="D31" s="336">
        <f t="shared" si="30"/>
        <v>281969.9614536743</v>
      </c>
      <c r="E31" s="336">
        <f t="shared" si="30"/>
        <v>2201071.9343059575</v>
      </c>
      <c r="F31" s="336">
        <f t="shared" si="30"/>
        <v>385567.73689206393</v>
      </c>
      <c r="G31" s="336">
        <f t="shared" si="30"/>
        <v>629472.79149851319</v>
      </c>
      <c r="H31" s="336">
        <f t="shared" si="30"/>
        <v>606099.68833726738</v>
      </c>
      <c r="I31" s="336">
        <f t="shared" si="30"/>
        <v>235634.55702125409</v>
      </c>
      <c r="J31" s="336">
        <f t="shared" si="30"/>
        <v>177785.20815821621</v>
      </c>
      <c r="K31" s="336">
        <f t="shared" si="30"/>
        <v>491981.93295636144</v>
      </c>
      <c r="L31" s="336">
        <f t="shared" si="30"/>
        <v>214778.61312634594</v>
      </c>
      <c r="M31" s="336">
        <f t="shared" si="30"/>
        <v>31526.068590123443</v>
      </c>
      <c r="N31" s="336">
        <f t="shared" si="30"/>
        <v>579850.77651170385</v>
      </c>
      <c r="O31" s="336">
        <f t="shared" si="30"/>
        <v>49306.311392992378</v>
      </c>
      <c r="P31" s="336">
        <f t="shared" si="30"/>
        <v>204220.52476149207</v>
      </c>
      <c r="Q31" s="336">
        <f t="shared" si="30"/>
        <v>348591.39642338111</v>
      </c>
      <c r="R31" s="336">
        <f t="shared" si="30"/>
        <v>1545235.0149180456</v>
      </c>
      <c r="S31" s="336">
        <f t="shared" si="30"/>
        <v>67418.09229080395</v>
      </c>
      <c r="T31" s="336">
        <f t="shared" si="30"/>
        <v>1074367.6041617671</v>
      </c>
      <c r="U31" s="740">
        <f t="shared" si="21"/>
        <v>11572947.640265016</v>
      </c>
    </row>
    <row r="32" spans="2:26" x14ac:dyDescent="0.45">
      <c r="B32" s="882" t="s">
        <v>199</v>
      </c>
      <c r="C32" s="336">
        <f t="shared" ref="C32:T32" si="31">C15*$U$35*C$18</f>
        <v>2507515.0470363609</v>
      </c>
      <c r="D32" s="336">
        <f t="shared" si="31"/>
        <v>238076.5026047164</v>
      </c>
      <c r="E32" s="336">
        <f t="shared" si="31"/>
        <v>1703161.2818930948</v>
      </c>
      <c r="F32" s="336">
        <f t="shared" si="31"/>
        <v>331172.38002850302</v>
      </c>
      <c r="G32" s="336">
        <f t="shared" si="31"/>
        <v>476921.06012283883</v>
      </c>
      <c r="H32" s="336">
        <f t="shared" si="31"/>
        <v>644013.84945705463</v>
      </c>
      <c r="I32" s="336">
        <f t="shared" si="31"/>
        <v>260714.77460199123</v>
      </c>
      <c r="J32" s="336">
        <f t="shared" si="31"/>
        <v>170027.42357841178</v>
      </c>
      <c r="K32" s="336">
        <f t="shared" si="31"/>
        <v>490652.98297896388</v>
      </c>
      <c r="L32" s="336">
        <f t="shared" si="31"/>
        <v>221430.24462899572</v>
      </c>
      <c r="M32" s="336">
        <f t="shared" si="31"/>
        <v>25404.715895805464</v>
      </c>
      <c r="N32" s="336">
        <f t="shared" si="31"/>
        <v>612605.48477807397</v>
      </c>
      <c r="O32" s="336">
        <f t="shared" si="31"/>
        <v>50120.88795535254</v>
      </c>
      <c r="P32" s="336">
        <f t="shared" si="31"/>
        <v>134849.33594149901</v>
      </c>
      <c r="Q32" s="336">
        <f t="shared" si="31"/>
        <v>259536.11323233429</v>
      </c>
      <c r="R32" s="336">
        <f t="shared" si="31"/>
        <v>712366.15881147666</v>
      </c>
      <c r="S32" s="336">
        <f t="shared" si="31"/>
        <v>41444.620685216687</v>
      </c>
      <c r="T32" s="336">
        <f t="shared" si="31"/>
        <v>935483.08391189261</v>
      </c>
      <c r="U32" s="740">
        <f t="shared" si="21"/>
        <v>9815495.9481425807</v>
      </c>
    </row>
    <row r="33" spans="2:51" x14ac:dyDescent="0.45">
      <c r="B33" s="882" t="s">
        <v>200</v>
      </c>
      <c r="C33" s="336">
        <f t="shared" ref="C33:T33" si="32">C16*$U$35*C$18</f>
        <v>4087188.6746849637</v>
      </c>
      <c r="D33" s="336">
        <f t="shared" si="32"/>
        <v>390240.4932811039</v>
      </c>
      <c r="E33" s="336">
        <f t="shared" si="32"/>
        <v>2964289.0300680748</v>
      </c>
      <c r="F33" s="336">
        <f t="shared" si="32"/>
        <v>487955.37614862248</v>
      </c>
      <c r="G33" s="336">
        <f t="shared" si="32"/>
        <v>1006520.3293128536</v>
      </c>
      <c r="H33" s="336">
        <f t="shared" si="32"/>
        <v>785275.9006194697</v>
      </c>
      <c r="I33" s="336">
        <f t="shared" si="32"/>
        <v>305068.48009753204</v>
      </c>
      <c r="J33" s="336">
        <f t="shared" si="32"/>
        <v>254580.92780779873</v>
      </c>
      <c r="K33" s="336">
        <f t="shared" si="32"/>
        <v>763415.64010700525</v>
      </c>
      <c r="L33" s="336">
        <f t="shared" si="32"/>
        <v>274794.79108459945</v>
      </c>
      <c r="M33" s="336">
        <f t="shared" si="32"/>
        <v>40724.49945433269</v>
      </c>
      <c r="N33" s="336">
        <f t="shared" si="32"/>
        <v>829844.2471710653</v>
      </c>
      <c r="O33" s="336">
        <f t="shared" si="32"/>
        <v>78705.841731547203</v>
      </c>
      <c r="P33" s="336">
        <f t="shared" si="32"/>
        <v>287862.29113285622</v>
      </c>
      <c r="Q33" s="336">
        <f t="shared" si="32"/>
        <v>424645.79650616198</v>
      </c>
      <c r="R33" s="336">
        <f t="shared" si="32"/>
        <v>796481.54277528729</v>
      </c>
      <c r="S33" s="336">
        <f t="shared" si="32"/>
        <v>114543.05128510454</v>
      </c>
      <c r="T33" s="336">
        <f t="shared" si="32"/>
        <v>1518123.2520005368</v>
      </c>
      <c r="U33" s="740">
        <f t="shared" si="21"/>
        <v>15410260.165268915</v>
      </c>
    </row>
    <row r="34" spans="2:51" x14ac:dyDescent="0.45">
      <c r="B34" s="739" t="s">
        <v>201</v>
      </c>
      <c r="C34" s="740">
        <f t="shared" ref="C34" si="33">SUM(C22:C33)</f>
        <v>37545667.060690649</v>
      </c>
      <c r="D34" s="740">
        <f t="shared" ref="D34" si="34">SUM(D22:D33)</f>
        <v>3354966.523142851</v>
      </c>
      <c r="E34" s="740">
        <f t="shared" ref="E34" si="35">SUM(E22:E33)</f>
        <v>23041810.345125433</v>
      </c>
      <c r="F34" s="740">
        <f t="shared" ref="F34" si="36">SUM(F22:F33)</f>
        <v>4073205.5121255638</v>
      </c>
      <c r="G34" s="740">
        <f t="shared" ref="G34" si="37">SUM(G22:G33)</f>
        <v>7471369.4761100952</v>
      </c>
      <c r="H34" s="740">
        <f t="shared" ref="H34" si="38">SUM(H22:H33)</f>
        <v>7784739.8221572703</v>
      </c>
      <c r="I34" s="740">
        <f t="shared" ref="I34" si="39">SUM(I22:I33)</f>
        <v>3038624.5799304675</v>
      </c>
      <c r="J34" s="740">
        <f t="shared" ref="J34" si="40">SUM(J22:J33)</f>
        <v>2171363.5507120378</v>
      </c>
      <c r="K34" s="740">
        <f t="shared" ref="K34" si="41">SUM(K22:K33)</f>
        <v>7012108.9958596351</v>
      </c>
      <c r="L34" s="740">
        <f t="shared" ref="L34" si="42">SUM(L22:L33)</f>
        <v>2478660.2180064162</v>
      </c>
      <c r="M34" s="740">
        <f t="shared" ref="M34" si="43">SUM(M22:M33)</f>
        <v>362924.51279722113</v>
      </c>
      <c r="N34" s="740">
        <f t="shared" ref="N34" si="44">SUM(N22:N33)</f>
        <v>5608813.8362113927</v>
      </c>
      <c r="O34" s="740">
        <f t="shared" ref="O34" si="45">SUM(O22:O33)</f>
        <v>695243.43045100197</v>
      </c>
      <c r="P34" s="740">
        <f t="shared" ref="P34" si="46">SUM(P22:P33)</f>
        <v>2277262.178542343</v>
      </c>
      <c r="Q34" s="740">
        <f t="shared" ref="Q34" si="47">SUM(Q22:Q33)</f>
        <v>3597496.8132425696</v>
      </c>
      <c r="R34" s="740">
        <f t="shared" ref="R34" si="48">SUM(R22:R33)</f>
        <v>11939496.27814069</v>
      </c>
      <c r="S34" s="740">
        <f t="shared" ref="S34" si="49">SUM(S22:S33)</f>
        <v>778419.95942110964</v>
      </c>
      <c r="T34" s="740">
        <f t="shared" ref="T34" si="50">SUM(T22:T33)</f>
        <v>12176707.468829781</v>
      </c>
      <c r="U34" s="740">
        <f>SUM(C34:T34)</f>
        <v>135408880.56149656</v>
      </c>
    </row>
    <row r="35" spans="2:51" x14ac:dyDescent="0.45"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  <c r="R35" s="344"/>
      <c r="S35" s="344"/>
      <c r="T35" s="344"/>
      <c r="U35" s="334">
        <v>138996899.63999999</v>
      </c>
      <c r="AR35" s="329" t="s">
        <v>248</v>
      </c>
      <c r="AW35" s="329" t="str">
        <f>_xlfn.CONCAT("Vol ",TEXT(AP58/1000000,"###"),"mio")</f>
        <v>Vol 109mio</v>
      </c>
    </row>
    <row r="36" spans="2:51" x14ac:dyDescent="0.45">
      <c r="B36" s="882" t="s">
        <v>2</v>
      </c>
      <c r="C36" s="1059">
        <f>SUMIFS($C$34:$T$34,$C$21:$T$21,B36)</f>
        <v>59770897.079344794</v>
      </c>
      <c r="D36" s="1060">
        <f>C36/SUM($U$35)</f>
        <v>0.43001604520784692</v>
      </c>
      <c r="U36" s="334"/>
    </row>
    <row r="37" spans="2:51" x14ac:dyDescent="0.45">
      <c r="B37" s="882" t="s">
        <v>3</v>
      </c>
      <c r="C37" s="1059">
        <f t="shared" ref="C37:C38" si="51">SUMIFS($C$34:$T$34,$C$21:$T$21,B37)</f>
        <v>16416306.200725656</v>
      </c>
      <c r="D37" s="1060">
        <f t="shared" ref="D37:D38" si="52">C37/SUM($U$35)</f>
        <v>0.11810555662208048</v>
      </c>
      <c r="U37" s="334">
        <v>135409114.45837024</v>
      </c>
      <c r="AR37" t="s">
        <v>249</v>
      </c>
      <c r="AS37" s="410">
        <f>SUM(U43:U45)</f>
        <v>831113.44509847392</v>
      </c>
      <c r="AT37" s="1017">
        <f>AS37/$U$57</f>
        <v>0.24424330440106845</v>
      </c>
      <c r="AW37" t="s">
        <v>249</v>
      </c>
      <c r="AX37" s="410">
        <f>SUM(AP43:AP45)</f>
        <v>831113.44509847392</v>
      </c>
      <c r="AY37" s="1017">
        <f>AX37/$AP$57</f>
        <v>0.30402964628207191</v>
      </c>
    </row>
    <row r="38" spans="2:51" x14ac:dyDescent="0.45">
      <c r="B38" s="882" t="s">
        <v>4</v>
      </c>
      <c r="C38" s="1059">
        <f t="shared" si="51"/>
        <v>59221677.28142608</v>
      </c>
      <c r="D38" s="1060">
        <f t="shared" si="52"/>
        <v>0.42606473550711843</v>
      </c>
      <c r="W38" t="s">
        <v>133</v>
      </c>
      <c r="X38" s="1017">
        <f>SUM(X58:Z58)/SUM(C58:E58)</f>
        <v>0.8326106294466582</v>
      </c>
      <c r="Y38" s="1017"/>
      <c r="Z38" s="1017"/>
      <c r="AA38" s="1017">
        <f>SUM(AA58:AC58)/SUM(F58:H58)</f>
        <v>0.81204521019815001</v>
      </c>
      <c r="AB38" s="1017"/>
      <c r="AC38" s="1017"/>
      <c r="AD38" s="1017">
        <f>SUM(AD58:AF58)/SUM(I58:K58)</f>
        <v>0.7859594788970653</v>
      </c>
      <c r="AE38" s="1017"/>
      <c r="AF38" s="1017"/>
      <c r="AG38" s="1017">
        <f>SUM(AG58:AI58)/SUM(L58:N58)</f>
        <v>0.76294036644724617</v>
      </c>
      <c r="AH38" s="1017"/>
      <c r="AI38" s="1017"/>
      <c r="AJ38" s="1017">
        <f>SUM(AJ58:AL58)/SUM(O58:Q58)</f>
        <v>0.79543931194172435</v>
      </c>
      <c r="AK38" s="1017"/>
      <c r="AL38" s="1017"/>
      <c r="AM38" s="1017">
        <f>SUM(AM58:AO58)/SUM(R58:T58)</f>
        <v>0.76850614311429477</v>
      </c>
      <c r="AR38" s="329" t="s">
        <v>252</v>
      </c>
      <c r="AS38" s="1050">
        <f>AS37/13</f>
        <v>63931.80346911338</v>
      </c>
      <c r="AT38" s="1017"/>
      <c r="AW38" s="329" t="s">
        <v>252</v>
      </c>
      <c r="AX38" s="1050">
        <f>AX37/13</f>
        <v>63931.80346911338</v>
      </c>
      <c r="AY38" s="1017"/>
    </row>
    <row r="39" spans="2:51" x14ac:dyDescent="0.45">
      <c r="C39" s="412"/>
      <c r="D39" s="412"/>
      <c r="E39" s="412"/>
      <c r="F39" s="412"/>
      <c r="G39" s="412"/>
      <c r="H39" s="412"/>
      <c r="I39" s="412"/>
      <c r="J39" s="412"/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W39" t="s">
        <v>309</v>
      </c>
      <c r="X39" s="1017">
        <f>SUM(X49:Z54)/SUM(C49:E54)</f>
        <v>0.65817024536607405</v>
      </c>
      <c r="Y39" s="1017"/>
      <c r="Z39" s="1017"/>
      <c r="AA39" s="1017">
        <f>SUM(AA49:AC54)/SUM(F49:H54)</f>
        <v>0.65147839009189645</v>
      </c>
      <c r="AB39" s="1017"/>
      <c r="AC39" s="1017"/>
      <c r="AD39" s="1017">
        <f>SUM(AD49:AF54)/SUM(I49:K54)</f>
        <v>0.56815040179850651</v>
      </c>
      <c r="AE39" s="1017"/>
      <c r="AF39" s="1017"/>
      <c r="AG39" s="1017">
        <f>SUM(AG49:AI54)/SUM(L49:N54)</f>
        <v>0.54811291745887303</v>
      </c>
      <c r="AH39" s="1017"/>
      <c r="AI39" s="1017"/>
      <c r="AJ39" s="1017">
        <f>SUM(AJ49:AL54)/SUM(O49:Q54)</f>
        <v>0.62302770146378483</v>
      </c>
      <c r="AK39" s="1017"/>
      <c r="AL39" s="1017"/>
      <c r="AM39" s="1017">
        <f>SUM(AM49:AO54)/SUM(R49:T54)</f>
        <v>0.58424234437923261</v>
      </c>
      <c r="AN39" s="1017"/>
      <c r="AO39" s="1017"/>
      <c r="AR39" s="875" t="s">
        <v>253</v>
      </c>
      <c r="AS39" s="410">
        <f>AS38*AT39</f>
        <v>32001.416540381073</v>
      </c>
      <c r="AT39" s="1051">
        <v>0.50055551077706639</v>
      </c>
      <c r="AW39" s="875" t="s">
        <v>253</v>
      </c>
      <c r="AX39" s="410">
        <f>AX38*AY39</f>
        <v>32001.416540381073</v>
      </c>
      <c r="AY39" s="1051">
        <v>0.50055551077706639</v>
      </c>
    </row>
    <row r="40" spans="2:51" x14ac:dyDescent="0.45">
      <c r="B40" s="882"/>
      <c r="C40" s="1070" t="s">
        <v>293</v>
      </c>
      <c r="D40" s="1070" t="s">
        <v>293</v>
      </c>
      <c r="E40" s="1070" t="s">
        <v>293</v>
      </c>
      <c r="F40" s="1070" t="s">
        <v>294</v>
      </c>
      <c r="G40" s="1070" t="s">
        <v>294</v>
      </c>
      <c r="H40" s="1070" t="s">
        <v>294</v>
      </c>
      <c r="I40" s="1070" t="s">
        <v>295</v>
      </c>
      <c r="J40" s="1070" t="s">
        <v>295</v>
      </c>
      <c r="K40" s="1070" t="s">
        <v>295</v>
      </c>
      <c r="L40" s="1070" t="s">
        <v>296</v>
      </c>
      <c r="M40" s="1070" t="s">
        <v>296</v>
      </c>
      <c r="N40" s="1070" t="s">
        <v>296</v>
      </c>
      <c r="O40" s="1070" t="s">
        <v>297</v>
      </c>
      <c r="P40" s="1070" t="s">
        <v>297</v>
      </c>
      <c r="Q40" s="1070" t="s">
        <v>297</v>
      </c>
      <c r="R40" s="1070" t="s">
        <v>298</v>
      </c>
      <c r="S40" s="1070" t="s">
        <v>298</v>
      </c>
      <c r="T40" s="1070" t="s">
        <v>298</v>
      </c>
      <c r="U40" s="882" t="s">
        <v>201</v>
      </c>
      <c r="W40" s="882"/>
      <c r="X40" s="1070" t="s">
        <v>293</v>
      </c>
      <c r="Y40" s="1070" t="s">
        <v>293</v>
      </c>
      <c r="Z40" s="1070" t="s">
        <v>293</v>
      </c>
      <c r="AA40" s="1070" t="s">
        <v>294</v>
      </c>
      <c r="AB40" s="1070" t="s">
        <v>294</v>
      </c>
      <c r="AC40" s="1070" t="s">
        <v>294</v>
      </c>
      <c r="AD40" s="1070" t="s">
        <v>295</v>
      </c>
      <c r="AE40" s="1070" t="s">
        <v>295</v>
      </c>
      <c r="AF40" s="1070" t="s">
        <v>295</v>
      </c>
      <c r="AG40" s="1070" t="s">
        <v>296</v>
      </c>
      <c r="AH40" s="1070" t="s">
        <v>296</v>
      </c>
      <c r="AI40" s="1070" t="s">
        <v>296</v>
      </c>
      <c r="AJ40" s="1070" t="s">
        <v>297</v>
      </c>
      <c r="AK40" s="1070" t="s">
        <v>297</v>
      </c>
      <c r="AL40" s="1070" t="s">
        <v>297</v>
      </c>
      <c r="AM40" s="1070" t="s">
        <v>298</v>
      </c>
      <c r="AN40" s="1070" t="s">
        <v>298</v>
      </c>
      <c r="AO40" s="1070" t="s">
        <v>298</v>
      </c>
      <c r="AP40" s="882" t="s">
        <v>201</v>
      </c>
      <c r="AR40" s="875" t="s">
        <v>233</v>
      </c>
      <c r="AS40" s="410">
        <f>AS38*AT40</f>
        <v>24280.916591671237</v>
      </c>
      <c r="AT40" s="1051">
        <v>0.37979401915983474</v>
      </c>
      <c r="AW40" s="875" t="s">
        <v>233</v>
      </c>
      <c r="AX40" s="410">
        <f>AX38*AY40</f>
        <v>24280.916591671237</v>
      </c>
      <c r="AY40" s="1051">
        <v>0.37979401915983474</v>
      </c>
    </row>
    <row r="41" spans="2:51" x14ac:dyDescent="0.45">
      <c r="B41" s="882"/>
      <c r="C41" s="882"/>
      <c r="D41" s="882"/>
      <c r="E41" s="882"/>
      <c r="F41" s="882"/>
      <c r="G41" s="882"/>
      <c r="H41" s="882"/>
      <c r="I41" s="882"/>
      <c r="J41" s="882"/>
      <c r="K41" s="882"/>
      <c r="L41" s="882"/>
      <c r="M41" s="882"/>
      <c r="N41" s="882"/>
      <c r="O41" s="882"/>
      <c r="P41" s="882"/>
      <c r="Q41" s="882"/>
      <c r="R41" s="882"/>
      <c r="S41" s="882"/>
      <c r="T41" s="882"/>
      <c r="U41" s="882"/>
      <c r="W41" s="882"/>
      <c r="X41" s="1063">
        <v>0.7</v>
      </c>
      <c r="Y41" s="1063">
        <v>0.7</v>
      </c>
      <c r="Z41" s="1063">
        <v>0.6</v>
      </c>
      <c r="AA41" s="1063">
        <v>0.65</v>
      </c>
      <c r="AB41" s="1063">
        <v>0.8</v>
      </c>
      <c r="AC41" s="1063">
        <v>0.5</v>
      </c>
      <c r="AD41" s="1063">
        <v>0.65</v>
      </c>
      <c r="AE41" s="1063">
        <v>0.65</v>
      </c>
      <c r="AF41" s="1063">
        <v>0.5</v>
      </c>
      <c r="AG41" s="1063">
        <v>0.65</v>
      </c>
      <c r="AH41" s="1063">
        <v>0.65</v>
      </c>
      <c r="AI41" s="1063">
        <v>0.5</v>
      </c>
      <c r="AJ41" s="1063">
        <v>0.65</v>
      </c>
      <c r="AK41" s="1063">
        <v>0.8</v>
      </c>
      <c r="AL41" s="1063">
        <v>0.5</v>
      </c>
      <c r="AM41" s="1063">
        <v>0.67500000000000004</v>
      </c>
      <c r="AN41" s="1063">
        <v>0.65</v>
      </c>
      <c r="AO41" s="1063">
        <v>0.5</v>
      </c>
      <c r="AP41" s="882"/>
      <c r="AR41" s="875" t="s">
        <v>254</v>
      </c>
      <c r="AS41" s="410">
        <f>AS38*AT41</f>
        <v>6916.8766117948444</v>
      </c>
      <c r="AT41" s="1051">
        <v>0.10819148274358495</v>
      </c>
      <c r="AW41" s="875" t="s">
        <v>254</v>
      </c>
      <c r="AX41" s="410">
        <f>AX38*AY41</f>
        <v>6916.8766117948444</v>
      </c>
      <c r="AY41" s="1051">
        <v>0.10819148274358495</v>
      </c>
    </row>
    <row r="42" spans="2:51" x14ac:dyDescent="0.45">
      <c r="B42" s="882"/>
      <c r="C42" s="882" t="s">
        <v>2</v>
      </c>
      <c r="D42" s="882" t="s">
        <v>3</v>
      </c>
      <c r="E42" s="882" t="s">
        <v>4</v>
      </c>
      <c r="F42" s="882" t="s">
        <v>2</v>
      </c>
      <c r="G42" s="882" t="s">
        <v>3</v>
      </c>
      <c r="H42" s="882" t="s">
        <v>4</v>
      </c>
      <c r="I42" s="882" t="s">
        <v>2</v>
      </c>
      <c r="J42" s="882" t="s">
        <v>3</v>
      </c>
      <c r="K42" s="882" t="s">
        <v>4</v>
      </c>
      <c r="L42" s="882" t="s">
        <v>2</v>
      </c>
      <c r="M42" s="882" t="s">
        <v>3</v>
      </c>
      <c r="N42" s="882" t="s">
        <v>4</v>
      </c>
      <c r="O42" s="882" t="s">
        <v>2</v>
      </c>
      <c r="P42" s="882" t="s">
        <v>3</v>
      </c>
      <c r="Q42" s="882" t="s">
        <v>4</v>
      </c>
      <c r="R42" s="882" t="s">
        <v>2</v>
      </c>
      <c r="S42" s="882" t="s">
        <v>3</v>
      </c>
      <c r="T42" s="882" t="s">
        <v>4</v>
      </c>
      <c r="U42" s="882"/>
      <c r="W42" s="882"/>
      <c r="X42" s="882" t="s">
        <v>2</v>
      </c>
      <c r="Y42" s="882" t="s">
        <v>3</v>
      </c>
      <c r="Z42" s="882" t="s">
        <v>4</v>
      </c>
      <c r="AA42" s="882" t="s">
        <v>2</v>
      </c>
      <c r="AB42" s="882" t="s">
        <v>3</v>
      </c>
      <c r="AC42" s="882" t="s">
        <v>4</v>
      </c>
      <c r="AD42" s="882" t="s">
        <v>2</v>
      </c>
      <c r="AE42" s="882" t="s">
        <v>3</v>
      </c>
      <c r="AF42" s="882" t="s">
        <v>4</v>
      </c>
      <c r="AG42" s="882" t="s">
        <v>2</v>
      </c>
      <c r="AH42" s="882" t="s">
        <v>3</v>
      </c>
      <c r="AI42" s="882" t="s">
        <v>4</v>
      </c>
      <c r="AJ42" s="882" t="s">
        <v>2</v>
      </c>
      <c r="AK42" s="882" t="s">
        <v>3</v>
      </c>
      <c r="AL42" s="882" t="s">
        <v>4</v>
      </c>
      <c r="AM42" s="882" t="s">
        <v>2</v>
      </c>
      <c r="AN42" s="882" t="s">
        <v>3</v>
      </c>
      <c r="AO42" s="882" t="s">
        <v>4</v>
      </c>
      <c r="AP42" s="882"/>
    </row>
    <row r="43" spans="2:51" x14ac:dyDescent="0.45">
      <c r="B43" s="882" t="s">
        <v>189</v>
      </c>
      <c r="C43" s="336">
        <f>C22/VLOOKUP(C$40,Table47[#All],2,0)</f>
        <v>102455.15743520233</v>
      </c>
      <c r="D43" s="336">
        <f>D22/VLOOKUP(C$40,Table47[#All],2,0)</f>
        <v>6231.9093229753362</v>
      </c>
      <c r="E43" s="336">
        <f>E22/VLOOKUP(C$40,Table47[#All],2,0)</f>
        <v>34206.361465047688</v>
      </c>
      <c r="F43" s="336">
        <f>F22/VLOOKUP(F$40,Table47[#All],2,0)</f>
        <v>11765</v>
      </c>
      <c r="G43" s="336">
        <f>G22/VLOOKUP(F$40,Table47[#All],2,0)</f>
        <v>11890</v>
      </c>
      <c r="H43" s="336">
        <f>H22/VLOOKUP(F$40,Table47[#All],2,0)</f>
        <v>14600</v>
      </c>
      <c r="I43" s="336">
        <f>I22/VLOOKUP(I$40,Table47[#All],2,0)</f>
        <v>6362.1177019540137</v>
      </c>
      <c r="J43" s="336">
        <f>J22/VLOOKUP(I$40,Table47[#All],2,0)</f>
        <v>2719.3772767566047</v>
      </c>
      <c r="K43" s="336">
        <f>K22/VLOOKUP(I$40,Table47[#All],2,0)</f>
        <v>11885.727270196148</v>
      </c>
      <c r="L43" s="336">
        <f>L22/VLOOKUP(L$40,Table47[#All],2,0)</f>
        <v>6927.6038683511706</v>
      </c>
      <c r="M43" s="336">
        <f>M22/VLOOKUP(L$40,Table47[#All],2,0)</f>
        <v>688.18256422223521</v>
      </c>
      <c r="N43" s="336">
        <f>N22/VLOOKUP(L$40,Table47[#All],2,0)</f>
        <v>8280.3252975862506</v>
      </c>
      <c r="O43" s="336">
        <f>O22/VLOOKUP(O$40,Table47[#All],2,0)</f>
        <v>2510.7360758129785</v>
      </c>
      <c r="P43" s="336">
        <f>P22/VLOOKUP(O$40,Table47[#All],2,0)</f>
        <v>3617.7810919066469</v>
      </c>
      <c r="Q43" s="336">
        <f>Q22/VLOOKUP(O$40,Table47[#All],2,0)</f>
        <v>7263.5759754541632</v>
      </c>
      <c r="R43" s="336">
        <f>R22/VLOOKUP(R$40,Table47[#All],2,0)</f>
        <v>36551.5</v>
      </c>
      <c r="S43" s="336">
        <f>S22/VLOOKUP(R$40,Table47[#All],2,0)</f>
        <v>1022</v>
      </c>
      <c r="T43" s="336">
        <f>T22/VLOOKUP(R$40,Table47[#All],2,0)</f>
        <v>21036.999999999996</v>
      </c>
      <c r="U43" s="740">
        <f>SUM(C43:T43)</f>
        <v>290014.35534546548</v>
      </c>
      <c r="W43" s="882" t="s">
        <v>189</v>
      </c>
      <c r="X43" s="336">
        <f t="shared" ref="X43:X48" si="53">C43</f>
        <v>102455.15743520233</v>
      </c>
      <c r="Y43" s="336">
        <f t="shared" ref="Y43:AO48" si="54">D43</f>
        <v>6231.9093229753362</v>
      </c>
      <c r="Z43" s="336">
        <f t="shared" si="54"/>
        <v>34206.361465047688</v>
      </c>
      <c r="AA43" s="336">
        <f t="shared" si="54"/>
        <v>11765</v>
      </c>
      <c r="AB43" s="336">
        <f t="shared" si="54"/>
        <v>11890</v>
      </c>
      <c r="AC43" s="336">
        <f t="shared" si="54"/>
        <v>14600</v>
      </c>
      <c r="AD43" s="336">
        <f t="shared" si="54"/>
        <v>6362.1177019540137</v>
      </c>
      <c r="AE43" s="336">
        <f t="shared" si="54"/>
        <v>2719.3772767566047</v>
      </c>
      <c r="AF43" s="336">
        <f t="shared" si="54"/>
        <v>11885.727270196148</v>
      </c>
      <c r="AG43" s="336">
        <f t="shared" si="54"/>
        <v>6927.6038683511706</v>
      </c>
      <c r="AH43" s="336">
        <f t="shared" si="54"/>
        <v>688.18256422223521</v>
      </c>
      <c r="AI43" s="336">
        <f t="shared" si="54"/>
        <v>8280.3252975862506</v>
      </c>
      <c r="AJ43" s="336">
        <f t="shared" si="54"/>
        <v>2510.7360758129785</v>
      </c>
      <c r="AK43" s="336">
        <f t="shared" si="54"/>
        <v>3617.7810919066469</v>
      </c>
      <c r="AL43" s="336">
        <f t="shared" si="54"/>
        <v>7263.5759754541632</v>
      </c>
      <c r="AM43" s="336">
        <f t="shared" si="54"/>
        <v>36551.5</v>
      </c>
      <c r="AN43" s="336">
        <f t="shared" si="54"/>
        <v>1022</v>
      </c>
      <c r="AO43" s="336">
        <f t="shared" si="54"/>
        <v>21036.999999999996</v>
      </c>
      <c r="AP43" s="740">
        <f>SUM(X43:AO43)</f>
        <v>290014.35534546548</v>
      </c>
    </row>
    <row r="44" spans="2:51" x14ac:dyDescent="0.45">
      <c r="B44" s="882" t="s">
        <v>190</v>
      </c>
      <c r="C44" s="336">
        <f>C23/VLOOKUP(C$40,Table47[#All],2,0)</f>
        <v>69222.123019043516</v>
      </c>
      <c r="D44" s="336">
        <f>D23/VLOOKUP(C$40,Table47[#All],2,0)</f>
        <v>7052.0084192221129</v>
      </c>
      <c r="E44" s="336">
        <f>E23/VLOOKUP(C$40,Table47[#All],2,0)</f>
        <v>34504.29853810541</v>
      </c>
      <c r="F44" s="336">
        <f>F23/VLOOKUP(F$40,Table47[#All],2,0)</f>
        <v>3199</v>
      </c>
      <c r="G44" s="336">
        <f>G23/VLOOKUP(F$40,Table47[#All],2,0)</f>
        <v>14467</v>
      </c>
      <c r="H44" s="336">
        <f>H23/VLOOKUP(F$40,Table47[#All],2,0)</f>
        <v>14940</v>
      </c>
      <c r="I44" s="336">
        <f>I23/VLOOKUP(I$40,Table47[#All],2,0)</f>
        <v>6113.9293363888755</v>
      </c>
      <c r="J44" s="336">
        <f>J23/VLOOKUP(I$40,Table47[#All],2,0)</f>
        <v>5129.4605353296665</v>
      </c>
      <c r="K44" s="336">
        <f>K23/VLOOKUP(I$40,Table47[#All],2,0)</f>
        <v>20131.224618589236</v>
      </c>
      <c r="L44" s="336">
        <f>L23/VLOOKUP(L$40,Table47[#All],2,0)</f>
        <v>6266.5662830510355</v>
      </c>
      <c r="M44" s="336">
        <f>M23/VLOOKUP(L$40,Table47[#All],2,0)</f>
        <v>523.17972718649457</v>
      </c>
      <c r="N44" s="336">
        <f>N23/VLOOKUP(L$40,Table47[#All],2,0)</f>
        <v>10644.695218525218</v>
      </c>
      <c r="O44" s="336">
        <f>O23/VLOOKUP(O$40,Table47[#All],2,0)</f>
        <v>725.35710498681397</v>
      </c>
      <c r="P44" s="336">
        <f>P23/VLOOKUP(O$40,Table47[#All],2,0)</f>
        <v>3417.6825801861464</v>
      </c>
      <c r="Q44" s="336">
        <f>Q23/VLOOKUP(O$40,Table47[#All],2,0)</f>
        <v>3722.8328105599094</v>
      </c>
      <c r="R44" s="336">
        <f>R23/VLOOKUP(R$40,Table47[#All],2,0)</f>
        <v>16354.559999999998</v>
      </c>
      <c r="S44" s="336">
        <f>S23/VLOOKUP(R$40,Table47[#All],2,0)</f>
        <v>1060</v>
      </c>
      <c r="T44" s="336">
        <f>T23/VLOOKUP(R$40,Table47[#All],2,0)</f>
        <v>22055</v>
      </c>
      <c r="U44" s="740">
        <f t="shared" ref="U44:U54" si="55">SUM(C44:T44)</f>
        <v>239528.91819117448</v>
      </c>
      <c r="W44" s="882" t="s">
        <v>190</v>
      </c>
      <c r="X44" s="336">
        <f t="shared" si="53"/>
        <v>69222.123019043516</v>
      </c>
      <c r="Y44" s="336">
        <f t="shared" si="54"/>
        <v>7052.0084192221129</v>
      </c>
      <c r="Z44" s="336">
        <f t="shared" si="54"/>
        <v>34504.29853810541</v>
      </c>
      <c r="AA44" s="336">
        <f t="shared" si="54"/>
        <v>3199</v>
      </c>
      <c r="AB44" s="336">
        <f t="shared" si="54"/>
        <v>14467</v>
      </c>
      <c r="AC44" s="336">
        <f t="shared" si="54"/>
        <v>14940</v>
      </c>
      <c r="AD44" s="336">
        <f t="shared" si="54"/>
        <v>6113.9293363888755</v>
      </c>
      <c r="AE44" s="336">
        <f t="shared" si="54"/>
        <v>5129.4605353296665</v>
      </c>
      <c r="AF44" s="336">
        <f t="shared" si="54"/>
        <v>20131.224618589236</v>
      </c>
      <c r="AG44" s="336">
        <f t="shared" si="54"/>
        <v>6266.5662830510355</v>
      </c>
      <c r="AH44" s="336">
        <f t="shared" si="54"/>
        <v>523.17972718649457</v>
      </c>
      <c r="AI44" s="336">
        <f t="shared" si="54"/>
        <v>10644.695218525218</v>
      </c>
      <c r="AJ44" s="336">
        <f t="shared" si="54"/>
        <v>725.35710498681397</v>
      </c>
      <c r="AK44" s="336">
        <f t="shared" si="54"/>
        <v>3417.6825801861464</v>
      </c>
      <c r="AL44" s="336">
        <f t="shared" si="54"/>
        <v>3722.8328105599094</v>
      </c>
      <c r="AM44" s="336">
        <f t="shared" si="54"/>
        <v>16354.559999999998</v>
      </c>
      <c r="AN44" s="336">
        <f t="shared" si="54"/>
        <v>1060</v>
      </c>
      <c r="AO44" s="336">
        <f t="shared" si="54"/>
        <v>22055</v>
      </c>
      <c r="AP44" s="740">
        <f t="shared" ref="AP44:AP58" si="56">SUM(X44:AO44)</f>
        <v>239528.91819117448</v>
      </c>
      <c r="AR44" t="s">
        <v>187</v>
      </c>
      <c r="AS44" s="410">
        <f>SUM(U46:U48)</f>
        <v>780641.44350375794</v>
      </c>
      <c r="AT44" s="1017">
        <f>AS44/$U$57</f>
        <v>0.22941085460503752</v>
      </c>
      <c r="AW44" t="s">
        <v>187</v>
      </c>
      <c r="AX44" s="410">
        <f>SUM(AP46:AP48)</f>
        <v>780641.44350375794</v>
      </c>
      <c r="AY44" s="1017">
        <f>AX44/$AP$57</f>
        <v>0.28556648113598104</v>
      </c>
    </row>
    <row r="45" spans="2:51" x14ac:dyDescent="0.45">
      <c r="B45" s="882" t="s">
        <v>191</v>
      </c>
      <c r="C45" s="866">
        <f>C24/VLOOKUP(C$40,Table47[#All],2,0)</f>
        <v>81294.004107675879</v>
      </c>
      <c r="D45" s="866">
        <f>D24/VLOOKUP(C$40,Table47[#All],2,0)</f>
        <v>5928.9931470808915</v>
      </c>
      <c r="E45" s="866">
        <f>E24/VLOOKUP(C$40,Table47[#All],2,0)</f>
        <v>59587.110006712537</v>
      </c>
      <c r="F45" s="866">
        <f>F24/VLOOKUP(F$40,Table47[#All],2,0)</f>
        <v>2975.3919674031135</v>
      </c>
      <c r="G45" s="866">
        <f>G24/VLOOKUP(F$40,Table47[#All],2,0)</f>
        <v>13127.143127809464</v>
      </c>
      <c r="H45" s="866">
        <f>H24/VLOOKUP(F$40,Table47[#All],2,0)</f>
        <v>17605.186652005417</v>
      </c>
      <c r="I45" s="866">
        <f>I24/VLOOKUP(I$40,Table47[#All],2,0)</f>
        <v>5789.0291368722437</v>
      </c>
      <c r="J45" s="866">
        <f>J24/VLOOKUP(I$40,Table47[#All],2,0)</f>
        <v>5160.2621841359914</v>
      </c>
      <c r="K45" s="866">
        <f>K24/VLOOKUP(I$40,Table47[#All],2,0)</f>
        <v>18828.597707499095</v>
      </c>
      <c r="L45" s="866">
        <f>L24/VLOOKUP(L$40,Table47[#All],2,0)</f>
        <v>3275.2225198051269</v>
      </c>
      <c r="M45" s="866">
        <f>M24/VLOOKUP(L$40,Table47[#All],2,0)</f>
        <v>652.41066023867279</v>
      </c>
      <c r="N45" s="866">
        <f>N24/VLOOKUP(L$40,Table47[#All],2,0)</f>
        <v>15730.30965198515</v>
      </c>
      <c r="O45" s="866">
        <f>O24/VLOOKUP(O$40,Table47[#All],2,0)</f>
        <v>917.18273596180052</v>
      </c>
      <c r="P45" s="866">
        <f>P24/VLOOKUP(O$40,Table47[#All],2,0)</f>
        <v>3668.5588773743243</v>
      </c>
      <c r="Q45" s="866">
        <f>Q24/VLOOKUP(O$40,Table47[#All],2,0)</f>
        <v>8876.6746996095735</v>
      </c>
      <c r="R45" s="866">
        <f>R24/VLOOKUP(R$40,Table47[#All],2,0)</f>
        <v>28601.858466923404</v>
      </c>
      <c r="S45" s="866">
        <f>S24/VLOOKUP(R$40,Table47[#All],2,0)</f>
        <v>1287.6818528579522</v>
      </c>
      <c r="T45" s="866">
        <f>T24/VLOOKUP(R$40,Table47[#All],2,0)</f>
        <v>28264.554059883365</v>
      </c>
      <c r="U45" s="866">
        <f t="shared" si="55"/>
        <v>301570.17156183399</v>
      </c>
      <c r="W45" s="882" t="s">
        <v>191</v>
      </c>
      <c r="X45" s="866">
        <f t="shared" si="53"/>
        <v>81294.004107675879</v>
      </c>
      <c r="Y45" s="866">
        <f t="shared" si="54"/>
        <v>5928.9931470808915</v>
      </c>
      <c r="Z45" s="866">
        <f t="shared" si="54"/>
        <v>59587.110006712537</v>
      </c>
      <c r="AA45" s="866">
        <f t="shared" si="54"/>
        <v>2975.3919674031135</v>
      </c>
      <c r="AB45" s="866">
        <f t="shared" si="54"/>
        <v>13127.143127809464</v>
      </c>
      <c r="AC45" s="866">
        <f t="shared" si="54"/>
        <v>17605.186652005417</v>
      </c>
      <c r="AD45" s="866">
        <f t="shared" si="54"/>
        <v>5789.0291368722437</v>
      </c>
      <c r="AE45" s="866">
        <f t="shared" si="54"/>
        <v>5160.2621841359914</v>
      </c>
      <c r="AF45" s="866">
        <f t="shared" si="54"/>
        <v>18828.597707499095</v>
      </c>
      <c r="AG45" s="866">
        <f t="shared" si="54"/>
        <v>3275.2225198051269</v>
      </c>
      <c r="AH45" s="866">
        <f t="shared" si="54"/>
        <v>652.41066023867279</v>
      </c>
      <c r="AI45" s="866">
        <f t="shared" si="54"/>
        <v>15730.30965198515</v>
      </c>
      <c r="AJ45" s="866">
        <f t="shared" si="54"/>
        <v>917.18273596180052</v>
      </c>
      <c r="AK45" s="866">
        <f t="shared" si="54"/>
        <v>3668.5588773743243</v>
      </c>
      <c r="AL45" s="866">
        <f t="shared" si="54"/>
        <v>8876.6746996095735</v>
      </c>
      <c r="AM45" s="866">
        <f t="shared" si="54"/>
        <v>28601.858466923404</v>
      </c>
      <c r="AN45" s="866">
        <f t="shared" si="54"/>
        <v>1287.6818528579522</v>
      </c>
      <c r="AO45" s="866">
        <f t="shared" si="54"/>
        <v>28264.554059883365</v>
      </c>
      <c r="AP45" s="866">
        <f t="shared" si="56"/>
        <v>301570.17156183399</v>
      </c>
      <c r="AR45" s="329" t="s">
        <v>252</v>
      </c>
      <c r="AS45" s="1050">
        <f>AS44/13</f>
        <v>60049.341807981378</v>
      </c>
      <c r="AT45" s="1017"/>
      <c r="AW45" s="329" t="s">
        <v>252</v>
      </c>
      <c r="AX45" s="1050">
        <f>AX44/13</f>
        <v>60049.341807981378</v>
      </c>
      <c r="AY45" s="1017"/>
    </row>
    <row r="46" spans="2:51" x14ac:dyDescent="0.45">
      <c r="B46" s="882" t="s">
        <v>192</v>
      </c>
      <c r="C46" s="336">
        <f>C25/VLOOKUP(C$40,Table47[#All],2,0)</f>
        <v>93812.162561501827</v>
      </c>
      <c r="D46" s="336">
        <f>D25/VLOOKUP(C$40,Table47[#All],2,0)</f>
        <v>5780.0900425315313</v>
      </c>
      <c r="E46" s="336">
        <f>E25/VLOOKUP(C$40,Table47[#All],2,0)</f>
        <v>30313.196181306703</v>
      </c>
      <c r="F46" s="336">
        <f>F25/VLOOKUP(F$40,Table47[#All],2,0)</f>
        <v>7134.0934828994305</v>
      </c>
      <c r="G46" s="336">
        <f>G25/VLOOKUP(F$40,Table47[#All],2,0)</f>
        <v>18023.884068412674</v>
      </c>
      <c r="H46" s="336">
        <f>H25/VLOOKUP(F$40,Table47[#All],2,0)</f>
        <v>13524.020358190912</v>
      </c>
      <c r="I46" s="336">
        <f>I25/VLOOKUP(I$40,Table47[#All],2,0)</f>
        <v>5153.8991921581901</v>
      </c>
      <c r="J46" s="336">
        <f>J25/VLOOKUP(I$40,Table47[#All],2,0)</f>
        <v>5036.8822035028779</v>
      </c>
      <c r="K46" s="336">
        <f>K25/VLOOKUP(I$40,Table47[#All],2,0)</f>
        <v>14746.710528584361</v>
      </c>
      <c r="L46" s="336">
        <f>L25/VLOOKUP(L$40,Table47[#All],2,0)</f>
        <v>5136.5040357936205</v>
      </c>
      <c r="M46" s="336">
        <f>M25/VLOOKUP(L$40,Table47[#All],2,0)</f>
        <v>587.92032324294496</v>
      </c>
      <c r="N46" s="336">
        <f>N25/VLOOKUP(L$40,Table47[#All],2,0)</f>
        <v>10738.394198362988</v>
      </c>
      <c r="O46" s="336">
        <f>O25/VLOOKUP(O$40,Table47[#All],2,0)</f>
        <v>1388.7323224734987</v>
      </c>
      <c r="P46" s="336">
        <f>P25/VLOOKUP(O$40,Table47[#All],2,0)</f>
        <v>4002.8918553770527</v>
      </c>
      <c r="Q46" s="336">
        <f>Q25/VLOOKUP(O$40,Table47[#All],2,0)</f>
        <v>6256.9626500618488</v>
      </c>
      <c r="R46" s="336">
        <f>R25/VLOOKUP(R$40,Table47[#All],2,0)</f>
        <v>23874.143568464035</v>
      </c>
      <c r="S46" s="336">
        <f>S25/VLOOKUP(R$40,Table47[#All],2,0)</f>
        <v>1603.8345865163315</v>
      </c>
      <c r="T46" s="336">
        <f>T25/VLOOKUP(R$40,Table47[#All],2,0)</f>
        <v>11966.571757571408</v>
      </c>
      <c r="U46" s="740">
        <f t="shared" si="55"/>
        <v>259080.89391695225</v>
      </c>
      <c r="W46" s="882" t="s">
        <v>192</v>
      </c>
      <c r="X46" s="336">
        <f t="shared" si="53"/>
        <v>93812.162561501827</v>
      </c>
      <c r="Y46" s="336">
        <f t="shared" si="54"/>
        <v>5780.0900425315313</v>
      </c>
      <c r="Z46" s="336">
        <f t="shared" si="54"/>
        <v>30313.196181306703</v>
      </c>
      <c r="AA46" s="336">
        <f t="shared" si="54"/>
        <v>7134.0934828994305</v>
      </c>
      <c r="AB46" s="336">
        <f t="shared" si="54"/>
        <v>18023.884068412674</v>
      </c>
      <c r="AC46" s="336">
        <f t="shared" si="54"/>
        <v>13524.020358190912</v>
      </c>
      <c r="AD46" s="336">
        <f t="shared" si="54"/>
        <v>5153.8991921581901</v>
      </c>
      <c r="AE46" s="336">
        <f t="shared" si="54"/>
        <v>5036.8822035028779</v>
      </c>
      <c r="AF46" s="336">
        <f t="shared" si="54"/>
        <v>14746.710528584361</v>
      </c>
      <c r="AG46" s="336">
        <f t="shared" si="54"/>
        <v>5136.5040357936205</v>
      </c>
      <c r="AH46" s="336">
        <f t="shared" si="54"/>
        <v>587.92032324294496</v>
      </c>
      <c r="AI46" s="336">
        <f t="shared" si="54"/>
        <v>10738.394198362988</v>
      </c>
      <c r="AJ46" s="336">
        <f t="shared" si="54"/>
        <v>1388.7323224734987</v>
      </c>
      <c r="AK46" s="336">
        <f t="shared" si="54"/>
        <v>4002.8918553770527</v>
      </c>
      <c r="AL46" s="336">
        <f t="shared" si="54"/>
        <v>6256.9626500618488</v>
      </c>
      <c r="AM46" s="336">
        <f t="shared" si="54"/>
        <v>23874.143568464035</v>
      </c>
      <c r="AN46" s="336">
        <f t="shared" si="54"/>
        <v>1603.8345865163315</v>
      </c>
      <c r="AO46" s="336">
        <f t="shared" si="54"/>
        <v>11966.571757571408</v>
      </c>
      <c r="AP46" s="740">
        <f t="shared" si="56"/>
        <v>259080.89391695225</v>
      </c>
      <c r="AR46" s="875" t="s">
        <v>253</v>
      </c>
      <c r="AS46" s="410">
        <f>AS45*AT46</f>
        <v>30058.028960520765</v>
      </c>
      <c r="AT46" s="1051">
        <v>0.50055551077706639</v>
      </c>
      <c r="AW46" s="875" t="s">
        <v>253</v>
      </c>
      <c r="AX46" s="410">
        <f>AX45*AY46</f>
        <v>30058.028960520765</v>
      </c>
      <c r="AY46" s="1051">
        <v>0.50055551077706639</v>
      </c>
    </row>
    <row r="47" spans="2:51" x14ac:dyDescent="0.45">
      <c r="B47" s="882" t="s">
        <v>193</v>
      </c>
      <c r="C47" s="336">
        <f>C26/VLOOKUP(C$40,Table47[#All],2,0)</f>
        <v>93563.948223550207</v>
      </c>
      <c r="D47" s="336">
        <f>D26/VLOOKUP(C$40,Table47[#All],2,0)</f>
        <v>5660.994780666183</v>
      </c>
      <c r="E47" s="336">
        <f>E26/VLOOKUP(C$40,Table47[#All],2,0)</f>
        <v>38811.471604177437</v>
      </c>
      <c r="F47" s="336">
        <f>F26/VLOOKUP(F$40,Table47[#All],2,0)</f>
        <v>6702.4517223879611</v>
      </c>
      <c r="G47" s="336">
        <f>G26/VLOOKUP(F$40,Table47[#All],2,0)</f>
        <v>12830.279154917964</v>
      </c>
      <c r="H47" s="336">
        <f>H26/VLOOKUP(F$40,Table47[#All],2,0)</f>
        <v>14377.812088520814</v>
      </c>
      <c r="I47" s="336">
        <f>I26/VLOOKUP(I$40,Table47[#All],2,0)</f>
        <v>3948.0648825218173</v>
      </c>
      <c r="J47" s="336">
        <f>J26/VLOOKUP(I$40,Table47[#All],2,0)</f>
        <v>3309.8861178182319</v>
      </c>
      <c r="K47" s="336">
        <f>K26/VLOOKUP(I$40,Table47[#All],2,0)</f>
        <v>10926.491980519098</v>
      </c>
      <c r="L47" s="336">
        <f>L26/VLOOKUP(L$40,Table47[#All],2,0)</f>
        <v>3130.3390707671683</v>
      </c>
      <c r="M47" s="336">
        <f>M26/VLOOKUP(L$40,Table47[#All],2,0)</f>
        <v>765.47226086231626</v>
      </c>
      <c r="N47" s="336">
        <f>N26/VLOOKUP(L$40,Table47[#All],2,0)</f>
        <v>8553.3558732669244</v>
      </c>
      <c r="O47" s="336">
        <f>O26/VLOOKUP(O$40,Table47[#All],2,0)</f>
        <v>1322.614362677527</v>
      </c>
      <c r="P47" s="336">
        <f>P26/VLOOKUP(O$40,Table47[#All],2,0)</f>
        <v>4883.9504085389008</v>
      </c>
      <c r="Q47" s="336">
        <f>Q26/VLOOKUP(O$40,Table47[#All],2,0)</f>
        <v>6882.6589150680347</v>
      </c>
      <c r="R47" s="336">
        <f>R26/VLOOKUP(R$40,Table47[#All],2,0)</f>
        <v>17188.322615273184</v>
      </c>
      <c r="S47" s="336">
        <f>S26/VLOOKUP(R$40,Table47[#All],2,0)</f>
        <v>1712.5229575485046</v>
      </c>
      <c r="T47" s="336">
        <f>T26/VLOOKUP(R$40,Table47[#All],2,0)</f>
        <v>21970.845931821463</v>
      </c>
      <c r="U47" s="740">
        <f t="shared" si="55"/>
        <v>256541.48295090371</v>
      </c>
      <c r="W47" s="882" t="s">
        <v>193</v>
      </c>
      <c r="X47" s="336">
        <f t="shared" si="53"/>
        <v>93563.948223550207</v>
      </c>
      <c r="Y47" s="336">
        <f t="shared" si="54"/>
        <v>5660.994780666183</v>
      </c>
      <c r="Z47" s="336">
        <f t="shared" si="54"/>
        <v>38811.471604177437</v>
      </c>
      <c r="AA47" s="336">
        <f t="shared" si="54"/>
        <v>6702.4517223879611</v>
      </c>
      <c r="AB47" s="336">
        <f t="shared" si="54"/>
        <v>12830.279154917964</v>
      </c>
      <c r="AC47" s="336">
        <f t="shared" si="54"/>
        <v>14377.812088520814</v>
      </c>
      <c r="AD47" s="336">
        <f t="shared" si="54"/>
        <v>3948.0648825218173</v>
      </c>
      <c r="AE47" s="336">
        <f t="shared" si="54"/>
        <v>3309.8861178182319</v>
      </c>
      <c r="AF47" s="336">
        <f t="shared" si="54"/>
        <v>10926.491980519098</v>
      </c>
      <c r="AG47" s="336">
        <f t="shared" si="54"/>
        <v>3130.3390707671683</v>
      </c>
      <c r="AH47" s="336">
        <f t="shared" si="54"/>
        <v>765.47226086231626</v>
      </c>
      <c r="AI47" s="336">
        <f t="shared" si="54"/>
        <v>8553.3558732669244</v>
      </c>
      <c r="AJ47" s="336">
        <f t="shared" si="54"/>
        <v>1322.614362677527</v>
      </c>
      <c r="AK47" s="336">
        <f t="shared" si="54"/>
        <v>4883.9504085389008</v>
      </c>
      <c r="AL47" s="336">
        <f t="shared" si="54"/>
        <v>6882.6589150680347</v>
      </c>
      <c r="AM47" s="336">
        <f t="shared" si="54"/>
        <v>17188.322615273184</v>
      </c>
      <c r="AN47" s="336">
        <f t="shared" si="54"/>
        <v>1712.5229575485046</v>
      </c>
      <c r="AO47" s="336">
        <f t="shared" si="54"/>
        <v>21970.845931821463</v>
      </c>
      <c r="AP47" s="740">
        <f t="shared" si="56"/>
        <v>256541.48295090371</v>
      </c>
      <c r="AR47" s="875" t="s">
        <v>233</v>
      </c>
      <c r="AS47" s="410">
        <f>AS45*AT47</f>
        <v>22806.380873155944</v>
      </c>
      <c r="AT47" s="1051">
        <v>0.37979401915983474</v>
      </c>
      <c r="AW47" s="875" t="s">
        <v>233</v>
      </c>
      <c r="AX47" s="410">
        <f>AX45*AY47</f>
        <v>22806.380873155944</v>
      </c>
      <c r="AY47" s="1051">
        <v>0.37979401915983474</v>
      </c>
    </row>
    <row r="48" spans="2:51" x14ac:dyDescent="0.45">
      <c r="B48" s="882" t="s">
        <v>194</v>
      </c>
      <c r="C48" s="866">
        <f>C27/VLOOKUP(C$40,Table47[#All],2,0)</f>
        <v>74622.339845579729</v>
      </c>
      <c r="D48" s="866">
        <f>D27/VLOOKUP(C$40,Table47[#All],2,0)</f>
        <v>5681.1293446054578</v>
      </c>
      <c r="E48" s="866">
        <f>E27/VLOOKUP(C$40,Table47[#All],2,0)</f>
        <v>38291.474074580721</v>
      </c>
      <c r="F48" s="866">
        <f>F27/VLOOKUP(F$40,Table47[#All],2,0)</f>
        <v>10699.071606220659</v>
      </c>
      <c r="G48" s="866">
        <f>G27/VLOOKUP(F$40,Table47[#All],2,0)</f>
        <v>14537.526877911107</v>
      </c>
      <c r="H48" s="866">
        <f>H27/VLOOKUP(F$40,Table47[#All],2,0)</f>
        <v>20231.563131595252</v>
      </c>
      <c r="I48" s="866">
        <f>I27/VLOOKUP(I$40,Table47[#All],2,0)</f>
        <v>7790.8291943719596</v>
      </c>
      <c r="J48" s="866">
        <f>J27/VLOOKUP(I$40,Table47[#All],2,0)</f>
        <v>4126.6009157873414</v>
      </c>
      <c r="K48" s="866">
        <f>K27/VLOOKUP(I$40,Table47[#All],2,0)</f>
        <v>15261.423368368947</v>
      </c>
      <c r="L48" s="866">
        <f>L27/VLOOKUP(L$40,Table47[#All],2,0)</f>
        <v>6023.2446947683256</v>
      </c>
      <c r="M48" s="866">
        <f>M27/VLOOKUP(L$40,Table47[#All],2,0)</f>
        <v>1032.4106999347359</v>
      </c>
      <c r="N48" s="866">
        <f>N27/VLOOKUP(L$40,Table47[#All],2,0)</f>
        <v>9910.0950807506451</v>
      </c>
      <c r="O48" s="866">
        <f>O27/VLOOKUP(O$40,Table47[#All],2,0)</f>
        <v>1709.6391100217386</v>
      </c>
      <c r="P48" s="866">
        <f>P27/VLOOKUP(O$40,Table47[#All],2,0)</f>
        <v>5137.3573958664083</v>
      </c>
      <c r="Q48" s="866">
        <f>Q27/VLOOKUP(O$40,Table47[#All],2,0)</f>
        <v>8682.3177972920748</v>
      </c>
      <c r="R48" s="866">
        <f>R27/VLOOKUP(R$40,Table47[#All],2,0)</f>
        <v>18326.699278891112</v>
      </c>
      <c r="S48" s="866">
        <f>S27/VLOOKUP(R$40,Table47[#All],2,0)</f>
        <v>2011.4014861041712</v>
      </c>
      <c r="T48" s="866">
        <f>T27/VLOOKUP(R$40,Table47[#All],2,0)</f>
        <v>20943.942733251512</v>
      </c>
      <c r="U48" s="866">
        <f t="shared" si="55"/>
        <v>265019.06663590192</v>
      </c>
      <c r="W48" s="882" t="s">
        <v>194</v>
      </c>
      <c r="X48" s="866">
        <f t="shared" si="53"/>
        <v>74622.339845579729</v>
      </c>
      <c r="Y48" s="866">
        <f t="shared" si="54"/>
        <v>5681.1293446054578</v>
      </c>
      <c r="Z48" s="866">
        <f t="shared" si="54"/>
        <v>38291.474074580721</v>
      </c>
      <c r="AA48" s="866">
        <f t="shared" si="54"/>
        <v>10699.071606220659</v>
      </c>
      <c r="AB48" s="866">
        <f t="shared" si="54"/>
        <v>14537.526877911107</v>
      </c>
      <c r="AC48" s="866">
        <f t="shared" si="54"/>
        <v>20231.563131595252</v>
      </c>
      <c r="AD48" s="866">
        <f t="shared" si="54"/>
        <v>7790.8291943719596</v>
      </c>
      <c r="AE48" s="866">
        <f t="shared" si="54"/>
        <v>4126.6009157873414</v>
      </c>
      <c r="AF48" s="866">
        <f t="shared" si="54"/>
        <v>15261.423368368947</v>
      </c>
      <c r="AG48" s="866">
        <f t="shared" si="54"/>
        <v>6023.2446947683256</v>
      </c>
      <c r="AH48" s="866">
        <f t="shared" si="54"/>
        <v>1032.4106999347359</v>
      </c>
      <c r="AI48" s="866">
        <f t="shared" si="54"/>
        <v>9910.0950807506451</v>
      </c>
      <c r="AJ48" s="866">
        <f t="shared" si="54"/>
        <v>1709.6391100217386</v>
      </c>
      <c r="AK48" s="866">
        <f t="shared" si="54"/>
        <v>5137.3573958664083</v>
      </c>
      <c r="AL48" s="866">
        <f t="shared" si="54"/>
        <v>8682.3177972920748</v>
      </c>
      <c r="AM48" s="866">
        <f t="shared" si="54"/>
        <v>18326.699278891112</v>
      </c>
      <c r="AN48" s="866">
        <f t="shared" si="54"/>
        <v>2011.4014861041712</v>
      </c>
      <c r="AO48" s="866">
        <f t="shared" si="54"/>
        <v>20943.942733251512</v>
      </c>
      <c r="AP48" s="866">
        <f t="shared" si="56"/>
        <v>265019.06663590192</v>
      </c>
      <c r="AR48" s="875" t="s">
        <v>254</v>
      </c>
      <c r="AS48" s="410">
        <f>AS45*AT48</f>
        <v>6496.8273279818513</v>
      </c>
      <c r="AT48" s="1051">
        <v>0.10819148274358495</v>
      </c>
      <c r="AW48" s="875" t="s">
        <v>254</v>
      </c>
      <c r="AX48" s="410">
        <f>AX45*AY48</f>
        <v>6496.8273279818513</v>
      </c>
      <c r="AY48" s="1051">
        <v>0.10819148274358495</v>
      </c>
    </row>
    <row r="49" spans="2:51" x14ac:dyDescent="0.45">
      <c r="B49" s="882" t="s">
        <v>195</v>
      </c>
      <c r="C49" s="336">
        <f>C28/VLOOKUP(C$40,Table47[#All],2,0)</f>
        <v>51251.531392100274</v>
      </c>
      <c r="D49" s="336">
        <f>D28/VLOOKUP(C$40,Table47[#All],2,0)</f>
        <v>7529.089031068348</v>
      </c>
      <c r="E49" s="336">
        <f>E28/VLOOKUP(C$40,Table47[#All],2,0)</f>
        <v>53937.208487843069</v>
      </c>
      <c r="F49" s="336">
        <f>F28/VLOOKUP(F$40,Table47[#All],2,0)</f>
        <v>9064.2597579068824</v>
      </c>
      <c r="G49" s="336">
        <f>G28/VLOOKUP(F$40,Table47[#All],2,0)</f>
        <v>12404.67315296637</v>
      </c>
      <c r="H49" s="336">
        <f>H28/VLOOKUP(F$40,Table47[#All],2,0)</f>
        <v>13875.801234560038</v>
      </c>
      <c r="I49" s="336">
        <f>I28/VLOOKUP(I$40,Table47[#All],2,0)</f>
        <v>5844.9029090653958</v>
      </c>
      <c r="J49" s="336">
        <f>J28/VLOOKUP(I$40,Table47[#All],2,0)</f>
        <v>3918.1821290164107</v>
      </c>
      <c r="K49" s="336">
        <f>K28/VLOOKUP(I$40,Table47[#All],2,0)</f>
        <v>11492.634400114301</v>
      </c>
      <c r="L49" s="336">
        <f>L28/VLOOKUP(L$40,Table47[#All],2,0)</f>
        <v>5317.3797141066043</v>
      </c>
      <c r="M49" s="336">
        <f>M28/VLOOKUP(L$40,Table47[#All],2,0)</f>
        <v>765.47226086231626</v>
      </c>
      <c r="N49" s="336">
        <f>N28/VLOOKUP(L$40,Table47[#All],2,0)</f>
        <v>7501.8996992235834</v>
      </c>
      <c r="O49" s="336">
        <f>O28/VLOOKUP(O$40,Table47[#All],2,0)</f>
        <v>1326.8453110450025</v>
      </c>
      <c r="P49" s="336">
        <f>P28/VLOOKUP(O$40,Table47[#All],2,0)</f>
        <v>4971.3523555569545</v>
      </c>
      <c r="Q49" s="336">
        <f>Q28/VLOOKUP(O$40,Table47[#All],2,0)</f>
        <v>6334.0015026907022</v>
      </c>
      <c r="R49" s="336">
        <f>R28/VLOOKUP(R$40,Table47[#All],2,0)</f>
        <v>22248.20883414409</v>
      </c>
      <c r="S49" s="336">
        <f>S28/VLOOKUP(R$40,Table47[#All],2,0)</f>
        <v>1457.873350111528</v>
      </c>
      <c r="T49" s="336">
        <f>T28/VLOOKUP(R$40,Table47[#All],2,0)</f>
        <v>21971.221633331559</v>
      </c>
      <c r="U49" s="740">
        <f t="shared" si="55"/>
        <v>241212.53715571342</v>
      </c>
      <c r="W49" s="882" t="s">
        <v>195</v>
      </c>
      <c r="X49" s="336">
        <f t="shared" ref="X49:AG54" si="57">C49*X$41</f>
        <v>35876.071974470193</v>
      </c>
      <c r="Y49" s="336">
        <f t="shared" si="57"/>
        <v>5270.3623217478435</v>
      </c>
      <c r="Z49" s="336">
        <f t="shared" si="57"/>
        <v>32362.32509270584</v>
      </c>
      <c r="AA49" s="336">
        <f t="shared" si="57"/>
        <v>5891.7688426394734</v>
      </c>
      <c r="AB49" s="336">
        <f t="shared" si="57"/>
        <v>9923.7385223730962</v>
      </c>
      <c r="AC49" s="336">
        <f t="shared" si="57"/>
        <v>6937.9006172800191</v>
      </c>
      <c r="AD49" s="336">
        <f t="shared" si="57"/>
        <v>3799.1868908925076</v>
      </c>
      <c r="AE49" s="336">
        <f t="shared" si="57"/>
        <v>2546.8183838606669</v>
      </c>
      <c r="AF49" s="336">
        <f t="shared" si="57"/>
        <v>5746.3172000571503</v>
      </c>
      <c r="AG49" s="336">
        <f t="shared" si="57"/>
        <v>3456.2968141692927</v>
      </c>
      <c r="AH49" s="336">
        <f t="shared" ref="AH49:AO54" si="58">M49*AH$41</f>
        <v>497.55696956050559</v>
      </c>
      <c r="AI49" s="336">
        <f t="shared" si="58"/>
        <v>3750.9498496117917</v>
      </c>
      <c r="AJ49" s="336">
        <f t="shared" si="58"/>
        <v>862.44945217925169</v>
      </c>
      <c r="AK49" s="336">
        <f t="shared" si="58"/>
        <v>3977.0818844455639</v>
      </c>
      <c r="AL49" s="336">
        <f t="shared" si="58"/>
        <v>3167.0007513453511</v>
      </c>
      <c r="AM49" s="336">
        <f t="shared" si="58"/>
        <v>15017.540963047262</v>
      </c>
      <c r="AN49" s="336">
        <f t="shared" si="58"/>
        <v>947.61767757249322</v>
      </c>
      <c r="AO49" s="336">
        <f t="shared" si="58"/>
        <v>10985.61081666578</v>
      </c>
      <c r="AP49" s="740">
        <f t="shared" si="56"/>
        <v>151016.59502462408</v>
      </c>
    </row>
    <row r="50" spans="2:51" x14ac:dyDescent="0.45">
      <c r="B50" s="882" t="s">
        <v>196</v>
      </c>
      <c r="C50" s="336">
        <f>C29/VLOOKUP(C$40,Table47[#All],2,0)</f>
        <v>59600.029275653083</v>
      </c>
      <c r="D50" s="336">
        <f>D29/VLOOKUP(C$40,Table47[#All],2,0)</f>
        <v>7686.7711577780683</v>
      </c>
      <c r="E50" s="336">
        <f>E29/VLOOKUP(C$40,Table47[#All],2,0)</f>
        <v>46896.8144118501</v>
      </c>
      <c r="F50" s="336">
        <f>F29/VLOOKUP(F$40,Table47[#All],2,0)</f>
        <v>9341.3719067505481</v>
      </c>
      <c r="G50" s="336">
        <f>G29/VLOOKUP(F$40,Table47[#All],2,0)</f>
        <v>16379.015320656694</v>
      </c>
      <c r="H50" s="336">
        <f>H29/VLOOKUP(F$40,Table47[#All],2,0)</f>
        <v>15752.601068444306</v>
      </c>
      <c r="I50" s="336">
        <f>I29/VLOOKUP(I$40,Table47[#All],2,0)</f>
        <v>7425.0591103361385</v>
      </c>
      <c r="J50" s="336">
        <f>J29/VLOOKUP(I$40,Table47[#All],2,0)</f>
        <v>4268.5442402566759</v>
      </c>
      <c r="K50" s="336">
        <f>K29/VLOOKUP(I$40,Table47[#All],2,0)</f>
        <v>12526.897763155797</v>
      </c>
      <c r="L50" s="336">
        <f>L29/VLOOKUP(L$40,Table47[#All],2,0)</f>
        <v>2713.552150793932</v>
      </c>
      <c r="M50" s="336">
        <f>M29/VLOOKUP(L$40,Table47[#All],2,0)</f>
        <v>706.63500389777039</v>
      </c>
      <c r="N50" s="336">
        <f>N29/VLOOKUP(L$40,Table47[#All],2,0)</f>
        <v>5898.8661194944325</v>
      </c>
      <c r="O50" s="336">
        <f>O29/VLOOKUP(O$40,Table47[#All],2,0)</f>
        <v>1304.6290754940712</v>
      </c>
      <c r="P50" s="336">
        <f>P29/VLOOKUP(O$40,Table47[#All],2,0)</f>
        <v>4760.1798661173671</v>
      </c>
      <c r="Q50" s="336">
        <f>Q29/VLOOKUP(O$40,Table47[#All],2,0)</f>
        <v>7078.1889978824665</v>
      </c>
      <c r="R50" s="336">
        <f>R29/VLOOKUP(R$40,Table47[#All],2,0)</f>
        <v>23659.594517532809</v>
      </c>
      <c r="S50" s="336">
        <f>S29/VLOOKUP(R$40,Table47[#All],2,0)</f>
        <v>1562.2141863024126</v>
      </c>
      <c r="T50" s="336">
        <f>T29/VLOOKUP(R$40,Table47[#All],2,0)</f>
        <v>25378.900756057566</v>
      </c>
      <c r="U50" s="740">
        <f t="shared" si="55"/>
        <v>252939.86492845428</v>
      </c>
      <c r="W50" s="882" t="s">
        <v>196</v>
      </c>
      <c r="X50" s="336">
        <f t="shared" si="57"/>
        <v>41720.020492957156</v>
      </c>
      <c r="Y50" s="336">
        <f t="shared" si="57"/>
        <v>5380.7398104446474</v>
      </c>
      <c r="Z50" s="336">
        <f t="shared" si="57"/>
        <v>28138.08864711006</v>
      </c>
      <c r="AA50" s="336">
        <f t="shared" si="57"/>
        <v>6071.8917393878564</v>
      </c>
      <c r="AB50" s="336">
        <f t="shared" si="57"/>
        <v>13103.212256525356</v>
      </c>
      <c r="AC50" s="336">
        <f t="shared" si="57"/>
        <v>7876.3005342221531</v>
      </c>
      <c r="AD50" s="336">
        <f t="shared" si="57"/>
        <v>4826.2884217184901</v>
      </c>
      <c r="AE50" s="336">
        <f t="shared" si="57"/>
        <v>2774.5537561668393</v>
      </c>
      <c r="AF50" s="336">
        <f t="shared" si="57"/>
        <v>6263.4488815778986</v>
      </c>
      <c r="AG50" s="336">
        <f t="shared" si="57"/>
        <v>1763.8088980160558</v>
      </c>
      <c r="AH50" s="336">
        <f t="shared" si="58"/>
        <v>459.31275253355079</v>
      </c>
      <c r="AI50" s="336">
        <f t="shared" si="58"/>
        <v>2949.4330597472162</v>
      </c>
      <c r="AJ50" s="336">
        <f t="shared" si="58"/>
        <v>848.00889907114629</v>
      </c>
      <c r="AK50" s="336">
        <f t="shared" si="58"/>
        <v>3808.1438928938937</v>
      </c>
      <c r="AL50" s="336">
        <f t="shared" si="58"/>
        <v>3539.0944989412333</v>
      </c>
      <c r="AM50" s="336">
        <f t="shared" si="58"/>
        <v>15970.226299334647</v>
      </c>
      <c r="AN50" s="336">
        <f t="shared" si="58"/>
        <v>1015.4392210965682</v>
      </c>
      <c r="AO50" s="336">
        <f t="shared" si="58"/>
        <v>12689.450378028783</v>
      </c>
      <c r="AP50" s="740">
        <f t="shared" si="56"/>
        <v>159197.46243977358</v>
      </c>
      <c r="AR50" t="s">
        <v>255</v>
      </c>
      <c r="AS50" s="410">
        <f>SUM(U49:U51)</f>
        <v>866372.83578735986</v>
      </c>
      <c r="AT50" s="1017">
        <f>AS50/$U$57</f>
        <v>0.25460515108254211</v>
      </c>
      <c r="AW50" t="s">
        <v>255</v>
      </c>
      <c r="AX50" s="410">
        <f>SUM(AP49:AP51)</f>
        <v>543727.70216071361</v>
      </c>
      <c r="AY50" s="1017">
        <f>AX50/$AP$57</f>
        <v>0.198901054887999</v>
      </c>
    </row>
    <row r="51" spans="2:51" x14ac:dyDescent="0.45">
      <c r="B51" s="882" t="s">
        <v>197</v>
      </c>
      <c r="C51" s="866">
        <f>C30/VLOOKUP(C$40,Table47[#All],2,0)</f>
        <v>93406.69940259376</v>
      </c>
      <c r="D51" s="866">
        <f>D30/VLOOKUP(C$40,Table47[#All],2,0)</f>
        <v>10136.855596901458</v>
      </c>
      <c r="E51" s="866">
        <f>E30/VLOOKUP(C$40,Table47[#All],2,0)</f>
        <v>71560.856297945647</v>
      </c>
      <c r="F51" s="866">
        <f>F30/VLOOKUP(F$40,Table47[#All],2,0)</f>
        <v>10832.110032840759</v>
      </c>
      <c r="G51" s="866">
        <f>G30/VLOOKUP(F$40,Table47[#All],2,0)</f>
        <v>20301.860676722983</v>
      </c>
      <c r="H51" s="866">
        <f>H30/VLOOKUP(F$40,Table47[#All],2,0)</f>
        <v>18826.775060270229</v>
      </c>
      <c r="I51" s="866">
        <f>I30/VLOOKUP(I$40,Table47[#All],2,0)</f>
        <v>7737.320390795092</v>
      </c>
      <c r="J51" s="866">
        <f>J30/VLOOKUP(I$40,Table47[#All],2,0)</f>
        <v>5719.8492819439462</v>
      </c>
      <c r="K51" s="866">
        <f>K30/VLOOKUP(I$40,Table47[#All],2,0)</f>
        <v>16404.868242879948</v>
      </c>
      <c r="L51" s="866">
        <f>L30/VLOOKUP(L$40,Table47[#All],2,0)</f>
        <v>5671.2262017904968</v>
      </c>
      <c r="M51" s="866">
        <f>M30/VLOOKUP(L$40,Table47[#All],2,0)</f>
        <v>950.59932572346986</v>
      </c>
      <c r="N51" s="866">
        <f>N30/VLOOKUP(L$40,Table47[#All],2,0)</f>
        <v>12953.167724423043</v>
      </c>
      <c r="O51" s="866">
        <f>O30/VLOOKUP(O$40,Table47[#All],2,0)</f>
        <v>1728.3913150725123</v>
      </c>
      <c r="P51" s="866">
        <f>P30/VLOOKUP(O$40,Table47[#All],2,0)</f>
        <v>6818.8183430291238</v>
      </c>
      <c r="Q51" s="866">
        <f>Q30/VLOOKUP(O$40,Table47[#All],2,0)</f>
        <v>9052.4562440598202</v>
      </c>
      <c r="R51" s="866">
        <f>R30/VLOOKUP(R$40,Table47[#All],2,0)</f>
        <v>35330.451759668344</v>
      </c>
      <c r="S51" s="866">
        <f>S30/VLOOKUP(R$40,Table47[#All],2,0)</f>
        <v>2157.8264595587125</v>
      </c>
      <c r="T51" s="866">
        <f>T30/VLOOKUP(R$40,Table47[#All],2,0)</f>
        <v>42630.301346972767</v>
      </c>
      <c r="U51" s="866">
        <f t="shared" si="55"/>
        <v>372220.43370319216</v>
      </c>
      <c r="W51" s="882" t="s">
        <v>197</v>
      </c>
      <c r="X51" s="866">
        <f t="shared" si="57"/>
        <v>65384.689581815626</v>
      </c>
      <c r="Y51" s="866">
        <f t="shared" si="57"/>
        <v>7095.7989178310199</v>
      </c>
      <c r="Z51" s="866">
        <f t="shared" si="57"/>
        <v>42936.513778767388</v>
      </c>
      <c r="AA51" s="866">
        <f t="shared" si="57"/>
        <v>7040.8715213464939</v>
      </c>
      <c r="AB51" s="866">
        <f t="shared" si="57"/>
        <v>16241.488541378387</v>
      </c>
      <c r="AC51" s="866">
        <f t="shared" si="57"/>
        <v>9413.3875301351145</v>
      </c>
      <c r="AD51" s="866">
        <f t="shared" si="57"/>
        <v>5029.2582540168096</v>
      </c>
      <c r="AE51" s="866">
        <f t="shared" si="57"/>
        <v>3717.902033263565</v>
      </c>
      <c r="AF51" s="866">
        <f t="shared" si="57"/>
        <v>8202.4341214399738</v>
      </c>
      <c r="AG51" s="866">
        <f t="shared" si="57"/>
        <v>3686.2970311638232</v>
      </c>
      <c r="AH51" s="866">
        <f t="shared" si="58"/>
        <v>617.88956172025541</v>
      </c>
      <c r="AI51" s="866">
        <f t="shared" si="58"/>
        <v>6476.5838622115216</v>
      </c>
      <c r="AJ51" s="866">
        <f t="shared" si="58"/>
        <v>1123.454354797133</v>
      </c>
      <c r="AK51" s="866">
        <f t="shared" si="58"/>
        <v>5455.0546744232997</v>
      </c>
      <c r="AL51" s="866">
        <f t="shared" si="58"/>
        <v>4526.2281220299101</v>
      </c>
      <c r="AM51" s="866">
        <f t="shared" si="58"/>
        <v>23848.054937776134</v>
      </c>
      <c r="AN51" s="866">
        <f t="shared" si="58"/>
        <v>1402.5871987131632</v>
      </c>
      <c r="AO51" s="866">
        <f t="shared" si="58"/>
        <v>21315.150673486383</v>
      </c>
      <c r="AP51" s="866">
        <f t="shared" si="56"/>
        <v>233513.64469631595</v>
      </c>
      <c r="AR51" s="329" t="s">
        <v>252</v>
      </c>
      <c r="AS51" s="1050">
        <f>AS50/13</f>
        <v>66644.06429133538</v>
      </c>
      <c r="AT51" s="1017"/>
      <c r="AW51" s="329" t="s">
        <v>252</v>
      </c>
      <c r="AX51" s="1050">
        <f>AX50/13</f>
        <v>41825.207858516434</v>
      </c>
      <c r="AY51" s="1017"/>
    </row>
    <row r="52" spans="2:51" x14ac:dyDescent="0.45">
      <c r="B52" s="882" t="s">
        <v>198</v>
      </c>
      <c r="C52" s="336">
        <f>C31/VLOOKUP(C$40,Table47[#All],2,0)</f>
        <v>61773.378943442243</v>
      </c>
      <c r="D52" s="336">
        <f>D31/VLOOKUP(C$40,Table47[#All],2,0)</f>
        <v>7115.0912160126163</v>
      </c>
      <c r="E52" s="336">
        <f>E31/VLOOKUP(C$40,Table47[#All],2,0)</f>
        <v>55540.765778219895</v>
      </c>
      <c r="F52" s="336">
        <f>F31/VLOOKUP(F$40,Table47[#All],2,0)</f>
        <v>9639.1934223015978</v>
      </c>
      <c r="G52" s="336">
        <f>G31/VLOOKUP(F$40,Table47[#All],2,0)</f>
        <v>15736.819787462829</v>
      </c>
      <c r="H52" s="336">
        <f>H31/VLOOKUP(F$40,Table47[#All],2,0)</f>
        <v>15152.492208431684</v>
      </c>
      <c r="I52" s="336">
        <f>I31/VLOOKUP(I$40,Table47[#All],2,0)</f>
        <v>5915.6135522729592</v>
      </c>
      <c r="J52" s="336">
        <f>J31/VLOOKUP(I$40,Table47[#All],2,0)</f>
        <v>4463.3036854587899</v>
      </c>
      <c r="K52" s="336">
        <f>K31/VLOOKUP(I$40,Table47[#All],2,0)</f>
        <v>12351.223126443139</v>
      </c>
      <c r="L52" s="336">
        <f>L31/VLOOKUP(L$40,Table47[#All],2,0)</f>
        <v>5402.2988567757375</v>
      </c>
      <c r="M52" s="336">
        <f>M31/VLOOKUP(L$40,Table47[#All],2,0)</f>
        <v>792.97115212709127</v>
      </c>
      <c r="N52" s="336">
        <f>N31/VLOOKUP(L$40,Table47[#All],2,0)</f>
        <v>14584.91207039761</v>
      </c>
      <c r="O52" s="336">
        <f>O31/VLOOKUP(O$40,Table47[#All],2,0)</f>
        <v>1233.2649410206659</v>
      </c>
      <c r="P52" s="336">
        <f>P31/VLOOKUP(O$40,Table47[#All],2,0)</f>
        <v>5108.0278834442697</v>
      </c>
      <c r="Q52" s="336">
        <f>Q31/VLOOKUP(O$40,Table47[#All],2,0)</f>
        <v>8719.0774528611892</v>
      </c>
      <c r="R52" s="336">
        <f>R31/VLOOKUP(R$40,Table47[#All],2,0)</f>
        <v>38630.875372951137</v>
      </c>
      <c r="S52" s="336">
        <f>S31/VLOOKUP(R$40,Table47[#All],2,0)</f>
        <v>1685.4523072700988</v>
      </c>
      <c r="T52" s="336">
        <f>T31/VLOOKUP(R$40,Table47[#All],2,0)</f>
        <v>26859.190104044177</v>
      </c>
      <c r="U52" s="740">
        <f t="shared" si="55"/>
        <v>290703.95186093764</v>
      </c>
      <c r="W52" s="882" t="s">
        <v>198</v>
      </c>
      <c r="X52" s="336">
        <f t="shared" si="57"/>
        <v>43241.36526040957</v>
      </c>
      <c r="Y52" s="336">
        <f t="shared" si="57"/>
        <v>4980.5638512088308</v>
      </c>
      <c r="Z52" s="336">
        <f t="shared" si="57"/>
        <v>33324.459466931934</v>
      </c>
      <c r="AA52" s="336">
        <f t="shared" si="57"/>
        <v>6265.4757244960392</v>
      </c>
      <c r="AB52" s="336">
        <f t="shared" si="57"/>
        <v>12589.455829970264</v>
      </c>
      <c r="AC52" s="336">
        <f t="shared" si="57"/>
        <v>7576.246104215842</v>
      </c>
      <c r="AD52" s="336">
        <f t="shared" si="57"/>
        <v>3845.1488089774234</v>
      </c>
      <c r="AE52" s="336">
        <f t="shared" si="57"/>
        <v>2901.1473955482134</v>
      </c>
      <c r="AF52" s="336">
        <f t="shared" si="57"/>
        <v>6175.6115632215697</v>
      </c>
      <c r="AG52" s="336">
        <f t="shared" si="57"/>
        <v>3511.4942569042296</v>
      </c>
      <c r="AH52" s="336">
        <f t="shared" si="58"/>
        <v>515.43124888260934</v>
      </c>
      <c r="AI52" s="336">
        <f t="shared" si="58"/>
        <v>7292.4560351988048</v>
      </c>
      <c r="AJ52" s="336">
        <f t="shared" si="58"/>
        <v>801.62221166343284</v>
      </c>
      <c r="AK52" s="336">
        <f t="shared" si="58"/>
        <v>4086.4223067554158</v>
      </c>
      <c r="AL52" s="336">
        <f t="shared" si="58"/>
        <v>4359.5387264305946</v>
      </c>
      <c r="AM52" s="336">
        <f t="shared" si="58"/>
        <v>26075.840876742019</v>
      </c>
      <c r="AN52" s="336">
        <f t="shared" si="58"/>
        <v>1095.5439997255642</v>
      </c>
      <c r="AO52" s="336">
        <f t="shared" si="58"/>
        <v>13429.595052022089</v>
      </c>
      <c r="AP52" s="740">
        <f t="shared" si="56"/>
        <v>182067.41871930441</v>
      </c>
      <c r="AR52" s="875" t="s">
        <v>253</v>
      </c>
      <c r="AS52" s="410">
        <f>AS51*AT52</f>
        <v>33359.053641609033</v>
      </c>
      <c r="AT52" s="1051">
        <v>0.50055551077706639</v>
      </c>
      <c r="AW52" s="875" t="s">
        <v>253</v>
      </c>
      <c r="AX52" s="410">
        <f>AX51*AY52</f>
        <v>20935.838282976663</v>
      </c>
      <c r="AY52" s="1051">
        <v>0.50055551077706639</v>
      </c>
    </row>
    <row r="53" spans="2:51" x14ac:dyDescent="0.45">
      <c r="B53" s="882" t="s">
        <v>199</v>
      </c>
      <c r="C53" s="336">
        <f>C32/VLOOKUP(C$40,Table47[#All],2,0)</f>
        <v>63273.400447370201</v>
      </c>
      <c r="D53" s="336">
        <f>D32/VLOOKUP(C$40,Table47[#All],2,0)</f>
        <v>6007.5052806648846</v>
      </c>
      <c r="E53" s="336">
        <f>E32/VLOOKUP(C$40,Table47[#All],2,0)</f>
        <v>42976.733456912123</v>
      </c>
      <c r="F53" s="336">
        <f>F32/VLOOKUP(F$40,Table47[#All],2,0)</f>
        <v>8279.3095007125758</v>
      </c>
      <c r="G53" s="336">
        <f>G32/VLOOKUP(F$40,Table47[#All],2,0)</f>
        <v>11923.026503070971</v>
      </c>
      <c r="H53" s="336">
        <f>H32/VLOOKUP(F$40,Table47[#All],2,0)</f>
        <v>16100.346236426365</v>
      </c>
      <c r="I53" s="336">
        <f>I32/VLOOKUP(I$40,Table47[#All],2,0)</f>
        <v>6545.2532659469625</v>
      </c>
      <c r="J53" s="336">
        <f>J32/VLOOKUP(I$40,Table47[#All],2,0)</f>
        <v>4268.5442402566759</v>
      </c>
      <c r="K53" s="336">
        <f>K32/VLOOKUP(I$40,Table47[#All],2,0)</f>
        <v>12317.859792151399</v>
      </c>
      <c r="L53" s="336">
        <f>L32/VLOOKUP(L$40,Table47[#All],2,0)</f>
        <v>5569.6064892229197</v>
      </c>
      <c r="M53" s="336">
        <f>M32/VLOOKUP(L$40,Table47[#All],2,0)</f>
        <v>639.00155440470701</v>
      </c>
      <c r="N53" s="336">
        <f>N32/VLOOKUP(L$40,Table47[#All],2,0)</f>
        <v>15408.787038420336</v>
      </c>
      <c r="O53" s="336">
        <f>O32/VLOOKUP(O$40,Table47[#All],2,0)</f>
        <v>1253.6393857469996</v>
      </c>
      <c r="P53" s="336">
        <f>P32/VLOOKUP(O$40,Table47[#All],2,0)</f>
        <v>3372.8939285489664</v>
      </c>
      <c r="Q53" s="336">
        <f>Q32/VLOOKUP(O$40,Table47[#All],2,0)</f>
        <v>6491.5987494391693</v>
      </c>
      <c r="R53" s="336">
        <f>R32/VLOOKUP(R$40,Table47[#All],2,0)</f>
        <v>17809.153970286916</v>
      </c>
      <c r="S53" s="336">
        <f>S32/VLOOKUP(R$40,Table47[#All],2,0)</f>
        <v>1036.1155171304172</v>
      </c>
      <c r="T53" s="336">
        <f>T32/VLOOKUP(R$40,Table47[#All],2,0)</f>
        <v>23387.077097797315</v>
      </c>
      <c r="U53" s="740">
        <f t="shared" si="55"/>
        <v>246659.85245450988</v>
      </c>
      <c r="W53" s="882" t="s">
        <v>199</v>
      </c>
      <c r="X53" s="336">
        <f t="shared" si="57"/>
        <v>44291.380313159141</v>
      </c>
      <c r="Y53" s="336">
        <f t="shared" si="57"/>
        <v>4205.2536964654191</v>
      </c>
      <c r="Z53" s="336">
        <f t="shared" si="57"/>
        <v>25786.040074147273</v>
      </c>
      <c r="AA53" s="336">
        <f t="shared" si="57"/>
        <v>5381.5511754631743</v>
      </c>
      <c r="AB53" s="336">
        <f t="shared" si="57"/>
        <v>9538.4212024567769</v>
      </c>
      <c r="AC53" s="336">
        <f t="shared" si="57"/>
        <v>8050.1731182131825</v>
      </c>
      <c r="AD53" s="336">
        <f t="shared" si="57"/>
        <v>4254.4146228655254</v>
      </c>
      <c r="AE53" s="336">
        <f t="shared" si="57"/>
        <v>2774.5537561668393</v>
      </c>
      <c r="AF53" s="336">
        <f t="shared" si="57"/>
        <v>6158.9298960756996</v>
      </c>
      <c r="AG53" s="336">
        <f t="shared" si="57"/>
        <v>3620.244217994898</v>
      </c>
      <c r="AH53" s="336">
        <f t="shared" si="58"/>
        <v>415.35101036305957</v>
      </c>
      <c r="AI53" s="336">
        <f t="shared" si="58"/>
        <v>7704.3935192101681</v>
      </c>
      <c r="AJ53" s="336">
        <f t="shared" si="58"/>
        <v>814.86560073554972</v>
      </c>
      <c r="AK53" s="336">
        <f t="shared" si="58"/>
        <v>2698.3151428391734</v>
      </c>
      <c r="AL53" s="336">
        <f t="shared" si="58"/>
        <v>3245.7993747195846</v>
      </c>
      <c r="AM53" s="336">
        <f t="shared" si="58"/>
        <v>12021.17892994367</v>
      </c>
      <c r="AN53" s="336">
        <f t="shared" si="58"/>
        <v>673.47508613477123</v>
      </c>
      <c r="AO53" s="336">
        <f t="shared" si="58"/>
        <v>11693.538548898658</v>
      </c>
      <c r="AP53" s="740">
        <f t="shared" si="56"/>
        <v>153327.87928585257</v>
      </c>
      <c r="AR53" s="875" t="s">
        <v>233</v>
      </c>
      <c r="AS53" s="410">
        <f>AS51*AT53</f>
        <v>25311.017030352687</v>
      </c>
      <c r="AT53" s="1051">
        <v>0.37979401915983474</v>
      </c>
      <c r="AW53" s="875" t="s">
        <v>233</v>
      </c>
      <c r="AX53" s="410">
        <f>AX51*AY53</f>
        <v>15884.963794781461</v>
      </c>
      <c r="AY53" s="1051">
        <v>0.37979401915983474</v>
      </c>
    </row>
    <row r="54" spans="2:51" x14ac:dyDescent="0.45">
      <c r="B54" s="882" t="s">
        <v>200</v>
      </c>
      <c r="C54" s="866">
        <f>C33/VLOOKUP(C$40,Table47[#All],2,0)</f>
        <v>103134.10722019406</v>
      </c>
      <c r="D54" s="866">
        <f>D33/VLOOKUP(C$40,Table47[#All],2,0)</f>
        <v>9847.1365232036896</v>
      </c>
      <c r="E54" s="866">
        <f>E33/VLOOKUP(C$40,Table47[#All],2,0)</f>
        <v>74799.410301813477</v>
      </c>
      <c r="F54" s="866">
        <f>F33/VLOOKUP(F$40,Table47[#All],2,0)</f>
        <v>12198.884403715561</v>
      </c>
      <c r="G54" s="866">
        <f>G33/VLOOKUP(F$40,Table47[#All],2,0)</f>
        <v>25163.008232821339</v>
      </c>
      <c r="H54" s="866">
        <f>H33/VLOOKUP(F$40,Table47[#All],2,0)</f>
        <v>19631.897515486744</v>
      </c>
      <c r="I54" s="866">
        <f>I33/VLOOKUP(I$40,Table47[#All],2,0)</f>
        <v>7658.7545479311593</v>
      </c>
      <c r="J54" s="866">
        <f>J33/VLOOKUP(I$40,Table47[#All],2,0)</f>
        <v>6391.2628339747189</v>
      </c>
      <c r="K54" s="866">
        <f>K33/VLOOKUP(I$40,Table47[#All],2,0)</f>
        <v>19165.575557861783</v>
      </c>
      <c r="L54" s="866">
        <f>L33/VLOOKUP(L$40,Table47[#All],2,0)</f>
        <v>6911.8780688418519</v>
      </c>
      <c r="M54" s="866">
        <f>M33/VLOOKUP(L$40,Table47[#All],2,0)</f>
        <v>1024.3381016502078</v>
      </c>
      <c r="N54" s="866">
        <f>N33/VLOOKUP(L$40,Table47[#All],2,0)</f>
        <v>20872.965713569229</v>
      </c>
      <c r="O54" s="866">
        <f>O33/VLOOKUP(O$40,Table47[#All],2,0)</f>
        <v>1968.6152242739806</v>
      </c>
      <c r="P54" s="866">
        <f>P33/VLOOKUP(O$40,Table47[#All],2,0)</f>
        <v>7200.1020045172399</v>
      </c>
      <c r="Q54" s="866">
        <f>Q33/VLOOKUP(O$40,Table47[#All],2,0)</f>
        <v>10621.373986156184</v>
      </c>
      <c r="R54" s="866">
        <f>R33/VLOOKUP(R$40,Table47[#All],2,0)</f>
        <v>19912.038569382181</v>
      </c>
      <c r="S54" s="866">
        <f>S33/VLOOKUP(R$40,Table47[#All],2,0)</f>
        <v>2863.5762821276135</v>
      </c>
      <c r="T54" s="866">
        <f>T33/VLOOKUP(R$40,Table47[#All],2,0)</f>
        <v>37953.081300013422</v>
      </c>
      <c r="U54" s="866">
        <f t="shared" si="55"/>
        <v>387318.00638753438</v>
      </c>
      <c r="W54" s="882" t="s">
        <v>200</v>
      </c>
      <c r="X54" s="866">
        <f t="shared" si="57"/>
        <v>72193.875054135831</v>
      </c>
      <c r="Y54" s="866">
        <f t="shared" si="57"/>
        <v>6892.9955662425828</v>
      </c>
      <c r="Z54" s="866">
        <f t="shared" si="57"/>
        <v>44879.646181088086</v>
      </c>
      <c r="AA54" s="866">
        <f t="shared" si="57"/>
        <v>7929.2748624151154</v>
      </c>
      <c r="AB54" s="866">
        <f t="shared" si="57"/>
        <v>20130.406586257071</v>
      </c>
      <c r="AC54" s="866">
        <f t="shared" si="57"/>
        <v>9815.948757743372</v>
      </c>
      <c r="AD54" s="866">
        <f t="shared" si="57"/>
        <v>4978.1904561552537</v>
      </c>
      <c r="AE54" s="866">
        <f t="shared" si="57"/>
        <v>4154.3208420835672</v>
      </c>
      <c r="AF54" s="866">
        <f t="shared" si="57"/>
        <v>9582.7877789308914</v>
      </c>
      <c r="AG54" s="866">
        <f t="shared" si="57"/>
        <v>4492.7207447472038</v>
      </c>
      <c r="AH54" s="866">
        <f t="shared" si="58"/>
        <v>665.81976607263505</v>
      </c>
      <c r="AI54" s="866">
        <f t="shared" si="58"/>
        <v>10436.482856784614</v>
      </c>
      <c r="AJ54" s="866">
        <f t="shared" si="58"/>
        <v>1279.5998957780876</v>
      </c>
      <c r="AK54" s="866">
        <f t="shared" si="58"/>
        <v>5760.0816036137921</v>
      </c>
      <c r="AL54" s="866">
        <f t="shared" si="58"/>
        <v>5310.6869930780922</v>
      </c>
      <c r="AM54" s="866">
        <f t="shared" si="58"/>
        <v>13440.626034332972</v>
      </c>
      <c r="AN54" s="866">
        <f t="shared" si="58"/>
        <v>1861.3245833829487</v>
      </c>
      <c r="AO54" s="866">
        <f t="shared" si="58"/>
        <v>18976.540650006711</v>
      </c>
      <c r="AP54" s="866">
        <f t="shared" si="56"/>
        <v>242781.32921284885</v>
      </c>
      <c r="AR54" s="875" t="s">
        <v>254</v>
      </c>
      <c r="AS54" s="410">
        <f>AS51*AT54</f>
        <v>7210.3201317383773</v>
      </c>
      <c r="AT54" s="1051">
        <v>0.10819148274358495</v>
      </c>
      <c r="AW54" s="875" t="s">
        <v>254</v>
      </c>
      <c r="AX54" s="410">
        <f>AX51*AY54</f>
        <v>4525.1312542715341</v>
      </c>
      <c r="AY54" s="1051">
        <v>0.10819148274358495</v>
      </c>
    </row>
    <row r="55" spans="2:51" hidden="1" outlineLevel="1" x14ac:dyDescent="0.45">
      <c r="B55" s="1064" t="s">
        <v>310</v>
      </c>
      <c r="C55" s="1065">
        <f>SUM(C43:C48)</f>
        <v>514969.73519255349</v>
      </c>
      <c r="D55" s="1065">
        <f t="shared" ref="D55:U55" si="59">SUM(D43:D48)</f>
        <v>36335.12505708151</v>
      </c>
      <c r="E55" s="1065">
        <f t="shared" si="59"/>
        <v>235713.91186993051</v>
      </c>
      <c r="F55" s="1065">
        <f t="shared" si="59"/>
        <v>42475.008778911157</v>
      </c>
      <c r="G55" s="1065">
        <f t="shared" si="59"/>
        <v>84875.833229051219</v>
      </c>
      <c r="H55" s="1065">
        <f t="shared" si="59"/>
        <v>95278.5822303124</v>
      </c>
      <c r="I55" s="1065">
        <f t="shared" si="59"/>
        <v>35157.869444267097</v>
      </c>
      <c r="J55" s="1065">
        <f t="shared" si="59"/>
        <v>25482.469233330714</v>
      </c>
      <c r="K55" s="1065">
        <f t="shared" si="59"/>
        <v>91780.175473756899</v>
      </c>
      <c r="L55" s="1065">
        <f t="shared" si="59"/>
        <v>30759.480472536445</v>
      </c>
      <c r="M55" s="1065">
        <f t="shared" si="59"/>
        <v>4249.5762356873993</v>
      </c>
      <c r="N55" s="1065">
        <f t="shared" si="59"/>
        <v>63857.175320477174</v>
      </c>
      <c r="O55" s="1065">
        <f t="shared" si="59"/>
        <v>8574.2617119343577</v>
      </c>
      <c r="P55" s="1065">
        <f t="shared" si="59"/>
        <v>24728.222209249481</v>
      </c>
      <c r="Q55" s="1065">
        <f t="shared" si="59"/>
        <v>41685.022848045606</v>
      </c>
      <c r="R55" s="1065">
        <f t="shared" si="59"/>
        <v>140897.08392955174</v>
      </c>
      <c r="S55" s="1065">
        <f t="shared" si="59"/>
        <v>8697.4408830269585</v>
      </c>
      <c r="T55" s="1065">
        <f t="shared" si="59"/>
        <v>126237.91448252773</v>
      </c>
      <c r="U55" s="1065">
        <f t="shared" si="59"/>
        <v>1611754.8886022316</v>
      </c>
      <c r="W55" s="1064" t="s">
        <v>310</v>
      </c>
      <c r="X55" s="1065">
        <f>SUM(X43:X48)</f>
        <v>514969.73519255349</v>
      </c>
      <c r="Y55" s="1065">
        <f t="shared" ref="Y55:AP55" si="60">SUM(Y43:Y48)</f>
        <v>36335.12505708151</v>
      </c>
      <c r="Z55" s="1065">
        <f t="shared" si="60"/>
        <v>235713.91186993051</v>
      </c>
      <c r="AA55" s="1065">
        <f t="shared" si="60"/>
        <v>42475.008778911157</v>
      </c>
      <c r="AB55" s="1065">
        <f t="shared" si="60"/>
        <v>84875.833229051219</v>
      </c>
      <c r="AC55" s="1065">
        <f t="shared" si="60"/>
        <v>95278.5822303124</v>
      </c>
      <c r="AD55" s="1065">
        <f t="shared" si="60"/>
        <v>35157.869444267097</v>
      </c>
      <c r="AE55" s="1065">
        <f t="shared" si="60"/>
        <v>25482.469233330714</v>
      </c>
      <c r="AF55" s="1065">
        <f t="shared" si="60"/>
        <v>91780.175473756899</v>
      </c>
      <c r="AG55" s="1065">
        <f t="shared" si="60"/>
        <v>30759.480472536445</v>
      </c>
      <c r="AH55" s="1065">
        <f t="shared" si="60"/>
        <v>4249.5762356873993</v>
      </c>
      <c r="AI55" s="1065">
        <f t="shared" si="60"/>
        <v>63857.175320477174</v>
      </c>
      <c r="AJ55" s="1065">
        <f t="shared" si="60"/>
        <v>8574.2617119343577</v>
      </c>
      <c r="AK55" s="1065">
        <f t="shared" si="60"/>
        <v>24728.222209249481</v>
      </c>
      <c r="AL55" s="1065">
        <f t="shared" si="60"/>
        <v>41685.022848045606</v>
      </c>
      <c r="AM55" s="1065">
        <f t="shared" si="60"/>
        <v>140897.08392955174</v>
      </c>
      <c r="AN55" s="1065">
        <f t="shared" si="60"/>
        <v>8697.4408830269585</v>
      </c>
      <c r="AO55" s="1065">
        <f t="shared" si="60"/>
        <v>126237.91448252773</v>
      </c>
      <c r="AP55" s="1065">
        <f t="shared" si="60"/>
        <v>1611754.8886022316</v>
      </c>
    </row>
    <row r="56" spans="2:51" hidden="1" outlineLevel="1" x14ac:dyDescent="0.45">
      <c r="B56" s="1064" t="s">
        <v>309</v>
      </c>
      <c r="C56" s="1065">
        <f>SUM(C49:C54)</f>
        <v>432439.14668135362</v>
      </c>
      <c r="D56" s="1065">
        <f t="shared" ref="D56:U56" si="61">SUM(D49:D54)</f>
        <v>48322.448805629065</v>
      </c>
      <c r="E56" s="1065">
        <f t="shared" si="61"/>
        <v>345711.78873458435</v>
      </c>
      <c r="F56" s="1065">
        <f t="shared" si="61"/>
        <v>59355.129024227921</v>
      </c>
      <c r="G56" s="1065">
        <f t="shared" si="61"/>
        <v>101908.40367370119</v>
      </c>
      <c r="H56" s="1065">
        <f t="shared" si="61"/>
        <v>99339.913323619374</v>
      </c>
      <c r="I56" s="1065">
        <f t="shared" si="61"/>
        <v>41126.90377634771</v>
      </c>
      <c r="J56" s="1065">
        <f t="shared" si="61"/>
        <v>29029.686410907219</v>
      </c>
      <c r="K56" s="1065">
        <f t="shared" si="61"/>
        <v>84259.058882606361</v>
      </c>
      <c r="L56" s="1065">
        <f t="shared" si="61"/>
        <v>31585.941481531543</v>
      </c>
      <c r="M56" s="1065">
        <f t="shared" si="61"/>
        <v>4879.0173986655627</v>
      </c>
      <c r="N56" s="1065">
        <f t="shared" si="61"/>
        <v>77220.598365528233</v>
      </c>
      <c r="O56" s="1065">
        <f t="shared" si="61"/>
        <v>8815.3852526532319</v>
      </c>
      <c r="P56" s="1065">
        <f t="shared" si="61"/>
        <v>32231.374381213922</v>
      </c>
      <c r="Q56" s="1065">
        <f t="shared" si="61"/>
        <v>48296.69693308953</v>
      </c>
      <c r="R56" s="1065">
        <f t="shared" si="61"/>
        <v>157590.32302396547</v>
      </c>
      <c r="S56" s="1065">
        <f t="shared" si="61"/>
        <v>10763.058102500781</v>
      </c>
      <c r="T56" s="1065">
        <f t="shared" si="61"/>
        <v>178179.77223821683</v>
      </c>
      <c r="U56" s="1065">
        <f t="shared" si="61"/>
        <v>1791054.6464903415</v>
      </c>
      <c r="W56" s="1064" t="s">
        <v>309</v>
      </c>
      <c r="X56" s="1065">
        <f>SUM(X49:X54)</f>
        <v>302707.40267694753</v>
      </c>
      <c r="Y56" s="1065">
        <f t="shared" ref="Y56:AP56" si="62">SUM(Y49:Y54)</f>
        <v>33825.714163940342</v>
      </c>
      <c r="Z56" s="1065">
        <f t="shared" si="62"/>
        <v>207427.07324075059</v>
      </c>
      <c r="AA56" s="1065">
        <f t="shared" si="62"/>
        <v>38580.833865748151</v>
      </c>
      <c r="AB56" s="1065">
        <f t="shared" si="62"/>
        <v>81526.722938960942</v>
      </c>
      <c r="AC56" s="1065">
        <f t="shared" si="62"/>
        <v>49669.956661809687</v>
      </c>
      <c r="AD56" s="1065">
        <f t="shared" si="62"/>
        <v>26732.487454626011</v>
      </c>
      <c r="AE56" s="1065">
        <f t="shared" si="62"/>
        <v>18869.296167089691</v>
      </c>
      <c r="AF56" s="1065">
        <f t="shared" si="62"/>
        <v>42129.529441303181</v>
      </c>
      <c r="AG56" s="1065">
        <f t="shared" si="62"/>
        <v>20530.861962995503</v>
      </c>
      <c r="AH56" s="1065">
        <f t="shared" si="62"/>
        <v>3171.361309132616</v>
      </c>
      <c r="AI56" s="1065">
        <f t="shared" si="62"/>
        <v>38610.299182764116</v>
      </c>
      <c r="AJ56" s="1065">
        <f t="shared" si="62"/>
        <v>5730.0004142246007</v>
      </c>
      <c r="AK56" s="1065">
        <f t="shared" si="62"/>
        <v>25785.099504971135</v>
      </c>
      <c r="AL56" s="1065">
        <f t="shared" si="62"/>
        <v>24148.348466544765</v>
      </c>
      <c r="AM56" s="1065">
        <f t="shared" si="62"/>
        <v>106373.4680411767</v>
      </c>
      <c r="AN56" s="1065">
        <f t="shared" si="62"/>
        <v>6995.9877666255088</v>
      </c>
      <c r="AO56" s="1065">
        <f t="shared" si="62"/>
        <v>89089.886119108414</v>
      </c>
      <c r="AP56" s="1065">
        <f t="shared" si="62"/>
        <v>1121904.3293787194</v>
      </c>
    </row>
    <row r="57" spans="2:51" collapsed="1" x14ac:dyDescent="0.45">
      <c r="B57" s="739" t="s">
        <v>303</v>
      </c>
      <c r="C57" s="740">
        <f>SUM(C43:C54)</f>
        <v>947408.88187390717</v>
      </c>
      <c r="D57" s="740">
        <f t="shared" ref="D57:T57" si="63">SUM(D43:D54)</f>
        <v>84657.573862710575</v>
      </c>
      <c r="E57" s="740">
        <f t="shared" si="63"/>
        <v>581425.7006045148</v>
      </c>
      <c r="F57" s="740">
        <f t="shared" si="63"/>
        <v>101830.13780313909</v>
      </c>
      <c r="G57" s="740">
        <f t="shared" si="63"/>
        <v>186784.2369027524</v>
      </c>
      <c r="H57" s="740">
        <f t="shared" si="63"/>
        <v>194618.49555393175</v>
      </c>
      <c r="I57" s="740">
        <f t="shared" si="63"/>
        <v>76284.773220614792</v>
      </c>
      <c r="J57" s="740">
        <f t="shared" si="63"/>
        <v>54512.155644237937</v>
      </c>
      <c r="K57" s="740">
        <f t="shared" si="63"/>
        <v>176039.23435636325</v>
      </c>
      <c r="L57" s="740">
        <f t="shared" si="63"/>
        <v>62345.421954067977</v>
      </c>
      <c r="M57" s="740">
        <f t="shared" si="63"/>
        <v>9128.5936343529611</v>
      </c>
      <c r="N57" s="740">
        <f t="shared" si="63"/>
        <v>141077.77368600541</v>
      </c>
      <c r="O57" s="740">
        <f t="shared" si="63"/>
        <v>17389.646964587591</v>
      </c>
      <c r="P57" s="740">
        <f t="shared" si="63"/>
        <v>56959.596590463407</v>
      </c>
      <c r="Q57" s="740">
        <f t="shared" si="63"/>
        <v>89981.719781135151</v>
      </c>
      <c r="R57" s="740">
        <f t="shared" si="63"/>
        <v>298487.40695351717</v>
      </c>
      <c r="S57" s="740">
        <f t="shared" si="63"/>
        <v>19460.498985527745</v>
      </c>
      <c r="T57" s="740">
        <f t="shared" si="63"/>
        <v>304417.68672074453</v>
      </c>
      <c r="U57" s="740">
        <f>SUM(C57:T57)</f>
        <v>3402809.5350925745</v>
      </c>
      <c r="W57" s="739" t="s">
        <v>303</v>
      </c>
      <c r="X57" s="740">
        <f>SUM(X43:X54)</f>
        <v>817677.1378695009</v>
      </c>
      <c r="Y57" s="740">
        <f t="shared" ref="Y57:AO57" si="64">SUM(Y43:Y54)</f>
        <v>70160.839221021859</v>
      </c>
      <c r="Z57" s="740">
        <f t="shared" si="64"/>
        <v>443140.98511068104</v>
      </c>
      <c r="AA57" s="740">
        <f t="shared" si="64"/>
        <v>81055.842644659308</v>
      </c>
      <c r="AB57" s="740">
        <f t="shared" si="64"/>
        <v>166402.55616801218</v>
      </c>
      <c r="AC57" s="740">
        <f t="shared" si="64"/>
        <v>144948.53889212207</v>
      </c>
      <c r="AD57" s="740">
        <f t="shared" si="64"/>
        <v>61890.3568988931</v>
      </c>
      <c r="AE57" s="740">
        <f t="shared" si="64"/>
        <v>44351.765400420401</v>
      </c>
      <c r="AF57" s="740">
        <f t="shared" si="64"/>
        <v>133909.70491506008</v>
      </c>
      <c r="AG57" s="740">
        <f t="shared" si="64"/>
        <v>51290.342435531944</v>
      </c>
      <c r="AH57" s="740">
        <f t="shared" si="64"/>
        <v>7420.9375448200153</v>
      </c>
      <c r="AI57" s="740">
        <f t="shared" si="64"/>
        <v>102467.47450324129</v>
      </c>
      <c r="AJ57" s="740">
        <f t="shared" si="64"/>
        <v>14304.262126158959</v>
      </c>
      <c r="AK57" s="740">
        <f t="shared" si="64"/>
        <v>50513.321714220619</v>
      </c>
      <c r="AL57" s="740">
        <f t="shared" si="64"/>
        <v>65833.371314590375</v>
      </c>
      <c r="AM57" s="740">
        <f t="shared" si="64"/>
        <v>247270.55197072847</v>
      </c>
      <c r="AN57" s="740">
        <f t="shared" si="64"/>
        <v>15693.428649652466</v>
      </c>
      <c r="AO57" s="740">
        <f t="shared" si="64"/>
        <v>215327.80060163612</v>
      </c>
      <c r="AP57" s="740">
        <f t="shared" si="56"/>
        <v>2733659.2179809511</v>
      </c>
      <c r="AR57" t="s">
        <v>188</v>
      </c>
      <c r="AS57" s="410">
        <f>SUM(U52:U54)</f>
        <v>924681.81070298189</v>
      </c>
      <c r="AT57" s="1017">
        <f>AS57/$U$57</f>
        <v>0.27174068991135164</v>
      </c>
      <c r="AW57" t="s">
        <v>188</v>
      </c>
      <c r="AX57" s="410">
        <f>SUM(AP52:AP54)</f>
        <v>578176.62721800583</v>
      </c>
      <c r="AY57" s="1017">
        <f>AX57/$AP$57</f>
        <v>0.2115028176939481</v>
      </c>
    </row>
    <row r="58" spans="2:51" x14ac:dyDescent="0.45">
      <c r="B58" s="739" t="s">
        <v>304</v>
      </c>
      <c r="C58" s="740">
        <f>C34</f>
        <v>37545667.060690649</v>
      </c>
      <c r="D58" s="740">
        <f t="shared" ref="D58:U58" si="65">D34</f>
        <v>3354966.523142851</v>
      </c>
      <c r="E58" s="740">
        <f t="shared" si="65"/>
        <v>23041810.345125433</v>
      </c>
      <c r="F58" s="740">
        <f t="shared" si="65"/>
        <v>4073205.5121255638</v>
      </c>
      <c r="G58" s="740">
        <f t="shared" si="65"/>
        <v>7471369.4761100952</v>
      </c>
      <c r="H58" s="740">
        <f t="shared" si="65"/>
        <v>7784739.8221572703</v>
      </c>
      <c r="I58" s="740">
        <f t="shared" si="65"/>
        <v>3038624.5799304675</v>
      </c>
      <c r="J58" s="740">
        <f t="shared" si="65"/>
        <v>2171363.5507120378</v>
      </c>
      <c r="K58" s="740">
        <f t="shared" si="65"/>
        <v>7012108.9958596351</v>
      </c>
      <c r="L58" s="740">
        <f t="shared" si="65"/>
        <v>2478660.2180064162</v>
      </c>
      <c r="M58" s="740">
        <f t="shared" si="65"/>
        <v>362924.51279722113</v>
      </c>
      <c r="N58" s="740">
        <f t="shared" si="65"/>
        <v>5608813.8362113927</v>
      </c>
      <c r="O58" s="740">
        <f t="shared" si="65"/>
        <v>695243.43045100197</v>
      </c>
      <c r="P58" s="740">
        <f t="shared" si="65"/>
        <v>2277262.178542343</v>
      </c>
      <c r="Q58" s="740">
        <f t="shared" si="65"/>
        <v>3597496.8132425696</v>
      </c>
      <c r="R58" s="740">
        <f t="shared" si="65"/>
        <v>11939496.27814069</v>
      </c>
      <c r="S58" s="740">
        <f t="shared" si="65"/>
        <v>778419.95942110964</v>
      </c>
      <c r="T58" s="740">
        <f t="shared" si="65"/>
        <v>12176707.468829781</v>
      </c>
      <c r="U58" s="740">
        <f t="shared" si="65"/>
        <v>135408880.56149656</v>
      </c>
      <c r="W58" s="739" t="s">
        <v>304</v>
      </c>
      <c r="X58" s="740">
        <f>X57*RIGHT(X$42,2)</f>
        <v>32707085.514780037</v>
      </c>
      <c r="Y58" s="740">
        <f t="shared" ref="Y58:AO58" si="66">Y57*RIGHT(Y$42,2)</f>
        <v>2806433.5688408744</v>
      </c>
      <c r="Z58" s="740">
        <f t="shared" si="66"/>
        <v>17725639.404427242</v>
      </c>
      <c r="AA58" s="740">
        <f t="shared" si="66"/>
        <v>3242233.7057863725</v>
      </c>
      <c r="AB58" s="740">
        <f t="shared" si="66"/>
        <v>6656102.2467204873</v>
      </c>
      <c r="AC58" s="740">
        <f t="shared" si="66"/>
        <v>5797941.5556848831</v>
      </c>
      <c r="AD58" s="740">
        <f t="shared" si="66"/>
        <v>2475614.2759557241</v>
      </c>
      <c r="AE58" s="740">
        <f t="shared" si="66"/>
        <v>1774070.6160168161</v>
      </c>
      <c r="AF58" s="740">
        <f t="shared" si="66"/>
        <v>5356388.1966024032</v>
      </c>
      <c r="AG58" s="740">
        <f t="shared" si="66"/>
        <v>2051613.6974212779</v>
      </c>
      <c r="AH58" s="740">
        <f t="shared" si="66"/>
        <v>296837.50179280061</v>
      </c>
      <c r="AI58" s="740">
        <f t="shared" si="66"/>
        <v>4098698.9801296517</v>
      </c>
      <c r="AJ58" s="740">
        <f t="shared" si="66"/>
        <v>572170.48504635831</v>
      </c>
      <c r="AK58" s="740">
        <f t="shared" si="66"/>
        <v>2020532.8685688248</v>
      </c>
      <c r="AL58" s="740">
        <f t="shared" si="66"/>
        <v>2633334.8525836151</v>
      </c>
      <c r="AM58" s="740">
        <f t="shared" si="66"/>
        <v>9890822.0788291395</v>
      </c>
      <c r="AN58" s="740">
        <f t="shared" si="66"/>
        <v>627737.14598609856</v>
      </c>
      <c r="AO58" s="740">
        <f t="shared" si="66"/>
        <v>8613112.0240654442</v>
      </c>
      <c r="AP58" s="740">
        <f t="shared" si="56"/>
        <v>109346368.71923806</v>
      </c>
      <c r="AR58" s="329" t="s">
        <v>252</v>
      </c>
      <c r="AS58" s="1050">
        <f>AS57/13</f>
        <v>71129.370054075524</v>
      </c>
      <c r="AW58" s="329" t="s">
        <v>252</v>
      </c>
      <c r="AX58" s="1050">
        <f>AX57/13</f>
        <v>44475.125170615836</v>
      </c>
    </row>
    <row r="59" spans="2:51" x14ac:dyDescent="0.45">
      <c r="B59" s="1061" t="s">
        <v>305</v>
      </c>
      <c r="C59" s="1062">
        <f>C58/$U$58</f>
        <v>0.27727625326345651</v>
      </c>
      <c r="D59" s="1062">
        <f t="shared" ref="D59:U59" si="67">D58/$U$58</f>
        <v>2.4776561989368028E-2</v>
      </c>
      <c r="E59" s="1062">
        <f t="shared" si="67"/>
        <v>0.17016469118996144</v>
      </c>
      <c r="F59" s="1062">
        <f t="shared" si="67"/>
        <v>3.0080785656267938E-2</v>
      </c>
      <c r="G59" s="1062">
        <f t="shared" si="67"/>
        <v>5.5176362474372125E-2</v>
      </c>
      <c r="H59" s="1062">
        <f t="shared" si="67"/>
        <v>5.7490615016359992E-2</v>
      </c>
      <c r="I59" s="1062">
        <f t="shared" si="67"/>
        <v>2.2440364083435891E-2</v>
      </c>
      <c r="J59" s="1062">
        <f t="shared" si="67"/>
        <v>1.6035606687745292E-2</v>
      </c>
      <c r="K59" s="1062">
        <f t="shared" si="67"/>
        <v>5.1784705454935465E-2</v>
      </c>
      <c r="L59" s="1062">
        <f t="shared" si="67"/>
        <v>1.8305004869165295E-2</v>
      </c>
      <c r="M59" s="1062">
        <f t="shared" si="67"/>
        <v>2.6802120458591142E-3</v>
      </c>
      <c r="N59" s="1062">
        <f t="shared" si="67"/>
        <v>4.142131456189186E-2</v>
      </c>
      <c r="O59" s="1062">
        <f t="shared" si="67"/>
        <v>5.1344005472023233E-3</v>
      </c>
      <c r="P59" s="1062">
        <f t="shared" si="67"/>
        <v>1.681767229076319E-2</v>
      </c>
      <c r="Q59" s="1062">
        <f t="shared" si="67"/>
        <v>2.6567657884216465E-2</v>
      </c>
      <c r="R59" s="1062">
        <f t="shared" si="67"/>
        <v>8.8173657655476398E-2</v>
      </c>
      <c r="S59" s="1062">
        <f t="shared" si="67"/>
        <v>5.748662541136559E-3</v>
      </c>
      <c r="T59" s="1062">
        <f t="shared" si="67"/>
        <v>8.9925471788385947E-2</v>
      </c>
      <c r="U59" s="1062">
        <f t="shared" si="67"/>
        <v>1</v>
      </c>
      <c r="W59" s="739" t="s">
        <v>305</v>
      </c>
      <c r="X59" s="1052">
        <f t="shared" ref="X59" si="68">X58/$AP$58</f>
        <v>0.29911451013759777</v>
      </c>
      <c r="Y59" s="1052">
        <f t="shared" ref="Y59" si="69">Y58/$AP$58</f>
        <v>2.5665539713045079E-2</v>
      </c>
      <c r="Z59" s="1052">
        <f t="shared" ref="Z59" si="70">Z58/$AP$58</f>
        <v>0.16210542345434695</v>
      </c>
      <c r="AA59" s="1052">
        <f t="shared" ref="AA59" si="71">AA58/$AP$58</f>
        <v>2.9651041399566331E-2</v>
      </c>
      <c r="AB59" s="1052">
        <f t="shared" ref="AB59" si="72">AB58/$AP$58</f>
        <v>6.0871726465932779E-2</v>
      </c>
      <c r="AC59" s="1052">
        <f t="shared" ref="AC59" si="73">AC58/$AP$58</f>
        <v>5.3023631452928273E-2</v>
      </c>
      <c r="AD59" s="1052">
        <f t="shared" ref="AD59" si="74">AD58/$AP$58</f>
        <v>2.2640114207287548E-2</v>
      </c>
      <c r="AE59" s="1052">
        <f t="shared" ref="AE59" si="75">AE58/$AP$58</f>
        <v>1.6224321271902389E-2</v>
      </c>
      <c r="AF59" s="1052">
        <f t="shared" ref="AF59" si="76">AF58/$AP$58</f>
        <v>4.8985515105267663E-2</v>
      </c>
      <c r="AG59" s="1052">
        <f t="shared" ref="AG59" si="77">AG58/$AP$58</f>
        <v>1.8762522445432826E-2</v>
      </c>
      <c r="AH59" s="1052">
        <f t="shared" ref="AH59" si="78">AH58/$AP$58</f>
        <v>2.7146534930206235E-3</v>
      </c>
      <c r="AI59" s="1052">
        <f t="shared" ref="AI59" si="79">AI58/$AP$58</f>
        <v>3.7483631401181952E-2</v>
      </c>
      <c r="AJ59" s="1052">
        <f t="shared" ref="AJ59" si="80">AJ58/$AP$58</f>
        <v>5.2326427639813556E-3</v>
      </c>
      <c r="AK59" s="1052">
        <f t="shared" ref="AK59" si="81">AK58/$AP$58</f>
        <v>1.8478280460842947E-2</v>
      </c>
      <c r="AL59" s="1052">
        <f t="shared" ref="AL59" si="82">AL58/$AP$58</f>
        <v>2.408250848590196E-2</v>
      </c>
      <c r="AM59" s="1052">
        <f t="shared" ref="AM59" si="83">AM58/$AP$58</f>
        <v>9.0454051603900951E-2</v>
      </c>
      <c r="AN59" s="1052">
        <f t="shared" ref="AN59" si="84">AN58/$AP$58</f>
        <v>5.7408138316682525E-3</v>
      </c>
      <c r="AO59" s="1052">
        <f t="shared" ref="AO59" si="85">AO58/$AP$58</f>
        <v>7.8769072306194288E-2</v>
      </c>
      <c r="AP59" s="740"/>
      <c r="AR59" s="875" t="s">
        <v>253</v>
      </c>
      <c r="AS59" s="410">
        <f>AS58*AT59</f>
        <v>35604.198158668747</v>
      </c>
      <c r="AT59" s="1051">
        <v>0.50055551077706639</v>
      </c>
      <c r="AW59" s="875" t="s">
        <v>253</v>
      </c>
      <c r="AX59" s="410">
        <f>AX58*AY59</f>
        <v>22262.268996651572</v>
      </c>
      <c r="AY59" s="1051">
        <v>0.50055551077706639</v>
      </c>
    </row>
    <row r="60" spans="2:51" x14ac:dyDescent="0.45">
      <c r="AR60" s="875" t="s">
        <v>233</v>
      </c>
      <c r="AS60" s="410">
        <f>AS58*AT60</f>
        <v>27014.509333144535</v>
      </c>
      <c r="AT60" s="1051">
        <v>0.37979401915983474</v>
      </c>
      <c r="AW60" s="875" t="s">
        <v>233</v>
      </c>
      <c r="AX60" s="410">
        <f>AX58*AY60</f>
        <v>16891.386541184918</v>
      </c>
      <c r="AY60" s="1051">
        <v>0.37979401915983474</v>
      </c>
    </row>
    <row r="61" spans="2:51" x14ac:dyDescent="0.45">
      <c r="B61" s="882" t="s">
        <v>239</v>
      </c>
      <c r="C61" s="882" t="s">
        <v>311</v>
      </c>
      <c r="D61" s="882" t="s">
        <v>312</v>
      </c>
      <c r="F61" s="882" t="s">
        <v>239</v>
      </c>
      <c r="G61" s="882" t="s">
        <v>230</v>
      </c>
      <c r="H61" s="882" t="s">
        <v>312</v>
      </c>
      <c r="J61" s="882" t="s">
        <v>239</v>
      </c>
      <c r="K61" s="882" t="s">
        <v>230</v>
      </c>
      <c r="L61" s="882" t="s">
        <v>312</v>
      </c>
      <c r="R61" s="1054" t="s">
        <v>306</v>
      </c>
      <c r="S61" s="1054"/>
      <c r="T61" s="1054"/>
      <c r="U61" s="1055">
        <f>U58/U57</f>
        <v>39.793258824817741</v>
      </c>
      <c r="W61" s="882" t="s">
        <v>239</v>
      </c>
      <c r="X61" s="882" t="s">
        <v>311</v>
      </c>
      <c r="Y61" s="882" t="s">
        <v>312</v>
      </c>
      <c r="Z61" s="882" t="s">
        <v>313</v>
      </c>
      <c r="AB61" s="882" t="s">
        <v>239</v>
      </c>
      <c r="AC61" s="882" t="s">
        <v>314</v>
      </c>
      <c r="AD61" s="882" t="s">
        <v>312</v>
      </c>
      <c r="AE61" s="882" t="s">
        <v>315</v>
      </c>
      <c r="AG61" s="882" t="s">
        <v>239</v>
      </c>
      <c r="AH61" s="882" t="s">
        <v>230</v>
      </c>
      <c r="AI61" s="882" t="s">
        <v>312</v>
      </c>
      <c r="AJ61" s="882" t="s">
        <v>315</v>
      </c>
      <c r="AM61" s="1054" t="s">
        <v>306</v>
      </c>
      <c r="AN61" s="1054"/>
      <c r="AO61" s="1054"/>
      <c r="AP61" s="1055">
        <f>AP58/AP57</f>
        <v>40.000000000000007</v>
      </c>
      <c r="AR61" s="875" t="s">
        <v>254</v>
      </c>
      <c r="AS61" s="410">
        <f>AS58*AT61</f>
        <v>7695.5920127675799</v>
      </c>
      <c r="AT61" s="1051">
        <v>0.10819148274358495</v>
      </c>
      <c r="AW61" s="875" t="s">
        <v>254</v>
      </c>
      <c r="AX61" s="410">
        <f>AX58*AY61</f>
        <v>4811.8297374154636</v>
      </c>
      <c r="AY61" s="1051">
        <v>0.10819148274358495</v>
      </c>
    </row>
    <row r="62" spans="2:51" x14ac:dyDescent="0.45">
      <c r="B62" s="882" t="s">
        <v>2</v>
      </c>
      <c r="C62" s="1059">
        <f>SUMIFS(C$55:T$55,C$42:T$42,B62)</f>
        <v>772833.43952975434</v>
      </c>
      <c r="D62" s="1060">
        <f>C62/SUM(U$55)</f>
        <v>0.47949812033762879</v>
      </c>
      <c r="E62" s="344"/>
      <c r="F62" s="882" t="s">
        <v>2</v>
      </c>
      <c r="G62" s="1059">
        <f>SUMIFS(C$56:T$56,C$42:T$42,F62)</f>
        <v>730912.82924007962</v>
      </c>
      <c r="H62" s="1060">
        <f>G62/SUM(U$56)</f>
        <v>0.40809074735510653</v>
      </c>
      <c r="J62" s="882" t="s">
        <v>2</v>
      </c>
      <c r="K62" s="1059">
        <f>SUMIFS(C$57:T$57,C$42:T$42,J62)</f>
        <v>1503746.2687698335</v>
      </c>
      <c r="L62" s="1060">
        <f>K62/SUM(U$57)</f>
        <v>0.44191314655197816</v>
      </c>
      <c r="W62" s="882" t="s">
        <v>2</v>
      </c>
      <c r="X62" s="1059">
        <f>SUMIFS(X$55:AO$55,X$42:AO$42,W62)</f>
        <v>772833.43952975434</v>
      </c>
      <c r="Y62" s="1060">
        <f>X62/SUM(AP$55)</f>
        <v>0.47949812033762879</v>
      </c>
      <c r="Z62" s="1060">
        <f>X62/C62-1</f>
        <v>0</v>
      </c>
      <c r="AB62" s="882" t="s">
        <v>2</v>
      </c>
      <c r="AC62" s="1059">
        <f>SUMIFS(X$56:AO$56,X$42:AO$42,AB62)</f>
        <v>500655.05441571842</v>
      </c>
      <c r="AD62" s="1060">
        <f>AC62/SUM(AP$56)</f>
        <v>0.44625467725306645</v>
      </c>
      <c r="AE62" s="1060">
        <f>AC62/G62-1</f>
        <v>-0.31502768266327619</v>
      </c>
      <c r="AG62" s="882" t="s">
        <v>2</v>
      </c>
      <c r="AH62" s="1059">
        <f>SUMIFS(X$57:AO$57,X$42:AO$42,AG62)</f>
        <v>1273488.4939454726</v>
      </c>
      <c r="AI62" s="1060">
        <f>AH62/SUM(AP$57)</f>
        <v>0.4658548825577668</v>
      </c>
      <c r="AJ62" s="1060">
        <f>AH62/K62-1</f>
        <v>-0.15312275721403945</v>
      </c>
    </row>
    <row r="63" spans="2:51" x14ac:dyDescent="0.45">
      <c r="B63" s="882" t="s">
        <v>3</v>
      </c>
      <c r="C63" s="1059">
        <f t="shared" ref="C63:C64" si="86">SUMIFS(C$55:T$55,C$42:T$42,B63)</f>
        <v>184368.66684742726</v>
      </c>
      <c r="D63" s="1060">
        <f t="shared" ref="D63:D64" si="87">C63/SUM(U$55)</f>
        <v>0.11439001559804048</v>
      </c>
      <c r="F63" s="882" t="s">
        <v>3</v>
      </c>
      <c r="G63" s="1059">
        <f t="shared" ref="G63:G64" si="88">SUMIFS(C$56:T$56,C$42:T$42,F63)</f>
        <v>227133.98877261774</v>
      </c>
      <c r="H63" s="1060">
        <f t="shared" ref="H63:H64" si="89">G63/SUM(U$56)</f>
        <v>0.12681577818839743</v>
      </c>
      <c r="J63" s="882" t="s">
        <v>3</v>
      </c>
      <c r="K63" s="1059">
        <f>SUMIFS(C$57:T$57,C$42:T$42,J63)</f>
        <v>411502.65562004503</v>
      </c>
      <c r="L63" s="1060">
        <f t="shared" ref="L63:L64" si="90">K63/SUM(U$57)</f>
        <v>0.12093026405865233</v>
      </c>
      <c r="W63" s="882" t="s">
        <v>3</v>
      </c>
      <c r="X63" s="1059">
        <f t="shared" ref="X63:X64" si="91">SUMIFS(X$55:AO$55,X$42:AO$42,W63)</f>
        <v>184368.66684742726</v>
      </c>
      <c r="Y63" s="1060">
        <f t="shared" ref="Y63:Y64" si="92">X63/SUM(AP$55)</f>
        <v>0.11439001559804048</v>
      </c>
      <c r="Z63" s="1060">
        <f t="shared" ref="Z63:Z64" si="93">X63/C63-1</f>
        <v>0</v>
      </c>
      <c r="AB63" s="882" t="s">
        <v>3</v>
      </c>
      <c r="AC63" s="1059">
        <f t="shared" ref="AC63:AC64" si="94">SUMIFS(X$56:AO$56,X$42:AO$42,AB63)</f>
        <v>170174.18185072023</v>
      </c>
      <c r="AD63" s="1060">
        <f t="shared" ref="AD63:AD64" si="95">AC63/SUM(AP$56)</f>
        <v>0.15168332753021652</v>
      </c>
      <c r="AE63" s="1060">
        <f t="shared" ref="AE63:AE64" si="96">AC63/G63-1</f>
        <v>-0.25077623665967308</v>
      </c>
      <c r="AG63" s="882" t="s">
        <v>3</v>
      </c>
      <c r="AH63" s="1059">
        <f t="shared" ref="AH63:AH64" si="97">SUMIFS(X$57:AO$57,X$42:AO$42,AG63)</f>
        <v>354542.84869814751</v>
      </c>
      <c r="AI63" s="1060">
        <f t="shared" ref="AI63:AI64" si="98">AH63/SUM(AP$57)</f>
        <v>0.12969533523641208</v>
      </c>
      <c r="AJ63" s="1060">
        <f t="shared" ref="AJ63:AJ64" si="99">AH63/K63-1</f>
        <v>-0.13841905062817028</v>
      </c>
    </row>
    <row r="64" spans="2:51" x14ac:dyDescent="0.45">
      <c r="B64" s="882" t="s">
        <v>4</v>
      </c>
      <c r="C64" s="1059">
        <f t="shared" si="86"/>
        <v>654552.78222505038</v>
      </c>
      <c r="D64" s="1060">
        <f t="shared" si="87"/>
        <v>0.40611186406433097</v>
      </c>
      <c r="F64" s="882" t="s">
        <v>4</v>
      </c>
      <c r="G64" s="1059">
        <f t="shared" si="88"/>
        <v>833007.82847764471</v>
      </c>
      <c r="H64" s="1060">
        <f t="shared" si="89"/>
        <v>0.46509347445649635</v>
      </c>
      <c r="J64" s="882" t="s">
        <v>4</v>
      </c>
      <c r="K64" s="1059">
        <f>SUMIFS(C$57:T$57,C$42:T$42,J64)</f>
        <v>1487560.6107026951</v>
      </c>
      <c r="L64" s="1060">
        <f t="shared" si="90"/>
        <v>0.43715658938936924</v>
      </c>
      <c r="W64" s="882" t="s">
        <v>4</v>
      </c>
      <c r="X64" s="1059">
        <f t="shared" si="91"/>
        <v>654552.78222505038</v>
      </c>
      <c r="Y64" s="1060">
        <f t="shared" si="92"/>
        <v>0.40611186406433097</v>
      </c>
      <c r="Z64" s="1060">
        <f t="shared" si="93"/>
        <v>0</v>
      </c>
      <c r="AB64" s="882" t="s">
        <v>4</v>
      </c>
      <c r="AC64" s="1059">
        <f t="shared" si="94"/>
        <v>451075.09311228077</v>
      </c>
      <c r="AD64" s="1060">
        <f t="shared" si="95"/>
        <v>0.40206199521671698</v>
      </c>
      <c r="AE64" s="1060">
        <f t="shared" si="96"/>
        <v>-0.4584983745751362</v>
      </c>
      <c r="AG64" s="882" t="s">
        <v>4</v>
      </c>
      <c r="AH64" s="1059">
        <f t="shared" si="97"/>
        <v>1105627.8753373309</v>
      </c>
      <c r="AI64" s="1060">
        <f t="shared" si="98"/>
        <v>0.40444978220582106</v>
      </c>
      <c r="AJ64" s="1060">
        <f t="shared" si="99"/>
        <v>-0.25675104101132828</v>
      </c>
    </row>
    <row r="65" spans="2:36" hidden="1" outlineLevel="1" x14ac:dyDescent="0.45">
      <c r="B65" s="882" t="s">
        <v>2</v>
      </c>
      <c r="C65" s="1059">
        <f>C62*RIGHT(C$42,2)</f>
        <v>30913337.581190173</v>
      </c>
      <c r="D65" s="1060"/>
      <c r="F65" s="882" t="s">
        <v>2</v>
      </c>
      <c r="G65" s="1059">
        <f>G62*RIGHT(G$42,2)</f>
        <v>29236513.169603184</v>
      </c>
      <c r="H65" s="1060"/>
      <c r="J65" s="882" t="s">
        <v>2</v>
      </c>
      <c r="K65" s="1059">
        <f>K62*RIGHT(K$42,2)</f>
        <v>60149850.750793338</v>
      </c>
      <c r="L65" s="1060"/>
      <c r="W65" s="882" t="s">
        <v>2</v>
      </c>
      <c r="X65" s="1059">
        <f>X62*RIGHT(X$42,2)</f>
        <v>30913337.581190173</v>
      </c>
      <c r="Y65" s="1060"/>
      <c r="Z65" s="1060"/>
      <c r="AB65" s="882" t="s">
        <v>2</v>
      </c>
      <c r="AC65" s="1059">
        <f>AC62*RIGHT(AC$42,2)</f>
        <v>20026202.176628739</v>
      </c>
      <c r="AD65" s="1060"/>
      <c r="AE65" s="1060"/>
      <c r="AG65" s="882" t="s">
        <v>2</v>
      </c>
      <c r="AH65" s="1059">
        <f>AH62*RIGHT(AH$42,2)</f>
        <v>50939539.757818907</v>
      </c>
      <c r="AI65" s="1060"/>
      <c r="AJ65" s="1060"/>
    </row>
    <row r="66" spans="2:36" hidden="1" outlineLevel="1" x14ac:dyDescent="0.45">
      <c r="B66" s="882" t="s">
        <v>3</v>
      </c>
      <c r="C66" s="1059">
        <f t="shared" ref="C66:C67" si="100">C63*RIGHT(C$42,2)</f>
        <v>7374746.6738970904</v>
      </c>
      <c r="D66" s="1060"/>
      <c r="F66" s="882" t="s">
        <v>3</v>
      </c>
      <c r="G66" s="1059">
        <f t="shared" ref="G66:G67" si="101">G63*RIGHT(G$42,2)</f>
        <v>9085359.5509047098</v>
      </c>
      <c r="H66" s="1060"/>
      <c r="J66" s="882" t="s">
        <v>3</v>
      </c>
      <c r="K66" s="1059">
        <f t="shared" ref="K66:K67" si="102">K63*RIGHT(K$42,2)</f>
        <v>16460106.224801801</v>
      </c>
      <c r="L66" s="1060"/>
      <c r="W66" s="882" t="s">
        <v>3</v>
      </c>
      <c r="X66" s="1059">
        <f t="shared" ref="X66:X67" si="103">X63*RIGHT(X$42,2)</f>
        <v>7374746.6738970904</v>
      </c>
      <c r="Y66" s="1060"/>
      <c r="Z66" s="1060"/>
      <c r="AB66" s="882" t="s">
        <v>3</v>
      </c>
      <c r="AC66" s="1059">
        <f t="shared" ref="AC66:AC67" si="104">AC63*RIGHT(AC$42,2)</f>
        <v>6806967.2740288088</v>
      </c>
      <c r="AD66" s="1060"/>
      <c r="AE66" s="1060"/>
      <c r="AG66" s="882" t="s">
        <v>3</v>
      </c>
      <c r="AH66" s="1059">
        <f t="shared" ref="AH66:AH67" si="105">AH63*RIGHT(AH$42,2)</f>
        <v>14181713.947925901</v>
      </c>
      <c r="AI66" s="1060"/>
      <c r="AJ66" s="1060"/>
    </row>
    <row r="67" spans="2:36" hidden="1" outlineLevel="1" x14ac:dyDescent="0.45">
      <c r="B67" s="882" t="s">
        <v>4</v>
      </c>
      <c r="C67" s="1059">
        <f t="shared" si="100"/>
        <v>26182111.289002016</v>
      </c>
      <c r="D67" s="1060"/>
      <c r="F67" s="882" t="s">
        <v>4</v>
      </c>
      <c r="G67" s="1059">
        <f t="shared" si="101"/>
        <v>33320313.139105789</v>
      </c>
      <c r="H67" s="1060"/>
      <c r="J67" s="882" t="s">
        <v>4</v>
      </c>
      <c r="K67" s="1059">
        <f t="shared" si="102"/>
        <v>59502424.428107806</v>
      </c>
      <c r="L67" s="1060"/>
      <c r="W67" s="882" t="s">
        <v>4</v>
      </c>
      <c r="X67" s="1059">
        <f t="shared" si="103"/>
        <v>26182111.289002016</v>
      </c>
      <c r="Y67" s="1060"/>
      <c r="Z67" s="1060"/>
      <c r="AB67" s="882" t="s">
        <v>4</v>
      </c>
      <c r="AC67" s="1059">
        <f t="shared" si="104"/>
        <v>18043003.724491231</v>
      </c>
      <c r="AD67" s="1060"/>
      <c r="AE67" s="1060"/>
      <c r="AG67" s="882" t="s">
        <v>4</v>
      </c>
      <c r="AH67" s="1059">
        <f t="shared" si="105"/>
        <v>44225115.013493232</v>
      </c>
      <c r="AI67" s="1060"/>
      <c r="AJ67" s="1060"/>
    </row>
    <row r="68" spans="2:36" collapsed="1" x14ac:dyDescent="0.45">
      <c r="B68" s="879" t="s">
        <v>201</v>
      </c>
      <c r="C68" s="1066">
        <f>SUM(C62:C64)</f>
        <v>1611754.8886022321</v>
      </c>
      <c r="D68" s="1067">
        <f>SUM(D62:D64)</f>
        <v>1.0000000000000002</v>
      </c>
      <c r="F68" s="879" t="s">
        <v>201</v>
      </c>
      <c r="G68" s="1066">
        <f>SUM(G62:G64)</f>
        <v>1791054.646490342</v>
      </c>
      <c r="H68" s="1067">
        <f>SUM(H62:H64)</f>
        <v>1.0000000000000002</v>
      </c>
      <c r="J68" s="879" t="s">
        <v>201</v>
      </c>
      <c r="K68" s="1066">
        <f>SUM(K62:K64)</f>
        <v>3402809.5350925736</v>
      </c>
      <c r="L68" s="1067">
        <f>SUM(L62:L64)</f>
        <v>0.99999999999999978</v>
      </c>
      <c r="W68" s="879" t="s">
        <v>201</v>
      </c>
      <c r="X68" s="1066">
        <f>SUM(X62:X64)</f>
        <v>1611754.8886022321</v>
      </c>
      <c r="Y68" s="1067">
        <f>SUM(Y62:Y64)</f>
        <v>1.0000000000000002</v>
      </c>
      <c r="Z68" s="1068">
        <f>X68/C68-1</f>
        <v>0</v>
      </c>
      <c r="AB68" s="879" t="s">
        <v>201</v>
      </c>
      <c r="AC68" s="1066">
        <f>SUM(AC62:AC64)</f>
        <v>1121904.3293787194</v>
      </c>
      <c r="AD68" s="1067">
        <f>SUM(AD62:AD64)</f>
        <v>1</v>
      </c>
      <c r="AE68" s="1068">
        <f>AC68/G68-1</f>
        <v>-0.37360686812256394</v>
      </c>
      <c r="AG68" s="879" t="s">
        <v>201</v>
      </c>
      <c r="AH68" s="1066">
        <f>SUM(AH62:AH64)</f>
        <v>2733659.2179809511</v>
      </c>
      <c r="AI68" s="1067">
        <f>SUM(AI62:AI64)</f>
        <v>1</v>
      </c>
      <c r="AJ68" s="1068">
        <f>AH68/K68-1</f>
        <v>-0.19664642120306575</v>
      </c>
    </row>
  </sheetData>
  <pageMargins left="0.7" right="0.7" top="0.75" bottom="0.75" header="0.3" footer="0.3"/>
  <pageSetup paperSize="9" orientation="portrait" verticalDpi="597" r:id="rId1"/>
  <customProperties>
    <customPr name="_pios_id" r:id="rId2"/>
  </customProperties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F650-E76A-4070-99E1-FCE897E05E64}">
  <dimension ref="B2:F14"/>
  <sheetViews>
    <sheetView showGridLines="0" zoomScale="145" zoomScaleNormal="145" workbookViewId="0">
      <selection activeCell="CS62" sqref="CS62"/>
    </sheetView>
  </sheetViews>
  <sheetFormatPr defaultRowHeight="14.25" x14ac:dyDescent="0.45"/>
  <cols>
    <col min="2" max="2" width="15.73046875" bestFit="1" customWidth="1"/>
    <col min="3" max="3" width="18.265625" bestFit="1" customWidth="1"/>
    <col min="4" max="4" width="16.86328125" bestFit="1" customWidth="1"/>
    <col min="5" max="5" width="10.3984375" bestFit="1" customWidth="1"/>
    <col min="6" max="6" width="12" bestFit="1" customWidth="1"/>
  </cols>
  <sheetData>
    <row r="2" spans="2:6" x14ac:dyDescent="0.45">
      <c r="B2" s="325" t="s">
        <v>239</v>
      </c>
      <c r="C2" s="325" t="s">
        <v>316</v>
      </c>
      <c r="D2" s="325" t="s">
        <v>317</v>
      </c>
      <c r="E2" s="325" t="s">
        <v>315</v>
      </c>
    </row>
    <row r="3" spans="2:6" x14ac:dyDescent="0.45">
      <c r="B3" s="325" t="s">
        <v>253</v>
      </c>
      <c r="C3" s="325">
        <v>1663</v>
      </c>
      <c r="D3" s="325">
        <v>1824</v>
      </c>
      <c r="E3" s="328">
        <f>D3/C3-1</f>
        <v>9.6812988574864756E-2</v>
      </c>
    </row>
    <row r="4" spans="2:6" x14ac:dyDescent="0.45">
      <c r="B4" s="325" t="s">
        <v>254</v>
      </c>
      <c r="C4" s="325">
        <v>1886</v>
      </c>
      <c r="D4" s="325">
        <v>1952</v>
      </c>
      <c r="E4" s="328">
        <f t="shared" ref="E4:E5" si="0">D4/C4-1</f>
        <v>3.4994697773064631E-2</v>
      </c>
    </row>
    <row r="5" spans="2:6" x14ac:dyDescent="0.45">
      <c r="B5" s="325" t="s">
        <v>233</v>
      </c>
      <c r="C5" s="325">
        <v>2101</v>
      </c>
      <c r="D5" s="325">
        <v>2101</v>
      </c>
      <c r="E5" s="328">
        <f t="shared" si="0"/>
        <v>0</v>
      </c>
    </row>
    <row r="7" spans="2:6" x14ac:dyDescent="0.45">
      <c r="B7" s="1041" t="s">
        <v>239</v>
      </c>
      <c r="C7" s="533" t="s">
        <v>187</v>
      </c>
      <c r="D7" s="533" t="s">
        <v>318</v>
      </c>
      <c r="E7" s="533" t="s">
        <v>188</v>
      </c>
      <c r="F7" s="1042" t="s">
        <v>319</v>
      </c>
    </row>
    <row r="8" spans="2:6" x14ac:dyDescent="0.45">
      <c r="B8" s="1039" t="s">
        <v>2</v>
      </c>
      <c r="C8" s="325">
        <v>1403</v>
      </c>
      <c r="D8" s="939">
        <f>C8/14200*RIGHT($B8,2)</f>
        <v>3.9521126760563381</v>
      </c>
      <c r="E8" s="325">
        <v>1663</v>
      </c>
      <c r="F8" s="1040">
        <f>E8/14200*RIGHT($B8,2)</f>
        <v>4.6845070422535215</v>
      </c>
    </row>
    <row r="9" spans="2:6" x14ac:dyDescent="0.45">
      <c r="B9" s="1039" t="s">
        <v>3</v>
      </c>
      <c r="C9" s="325">
        <v>1574</v>
      </c>
      <c r="D9" s="939">
        <f t="shared" ref="D9:F14" si="1">C9/14200*RIGHT($B9,2)</f>
        <v>4.4338028169014079</v>
      </c>
      <c r="E9" s="325">
        <v>1886</v>
      </c>
      <c r="F9" s="1040">
        <f t="shared" si="1"/>
        <v>5.3126760563380282</v>
      </c>
    </row>
    <row r="10" spans="2:6" x14ac:dyDescent="0.45">
      <c r="B10" s="1039" t="s">
        <v>4</v>
      </c>
      <c r="C10" s="325">
        <v>1856</v>
      </c>
      <c r="D10" s="939">
        <f t="shared" si="1"/>
        <v>5.2281690140845072</v>
      </c>
      <c r="E10" s="325">
        <v>2101</v>
      </c>
      <c r="F10" s="1040">
        <f t="shared" si="1"/>
        <v>5.9183098591549301</v>
      </c>
    </row>
    <row r="11" spans="2:6" x14ac:dyDescent="0.45">
      <c r="B11" s="1039" t="s">
        <v>135</v>
      </c>
      <c r="C11" s="325">
        <v>1446</v>
      </c>
      <c r="D11" s="939">
        <f t="shared" si="1"/>
        <v>4.0732394366197182</v>
      </c>
      <c r="E11" s="325">
        <v>1718</v>
      </c>
      <c r="F11" s="1040">
        <f t="shared" si="1"/>
        <v>4.8394366197183096</v>
      </c>
    </row>
    <row r="12" spans="2:6" x14ac:dyDescent="0.45">
      <c r="B12" s="1039" t="s">
        <v>154</v>
      </c>
      <c r="C12" s="325">
        <v>3284</v>
      </c>
      <c r="D12" s="939">
        <f t="shared" si="1"/>
        <v>2.7752112676056342</v>
      </c>
      <c r="E12" s="325">
        <v>3615</v>
      </c>
      <c r="F12" s="1040">
        <f t="shared" si="1"/>
        <v>3.0549295774647884</v>
      </c>
    </row>
    <row r="13" spans="2:6" x14ac:dyDescent="0.45">
      <c r="B13" s="1039" t="s">
        <v>137</v>
      </c>
      <c r="C13" s="325">
        <v>3249</v>
      </c>
      <c r="D13" s="939">
        <f t="shared" si="1"/>
        <v>2.7456338028169012</v>
      </c>
      <c r="E13" s="325">
        <v>3556</v>
      </c>
      <c r="F13" s="1040">
        <f t="shared" si="1"/>
        <v>3.0050704225352112</v>
      </c>
    </row>
    <row r="14" spans="2:6" x14ac:dyDescent="0.45">
      <c r="B14" s="444" t="s">
        <v>138</v>
      </c>
      <c r="C14" s="499">
        <v>2378</v>
      </c>
      <c r="D14" s="1043">
        <f t="shared" si="1"/>
        <v>4.0191549295774651</v>
      </c>
      <c r="E14" s="499">
        <v>2488</v>
      </c>
      <c r="F14" s="1044">
        <f t="shared" si="1"/>
        <v>4.2050704225352113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7926-E5D3-4E5F-821F-4A2EDDB5C18D}">
  <sheetPr>
    <pageSetUpPr fitToPage="1"/>
  </sheetPr>
  <dimension ref="A1:CL178"/>
  <sheetViews>
    <sheetView showGridLines="0" zoomScale="95" zoomScaleNormal="70" zoomScaleSheetLayoutView="80" workbookViewId="0">
      <pane xSplit="5" ySplit="6" topLeftCell="BQ7" activePane="bottomRight" state="frozen"/>
      <selection pane="topRight" activeCell="N134" sqref="N134"/>
      <selection pane="bottomLeft" activeCell="N134" sqref="N134"/>
      <selection pane="bottomRight" activeCell="BK77" sqref="BK77"/>
    </sheetView>
  </sheetViews>
  <sheetFormatPr defaultRowHeight="14.25" outlineLevelRow="4" outlineLevelCol="1" x14ac:dyDescent="0.45"/>
  <cols>
    <col min="1" max="1" width="2.1328125" customWidth="1"/>
    <col min="2" max="2" width="4.59765625" customWidth="1"/>
    <col min="3" max="3" width="25.3984375" customWidth="1"/>
    <col min="4" max="4" width="7.265625" customWidth="1"/>
    <col min="5" max="5" width="4.3984375" customWidth="1"/>
    <col min="6" max="23" width="12.86328125" customWidth="1" outlineLevel="1"/>
    <col min="24" max="24" width="12.86328125" customWidth="1" outlineLevel="1" collapsed="1"/>
    <col min="25" max="41" width="12.86328125" customWidth="1" outlineLevel="1"/>
    <col min="42" max="42" width="12.86328125" customWidth="1" outlineLevel="1" collapsed="1"/>
    <col min="43" max="43" width="12.86328125" customWidth="1" outlineLevel="1"/>
    <col min="44" max="45" width="12.86328125" hidden="1" customWidth="1" outlineLevel="1"/>
    <col min="46" max="63" width="12.86328125" customWidth="1"/>
    <col min="64" max="69" width="12.59765625" customWidth="1"/>
    <col min="70" max="79" width="12.86328125" customWidth="1"/>
    <col min="80" max="80" width="16.3984375" bestFit="1" customWidth="1"/>
    <col min="81" max="82" width="12.86328125" customWidth="1"/>
    <col min="83" max="83" width="19.59765625" customWidth="1"/>
    <col min="84" max="84" width="7.73046875" customWidth="1"/>
    <col min="85" max="85" width="2" customWidth="1"/>
    <col min="86" max="86" width="17" customWidth="1"/>
    <col min="87" max="87" width="7.86328125" customWidth="1"/>
    <col min="88" max="88" width="1.73046875" customWidth="1"/>
    <col min="89" max="89" width="16" bestFit="1" customWidth="1"/>
    <col min="90" max="90" width="7.265625" customWidth="1"/>
  </cols>
  <sheetData>
    <row r="1" spans="1:85" x14ac:dyDescent="0.45">
      <c r="BL1" s="1262" t="s">
        <v>320</v>
      </c>
      <c r="BM1" s="1262"/>
      <c r="BN1" s="1262" t="s">
        <v>320</v>
      </c>
      <c r="BO1" s="1262"/>
      <c r="BP1" s="1262" t="s">
        <v>320</v>
      </c>
      <c r="BQ1" s="1262"/>
    </row>
    <row r="2" spans="1:85" ht="15.75" customHeight="1" thickBot="1" x14ac:dyDescent="0.5">
      <c r="F2" s="1273" t="str">
        <f>F4</f>
        <v>PMAD LOKAL 12</v>
      </c>
      <c r="G2" s="1273"/>
      <c r="H2" s="1231" t="str">
        <f>H4</f>
        <v>PMAD LOKAL 12</v>
      </c>
      <c r="I2" s="1231"/>
      <c r="J2" s="1231" t="str">
        <f>J4</f>
        <v>PMAD LOKAL 12</v>
      </c>
      <c r="K2" s="1231"/>
      <c r="L2" s="1231" t="str">
        <f>L4</f>
        <v>PMAD LOKAL 12</v>
      </c>
      <c r="M2" s="1231"/>
      <c r="N2" s="1231" t="str">
        <f>N4</f>
        <v>PMAD LOKAL 12</v>
      </c>
      <c r="O2" s="1231"/>
      <c r="P2" s="1231" t="str">
        <f>P4</f>
        <v>PMAD LOKAL 12</v>
      </c>
      <c r="Q2" s="1231"/>
      <c r="R2" s="1231" t="str">
        <f>R4</f>
        <v>PMAD LOKAL 12</v>
      </c>
      <c r="S2" s="1231"/>
      <c r="T2" s="1231" t="str">
        <f>T4</f>
        <v>PMAD LOKAL 12</v>
      </c>
      <c r="U2" s="1231"/>
      <c r="V2" s="1231" t="str">
        <f>V4</f>
        <v>PMAD LOKAL 12</v>
      </c>
      <c r="W2" s="1231"/>
      <c r="X2" s="1231" t="str">
        <f>X4</f>
        <v>PMAD LOKAL 12</v>
      </c>
      <c r="Y2" s="1231"/>
      <c r="Z2" s="1231" t="str">
        <f>Z4</f>
        <v>PMAD LOKAL 12</v>
      </c>
      <c r="AA2" s="1231"/>
      <c r="AB2" s="1231" t="str">
        <f>AB4</f>
        <v>PMAD LOKAL 12</v>
      </c>
      <c r="AC2" s="1231"/>
      <c r="AD2" s="1231" t="str">
        <f t="shared" ref="AD2" si="0">AD4</f>
        <v>PMAD LOKAL 12</v>
      </c>
      <c r="AE2" s="1231"/>
      <c r="AF2" s="1231" t="str">
        <f t="shared" ref="AF2" si="1">AF4</f>
        <v>PMAD LOKAL 12</v>
      </c>
      <c r="AG2" s="1231"/>
      <c r="AH2" s="1231" t="str">
        <f t="shared" ref="AH2" si="2">AH4</f>
        <v>PMAD LOKAL 12</v>
      </c>
      <c r="AI2" s="1231"/>
      <c r="AJ2" s="1231" t="str">
        <f t="shared" ref="AJ2" si="3">AJ4</f>
        <v>PMAD LOKAL 12</v>
      </c>
      <c r="AK2" s="1231"/>
      <c r="AL2" s="1231" t="str">
        <f t="shared" ref="AL2" si="4">AL4</f>
        <v>PMAD LOKAL 12</v>
      </c>
      <c r="AM2" s="1231"/>
      <c r="AN2" s="1231" t="str">
        <f t="shared" ref="AN2:AP2" si="5">AN4</f>
        <v>PMAD LOKAL 12</v>
      </c>
      <c r="AO2" s="1231"/>
      <c r="AP2" s="1231" t="str">
        <f t="shared" si="5"/>
        <v>PMAD LOKAL 12</v>
      </c>
      <c r="AQ2" s="1231"/>
      <c r="AR2" s="1231" t="str">
        <f t="shared" ref="AR2" si="6">AR4</f>
        <v>PMAD LOKAL 12</v>
      </c>
      <c r="AS2" s="1231"/>
      <c r="AT2" s="1231" t="str">
        <f t="shared" ref="AT2:AV2" si="7">AT4</f>
        <v>PMAD LOKAL 12</v>
      </c>
      <c r="AU2" s="1231"/>
      <c r="AV2" s="1231" t="str">
        <f t="shared" si="7"/>
        <v>PMAD LOKAL 12</v>
      </c>
      <c r="AW2" s="1231"/>
      <c r="AX2" s="1231" t="str">
        <f t="shared" ref="AX2" si="8">AX4</f>
        <v>PMAD LOKAL 12</v>
      </c>
      <c r="AY2" s="1231"/>
      <c r="AZ2" s="1231" t="str">
        <f t="shared" ref="AZ2:BB2" si="9">AZ4</f>
        <v>PMAD LOKAL 12</v>
      </c>
      <c r="BA2" s="1231"/>
      <c r="BB2" s="1231" t="str">
        <f t="shared" si="9"/>
        <v>PMAD LOKAL 12</v>
      </c>
      <c r="BC2" s="1231"/>
      <c r="BD2" s="1231" t="str">
        <f t="shared" ref="BD2" si="10">BD4</f>
        <v>PMAD LOKAL 12</v>
      </c>
      <c r="BE2" s="1231"/>
      <c r="BF2" s="1254">
        <f>21278*BG44</f>
        <v>15760.227727272697</v>
      </c>
      <c r="BG2" s="1255"/>
      <c r="BH2" s="1254">
        <f>21278*BI44</f>
        <v>446.51560606058501</v>
      </c>
      <c r="BI2" s="1255"/>
      <c r="BJ2" s="1254">
        <f>21278*BK44</f>
        <v>5803.0909090909008</v>
      </c>
      <c r="BK2" s="1255"/>
      <c r="BL2" s="1254"/>
      <c r="BM2" s="1255"/>
      <c r="BN2" s="1254"/>
      <c r="BO2" s="1255"/>
      <c r="BP2" s="1254"/>
      <c r="BQ2" s="1255"/>
      <c r="BR2" s="1254">
        <f>13245*BS44</f>
        <v>15734.834232954539</v>
      </c>
      <c r="BS2" s="1255"/>
      <c r="BT2" s="1254">
        <f>21278*BU44</f>
        <v>4633.4053977272661</v>
      </c>
      <c r="BU2" s="1255"/>
      <c r="BV2" s="1231" t="str">
        <f t="shared" ref="BV2" si="11">BV4</f>
        <v>MAMA 72</v>
      </c>
      <c r="BW2" s="1231"/>
      <c r="BX2" s="620"/>
      <c r="BY2" s="620"/>
      <c r="BZ2" s="620"/>
      <c r="CA2" s="620"/>
      <c r="CB2" s="620"/>
      <c r="CC2" s="620"/>
      <c r="CD2" s="620"/>
      <c r="CE2" s="620"/>
      <c r="CF2" s="620"/>
      <c r="CG2" s="620"/>
    </row>
    <row r="3" spans="1:85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340</v>
      </c>
      <c r="AS3" s="1257"/>
      <c r="AT3" s="1256" t="s">
        <v>341</v>
      </c>
      <c r="AU3" s="1257"/>
      <c r="AV3" s="1256" t="s">
        <v>342</v>
      </c>
      <c r="AW3" s="1257"/>
      <c r="AX3" s="1256" t="s">
        <v>343</v>
      </c>
      <c r="AY3" s="1257"/>
      <c r="AZ3" s="1256" t="s">
        <v>344</v>
      </c>
      <c r="BA3" s="1257"/>
      <c r="BB3" s="1256" t="s">
        <v>345</v>
      </c>
      <c r="BC3" s="1257"/>
      <c r="BD3" s="1256" t="s">
        <v>346</v>
      </c>
      <c r="BE3" s="1257"/>
      <c r="BF3" s="1256" t="s">
        <v>347</v>
      </c>
      <c r="BG3" s="1257"/>
      <c r="BH3" s="1256" t="s">
        <v>348</v>
      </c>
      <c r="BI3" s="1257"/>
      <c r="BJ3" s="1256" t="s">
        <v>349</v>
      </c>
      <c r="BK3" s="1257"/>
      <c r="BL3" s="1263" t="s">
        <v>350</v>
      </c>
      <c r="BM3" s="1264"/>
      <c r="BN3" s="1263" t="s">
        <v>348</v>
      </c>
      <c r="BO3" s="1264"/>
      <c r="BP3" s="1263" t="s">
        <v>349</v>
      </c>
      <c r="BQ3" s="1264"/>
      <c r="BR3" s="1256" t="s">
        <v>351</v>
      </c>
      <c r="BS3" s="1257"/>
      <c r="BT3" s="1256" t="s">
        <v>352</v>
      </c>
      <c r="BU3" s="1257"/>
      <c r="BV3" s="1256" t="s">
        <v>351</v>
      </c>
      <c r="BW3" s="1257"/>
      <c r="BX3" s="1147"/>
      <c r="BY3" s="1147"/>
      <c r="BZ3" s="1147"/>
      <c r="CA3" s="1147"/>
      <c r="CB3" s="1147"/>
      <c r="CC3" s="1147"/>
      <c r="CD3" s="1147"/>
      <c r="CE3" s="1147"/>
      <c r="CF3" s="1147"/>
      <c r="CG3" s="1147"/>
    </row>
    <row r="4" spans="1:85" s="4" customFormat="1" ht="21.75" thickTop="1" thickBot="1" x14ac:dyDescent="0.5">
      <c r="A4" s="561"/>
      <c r="B4" s="2"/>
      <c r="C4" s="3"/>
      <c r="D4" s="6"/>
      <c r="E4" s="245"/>
      <c r="F4" s="1274" t="s">
        <v>137</v>
      </c>
      <c r="G4" s="1274"/>
      <c r="H4" s="1275" t="str">
        <f>F4</f>
        <v>PMAD LOKAL 12</v>
      </c>
      <c r="I4" s="1276"/>
      <c r="J4" s="1275" t="str">
        <f>H4</f>
        <v>PMAD LOKAL 12</v>
      </c>
      <c r="K4" s="1276"/>
      <c r="L4" s="1275" t="str">
        <f>J4</f>
        <v>PMAD LOKAL 12</v>
      </c>
      <c r="M4" s="1276"/>
      <c r="N4" s="1275" t="str">
        <f>L4</f>
        <v>PMAD LOKAL 12</v>
      </c>
      <c r="O4" s="1276"/>
      <c r="P4" s="1275" t="str">
        <f>N4</f>
        <v>PMAD LOKAL 12</v>
      </c>
      <c r="Q4" s="1276"/>
      <c r="R4" s="1275" t="str">
        <f>P4</f>
        <v>PMAD LOKAL 12</v>
      </c>
      <c r="S4" s="1276"/>
      <c r="T4" s="1275" t="str">
        <f>R4</f>
        <v>PMAD LOKAL 12</v>
      </c>
      <c r="U4" s="1276"/>
      <c r="V4" s="1275" t="str">
        <f>T4</f>
        <v>PMAD LOKAL 12</v>
      </c>
      <c r="W4" s="1276"/>
      <c r="X4" s="1275" t="str">
        <f>V4</f>
        <v>PMAD LOKAL 12</v>
      </c>
      <c r="Y4" s="1276"/>
      <c r="Z4" s="1275" t="str">
        <f>X4</f>
        <v>PMAD LOKAL 12</v>
      </c>
      <c r="AA4" s="1276"/>
      <c r="AB4" s="1275" t="str">
        <f>Z4</f>
        <v>PMAD LOKAL 12</v>
      </c>
      <c r="AC4" s="1276"/>
      <c r="AD4" s="1275" t="str">
        <f t="shared" ref="AD4" si="12">AB4</f>
        <v>PMAD LOKAL 12</v>
      </c>
      <c r="AE4" s="1276"/>
      <c r="AF4" s="1275" t="str">
        <f t="shared" ref="AF4" si="13">AD4</f>
        <v>PMAD LOKAL 12</v>
      </c>
      <c r="AG4" s="1276"/>
      <c r="AH4" s="1275" t="str">
        <f t="shared" ref="AH4" si="14">AF4</f>
        <v>PMAD LOKAL 12</v>
      </c>
      <c r="AI4" s="1276"/>
      <c r="AJ4" s="1275" t="str">
        <f t="shared" ref="AJ4" si="15">AH4</f>
        <v>PMAD LOKAL 12</v>
      </c>
      <c r="AK4" s="1276"/>
      <c r="AL4" s="1275" t="str">
        <f t="shared" ref="AL4" si="16">AJ4</f>
        <v>PMAD LOKAL 12</v>
      </c>
      <c r="AM4" s="1276"/>
      <c r="AN4" s="1275" t="str">
        <f t="shared" ref="AN4" si="17">AL4</f>
        <v>PMAD LOKAL 12</v>
      </c>
      <c r="AO4" s="1276"/>
      <c r="AP4" s="1275" t="str">
        <f t="shared" ref="AP4" si="18">AN4</f>
        <v>PMAD LOKAL 12</v>
      </c>
      <c r="AQ4" s="1276"/>
      <c r="AR4" s="1275" t="str">
        <f t="shared" ref="AR4" si="19">AN4</f>
        <v>PMAD LOKAL 12</v>
      </c>
      <c r="AS4" s="1276"/>
      <c r="AT4" s="1275" t="str">
        <f t="shared" ref="AT4" si="20">AP4</f>
        <v>PMAD LOKAL 12</v>
      </c>
      <c r="AU4" s="1276"/>
      <c r="AV4" s="1275" t="str">
        <f t="shared" ref="AV4" si="21">AR4</f>
        <v>PMAD LOKAL 12</v>
      </c>
      <c r="AW4" s="1276"/>
      <c r="AX4" s="1275" t="str">
        <f t="shared" ref="AX4" si="22">AT4</f>
        <v>PMAD LOKAL 12</v>
      </c>
      <c r="AY4" s="1276"/>
      <c r="AZ4" s="1275" t="str">
        <f t="shared" ref="AZ4" si="23">AV4</f>
        <v>PMAD LOKAL 12</v>
      </c>
      <c r="BA4" s="1276"/>
      <c r="BB4" s="1275" t="str">
        <f t="shared" ref="BB4" si="24">AX4</f>
        <v>PMAD LOKAL 12</v>
      </c>
      <c r="BC4" s="1276"/>
      <c r="BD4" s="1275" t="str">
        <f t="shared" ref="BD4" si="25">AZ4</f>
        <v>PMAD LOKAL 12</v>
      </c>
      <c r="BE4" s="1276"/>
      <c r="BF4" s="1258" t="str">
        <f t="shared" ref="BF4" si="26">AZ4</f>
        <v>PMAD LOKAL 12</v>
      </c>
      <c r="BG4" s="1259"/>
      <c r="BH4" s="1258" t="str">
        <f t="shared" ref="BH4" si="27">BB4</f>
        <v>PMAD LOKAL 12</v>
      </c>
      <c r="BI4" s="1259"/>
      <c r="BJ4" s="1258" t="str">
        <f t="shared" ref="BJ4" si="28">BD4</f>
        <v>PMAD LOKAL 12</v>
      </c>
      <c r="BK4" s="1259"/>
      <c r="BL4" s="1258" t="s">
        <v>353</v>
      </c>
      <c r="BM4" s="1259"/>
      <c r="BN4" s="1258" t="s">
        <v>353</v>
      </c>
      <c r="BO4" s="1259"/>
      <c r="BP4" s="1258" t="s">
        <v>353</v>
      </c>
      <c r="BQ4" s="1259"/>
      <c r="BR4" s="1258" t="s">
        <v>354</v>
      </c>
      <c r="BS4" s="1259"/>
      <c r="BT4" s="1258" t="s">
        <v>354</v>
      </c>
      <c r="BU4" s="1259"/>
      <c r="BV4" s="1275" t="s">
        <v>355</v>
      </c>
      <c r="BW4" s="1276"/>
      <c r="BX4" s="717"/>
      <c r="BY4" s="717"/>
      <c r="BZ4" s="717"/>
      <c r="CA4" s="717"/>
      <c r="CB4" s="717"/>
      <c r="CC4" s="717"/>
      <c r="CD4" s="717"/>
      <c r="CE4" s="717"/>
      <c r="CF4" s="717"/>
      <c r="CG4" s="717"/>
    </row>
    <row r="5" spans="1:85" s="4" customFormat="1" ht="15" thickTop="1" thickBot="1" x14ac:dyDescent="0.5">
      <c r="A5" s="561"/>
      <c r="B5" s="7"/>
      <c r="E5" s="245"/>
      <c r="F5" s="1274"/>
      <c r="G5" s="1274"/>
      <c r="H5" s="1238"/>
      <c r="I5" s="1239"/>
      <c r="J5" s="1238"/>
      <c r="K5" s="1239"/>
      <c r="L5" s="1238"/>
      <c r="M5" s="1239"/>
      <c r="N5" s="1238"/>
      <c r="O5" s="1239"/>
      <c r="P5" s="1238"/>
      <c r="Q5" s="1239"/>
      <c r="R5" s="1238"/>
      <c r="S5" s="1239"/>
      <c r="T5" s="1238"/>
      <c r="U5" s="1239"/>
      <c r="V5" s="1238"/>
      <c r="W5" s="1239"/>
      <c r="X5" s="1238"/>
      <c r="Y5" s="1239"/>
      <c r="Z5" s="1238"/>
      <c r="AA5" s="1239"/>
      <c r="AB5" s="1238"/>
      <c r="AC5" s="1239"/>
      <c r="AD5" s="1238"/>
      <c r="AE5" s="1239"/>
      <c r="AF5" s="1238"/>
      <c r="AG5" s="1239"/>
      <c r="AH5" s="1238"/>
      <c r="AI5" s="1239"/>
      <c r="AJ5" s="1238"/>
      <c r="AK5" s="1239"/>
      <c r="AL5" s="1238"/>
      <c r="AM5" s="1239"/>
      <c r="AN5" s="1238"/>
      <c r="AO5" s="1239"/>
      <c r="AP5" s="1238"/>
      <c r="AQ5" s="1239"/>
      <c r="AR5" s="1238"/>
      <c r="AS5" s="1239"/>
      <c r="AT5" s="1238"/>
      <c r="AU5" s="1239"/>
      <c r="AV5" s="1238"/>
      <c r="AW5" s="1239"/>
      <c r="AX5" s="1238"/>
      <c r="AY5" s="1239"/>
      <c r="AZ5" s="1238"/>
      <c r="BA5" s="1239"/>
      <c r="BB5" s="1238"/>
      <c r="BC5" s="1239"/>
      <c r="BD5" s="1238"/>
      <c r="BE5" s="1239"/>
      <c r="BF5" s="1260"/>
      <c r="BG5" s="1261"/>
      <c r="BH5" s="1260"/>
      <c r="BI5" s="1261"/>
      <c r="BJ5" s="1260"/>
      <c r="BK5" s="1261"/>
      <c r="BL5" s="1260"/>
      <c r="BM5" s="1261"/>
      <c r="BN5" s="1260"/>
      <c r="BO5" s="1261"/>
      <c r="BP5" s="1260"/>
      <c r="BQ5" s="1261"/>
      <c r="BR5" s="1260"/>
      <c r="BS5" s="1261"/>
      <c r="BT5" s="1260"/>
      <c r="BU5" s="1261"/>
      <c r="BV5" s="1238"/>
      <c r="BW5" s="1239"/>
      <c r="BX5" s="717"/>
      <c r="BY5" s="717"/>
      <c r="BZ5" s="717"/>
      <c r="CA5" s="717"/>
      <c r="CB5" s="717"/>
      <c r="CC5" s="717"/>
      <c r="CD5" s="717"/>
      <c r="CE5" s="717"/>
      <c r="CF5" s="717"/>
      <c r="CG5" s="717"/>
    </row>
    <row r="6" spans="1:85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34"/>
      <c r="G6" s="1206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05"/>
      <c r="AY6" s="1206"/>
      <c r="AZ6" s="1205"/>
      <c r="BA6" s="1206"/>
      <c r="BB6" s="1205"/>
      <c r="BC6" s="1206"/>
      <c r="BD6" s="1205"/>
      <c r="BE6" s="1206"/>
      <c r="BF6" s="1205"/>
      <c r="BG6" s="1206"/>
      <c r="BH6" s="1205"/>
      <c r="BI6" s="1206"/>
      <c r="BJ6" s="1205"/>
      <c r="BK6" s="1206"/>
      <c r="BL6" s="1265"/>
      <c r="BM6" s="1266"/>
      <c r="BN6" s="1265"/>
      <c r="BO6" s="1266"/>
      <c r="BP6" s="1265"/>
      <c r="BQ6" s="1266"/>
      <c r="BR6" s="1205"/>
      <c r="BS6" s="1206"/>
      <c r="BT6" s="1205"/>
      <c r="BU6" s="1206"/>
      <c r="BV6" s="1205"/>
      <c r="BW6" s="1206"/>
      <c r="BX6" s="717"/>
      <c r="BY6" s="717"/>
      <c r="BZ6" s="717"/>
      <c r="CA6" s="717"/>
      <c r="CB6" s="717"/>
      <c r="CC6" s="717"/>
      <c r="CD6" s="717"/>
      <c r="CE6" s="717"/>
      <c r="CF6" s="717"/>
      <c r="CG6" s="717"/>
    </row>
    <row r="7" spans="1:85" s="7" customFormat="1" ht="36.75" customHeight="1" x14ac:dyDescent="0.45">
      <c r="A7" s="561"/>
      <c r="B7" s="1203"/>
      <c r="C7" s="10" t="s">
        <v>11</v>
      </c>
      <c r="D7" s="11"/>
      <c r="E7" s="247"/>
      <c r="F7" s="1200">
        <v>184763</v>
      </c>
      <c r="G7" s="1201"/>
      <c r="H7" s="1200">
        <v>184763</v>
      </c>
      <c r="I7" s="1201"/>
      <c r="J7" s="1200">
        <v>184763</v>
      </c>
      <c r="K7" s="1201"/>
      <c r="L7" s="1200">
        <v>184763</v>
      </c>
      <c r="M7" s="1201"/>
      <c r="N7" s="1200">
        <v>184763</v>
      </c>
      <c r="O7" s="1201"/>
      <c r="P7" s="1200">
        <v>184763</v>
      </c>
      <c r="Q7" s="1201"/>
      <c r="R7" s="1200">
        <v>184763</v>
      </c>
      <c r="S7" s="1201"/>
      <c r="T7" s="1200">
        <v>184763</v>
      </c>
      <c r="U7" s="1201"/>
      <c r="V7" s="1200">
        <v>184763</v>
      </c>
      <c r="W7" s="1201"/>
      <c r="X7" s="1200">
        <v>184763</v>
      </c>
      <c r="Y7" s="1201"/>
      <c r="Z7" s="1200">
        <v>184763</v>
      </c>
      <c r="AA7" s="1201"/>
      <c r="AB7" s="1200">
        <v>184763</v>
      </c>
      <c r="AC7" s="1201"/>
      <c r="AD7" s="1200">
        <v>184763</v>
      </c>
      <c r="AE7" s="1201"/>
      <c r="AF7" s="1200">
        <v>184763</v>
      </c>
      <c r="AG7" s="1201"/>
      <c r="AH7" s="1200">
        <v>184763</v>
      </c>
      <c r="AI7" s="1201"/>
      <c r="AJ7" s="1200">
        <v>184763</v>
      </c>
      <c r="AK7" s="1201"/>
      <c r="AL7" s="1200">
        <v>184763</v>
      </c>
      <c r="AM7" s="1201"/>
      <c r="AN7" s="1200">
        <v>184763</v>
      </c>
      <c r="AO7" s="1201"/>
      <c r="AP7" s="1200">
        <v>184763</v>
      </c>
      <c r="AQ7" s="1201"/>
      <c r="AR7" s="1200">
        <v>184763</v>
      </c>
      <c r="AS7" s="1201"/>
      <c r="AT7" s="1200">
        <v>184763</v>
      </c>
      <c r="AU7" s="1201"/>
      <c r="AV7" s="1200">
        <v>184763</v>
      </c>
      <c r="AW7" s="1201"/>
      <c r="AX7" s="1200">
        <v>184763</v>
      </c>
      <c r="AY7" s="1201"/>
      <c r="AZ7" s="1200">
        <v>184763</v>
      </c>
      <c r="BA7" s="1201"/>
      <c r="BB7" s="1200">
        <v>184763</v>
      </c>
      <c r="BC7" s="1201"/>
      <c r="BD7" s="1200">
        <v>184763</v>
      </c>
      <c r="BE7" s="1201"/>
      <c r="BF7" s="1200">
        <v>184763</v>
      </c>
      <c r="BG7" s="1201"/>
      <c r="BH7" s="1200">
        <v>184763</v>
      </c>
      <c r="BI7" s="1201"/>
      <c r="BJ7" s="1200">
        <v>184763</v>
      </c>
      <c r="BK7" s="1201"/>
      <c r="BL7" s="1267">
        <v>184763</v>
      </c>
      <c r="BM7" s="1268"/>
      <c r="BN7" s="1267">
        <v>184763</v>
      </c>
      <c r="BO7" s="1268"/>
      <c r="BP7" s="1267">
        <v>184763</v>
      </c>
      <c r="BQ7" s="1268"/>
      <c r="BR7" s="1267">
        <v>123630</v>
      </c>
      <c r="BS7" s="1268"/>
      <c r="BT7" s="1267">
        <v>123630</v>
      </c>
      <c r="BU7" s="1268"/>
      <c r="BV7" s="1267"/>
      <c r="BW7" s="1268"/>
      <c r="BX7" s="1148"/>
      <c r="BY7" s="1148"/>
      <c r="BZ7" s="1148"/>
      <c r="CA7" s="1148"/>
      <c r="CB7" s="1148"/>
      <c r="CC7" s="1148"/>
      <c r="CD7" s="1148"/>
      <c r="CE7" s="1148"/>
      <c r="CF7" s="1148"/>
      <c r="CG7" s="1148"/>
    </row>
    <row r="8" spans="1:85" s="7" customFormat="1" x14ac:dyDescent="0.45">
      <c r="A8" s="561"/>
      <c r="B8" s="1203"/>
      <c r="C8" s="12" t="s">
        <v>12</v>
      </c>
      <c r="D8" s="11"/>
      <c r="E8" s="11"/>
      <c r="F8" s="1232">
        <f>G60</f>
        <v>4.38</v>
      </c>
      <c r="G8" s="1233"/>
      <c r="H8" s="1232">
        <f t="shared" ref="H8" si="29">I60</f>
        <v>4.38</v>
      </c>
      <c r="I8" s="1233"/>
      <c r="J8" s="1232">
        <f t="shared" ref="J8" si="30">K60</f>
        <v>4.38</v>
      </c>
      <c r="K8" s="1233"/>
      <c r="L8" s="1232">
        <f t="shared" ref="L8" si="31">M60</f>
        <v>4.38</v>
      </c>
      <c r="M8" s="1233"/>
      <c r="N8" s="1232">
        <f t="shared" ref="N8" si="32">O60</f>
        <v>4.38</v>
      </c>
      <c r="O8" s="1233"/>
      <c r="P8" s="1232">
        <f t="shared" ref="P8" si="33">Q60</f>
        <v>4.38</v>
      </c>
      <c r="Q8" s="1233"/>
      <c r="R8" s="1232">
        <f t="shared" ref="R8" si="34">S60</f>
        <v>4.38</v>
      </c>
      <c r="S8" s="1233"/>
      <c r="T8" s="1232">
        <f t="shared" ref="T8" si="35">U60</f>
        <v>4.38</v>
      </c>
      <c r="U8" s="1233"/>
      <c r="V8" s="1232">
        <f t="shared" ref="V8" si="36">W60</f>
        <v>4.38</v>
      </c>
      <c r="W8" s="1233"/>
      <c r="X8" s="1232">
        <f t="shared" ref="X8" si="37">Y60</f>
        <v>4.38</v>
      </c>
      <c r="Y8" s="1233"/>
      <c r="Z8" s="1232">
        <f t="shared" ref="Z8" si="38">AA60</f>
        <v>4.38</v>
      </c>
      <c r="AA8" s="1233"/>
      <c r="AB8" s="1232">
        <f t="shared" ref="AB8" si="39">AC60</f>
        <v>4.38</v>
      </c>
      <c r="AC8" s="1233"/>
      <c r="AD8" s="1232">
        <f t="shared" ref="AD8" si="40">AE60</f>
        <v>4.38</v>
      </c>
      <c r="AE8" s="1233"/>
      <c r="AF8" s="1232">
        <f t="shared" ref="AF8" si="41">AG60</f>
        <v>4.38</v>
      </c>
      <c r="AG8" s="1233"/>
      <c r="AH8" s="1232">
        <f t="shared" ref="AH8" si="42">AI60</f>
        <v>4.38</v>
      </c>
      <c r="AI8" s="1233"/>
      <c r="AJ8" s="1232">
        <f t="shared" ref="AJ8" si="43">AK60</f>
        <v>4.38</v>
      </c>
      <c r="AK8" s="1233"/>
      <c r="AL8" s="1232">
        <f t="shared" ref="AL8" si="44">AM60</f>
        <v>4.38</v>
      </c>
      <c r="AM8" s="1233"/>
      <c r="AN8" s="1232">
        <f t="shared" ref="AN8" si="45">AO60</f>
        <v>4.38</v>
      </c>
      <c r="AO8" s="1233"/>
      <c r="AP8" s="1232">
        <f t="shared" ref="AP8" si="46">AQ60</f>
        <v>4.38</v>
      </c>
      <c r="AQ8" s="1233"/>
      <c r="AR8" s="1232">
        <f t="shared" ref="AR8" si="47">AS60</f>
        <v>4.38</v>
      </c>
      <c r="AS8" s="1233"/>
      <c r="AT8" s="1232">
        <f t="shared" ref="AT8" si="48">AU60</f>
        <v>4.38</v>
      </c>
      <c r="AU8" s="1233"/>
      <c r="AV8" s="1232">
        <f t="shared" ref="AV8" si="49">AW60</f>
        <v>4.38</v>
      </c>
      <c r="AW8" s="1233"/>
      <c r="AX8" s="1232">
        <f t="shared" ref="AX8" si="50">AY60</f>
        <v>4.38</v>
      </c>
      <c r="AY8" s="1233"/>
      <c r="AZ8" s="1232">
        <f t="shared" ref="AZ8" si="51">BA60</f>
        <v>4.4000000000000004</v>
      </c>
      <c r="BA8" s="1233"/>
      <c r="BB8" s="1232">
        <f t="shared" ref="BB8" si="52">BC60</f>
        <v>4.4000000000000004</v>
      </c>
      <c r="BC8" s="1233"/>
      <c r="BD8" s="1232">
        <f t="shared" ref="BD8" si="53">BE60</f>
        <v>4.4000000000000004</v>
      </c>
      <c r="BE8" s="1233"/>
      <c r="BF8" s="1232">
        <f t="shared" ref="BF8" si="54">BG60</f>
        <v>4.4000000000000004</v>
      </c>
      <c r="BG8" s="1233"/>
      <c r="BH8" s="1232">
        <f t="shared" ref="BH8" si="55">BI60</f>
        <v>4.4000000000000004</v>
      </c>
      <c r="BI8" s="1233"/>
      <c r="BJ8" s="1232">
        <f t="shared" ref="BJ8" si="56">BK60</f>
        <v>4.4000000000000004</v>
      </c>
      <c r="BK8" s="1233"/>
      <c r="BL8" s="1269">
        <f>BM60</f>
        <v>4.3999787500000007</v>
      </c>
      <c r="BM8" s="1270"/>
      <c r="BN8" s="1269">
        <f>BO60</f>
        <v>4.3999787500000007</v>
      </c>
      <c r="BO8" s="1270"/>
      <c r="BP8" s="1269">
        <f>BQ60</f>
        <v>4.3997450000000002</v>
      </c>
      <c r="BQ8" s="1270"/>
      <c r="BR8" s="1269">
        <f t="shared" ref="BR8" si="57">BS60</f>
        <v>4.8562500000000002</v>
      </c>
      <c r="BS8" s="1270"/>
      <c r="BT8" s="1269">
        <f t="shared" ref="BT8" si="58">BU60</f>
        <v>4.8562500000000002</v>
      </c>
      <c r="BU8" s="1270"/>
      <c r="BV8" s="1269">
        <f t="shared" ref="BV8" si="59">BW60</f>
        <v>0</v>
      </c>
      <c r="BW8" s="1270"/>
      <c r="BX8" s="1146"/>
      <c r="BY8" s="1146"/>
      <c r="BZ8" s="1146"/>
      <c r="CA8" s="1146"/>
      <c r="CB8" s="1146"/>
      <c r="CC8" s="1146"/>
      <c r="CD8" s="1146"/>
      <c r="CE8" s="1146"/>
      <c r="CF8" s="1146"/>
      <c r="CG8" s="1146"/>
    </row>
    <row r="9" spans="1:85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$1.03/ctn</v>
      </c>
      <c r="G9" s="1191"/>
      <c r="H9" s="1190" t="str">
        <f t="shared" ref="H9" si="60">CONCATENATE("TP $",TEXT(I57,"#,##0.00"),"/ctn")</f>
        <v>TP $1.03/ctn</v>
      </c>
      <c r="I9" s="1191"/>
      <c r="J9" s="1190" t="str">
        <f t="shared" ref="J9" si="61">CONCATENATE("TP $",TEXT(K57,"#,##0.00"),"/ctn")</f>
        <v>TP $1.03/ctn</v>
      </c>
      <c r="K9" s="1191"/>
      <c r="L9" s="1190" t="str">
        <f t="shared" ref="L9" si="62">CONCATENATE("TP $",TEXT(M57,"#,##0.00"),"/ctn")</f>
        <v>TP $1.03/ctn</v>
      </c>
      <c r="M9" s="1191"/>
      <c r="N9" s="1190" t="str">
        <f t="shared" ref="N9" si="63">CONCATENATE("TP $",TEXT(O57,"#,##0.00"),"/ctn")</f>
        <v>TP $1.03/ctn</v>
      </c>
      <c r="O9" s="1191"/>
      <c r="P9" s="1190" t="str">
        <f t="shared" ref="P9" si="64">CONCATENATE("TP $",TEXT(Q57,"#,##0.00"),"/ctn")</f>
        <v>TP $1.03/ctn</v>
      </c>
      <c r="Q9" s="1191"/>
      <c r="R9" s="1190" t="str">
        <f t="shared" ref="R9" si="65">CONCATENATE("TP $",TEXT(S57,"#,##0.00"),"/ctn")</f>
        <v>TP $1.03/ctn</v>
      </c>
      <c r="S9" s="1191"/>
      <c r="T9" s="1190" t="str">
        <f t="shared" ref="T9" si="66">CONCATENATE("TP $",TEXT(U57,"#,##0.00"),"/ctn")</f>
        <v>TP $1.03/ctn</v>
      </c>
      <c r="U9" s="1191"/>
      <c r="V9" s="1190" t="str">
        <f t="shared" ref="V9" si="67">CONCATENATE("TP $",TEXT(W57,"#,##0.00"),"/ctn")</f>
        <v>TP $1.03/ctn</v>
      </c>
      <c r="W9" s="1191"/>
      <c r="X9" s="1190" t="str">
        <f t="shared" ref="X9" si="68">CONCATENATE("TP $",TEXT(Y57,"#,##0.00"),"/ctn")</f>
        <v>TP $1.03/ctn</v>
      </c>
      <c r="Y9" s="1191"/>
      <c r="Z9" s="1190" t="str">
        <f t="shared" ref="Z9" si="69">CONCATENATE("TP $",TEXT(AA57,"#,##0.00"),"/ctn")</f>
        <v>TP $1.03/ctn</v>
      </c>
      <c r="AA9" s="1191"/>
      <c r="AB9" s="1190" t="str">
        <f t="shared" ref="AB9" si="70">CONCATENATE("TP $",TEXT(AC57,"#,##0.00"),"/ctn")</f>
        <v>TP $0.89/ctn</v>
      </c>
      <c r="AC9" s="1191"/>
      <c r="AD9" s="1190" t="str">
        <f t="shared" ref="AD9" si="71">CONCATENATE("TP $",TEXT(AE57,"#,##0.00"),"/ctn")</f>
        <v>TP $1.03/ctn</v>
      </c>
      <c r="AE9" s="1191"/>
      <c r="AF9" s="1190" t="str">
        <f t="shared" ref="AF9" si="72">CONCATENATE("TP $",TEXT(AG57,"#,##0.00"),"/ctn")</f>
        <v>TP $1.03/ctn</v>
      </c>
      <c r="AG9" s="1191"/>
      <c r="AH9" s="1190" t="str">
        <f t="shared" ref="AH9" si="73">CONCATENATE("TP $",TEXT(AI57,"#,##0.00"),"/ctn")</f>
        <v>TP $1.03/ctn</v>
      </c>
      <c r="AI9" s="1191"/>
      <c r="AJ9" s="1190" t="str">
        <f t="shared" ref="AJ9" si="74">CONCATENATE("TP $",TEXT(AK57,"#,##0.00"),"/ctn")</f>
        <v>TP $1.03/ctn</v>
      </c>
      <c r="AK9" s="1191"/>
      <c r="AL9" s="1190" t="str">
        <f t="shared" ref="AL9" si="75">CONCATENATE("TP $",TEXT(AM57,"#,##0.00"),"/ctn")</f>
        <v>TP $1.03/ctn</v>
      </c>
      <c r="AM9" s="1191"/>
      <c r="AN9" s="1190" t="str">
        <f t="shared" ref="AN9" si="76">CONCATENATE("TP $",TEXT(AO57,"#,##0.00"),"/ctn")</f>
        <v>TP $1.03/ctn</v>
      </c>
      <c r="AO9" s="1191"/>
      <c r="AP9" s="1190" t="str">
        <f t="shared" ref="AP9" si="77">CONCATENATE("TP $",TEXT(AQ57,"#,##0.00"),"/ctn")</f>
        <v>TP $1.03/ctn</v>
      </c>
      <c r="AQ9" s="1191"/>
      <c r="AR9" s="1190" t="str">
        <f t="shared" ref="AR9" si="78">CONCATENATE("TP $",TEXT(AS57,"#,##0.00"),"/ctn")</f>
        <v>TP $1.03/ctn</v>
      </c>
      <c r="AS9" s="1191"/>
      <c r="AT9" s="1190" t="str">
        <f t="shared" ref="AT9" si="79">CONCATENATE("TP $",TEXT(AU57,"#,##0.00"),"/ctn")</f>
        <v>TP $1.33/ctn</v>
      </c>
      <c r="AU9" s="1191"/>
      <c r="AV9" s="1190" t="str">
        <f t="shared" ref="AV9" si="80">CONCATENATE("TP $",TEXT(AW57,"#,##0.00"),"/ctn")</f>
        <v>TP $1.33/ctn</v>
      </c>
      <c r="AW9" s="1191"/>
      <c r="AX9" s="1190" t="str">
        <f t="shared" ref="AX9" si="81">CONCATENATE("TP $",TEXT(AY57,"#,##0.00"),"/ctn")</f>
        <v>TP $1.33/ctn</v>
      </c>
      <c r="AY9" s="1191"/>
      <c r="AZ9" s="1190" t="str">
        <f t="shared" ref="AZ9" si="82">CONCATENATE("TP $",TEXT(BA57,"#,##0.00"),"/ctn")</f>
        <v>TP $1.35/ctn</v>
      </c>
      <c r="BA9" s="1191"/>
      <c r="BB9" s="1190" t="str">
        <f t="shared" ref="BB9" si="83">CONCATENATE("TP $",TEXT(BC57,"#,##0.00"),"/ctn")</f>
        <v>TP $1.35/ctn</v>
      </c>
      <c r="BC9" s="1191"/>
      <c r="BD9" s="1190" t="str">
        <f t="shared" ref="BD9" si="84">CONCATENATE("TP $",TEXT(BE57,"#,##0.00"),"/ctn")</f>
        <v>TP $1.35/ctn</v>
      </c>
      <c r="BE9" s="1191"/>
      <c r="BF9" s="1190" t="str">
        <f t="shared" ref="BF9" si="85">CONCATENATE("TP $",TEXT(BG57,"#,##0.00"),"/ctn")</f>
        <v>TP $1.35/ctn</v>
      </c>
      <c r="BG9" s="1191"/>
      <c r="BH9" s="1190" t="str">
        <f t="shared" ref="BH9" si="86">CONCATENATE("TP $",TEXT(BI57,"#,##0.00"),"/ctn")</f>
        <v>TP $1.35/ctn</v>
      </c>
      <c r="BI9" s="1191"/>
      <c r="BJ9" s="1190" t="str">
        <f t="shared" ref="BJ9" si="87">CONCATENATE("TP $",TEXT(BK57,"#,##0.00"),"/ctn")</f>
        <v>TP $1.90/ctn</v>
      </c>
      <c r="BK9" s="1191"/>
      <c r="BL9" s="1271" t="str">
        <f>CONCATENATE("TP $",TEXT(BM57,"#,##0.00"),"/ctn")</f>
        <v>TP $1.35/ctn</v>
      </c>
      <c r="BM9" s="1272"/>
      <c r="BN9" s="1271" t="str">
        <f>CONCATENATE("TP $",TEXT(BO57,"#,##0.00"),"/ctn")</f>
        <v>TP $1.35/ctn</v>
      </c>
      <c r="BO9" s="1272"/>
      <c r="BP9" s="1271" t="str">
        <f>CONCATENATE("TP $",TEXT(BQ57,"#,##0.00"),"/ctn")</f>
        <v>TP $1.90/ctn</v>
      </c>
      <c r="BQ9" s="1272"/>
      <c r="BR9" s="1271" t="str">
        <f t="shared" ref="BR9" si="88">CONCATENATE("TP $",TEXT(BS57,"#,##0.00"),"/ctn")</f>
        <v>TP $1.15/ctn</v>
      </c>
      <c r="BS9" s="1272"/>
      <c r="BT9" s="1271" t="str">
        <f t="shared" ref="BT9" si="89">CONCATENATE("TP $",TEXT(BU57,"#,##0.00"),"/ctn")</f>
        <v>TP $2.20/ctn</v>
      </c>
      <c r="BU9" s="1272"/>
      <c r="BV9" s="1271" t="str">
        <f t="shared" ref="BV9" si="90">CONCATENATE("TP $",TEXT(BW57,"#,##0.00"),"/ctn")</f>
        <v>TP $0.00/ctn</v>
      </c>
      <c r="BW9" s="1272"/>
      <c r="BX9" s="1149"/>
      <c r="BY9" s="1149"/>
      <c r="BZ9" s="1149"/>
      <c r="CA9" s="1149"/>
      <c r="CB9" s="1149"/>
      <c r="CC9" s="1149"/>
      <c r="CD9" s="1149"/>
      <c r="CE9" s="1149"/>
      <c r="CF9" s="1149"/>
      <c r="CG9" s="1149"/>
    </row>
    <row r="10" spans="1:85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12</v>
      </c>
      <c r="G10" s="253" t="str">
        <f>+F10</f>
        <v>12</v>
      </c>
      <c r="H10" s="252" t="str">
        <f t="shared" ref="H10" si="91">RIGHT(H2,2)</f>
        <v>12</v>
      </c>
      <c r="I10" s="253" t="str">
        <f t="shared" ref="I10" si="92">+H10</f>
        <v>12</v>
      </c>
      <c r="J10" s="252" t="str">
        <f t="shared" ref="J10" si="93">RIGHT(J2,2)</f>
        <v>12</v>
      </c>
      <c r="K10" s="253" t="str">
        <f t="shared" ref="K10" si="94">+J10</f>
        <v>12</v>
      </c>
      <c r="L10" s="252" t="str">
        <f t="shared" ref="L10" si="95">RIGHT(L2,2)</f>
        <v>12</v>
      </c>
      <c r="M10" s="253" t="str">
        <f t="shared" ref="M10" si="96">+L10</f>
        <v>12</v>
      </c>
      <c r="N10" s="252" t="str">
        <f t="shared" ref="N10" si="97">RIGHT(N2,2)</f>
        <v>12</v>
      </c>
      <c r="O10" s="253" t="str">
        <f t="shared" ref="O10" si="98">+N10</f>
        <v>12</v>
      </c>
      <c r="P10" s="252" t="str">
        <f t="shared" ref="P10" si="99">RIGHT(P2,2)</f>
        <v>12</v>
      </c>
      <c r="Q10" s="253" t="str">
        <f t="shared" ref="Q10" si="100">+P10</f>
        <v>12</v>
      </c>
      <c r="R10" s="252" t="str">
        <f t="shared" ref="R10" si="101">RIGHT(R2,2)</f>
        <v>12</v>
      </c>
      <c r="S10" s="253" t="str">
        <f t="shared" ref="S10" si="102">+R10</f>
        <v>12</v>
      </c>
      <c r="T10" s="252" t="str">
        <f t="shared" ref="T10" si="103">RIGHT(T2,2)</f>
        <v>12</v>
      </c>
      <c r="U10" s="253" t="str">
        <f t="shared" ref="U10" si="104">+T10</f>
        <v>12</v>
      </c>
      <c r="V10" s="252" t="str">
        <f t="shared" ref="V10" si="105">RIGHT(V2,2)</f>
        <v>12</v>
      </c>
      <c r="W10" s="253" t="str">
        <f t="shared" ref="W10" si="106">+V10</f>
        <v>12</v>
      </c>
      <c r="X10" s="252" t="str">
        <f t="shared" ref="X10" si="107">RIGHT(X2,2)</f>
        <v>12</v>
      </c>
      <c r="Y10" s="253" t="str">
        <f t="shared" ref="Y10" si="108">+X10</f>
        <v>12</v>
      </c>
      <c r="Z10" s="252" t="str">
        <f t="shared" ref="Z10" si="109">RIGHT(Z2,2)</f>
        <v>12</v>
      </c>
      <c r="AA10" s="253" t="str">
        <f t="shared" ref="AA10" si="110">+Z10</f>
        <v>12</v>
      </c>
      <c r="AB10" s="252" t="str">
        <f t="shared" ref="AB10" si="111">RIGHT(AB2,2)</f>
        <v>12</v>
      </c>
      <c r="AC10" s="253" t="str">
        <f t="shared" ref="AC10:AI10" si="112">+AB10</f>
        <v>12</v>
      </c>
      <c r="AD10" s="252" t="str">
        <f t="shared" ref="AD10" si="113">RIGHT(AD2,2)</f>
        <v>12</v>
      </c>
      <c r="AE10" s="253" t="str">
        <f t="shared" si="112"/>
        <v>12</v>
      </c>
      <c r="AF10" s="252" t="str">
        <f t="shared" ref="AF10" si="114">RIGHT(AF2,2)</f>
        <v>12</v>
      </c>
      <c r="AG10" s="253" t="str">
        <f t="shared" si="112"/>
        <v>12</v>
      </c>
      <c r="AH10" s="252" t="str">
        <f t="shared" ref="AH10" si="115">RIGHT(AH2,2)</f>
        <v>12</v>
      </c>
      <c r="AI10" s="253" t="str">
        <f t="shared" si="112"/>
        <v>12</v>
      </c>
      <c r="AJ10" s="252" t="str">
        <f t="shared" ref="AJ10" si="116">RIGHT(AJ2,2)</f>
        <v>12</v>
      </c>
      <c r="AK10" s="253" t="str">
        <f t="shared" ref="AK10" si="117">+AJ10</f>
        <v>12</v>
      </c>
      <c r="AL10" s="252" t="str">
        <f t="shared" ref="AL10" si="118">RIGHT(AL2,2)</f>
        <v>12</v>
      </c>
      <c r="AM10" s="253" t="str">
        <f t="shared" ref="AM10" si="119">+AL10</f>
        <v>12</v>
      </c>
      <c r="AN10" s="252" t="str">
        <f t="shared" ref="AN10:AP10" si="120">RIGHT(AN2,2)</f>
        <v>12</v>
      </c>
      <c r="AO10" s="253" t="str">
        <f t="shared" ref="AO10" si="121">+AN10</f>
        <v>12</v>
      </c>
      <c r="AP10" s="252" t="str">
        <f t="shared" si="120"/>
        <v>12</v>
      </c>
      <c r="AQ10" s="253" t="str">
        <f t="shared" ref="AQ10" si="122">+AP10</f>
        <v>12</v>
      </c>
      <c r="AR10" s="252" t="str">
        <f t="shared" ref="AR10" si="123">RIGHT(AR2,2)</f>
        <v>12</v>
      </c>
      <c r="AS10" s="253" t="str">
        <f t="shared" ref="AS10" si="124">+AR10</f>
        <v>12</v>
      </c>
      <c r="AT10" s="252" t="str">
        <f t="shared" ref="AT10:AV10" si="125">RIGHT(AT2,2)</f>
        <v>12</v>
      </c>
      <c r="AU10" s="253" t="str">
        <f t="shared" ref="AU10" si="126">+AT10</f>
        <v>12</v>
      </c>
      <c r="AV10" s="252" t="str">
        <f t="shared" si="125"/>
        <v>12</v>
      </c>
      <c r="AW10" s="253" t="str">
        <f t="shared" ref="AW10" si="127">+AV10</f>
        <v>12</v>
      </c>
      <c r="AX10" s="252" t="str">
        <f t="shared" ref="AX10" si="128">RIGHT(AX2,2)</f>
        <v>12</v>
      </c>
      <c r="AY10" s="253" t="str">
        <f t="shared" ref="AY10" si="129">+AX10</f>
        <v>12</v>
      </c>
      <c r="AZ10" s="252" t="str">
        <f t="shared" ref="AZ10:BB10" si="130">RIGHT(AZ2,2)</f>
        <v>12</v>
      </c>
      <c r="BA10" s="253" t="str">
        <f t="shared" ref="BA10" si="131">+AZ10</f>
        <v>12</v>
      </c>
      <c r="BB10" s="252" t="str">
        <f t="shared" si="130"/>
        <v>12</v>
      </c>
      <c r="BC10" s="253" t="str">
        <f t="shared" ref="BC10" si="132">+BB10</f>
        <v>12</v>
      </c>
      <c r="BD10" s="252" t="str">
        <f t="shared" ref="BD10" si="133">RIGHT(BD2,2)</f>
        <v>12</v>
      </c>
      <c r="BE10" s="253" t="str">
        <f t="shared" ref="BE10" si="134">+BD10</f>
        <v>12</v>
      </c>
      <c r="BF10" s="252">
        <v>12</v>
      </c>
      <c r="BG10" s="253">
        <f t="shared" ref="BG10" si="135">+BF10</f>
        <v>12</v>
      </c>
      <c r="BH10" s="252">
        <v>12</v>
      </c>
      <c r="BI10" s="253">
        <f t="shared" ref="BI10" si="136">+BH10</f>
        <v>12</v>
      </c>
      <c r="BJ10" s="252">
        <v>12</v>
      </c>
      <c r="BK10" s="253">
        <f t="shared" ref="BK10" si="137">+BJ10</f>
        <v>12</v>
      </c>
      <c r="BL10" s="348">
        <v>12</v>
      </c>
      <c r="BM10" s="349">
        <f>+BL10</f>
        <v>12</v>
      </c>
      <c r="BN10" s="348">
        <v>12</v>
      </c>
      <c r="BO10" s="349">
        <f>+BN10</f>
        <v>12</v>
      </c>
      <c r="BP10" s="348">
        <v>12</v>
      </c>
      <c r="BQ10" s="349">
        <f>+BP10</f>
        <v>12</v>
      </c>
      <c r="BR10" s="348">
        <v>12</v>
      </c>
      <c r="BS10" s="349">
        <f t="shared" ref="BS10" si="138">+BR10</f>
        <v>12</v>
      </c>
      <c r="BT10" s="348">
        <v>12</v>
      </c>
      <c r="BU10" s="349">
        <f t="shared" ref="BU10" si="139">+BT10</f>
        <v>12</v>
      </c>
      <c r="BV10" s="348" t="str">
        <f t="shared" ref="BV10" si="140">RIGHT(BV2,2)</f>
        <v>72</v>
      </c>
      <c r="BW10" s="349" t="str">
        <f t="shared" ref="BW10" si="141">+BV10</f>
        <v>72</v>
      </c>
      <c r="BX10" s="268"/>
      <c r="BY10" s="268"/>
      <c r="BZ10" s="268"/>
      <c r="CA10" s="268"/>
      <c r="CB10" s="268"/>
      <c r="CC10" s="268"/>
      <c r="CD10" s="268"/>
      <c r="CE10" s="268"/>
      <c r="CF10" s="268"/>
      <c r="CG10" s="268"/>
    </row>
    <row r="11" spans="1:85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629"/>
      <c r="BY11" s="629"/>
      <c r="BZ11" s="629"/>
      <c r="CA11" s="629"/>
      <c r="CB11" s="629"/>
      <c r="CC11" s="629"/>
      <c r="CD11" s="629"/>
      <c r="CE11" s="629"/>
      <c r="CF11" s="629"/>
      <c r="CG11" s="629"/>
    </row>
    <row r="12" spans="1:85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23">
        <v>4068.66</v>
      </c>
      <c r="O12" s="24"/>
      <c r="P12" s="23">
        <v>4068.66</v>
      </c>
      <c r="Q12" s="24"/>
      <c r="R12" s="23">
        <v>4068.66</v>
      </c>
      <c r="S12" s="24"/>
      <c r="T12" s="23">
        <v>4068.66</v>
      </c>
      <c r="U12" s="24"/>
      <c r="V12" s="23">
        <v>4068.66</v>
      </c>
      <c r="W12" s="24"/>
      <c r="X12" s="23">
        <v>4068.66</v>
      </c>
      <c r="Y12" s="24"/>
      <c r="Z12" s="23">
        <v>4068.66</v>
      </c>
      <c r="AA12" s="24"/>
      <c r="AB12" s="23">
        <v>4068.66</v>
      </c>
      <c r="AC12" s="24"/>
      <c r="AD12" s="23">
        <v>4068.66</v>
      </c>
      <c r="AE12" s="24"/>
      <c r="AF12" s="23">
        <v>4068.66</v>
      </c>
      <c r="AG12" s="24"/>
      <c r="AH12" s="23">
        <v>4068.66</v>
      </c>
      <c r="AI12" s="24"/>
      <c r="AJ12" s="23">
        <v>4068.66</v>
      </c>
      <c r="AK12" s="24"/>
      <c r="AL12" s="23">
        <v>4068.66</v>
      </c>
      <c r="AM12" s="24"/>
      <c r="AN12" s="23">
        <v>4068.66</v>
      </c>
      <c r="AO12" s="24"/>
      <c r="AP12" s="23">
        <v>4068.66</v>
      </c>
      <c r="AQ12" s="24"/>
      <c r="AR12" s="23">
        <v>4068.66</v>
      </c>
      <c r="AS12" s="24"/>
      <c r="AT12" s="23">
        <v>4068.66</v>
      </c>
      <c r="AU12" s="24"/>
      <c r="AV12" s="23">
        <v>4068.66</v>
      </c>
      <c r="AW12" s="24"/>
      <c r="AX12" s="23">
        <v>4068.66</v>
      </c>
      <c r="AY12" s="24"/>
      <c r="AZ12" s="23">
        <v>4068.66</v>
      </c>
      <c r="BA12" s="24"/>
      <c r="BB12" s="23">
        <v>4068.66</v>
      </c>
      <c r="BC12" s="24"/>
      <c r="BD12" s="23">
        <v>4068.66</v>
      </c>
      <c r="BE12" s="24"/>
      <c r="BF12" s="23">
        <v>4068.66</v>
      </c>
      <c r="BG12" s="24"/>
      <c r="BH12" s="23">
        <v>4068.66</v>
      </c>
      <c r="BI12" s="24"/>
      <c r="BJ12" s="23">
        <v>4068.66</v>
      </c>
      <c r="BK12" s="24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269"/>
      <c r="BY12" s="269"/>
      <c r="BZ12" s="269"/>
      <c r="CA12" s="269"/>
      <c r="CB12" s="269"/>
      <c r="CC12" s="269"/>
      <c r="CD12" s="269"/>
      <c r="CE12" s="269"/>
      <c r="CF12" s="269"/>
      <c r="CG12" s="269"/>
    </row>
    <row r="13" spans="1:85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27"/>
      <c r="O13" s="28"/>
      <c r="P13" s="27"/>
      <c r="Q13" s="28"/>
      <c r="R13" s="27"/>
      <c r="S13" s="28"/>
      <c r="T13" s="27"/>
      <c r="U13" s="28"/>
      <c r="V13" s="27"/>
      <c r="W13" s="28"/>
      <c r="X13" s="27"/>
      <c r="Y13" s="28"/>
      <c r="Z13" s="27"/>
      <c r="AA13" s="28"/>
      <c r="AB13" s="27"/>
      <c r="AC13" s="28"/>
      <c r="AD13" s="27"/>
      <c r="AE13" s="28"/>
      <c r="AF13" s="27"/>
      <c r="AG13" s="28"/>
      <c r="AH13" s="27"/>
      <c r="AI13" s="28"/>
      <c r="AJ13" s="27"/>
      <c r="AK13" s="28"/>
      <c r="AL13" s="27"/>
      <c r="AM13" s="28"/>
      <c r="AN13" s="27"/>
      <c r="AO13" s="28"/>
      <c r="AP13" s="27"/>
      <c r="AQ13" s="28"/>
      <c r="AR13" s="27"/>
      <c r="AS13" s="28"/>
      <c r="AT13" s="27"/>
      <c r="AU13" s="28"/>
      <c r="AV13" s="27"/>
      <c r="AW13" s="28"/>
      <c r="AX13" s="27"/>
      <c r="AY13" s="28"/>
      <c r="AZ13" s="27"/>
      <c r="BA13" s="28"/>
      <c r="BB13" s="27"/>
      <c r="BC13" s="28"/>
      <c r="BD13" s="27"/>
      <c r="BE13" s="28"/>
      <c r="BF13" s="27"/>
      <c r="BG13" s="28"/>
      <c r="BH13" s="27"/>
      <c r="BI13" s="28"/>
      <c r="BJ13" s="27"/>
      <c r="BK13" s="28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269"/>
      <c r="BY13" s="269"/>
      <c r="BZ13" s="269"/>
      <c r="CA13" s="269"/>
      <c r="CB13" s="269"/>
      <c r="CC13" s="269"/>
      <c r="CD13" s="269"/>
      <c r="CE13" s="269"/>
      <c r="CF13" s="269"/>
      <c r="CG13" s="269"/>
    </row>
    <row r="14" spans="1:85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8"/>
      <c r="AJ14" s="17"/>
      <c r="AK14" s="18"/>
      <c r="AL14" s="17"/>
      <c r="AM14" s="18"/>
      <c r="AN14" s="17"/>
      <c r="AO14" s="18"/>
      <c r="AP14" s="17"/>
      <c r="AQ14" s="18"/>
      <c r="AR14" s="17"/>
      <c r="AS14" s="18"/>
      <c r="AT14" s="17"/>
      <c r="AU14" s="18"/>
      <c r="AV14" s="17"/>
      <c r="AW14" s="18"/>
      <c r="AX14" s="17"/>
      <c r="AY14" s="18"/>
      <c r="AZ14" s="17"/>
      <c r="BA14" s="18"/>
      <c r="BB14" s="17"/>
      <c r="BC14" s="18"/>
      <c r="BD14" s="17"/>
      <c r="BE14" s="18"/>
      <c r="BF14" s="17"/>
      <c r="BG14" s="18"/>
      <c r="BH14" s="17"/>
      <c r="BI14" s="18"/>
      <c r="BJ14" s="17"/>
      <c r="BK14" s="18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270"/>
      <c r="BY14" s="270"/>
      <c r="BZ14" s="270"/>
      <c r="CA14" s="270"/>
      <c r="CB14" s="270"/>
      <c r="CC14" s="270"/>
      <c r="CD14" s="270"/>
      <c r="CE14" s="270"/>
      <c r="CF14" s="270"/>
      <c r="CG14" s="270"/>
    </row>
    <row r="15" spans="1:85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2400</v>
      </c>
      <c r="G15" s="32">
        <f>+F15/F12</f>
        <v>0.58987479907389662</v>
      </c>
      <c r="H15" s="31">
        <v>2400</v>
      </c>
      <c r="I15" s="32">
        <f t="shared" ref="I15" si="142">+H15/H12</f>
        <v>0.58987479907389662</v>
      </c>
      <c r="J15" s="31">
        <v>2400</v>
      </c>
      <c r="K15" s="32">
        <f t="shared" ref="K15" si="143">+J15/J12</f>
        <v>0.58987479907389662</v>
      </c>
      <c r="L15" s="31">
        <v>2400</v>
      </c>
      <c r="M15" s="32">
        <f t="shared" ref="M15" si="144">+L15/L12</f>
        <v>0.58987479907389662</v>
      </c>
      <c r="N15" s="31">
        <v>2400</v>
      </c>
      <c r="O15" s="32">
        <f t="shared" ref="O15" si="145">+N15/N12</f>
        <v>0.58987479907389662</v>
      </c>
      <c r="P15" s="31">
        <v>2400</v>
      </c>
      <c r="Q15" s="32">
        <f t="shared" ref="Q15" si="146">+P15/P12</f>
        <v>0.58987479907389662</v>
      </c>
      <c r="R15" s="31">
        <v>2400</v>
      </c>
      <c r="S15" s="32">
        <f t="shared" ref="S15" si="147">+R15/R12</f>
        <v>0.58987479907389662</v>
      </c>
      <c r="T15" s="31">
        <v>2400</v>
      </c>
      <c r="U15" s="32">
        <f t="shared" ref="U15" si="148">+T15/T12</f>
        <v>0.58987479907389662</v>
      </c>
      <c r="V15" s="31">
        <v>2400</v>
      </c>
      <c r="W15" s="32">
        <f t="shared" ref="W15" si="149">+V15/V12</f>
        <v>0.58987479907389662</v>
      </c>
      <c r="X15" s="31">
        <v>2400</v>
      </c>
      <c r="Y15" s="32">
        <f t="shared" ref="Y15" si="150">+X15/X12</f>
        <v>0.58987479907389662</v>
      </c>
      <c r="Z15" s="31">
        <v>2400</v>
      </c>
      <c r="AA15" s="32">
        <f t="shared" ref="AA15" si="151">+Z15/Z12</f>
        <v>0.58987479907389662</v>
      </c>
      <c r="AB15" s="31">
        <v>2400</v>
      </c>
      <c r="AC15" s="32">
        <f t="shared" ref="AC15:AI15" si="152">+AB15/AB12</f>
        <v>0.58987479907389662</v>
      </c>
      <c r="AD15" s="31">
        <v>2400</v>
      </c>
      <c r="AE15" s="32">
        <f t="shared" si="152"/>
        <v>0.58987479907389662</v>
      </c>
      <c r="AF15" s="31">
        <v>2400</v>
      </c>
      <c r="AG15" s="32">
        <f t="shared" si="152"/>
        <v>0.58987479907389662</v>
      </c>
      <c r="AH15" s="31">
        <v>2500</v>
      </c>
      <c r="AI15" s="32">
        <f t="shared" si="152"/>
        <v>0.61445291570197558</v>
      </c>
      <c r="AJ15" s="31">
        <v>2400</v>
      </c>
      <c r="AK15" s="32">
        <f t="shared" ref="AK15" si="153">+AJ15/AJ12</f>
        <v>0.58987479907389662</v>
      </c>
      <c r="AL15" s="31">
        <v>2400</v>
      </c>
      <c r="AM15" s="32">
        <f t="shared" ref="AM15" si="154">+AL15/AL12</f>
        <v>0.58987479907389662</v>
      </c>
      <c r="AN15" s="31">
        <v>2400</v>
      </c>
      <c r="AO15" s="32">
        <f t="shared" ref="AO15" si="155">+AN15/AN12</f>
        <v>0.58987479907389662</v>
      </c>
      <c r="AP15" s="31">
        <v>2400</v>
      </c>
      <c r="AQ15" s="32">
        <f t="shared" ref="AQ15" si="156">+AP15/AP12</f>
        <v>0.58987479907389662</v>
      </c>
      <c r="AR15" s="31">
        <v>2000</v>
      </c>
      <c r="AS15" s="32">
        <f t="shared" ref="AS15" si="157">+AR15/AR12</f>
        <v>0.4915623325615805</v>
      </c>
      <c r="AT15" s="31">
        <v>2000</v>
      </c>
      <c r="AU15" s="32">
        <f t="shared" ref="AU15" si="158">+AT15/AT12</f>
        <v>0.4915623325615805</v>
      </c>
      <c r="AV15" s="31">
        <v>2000</v>
      </c>
      <c r="AW15" s="32">
        <f t="shared" ref="AW15" si="159">+AV15/AV12</f>
        <v>0.4915623325615805</v>
      </c>
      <c r="AX15" s="31">
        <v>2000</v>
      </c>
      <c r="AY15" s="32">
        <f t="shared" ref="AY15" si="160">+AX15/AX12</f>
        <v>0.4915623325615805</v>
      </c>
      <c r="AZ15" s="31">
        <v>2000</v>
      </c>
      <c r="BA15" s="32">
        <f t="shared" ref="BA15" si="161">+AZ15/AZ12</f>
        <v>0.4915623325615805</v>
      </c>
      <c r="BB15" s="31">
        <v>2000</v>
      </c>
      <c r="BC15" s="32">
        <f t="shared" ref="BC15" si="162">+BB15/BB12</f>
        <v>0.4915623325615805</v>
      </c>
      <c r="BD15" s="31">
        <v>2000</v>
      </c>
      <c r="BE15" s="32">
        <f t="shared" ref="BE15" si="163">+BD15/BD12</f>
        <v>0.4915623325615805</v>
      </c>
      <c r="BF15" s="31">
        <v>2000</v>
      </c>
      <c r="BG15" s="32">
        <f t="shared" ref="BG15" si="164">+BF15/BF12</f>
        <v>0.4915623325615805</v>
      </c>
      <c r="BH15" s="31">
        <v>2000</v>
      </c>
      <c r="BI15" s="32">
        <f t="shared" ref="BI15" si="165">+BH15/BH12</f>
        <v>0.4915623325615805</v>
      </c>
      <c r="BJ15" s="31">
        <v>2000</v>
      </c>
      <c r="BK15" s="32">
        <f t="shared" ref="BK15" si="166">+BJ15/BJ12</f>
        <v>0.4915623325615805</v>
      </c>
      <c r="BL15" s="31">
        <v>2000</v>
      </c>
      <c r="BM15" s="32">
        <f>+BL15/BL12</f>
        <v>0.4915623325615805</v>
      </c>
      <c r="BN15" s="31">
        <v>2000</v>
      </c>
      <c r="BO15" s="32">
        <f>+BN15/BN12</f>
        <v>0.4915623325615805</v>
      </c>
      <c r="BP15" s="31">
        <v>2000</v>
      </c>
      <c r="BQ15" s="32">
        <f>+BP15/BP12</f>
        <v>0.4915623325615805</v>
      </c>
      <c r="BR15" s="31">
        <v>3000</v>
      </c>
      <c r="BS15" s="32">
        <f t="shared" ref="BS15" si="167">+BR15/BR12</f>
        <v>0.73734349884237071</v>
      </c>
      <c r="BT15" s="31">
        <v>2000</v>
      </c>
      <c r="BU15" s="32">
        <f t="shared" ref="BU15" si="168">+BT15/BT12</f>
        <v>0.4915623325615805</v>
      </c>
      <c r="BV15" s="31">
        <v>2000</v>
      </c>
      <c r="BW15" s="32">
        <f t="shared" ref="BW15" si="169">+BV15/BV12</f>
        <v>0.4915623325615805</v>
      </c>
      <c r="BX15" s="271"/>
      <c r="BY15" s="271"/>
      <c r="BZ15" s="271"/>
      <c r="CA15" s="271"/>
      <c r="CB15" s="271"/>
      <c r="CC15" s="271"/>
      <c r="CD15" s="271"/>
      <c r="CE15" s="271"/>
      <c r="CF15" s="271"/>
      <c r="CG15" s="271"/>
    </row>
    <row r="16" spans="1:85" s="4" customFormat="1" ht="18" customHeight="1" x14ac:dyDescent="0.45">
      <c r="A16" s="561"/>
      <c r="B16" s="1194"/>
      <c r="C16" s="33" t="s">
        <v>30</v>
      </c>
      <c r="D16" s="20"/>
      <c r="E16" s="30"/>
      <c r="F16" s="31">
        <f>+F15*F10</f>
        <v>28800</v>
      </c>
      <c r="G16" s="32">
        <f>+G15*G10</f>
        <v>7.0784975888867594</v>
      </c>
      <c r="H16" s="31">
        <f t="shared" ref="H16:BS16" si="170">+H15*H10</f>
        <v>28800</v>
      </c>
      <c r="I16" s="32">
        <f t="shared" si="170"/>
        <v>7.0784975888867594</v>
      </c>
      <c r="J16" s="31">
        <f t="shared" si="170"/>
        <v>28800</v>
      </c>
      <c r="K16" s="32">
        <f t="shared" si="170"/>
        <v>7.0784975888867594</v>
      </c>
      <c r="L16" s="31">
        <f t="shared" si="170"/>
        <v>28800</v>
      </c>
      <c r="M16" s="32">
        <f t="shared" si="170"/>
        <v>7.0784975888867594</v>
      </c>
      <c r="N16" s="31">
        <f t="shared" si="170"/>
        <v>28800</v>
      </c>
      <c r="O16" s="32">
        <f t="shared" si="170"/>
        <v>7.0784975888867594</v>
      </c>
      <c r="P16" s="31">
        <f t="shared" si="170"/>
        <v>28800</v>
      </c>
      <c r="Q16" s="32">
        <f t="shared" si="170"/>
        <v>7.0784975888867594</v>
      </c>
      <c r="R16" s="31">
        <f t="shared" si="170"/>
        <v>28800</v>
      </c>
      <c r="S16" s="32">
        <f t="shared" si="170"/>
        <v>7.0784975888867594</v>
      </c>
      <c r="T16" s="31">
        <f t="shared" si="170"/>
        <v>28800</v>
      </c>
      <c r="U16" s="32">
        <f t="shared" si="170"/>
        <v>7.0784975888867594</v>
      </c>
      <c r="V16" s="31">
        <f t="shared" si="170"/>
        <v>28800</v>
      </c>
      <c r="W16" s="32">
        <f t="shared" si="170"/>
        <v>7.0784975888867594</v>
      </c>
      <c r="X16" s="31">
        <f t="shared" si="170"/>
        <v>28800</v>
      </c>
      <c r="Y16" s="32">
        <f t="shared" si="170"/>
        <v>7.0784975888867594</v>
      </c>
      <c r="Z16" s="31">
        <f t="shared" si="170"/>
        <v>28800</v>
      </c>
      <c r="AA16" s="32">
        <f t="shared" si="170"/>
        <v>7.0784975888867594</v>
      </c>
      <c r="AB16" s="31">
        <f t="shared" si="170"/>
        <v>28800</v>
      </c>
      <c r="AC16" s="32">
        <f t="shared" si="170"/>
        <v>7.0784975888867594</v>
      </c>
      <c r="AD16" s="31">
        <f t="shared" si="170"/>
        <v>28800</v>
      </c>
      <c r="AE16" s="32">
        <f t="shared" si="170"/>
        <v>7.0784975888867594</v>
      </c>
      <c r="AF16" s="31">
        <f t="shared" si="170"/>
        <v>28800</v>
      </c>
      <c r="AG16" s="32">
        <f t="shared" si="170"/>
        <v>7.0784975888867594</v>
      </c>
      <c r="AH16" s="31">
        <f t="shared" si="170"/>
        <v>30000</v>
      </c>
      <c r="AI16" s="32">
        <f t="shared" si="170"/>
        <v>7.3734349884237069</v>
      </c>
      <c r="AJ16" s="31">
        <f t="shared" si="170"/>
        <v>28800</v>
      </c>
      <c r="AK16" s="32">
        <f t="shared" si="170"/>
        <v>7.0784975888867594</v>
      </c>
      <c r="AL16" s="31">
        <f t="shared" si="170"/>
        <v>28800</v>
      </c>
      <c r="AM16" s="32">
        <f t="shared" si="170"/>
        <v>7.0784975888867594</v>
      </c>
      <c r="AN16" s="31">
        <f t="shared" si="170"/>
        <v>28800</v>
      </c>
      <c r="AO16" s="32">
        <f t="shared" si="170"/>
        <v>7.0784975888867594</v>
      </c>
      <c r="AP16" s="31">
        <f t="shared" si="170"/>
        <v>28800</v>
      </c>
      <c r="AQ16" s="32">
        <f t="shared" si="170"/>
        <v>7.0784975888867594</v>
      </c>
      <c r="AR16" s="31">
        <f t="shared" si="170"/>
        <v>24000</v>
      </c>
      <c r="AS16" s="32">
        <f t="shared" si="170"/>
        <v>5.8987479907389657</v>
      </c>
      <c r="AT16" s="31">
        <f t="shared" si="170"/>
        <v>24000</v>
      </c>
      <c r="AU16" s="32">
        <f t="shared" si="170"/>
        <v>5.8987479907389657</v>
      </c>
      <c r="AV16" s="31">
        <f t="shared" si="170"/>
        <v>24000</v>
      </c>
      <c r="AW16" s="32">
        <f t="shared" si="170"/>
        <v>5.8987479907389657</v>
      </c>
      <c r="AX16" s="31">
        <f t="shared" si="170"/>
        <v>24000</v>
      </c>
      <c r="AY16" s="32">
        <f t="shared" si="170"/>
        <v>5.8987479907389657</v>
      </c>
      <c r="AZ16" s="31">
        <f t="shared" si="170"/>
        <v>24000</v>
      </c>
      <c r="BA16" s="32">
        <f t="shared" si="170"/>
        <v>5.8987479907389657</v>
      </c>
      <c r="BB16" s="31">
        <f t="shared" si="170"/>
        <v>24000</v>
      </c>
      <c r="BC16" s="32">
        <f t="shared" si="170"/>
        <v>5.8987479907389657</v>
      </c>
      <c r="BD16" s="31">
        <f t="shared" si="170"/>
        <v>24000</v>
      </c>
      <c r="BE16" s="32">
        <f t="shared" si="170"/>
        <v>5.8987479907389657</v>
      </c>
      <c r="BF16" s="31">
        <f t="shared" ref="BF16:BG16" si="171">+BF15*BF10</f>
        <v>24000</v>
      </c>
      <c r="BG16" s="32">
        <f t="shared" si="171"/>
        <v>5.8987479907389657</v>
      </c>
      <c r="BH16" s="31">
        <f t="shared" si="170"/>
        <v>24000</v>
      </c>
      <c r="BI16" s="32">
        <f t="shared" si="170"/>
        <v>5.8987479907389657</v>
      </c>
      <c r="BJ16" s="31">
        <f t="shared" ref="BJ16:BM16" si="172">+BJ15*BJ10</f>
        <v>24000</v>
      </c>
      <c r="BK16" s="32">
        <f t="shared" si="172"/>
        <v>5.8987479907389657</v>
      </c>
      <c r="BL16" s="31">
        <f t="shared" si="172"/>
        <v>24000</v>
      </c>
      <c r="BM16" s="32">
        <f t="shared" si="172"/>
        <v>5.8987479907389657</v>
      </c>
      <c r="BN16" s="31">
        <f t="shared" ref="BN16:BO16" si="173">+BN15*BN10</f>
        <v>24000</v>
      </c>
      <c r="BO16" s="32">
        <f t="shared" si="173"/>
        <v>5.8987479907389657</v>
      </c>
      <c r="BP16" s="31">
        <f t="shared" ref="BP16:BQ16" si="174">+BP15*BP10</f>
        <v>24000</v>
      </c>
      <c r="BQ16" s="32">
        <f t="shared" si="174"/>
        <v>5.8987479907389657</v>
      </c>
      <c r="BR16" s="31">
        <f t="shared" si="170"/>
        <v>36000</v>
      </c>
      <c r="BS16" s="32">
        <f t="shared" si="170"/>
        <v>8.848121986108449</v>
      </c>
      <c r="BT16" s="31">
        <f t="shared" ref="BT16:BU16" si="175">+BT15*BT10</f>
        <v>24000</v>
      </c>
      <c r="BU16" s="32">
        <f t="shared" si="175"/>
        <v>5.8987479907389657</v>
      </c>
      <c r="BV16" s="31">
        <f t="shared" ref="BV16:BW16" si="176">+BV15*BV10</f>
        <v>144000</v>
      </c>
      <c r="BW16" s="32">
        <f t="shared" si="176"/>
        <v>35.392487944433796</v>
      </c>
      <c r="BX16" s="271"/>
      <c r="BY16" s="271"/>
      <c r="BZ16" s="271"/>
      <c r="CA16" s="271"/>
      <c r="CB16" s="271"/>
      <c r="CC16" s="271"/>
      <c r="CD16" s="271"/>
      <c r="CE16" s="271"/>
      <c r="CF16" s="271"/>
      <c r="CG16" s="271"/>
    </row>
    <row r="17" spans="1:90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23">
        <v>0</v>
      </c>
      <c r="O17" s="24">
        <v>0</v>
      </c>
      <c r="P17" s="23">
        <v>0</v>
      </c>
      <c r="Q17" s="24">
        <v>0</v>
      </c>
      <c r="R17" s="23">
        <v>0</v>
      </c>
      <c r="S17" s="24">
        <v>0</v>
      </c>
      <c r="T17" s="23">
        <v>0</v>
      </c>
      <c r="U17" s="24">
        <v>0</v>
      </c>
      <c r="V17" s="23">
        <v>0</v>
      </c>
      <c r="W17" s="24">
        <v>0</v>
      </c>
      <c r="X17" s="23">
        <v>0</v>
      </c>
      <c r="Y17" s="24">
        <v>0</v>
      </c>
      <c r="Z17" s="23">
        <v>0</v>
      </c>
      <c r="AA17" s="24">
        <v>0</v>
      </c>
      <c r="AB17" s="23">
        <v>0</v>
      </c>
      <c r="AC17" s="24">
        <v>0</v>
      </c>
      <c r="AD17" s="23">
        <v>0</v>
      </c>
      <c r="AE17" s="24">
        <v>0</v>
      </c>
      <c r="AF17" s="23">
        <v>0</v>
      </c>
      <c r="AG17" s="24">
        <v>0</v>
      </c>
      <c r="AH17" s="23">
        <v>0</v>
      </c>
      <c r="AI17" s="24">
        <v>0</v>
      </c>
      <c r="AJ17" s="23">
        <v>0</v>
      </c>
      <c r="AK17" s="24">
        <v>0</v>
      </c>
      <c r="AL17" s="23">
        <v>0</v>
      </c>
      <c r="AM17" s="24">
        <v>0</v>
      </c>
      <c r="AN17" s="23">
        <v>0</v>
      </c>
      <c r="AO17" s="24">
        <v>0</v>
      </c>
      <c r="AP17" s="23">
        <v>0</v>
      </c>
      <c r="AQ17" s="24">
        <v>0</v>
      </c>
      <c r="AR17" s="23">
        <v>0</v>
      </c>
      <c r="AS17" s="24">
        <v>0</v>
      </c>
      <c r="AT17" s="23">
        <v>0</v>
      </c>
      <c r="AU17" s="24">
        <v>0</v>
      </c>
      <c r="AV17" s="23">
        <v>0</v>
      </c>
      <c r="AW17" s="24">
        <v>0</v>
      </c>
      <c r="AX17" s="23">
        <v>0</v>
      </c>
      <c r="AY17" s="24">
        <v>0</v>
      </c>
      <c r="AZ17" s="23">
        <v>0</v>
      </c>
      <c r="BA17" s="24">
        <v>0</v>
      </c>
      <c r="BB17" s="23">
        <v>0</v>
      </c>
      <c r="BC17" s="24">
        <v>0</v>
      </c>
      <c r="BD17" s="23">
        <v>0</v>
      </c>
      <c r="BE17" s="24">
        <v>0</v>
      </c>
      <c r="BF17" s="23">
        <v>0</v>
      </c>
      <c r="BG17" s="24">
        <v>0</v>
      </c>
      <c r="BH17" s="23">
        <v>0</v>
      </c>
      <c r="BI17" s="24">
        <v>0</v>
      </c>
      <c r="BJ17" s="23">
        <v>0</v>
      </c>
      <c r="BK17" s="24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269"/>
      <c r="BY17" s="269"/>
      <c r="BZ17" s="269"/>
      <c r="CA17" s="269"/>
      <c r="CB17" s="269"/>
      <c r="CC17" s="269"/>
      <c r="CD17" s="269"/>
      <c r="CE17" s="269"/>
      <c r="CF17" s="269"/>
      <c r="CG17" s="269"/>
    </row>
    <row r="18" spans="1:90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6">
        <v>0</v>
      </c>
      <c r="O18" s="37">
        <v>0</v>
      </c>
      <c r="P18" s="36">
        <v>0</v>
      </c>
      <c r="Q18" s="37">
        <v>0</v>
      </c>
      <c r="R18" s="36">
        <v>0</v>
      </c>
      <c r="S18" s="37">
        <v>0</v>
      </c>
      <c r="T18" s="36">
        <v>0</v>
      </c>
      <c r="U18" s="37">
        <v>0</v>
      </c>
      <c r="V18" s="36">
        <v>0</v>
      </c>
      <c r="W18" s="37">
        <v>0</v>
      </c>
      <c r="X18" s="36">
        <v>0</v>
      </c>
      <c r="Y18" s="37">
        <v>0</v>
      </c>
      <c r="Z18" s="36">
        <v>0</v>
      </c>
      <c r="AA18" s="37">
        <v>0</v>
      </c>
      <c r="AB18" s="36">
        <v>0</v>
      </c>
      <c r="AC18" s="37">
        <v>0</v>
      </c>
      <c r="AD18" s="36">
        <v>0</v>
      </c>
      <c r="AE18" s="37">
        <v>0</v>
      </c>
      <c r="AF18" s="36">
        <v>0</v>
      </c>
      <c r="AG18" s="37">
        <v>0</v>
      </c>
      <c r="AH18" s="36">
        <v>0</v>
      </c>
      <c r="AI18" s="37">
        <v>0</v>
      </c>
      <c r="AJ18" s="36">
        <v>0</v>
      </c>
      <c r="AK18" s="37">
        <v>0</v>
      </c>
      <c r="AL18" s="36">
        <v>0</v>
      </c>
      <c r="AM18" s="37">
        <v>0</v>
      </c>
      <c r="AN18" s="36">
        <v>0</v>
      </c>
      <c r="AO18" s="37">
        <v>0</v>
      </c>
      <c r="AP18" s="36">
        <v>0</v>
      </c>
      <c r="AQ18" s="37">
        <v>0</v>
      </c>
      <c r="AR18" s="36">
        <v>0</v>
      </c>
      <c r="AS18" s="37">
        <v>0</v>
      </c>
      <c r="AT18" s="36">
        <v>0</v>
      </c>
      <c r="AU18" s="37">
        <v>0</v>
      </c>
      <c r="AV18" s="36">
        <v>0</v>
      </c>
      <c r="AW18" s="37">
        <v>0</v>
      </c>
      <c r="AX18" s="36">
        <v>0</v>
      </c>
      <c r="AY18" s="37">
        <v>0</v>
      </c>
      <c r="AZ18" s="36">
        <v>0</v>
      </c>
      <c r="BA18" s="37">
        <v>0</v>
      </c>
      <c r="BB18" s="36">
        <v>0</v>
      </c>
      <c r="BC18" s="37">
        <v>0</v>
      </c>
      <c r="BD18" s="36">
        <v>0</v>
      </c>
      <c r="BE18" s="37">
        <v>0</v>
      </c>
      <c r="BF18" s="36">
        <v>0</v>
      </c>
      <c r="BG18" s="37">
        <v>0</v>
      </c>
      <c r="BH18" s="36">
        <v>0</v>
      </c>
      <c r="BI18" s="37">
        <v>0</v>
      </c>
      <c r="BJ18" s="36">
        <v>0</v>
      </c>
      <c r="BK18" s="3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45"/>
      <c r="BY18" s="45"/>
      <c r="BZ18" s="45"/>
      <c r="CA18" s="45"/>
      <c r="CB18" s="45"/>
      <c r="CC18" s="45"/>
      <c r="CD18" s="45"/>
      <c r="CE18" s="45"/>
      <c r="CF18" s="45"/>
      <c r="CG18" s="45"/>
    </row>
    <row r="19" spans="1:90" s="4" customFormat="1" ht="18" customHeight="1" x14ac:dyDescent="0.45">
      <c r="A19" s="561"/>
      <c r="B19" s="1194"/>
      <c r="C19" s="19" t="s">
        <v>34</v>
      </c>
      <c r="D19" s="20"/>
      <c r="E19" s="30"/>
      <c r="F19" s="38">
        <f>F15-F17</f>
        <v>2400</v>
      </c>
      <c r="G19" s="32">
        <f>G15-G17</f>
        <v>0.58987479907389662</v>
      </c>
      <c r="H19" s="38">
        <f t="shared" ref="H19:BS19" si="177">H15-H17</f>
        <v>2400</v>
      </c>
      <c r="I19" s="32">
        <f t="shared" si="177"/>
        <v>0.58987479907389662</v>
      </c>
      <c r="J19" s="38">
        <f t="shared" si="177"/>
        <v>2400</v>
      </c>
      <c r="K19" s="32">
        <f t="shared" si="177"/>
        <v>0.58987479907389662</v>
      </c>
      <c r="L19" s="38">
        <f t="shared" si="177"/>
        <v>2400</v>
      </c>
      <c r="M19" s="32">
        <f t="shared" si="177"/>
        <v>0.58987479907389662</v>
      </c>
      <c r="N19" s="38">
        <f t="shared" si="177"/>
        <v>2400</v>
      </c>
      <c r="O19" s="32">
        <f t="shared" si="177"/>
        <v>0.58987479907389662</v>
      </c>
      <c r="P19" s="38">
        <f t="shared" si="177"/>
        <v>2400</v>
      </c>
      <c r="Q19" s="32">
        <f t="shared" si="177"/>
        <v>0.58987479907389662</v>
      </c>
      <c r="R19" s="38">
        <f t="shared" si="177"/>
        <v>2400</v>
      </c>
      <c r="S19" s="32">
        <f t="shared" si="177"/>
        <v>0.58987479907389662</v>
      </c>
      <c r="T19" s="38">
        <f t="shared" si="177"/>
        <v>2400</v>
      </c>
      <c r="U19" s="32">
        <f t="shared" si="177"/>
        <v>0.58987479907389662</v>
      </c>
      <c r="V19" s="38">
        <f t="shared" si="177"/>
        <v>2400</v>
      </c>
      <c r="W19" s="32">
        <f t="shared" si="177"/>
        <v>0.58987479907389662</v>
      </c>
      <c r="X19" s="38">
        <f t="shared" si="177"/>
        <v>2400</v>
      </c>
      <c r="Y19" s="32">
        <f t="shared" si="177"/>
        <v>0.58987479907389662</v>
      </c>
      <c r="Z19" s="38">
        <f t="shared" si="177"/>
        <v>2400</v>
      </c>
      <c r="AA19" s="32">
        <f t="shared" si="177"/>
        <v>0.58987479907389662</v>
      </c>
      <c r="AB19" s="38">
        <f t="shared" si="177"/>
        <v>2400</v>
      </c>
      <c r="AC19" s="32">
        <f t="shared" si="177"/>
        <v>0.58987479907389662</v>
      </c>
      <c r="AD19" s="38">
        <f t="shared" si="177"/>
        <v>2400</v>
      </c>
      <c r="AE19" s="32">
        <f t="shared" si="177"/>
        <v>0.58987479907389662</v>
      </c>
      <c r="AF19" s="38">
        <f t="shared" si="177"/>
        <v>2400</v>
      </c>
      <c r="AG19" s="32">
        <f t="shared" si="177"/>
        <v>0.58987479907389662</v>
      </c>
      <c r="AH19" s="38">
        <v>2400</v>
      </c>
      <c r="AI19" s="32">
        <f t="shared" si="177"/>
        <v>0.61445291570197558</v>
      </c>
      <c r="AJ19" s="38">
        <f t="shared" si="177"/>
        <v>2400</v>
      </c>
      <c r="AK19" s="32">
        <f t="shared" si="177"/>
        <v>0.58987479907389662</v>
      </c>
      <c r="AL19" s="38">
        <f t="shared" si="177"/>
        <v>2400</v>
      </c>
      <c r="AM19" s="32">
        <f t="shared" si="177"/>
        <v>0.58987479907389662</v>
      </c>
      <c r="AN19" s="38">
        <f t="shared" si="177"/>
        <v>2400</v>
      </c>
      <c r="AO19" s="32">
        <f t="shared" si="177"/>
        <v>0.58987479907389662</v>
      </c>
      <c r="AP19" s="38">
        <f t="shared" si="177"/>
        <v>2400</v>
      </c>
      <c r="AQ19" s="32">
        <f t="shared" si="177"/>
        <v>0.58987479907389662</v>
      </c>
      <c r="AR19" s="38">
        <f t="shared" si="177"/>
        <v>2000</v>
      </c>
      <c r="AS19" s="32">
        <f t="shared" si="177"/>
        <v>0.4915623325615805</v>
      </c>
      <c r="AT19" s="38">
        <f t="shared" si="177"/>
        <v>2000</v>
      </c>
      <c r="AU19" s="32">
        <f t="shared" si="177"/>
        <v>0.4915623325615805</v>
      </c>
      <c r="AV19" s="38">
        <f t="shared" si="177"/>
        <v>2000</v>
      </c>
      <c r="AW19" s="32">
        <f t="shared" si="177"/>
        <v>0.4915623325615805</v>
      </c>
      <c r="AX19" s="38">
        <f t="shared" si="177"/>
        <v>2000</v>
      </c>
      <c r="AY19" s="32">
        <f t="shared" si="177"/>
        <v>0.4915623325615805</v>
      </c>
      <c r="AZ19" s="38">
        <f t="shared" si="177"/>
        <v>2000</v>
      </c>
      <c r="BA19" s="32">
        <f t="shared" si="177"/>
        <v>0.4915623325615805</v>
      </c>
      <c r="BB19" s="38">
        <f t="shared" si="177"/>
        <v>2000</v>
      </c>
      <c r="BC19" s="32">
        <f t="shared" si="177"/>
        <v>0.4915623325615805</v>
      </c>
      <c r="BD19" s="38">
        <f t="shared" si="177"/>
        <v>2000</v>
      </c>
      <c r="BE19" s="32">
        <f t="shared" si="177"/>
        <v>0.4915623325615805</v>
      </c>
      <c r="BF19" s="38">
        <f t="shared" ref="BF19:BG19" si="178">BF15-BF17</f>
        <v>2000</v>
      </c>
      <c r="BG19" s="32">
        <f t="shared" si="178"/>
        <v>0.4915623325615805</v>
      </c>
      <c r="BH19" s="38">
        <f t="shared" si="177"/>
        <v>2000</v>
      </c>
      <c r="BI19" s="32">
        <f t="shared" si="177"/>
        <v>0.4915623325615805</v>
      </c>
      <c r="BJ19" s="38">
        <f t="shared" ref="BJ19:BM19" si="179">BJ15-BJ17</f>
        <v>2000</v>
      </c>
      <c r="BK19" s="32">
        <f t="shared" si="179"/>
        <v>0.4915623325615805</v>
      </c>
      <c r="BL19" s="38">
        <f t="shared" si="179"/>
        <v>2000</v>
      </c>
      <c r="BM19" s="32">
        <f t="shared" si="179"/>
        <v>0.4915623325615805</v>
      </c>
      <c r="BN19" s="38">
        <f t="shared" ref="BN19:BO19" si="180">BN15-BN17</f>
        <v>2000</v>
      </c>
      <c r="BO19" s="32">
        <f t="shared" si="180"/>
        <v>0.4915623325615805</v>
      </c>
      <c r="BP19" s="38">
        <f t="shared" ref="BP19:BQ19" si="181">BP15-BP17</f>
        <v>2000</v>
      </c>
      <c r="BQ19" s="32">
        <f t="shared" si="181"/>
        <v>0.4915623325615805</v>
      </c>
      <c r="BR19" s="38">
        <f t="shared" si="177"/>
        <v>3000</v>
      </c>
      <c r="BS19" s="32">
        <f t="shared" si="177"/>
        <v>0.73734349884237071</v>
      </c>
      <c r="BT19" s="38">
        <f t="shared" ref="BT19:BU19" si="182">BT15-BT17</f>
        <v>2000</v>
      </c>
      <c r="BU19" s="32">
        <f t="shared" si="182"/>
        <v>0.4915623325615805</v>
      </c>
      <c r="BV19" s="38">
        <f t="shared" ref="BV19:BW19" si="183">BV15-BV17</f>
        <v>2000</v>
      </c>
      <c r="BW19" s="32">
        <f t="shared" si="183"/>
        <v>0.4915623325615805</v>
      </c>
      <c r="BX19" s="271"/>
      <c r="BY19" s="271"/>
      <c r="BZ19" s="271"/>
      <c r="CA19" s="271"/>
      <c r="CB19" s="271"/>
      <c r="CC19" s="271"/>
      <c r="CD19" s="271"/>
      <c r="CE19" s="271"/>
      <c r="CF19" s="271"/>
      <c r="CG19" s="271"/>
    </row>
    <row r="20" spans="1:90" s="4" customFormat="1" ht="18" customHeight="1" x14ac:dyDescent="0.45">
      <c r="A20" s="561"/>
      <c r="B20" s="1194"/>
      <c r="C20" s="19" t="s">
        <v>35</v>
      </c>
      <c r="D20" s="20"/>
      <c r="E20" s="30"/>
      <c r="F20" s="39">
        <f>1/(1+F18)*F16</f>
        <v>28800</v>
      </c>
      <c r="G20" s="40">
        <f>1/(1+G18)*G16</f>
        <v>7.0784975888867594</v>
      </c>
      <c r="H20" s="39">
        <f t="shared" ref="H20:BS20" si="184">1/(1+H18)*H16</f>
        <v>28800</v>
      </c>
      <c r="I20" s="40">
        <f t="shared" si="184"/>
        <v>7.0784975888867594</v>
      </c>
      <c r="J20" s="39">
        <f t="shared" si="184"/>
        <v>28800</v>
      </c>
      <c r="K20" s="40">
        <f t="shared" si="184"/>
        <v>7.0784975888867594</v>
      </c>
      <c r="L20" s="39">
        <f t="shared" si="184"/>
        <v>28800</v>
      </c>
      <c r="M20" s="40">
        <f t="shared" si="184"/>
        <v>7.0784975888867594</v>
      </c>
      <c r="N20" s="39">
        <f t="shared" si="184"/>
        <v>28800</v>
      </c>
      <c r="O20" s="40">
        <f t="shared" si="184"/>
        <v>7.0784975888867594</v>
      </c>
      <c r="P20" s="39">
        <f t="shared" si="184"/>
        <v>28800</v>
      </c>
      <c r="Q20" s="40">
        <f t="shared" si="184"/>
        <v>7.0784975888867594</v>
      </c>
      <c r="R20" s="39">
        <f t="shared" si="184"/>
        <v>28800</v>
      </c>
      <c r="S20" s="40">
        <f t="shared" si="184"/>
        <v>7.0784975888867594</v>
      </c>
      <c r="T20" s="39">
        <f t="shared" si="184"/>
        <v>28800</v>
      </c>
      <c r="U20" s="40">
        <f t="shared" si="184"/>
        <v>7.0784975888867594</v>
      </c>
      <c r="V20" s="39">
        <f t="shared" si="184"/>
        <v>28800</v>
      </c>
      <c r="W20" s="40">
        <f t="shared" si="184"/>
        <v>7.0784975888867594</v>
      </c>
      <c r="X20" s="39">
        <f t="shared" si="184"/>
        <v>28800</v>
      </c>
      <c r="Y20" s="40">
        <f t="shared" si="184"/>
        <v>7.0784975888867594</v>
      </c>
      <c r="Z20" s="39">
        <f t="shared" si="184"/>
        <v>28800</v>
      </c>
      <c r="AA20" s="40">
        <f t="shared" si="184"/>
        <v>7.0784975888867594</v>
      </c>
      <c r="AB20" s="39">
        <f t="shared" si="184"/>
        <v>28800</v>
      </c>
      <c r="AC20" s="40">
        <f t="shared" si="184"/>
        <v>7.0784975888867594</v>
      </c>
      <c r="AD20" s="39">
        <f t="shared" si="184"/>
        <v>28800</v>
      </c>
      <c r="AE20" s="40">
        <f t="shared" si="184"/>
        <v>7.0784975888867594</v>
      </c>
      <c r="AF20" s="39">
        <f t="shared" si="184"/>
        <v>28800</v>
      </c>
      <c r="AG20" s="40">
        <f t="shared" si="184"/>
        <v>7.0784975888867594</v>
      </c>
      <c r="AH20" s="39">
        <f t="shared" si="184"/>
        <v>30000</v>
      </c>
      <c r="AI20" s="40">
        <f t="shared" si="184"/>
        <v>7.3734349884237069</v>
      </c>
      <c r="AJ20" s="39">
        <f t="shared" si="184"/>
        <v>28800</v>
      </c>
      <c r="AK20" s="40">
        <f t="shared" si="184"/>
        <v>7.0784975888867594</v>
      </c>
      <c r="AL20" s="39">
        <f t="shared" si="184"/>
        <v>28800</v>
      </c>
      <c r="AM20" s="40">
        <f t="shared" si="184"/>
        <v>7.0784975888867594</v>
      </c>
      <c r="AN20" s="39">
        <f t="shared" si="184"/>
        <v>28800</v>
      </c>
      <c r="AO20" s="40">
        <f t="shared" si="184"/>
        <v>7.0784975888867594</v>
      </c>
      <c r="AP20" s="39">
        <f t="shared" si="184"/>
        <v>28800</v>
      </c>
      <c r="AQ20" s="40">
        <f t="shared" si="184"/>
        <v>7.0784975888867594</v>
      </c>
      <c r="AR20" s="39">
        <f t="shared" si="184"/>
        <v>24000</v>
      </c>
      <c r="AS20" s="40">
        <f t="shared" si="184"/>
        <v>5.8987479907389657</v>
      </c>
      <c r="AT20" s="39">
        <f t="shared" si="184"/>
        <v>24000</v>
      </c>
      <c r="AU20" s="40">
        <f t="shared" si="184"/>
        <v>5.8987479907389657</v>
      </c>
      <c r="AV20" s="39">
        <f t="shared" si="184"/>
        <v>24000</v>
      </c>
      <c r="AW20" s="40">
        <f t="shared" si="184"/>
        <v>5.8987479907389657</v>
      </c>
      <c r="AX20" s="39">
        <f t="shared" si="184"/>
        <v>24000</v>
      </c>
      <c r="AY20" s="40">
        <f t="shared" si="184"/>
        <v>5.8987479907389657</v>
      </c>
      <c r="AZ20" s="39">
        <f t="shared" si="184"/>
        <v>24000</v>
      </c>
      <c r="BA20" s="40">
        <f t="shared" si="184"/>
        <v>5.8987479907389657</v>
      </c>
      <c r="BB20" s="39">
        <f t="shared" si="184"/>
        <v>24000</v>
      </c>
      <c r="BC20" s="40">
        <f t="shared" si="184"/>
        <v>5.8987479907389657</v>
      </c>
      <c r="BD20" s="39">
        <f t="shared" si="184"/>
        <v>24000</v>
      </c>
      <c r="BE20" s="40">
        <f t="shared" si="184"/>
        <v>5.8987479907389657</v>
      </c>
      <c r="BF20" s="39">
        <f t="shared" ref="BF20:BG20" si="185">1/(1+BF18)*BF16</f>
        <v>24000</v>
      </c>
      <c r="BG20" s="40">
        <f t="shared" si="185"/>
        <v>5.8987479907389657</v>
      </c>
      <c r="BH20" s="39">
        <f t="shared" si="184"/>
        <v>24000</v>
      </c>
      <c r="BI20" s="40">
        <f t="shared" si="184"/>
        <v>5.8987479907389657</v>
      </c>
      <c r="BJ20" s="39">
        <f t="shared" ref="BJ20:BM20" si="186">1/(1+BJ18)*BJ16</f>
        <v>24000</v>
      </c>
      <c r="BK20" s="40">
        <f t="shared" si="186"/>
        <v>5.8987479907389657</v>
      </c>
      <c r="BL20" s="39">
        <f t="shared" si="186"/>
        <v>24000</v>
      </c>
      <c r="BM20" s="40">
        <f t="shared" si="186"/>
        <v>5.8987479907389657</v>
      </c>
      <c r="BN20" s="39">
        <f t="shared" ref="BN20:BO20" si="187">1/(1+BN18)*BN16</f>
        <v>24000</v>
      </c>
      <c r="BO20" s="40">
        <f t="shared" si="187"/>
        <v>5.8987479907389657</v>
      </c>
      <c r="BP20" s="39">
        <f t="shared" ref="BP20:BQ20" si="188">1/(1+BP18)*BP16</f>
        <v>24000</v>
      </c>
      <c r="BQ20" s="40">
        <f t="shared" si="188"/>
        <v>5.8987479907389657</v>
      </c>
      <c r="BR20" s="39">
        <f t="shared" si="184"/>
        <v>36000</v>
      </c>
      <c r="BS20" s="40">
        <f t="shared" si="184"/>
        <v>8.848121986108449</v>
      </c>
      <c r="BT20" s="39">
        <f t="shared" ref="BT20:BU20" si="189">1/(1+BT18)*BT16</f>
        <v>24000</v>
      </c>
      <c r="BU20" s="40">
        <f t="shared" si="189"/>
        <v>5.8987479907389657</v>
      </c>
      <c r="BV20" s="39">
        <f t="shared" ref="BV20:BW20" si="190">1/(1+BV18)*BV16</f>
        <v>144000</v>
      </c>
      <c r="BW20" s="40">
        <f t="shared" si="190"/>
        <v>35.392487944433796</v>
      </c>
      <c r="BX20" s="272"/>
      <c r="BY20" s="272"/>
      <c r="BZ20" s="272"/>
      <c r="CA20" s="272"/>
      <c r="CB20" s="272"/>
      <c r="CC20" s="272"/>
      <c r="CD20" s="272"/>
      <c r="CE20" s="272"/>
      <c r="CF20" s="272"/>
      <c r="CG20" s="272"/>
    </row>
    <row r="21" spans="1:90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27"/>
      <c r="O21" s="41"/>
      <c r="P21" s="27"/>
      <c r="Q21" s="41"/>
      <c r="R21" s="27"/>
      <c r="S21" s="41"/>
      <c r="T21" s="27"/>
      <c r="U21" s="41"/>
      <c r="V21" s="27"/>
      <c r="W21" s="41"/>
      <c r="X21" s="27"/>
      <c r="Y21" s="41"/>
      <c r="Z21" s="27"/>
      <c r="AA21" s="41"/>
      <c r="AB21" s="27"/>
      <c r="AC21" s="41"/>
      <c r="AD21" s="27"/>
      <c r="AE21" s="41"/>
      <c r="AF21" s="27"/>
      <c r="AG21" s="41"/>
      <c r="AH21" s="27"/>
      <c r="AI21" s="41"/>
      <c r="AJ21" s="27"/>
      <c r="AK21" s="41"/>
      <c r="AL21" s="27"/>
      <c r="AM21" s="41"/>
      <c r="AN21" s="27"/>
      <c r="AO21" s="41"/>
      <c r="AP21" s="27"/>
      <c r="AQ21" s="41"/>
      <c r="AR21" s="27"/>
      <c r="AS21" s="41"/>
      <c r="AT21" s="27"/>
      <c r="AU21" s="41"/>
      <c r="AV21" s="27"/>
      <c r="AW21" s="41"/>
      <c r="AX21" s="27"/>
      <c r="AY21" s="41"/>
      <c r="AZ21" s="27"/>
      <c r="BA21" s="41"/>
      <c r="BB21" s="27"/>
      <c r="BC21" s="41"/>
      <c r="BD21" s="27"/>
      <c r="BE21" s="41"/>
      <c r="BF21" s="27"/>
      <c r="BG21" s="41"/>
      <c r="BH21" s="27"/>
      <c r="BI21" s="41"/>
      <c r="BJ21" s="27"/>
      <c r="BK21" s="41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270"/>
      <c r="BY21" s="270"/>
      <c r="BZ21" s="270"/>
      <c r="CA21" s="270"/>
      <c r="CB21" s="270"/>
      <c r="CC21" s="270"/>
      <c r="CD21" s="270"/>
      <c r="CE21" s="270" t="s">
        <v>356</v>
      </c>
      <c r="CF21" s="270"/>
      <c r="CG21" s="270"/>
      <c r="CH21" s="270" t="s">
        <v>357</v>
      </c>
      <c r="CI21" s="270"/>
      <c r="CK21" s="270" t="s">
        <v>358</v>
      </c>
      <c r="CL21" s="270"/>
    </row>
    <row r="22" spans="1:90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42"/>
      <c r="O22" s="43"/>
      <c r="P22" s="42"/>
      <c r="Q22" s="43"/>
      <c r="R22" s="42"/>
      <c r="S22" s="43"/>
      <c r="T22" s="42"/>
      <c r="U22" s="43"/>
      <c r="V22" s="42"/>
      <c r="W22" s="43"/>
      <c r="X22" s="42"/>
      <c r="Y22" s="43"/>
      <c r="Z22" s="42"/>
      <c r="AA22" s="43"/>
      <c r="AB22" s="42"/>
      <c r="AC22" s="43"/>
      <c r="AD22" s="42"/>
      <c r="AE22" s="43"/>
      <c r="AF22" s="42"/>
      <c r="AG22" s="43"/>
      <c r="AH22" s="42"/>
      <c r="AI22" s="43"/>
      <c r="AJ22" s="42"/>
      <c r="AK22" s="43"/>
      <c r="AL22" s="42"/>
      <c r="AM22" s="43"/>
      <c r="AN22" s="42"/>
      <c r="AO22" s="43"/>
      <c r="AP22" s="42"/>
      <c r="AQ22" s="43"/>
      <c r="AR22" s="42"/>
      <c r="AS22" s="43"/>
      <c r="AT22" s="42"/>
      <c r="AU22" s="43"/>
      <c r="AV22" s="42"/>
      <c r="AW22" s="43"/>
      <c r="AX22" s="42"/>
      <c r="AY22" s="43"/>
      <c r="AZ22" s="42"/>
      <c r="BA22" s="43"/>
      <c r="BB22" s="42"/>
      <c r="BC22" s="43"/>
      <c r="BD22" s="42"/>
      <c r="BE22" s="43"/>
      <c r="BF22" s="42"/>
      <c r="BG22" s="43"/>
      <c r="BH22" s="42"/>
      <c r="BI22" s="43"/>
      <c r="BJ22" s="42"/>
      <c r="BK22" s="43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270"/>
      <c r="BY22" s="270"/>
      <c r="BZ22" s="270"/>
      <c r="CA22" s="270"/>
      <c r="CB22" s="1253" t="s">
        <v>359</v>
      </c>
      <c r="CC22" s="1253"/>
      <c r="CD22" s="270"/>
      <c r="CE22" s="1164" t="s">
        <v>176</v>
      </c>
      <c r="CF22" s="1165">
        <v>0.49</v>
      </c>
      <c r="CG22" s="270"/>
      <c r="CH22" s="1164" t="s">
        <v>176</v>
      </c>
      <c r="CI22" s="1165">
        <v>0.49</v>
      </c>
      <c r="CK22" s="1164" t="s">
        <v>176</v>
      </c>
      <c r="CL22" s="1165">
        <v>0.49</v>
      </c>
    </row>
    <row r="23" spans="1:90" s="49" customFormat="1" ht="18" customHeight="1" x14ac:dyDescent="0.45">
      <c r="A23" s="561"/>
      <c r="B23" s="1187"/>
      <c r="C23" s="44" t="s">
        <v>37</v>
      </c>
      <c r="D23" s="45"/>
      <c r="E23" s="46"/>
      <c r="F23" s="47">
        <f>F24/F20</f>
        <v>0.29166666666666702</v>
      </c>
      <c r="G23" s="48">
        <f>G24/G20</f>
        <v>0.29166666666666702</v>
      </c>
      <c r="H23" s="47">
        <f t="shared" ref="H23:BS23" si="191">H24/H20</f>
        <v>0.29166666666666702</v>
      </c>
      <c r="I23" s="48">
        <f t="shared" si="191"/>
        <v>0.29166666666666702</v>
      </c>
      <c r="J23" s="47">
        <f t="shared" si="191"/>
        <v>0.29166666666666702</v>
      </c>
      <c r="K23" s="48">
        <f t="shared" si="191"/>
        <v>0.29166666666666702</v>
      </c>
      <c r="L23" s="47">
        <f t="shared" si="191"/>
        <v>0.29166666666666702</v>
      </c>
      <c r="M23" s="48">
        <f t="shared" si="191"/>
        <v>0.29166666666666702</v>
      </c>
      <c r="N23" s="47">
        <f t="shared" si="191"/>
        <v>0.29166666666666702</v>
      </c>
      <c r="O23" s="48">
        <f t="shared" si="191"/>
        <v>0.29166666666666702</v>
      </c>
      <c r="P23" s="47">
        <f t="shared" si="191"/>
        <v>0.29166666666666702</v>
      </c>
      <c r="Q23" s="48">
        <f t="shared" si="191"/>
        <v>0.29166666666666702</v>
      </c>
      <c r="R23" s="47">
        <f t="shared" si="191"/>
        <v>0.29166666666666702</v>
      </c>
      <c r="S23" s="48">
        <f t="shared" si="191"/>
        <v>0.29166666666666702</v>
      </c>
      <c r="T23" s="47">
        <f t="shared" si="191"/>
        <v>0.29166666666666702</v>
      </c>
      <c r="U23" s="48">
        <f t="shared" si="191"/>
        <v>0.29166666666666702</v>
      </c>
      <c r="V23" s="47">
        <f t="shared" si="191"/>
        <v>0.29166666666666702</v>
      </c>
      <c r="W23" s="48">
        <f t="shared" si="191"/>
        <v>0.29166666666666702</v>
      </c>
      <c r="X23" s="47">
        <f t="shared" si="191"/>
        <v>0.29166666666666702</v>
      </c>
      <c r="Y23" s="48">
        <f t="shared" si="191"/>
        <v>0.29166666666666702</v>
      </c>
      <c r="Z23" s="47">
        <f t="shared" si="191"/>
        <v>0.29166666666666702</v>
      </c>
      <c r="AA23" s="48">
        <f t="shared" si="191"/>
        <v>0.29166666666666702</v>
      </c>
      <c r="AB23" s="47">
        <f t="shared" si="191"/>
        <v>0.29166666666666702</v>
      </c>
      <c r="AC23" s="48">
        <f t="shared" si="191"/>
        <v>0.29166666666666702</v>
      </c>
      <c r="AD23" s="47">
        <f t="shared" si="191"/>
        <v>0.29166666666666702</v>
      </c>
      <c r="AE23" s="48">
        <f t="shared" si="191"/>
        <v>0.29166666666666702</v>
      </c>
      <c r="AF23" s="47">
        <f t="shared" si="191"/>
        <v>0.29166666666666702</v>
      </c>
      <c r="AG23" s="48">
        <f t="shared" si="191"/>
        <v>0.29166666666666702</v>
      </c>
      <c r="AH23" s="47">
        <f t="shared" si="191"/>
        <v>0.41435954545454551</v>
      </c>
      <c r="AI23" s="48">
        <f t="shared" si="191"/>
        <v>0.41435954545454556</v>
      </c>
      <c r="AJ23" s="47">
        <f t="shared" si="191"/>
        <v>0.29166666666666702</v>
      </c>
      <c r="AK23" s="48">
        <f t="shared" si="191"/>
        <v>0.29166666666666702</v>
      </c>
      <c r="AL23" s="47">
        <f t="shared" si="191"/>
        <v>0.29166666666666702</v>
      </c>
      <c r="AM23" s="48">
        <f t="shared" si="191"/>
        <v>0.29166666666666702</v>
      </c>
      <c r="AN23" s="47">
        <f t="shared" si="191"/>
        <v>0.29166666666666702</v>
      </c>
      <c r="AO23" s="48">
        <f t="shared" si="191"/>
        <v>0.29166666666666702</v>
      </c>
      <c r="AP23" s="47">
        <f t="shared" si="191"/>
        <v>0.29166666666666702</v>
      </c>
      <c r="AQ23" s="48">
        <f t="shared" si="191"/>
        <v>0.29166666666666702</v>
      </c>
      <c r="AR23" s="47">
        <f t="shared" si="191"/>
        <v>0.25</v>
      </c>
      <c r="AS23" s="48">
        <f t="shared" si="191"/>
        <v>0.24999999999999997</v>
      </c>
      <c r="AT23" s="47">
        <f t="shared" si="191"/>
        <v>0.25</v>
      </c>
      <c r="AU23" s="48">
        <f t="shared" si="191"/>
        <v>0.24999999999999997</v>
      </c>
      <c r="AV23" s="47">
        <f t="shared" si="191"/>
        <v>0.25</v>
      </c>
      <c r="AW23" s="48">
        <f t="shared" si="191"/>
        <v>0.24999999999999997</v>
      </c>
      <c r="AX23" s="47">
        <f t="shared" si="191"/>
        <v>0.25</v>
      </c>
      <c r="AY23" s="48">
        <f t="shared" si="191"/>
        <v>0.24999999999999997</v>
      </c>
      <c r="AZ23" s="47">
        <f t="shared" si="191"/>
        <v>0.25</v>
      </c>
      <c r="BA23" s="48">
        <f t="shared" si="191"/>
        <v>0.24999999999999997</v>
      </c>
      <c r="BB23" s="47">
        <f t="shared" si="191"/>
        <v>0.25</v>
      </c>
      <c r="BC23" s="48">
        <f t="shared" si="191"/>
        <v>0.24999999999999997</v>
      </c>
      <c r="BD23" s="47">
        <f t="shared" si="191"/>
        <v>0.25</v>
      </c>
      <c r="BE23" s="48">
        <f t="shared" si="191"/>
        <v>0.24999999999999997</v>
      </c>
      <c r="BF23" s="47">
        <f t="shared" ref="BF23:BG23" si="192">BF24/BF20</f>
        <v>6.759875000000011E-2</v>
      </c>
      <c r="BG23" s="48">
        <f t="shared" si="192"/>
        <v>6.7598750000000013E-2</v>
      </c>
      <c r="BH23" s="47">
        <f t="shared" si="191"/>
        <v>0.25</v>
      </c>
      <c r="BI23" s="48">
        <f t="shared" si="191"/>
        <v>0.24999999999999997</v>
      </c>
      <c r="BJ23" s="47">
        <f t="shared" ref="BJ23:BM23" si="193">BJ24/BJ20</f>
        <v>0.38970100000000002</v>
      </c>
      <c r="BK23" s="48">
        <f t="shared" si="193"/>
        <v>0.38970099999999996</v>
      </c>
      <c r="BL23" s="361">
        <f t="shared" si="193"/>
        <v>6.759875000000011E-2</v>
      </c>
      <c r="BM23" s="362">
        <f t="shared" si="193"/>
        <v>6.7598750000000013E-2</v>
      </c>
      <c r="BN23" s="361">
        <f t="shared" ref="BN23:BO23" si="194">BN24/BN20</f>
        <v>0.25</v>
      </c>
      <c r="BO23" s="362">
        <f t="shared" si="194"/>
        <v>0.24999999999999997</v>
      </c>
      <c r="BP23" s="361">
        <f t="shared" ref="BP23:BQ23" si="195">BP24/BP20</f>
        <v>0.23712624999999996</v>
      </c>
      <c r="BQ23" s="362">
        <f t="shared" si="195"/>
        <v>0.23712625000000001</v>
      </c>
      <c r="BR23" s="361">
        <f t="shared" si="191"/>
        <v>0.26538083333333329</v>
      </c>
      <c r="BS23" s="362">
        <f t="shared" si="191"/>
        <v>0.2653808333333334</v>
      </c>
      <c r="BT23" s="361">
        <f t="shared" ref="BT23:BU23" si="196">BT24/BT20</f>
        <v>0.28798450000000003</v>
      </c>
      <c r="BU23" s="362">
        <f t="shared" si="196"/>
        <v>0.28798449999999998</v>
      </c>
      <c r="BV23" s="361">
        <f t="shared" ref="BV23:BW23" si="197">BV24/BV20</f>
        <v>0.82562500000000005</v>
      </c>
      <c r="BW23" s="362">
        <f t="shared" si="197"/>
        <v>0.82562500000000005</v>
      </c>
      <c r="BX23" s="63"/>
      <c r="BY23" s="63"/>
      <c r="BZ23" s="63"/>
      <c r="CA23" s="63"/>
      <c r="CB23" s="1156" t="s">
        <v>360</v>
      </c>
      <c r="CC23" s="1157">
        <f>SUM([11]Weekly!$WA$214:$WY$214)+SUM([11]Weekly!$WS$232:$XZ$232)</f>
        <v>5159498</v>
      </c>
      <c r="CD23" s="63"/>
      <c r="CE23" s="1164" t="s">
        <v>361</v>
      </c>
      <c r="CF23" s="1167">
        <f>((CF22*12)-CF24)/(CF22*12)</f>
        <v>6.4625850340136043E-2</v>
      </c>
      <c r="CG23" s="63"/>
      <c r="CH23" s="1164" t="s">
        <v>361</v>
      </c>
      <c r="CI23" s="1167">
        <f>((CI22*12)-CI24)/(CI22*12)</f>
        <v>0.24760867465064207</v>
      </c>
      <c r="CK23" s="1164" t="s">
        <v>361</v>
      </c>
      <c r="CL23" s="1167">
        <f>((CL22*12)-CL24)/(CL22*12)</f>
        <v>0.23469387755102039</v>
      </c>
    </row>
    <row r="24" spans="1:90" s="4" customFormat="1" ht="18" customHeight="1" x14ac:dyDescent="0.45">
      <c r="A24" s="561"/>
      <c r="B24" s="1187"/>
      <c r="C24" s="15" t="s">
        <v>38</v>
      </c>
      <c r="D24" s="16"/>
      <c r="E24" s="35"/>
      <c r="F24" s="50">
        <f>F20-F26</f>
        <v>8400.0000000000109</v>
      </c>
      <c r="G24" s="24">
        <f>G20-G26</f>
        <v>2.0645617967586407</v>
      </c>
      <c r="H24" s="50">
        <f t="shared" ref="H24:BS24" si="198">H20-H26</f>
        <v>8400.0000000000109</v>
      </c>
      <c r="I24" s="24">
        <f t="shared" si="198"/>
        <v>2.0645617967586407</v>
      </c>
      <c r="J24" s="50">
        <f t="shared" si="198"/>
        <v>8400.0000000000109</v>
      </c>
      <c r="K24" s="24">
        <f t="shared" si="198"/>
        <v>2.0645617967586407</v>
      </c>
      <c r="L24" s="50">
        <f t="shared" si="198"/>
        <v>8400.0000000000109</v>
      </c>
      <c r="M24" s="24">
        <f t="shared" si="198"/>
        <v>2.0645617967586407</v>
      </c>
      <c r="N24" s="50">
        <f t="shared" si="198"/>
        <v>8400.0000000000109</v>
      </c>
      <c r="O24" s="24">
        <f t="shared" si="198"/>
        <v>2.0645617967586407</v>
      </c>
      <c r="P24" s="50">
        <f t="shared" si="198"/>
        <v>8400.0000000000109</v>
      </c>
      <c r="Q24" s="24">
        <f t="shared" si="198"/>
        <v>2.0645617967586407</v>
      </c>
      <c r="R24" s="50">
        <f t="shared" si="198"/>
        <v>8400.0000000000109</v>
      </c>
      <c r="S24" s="24">
        <f t="shared" si="198"/>
        <v>2.0645617967586407</v>
      </c>
      <c r="T24" s="50">
        <f t="shared" si="198"/>
        <v>8400.0000000000109</v>
      </c>
      <c r="U24" s="24">
        <f t="shared" si="198"/>
        <v>2.0645617967586407</v>
      </c>
      <c r="V24" s="50">
        <f t="shared" si="198"/>
        <v>8400.0000000000109</v>
      </c>
      <c r="W24" s="24">
        <f t="shared" si="198"/>
        <v>2.0645617967586407</v>
      </c>
      <c r="X24" s="50">
        <f t="shared" si="198"/>
        <v>8400.0000000000109</v>
      </c>
      <c r="Y24" s="24">
        <f t="shared" si="198"/>
        <v>2.0645617967586407</v>
      </c>
      <c r="Z24" s="50">
        <f t="shared" si="198"/>
        <v>8400.0000000000109</v>
      </c>
      <c r="AA24" s="24">
        <f t="shared" si="198"/>
        <v>2.0645617967586407</v>
      </c>
      <c r="AB24" s="50">
        <f t="shared" si="198"/>
        <v>8400.0000000000109</v>
      </c>
      <c r="AC24" s="24">
        <f t="shared" si="198"/>
        <v>2.0645617967586407</v>
      </c>
      <c r="AD24" s="50">
        <f t="shared" si="198"/>
        <v>8400.0000000000109</v>
      </c>
      <c r="AE24" s="24">
        <f t="shared" si="198"/>
        <v>2.0645617967586407</v>
      </c>
      <c r="AF24" s="50">
        <f t="shared" si="198"/>
        <v>8400.0000000000109</v>
      </c>
      <c r="AG24" s="24">
        <f t="shared" si="198"/>
        <v>2.0645617967586407</v>
      </c>
      <c r="AH24" s="50">
        <f t="shared" si="198"/>
        <v>12430.786363636365</v>
      </c>
      <c r="AI24" s="24">
        <f t="shared" si="198"/>
        <v>3.0552531702418895</v>
      </c>
      <c r="AJ24" s="50">
        <f t="shared" si="198"/>
        <v>8400.0000000000109</v>
      </c>
      <c r="AK24" s="24">
        <f t="shared" si="198"/>
        <v>2.0645617967586407</v>
      </c>
      <c r="AL24" s="50">
        <f t="shared" si="198"/>
        <v>8400.0000000000109</v>
      </c>
      <c r="AM24" s="24">
        <f t="shared" si="198"/>
        <v>2.0645617967586407</v>
      </c>
      <c r="AN24" s="50">
        <f t="shared" si="198"/>
        <v>8400.0000000000109</v>
      </c>
      <c r="AO24" s="24">
        <f t="shared" si="198"/>
        <v>2.0645617967586407</v>
      </c>
      <c r="AP24" s="50">
        <f t="shared" si="198"/>
        <v>8400.0000000000109</v>
      </c>
      <c r="AQ24" s="24">
        <f t="shared" si="198"/>
        <v>2.0645617967586407</v>
      </c>
      <c r="AR24" s="50">
        <f t="shared" si="198"/>
        <v>6000</v>
      </c>
      <c r="AS24" s="24">
        <f t="shared" si="198"/>
        <v>1.4746869976847412</v>
      </c>
      <c r="AT24" s="50">
        <f t="shared" si="198"/>
        <v>6000</v>
      </c>
      <c r="AU24" s="24">
        <f t="shared" si="198"/>
        <v>1.4746869976847412</v>
      </c>
      <c r="AV24" s="50">
        <f t="shared" si="198"/>
        <v>6000</v>
      </c>
      <c r="AW24" s="24">
        <f t="shared" si="198"/>
        <v>1.4746869976847412</v>
      </c>
      <c r="AX24" s="50">
        <f t="shared" si="198"/>
        <v>6000</v>
      </c>
      <c r="AY24" s="24">
        <f t="shared" si="198"/>
        <v>1.4746869976847412</v>
      </c>
      <c r="AZ24" s="50">
        <f t="shared" si="198"/>
        <v>6000</v>
      </c>
      <c r="BA24" s="24">
        <f t="shared" si="198"/>
        <v>1.4746869976847412</v>
      </c>
      <c r="BB24" s="50">
        <f t="shared" si="198"/>
        <v>6000</v>
      </c>
      <c r="BC24" s="24">
        <f t="shared" si="198"/>
        <v>1.4746869976847412</v>
      </c>
      <c r="BD24" s="50">
        <f t="shared" si="198"/>
        <v>6000</v>
      </c>
      <c r="BE24" s="24">
        <f t="shared" si="198"/>
        <v>1.4746869976847412</v>
      </c>
      <c r="BF24" s="50">
        <f t="shared" ref="BF24:BG24" si="199">BF20-BF26</f>
        <v>1622.3700000000026</v>
      </c>
      <c r="BG24" s="24">
        <f t="shared" si="199"/>
        <v>0.39874799073896572</v>
      </c>
      <c r="BH24" s="50">
        <f t="shared" si="198"/>
        <v>6000</v>
      </c>
      <c r="BI24" s="24">
        <f t="shared" si="198"/>
        <v>1.4746869976847412</v>
      </c>
      <c r="BJ24" s="50">
        <f t="shared" ref="BJ24:BM24" si="200">BJ20-BJ26</f>
        <v>9352.8240000000005</v>
      </c>
      <c r="BK24" s="24">
        <f t="shared" si="200"/>
        <v>2.2987479907389656</v>
      </c>
      <c r="BL24" s="363">
        <f t="shared" si="200"/>
        <v>1622.3700000000026</v>
      </c>
      <c r="BM24" s="351">
        <f t="shared" si="200"/>
        <v>0.39874799073896572</v>
      </c>
      <c r="BN24" s="363">
        <f t="shared" ref="BN24:BO24" si="201">BN20-BN26</f>
        <v>6000</v>
      </c>
      <c r="BO24" s="351">
        <f t="shared" si="201"/>
        <v>1.4746869976847412</v>
      </c>
      <c r="BP24" s="363">
        <f t="shared" ref="BP24:BQ24" si="202">BP20-BP26</f>
        <v>5691.0299999999988</v>
      </c>
      <c r="BQ24" s="351">
        <f t="shared" si="202"/>
        <v>1.3987479907389657</v>
      </c>
      <c r="BR24" s="363">
        <f t="shared" si="198"/>
        <v>9553.7099999999991</v>
      </c>
      <c r="BS24" s="351">
        <f t="shared" si="198"/>
        <v>2.348121986108449</v>
      </c>
      <c r="BT24" s="363">
        <f t="shared" ref="BT24:BU24" si="203">BT20-BT26</f>
        <v>6911.6280000000006</v>
      </c>
      <c r="BU24" s="351">
        <f t="shared" si="203"/>
        <v>1.6987479907389655</v>
      </c>
      <c r="BV24" s="363">
        <f t="shared" ref="BV24:BW24" si="204">BV20-BV26</f>
        <v>118890</v>
      </c>
      <c r="BW24" s="351">
        <f t="shared" si="204"/>
        <v>29.220922859123153</v>
      </c>
      <c r="BX24" s="269"/>
      <c r="BY24" s="269"/>
      <c r="BZ24" s="269"/>
      <c r="CA24" s="269"/>
      <c r="CB24" s="1158" t="s">
        <v>362</v>
      </c>
      <c r="CC24" s="1157">
        <f>CC23/15</f>
        <v>343966.53333333333</v>
      </c>
      <c r="CD24" s="269"/>
      <c r="CE24" s="1166" t="s">
        <v>363</v>
      </c>
      <c r="CF24" s="1165">
        <v>5.5</v>
      </c>
      <c r="CG24" s="269"/>
      <c r="CH24" s="1166" t="s">
        <v>363</v>
      </c>
      <c r="CI24" s="1165">
        <v>4.4240609930542245</v>
      </c>
      <c r="CK24" s="1166" t="s">
        <v>363</v>
      </c>
      <c r="CL24" s="1165">
        <v>4.5</v>
      </c>
    </row>
    <row r="25" spans="1:90" s="4" customFormat="1" ht="18" customHeight="1" x14ac:dyDescent="0.45">
      <c r="A25" s="561"/>
      <c r="B25" s="1187"/>
      <c r="C25" s="51" t="s">
        <v>39</v>
      </c>
      <c r="D25" s="52"/>
      <c r="E25" s="53"/>
      <c r="F25" s="54">
        <f>F26</f>
        <v>20399.999999999989</v>
      </c>
      <c r="G25" s="55">
        <f>G26</f>
        <v>5.0139357921281187</v>
      </c>
      <c r="H25" s="54">
        <f t="shared" ref="H25:BW25" si="205">H26</f>
        <v>20399.999999999989</v>
      </c>
      <c r="I25" s="55">
        <f t="shared" si="205"/>
        <v>5.0139357921281187</v>
      </c>
      <c r="J25" s="54">
        <f t="shared" si="205"/>
        <v>20399.999999999989</v>
      </c>
      <c r="K25" s="55">
        <f t="shared" si="205"/>
        <v>5.0139357921281187</v>
      </c>
      <c r="L25" s="54">
        <f t="shared" si="205"/>
        <v>20399.999999999989</v>
      </c>
      <c r="M25" s="55">
        <f t="shared" si="205"/>
        <v>5.0139357921281187</v>
      </c>
      <c r="N25" s="54">
        <f t="shared" si="205"/>
        <v>20399.999999999989</v>
      </c>
      <c r="O25" s="55">
        <f t="shared" si="205"/>
        <v>5.0139357921281187</v>
      </c>
      <c r="P25" s="54">
        <f t="shared" si="205"/>
        <v>20399.999999999989</v>
      </c>
      <c r="Q25" s="55">
        <f t="shared" si="205"/>
        <v>5.0139357921281187</v>
      </c>
      <c r="R25" s="54">
        <f t="shared" si="205"/>
        <v>20399.999999999989</v>
      </c>
      <c r="S25" s="55">
        <f t="shared" si="205"/>
        <v>5.0139357921281187</v>
      </c>
      <c r="T25" s="54">
        <f t="shared" si="205"/>
        <v>20399.999999999989</v>
      </c>
      <c r="U25" s="55">
        <f t="shared" si="205"/>
        <v>5.0139357921281187</v>
      </c>
      <c r="V25" s="54">
        <f t="shared" si="205"/>
        <v>20399.999999999989</v>
      </c>
      <c r="W25" s="55">
        <f t="shared" si="205"/>
        <v>5.0139357921281187</v>
      </c>
      <c r="X25" s="54">
        <f t="shared" si="205"/>
        <v>20399.999999999989</v>
      </c>
      <c r="Y25" s="55">
        <f t="shared" si="205"/>
        <v>5.0139357921281187</v>
      </c>
      <c r="Z25" s="54">
        <f t="shared" si="205"/>
        <v>20399.999999999989</v>
      </c>
      <c r="AA25" s="55">
        <f t="shared" si="205"/>
        <v>5.0139357921281187</v>
      </c>
      <c r="AB25" s="54">
        <f t="shared" si="205"/>
        <v>20399.999999999989</v>
      </c>
      <c r="AC25" s="55">
        <f t="shared" si="205"/>
        <v>5.0139357921281187</v>
      </c>
      <c r="AD25" s="54">
        <f t="shared" si="205"/>
        <v>20399.999999999989</v>
      </c>
      <c r="AE25" s="55">
        <f t="shared" si="205"/>
        <v>5.0139357921281187</v>
      </c>
      <c r="AF25" s="54">
        <f t="shared" si="205"/>
        <v>20399.999999999989</v>
      </c>
      <c r="AG25" s="55">
        <f t="shared" si="205"/>
        <v>5.0139357921281187</v>
      </c>
      <c r="AH25" s="54">
        <f t="shared" si="205"/>
        <v>17569.213636363635</v>
      </c>
      <c r="AI25" s="55">
        <f t="shared" si="205"/>
        <v>4.3181818181818175</v>
      </c>
      <c r="AJ25" s="54">
        <f t="shared" si="205"/>
        <v>20399.999999999989</v>
      </c>
      <c r="AK25" s="55">
        <f t="shared" si="205"/>
        <v>5.0139357921281187</v>
      </c>
      <c r="AL25" s="54">
        <f t="shared" si="205"/>
        <v>20399.999999999989</v>
      </c>
      <c r="AM25" s="55">
        <f t="shared" si="205"/>
        <v>5.0139357921281187</v>
      </c>
      <c r="AN25" s="54">
        <f t="shared" si="205"/>
        <v>20399.999999999989</v>
      </c>
      <c r="AO25" s="55">
        <f t="shared" si="205"/>
        <v>5.0139357921281187</v>
      </c>
      <c r="AP25" s="54">
        <f t="shared" si="205"/>
        <v>20399.999999999989</v>
      </c>
      <c r="AQ25" s="55">
        <f t="shared" si="205"/>
        <v>5.0139357921281187</v>
      </c>
      <c r="AR25" s="54">
        <f t="shared" si="205"/>
        <v>18000</v>
      </c>
      <c r="AS25" s="55">
        <f t="shared" si="205"/>
        <v>4.4240609930542245</v>
      </c>
      <c r="AT25" s="54">
        <f t="shared" si="205"/>
        <v>18000</v>
      </c>
      <c r="AU25" s="55">
        <f t="shared" si="205"/>
        <v>4.4240609930542245</v>
      </c>
      <c r="AV25" s="54">
        <f t="shared" si="205"/>
        <v>18000</v>
      </c>
      <c r="AW25" s="55">
        <f t="shared" si="205"/>
        <v>4.4240609930542245</v>
      </c>
      <c r="AX25" s="54">
        <f t="shared" si="205"/>
        <v>18000</v>
      </c>
      <c r="AY25" s="55">
        <f t="shared" si="205"/>
        <v>4.4240609930542245</v>
      </c>
      <c r="AZ25" s="54">
        <f t="shared" si="205"/>
        <v>18000</v>
      </c>
      <c r="BA25" s="55">
        <f t="shared" si="205"/>
        <v>4.4240609930542245</v>
      </c>
      <c r="BB25" s="54">
        <f t="shared" si="205"/>
        <v>18000</v>
      </c>
      <c r="BC25" s="55">
        <f t="shared" si="205"/>
        <v>4.4240609930542245</v>
      </c>
      <c r="BD25" s="54">
        <f t="shared" si="205"/>
        <v>18000</v>
      </c>
      <c r="BE25" s="55">
        <f t="shared" si="205"/>
        <v>4.4240609930542245</v>
      </c>
      <c r="BF25" s="54">
        <f t="shared" si="205"/>
        <v>22377.629999999997</v>
      </c>
      <c r="BG25" s="55">
        <f t="shared" si="205"/>
        <v>5.5</v>
      </c>
      <c r="BH25" s="54">
        <f t="shared" si="205"/>
        <v>18000</v>
      </c>
      <c r="BI25" s="55">
        <f t="shared" si="205"/>
        <v>4.4240609930542245</v>
      </c>
      <c r="BJ25" s="54">
        <f t="shared" si="205"/>
        <v>14647.175999999999</v>
      </c>
      <c r="BK25" s="55">
        <f t="shared" si="205"/>
        <v>3.6</v>
      </c>
      <c r="BL25" s="54">
        <f t="shared" si="205"/>
        <v>22377.629999999997</v>
      </c>
      <c r="BM25" s="55">
        <f t="shared" si="205"/>
        <v>5.5</v>
      </c>
      <c r="BN25" s="54">
        <f t="shared" si="205"/>
        <v>18000</v>
      </c>
      <c r="BO25" s="55">
        <f t="shared" si="205"/>
        <v>4.4240609930542245</v>
      </c>
      <c r="BP25" s="54">
        <f t="shared" si="205"/>
        <v>18308.97</v>
      </c>
      <c r="BQ25" s="55">
        <f t="shared" si="205"/>
        <v>4.5</v>
      </c>
      <c r="BR25" s="54">
        <f t="shared" si="205"/>
        <v>26446.29</v>
      </c>
      <c r="BS25" s="55">
        <f t="shared" si="205"/>
        <v>6.5</v>
      </c>
      <c r="BT25" s="54">
        <f t="shared" si="205"/>
        <v>17088.371999999999</v>
      </c>
      <c r="BU25" s="55">
        <f t="shared" si="205"/>
        <v>4.2</v>
      </c>
      <c r="BV25" s="54">
        <f t="shared" si="205"/>
        <v>25110.000000000004</v>
      </c>
      <c r="BW25" s="55">
        <f t="shared" si="205"/>
        <v>6.1715650853106441</v>
      </c>
      <c r="BX25" s="274"/>
      <c r="BY25" s="274"/>
      <c r="BZ25" s="274"/>
      <c r="CA25" s="274"/>
      <c r="CB25" s="1159" t="s">
        <v>364</v>
      </c>
      <c r="CC25" s="1159">
        <v>3.05</v>
      </c>
      <c r="CE25" s="1164" t="s">
        <v>365</v>
      </c>
      <c r="CF25" s="1167">
        <f>(CF24-CF26)/CF24</f>
        <v>0.13636363636363635</v>
      </c>
      <c r="CG25" s="274"/>
      <c r="CH25" s="1164" t="s">
        <v>365</v>
      </c>
      <c r="CI25" s="1167">
        <f>(CI24-CI26)/CI24</f>
        <v>0.10489480000000007</v>
      </c>
      <c r="CK25" s="1164" t="s">
        <v>365</v>
      </c>
      <c r="CL25" s="1167">
        <f>(CL24-CL26)/CL24</f>
        <v>0.17333333333333328</v>
      </c>
    </row>
    <row r="26" spans="1:90" s="4" customFormat="1" ht="18" customHeight="1" x14ac:dyDescent="0.45">
      <c r="A26" s="561"/>
      <c r="B26" s="1187"/>
      <c r="C26" s="56" t="s">
        <v>40</v>
      </c>
      <c r="D26" s="52"/>
      <c r="E26" s="53"/>
      <c r="F26" s="54">
        <v>20399.999999999989</v>
      </c>
      <c r="G26" s="57">
        <f>+F26/F12</f>
        <v>5.0139357921281187</v>
      </c>
      <c r="H26" s="54">
        <v>20399.999999999989</v>
      </c>
      <c r="I26" s="57">
        <f t="shared" ref="I26" si="206">+H26/H12</f>
        <v>5.0139357921281187</v>
      </c>
      <c r="J26" s="54">
        <v>20399.999999999989</v>
      </c>
      <c r="K26" s="57">
        <f t="shared" ref="K26" si="207">+J26/J12</f>
        <v>5.0139357921281187</v>
      </c>
      <c r="L26" s="54">
        <v>20399.999999999989</v>
      </c>
      <c r="M26" s="57">
        <f t="shared" ref="M26" si="208">+L26/L12</f>
        <v>5.0139357921281187</v>
      </c>
      <c r="N26" s="54">
        <v>20399.999999999989</v>
      </c>
      <c r="O26" s="57">
        <f t="shared" ref="O26" si="209">+N26/N12</f>
        <v>5.0139357921281187</v>
      </c>
      <c r="P26" s="54">
        <v>20399.999999999989</v>
      </c>
      <c r="Q26" s="57">
        <f t="shared" ref="Q26" si="210">+P26/P12</f>
        <v>5.0139357921281187</v>
      </c>
      <c r="R26" s="54">
        <v>20399.999999999989</v>
      </c>
      <c r="S26" s="57">
        <f t="shared" ref="S26" si="211">+R26/R12</f>
        <v>5.0139357921281187</v>
      </c>
      <c r="T26" s="54">
        <v>20399.999999999989</v>
      </c>
      <c r="U26" s="57">
        <f t="shared" ref="U26" si="212">+T26/T12</f>
        <v>5.0139357921281187</v>
      </c>
      <c r="V26" s="54">
        <v>20399.999999999989</v>
      </c>
      <c r="W26" s="57">
        <f t="shared" ref="W26" si="213">+V26/V12</f>
        <v>5.0139357921281187</v>
      </c>
      <c r="X26" s="54">
        <v>20399.999999999989</v>
      </c>
      <c r="Y26" s="57">
        <f t="shared" ref="Y26" si="214">+X26/X12</f>
        <v>5.0139357921281187</v>
      </c>
      <c r="Z26" s="54">
        <v>20399.999999999989</v>
      </c>
      <c r="AA26" s="57">
        <f t="shared" ref="AA26" si="215">+Z26/Z12</f>
        <v>5.0139357921281187</v>
      </c>
      <c r="AB26" s="54">
        <v>20399.999999999989</v>
      </c>
      <c r="AC26" s="57">
        <f t="shared" ref="AC26:AI26" si="216">+AB26/AB12</f>
        <v>5.0139357921281187</v>
      </c>
      <c r="AD26" s="54">
        <v>20399.999999999989</v>
      </c>
      <c r="AE26" s="57">
        <f t="shared" si="216"/>
        <v>5.0139357921281187</v>
      </c>
      <c r="AF26" s="54">
        <v>20399.999999999989</v>
      </c>
      <c r="AG26" s="57">
        <f t="shared" si="216"/>
        <v>5.0139357921281187</v>
      </c>
      <c r="AH26" s="54">
        <f>4.75*AH12*10/11</f>
        <v>17569.213636363635</v>
      </c>
      <c r="AI26" s="57">
        <f t="shared" si="216"/>
        <v>4.3181818181818175</v>
      </c>
      <c r="AJ26" s="54">
        <v>20399.999999999989</v>
      </c>
      <c r="AK26" s="57">
        <f t="shared" ref="AK26" si="217">+AJ26/AJ12</f>
        <v>5.0139357921281187</v>
      </c>
      <c r="AL26" s="54">
        <v>20399.999999999989</v>
      </c>
      <c r="AM26" s="57">
        <f t="shared" ref="AM26" si="218">+AL26/AL12</f>
        <v>5.0139357921281187</v>
      </c>
      <c r="AN26" s="54">
        <v>20399.999999999989</v>
      </c>
      <c r="AO26" s="57">
        <f t="shared" ref="AO26" si="219">+AN26/AN12</f>
        <v>5.0139357921281187</v>
      </c>
      <c r="AP26" s="54">
        <v>20399.999999999989</v>
      </c>
      <c r="AQ26" s="57">
        <f t="shared" ref="AQ26" si="220">+AP26/AP12</f>
        <v>5.0139357921281187</v>
      </c>
      <c r="AR26" s="54">
        <f>1500*12</f>
        <v>18000</v>
      </c>
      <c r="AS26" s="57">
        <f t="shared" ref="AS26" si="221">+AR26/AR12</f>
        <v>4.4240609930542245</v>
      </c>
      <c r="AT26" s="54">
        <f>1500*12</f>
        <v>18000</v>
      </c>
      <c r="AU26" s="57">
        <f t="shared" ref="AU26" si="222">+AT26/AT12</f>
        <v>4.4240609930542245</v>
      </c>
      <c r="AV26" s="54">
        <f>1500*12</f>
        <v>18000</v>
      </c>
      <c r="AW26" s="57">
        <f t="shared" ref="AW26" si="223">+AV26/AV12</f>
        <v>4.4240609930542245</v>
      </c>
      <c r="AX26" s="54">
        <f>1500*12</f>
        <v>18000</v>
      </c>
      <c r="AY26" s="57">
        <f t="shared" ref="AY26" si="224">+AX26/AX12</f>
        <v>4.4240609930542245</v>
      </c>
      <c r="AZ26" s="54">
        <f>1500*12</f>
        <v>18000</v>
      </c>
      <c r="BA26" s="57">
        <f t="shared" ref="BA26" si="225">+AZ26/AZ12</f>
        <v>4.4240609930542245</v>
      </c>
      <c r="BB26" s="54">
        <f>1500*12</f>
        <v>18000</v>
      </c>
      <c r="BC26" s="57">
        <f t="shared" ref="BC26" si="226">+BB26/BB12</f>
        <v>4.4240609930542245</v>
      </c>
      <c r="BD26" s="54">
        <f>1500*12</f>
        <v>18000</v>
      </c>
      <c r="BE26" s="57">
        <f t="shared" ref="BE26" si="227">+BD26/BD12</f>
        <v>4.4240609930542245</v>
      </c>
      <c r="BF26" s="54">
        <f>BG26*BF12</f>
        <v>22377.629999999997</v>
      </c>
      <c r="BG26" s="57">
        <v>5.5</v>
      </c>
      <c r="BH26" s="54">
        <f>1500*12</f>
        <v>18000</v>
      </c>
      <c r="BI26" s="57">
        <f t="shared" ref="BI26" si="228">+BH26/BH12</f>
        <v>4.4240609930542245</v>
      </c>
      <c r="BJ26" s="54">
        <f>BK26*BJ12</f>
        <v>14647.175999999999</v>
      </c>
      <c r="BK26" s="57">
        <v>3.6</v>
      </c>
      <c r="BL26" s="54">
        <f>BM26*BL12</f>
        <v>22377.629999999997</v>
      </c>
      <c r="BM26" s="57">
        <v>5.5</v>
      </c>
      <c r="BN26" s="54">
        <f>1500*12</f>
        <v>18000</v>
      </c>
      <c r="BO26" s="57">
        <f>+BN26/BN12</f>
        <v>4.4240609930542245</v>
      </c>
      <c r="BP26" s="54">
        <f>BQ26*BP12</f>
        <v>18308.97</v>
      </c>
      <c r="BQ26" s="57">
        <v>4.5</v>
      </c>
      <c r="BR26" s="54">
        <f>BS26*BR12</f>
        <v>26446.29</v>
      </c>
      <c r="BS26" s="57">
        <v>6.5</v>
      </c>
      <c r="BT26" s="54">
        <f>BU26*BT12</f>
        <v>17088.371999999999</v>
      </c>
      <c r="BU26" s="57">
        <v>4.2</v>
      </c>
      <c r="BV26" s="54">
        <v>25110.000000000004</v>
      </c>
      <c r="BW26" s="57">
        <f t="shared" ref="BW26" si="229">+BV26/BV12</f>
        <v>6.1715650853106441</v>
      </c>
      <c r="BX26" s="636"/>
      <c r="BY26" s="636"/>
      <c r="BZ26" s="636"/>
      <c r="CA26" s="636"/>
      <c r="CB26" s="1160" t="s">
        <v>366</v>
      </c>
      <c r="CC26" s="1162">
        <f>CC25*CC23</f>
        <v>15736468.899999999</v>
      </c>
      <c r="CD26" s="636"/>
      <c r="CE26" s="1164" t="s">
        <v>367</v>
      </c>
      <c r="CF26" s="1165">
        <v>4.75</v>
      </c>
      <c r="CG26" s="636"/>
      <c r="CH26" s="1164" t="s">
        <v>367</v>
      </c>
      <c r="CI26" s="1165">
        <v>3.96</v>
      </c>
      <c r="CK26" s="1164" t="s">
        <v>367</v>
      </c>
      <c r="CL26" s="1165">
        <v>3.72</v>
      </c>
    </row>
    <row r="27" spans="1:90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42"/>
      <c r="O27" s="18"/>
      <c r="P27" s="42"/>
      <c r="Q27" s="18"/>
      <c r="R27" s="42"/>
      <c r="S27" s="18"/>
      <c r="T27" s="42"/>
      <c r="U27" s="18"/>
      <c r="V27" s="42"/>
      <c r="W27" s="18"/>
      <c r="X27" s="42"/>
      <c r="Y27" s="18"/>
      <c r="Z27" s="42"/>
      <c r="AA27" s="18"/>
      <c r="AB27" s="42"/>
      <c r="AC27" s="18"/>
      <c r="AD27" s="42"/>
      <c r="AE27" s="18"/>
      <c r="AF27" s="42"/>
      <c r="AG27" s="18"/>
      <c r="AH27" s="42"/>
      <c r="AI27" s="18"/>
      <c r="AJ27" s="42"/>
      <c r="AK27" s="18"/>
      <c r="AL27" s="42"/>
      <c r="AM27" s="18"/>
      <c r="AN27" s="42"/>
      <c r="AO27" s="18"/>
      <c r="AP27" s="42"/>
      <c r="AQ27" s="18"/>
      <c r="AR27" s="42"/>
      <c r="AS27" s="18"/>
      <c r="AT27" s="42"/>
      <c r="AU27" s="18"/>
      <c r="AV27" s="42"/>
      <c r="AW27" s="18"/>
      <c r="AX27" s="42"/>
      <c r="AY27" s="18"/>
      <c r="AZ27" s="42"/>
      <c r="BA27" s="18"/>
      <c r="BB27" s="42"/>
      <c r="BC27" s="18"/>
      <c r="BD27" s="42"/>
      <c r="BE27" s="18"/>
      <c r="BF27" s="42"/>
      <c r="BG27" s="18"/>
      <c r="BH27" s="42"/>
      <c r="BI27" s="18"/>
      <c r="BJ27" s="42"/>
      <c r="BK27" s="18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270"/>
      <c r="BY27" s="270"/>
      <c r="BZ27" s="270"/>
      <c r="CA27" s="270"/>
      <c r="CB27" s="1155" t="s">
        <v>368</v>
      </c>
      <c r="CC27" s="1155">
        <f>CC25*CC24</f>
        <v>1049097.9266666665</v>
      </c>
      <c r="CD27" s="270"/>
      <c r="CE27" s="1164" t="s">
        <v>369</v>
      </c>
      <c r="CF27" s="1167">
        <f>(CF26-CF28)/CF26</f>
        <v>0.1559330143540667</v>
      </c>
      <c r="CG27" s="270"/>
      <c r="CH27" s="1164" t="s">
        <v>369</v>
      </c>
      <c r="CI27" s="1167">
        <f>(CI26-CI28)/CI26</f>
        <v>5.0505050505050553E-3</v>
      </c>
      <c r="CK27" s="1164" t="s">
        <v>369</v>
      </c>
      <c r="CL27" s="1167">
        <f>(CL26-CL28)/CL26</f>
        <v>0.10215053763440869</v>
      </c>
    </row>
    <row r="28" spans="1:90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60"/>
      <c r="O28" s="43"/>
      <c r="P28" s="60"/>
      <c r="Q28" s="43"/>
      <c r="R28" s="60"/>
      <c r="S28" s="43"/>
      <c r="T28" s="60"/>
      <c r="U28" s="43"/>
      <c r="V28" s="60"/>
      <c r="W28" s="43"/>
      <c r="X28" s="60"/>
      <c r="Y28" s="43"/>
      <c r="Z28" s="60"/>
      <c r="AA28" s="43"/>
      <c r="AB28" s="60"/>
      <c r="AC28" s="43"/>
      <c r="AD28" s="60"/>
      <c r="AE28" s="43"/>
      <c r="AF28" s="60"/>
      <c r="AG28" s="43"/>
      <c r="AH28" s="60"/>
      <c r="AI28" s="43"/>
      <c r="AJ28" s="60"/>
      <c r="AK28" s="43"/>
      <c r="AL28" s="60"/>
      <c r="AM28" s="43"/>
      <c r="AN28" s="60"/>
      <c r="AO28" s="43"/>
      <c r="AP28" s="60"/>
      <c r="AQ28" s="43"/>
      <c r="AR28" s="60"/>
      <c r="AS28" s="43"/>
      <c r="AT28" s="60"/>
      <c r="AU28" s="43"/>
      <c r="AV28" s="60"/>
      <c r="AW28" s="43"/>
      <c r="AX28" s="60"/>
      <c r="AY28" s="43"/>
      <c r="AZ28" s="60"/>
      <c r="BA28" s="43"/>
      <c r="BB28" s="60"/>
      <c r="BC28" s="43"/>
      <c r="BD28" s="60"/>
      <c r="BE28" s="43"/>
      <c r="BF28" s="60"/>
      <c r="BG28" s="43"/>
      <c r="BH28" s="60"/>
      <c r="BI28" s="43"/>
      <c r="BJ28" s="60"/>
      <c r="BK28" s="43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270"/>
      <c r="BY28" s="270"/>
      <c r="BZ28" s="270"/>
      <c r="CA28" s="270"/>
      <c r="CB28" s="1155" t="s">
        <v>370</v>
      </c>
      <c r="CC28" s="1161">
        <f>CC27/CC26</f>
        <v>6.6666666666666666E-2</v>
      </c>
      <c r="CD28" s="270"/>
      <c r="CE28" s="1164" t="s">
        <v>371</v>
      </c>
      <c r="CF28" s="1169">
        <f>BG49+BG41</f>
        <v>4.0093181818181831</v>
      </c>
      <c r="CH28" s="1164" t="s">
        <v>371</v>
      </c>
      <c r="CI28" s="1169">
        <v>3.94</v>
      </c>
      <c r="CK28" s="1164" t="s">
        <v>371</v>
      </c>
      <c r="CL28" s="1169">
        <v>3.34</v>
      </c>
    </row>
    <row r="29" spans="1:90" s="49" customFormat="1" ht="18" customHeight="1" x14ac:dyDescent="0.45">
      <c r="A29" s="561"/>
      <c r="B29" s="1194"/>
      <c r="C29" s="44" t="s">
        <v>42</v>
      </c>
      <c r="D29" s="45"/>
      <c r="E29" s="46"/>
      <c r="F29" s="47">
        <f>F30/F26</f>
        <v>0.13876403743315471</v>
      </c>
      <c r="G29" s="48">
        <f>G30/G26</f>
        <v>0.13876403743315469</v>
      </c>
      <c r="H29" s="47">
        <f t="shared" ref="H29:BS29" si="230">H30/H26</f>
        <v>0.13876403743315471</v>
      </c>
      <c r="I29" s="48">
        <f t="shared" si="230"/>
        <v>0.13876403743315469</v>
      </c>
      <c r="J29" s="47">
        <f t="shared" si="230"/>
        <v>0.13876403743315471</v>
      </c>
      <c r="K29" s="48">
        <f t="shared" si="230"/>
        <v>0.13876403743315469</v>
      </c>
      <c r="L29" s="47">
        <f t="shared" si="230"/>
        <v>0.13876403743315471</v>
      </c>
      <c r="M29" s="48">
        <f t="shared" si="230"/>
        <v>0.13876403743315469</v>
      </c>
      <c r="N29" s="47">
        <f t="shared" si="230"/>
        <v>0.13876403743315471</v>
      </c>
      <c r="O29" s="48">
        <f t="shared" si="230"/>
        <v>0.13876403743315469</v>
      </c>
      <c r="P29" s="47">
        <f t="shared" si="230"/>
        <v>0.13876403743315471</v>
      </c>
      <c r="Q29" s="48">
        <f t="shared" si="230"/>
        <v>0.13876403743315469</v>
      </c>
      <c r="R29" s="47">
        <f t="shared" si="230"/>
        <v>0.13876403743315471</v>
      </c>
      <c r="S29" s="48">
        <f t="shared" si="230"/>
        <v>0.13876403743315469</v>
      </c>
      <c r="T29" s="47">
        <f t="shared" si="230"/>
        <v>0.13876403743315471</v>
      </c>
      <c r="U29" s="48">
        <f t="shared" si="230"/>
        <v>0.13876403743315469</v>
      </c>
      <c r="V29" s="47">
        <f t="shared" si="230"/>
        <v>0.13876403743315471</v>
      </c>
      <c r="W29" s="48">
        <f t="shared" si="230"/>
        <v>0.13876403743315469</v>
      </c>
      <c r="X29" s="47">
        <f t="shared" si="230"/>
        <v>0.13876403743315471</v>
      </c>
      <c r="Y29" s="48">
        <f t="shared" si="230"/>
        <v>0.13876403743315469</v>
      </c>
      <c r="Z29" s="47">
        <f t="shared" si="230"/>
        <v>0.13876403743315471</v>
      </c>
      <c r="AA29" s="48">
        <f t="shared" si="230"/>
        <v>0.13876403743315469</v>
      </c>
      <c r="AB29" s="47">
        <f t="shared" si="230"/>
        <v>0.13876403743315471</v>
      </c>
      <c r="AC29" s="48">
        <f t="shared" si="230"/>
        <v>0.13876403743315469</v>
      </c>
      <c r="AD29" s="47">
        <f t="shared" si="230"/>
        <v>0.13876403743315471</v>
      </c>
      <c r="AE29" s="48">
        <f t="shared" si="230"/>
        <v>0.13876403743315469</v>
      </c>
      <c r="AF29" s="47">
        <f t="shared" si="230"/>
        <v>0.13876403743315471</v>
      </c>
      <c r="AG29" s="48">
        <f t="shared" si="230"/>
        <v>0.13876403743315469</v>
      </c>
      <c r="AH29" s="47">
        <f t="shared" si="230"/>
        <v>0</v>
      </c>
      <c r="AI29" s="48">
        <f t="shared" si="230"/>
        <v>0</v>
      </c>
      <c r="AJ29" s="47">
        <f t="shared" si="230"/>
        <v>0.13876403743315471</v>
      </c>
      <c r="AK29" s="48">
        <f t="shared" si="230"/>
        <v>0.13876403743315469</v>
      </c>
      <c r="AL29" s="47">
        <f t="shared" si="230"/>
        <v>0.13876403743315471</v>
      </c>
      <c r="AM29" s="48">
        <f t="shared" si="230"/>
        <v>0.13876403743315469</v>
      </c>
      <c r="AN29" s="47">
        <f t="shared" si="230"/>
        <v>0.13876403743315471</v>
      </c>
      <c r="AO29" s="48">
        <f t="shared" si="230"/>
        <v>0.13876403743315469</v>
      </c>
      <c r="AP29" s="47">
        <f t="shared" si="230"/>
        <v>0.13876403743315471</v>
      </c>
      <c r="AQ29" s="48">
        <f t="shared" si="230"/>
        <v>0.13876403743315469</v>
      </c>
      <c r="AR29" s="47">
        <f t="shared" si="230"/>
        <v>2.3932575757575857E-2</v>
      </c>
      <c r="AS29" s="48">
        <f t="shared" si="230"/>
        <v>2.3932575757575781E-2</v>
      </c>
      <c r="AT29" s="47">
        <f t="shared" si="230"/>
        <v>0.10527152777777782</v>
      </c>
      <c r="AU29" s="48">
        <f t="shared" si="230"/>
        <v>0.1052715277777778</v>
      </c>
      <c r="AV29" s="47">
        <f t="shared" si="230"/>
        <v>0.10527152777777782</v>
      </c>
      <c r="AW29" s="48">
        <f t="shared" si="230"/>
        <v>0.1052715277777778</v>
      </c>
      <c r="AX29" s="47">
        <f t="shared" si="230"/>
        <v>0.10527152777777782</v>
      </c>
      <c r="AY29" s="48">
        <f t="shared" si="230"/>
        <v>0.1052715277777778</v>
      </c>
      <c r="AZ29" s="47">
        <f t="shared" si="230"/>
        <v>0.10527152777777782</v>
      </c>
      <c r="BA29" s="48">
        <f t="shared" si="230"/>
        <v>0.1052715277777778</v>
      </c>
      <c r="BB29" s="47">
        <f t="shared" si="230"/>
        <v>0.10527152777777782</v>
      </c>
      <c r="BC29" s="48">
        <f t="shared" si="230"/>
        <v>0.1052715277777778</v>
      </c>
      <c r="BD29" s="47">
        <f t="shared" si="230"/>
        <v>0.10527152777777782</v>
      </c>
      <c r="BE29" s="48">
        <f t="shared" si="230"/>
        <v>0.1052715277777778</v>
      </c>
      <c r="BF29" s="47">
        <f t="shared" ref="BF29:BG29" si="231">BF30/BF26</f>
        <v>0.13636363636363633</v>
      </c>
      <c r="BG29" s="48">
        <f t="shared" si="231"/>
        <v>0.13636363636363635</v>
      </c>
      <c r="BH29" s="47">
        <f t="shared" si="230"/>
        <v>0.10527152777777782</v>
      </c>
      <c r="BI29" s="48">
        <f t="shared" si="230"/>
        <v>0.1052715277777778</v>
      </c>
      <c r="BJ29" s="47">
        <f t="shared" ref="BJ29:BM29" si="232">BJ30/BJ26</f>
        <v>0</v>
      </c>
      <c r="BK29" s="48">
        <f t="shared" si="232"/>
        <v>0</v>
      </c>
      <c r="BL29" s="361">
        <f t="shared" si="232"/>
        <v>0.13636363636363633</v>
      </c>
      <c r="BM29" s="362">
        <f t="shared" si="232"/>
        <v>0.13636363636363635</v>
      </c>
      <c r="BN29" s="361">
        <f t="shared" ref="BN29:BO29" si="233">BN30/BN26</f>
        <v>0.10527152777777792</v>
      </c>
      <c r="BO29" s="362">
        <f t="shared" si="233"/>
        <v>0.1052715277777779</v>
      </c>
      <c r="BP29" s="361">
        <f t="shared" ref="BP29:BQ29" si="234">BP30/BP26</f>
        <v>0.17333333333333342</v>
      </c>
      <c r="BQ29" s="362">
        <f t="shared" si="234"/>
        <v>0.17333333333333328</v>
      </c>
      <c r="BR29" s="361">
        <f t="shared" si="230"/>
        <v>7.6923076923076983E-2</v>
      </c>
      <c r="BS29" s="362">
        <f t="shared" si="230"/>
        <v>7.6923076923076927E-2</v>
      </c>
      <c r="BT29" s="361">
        <f t="shared" ref="BT29:BU29" si="235">BT30/BT26</f>
        <v>0.11428571428571439</v>
      </c>
      <c r="BU29" s="362">
        <f t="shared" si="235"/>
        <v>0.11428571428571438</v>
      </c>
      <c r="BV29" s="361">
        <f t="shared" ref="BV29:BW29" si="236">BV30/BV26</f>
        <v>-2.5647359617682191</v>
      </c>
      <c r="BW29" s="362">
        <f t="shared" si="236"/>
        <v>-2.5647359617682191</v>
      </c>
      <c r="BX29" s="63"/>
      <c r="BY29" s="63"/>
      <c r="BZ29" s="63"/>
      <c r="CA29" s="63"/>
      <c r="CB29" s="63"/>
      <c r="CC29" s="63"/>
      <c r="CD29" s="63"/>
      <c r="CE29" s="1166" t="s">
        <v>372</v>
      </c>
      <c r="CF29" s="1165">
        <f>CF31-CF30</f>
        <v>3.0500000000000003</v>
      </c>
      <c r="CG29" s="63"/>
      <c r="CH29" s="1166" t="s">
        <v>372</v>
      </c>
      <c r="CI29" s="1165">
        <f>CI31-CI30</f>
        <v>3.0500000000000003</v>
      </c>
      <c r="CK29" s="1166" t="s">
        <v>372</v>
      </c>
      <c r="CL29" s="1165">
        <f>CL31-CL30</f>
        <v>2.5000000000000004</v>
      </c>
    </row>
    <row r="30" spans="1:90" s="4" customFormat="1" ht="18" customHeight="1" x14ac:dyDescent="0.45">
      <c r="A30" s="561"/>
      <c r="B30" s="1194"/>
      <c r="C30" s="15" t="s">
        <v>43</v>
      </c>
      <c r="D30" s="16"/>
      <c r="E30" s="35"/>
      <c r="F30" s="50">
        <f>F26-F32</f>
        <v>2830.7863636363545</v>
      </c>
      <c r="G30" s="24">
        <f>G26-G32</f>
        <v>0.69575397394630034</v>
      </c>
      <c r="H30" s="50">
        <f t="shared" ref="H30:BS30" si="237">H26-H32</f>
        <v>2830.7863636363545</v>
      </c>
      <c r="I30" s="24">
        <f t="shared" si="237"/>
        <v>0.69575397394630034</v>
      </c>
      <c r="J30" s="50">
        <f t="shared" si="237"/>
        <v>2830.7863636363545</v>
      </c>
      <c r="K30" s="24">
        <f t="shared" si="237"/>
        <v>0.69575397394630034</v>
      </c>
      <c r="L30" s="50">
        <f t="shared" si="237"/>
        <v>2830.7863636363545</v>
      </c>
      <c r="M30" s="24">
        <f t="shared" si="237"/>
        <v>0.69575397394630034</v>
      </c>
      <c r="N30" s="50">
        <f t="shared" si="237"/>
        <v>2830.7863636363545</v>
      </c>
      <c r="O30" s="24">
        <f t="shared" si="237"/>
        <v>0.69575397394630034</v>
      </c>
      <c r="P30" s="50">
        <f t="shared" si="237"/>
        <v>2830.7863636363545</v>
      </c>
      <c r="Q30" s="24">
        <f t="shared" si="237"/>
        <v>0.69575397394630034</v>
      </c>
      <c r="R30" s="50">
        <f t="shared" si="237"/>
        <v>2830.7863636363545</v>
      </c>
      <c r="S30" s="24">
        <f t="shared" si="237"/>
        <v>0.69575397394630034</v>
      </c>
      <c r="T30" s="50">
        <f t="shared" si="237"/>
        <v>2830.7863636363545</v>
      </c>
      <c r="U30" s="24">
        <f t="shared" si="237"/>
        <v>0.69575397394630034</v>
      </c>
      <c r="V30" s="50">
        <f t="shared" si="237"/>
        <v>2830.7863636363545</v>
      </c>
      <c r="W30" s="24">
        <f t="shared" si="237"/>
        <v>0.69575397394630034</v>
      </c>
      <c r="X30" s="50">
        <f t="shared" si="237"/>
        <v>2830.7863636363545</v>
      </c>
      <c r="Y30" s="24">
        <f t="shared" si="237"/>
        <v>0.69575397394630034</v>
      </c>
      <c r="Z30" s="50">
        <f t="shared" si="237"/>
        <v>2830.7863636363545</v>
      </c>
      <c r="AA30" s="24">
        <f t="shared" si="237"/>
        <v>0.69575397394630034</v>
      </c>
      <c r="AB30" s="50">
        <f t="shared" si="237"/>
        <v>2830.7863636363545</v>
      </c>
      <c r="AC30" s="24">
        <f t="shared" si="237"/>
        <v>0.69575397394630034</v>
      </c>
      <c r="AD30" s="50">
        <f t="shared" si="237"/>
        <v>2830.7863636363545</v>
      </c>
      <c r="AE30" s="24">
        <f t="shared" si="237"/>
        <v>0.69575397394630034</v>
      </c>
      <c r="AF30" s="50">
        <f t="shared" si="237"/>
        <v>2830.7863636363545</v>
      </c>
      <c r="AG30" s="24">
        <f t="shared" si="237"/>
        <v>0.69575397394630034</v>
      </c>
      <c r="AH30" s="50">
        <f t="shared" si="237"/>
        <v>0</v>
      </c>
      <c r="AI30" s="24">
        <f t="shared" si="237"/>
        <v>0</v>
      </c>
      <c r="AJ30" s="50">
        <f t="shared" si="237"/>
        <v>2830.7863636363545</v>
      </c>
      <c r="AK30" s="24">
        <f t="shared" si="237"/>
        <v>0.69575397394630034</v>
      </c>
      <c r="AL30" s="50">
        <f t="shared" si="237"/>
        <v>2830.7863636363545</v>
      </c>
      <c r="AM30" s="24">
        <f t="shared" si="237"/>
        <v>0.69575397394630034</v>
      </c>
      <c r="AN30" s="50">
        <f t="shared" si="237"/>
        <v>2830.7863636363545</v>
      </c>
      <c r="AO30" s="24">
        <f t="shared" si="237"/>
        <v>0.69575397394630034</v>
      </c>
      <c r="AP30" s="50">
        <f t="shared" si="237"/>
        <v>2830.7863636363545</v>
      </c>
      <c r="AQ30" s="24">
        <f t="shared" si="237"/>
        <v>0.69575397394630034</v>
      </c>
      <c r="AR30" s="50">
        <f t="shared" si="237"/>
        <v>430.78636363636542</v>
      </c>
      <c r="AS30" s="24">
        <f t="shared" si="237"/>
        <v>0.10587917487240617</v>
      </c>
      <c r="AT30" s="50">
        <f t="shared" si="237"/>
        <v>1894.8875000000007</v>
      </c>
      <c r="AU30" s="24">
        <f t="shared" si="237"/>
        <v>0.46572765972089103</v>
      </c>
      <c r="AV30" s="50">
        <f t="shared" si="237"/>
        <v>1894.8875000000007</v>
      </c>
      <c r="AW30" s="24">
        <f t="shared" si="237"/>
        <v>0.46572765972089103</v>
      </c>
      <c r="AX30" s="50">
        <f t="shared" si="237"/>
        <v>1894.8875000000007</v>
      </c>
      <c r="AY30" s="24">
        <f t="shared" si="237"/>
        <v>0.46572765972089103</v>
      </c>
      <c r="AZ30" s="50">
        <f t="shared" si="237"/>
        <v>1894.8875000000007</v>
      </c>
      <c r="BA30" s="24">
        <f t="shared" si="237"/>
        <v>0.46572765972089103</v>
      </c>
      <c r="BB30" s="50">
        <f t="shared" si="237"/>
        <v>1894.8875000000007</v>
      </c>
      <c r="BC30" s="24">
        <f t="shared" si="237"/>
        <v>0.46572765972089103</v>
      </c>
      <c r="BD30" s="50">
        <f t="shared" si="237"/>
        <v>1894.8875000000007</v>
      </c>
      <c r="BE30" s="24">
        <f t="shared" si="237"/>
        <v>0.46572765972089103</v>
      </c>
      <c r="BF30" s="50">
        <f t="shared" ref="BF30:BG30" si="238">BF26-BF32</f>
        <v>3051.494999999999</v>
      </c>
      <c r="BG30" s="24">
        <f t="shared" si="238"/>
        <v>0.75</v>
      </c>
      <c r="BH30" s="50">
        <f t="shared" si="237"/>
        <v>1894.8875000000007</v>
      </c>
      <c r="BI30" s="24">
        <f t="shared" si="237"/>
        <v>0.46572765972089103</v>
      </c>
      <c r="BJ30" s="50">
        <f t="shared" ref="BJ30:BM30" si="239">BJ26-BJ32</f>
        <v>0</v>
      </c>
      <c r="BK30" s="24">
        <f t="shared" si="239"/>
        <v>0</v>
      </c>
      <c r="BL30" s="363">
        <f t="shared" si="239"/>
        <v>3051.494999999999</v>
      </c>
      <c r="BM30" s="351">
        <f t="shared" si="239"/>
        <v>0.75</v>
      </c>
      <c r="BN30" s="363">
        <f t="shared" ref="BN30:BO30" si="240">BN26-BN32</f>
        <v>1894.8875000000025</v>
      </c>
      <c r="BO30" s="351">
        <f t="shared" si="240"/>
        <v>0.46572765972089147</v>
      </c>
      <c r="BP30" s="363">
        <f t="shared" ref="BP30:BQ30" si="241">BP26-BP32</f>
        <v>3173.5548000000017</v>
      </c>
      <c r="BQ30" s="351">
        <f t="shared" si="241"/>
        <v>0.7799999999999998</v>
      </c>
      <c r="BR30" s="363">
        <f t="shared" si="237"/>
        <v>2034.3300000000017</v>
      </c>
      <c r="BS30" s="351">
        <f t="shared" si="237"/>
        <v>0.5</v>
      </c>
      <c r="BT30" s="363">
        <f t="shared" ref="BT30:BU30" si="242">BT26-BT32</f>
        <v>1952.9568000000017</v>
      </c>
      <c r="BU30" s="351">
        <f t="shared" si="242"/>
        <v>0.48000000000000043</v>
      </c>
      <c r="BV30" s="363">
        <f t="shared" ref="BV30:BW30" si="243">BV26-BV32</f>
        <v>-64400.51999999999</v>
      </c>
      <c r="BW30" s="351">
        <f t="shared" si="243"/>
        <v>-15.828434914689357</v>
      </c>
      <c r="BX30" s="279">
        <f>22.5/72</f>
        <v>0.3125</v>
      </c>
      <c r="BY30" s="269"/>
      <c r="BZ30" s="269"/>
      <c r="CA30" s="269"/>
      <c r="CB30" s="269"/>
      <c r="CC30" s="269"/>
      <c r="CD30" s="269"/>
      <c r="CE30" s="1164" t="s">
        <v>158</v>
      </c>
      <c r="CF30" s="1168">
        <v>1.35</v>
      </c>
      <c r="CG30" s="269"/>
      <c r="CH30" s="1164" t="s">
        <v>158</v>
      </c>
      <c r="CI30" s="1168">
        <v>1.35</v>
      </c>
      <c r="CK30" s="1164" t="s">
        <v>158</v>
      </c>
      <c r="CL30" s="1168">
        <v>1.9</v>
      </c>
    </row>
    <row r="31" spans="1:90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17569.213636363635</v>
      </c>
      <c r="G31" s="55">
        <f>G32</f>
        <v>4.3181818181818183</v>
      </c>
      <c r="H31" s="54">
        <f t="shared" ref="H31" si="244">+H32</f>
        <v>17569.213636363635</v>
      </c>
      <c r="I31" s="55">
        <f t="shared" ref="I31" si="245">I32</f>
        <v>4.3181818181818183</v>
      </c>
      <c r="J31" s="54">
        <f t="shared" ref="J31" si="246">+J32</f>
        <v>17569.213636363635</v>
      </c>
      <c r="K31" s="55">
        <f t="shared" ref="K31" si="247">K32</f>
        <v>4.3181818181818183</v>
      </c>
      <c r="L31" s="54">
        <f t="shared" ref="L31" si="248">+L32</f>
        <v>17569.213636363635</v>
      </c>
      <c r="M31" s="55">
        <f t="shared" ref="M31" si="249">M32</f>
        <v>4.3181818181818183</v>
      </c>
      <c r="N31" s="54">
        <f t="shared" ref="N31" si="250">+N32</f>
        <v>17569.213636363635</v>
      </c>
      <c r="O31" s="55">
        <f t="shared" ref="O31" si="251">O32</f>
        <v>4.3181818181818183</v>
      </c>
      <c r="P31" s="54">
        <f t="shared" ref="P31" si="252">+P32</f>
        <v>17569.213636363635</v>
      </c>
      <c r="Q31" s="55">
        <f t="shared" ref="Q31" si="253">Q32</f>
        <v>4.3181818181818183</v>
      </c>
      <c r="R31" s="54">
        <f t="shared" ref="R31" si="254">+R32</f>
        <v>17569.213636363635</v>
      </c>
      <c r="S31" s="55">
        <f t="shared" ref="S31" si="255">S32</f>
        <v>4.3181818181818183</v>
      </c>
      <c r="T31" s="54">
        <f t="shared" ref="T31" si="256">+T32</f>
        <v>17569.213636363635</v>
      </c>
      <c r="U31" s="55">
        <f t="shared" ref="U31" si="257">U32</f>
        <v>4.3181818181818183</v>
      </c>
      <c r="V31" s="54">
        <f t="shared" ref="V31" si="258">+V32</f>
        <v>17569.213636363635</v>
      </c>
      <c r="W31" s="55">
        <f t="shared" ref="W31" si="259">W32</f>
        <v>4.3181818181818183</v>
      </c>
      <c r="X31" s="54">
        <f t="shared" ref="X31" si="260">+X32</f>
        <v>17569.213636363635</v>
      </c>
      <c r="Y31" s="55">
        <f t="shared" ref="Y31" si="261">Y32</f>
        <v>4.3181818181818183</v>
      </c>
      <c r="Z31" s="54">
        <f t="shared" ref="Z31" si="262">+Z32</f>
        <v>17569.213636363635</v>
      </c>
      <c r="AA31" s="55">
        <f t="shared" ref="AA31" si="263">AA32</f>
        <v>4.3181818181818183</v>
      </c>
      <c r="AB31" s="54">
        <f t="shared" ref="AB31" si="264">+AB32</f>
        <v>17569.213636363635</v>
      </c>
      <c r="AC31" s="55">
        <f t="shared" ref="AC31" si="265">AC32</f>
        <v>4.3181818181818183</v>
      </c>
      <c r="AD31" s="54">
        <f t="shared" ref="AD31" si="266">+AD32</f>
        <v>17569.213636363635</v>
      </c>
      <c r="AE31" s="55">
        <f t="shared" ref="AE31" si="267">AE32</f>
        <v>4.3181818181818183</v>
      </c>
      <c r="AF31" s="54">
        <f t="shared" ref="AF31" si="268">+AF32</f>
        <v>17569.213636363635</v>
      </c>
      <c r="AG31" s="55">
        <f t="shared" ref="AG31" si="269">AG32</f>
        <v>4.3181818181818183</v>
      </c>
      <c r="AH31" s="54">
        <f t="shared" ref="AH31" si="270">+AH32</f>
        <v>17569.213636363635</v>
      </c>
      <c r="AI31" s="55">
        <f t="shared" ref="AI31" si="271">AI32</f>
        <v>4.3181818181818183</v>
      </c>
      <c r="AJ31" s="54">
        <f t="shared" ref="AJ31" si="272">+AJ32</f>
        <v>17569.213636363635</v>
      </c>
      <c r="AK31" s="55">
        <f t="shared" ref="AK31" si="273">AK32</f>
        <v>4.3181818181818183</v>
      </c>
      <c r="AL31" s="54">
        <f t="shared" ref="AL31" si="274">+AL32</f>
        <v>17569.213636363635</v>
      </c>
      <c r="AM31" s="55">
        <f t="shared" ref="AM31" si="275">AM32</f>
        <v>4.3181818181818183</v>
      </c>
      <c r="AN31" s="54">
        <f t="shared" ref="AN31:BJ31" si="276">+AN32</f>
        <v>17569.213636363635</v>
      </c>
      <c r="AO31" s="55">
        <f t="shared" ref="AO31:BK31" si="277">AO32</f>
        <v>4.3181818181818183</v>
      </c>
      <c r="AP31" s="54">
        <f t="shared" si="276"/>
        <v>17569.213636363635</v>
      </c>
      <c r="AQ31" s="55">
        <f t="shared" si="277"/>
        <v>4.3181818181818183</v>
      </c>
      <c r="AR31" s="54">
        <f t="shared" si="276"/>
        <v>17569.213636363635</v>
      </c>
      <c r="AS31" s="55">
        <f t="shared" si="277"/>
        <v>4.3181818181818183</v>
      </c>
      <c r="AT31" s="54">
        <f t="shared" si="276"/>
        <v>16105.112499999999</v>
      </c>
      <c r="AU31" s="55">
        <f t="shared" si="277"/>
        <v>3.9583333333333335</v>
      </c>
      <c r="AV31" s="54">
        <f t="shared" si="276"/>
        <v>16105.112499999999</v>
      </c>
      <c r="AW31" s="55">
        <f t="shared" si="277"/>
        <v>3.9583333333333335</v>
      </c>
      <c r="AX31" s="54">
        <f t="shared" si="276"/>
        <v>16105.112499999999</v>
      </c>
      <c r="AY31" s="55">
        <f t="shared" si="277"/>
        <v>3.9583333333333335</v>
      </c>
      <c r="AZ31" s="54">
        <f t="shared" si="276"/>
        <v>16105.112499999999</v>
      </c>
      <c r="BA31" s="55">
        <f t="shared" si="277"/>
        <v>3.9583333333333335</v>
      </c>
      <c r="BB31" s="54">
        <f t="shared" si="276"/>
        <v>16105.112499999999</v>
      </c>
      <c r="BC31" s="55">
        <f t="shared" si="277"/>
        <v>3.9583333333333335</v>
      </c>
      <c r="BD31" s="54">
        <f t="shared" si="276"/>
        <v>16105.112499999999</v>
      </c>
      <c r="BE31" s="55">
        <f t="shared" si="277"/>
        <v>3.9583333333333335</v>
      </c>
      <c r="BF31" s="54">
        <f t="shared" si="276"/>
        <v>19326.134999999998</v>
      </c>
      <c r="BG31" s="55">
        <f t="shared" si="277"/>
        <v>4.75</v>
      </c>
      <c r="BH31" s="54">
        <f t="shared" si="276"/>
        <v>16105.112499999999</v>
      </c>
      <c r="BI31" s="55">
        <f t="shared" si="277"/>
        <v>3.9583333333333335</v>
      </c>
      <c r="BJ31" s="54">
        <f t="shared" si="276"/>
        <v>14647.175999999999</v>
      </c>
      <c r="BK31" s="55">
        <f t="shared" si="277"/>
        <v>3.6</v>
      </c>
      <c r="BL31" s="54">
        <f>+BL32</f>
        <v>19326.134999999998</v>
      </c>
      <c r="BM31" s="55">
        <f>BM32</f>
        <v>4.75</v>
      </c>
      <c r="BN31" s="54">
        <f>+BN32</f>
        <v>16105.112499999997</v>
      </c>
      <c r="BO31" s="55">
        <f>BO32</f>
        <v>3.958333333333333</v>
      </c>
      <c r="BP31" s="54">
        <f>+BP32</f>
        <v>15135.415199999999</v>
      </c>
      <c r="BQ31" s="55">
        <f>BQ32</f>
        <v>3.72</v>
      </c>
      <c r="BR31" s="54">
        <f t="shared" ref="BR31:BV31" si="278">+BR32</f>
        <v>24411.96</v>
      </c>
      <c r="BS31" s="55">
        <f t="shared" ref="BS31:BW31" si="279">BS32</f>
        <v>6</v>
      </c>
      <c r="BT31" s="54">
        <f t="shared" si="278"/>
        <v>15135.415199999998</v>
      </c>
      <c r="BU31" s="55">
        <f t="shared" si="279"/>
        <v>3.7199999999999998</v>
      </c>
      <c r="BV31" s="54">
        <f t="shared" si="278"/>
        <v>89510.51999999999</v>
      </c>
      <c r="BW31" s="55">
        <f t="shared" si="279"/>
        <v>22</v>
      </c>
      <c r="BX31" s="1163">
        <f>BW31/72</f>
        <v>0.30555555555555558</v>
      </c>
      <c r="BY31" s="274">
        <v>0.30555555555555558</v>
      </c>
      <c r="BZ31" s="274"/>
      <c r="CA31" s="274"/>
      <c r="CB31" s="274"/>
      <c r="CC31" s="274"/>
      <c r="CD31" s="274"/>
      <c r="CE31" s="1164" t="s">
        <v>12</v>
      </c>
      <c r="CF31" s="1168">
        <v>4.4000000000000004</v>
      </c>
      <c r="CG31" s="274"/>
      <c r="CH31" s="1164" t="s">
        <v>12</v>
      </c>
      <c r="CI31" s="1168">
        <v>4.4000000000000004</v>
      </c>
      <c r="CK31" s="1164" t="s">
        <v>12</v>
      </c>
      <c r="CL31" s="1168">
        <v>4.4000000000000004</v>
      </c>
    </row>
    <row r="32" spans="1:90" s="4" customFormat="1" ht="18" customHeight="1" x14ac:dyDescent="0.45">
      <c r="A32" s="561"/>
      <c r="B32" s="1194"/>
      <c r="C32" s="56" t="s">
        <v>45</v>
      </c>
      <c r="D32" s="52"/>
      <c r="E32" s="53"/>
      <c r="F32" s="54">
        <f>G32*F12</f>
        <v>17569.213636363635</v>
      </c>
      <c r="G32" s="55">
        <f>4.75*10/11</f>
        <v>4.3181818181818183</v>
      </c>
      <c r="H32" s="54">
        <f t="shared" ref="H32" si="280">I32*H12</f>
        <v>17569.213636363635</v>
      </c>
      <c r="I32" s="55">
        <f t="shared" ref="I32" si="281">4.75*10/11</f>
        <v>4.3181818181818183</v>
      </c>
      <c r="J32" s="54">
        <f t="shared" ref="J32" si="282">K32*J12</f>
        <v>17569.213636363635</v>
      </c>
      <c r="K32" s="55">
        <f t="shared" ref="K32" si="283">4.75*10/11</f>
        <v>4.3181818181818183</v>
      </c>
      <c r="L32" s="54">
        <f t="shared" ref="L32" si="284">M32*L12</f>
        <v>17569.213636363635</v>
      </c>
      <c r="M32" s="55">
        <f t="shared" ref="M32" si="285">4.75*10/11</f>
        <v>4.3181818181818183</v>
      </c>
      <c r="N32" s="54">
        <f t="shared" ref="N32" si="286">O32*N12</f>
        <v>17569.213636363635</v>
      </c>
      <c r="O32" s="55">
        <f t="shared" ref="O32" si="287">4.75*10/11</f>
        <v>4.3181818181818183</v>
      </c>
      <c r="P32" s="54">
        <f t="shared" ref="P32" si="288">Q32*P12</f>
        <v>17569.213636363635</v>
      </c>
      <c r="Q32" s="55">
        <f t="shared" ref="Q32" si="289">4.75*10/11</f>
        <v>4.3181818181818183</v>
      </c>
      <c r="R32" s="54">
        <f t="shared" ref="R32" si="290">S32*R12</f>
        <v>17569.213636363635</v>
      </c>
      <c r="S32" s="55">
        <f t="shared" ref="S32" si="291">4.75*10/11</f>
        <v>4.3181818181818183</v>
      </c>
      <c r="T32" s="54">
        <f t="shared" ref="T32" si="292">U32*T12</f>
        <v>17569.213636363635</v>
      </c>
      <c r="U32" s="55">
        <f t="shared" ref="U32" si="293">4.75*10/11</f>
        <v>4.3181818181818183</v>
      </c>
      <c r="V32" s="54">
        <f t="shared" ref="V32" si="294">W32*V12</f>
        <v>17569.213636363635</v>
      </c>
      <c r="W32" s="55">
        <f t="shared" ref="W32" si="295">4.75*10/11</f>
        <v>4.3181818181818183</v>
      </c>
      <c r="X32" s="54">
        <f t="shared" ref="X32" si="296">Y32*X12</f>
        <v>17569.213636363635</v>
      </c>
      <c r="Y32" s="55">
        <f t="shared" ref="Y32" si="297">4.75*10/11</f>
        <v>4.3181818181818183</v>
      </c>
      <c r="Z32" s="54">
        <f t="shared" ref="Z32" si="298">AA32*Z12</f>
        <v>17569.213636363635</v>
      </c>
      <c r="AA32" s="55">
        <f t="shared" ref="AA32" si="299">4.75*10/11</f>
        <v>4.3181818181818183</v>
      </c>
      <c r="AB32" s="54">
        <f t="shared" ref="AB32" si="300">AC32*AB12</f>
        <v>17569.213636363635</v>
      </c>
      <c r="AC32" s="55">
        <f t="shared" ref="AC32:AS32" si="301">4.75*10/11</f>
        <v>4.3181818181818183</v>
      </c>
      <c r="AD32" s="54">
        <f t="shared" ref="AD32" si="302">AE32*AD12</f>
        <v>17569.213636363635</v>
      </c>
      <c r="AE32" s="55">
        <f t="shared" si="301"/>
        <v>4.3181818181818183</v>
      </c>
      <c r="AF32" s="54">
        <f t="shared" ref="AF32" si="303">AG32*AF12</f>
        <v>17569.213636363635</v>
      </c>
      <c r="AG32" s="55">
        <f t="shared" si="301"/>
        <v>4.3181818181818183</v>
      </c>
      <c r="AH32" s="54">
        <f t="shared" ref="AH32" si="304">AI32*AH12</f>
        <v>17569.213636363635</v>
      </c>
      <c r="AI32" s="55">
        <f t="shared" si="301"/>
        <v>4.3181818181818183</v>
      </c>
      <c r="AJ32" s="54">
        <f t="shared" ref="AJ32" si="305">AK32*AJ12</f>
        <v>17569.213636363635</v>
      </c>
      <c r="AK32" s="55">
        <f t="shared" si="301"/>
        <v>4.3181818181818183</v>
      </c>
      <c r="AL32" s="54">
        <f t="shared" ref="AL32" si="306">AM32*AL12</f>
        <v>17569.213636363635</v>
      </c>
      <c r="AM32" s="55">
        <f t="shared" si="301"/>
        <v>4.3181818181818183</v>
      </c>
      <c r="AN32" s="54">
        <f t="shared" ref="AN32" si="307">AO32*AN12</f>
        <v>17569.213636363635</v>
      </c>
      <c r="AO32" s="55">
        <f t="shared" si="301"/>
        <v>4.3181818181818183</v>
      </c>
      <c r="AP32" s="54">
        <f t="shared" ref="AP32" si="308">AQ32*AP12</f>
        <v>17569.213636363635</v>
      </c>
      <c r="AQ32" s="55">
        <f t="shared" si="301"/>
        <v>4.3181818181818183</v>
      </c>
      <c r="AR32" s="54">
        <f t="shared" ref="AR32" si="309">AS32*AR12</f>
        <v>17569.213636363635</v>
      </c>
      <c r="AS32" s="55">
        <f t="shared" si="301"/>
        <v>4.3181818181818183</v>
      </c>
      <c r="AT32" s="54">
        <f t="shared" ref="AT32" si="310">AU32*AT12</f>
        <v>16105.112499999999</v>
      </c>
      <c r="AU32" s="55">
        <f>4.75*5/6</f>
        <v>3.9583333333333335</v>
      </c>
      <c r="AV32" s="54">
        <f t="shared" ref="AV32" si="311">AW32*AV12</f>
        <v>16105.112499999999</v>
      </c>
      <c r="AW32" s="55">
        <f>4.75*5/6</f>
        <v>3.9583333333333335</v>
      </c>
      <c r="AX32" s="54">
        <f t="shared" ref="AX32" si="312">AY32*AX12</f>
        <v>16105.112499999999</v>
      </c>
      <c r="AY32" s="55">
        <f>4.75*5/6</f>
        <v>3.9583333333333335</v>
      </c>
      <c r="AZ32" s="54">
        <f t="shared" ref="AZ32" si="313">BA32*AZ12</f>
        <v>16105.112499999999</v>
      </c>
      <c r="BA32" s="55">
        <f>4.75*5/6</f>
        <v>3.9583333333333335</v>
      </c>
      <c r="BB32" s="54">
        <f t="shared" ref="BB32" si="314">BC32*BB12</f>
        <v>16105.112499999999</v>
      </c>
      <c r="BC32" s="55">
        <f>4.75*5/6</f>
        <v>3.9583333333333335</v>
      </c>
      <c r="BD32" s="54">
        <f t="shared" ref="BD32" si="315">BE32*BD12</f>
        <v>16105.112499999999</v>
      </c>
      <c r="BE32" s="55">
        <f>4.75*5/6</f>
        <v>3.9583333333333335</v>
      </c>
      <c r="BF32" s="54">
        <f t="shared" ref="BF32" si="316">BG32*BF12</f>
        <v>19326.134999999998</v>
      </c>
      <c r="BG32" s="55">
        <v>4.75</v>
      </c>
      <c r="BH32" s="54">
        <f t="shared" ref="BH32" si="317">BI32*BH12</f>
        <v>16105.112499999999</v>
      </c>
      <c r="BI32" s="55">
        <f>4.75*5/6</f>
        <v>3.9583333333333335</v>
      </c>
      <c r="BJ32" s="54">
        <f t="shared" ref="BJ32:BL32" si="318">BK32*BJ12</f>
        <v>14647.175999999999</v>
      </c>
      <c r="BK32" s="55">
        <v>3.6</v>
      </c>
      <c r="BL32" s="54">
        <f t="shared" si="318"/>
        <v>19326.134999999998</v>
      </c>
      <c r="BM32" s="55">
        <v>4.75</v>
      </c>
      <c r="BN32" s="54">
        <f>BN12*4.75*5/6</f>
        <v>16105.112499999997</v>
      </c>
      <c r="BO32" s="55">
        <f>+BN32/BN12</f>
        <v>3.958333333333333</v>
      </c>
      <c r="BP32" s="54">
        <f t="shared" ref="BP32" si="319">BQ32*BP12</f>
        <v>15135.415199999999</v>
      </c>
      <c r="BQ32" s="55">
        <v>3.72</v>
      </c>
      <c r="BR32" s="54">
        <f t="shared" ref="BR32" si="320">BS32*BR12</f>
        <v>24411.96</v>
      </c>
      <c r="BS32" s="55">
        <v>6</v>
      </c>
      <c r="BT32" s="54">
        <f t="shared" ref="BT32" si="321">BU32*BT12</f>
        <v>15135.415199999998</v>
      </c>
      <c r="BU32" s="55">
        <f>0.31*12</f>
        <v>3.7199999999999998</v>
      </c>
      <c r="BV32" s="54">
        <f t="shared" ref="BV32" si="322">BW32*BV12</f>
        <v>89510.51999999999</v>
      </c>
      <c r="BW32" s="55">
        <v>22</v>
      </c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</row>
    <row r="33" spans="1:85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61"/>
      <c r="O33" s="41"/>
      <c r="P33" s="61"/>
      <c r="Q33" s="41"/>
      <c r="R33" s="61"/>
      <c r="S33" s="41"/>
      <c r="T33" s="61"/>
      <c r="U33" s="41"/>
      <c r="V33" s="61"/>
      <c r="W33" s="41"/>
      <c r="X33" s="61"/>
      <c r="Y33" s="41"/>
      <c r="Z33" s="61"/>
      <c r="AA33" s="41"/>
      <c r="AB33" s="61"/>
      <c r="AC33" s="41"/>
      <c r="AD33" s="61"/>
      <c r="AE33" s="41"/>
      <c r="AF33" s="61"/>
      <c r="AG33" s="41"/>
      <c r="AH33" s="61"/>
      <c r="AI33" s="41"/>
      <c r="AJ33" s="61"/>
      <c r="AK33" s="41"/>
      <c r="AL33" s="61"/>
      <c r="AM33" s="41"/>
      <c r="AN33" s="61"/>
      <c r="AO33" s="41"/>
      <c r="AP33" s="61"/>
      <c r="AQ33" s="41"/>
      <c r="AR33" s="61"/>
      <c r="AS33" s="41"/>
      <c r="AT33" s="61"/>
      <c r="AU33" s="41"/>
      <c r="AV33" s="61"/>
      <c r="AW33" s="41"/>
      <c r="AX33" s="61"/>
      <c r="AY33" s="41"/>
      <c r="AZ33" s="61"/>
      <c r="BA33" s="41"/>
      <c r="BB33" s="61"/>
      <c r="BC33" s="41"/>
      <c r="BD33" s="61"/>
      <c r="BE33" s="41"/>
      <c r="BF33" s="61"/>
      <c r="BG33" s="41"/>
      <c r="BH33" s="61"/>
      <c r="BI33" s="41"/>
      <c r="BJ33" s="61"/>
      <c r="BK33" s="41"/>
      <c r="BL33" s="365"/>
      <c r="BM33" s="358"/>
      <c r="BN33" s="365"/>
      <c r="BO33" s="358"/>
      <c r="BP33" s="365"/>
      <c r="BQ33" s="358"/>
      <c r="BR33" s="365"/>
      <c r="BS33" s="358"/>
      <c r="BT33" s="365"/>
      <c r="BU33" s="358"/>
      <c r="BV33" s="365"/>
      <c r="BW33" s="358"/>
      <c r="BX33" s="270"/>
      <c r="BY33" s="270"/>
      <c r="BZ33" s="270"/>
      <c r="CA33" s="270"/>
      <c r="CB33" s="270"/>
      <c r="CC33" s="270"/>
      <c r="CD33" s="270"/>
      <c r="CE33" s="270"/>
      <c r="CF33" s="270"/>
      <c r="CG33" s="270"/>
    </row>
    <row r="34" spans="1:85" s="4" customFormat="1" ht="18" hidden="1" customHeight="1" outlineLevel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60"/>
      <c r="O34" s="43"/>
      <c r="P34" s="60"/>
      <c r="Q34" s="43"/>
      <c r="R34" s="60"/>
      <c r="S34" s="43"/>
      <c r="T34" s="60"/>
      <c r="U34" s="43"/>
      <c r="V34" s="60"/>
      <c r="W34" s="43"/>
      <c r="X34" s="60"/>
      <c r="Y34" s="43"/>
      <c r="Z34" s="60"/>
      <c r="AA34" s="43"/>
      <c r="AB34" s="60"/>
      <c r="AC34" s="43"/>
      <c r="AD34" s="60"/>
      <c r="AE34" s="43"/>
      <c r="AF34" s="60"/>
      <c r="AG34" s="43"/>
      <c r="AH34" s="60"/>
      <c r="AI34" s="43"/>
      <c r="AJ34" s="60"/>
      <c r="AK34" s="43"/>
      <c r="AL34" s="60"/>
      <c r="AM34" s="43"/>
      <c r="AN34" s="60"/>
      <c r="AO34" s="43"/>
      <c r="AP34" s="60"/>
      <c r="AQ34" s="43"/>
      <c r="AR34" s="60"/>
      <c r="AS34" s="43"/>
      <c r="AT34" s="60"/>
      <c r="AU34" s="43"/>
      <c r="AV34" s="60"/>
      <c r="AW34" s="43"/>
      <c r="AX34" s="60"/>
      <c r="AY34" s="43"/>
      <c r="AZ34" s="60"/>
      <c r="BA34" s="43"/>
      <c r="BB34" s="60"/>
      <c r="BC34" s="43"/>
      <c r="BD34" s="60"/>
      <c r="BE34" s="43"/>
      <c r="BF34" s="60"/>
      <c r="BG34" s="43"/>
      <c r="BH34" s="60"/>
      <c r="BI34" s="43"/>
      <c r="BJ34" s="60"/>
      <c r="BK34" s="43"/>
      <c r="BL34" s="364"/>
      <c r="BM34" s="360"/>
      <c r="BN34" s="364"/>
      <c r="BO34" s="360"/>
      <c r="BP34" s="364"/>
      <c r="BQ34" s="360"/>
      <c r="BR34" s="364"/>
      <c r="BS34" s="360"/>
      <c r="BT34" s="364"/>
      <c r="BU34" s="360"/>
      <c r="BV34" s="364"/>
      <c r="BW34" s="360"/>
      <c r="BX34" s="270"/>
      <c r="BY34" s="270"/>
      <c r="BZ34" s="270"/>
      <c r="CA34" s="270"/>
      <c r="CB34" s="270"/>
      <c r="CC34" s="270"/>
      <c r="CD34" s="270"/>
      <c r="CE34" s="270"/>
      <c r="CF34" s="270"/>
      <c r="CG34" s="270"/>
    </row>
    <row r="35" spans="1:85" s="49" customFormat="1" ht="18" hidden="1" customHeight="1" outlineLevel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47"/>
      <c r="M35" s="48"/>
      <c r="N35" s="47"/>
      <c r="O35" s="48"/>
      <c r="P35" s="47"/>
      <c r="Q35" s="48"/>
      <c r="R35" s="47"/>
      <c r="S35" s="48"/>
      <c r="T35" s="47"/>
      <c r="U35" s="48"/>
      <c r="V35" s="47"/>
      <c r="W35" s="48"/>
      <c r="X35" s="47"/>
      <c r="Y35" s="48"/>
      <c r="Z35" s="47"/>
      <c r="AA35" s="48"/>
      <c r="AB35" s="47"/>
      <c r="AC35" s="48"/>
      <c r="AD35" s="47"/>
      <c r="AE35" s="48"/>
      <c r="AF35" s="47"/>
      <c r="AG35" s="48"/>
      <c r="AH35" s="47"/>
      <c r="AI35" s="48"/>
      <c r="AJ35" s="47"/>
      <c r="AK35" s="48"/>
      <c r="AL35" s="47"/>
      <c r="AM35" s="48"/>
      <c r="AN35" s="47"/>
      <c r="AO35" s="48"/>
      <c r="AP35" s="47"/>
      <c r="AQ35" s="1144">
        <f>4.75*9/11</f>
        <v>3.8863636363636362</v>
      </c>
      <c r="AR35" s="47"/>
      <c r="AS35" s="1144"/>
      <c r="AT35" s="47"/>
      <c r="AU35" s="1144"/>
      <c r="AV35" s="47"/>
      <c r="AW35" s="1144"/>
      <c r="AX35" s="47"/>
      <c r="AY35" s="1144"/>
      <c r="AZ35" s="47"/>
      <c r="BA35" s="1144"/>
      <c r="BB35" s="47"/>
      <c r="BC35" s="1144"/>
      <c r="BD35" s="47"/>
      <c r="BE35" s="1144"/>
      <c r="BF35" s="47"/>
      <c r="BG35" s="1144"/>
      <c r="BH35" s="47"/>
      <c r="BI35" s="1144"/>
      <c r="BJ35" s="47"/>
      <c r="BK35" s="1144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1150"/>
      <c r="BY35" s="1150"/>
      <c r="BZ35" s="1150"/>
      <c r="CA35" s="1150"/>
      <c r="CB35" s="1150"/>
      <c r="CC35" s="1150"/>
      <c r="CD35" s="1150"/>
      <c r="CE35" s="1150"/>
      <c r="CF35" s="1150"/>
      <c r="CG35" s="1150"/>
    </row>
    <row r="36" spans="1:85" s="4" customFormat="1" ht="18" hidden="1" customHeight="1" outlineLevel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50"/>
      <c r="M36" s="24"/>
      <c r="N36" s="50"/>
      <c r="O36" s="24"/>
      <c r="P36" s="50"/>
      <c r="Q36" s="24"/>
      <c r="R36" s="50"/>
      <c r="S36" s="24"/>
      <c r="T36" s="50"/>
      <c r="U36" s="24"/>
      <c r="V36" s="50"/>
      <c r="W36" s="24"/>
      <c r="X36" s="50"/>
      <c r="Y36" s="24"/>
      <c r="Z36" s="50"/>
      <c r="AA36" s="24"/>
      <c r="AB36" s="50"/>
      <c r="AC36" s="24"/>
      <c r="AD36" s="50"/>
      <c r="AE36" s="24"/>
      <c r="AF36" s="50"/>
      <c r="AG36" s="24"/>
      <c r="AH36" s="50"/>
      <c r="AI36" s="24"/>
      <c r="AJ36" s="50"/>
      <c r="AK36" s="24"/>
      <c r="AL36" s="50"/>
      <c r="AM36" s="24"/>
      <c r="AN36" s="50"/>
      <c r="AO36" s="24"/>
      <c r="AP36" s="50"/>
      <c r="AQ36" s="24"/>
      <c r="AR36" s="50"/>
      <c r="AS36" s="24"/>
      <c r="AT36" s="50"/>
      <c r="AU36" s="24"/>
      <c r="AV36" s="50"/>
      <c r="AW36" s="24"/>
      <c r="AX36" s="50"/>
      <c r="AY36" s="24"/>
      <c r="AZ36" s="50"/>
      <c r="BA36" s="24"/>
      <c r="BB36" s="50"/>
      <c r="BC36" s="24"/>
      <c r="BD36" s="50"/>
      <c r="BE36" s="24"/>
      <c r="BF36" s="50"/>
      <c r="BG36" s="24"/>
      <c r="BH36" s="50"/>
      <c r="BI36" s="24"/>
      <c r="BJ36" s="50"/>
      <c r="BK36" s="24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</row>
    <row r="37" spans="1:85" s="4" customFormat="1" ht="18" hidden="1" customHeight="1" outlineLevel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</row>
    <row r="38" spans="1:85" s="4" customFormat="1" ht="18" hidden="1" customHeight="1" outlineLevel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274"/>
      <c r="BY38" s="274"/>
      <c r="BZ38" s="274"/>
      <c r="CA38" s="274"/>
      <c r="CB38" s="274"/>
      <c r="CC38" s="274"/>
      <c r="CD38" s="274"/>
      <c r="CE38" s="274"/>
      <c r="CF38" s="274"/>
      <c r="CG38" s="274"/>
    </row>
    <row r="39" spans="1:85" s="4" customFormat="1" ht="18" hidden="1" customHeight="1" outlineLevel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61"/>
      <c r="O39" s="41"/>
      <c r="P39" s="61"/>
      <c r="Q39" s="41"/>
      <c r="R39" s="61"/>
      <c r="S39" s="41"/>
      <c r="T39" s="61"/>
      <c r="U39" s="41"/>
      <c r="V39" s="61"/>
      <c r="W39" s="41"/>
      <c r="X39" s="61"/>
      <c r="Y39" s="41"/>
      <c r="Z39" s="61"/>
      <c r="AA39" s="41"/>
      <c r="AB39" s="61"/>
      <c r="AC39" s="41"/>
      <c r="AD39" s="61"/>
      <c r="AE39" s="41"/>
      <c r="AF39" s="61"/>
      <c r="AG39" s="41"/>
      <c r="AH39" s="61"/>
      <c r="AI39" s="41"/>
      <c r="AJ39" s="61"/>
      <c r="AK39" s="41"/>
      <c r="AL39" s="61"/>
      <c r="AM39" s="41"/>
      <c r="AN39" s="61"/>
      <c r="AO39" s="41"/>
      <c r="AP39" s="61"/>
      <c r="AQ39" s="41"/>
      <c r="AR39" s="61"/>
      <c r="AS39" s="41"/>
      <c r="AT39" s="61"/>
      <c r="AU39" s="41"/>
      <c r="AV39" s="61"/>
      <c r="AW39" s="41"/>
      <c r="AX39" s="61"/>
      <c r="AY39" s="41"/>
      <c r="AZ39" s="61"/>
      <c r="BA39" s="41"/>
      <c r="BB39" s="61"/>
      <c r="BC39" s="41"/>
      <c r="BD39" s="61"/>
      <c r="BE39" s="41"/>
      <c r="BF39" s="61"/>
      <c r="BG39" s="41"/>
      <c r="BH39" s="61"/>
      <c r="BI39" s="41"/>
      <c r="BJ39" s="61"/>
      <c r="BK39" s="41"/>
      <c r="BL39" s="365"/>
      <c r="BM39" s="358"/>
      <c r="BN39" s="365"/>
      <c r="BO39" s="358"/>
      <c r="BP39" s="365"/>
      <c r="BQ39" s="358"/>
      <c r="BR39" s="365"/>
      <c r="BS39" s="358"/>
      <c r="BT39" s="365"/>
      <c r="BU39" s="358"/>
      <c r="BV39" s="365"/>
      <c r="BW39" s="358"/>
      <c r="BX39" s="270"/>
      <c r="BY39" s="270"/>
      <c r="BZ39" s="270"/>
      <c r="CA39" s="270"/>
      <c r="CB39" s="270"/>
      <c r="CC39" s="270"/>
      <c r="CD39" s="270"/>
      <c r="CE39" s="270"/>
      <c r="CF39" s="270"/>
      <c r="CG39" s="270"/>
    </row>
    <row r="40" spans="1:85" s="4" customFormat="1" ht="18" customHeight="1" outlineLevel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60"/>
      <c r="O40" s="43"/>
      <c r="P40" s="60"/>
      <c r="Q40" s="43"/>
      <c r="R40" s="60"/>
      <c r="S40" s="43"/>
      <c r="T40" s="60"/>
      <c r="U40" s="43"/>
      <c r="V40" s="60"/>
      <c r="W40" s="43"/>
      <c r="X40" s="60"/>
      <c r="Y40" s="43"/>
      <c r="Z40" s="60"/>
      <c r="AA40" s="43"/>
      <c r="AB40" s="60"/>
      <c r="AC40" s="43"/>
      <c r="AD40" s="60"/>
      <c r="AE40" s="43"/>
      <c r="AF40" s="60"/>
      <c r="AG40" s="43"/>
      <c r="AH40" s="60"/>
      <c r="AI40" s="43"/>
      <c r="AJ40" s="60"/>
      <c r="AK40" s="43"/>
      <c r="AL40" s="60"/>
      <c r="AM40" s="43"/>
      <c r="AN40" s="60"/>
      <c r="AO40" s="43"/>
      <c r="AP40" s="60"/>
      <c r="AQ40" s="43"/>
      <c r="AR40" s="60"/>
      <c r="AS40" s="43"/>
      <c r="AT40" s="60"/>
      <c r="AU40" s="43"/>
      <c r="AV40" s="60"/>
      <c r="AW40" s="43"/>
      <c r="AX40" s="60"/>
      <c r="AY40" s="43"/>
      <c r="AZ40" s="60"/>
      <c r="BA40" s="43"/>
      <c r="BB40" s="60"/>
      <c r="BC40" s="43"/>
      <c r="BD40" s="60"/>
      <c r="BE40" s="43"/>
      <c r="BF40" s="60"/>
      <c r="BG40" s="43"/>
      <c r="BH40" s="60"/>
      <c r="BI40" s="43"/>
      <c r="BJ40" s="60"/>
      <c r="BK40" s="43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270"/>
      <c r="BY40" s="270"/>
      <c r="BZ40" s="270"/>
      <c r="CA40" s="270"/>
      <c r="CB40" s="270"/>
      <c r="CC40" s="270"/>
      <c r="CD40" s="270"/>
      <c r="CE40" s="270"/>
      <c r="CF40" s="270"/>
      <c r="CG40" s="270"/>
    </row>
    <row r="41" spans="1:85" s="4" customFormat="1" ht="18" customHeight="1" outlineLevel="1" x14ac:dyDescent="0.45">
      <c r="A41" s="561"/>
      <c r="B41" s="1194"/>
      <c r="C41" s="71" t="s">
        <v>177</v>
      </c>
      <c r="D41" s="16"/>
      <c r="E41" s="16"/>
      <c r="F41" s="430">
        <f>F42-G54*F12</f>
        <v>166.05008466942263</v>
      </c>
      <c r="G41" s="24">
        <f>G42-G54</f>
        <v>4.0811983471074509E-2</v>
      </c>
      <c r="H41" s="430">
        <f t="shared" ref="H41" si="323">H42-I54*H12</f>
        <v>166.05008466942263</v>
      </c>
      <c r="I41" s="24">
        <f t="shared" ref="I41" si="324">I42-I54</f>
        <v>4.0811983471074509E-2</v>
      </c>
      <c r="J41" s="430">
        <f t="shared" ref="J41" si="325">J42-K54*J12</f>
        <v>166.05008466942263</v>
      </c>
      <c r="K41" s="24">
        <f t="shared" ref="K41" si="326">K42-K54</f>
        <v>4.0811983471074509E-2</v>
      </c>
      <c r="L41" s="430">
        <f t="shared" ref="L41" si="327">L42-M54*L12</f>
        <v>166.05008466942263</v>
      </c>
      <c r="M41" s="24">
        <f t="shared" ref="M41" si="328">M42-M54</f>
        <v>4.0811983471074509E-2</v>
      </c>
      <c r="N41" s="430">
        <f t="shared" ref="N41" si="329">N42-O54*N12</f>
        <v>166.05008466942263</v>
      </c>
      <c r="O41" s="24">
        <f t="shared" ref="O41" si="330">O42-O54</f>
        <v>4.0811983471074509E-2</v>
      </c>
      <c r="P41" s="430">
        <f t="shared" ref="P41" si="331">P42-Q54*P12</f>
        <v>166.05008466942263</v>
      </c>
      <c r="Q41" s="24">
        <f t="shared" ref="Q41" si="332">Q42-Q54</f>
        <v>4.0811983471074509E-2</v>
      </c>
      <c r="R41" s="430">
        <f t="shared" ref="R41" si="333">R42-S54*R12</f>
        <v>166.05008466942263</v>
      </c>
      <c r="S41" s="24">
        <f t="shared" ref="S41" si="334">S42-S54</f>
        <v>4.0811983471074509E-2</v>
      </c>
      <c r="T41" s="430">
        <f t="shared" ref="T41" si="335">T42-U54*T12</f>
        <v>166.05008466942263</v>
      </c>
      <c r="U41" s="24">
        <f t="shared" ref="U41" si="336">U42-U54</f>
        <v>4.0811983471074509E-2</v>
      </c>
      <c r="V41" s="430">
        <f t="shared" ref="V41" si="337">V42-W54*V12</f>
        <v>166.05008466942263</v>
      </c>
      <c r="W41" s="24">
        <f t="shared" ref="W41" si="338">W42-W54</f>
        <v>4.0811983471074509E-2</v>
      </c>
      <c r="X41" s="430">
        <f t="shared" ref="X41" si="339">X42-Y54*X12</f>
        <v>166.05008466942263</v>
      </c>
      <c r="Y41" s="24">
        <f t="shared" ref="Y41" si="340">Y42-Y54</f>
        <v>4.0811983471074509E-2</v>
      </c>
      <c r="Z41" s="430">
        <f t="shared" ref="Z41" si="341">Z42-AA54*Z12</f>
        <v>166.05008466942263</v>
      </c>
      <c r="AA41" s="24">
        <f t="shared" ref="AA41" si="342">AA42-AA54</f>
        <v>4.0811983471074509E-2</v>
      </c>
      <c r="AB41" s="430">
        <f t="shared" ref="AB41" si="343">AB42-AC54*AB12</f>
        <v>104.76117485778423</v>
      </c>
      <c r="AC41" s="24">
        <f t="shared" ref="AC41" si="344">AC42-AC54</f>
        <v>2.5748323737491863E-2</v>
      </c>
      <c r="AD41" s="430">
        <f t="shared" ref="AD41" si="345">AD42-AE54*AD12</f>
        <v>166.05008466942263</v>
      </c>
      <c r="AE41" s="24">
        <f t="shared" ref="AE41" si="346">AE42-AE54</f>
        <v>4.0811983471074509E-2</v>
      </c>
      <c r="AF41" s="430">
        <f t="shared" ref="AF41" si="347">AF42-AG54*AF12</f>
        <v>166.05008466942263</v>
      </c>
      <c r="AG41" s="24">
        <f t="shared" ref="AG41" si="348">AG42-AG54</f>
        <v>4.0811983471074509E-2</v>
      </c>
      <c r="AH41" s="430">
        <f t="shared" ref="AH41" si="349">AH42-AI54*AH12</f>
        <v>166.05008466942263</v>
      </c>
      <c r="AI41" s="24">
        <f t="shared" ref="AI41" si="350">AI42-AI54</f>
        <v>4.0811983471074509E-2</v>
      </c>
      <c r="AJ41" s="430">
        <f t="shared" ref="AJ41" si="351">AJ42-AK54*AJ12</f>
        <v>166.05008466942263</v>
      </c>
      <c r="AK41" s="24">
        <f t="shared" ref="AK41" si="352">AK42-AK54</f>
        <v>4.0811983471074509E-2</v>
      </c>
      <c r="AL41" s="430">
        <f t="shared" ref="AL41" si="353">AL42-AM54*AL12</f>
        <v>166.05008466942263</v>
      </c>
      <c r="AM41" s="24">
        <f t="shared" ref="AM41" si="354">AM42-AM54</f>
        <v>4.0811983471074509E-2</v>
      </c>
      <c r="AN41" s="430">
        <f t="shared" ref="AN41" si="355">AN42-AO54*AN12</f>
        <v>166.05008466942263</v>
      </c>
      <c r="AO41" s="24">
        <f t="shared" ref="AO41:AQ41" si="356">AO42-AO54</f>
        <v>4.0811983471074509E-2</v>
      </c>
      <c r="AP41" s="430">
        <f t="shared" ref="AP41" si="357">AP42-AQ54*AP12</f>
        <v>166.05008466942263</v>
      </c>
      <c r="AQ41" s="24">
        <f t="shared" si="356"/>
        <v>4.0811983471074509E-2</v>
      </c>
      <c r="AR41" s="430">
        <f t="shared" ref="AR41" si="358">AR42-AS54*AR12</f>
        <v>166.05008466942263</v>
      </c>
      <c r="AS41" s="24">
        <f t="shared" ref="AS41:AU41" si="359">AS42-AS54</f>
        <v>4.0811983471074509E-2</v>
      </c>
      <c r="AT41" s="430">
        <f t="shared" ref="AT41" si="360">AT42-AU54*AT12</f>
        <v>161.11277136363719</v>
      </c>
      <c r="AU41" s="24">
        <f t="shared" si="359"/>
        <v>3.9598484848485327E-2</v>
      </c>
      <c r="AV41" s="430">
        <f t="shared" ref="AV41" si="361">AV42-AW54*AV12</f>
        <v>161.11277136363719</v>
      </c>
      <c r="AW41" s="24">
        <f t="shared" ref="AW41" si="362">AW42-AW54</f>
        <v>3.9598484848485327E-2</v>
      </c>
      <c r="AX41" s="430">
        <f t="shared" ref="AX41" si="363">AX42-AY54*AX12</f>
        <v>161.11277136363719</v>
      </c>
      <c r="AY41" s="24">
        <f t="shared" ref="AY41" si="364">AY42-AY54</f>
        <v>3.9598484848485327E-2</v>
      </c>
      <c r="AZ41" s="430">
        <f t="shared" ref="AZ41" si="365">AZ42-BA54*AZ12</f>
        <v>161.11277136363697</v>
      </c>
      <c r="BA41" s="24">
        <f t="shared" ref="BA41:BC41" si="366">BA42-BA54</f>
        <v>3.9598484848485271E-2</v>
      </c>
      <c r="BB41" s="430">
        <f t="shared" ref="BB41" si="367">BB42-BC54*BB12</f>
        <v>161.11277136363697</v>
      </c>
      <c r="BC41" s="24">
        <f t="shared" si="366"/>
        <v>3.9598484848485271E-2</v>
      </c>
      <c r="BD41" s="430">
        <f t="shared" ref="BD41" si="368">BD42-BE54*BD12</f>
        <v>161.11277136363697</v>
      </c>
      <c r="BE41" s="24">
        <f t="shared" ref="BE41:BI41" si="369">BE42-BE54</f>
        <v>3.9598484848485271E-2</v>
      </c>
      <c r="BF41" s="430">
        <f t="shared" ref="BF41" si="370">BF42-BG54*BF12</f>
        <v>453.93299863636366</v>
      </c>
      <c r="BG41" s="24">
        <f t="shared" ref="BG41" si="371">BG42-BG54</f>
        <v>0.11156818181818251</v>
      </c>
      <c r="BH41" s="430">
        <f t="shared" ref="BH41" si="372">BH42-BI54*BH12</f>
        <v>161.11277136363697</v>
      </c>
      <c r="BI41" s="24">
        <f t="shared" si="369"/>
        <v>3.9598484848485271E-2</v>
      </c>
      <c r="BJ41" s="430">
        <f t="shared" ref="BJ41" si="373">BJ42-BK54*BJ12</f>
        <v>263.53820454545553</v>
      </c>
      <c r="BK41" s="24">
        <f t="shared" ref="BK41" si="374">BK42-BK54</f>
        <v>6.4772727272727593E-2</v>
      </c>
      <c r="BL41" s="430">
        <f>BL42-BM54*BL12</f>
        <v>453.94207683398872</v>
      </c>
      <c r="BM41" s="24">
        <f>BM42-BM54</f>
        <v>0.11157041306818249</v>
      </c>
      <c r="BN41" s="430">
        <f>BN42-BO54*BN12</f>
        <v>161.12184956126202</v>
      </c>
      <c r="BO41" s="24">
        <f>BO42-BO54</f>
        <v>3.9600716098485256E-2</v>
      </c>
      <c r="BP41" s="430">
        <f>BP42-BQ54*BP12</f>
        <v>308.03252473513658</v>
      </c>
      <c r="BQ41" s="24">
        <f>BQ42-BQ54</f>
        <v>7.5708593181818273E-2</v>
      </c>
      <c r="BR41" s="430">
        <f t="shared" ref="BR41" si="375">BR42-BS54*BR12</f>
        <v>635.92462278409221</v>
      </c>
      <c r="BS41" s="24">
        <f t="shared" ref="BS41:BU41" si="376">BS42-BS54</f>
        <v>0.15629829545454577</v>
      </c>
      <c r="BT41" s="430">
        <f t="shared" ref="BT41" si="377">BT42-BU54*BT12</f>
        <v>241.17213323863689</v>
      </c>
      <c r="BU41" s="24">
        <f t="shared" si="376"/>
        <v>5.9275568181818339E-2</v>
      </c>
      <c r="BV41" s="430"/>
      <c r="BW41" s="24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</row>
    <row r="42" spans="1:85" s="4" customFormat="1" ht="18" customHeight="1" outlineLevel="1" x14ac:dyDescent="0.45">
      <c r="A42" s="561"/>
      <c r="B42" s="1194"/>
      <c r="C42" s="71" t="s">
        <v>378</v>
      </c>
      <c r="D42" s="16"/>
      <c r="E42" s="16"/>
      <c r="F42" s="42">
        <f>F32-F32/1.1</f>
        <v>1597.2012396694226</v>
      </c>
      <c r="G42" s="24">
        <f>G32-G32/1.1</f>
        <v>0.39256198347107452</v>
      </c>
      <c r="H42" s="42">
        <f t="shared" ref="H42:BS42" si="378">H32-H32/1.1</f>
        <v>1597.2012396694226</v>
      </c>
      <c r="I42" s="24">
        <f t="shared" si="378"/>
        <v>0.39256198347107452</v>
      </c>
      <c r="J42" s="42">
        <f t="shared" si="378"/>
        <v>1597.2012396694226</v>
      </c>
      <c r="K42" s="24">
        <f t="shared" si="378"/>
        <v>0.39256198347107452</v>
      </c>
      <c r="L42" s="42">
        <f t="shared" si="378"/>
        <v>1597.2012396694226</v>
      </c>
      <c r="M42" s="24">
        <f t="shared" si="378"/>
        <v>0.39256198347107452</v>
      </c>
      <c r="N42" s="42">
        <f t="shared" si="378"/>
        <v>1597.2012396694226</v>
      </c>
      <c r="O42" s="24">
        <f t="shared" si="378"/>
        <v>0.39256198347107452</v>
      </c>
      <c r="P42" s="42">
        <f t="shared" si="378"/>
        <v>1597.2012396694226</v>
      </c>
      <c r="Q42" s="24">
        <f t="shared" si="378"/>
        <v>0.39256198347107452</v>
      </c>
      <c r="R42" s="42">
        <f t="shared" si="378"/>
        <v>1597.2012396694226</v>
      </c>
      <c r="S42" s="24">
        <f t="shared" si="378"/>
        <v>0.39256198347107452</v>
      </c>
      <c r="T42" s="42">
        <f t="shared" si="378"/>
        <v>1597.2012396694226</v>
      </c>
      <c r="U42" s="24">
        <f t="shared" si="378"/>
        <v>0.39256198347107452</v>
      </c>
      <c r="V42" s="42">
        <f t="shared" si="378"/>
        <v>1597.2012396694226</v>
      </c>
      <c r="W42" s="24">
        <f t="shared" si="378"/>
        <v>0.39256198347107452</v>
      </c>
      <c r="X42" s="42">
        <f t="shared" si="378"/>
        <v>1597.2012396694226</v>
      </c>
      <c r="Y42" s="24">
        <f t="shared" si="378"/>
        <v>0.39256198347107452</v>
      </c>
      <c r="Z42" s="42">
        <f t="shared" si="378"/>
        <v>1597.2012396694226</v>
      </c>
      <c r="AA42" s="24">
        <f t="shared" si="378"/>
        <v>0.39256198347107452</v>
      </c>
      <c r="AB42" s="42">
        <f t="shared" si="378"/>
        <v>1597.2012396694226</v>
      </c>
      <c r="AC42" s="24">
        <f t="shared" si="378"/>
        <v>0.39256198347107452</v>
      </c>
      <c r="AD42" s="42">
        <f t="shared" si="378"/>
        <v>1597.2012396694226</v>
      </c>
      <c r="AE42" s="24">
        <f t="shared" si="378"/>
        <v>0.39256198347107452</v>
      </c>
      <c r="AF42" s="42">
        <f t="shared" si="378"/>
        <v>1597.2012396694226</v>
      </c>
      <c r="AG42" s="24">
        <f t="shared" si="378"/>
        <v>0.39256198347107452</v>
      </c>
      <c r="AH42" s="42">
        <f t="shared" si="378"/>
        <v>1597.2012396694226</v>
      </c>
      <c r="AI42" s="24">
        <f t="shared" si="378"/>
        <v>0.39256198347107452</v>
      </c>
      <c r="AJ42" s="42">
        <f t="shared" si="378"/>
        <v>1597.2012396694226</v>
      </c>
      <c r="AK42" s="24">
        <f t="shared" si="378"/>
        <v>0.39256198347107452</v>
      </c>
      <c r="AL42" s="42">
        <f t="shared" si="378"/>
        <v>1597.2012396694226</v>
      </c>
      <c r="AM42" s="24">
        <f t="shared" si="378"/>
        <v>0.39256198347107452</v>
      </c>
      <c r="AN42" s="42">
        <f t="shared" si="378"/>
        <v>1597.2012396694226</v>
      </c>
      <c r="AO42" s="24">
        <f t="shared" si="378"/>
        <v>0.39256198347107452</v>
      </c>
      <c r="AP42" s="42">
        <f t="shared" si="378"/>
        <v>1597.2012396694226</v>
      </c>
      <c r="AQ42" s="24">
        <f t="shared" si="378"/>
        <v>0.39256198347107452</v>
      </c>
      <c r="AR42" s="42">
        <f t="shared" si="378"/>
        <v>1597.2012396694226</v>
      </c>
      <c r="AS42" s="24">
        <f t="shared" si="378"/>
        <v>0.39256198347107452</v>
      </c>
      <c r="AT42" s="42">
        <f t="shared" si="378"/>
        <v>1464.1011363636371</v>
      </c>
      <c r="AU42" s="24">
        <f t="shared" si="378"/>
        <v>0.35984848484848531</v>
      </c>
      <c r="AV42" s="42">
        <f t="shared" si="378"/>
        <v>1464.1011363636371</v>
      </c>
      <c r="AW42" s="24">
        <f t="shared" si="378"/>
        <v>0.35984848484848531</v>
      </c>
      <c r="AX42" s="42">
        <f t="shared" si="378"/>
        <v>1464.1011363636371</v>
      </c>
      <c r="AY42" s="24">
        <f t="shared" si="378"/>
        <v>0.35984848484848531</v>
      </c>
      <c r="AZ42" s="42">
        <f t="shared" si="378"/>
        <v>1464.1011363636371</v>
      </c>
      <c r="BA42" s="24">
        <f t="shared" si="378"/>
        <v>0.35984848484848531</v>
      </c>
      <c r="BB42" s="42">
        <f t="shared" si="378"/>
        <v>1464.1011363636371</v>
      </c>
      <c r="BC42" s="24">
        <f t="shared" si="378"/>
        <v>0.35984848484848531</v>
      </c>
      <c r="BD42" s="42">
        <f t="shared" si="378"/>
        <v>1464.1011363636371</v>
      </c>
      <c r="BE42" s="24">
        <f t="shared" si="378"/>
        <v>0.35984848484848531</v>
      </c>
      <c r="BF42" s="42">
        <f t="shared" ref="BF42:BG42" si="379">BF32-BF32/1.1</f>
        <v>1756.9213636363638</v>
      </c>
      <c r="BG42" s="24">
        <f t="shared" si="379"/>
        <v>0.43181818181818254</v>
      </c>
      <c r="BH42" s="42">
        <f t="shared" si="378"/>
        <v>1464.1011363636371</v>
      </c>
      <c r="BI42" s="24">
        <f t="shared" si="378"/>
        <v>0.35984848484848531</v>
      </c>
      <c r="BJ42" s="42">
        <f t="shared" ref="BJ42:BM42" si="380">BJ32-BJ32/1.1</f>
        <v>1331.5614545454555</v>
      </c>
      <c r="BK42" s="24">
        <f t="shared" si="380"/>
        <v>0.3272727272727276</v>
      </c>
      <c r="BL42" s="42">
        <f t="shared" si="380"/>
        <v>1756.9213636363638</v>
      </c>
      <c r="BM42" s="24">
        <f t="shared" si="380"/>
        <v>0.43181818181818254</v>
      </c>
      <c r="BN42" s="42">
        <f t="shared" ref="BN42:BO42" si="381">BN32-BN32/1.1</f>
        <v>1464.1011363636371</v>
      </c>
      <c r="BO42" s="24">
        <f t="shared" si="381"/>
        <v>0.35984848484848531</v>
      </c>
      <c r="BP42" s="42">
        <f t="shared" ref="BP42:BQ42" si="382">BP32-BP32/1.1</f>
        <v>1375.946836363637</v>
      </c>
      <c r="BQ42" s="24">
        <f t="shared" si="382"/>
        <v>0.33818181818181836</v>
      </c>
      <c r="BR42" s="42">
        <f t="shared" si="378"/>
        <v>2219.2690909090925</v>
      </c>
      <c r="BS42" s="24">
        <f t="shared" si="378"/>
        <v>0.54545454545454586</v>
      </c>
      <c r="BT42" s="42">
        <f t="shared" ref="BT42:BU42" si="383">BT32-BT32/1.1</f>
        <v>1375.946836363637</v>
      </c>
      <c r="BU42" s="24">
        <f t="shared" si="383"/>
        <v>0.33818181818181836</v>
      </c>
      <c r="BV42" s="42"/>
      <c r="BW42" s="24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</row>
    <row r="43" spans="1:85" s="65" customFormat="1" ht="18" customHeight="1" outlineLevel="1" x14ac:dyDescent="0.45">
      <c r="A43" s="561"/>
      <c r="B43" s="1194"/>
      <c r="C43" s="62" t="s">
        <v>47</v>
      </c>
      <c r="D43" s="63"/>
      <c r="E43" s="64"/>
      <c r="F43" s="47">
        <f>+F44/F32</f>
        <v>7.6698564593301773E-3</v>
      </c>
      <c r="G43" s="48">
        <f>+G44/G32</f>
        <v>7.6698564593303386E-3</v>
      </c>
      <c r="H43" s="47">
        <f t="shared" ref="H43:BS43" si="384">+H44/H32</f>
        <v>7.6698564593301773E-3</v>
      </c>
      <c r="I43" s="48">
        <f t="shared" si="384"/>
        <v>7.6698564593303386E-3</v>
      </c>
      <c r="J43" s="47">
        <f t="shared" si="384"/>
        <v>7.6698564593301773E-3</v>
      </c>
      <c r="K43" s="48">
        <f t="shared" si="384"/>
        <v>7.6698564593303386E-3</v>
      </c>
      <c r="L43" s="47">
        <f t="shared" si="384"/>
        <v>7.6698564593301773E-3</v>
      </c>
      <c r="M43" s="48">
        <f t="shared" si="384"/>
        <v>7.6698564593303386E-3</v>
      </c>
      <c r="N43" s="47">
        <f t="shared" si="384"/>
        <v>7.6698564593301773E-3</v>
      </c>
      <c r="O43" s="48">
        <f t="shared" si="384"/>
        <v>7.6698564593303386E-3</v>
      </c>
      <c r="P43" s="47">
        <f t="shared" si="384"/>
        <v>7.6698564593301773E-3</v>
      </c>
      <c r="Q43" s="48">
        <f t="shared" si="384"/>
        <v>7.6698564593303386E-3</v>
      </c>
      <c r="R43" s="47">
        <f t="shared" si="384"/>
        <v>7.6698564593301773E-3</v>
      </c>
      <c r="S43" s="48">
        <f t="shared" si="384"/>
        <v>7.6698564593303386E-3</v>
      </c>
      <c r="T43" s="47">
        <f t="shared" si="384"/>
        <v>7.6698564593301773E-3</v>
      </c>
      <c r="U43" s="48">
        <f t="shared" si="384"/>
        <v>7.6698564593303386E-3</v>
      </c>
      <c r="V43" s="47">
        <f t="shared" si="384"/>
        <v>7.6698564593301773E-3</v>
      </c>
      <c r="W43" s="48">
        <f t="shared" si="384"/>
        <v>7.6698564593303386E-3</v>
      </c>
      <c r="X43" s="47">
        <f t="shared" si="384"/>
        <v>7.6698564593301773E-3</v>
      </c>
      <c r="Y43" s="48">
        <f t="shared" si="384"/>
        <v>7.6698564593303386E-3</v>
      </c>
      <c r="Z43" s="47">
        <f t="shared" si="384"/>
        <v>7.6698564593301773E-3</v>
      </c>
      <c r="AA43" s="48">
        <f t="shared" si="384"/>
        <v>7.6698564593303386E-3</v>
      </c>
      <c r="AB43" s="47">
        <f t="shared" si="384"/>
        <v>-2.7214408186861185E-2</v>
      </c>
      <c r="AC43" s="48">
        <f t="shared" si="384"/>
        <v>-2.721440818686114E-2</v>
      </c>
      <c r="AD43" s="47">
        <f t="shared" si="384"/>
        <v>7.6698564593301773E-3</v>
      </c>
      <c r="AE43" s="48">
        <f t="shared" si="384"/>
        <v>7.6698564593303386E-3</v>
      </c>
      <c r="AF43" s="47">
        <f t="shared" si="384"/>
        <v>7.6698564593301773E-3</v>
      </c>
      <c r="AG43" s="48">
        <f t="shared" si="384"/>
        <v>7.6698564593303386E-3</v>
      </c>
      <c r="AH43" s="47">
        <f t="shared" si="384"/>
        <v>7.6698564593301773E-3</v>
      </c>
      <c r="AI43" s="48">
        <f t="shared" si="384"/>
        <v>7.6698564593303386E-3</v>
      </c>
      <c r="AJ43" s="47">
        <f t="shared" si="384"/>
        <v>7.6698564593301773E-3</v>
      </c>
      <c r="AK43" s="48">
        <f t="shared" si="384"/>
        <v>7.6698564593303386E-3</v>
      </c>
      <c r="AL43" s="47">
        <f t="shared" si="384"/>
        <v>7.6698564593301773E-3</v>
      </c>
      <c r="AM43" s="48">
        <f t="shared" si="384"/>
        <v>7.6698564593303386E-3</v>
      </c>
      <c r="AN43" s="47">
        <f t="shared" si="384"/>
        <v>7.6698564593301773E-3</v>
      </c>
      <c r="AO43" s="48">
        <f t="shared" si="384"/>
        <v>7.6698564593303386E-3</v>
      </c>
      <c r="AP43" s="47">
        <f t="shared" si="384"/>
        <v>7.6698564593301773E-3</v>
      </c>
      <c r="AQ43" s="48">
        <f t="shared" si="384"/>
        <v>7.6698564593303386E-3</v>
      </c>
      <c r="AR43" s="47">
        <f t="shared" si="384"/>
        <v>7.6698564593301773E-3</v>
      </c>
      <c r="AS43" s="48">
        <f t="shared" si="384"/>
        <v>7.6698564593303386E-3</v>
      </c>
      <c r="AT43" s="47">
        <f t="shared" si="384"/>
        <v>5.3014354066985613E-3</v>
      </c>
      <c r="AU43" s="48">
        <f t="shared" si="384"/>
        <v>5.3014354066985249E-3</v>
      </c>
      <c r="AV43" s="47">
        <f t="shared" si="384"/>
        <v>5.3014354066985613E-3</v>
      </c>
      <c r="AW43" s="48">
        <f t="shared" si="384"/>
        <v>5.3014354066985249E-3</v>
      </c>
      <c r="AX43" s="47">
        <f t="shared" si="384"/>
        <v>5.3014354066985613E-3</v>
      </c>
      <c r="AY43" s="48">
        <f t="shared" si="384"/>
        <v>5.3014354066985249E-3</v>
      </c>
      <c r="AZ43" s="47">
        <f t="shared" si="384"/>
        <v>5.3014354066983497E-3</v>
      </c>
      <c r="BA43" s="48">
        <f t="shared" si="384"/>
        <v>5.301435406698315E-3</v>
      </c>
      <c r="BB43" s="47">
        <f t="shared" si="384"/>
        <v>5.3014354066983497E-3</v>
      </c>
      <c r="BC43" s="48">
        <f t="shared" si="384"/>
        <v>5.301435406698315E-3</v>
      </c>
      <c r="BD43" s="47">
        <f t="shared" si="384"/>
        <v>5.3014354066983497E-3</v>
      </c>
      <c r="BE43" s="48">
        <f t="shared" si="384"/>
        <v>5.301435406698315E-3</v>
      </c>
      <c r="BF43" s="47">
        <f t="shared" ref="BF43:BG43" si="385">+BF44/BF32</f>
        <v>0.15593301435406681</v>
      </c>
      <c r="BG43" s="48">
        <f t="shared" si="385"/>
        <v>0.1559330143540667</v>
      </c>
      <c r="BH43" s="47">
        <f t="shared" si="384"/>
        <v>5.3014354066983497E-3</v>
      </c>
      <c r="BI43" s="48">
        <f t="shared" si="384"/>
        <v>5.301435406698315E-3</v>
      </c>
      <c r="BJ43" s="47">
        <f t="shared" ref="BJ43:BM43" si="386">+BJ44/BJ32</f>
        <v>7.5757575757575676E-2</v>
      </c>
      <c r="BK43" s="48">
        <f t="shared" si="386"/>
        <v>7.5757575757575649E-2</v>
      </c>
      <c r="BL43" s="361">
        <f t="shared" si="386"/>
        <v>0.1559377117224878</v>
      </c>
      <c r="BM43" s="362">
        <f t="shared" si="386"/>
        <v>0.15593771172248774</v>
      </c>
      <c r="BN43" s="361">
        <f t="shared" ref="BN43:BO43" si="387">+BN44/BN32</f>
        <v>5.3070722488034235E-3</v>
      </c>
      <c r="BO43" s="362">
        <f t="shared" si="387"/>
        <v>5.3070722488034548E-3</v>
      </c>
      <c r="BP43" s="361">
        <f t="shared" ref="BP43:BQ43" si="388">+BP44/BP32</f>
        <v>0.10271127199413489</v>
      </c>
      <c r="BQ43" s="362">
        <f t="shared" si="388"/>
        <v>0.10271127199413492</v>
      </c>
      <c r="BR43" s="361">
        <f t="shared" si="384"/>
        <v>0.19799715909090898</v>
      </c>
      <c r="BS43" s="362">
        <f t="shared" si="384"/>
        <v>0.19799715909090901</v>
      </c>
      <c r="BT43" s="361">
        <f t="shared" ref="BT43:BU43" si="389">+BT44/BT32</f>
        <v>5.853647360703803E-2</v>
      </c>
      <c r="BU43" s="362">
        <f t="shared" si="389"/>
        <v>5.8536473607038043E-2</v>
      </c>
      <c r="BV43" s="361"/>
      <c r="BW43" s="362"/>
      <c r="BX43" s="63"/>
      <c r="BY43" s="63"/>
      <c r="BZ43" s="63"/>
      <c r="CA43" s="63"/>
      <c r="CB43" s="63"/>
      <c r="CC43" s="63"/>
      <c r="CD43" s="63"/>
      <c r="CE43" s="63"/>
      <c r="CF43" s="63"/>
      <c r="CG43" s="63"/>
    </row>
    <row r="44" spans="1:85" s="4" customFormat="1" ht="18" customHeight="1" outlineLevel="1" x14ac:dyDescent="0.45">
      <c r="A44" s="561" t="s">
        <v>379</v>
      </c>
      <c r="B44" s="1194"/>
      <c r="C44" s="15" t="s">
        <v>48</v>
      </c>
      <c r="D44" s="16"/>
      <c r="E44" s="35"/>
      <c r="F44" s="42">
        <f>+F32-F45-F41</f>
        <v>134.75334669421545</v>
      </c>
      <c r="G44" s="24">
        <f>+G32-G45-G41</f>
        <v>3.3119834710744644E-2</v>
      </c>
      <c r="H44" s="42">
        <f t="shared" ref="H44:BS44" si="390">+H32-H45-H41</f>
        <v>134.75334669421545</v>
      </c>
      <c r="I44" s="24">
        <f t="shared" si="390"/>
        <v>3.3119834710744644E-2</v>
      </c>
      <c r="J44" s="42">
        <f t="shared" si="390"/>
        <v>134.75334669421545</v>
      </c>
      <c r="K44" s="24">
        <f t="shared" si="390"/>
        <v>3.3119834710744644E-2</v>
      </c>
      <c r="L44" s="42">
        <f t="shared" si="390"/>
        <v>134.75334669421545</v>
      </c>
      <c r="M44" s="24">
        <f t="shared" si="390"/>
        <v>3.3119834710744644E-2</v>
      </c>
      <c r="N44" s="42">
        <f t="shared" si="390"/>
        <v>134.75334669421545</v>
      </c>
      <c r="O44" s="24">
        <f t="shared" si="390"/>
        <v>3.3119834710744644E-2</v>
      </c>
      <c r="P44" s="42">
        <f t="shared" si="390"/>
        <v>134.75334669421545</v>
      </c>
      <c r="Q44" s="24">
        <f t="shared" si="390"/>
        <v>3.3119834710744644E-2</v>
      </c>
      <c r="R44" s="42">
        <f t="shared" si="390"/>
        <v>134.75334669421545</v>
      </c>
      <c r="S44" s="24">
        <f t="shared" si="390"/>
        <v>3.3119834710744644E-2</v>
      </c>
      <c r="T44" s="42">
        <f t="shared" si="390"/>
        <v>134.75334669421545</v>
      </c>
      <c r="U44" s="24">
        <f t="shared" si="390"/>
        <v>3.3119834710744644E-2</v>
      </c>
      <c r="V44" s="42">
        <f t="shared" si="390"/>
        <v>134.75334669421545</v>
      </c>
      <c r="W44" s="24">
        <f t="shared" si="390"/>
        <v>3.3119834710744644E-2</v>
      </c>
      <c r="X44" s="42">
        <f t="shared" si="390"/>
        <v>134.75334669421545</v>
      </c>
      <c r="Y44" s="24">
        <f t="shared" si="390"/>
        <v>3.3119834710744644E-2</v>
      </c>
      <c r="Z44" s="42">
        <f t="shared" si="390"/>
        <v>134.75334669421545</v>
      </c>
      <c r="AA44" s="24">
        <f t="shared" si="390"/>
        <v>3.3119834710744644E-2</v>
      </c>
      <c r="AB44" s="42">
        <f t="shared" si="390"/>
        <v>-478.13575142216769</v>
      </c>
      <c r="AC44" s="24">
        <f t="shared" si="390"/>
        <v>-0.11751676262508221</v>
      </c>
      <c r="AD44" s="42">
        <f t="shared" si="390"/>
        <v>134.75334669421545</v>
      </c>
      <c r="AE44" s="24">
        <f t="shared" si="390"/>
        <v>3.3119834710744644E-2</v>
      </c>
      <c r="AF44" s="42">
        <f t="shared" si="390"/>
        <v>134.75334669421545</v>
      </c>
      <c r="AG44" s="24">
        <f t="shared" si="390"/>
        <v>3.3119834710744644E-2</v>
      </c>
      <c r="AH44" s="42">
        <f t="shared" si="390"/>
        <v>134.75334669421545</v>
      </c>
      <c r="AI44" s="24">
        <f t="shared" si="390"/>
        <v>3.3119834710744644E-2</v>
      </c>
      <c r="AJ44" s="42">
        <f t="shared" si="390"/>
        <v>134.75334669421545</v>
      </c>
      <c r="AK44" s="24">
        <f t="shared" si="390"/>
        <v>3.3119834710744644E-2</v>
      </c>
      <c r="AL44" s="42">
        <f t="shared" si="390"/>
        <v>134.75334669421545</v>
      </c>
      <c r="AM44" s="24">
        <f t="shared" si="390"/>
        <v>3.3119834710744644E-2</v>
      </c>
      <c r="AN44" s="42">
        <f t="shared" si="390"/>
        <v>134.75334669421545</v>
      </c>
      <c r="AO44" s="24">
        <f t="shared" si="390"/>
        <v>3.3119834710744644E-2</v>
      </c>
      <c r="AP44" s="42">
        <f t="shared" si="390"/>
        <v>134.75334669421545</v>
      </c>
      <c r="AQ44" s="24">
        <f t="shared" si="390"/>
        <v>3.3119834710744644E-2</v>
      </c>
      <c r="AR44" s="42">
        <f t="shared" si="390"/>
        <v>134.75334669421545</v>
      </c>
      <c r="AS44" s="24">
        <f t="shared" si="390"/>
        <v>3.3119834710744644E-2</v>
      </c>
      <c r="AT44" s="42">
        <f t="shared" si="390"/>
        <v>85.380213636363578</v>
      </c>
      <c r="AU44" s="24">
        <f t="shared" si="390"/>
        <v>2.0984848484848329E-2</v>
      </c>
      <c r="AV44" s="42">
        <f t="shared" si="390"/>
        <v>85.380213636363578</v>
      </c>
      <c r="AW44" s="24">
        <f t="shared" si="390"/>
        <v>2.0984848484848329E-2</v>
      </c>
      <c r="AX44" s="42">
        <f t="shared" si="390"/>
        <v>85.380213636363578</v>
      </c>
      <c r="AY44" s="24">
        <f t="shared" si="390"/>
        <v>2.0984848484848329E-2</v>
      </c>
      <c r="AZ44" s="42">
        <f t="shared" si="390"/>
        <v>85.380213636360168</v>
      </c>
      <c r="BA44" s="24">
        <f t="shared" si="390"/>
        <v>2.0984848484847496E-2</v>
      </c>
      <c r="BB44" s="42">
        <f t="shared" si="390"/>
        <v>85.380213636360168</v>
      </c>
      <c r="BC44" s="24">
        <f t="shared" si="390"/>
        <v>2.0984848484847496E-2</v>
      </c>
      <c r="BD44" s="42">
        <f t="shared" si="390"/>
        <v>85.380213636360168</v>
      </c>
      <c r="BE44" s="24">
        <f t="shared" si="390"/>
        <v>2.0984848484847496E-2</v>
      </c>
      <c r="BF44" s="42">
        <f t="shared" ref="BF44:BG44" si="391">+BF32-BF45-BF41</f>
        <v>3013.5824863636326</v>
      </c>
      <c r="BG44" s="24">
        <f t="shared" si="391"/>
        <v>0.74068181818181678</v>
      </c>
      <c r="BH44" s="42">
        <f t="shared" si="390"/>
        <v>85.380213636360168</v>
      </c>
      <c r="BI44" s="24">
        <f t="shared" si="390"/>
        <v>2.0984848484847496E-2</v>
      </c>
      <c r="BJ44" s="42">
        <f t="shared" ref="BJ44:BM44" si="392">+BJ32-BJ45-BJ41</f>
        <v>1109.6345454545442</v>
      </c>
      <c r="BK44" s="24">
        <f t="shared" si="392"/>
        <v>0.27272727272727232</v>
      </c>
      <c r="BL44" s="42">
        <f t="shared" si="392"/>
        <v>3013.6732683398814</v>
      </c>
      <c r="BM44" s="24">
        <f t="shared" si="392"/>
        <v>0.74070413068181673</v>
      </c>
      <c r="BN44" s="42">
        <f t="shared" ref="BN44:BO44" si="393">+BN32-BN45-BN41</f>
        <v>85.470995612607112</v>
      </c>
      <c r="BO44" s="24">
        <f t="shared" si="393"/>
        <v>2.1007160984847006E-2</v>
      </c>
      <c r="BP44" s="42">
        <f t="shared" ref="BP44:BQ44" si="394">+BP32-BP45-BP41</f>
        <v>1554.5777473513635</v>
      </c>
      <c r="BQ44" s="24">
        <f t="shared" si="394"/>
        <v>0.3820859318181819</v>
      </c>
      <c r="BR44" s="42">
        <f t="shared" si="390"/>
        <v>4833.4987278409062</v>
      </c>
      <c r="BS44" s="24">
        <f t="shared" si="390"/>
        <v>1.1879829545454541</v>
      </c>
      <c r="BT44" s="42">
        <f t="shared" ref="BT44:BU44" si="395">+BT32-BT45-BT41</f>
        <v>885.97383238636212</v>
      </c>
      <c r="BU44" s="24">
        <f t="shared" si="395"/>
        <v>0.2177556818181815</v>
      </c>
      <c r="BV44" s="42"/>
      <c r="BW44" s="24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</row>
    <row r="45" spans="1:85" s="4" customFormat="1" ht="18" customHeight="1" outlineLevel="1" x14ac:dyDescent="0.45">
      <c r="A45" s="561"/>
      <c r="B45" s="1194"/>
      <c r="C45" s="19" t="s">
        <v>49</v>
      </c>
      <c r="D45" s="20"/>
      <c r="E45" s="30"/>
      <c r="F45" s="66">
        <f>+G49*F12</f>
        <v>17268.410204999996</v>
      </c>
      <c r="G45" s="32">
        <f>+G49</f>
        <v>4.2442499999999992</v>
      </c>
      <c r="H45" s="66">
        <f t="shared" ref="H45" si="396">+I49*H12</f>
        <v>17268.410204999996</v>
      </c>
      <c r="I45" s="32">
        <f t="shared" ref="I45" si="397">+I49</f>
        <v>4.2442499999999992</v>
      </c>
      <c r="J45" s="66">
        <f t="shared" ref="J45" si="398">+K49*J12</f>
        <v>17268.410204999996</v>
      </c>
      <c r="K45" s="32">
        <f t="shared" ref="K45" si="399">+K49</f>
        <v>4.2442499999999992</v>
      </c>
      <c r="L45" s="66">
        <f t="shared" ref="L45" si="400">+M49*L12</f>
        <v>17268.410204999996</v>
      </c>
      <c r="M45" s="32">
        <f t="shared" ref="M45" si="401">+M49</f>
        <v>4.2442499999999992</v>
      </c>
      <c r="N45" s="66">
        <f t="shared" ref="N45" si="402">+O49*N12</f>
        <v>17268.410204999996</v>
      </c>
      <c r="O45" s="32">
        <f t="shared" ref="O45" si="403">+O49</f>
        <v>4.2442499999999992</v>
      </c>
      <c r="P45" s="66">
        <f t="shared" ref="P45" si="404">+Q49*P12</f>
        <v>17268.410204999996</v>
      </c>
      <c r="Q45" s="32">
        <f t="shared" ref="Q45" si="405">+Q49</f>
        <v>4.2442499999999992</v>
      </c>
      <c r="R45" s="66">
        <f t="shared" ref="R45" si="406">+S49*R12</f>
        <v>17268.410204999996</v>
      </c>
      <c r="S45" s="32">
        <f t="shared" ref="S45" si="407">+S49</f>
        <v>4.2442499999999992</v>
      </c>
      <c r="T45" s="66">
        <f t="shared" ref="T45" si="408">+U49*T12</f>
        <v>17268.410204999996</v>
      </c>
      <c r="U45" s="32">
        <f t="shared" ref="U45" si="409">+U49</f>
        <v>4.2442499999999992</v>
      </c>
      <c r="V45" s="66">
        <f t="shared" ref="V45" si="410">+W49*V12</f>
        <v>17268.410204999996</v>
      </c>
      <c r="W45" s="32">
        <f t="shared" ref="W45" si="411">+W49</f>
        <v>4.2442499999999992</v>
      </c>
      <c r="X45" s="66">
        <f t="shared" ref="X45" si="412">+Y49*X12</f>
        <v>17268.410204999996</v>
      </c>
      <c r="Y45" s="32">
        <f t="shared" ref="Y45" si="413">+Y49</f>
        <v>4.2442499999999992</v>
      </c>
      <c r="Z45" s="66">
        <f t="shared" ref="Z45" si="414">+AA49*Z12</f>
        <v>17268.410204999996</v>
      </c>
      <c r="AA45" s="32">
        <f t="shared" ref="AA45" si="415">+AA49</f>
        <v>4.2442499999999992</v>
      </c>
      <c r="AB45" s="66">
        <f t="shared" ref="AB45" si="416">+AC49*AB12</f>
        <v>17942.588212928018</v>
      </c>
      <c r="AC45" s="32">
        <f t="shared" ref="AC45:AI45" si="417">+AC49</f>
        <v>4.4099502570694087</v>
      </c>
      <c r="AD45" s="66">
        <f t="shared" ref="AD45" si="418">+AE49*AD12</f>
        <v>17268.410204999996</v>
      </c>
      <c r="AE45" s="32">
        <f t="shared" si="417"/>
        <v>4.2442499999999992</v>
      </c>
      <c r="AF45" s="66">
        <f t="shared" ref="AF45" si="419">+AG49*AF12</f>
        <v>17268.410204999996</v>
      </c>
      <c r="AG45" s="32">
        <f t="shared" si="417"/>
        <v>4.2442499999999992</v>
      </c>
      <c r="AH45" s="66">
        <f t="shared" ref="AH45" si="420">+AI49*AH12</f>
        <v>17268.410204999996</v>
      </c>
      <c r="AI45" s="32">
        <f t="shared" si="417"/>
        <v>4.2442499999999992</v>
      </c>
      <c r="AJ45" s="66">
        <f t="shared" ref="AJ45" si="421">+AK49*AJ12</f>
        <v>17268.410204999996</v>
      </c>
      <c r="AK45" s="32">
        <f t="shared" ref="AK45" si="422">+AK49</f>
        <v>4.2442499999999992</v>
      </c>
      <c r="AL45" s="66">
        <f t="shared" ref="AL45" si="423">+AM49*AL12</f>
        <v>17268.410204999996</v>
      </c>
      <c r="AM45" s="32">
        <f t="shared" ref="AM45" si="424">+AM49</f>
        <v>4.2442499999999992</v>
      </c>
      <c r="AN45" s="66">
        <f t="shared" ref="AN45" si="425">+AO49*AN12</f>
        <v>17268.410204999996</v>
      </c>
      <c r="AO45" s="32">
        <f t="shared" ref="AO45:AQ45" si="426">+AO49</f>
        <v>4.2442499999999992</v>
      </c>
      <c r="AP45" s="66">
        <f t="shared" ref="AP45" si="427">+AQ49*AP12</f>
        <v>17268.410204999996</v>
      </c>
      <c r="AQ45" s="32">
        <f t="shared" si="426"/>
        <v>4.2442499999999992</v>
      </c>
      <c r="AR45" s="66">
        <f t="shared" ref="AR45" si="428">+AS49*AR12</f>
        <v>17268.410204999996</v>
      </c>
      <c r="AS45" s="32">
        <f t="shared" ref="AS45:AU45" si="429">+AS49</f>
        <v>4.2442499999999992</v>
      </c>
      <c r="AT45" s="66">
        <f t="shared" ref="AT45" si="430">+AU49*AT12</f>
        <v>15858.619514999999</v>
      </c>
      <c r="AU45" s="32">
        <f t="shared" si="429"/>
        <v>3.8977499999999998</v>
      </c>
      <c r="AV45" s="66">
        <f t="shared" ref="AV45" si="431">+AW49*AV12</f>
        <v>15858.619514999999</v>
      </c>
      <c r="AW45" s="32">
        <f t="shared" ref="AW45" si="432">+AW49</f>
        <v>3.8977499999999998</v>
      </c>
      <c r="AX45" s="66">
        <f t="shared" ref="AX45" si="433">+AY49*AX12</f>
        <v>15858.619514999999</v>
      </c>
      <c r="AY45" s="32">
        <f t="shared" ref="AY45" si="434">+AY49</f>
        <v>3.8977499999999998</v>
      </c>
      <c r="AZ45" s="66">
        <f t="shared" ref="AZ45" si="435">+BA49*AZ12</f>
        <v>15858.619515000002</v>
      </c>
      <c r="BA45" s="32">
        <f t="shared" ref="BA45:BC45" si="436">+BA49</f>
        <v>3.8977500000000007</v>
      </c>
      <c r="BB45" s="66">
        <f t="shared" ref="BB45" si="437">+BC49*BB12</f>
        <v>15858.619515000002</v>
      </c>
      <c r="BC45" s="32">
        <f t="shared" si="436"/>
        <v>3.8977500000000007</v>
      </c>
      <c r="BD45" s="66">
        <f t="shared" ref="BD45" si="438">+BE49*BD12</f>
        <v>15858.619515000002</v>
      </c>
      <c r="BE45" s="32">
        <f t="shared" ref="BE45:BI45" si="439">+BE49</f>
        <v>3.8977500000000007</v>
      </c>
      <c r="BF45" s="66">
        <f t="shared" ref="BF45" si="440">+BG49*BF12</f>
        <v>15858.619515000002</v>
      </c>
      <c r="BG45" s="32">
        <f t="shared" ref="BG45" si="441">+BG49</f>
        <v>3.8977500000000007</v>
      </c>
      <c r="BH45" s="66">
        <f t="shared" ref="BH45" si="442">+BI49*BH12</f>
        <v>15858.619515000002</v>
      </c>
      <c r="BI45" s="32">
        <f t="shared" si="439"/>
        <v>3.8977500000000007</v>
      </c>
      <c r="BJ45" s="66">
        <f t="shared" ref="BJ45" si="443">+BK49*BJ12</f>
        <v>13274.00325</v>
      </c>
      <c r="BK45" s="32">
        <f t="shared" ref="BK45" si="444">+BK49</f>
        <v>3.2625000000000002</v>
      </c>
      <c r="BL45" s="66">
        <f>+BM49*BL12</f>
        <v>15858.519654826128</v>
      </c>
      <c r="BM45" s="32">
        <f>+BM49</f>
        <v>3.8977254562500008</v>
      </c>
      <c r="BN45" s="66">
        <f>+BO49*BN12</f>
        <v>15858.519654826128</v>
      </c>
      <c r="BO45" s="32">
        <f>+BO49</f>
        <v>3.8977254562500008</v>
      </c>
      <c r="BP45" s="66">
        <f>+BQ49*BP12</f>
        <v>13272.804927913499</v>
      </c>
      <c r="BQ45" s="32">
        <f>+BQ49</f>
        <v>3.262205475</v>
      </c>
      <c r="BR45" s="66">
        <f t="shared" ref="BR45" si="445">+BS49*BR12</f>
        <v>18942.536649375001</v>
      </c>
      <c r="BS45" s="32">
        <f t="shared" ref="BS45:BU45" si="446">+BS49</f>
        <v>4.6557187500000001</v>
      </c>
      <c r="BT45" s="66">
        <f t="shared" ref="BT45" si="447">+BU49*BT12</f>
        <v>14008.269234374999</v>
      </c>
      <c r="BU45" s="32">
        <f t="shared" si="446"/>
        <v>3.4429687499999999</v>
      </c>
      <c r="BV45" s="66"/>
      <c r="BW45" s="32"/>
      <c r="BX45" s="271"/>
      <c r="BY45" s="271"/>
      <c r="BZ45" s="271"/>
      <c r="CA45" s="271"/>
      <c r="CB45" s="271"/>
      <c r="CC45" s="271"/>
      <c r="CD45" s="271"/>
      <c r="CE45" s="271"/>
      <c r="CF45" s="271"/>
      <c r="CG45" s="271"/>
    </row>
    <row r="46" spans="1:85" s="4" customFormat="1" ht="18" customHeight="1" outlineLevel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27">
        <v>0</v>
      </c>
      <c r="O46" s="41"/>
      <c r="P46" s="27">
        <v>0</v>
      </c>
      <c r="Q46" s="41"/>
      <c r="R46" s="27">
        <v>0</v>
      </c>
      <c r="S46" s="41"/>
      <c r="T46" s="27">
        <v>0</v>
      </c>
      <c r="U46" s="41"/>
      <c r="V46" s="27">
        <v>0</v>
      </c>
      <c r="W46" s="41"/>
      <c r="X46" s="27">
        <v>0</v>
      </c>
      <c r="Y46" s="41"/>
      <c r="Z46" s="27">
        <v>0</v>
      </c>
      <c r="AA46" s="41"/>
      <c r="AB46" s="27">
        <v>0</v>
      </c>
      <c r="AC46" s="41"/>
      <c r="AD46" s="27">
        <v>0</v>
      </c>
      <c r="AE46" s="41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27">
        <v>0</v>
      </c>
      <c r="AO46" s="41"/>
      <c r="AP46" s="27">
        <v>0</v>
      </c>
      <c r="AQ46" s="41"/>
      <c r="AR46" s="27">
        <v>0</v>
      </c>
      <c r="AS46" s="41"/>
      <c r="AT46" s="27">
        <v>0</v>
      </c>
      <c r="AU46" s="41"/>
      <c r="AV46" s="27">
        <v>0</v>
      </c>
      <c r="AW46" s="41"/>
      <c r="AX46" s="27">
        <v>0</v>
      </c>
      <c r="AY46" s="41"/>
      <c r="AZ46" s="27">
        <v>0</v>
      </c>
      <c r="BA46" s="41"/>
      <c r="BB46" s="27">
        <v>0</v>
      </c>
      <c r="BC46" s="41"/>
      <c r="BD46" s="27">
        <v>0</v>
      </c>
      <c r="BE46" s="41"/>
      <c r="BF46" s="27">
        <v>0</v>
      </c>
      <c r="BG46" s="41"/>
      <c r="BH46" s="27">
        <v>0</v>
      </c>
      <c r="BI46" s="41"/>
      <c r="BJ46" s="27">
        <v>0</v>
      </c>
      <c r="BK46" s="41"/>
      <c r="BL46" s="352">
        <v>0</v>
      </c>
      <c r="BM46" s="358"/>
      <c r="BN46" s="352">
        <v>0</v>
      </c>
      <c r="BO46" s="358"/>
      <c r="BP46" s="352">
        <v>0</v>
      </c>
      <c r="BQ46" s="358"/>
      <c r="BR46" s="352">
        <v>0</v>
      </c>
      <c r="BS46" s="358"/>
      <c r="BT46" s="352">
        <v>0</v>
      </c>
      <c r="BU46" s="358"/>
      <c r="BV46" s="352"/>
      <c r="BW46" s="358"/>
      <c r="BX46" s="270"/>
      <c r="BY46" s="270"/>
      <c r="BZ46" s="270"/>
      <c r="CA46" s="270"/>
      <c r="CB46" s="270"/>
      <c r="CC46" s="270"/>
      <c r="CD46" s="270"/>
      <c r="CE46" s="270"/>
      <c r="CF46" s="270"/>
      <c r="CG46" s="270"/>
    </row>
    <row r="47" spans="1:85" s="4" customFormat="1" ht="18" customHeight="1" outlineLevel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60"/>
      <c r="O47" s="68"/>
      <c r="P47" s="60"/>
      <c r="Q47" s="68"/>
      <c r="R47" s="60"/>
      <c r="S47" s="68"/>
      <c r="T47" s="60"/>
      <c r="U47" s="68"/>
      <c r="V47" s="60"/>
      <c r="W47" s="68"/>
      <c r="X47" s="60"/>
      <c r="Y47" s="68"/>
      <c r="Z47" s="60"/>
      <c r="AA47" s="68"/>
      <c r="AB47" s="60"/>
      <c r="AC47" s="68"/>
      <c r="AD47" s="60"/>
      <c r="AE47" s="68"/>
      <c r="AF47" s="60"/>
      <c r="AG47" s="68"/>
      <c r="AH47" s="60"/>
      <c r="AI47" s="68"/>
      <c r="AJ47" s="60"/>
      <c r="AK47" s="68"/>
      <c r="AL47" s="60"/>
      <c r="AM47" s="68"/>
      <c r="AN47" s="60"/>
      <c r="AO47" s="68"/>
      <c r="AP47" s="60"/>
      <c r="AQ47" s="68"/>
      <c r="AR47" s="60"/>
      <c r="AS47" s="68"/>
      <c r="AT47" s="60"/>
      <c r="AU47" s="68"/>
      <c r="AV47" s="60"/>
      <c r="AW47" s="68"/>
      <c r="AX47" s="60"/>
      <c r="AY47" s="68"/>
      <c r="AZ47" s="60"/>
      <c r="BA47" s="68"/>
      <c r="BB47" s="60"/>
      <c r="BC47" s="68"/>
      <c r="BD47" s="60"/>
      <c r="BE47" s="68"/>
      <c r="BF47" s="60"/>
      <c r="BG47" s="68"/>
      <c r="BH47" s="60"/>
      <c r="BI47" s="68"/>
      <c r="BJ47" s="60"/>
      <c r="BK47" s="68"/>
      <c r="BL47" s="364"/>
      <c r="BM47" s="366"/>
      <c r="BN47" s="364"/>
      <c r="BO47" s="366"/>
      <c r="BP47" s="364"/>
      <c r="BQ47" s="366"/>
      <c r="BR47" s="364"/>
      <c r="BS47" s="366"/>
      <c r="BT47" s="364"/>
      <c r="BU47" s="366"/>
      <c r="BV47" s="364"/>
      <c r="BW47" s="366"/>
      <c r="BX47" s="270"/>
      <c r="BY47" s="270"/>
      <c r="BZ47" s="270"/>
      <c r="CA47" s="270"/>
      <c r="CB47" s="270"/>
      <c r="CC47" s="270"/>
      <c r="CD47" s="270"/>
      <c r="CE47" s="270"/>
      <c r="CF47" s="270"/>
      <c r="CG47" s="270"/>
    </row>
    <row r="48" spans="1:85" s="4" customFormat="1" ht="18" customHeight="1" outlineLevel="1" x14ac:dyDescent="0.45">
      <c r="A48" s="561"/>
      <c r="B48" s="1184"/>
      <c r="C48" s="19" t="s">
        <v>52</v>
      </c>
      <c r="D48" s="20"/>
      <c r="E48" s="30" t="s">
        <v>53</v>
      </c>
      <c r="F48" s="69">
        <f>+F49/F10</f>
        <v>1439.0341837499998</v>
      </c>
      <c r="G48" s="70">
        <f>+G49/G10</f>
        <v>0.35368749999999993</v>
      </c>
      <c r="H48" s="69">
        <f t="shared" ref="H48:BS48" si="448">+H49/H10</f>
        <v>1439.0341837499998</v>
      </c>
      <c r="I48" s="70">
        <f t="shared" si="448"/>
        <v>0.35368749999999993</v>
      </c>
      <c r="J48" s="69">
        <f t="shared" si="448"/>
        <v>1439.0341837499998</v>
      </c>
      <c r="K48" s="70">
        <f t="shared" si="448"/>
        <v>0.35368749999999993</v>
      </c>
      <c r="L48" s="69">
        <f t="shared" si="448"/>
        <v>1439.0341837499998</v>
      </c>
      <c r="M48" s="70">
        <f t="shared" si="448"/>
        <v>0.35368749999999993</v>
      </c>
      <c r="N48" s="69">
        <f t="shared" si="448"/>
        <v>1439.0341837499998</v>
      </c>
      <c r="O48" s="70">
        <f t="shared" si="448"/>
        <v>0.35368749999999993</v>
      </c>
      <c r="P48" s="69">
        <f t="shared" si="448"/>
        <v>1439.0341837499998</v>
      </c>
      <c r="Q48" s="70">
        <f t="shared" si="448"/>
        <v>0.35368749999999993</v>
      </c>
      <c r="R48" s="69">
        <f t="shared" si="448"/>
        <v>1439.0341837499998</v>
      </c>
      <c r="S48" s="70">
        <f t="shared" si="448"/>
        <v>0.35368749999999993</v>
      </c>
      <c r="T48" s="69">
        <f t="shared" si="448"/>
        <v>1439.0341837499998</v>
      </c>
      <c r="U48" s="70">
        <f t="shared" si="448"/>
        <v>0.35368749999999993</v>
      </c>
      <c r="V48" s="69">
        <f t="shared" si="448"/>
        <v>1439.0341837499998</v>
      </c>
      <c r="W48" s="70">
        <f t="shared" si="448"/>
        <v>0.35368749999999993</v>
      </c>
      <c r="X48" s="69">
        <f t="shared" si="448"/>
        <v>1439.0341837499998</v>
      </c>
      <c r="Y48" s="70">
        <f t="shared" si="448"/>
        <v>0.35368749999999993</v>
      </c>
      <c r="Z48" s="69">
        <f t="shared" si="448"/>
        <v>1439.0341837499998</v>
      </c>
      <c r="AA48" s="70">
        <f t="shared" si="448"/>
        <v>0.35368749999999993</v>
      </c>
      <c r="AB48" s="69">
        <f t="shared" si="448"/>
        <v>1495.2156844106682</v>
      </c>
      <c r="AC48" s="70">
        <f t="shared" si="448"/>
        <v>0.36749585475578406</v>
      </c>
      <c r="AD48" s="69">
        <f t="shared" si="448"/>
        <v>1439.0341837499998</v>
      </c>
      <c r="AE48" s="70">
        <f t="shared" si="448"/>
        <v>0.35368749999999993</v>
      </c>
      <c r="AF48" s="69">
        <f t="shared" si="448"/>
        <v>1439.0341837499998</v>
      </c>
      <c r="AG48" s="70">
        <f t="shared" si="448"/>
        <v>0.35368749999999993</v>
      </c>
      <c r="AH48" s="69">
        <f t="shared" si="448"/>
        <v>1439.0341837499998</v>
      </c>
      <c r="AI48" s="70">
        <f t="shared" si="448"/>
        <v>0.35368749999999993</v>
      </c>
      <c r="AJ48" s="69">
        <f t="shared" si="448"/>
        <v>1439.0341837499998</v>
      </c>
      <c r="AK48" s="70">
        <f t="shared" si="448"/>
        <v>0.35368749999999993</v>
      </c>
      <c r="AL48" s="69">
        <f t="shared" si="448"/>
        <v>1439.0341837499998</v>
      </c>
      <c r="AM48" s="70">
        <f t="shared" si="448"/>
        <v>0.35368749999999993</v>
      </c>
      <c r="AN48" s="69">
        <f t="shared" si="448"/>
        <v>1439.0341837499998</v>
      </c>
      <c r="AO48" s="70">
        <f t="shared" si="448"/>
        <v>0.35368749999999993</v>
      </c>
      <c r="AP48" s="69">
        <f t="shared" si="448"/>
        <v>1439.0341837499998</v>
      </c>
      <c r="AQ48" s="70">
        <f t="shared" si="448"/>
        <v>0.35368749999999993</v>
      </c>
      <c r="AR48" s="69">
        <f t="shared" si="448"/>
        <v>1439.0341837499998</v>
      </c>
      <c r="AS48" s="70">
        <f t="shared" si="448"/>
        <v>0.35368749999999993</v>
      </c>
      <c r="AT48" s="69">
        <f t="shared" si="448"/>
        <v>1321.5516262499998</v>
      </c>
      <c r="AU48" s="70">
        <f t="shared" si="448"/>
        <v>0.3248125</v>
      </c>
      <c r="AV48" s="69">
        <f t="shared" si="448"/>
        <v>1321.5516262499998</v>
      </c>
      <c r="AW48" s="70">
        <f t="shared" si="448"/>
        <v>0.3248125</v>
      </c>
      <c r="AX48" s="69">
        <f t="shared" si="448"/>
        <v>1321.5516262499998</v>
      </c>
      <c r="AY48" s="70">
        <f t="shared" si="448"/>
        <v>0.3248125</v>
      </c>
      <c r="AZ48" s="69">
        <f t="shared" si="448"/>
        <v>1321.5516262500003</v>
      </c>
      <c r="BA48" s="70">
        <f t="shared" si="448"/>
        <v>0.32481250000000006</v>
      </c>
      <c r="BB48" s="69">
        <f t="shared" si="448"/>
        <v>1321.5516262500003</v>
      </c>
      <c r="BC48" s="70">
        <f t="shared" si="448"/>
        <v>0.32481250000000006</v>
      </c>
      <c r="BD48" s="69">
        <f t="shared" si="448"/>
        <v>1321.5516262500003</v>
      </c>
      <c r="BE48" s="70">
        <f t="shared" si="448"/>
        <v>0.32481250000000006</v>
      </c>
      <c r="BF48" s="69">
        <f t="shared" ref="BF48:BG48" si="449">+BF49/BF10</f>
        <v>1321.5516262500003</v>
      </c>
      <c r="BG48" s="70">
        <f t="shared" si="449"/>
        <v>0.32481250000000006</v>
      </c>
      <c r="BH48" s="69">
        <f t="shared" si="448"/>
        <v>1321.5516262500003</v>
      </c>
      <c r="BI48" s="70">
        <f t="shared" si="448"/>
        <v>0.32481250000000006</v>
      </c>
      <c r="BJ48" s="69">
        <f t="shared" ref="BJ48:BM48" si="450">+BJ49/BJ10</f>
        <v>1106.1669374999999</v>
      </c>
      <c r="BK48" s="70">
        <f t="shared" si="450"/>
        <v>0.27187500000000003</v>
      </c>
      <c r="BL48" s="69">
        <f t="shared" si="450"/>
        <v>1321.543304568844</v>
      </c>
      <c r="BM48" s="70">
        <f t="shared" si="450"/>
        <v>0.32481045468750008</v>
      </c>
      <c r="BN48" s="69">
        <f t="shared" ref="BN48:BO48" si="451">+BN49/BN10</f>
        <v>1321.543304568844</v>
      </c>
      <c r="BO48" s="70">
        <f t="shared" si="451"/>
        <v>0.32481045468750008</v>
      </c>
      <c r="BP48" s="69">
        <f t="shared" ref="BP48:BQ48" si="452">+BP49/BP10</f>
        <v>1106.0670773261249</v>
      </c>
      <c r="BQ48" s="70">
        <f t="shared" si="452"/>
        <v>0.27185045624999998</v>
      </c>
      <c r="BR48" s="69">
        <f t="shared" si="448"/>
        <v>1578.5447207812501</v>
      </c>
      <c r="BS48" s="70">
        <f t="shared" si="448"/>
        <v>0.38797656250000001</v>
      </c>
      <c r="BT48" s="69">
        <f t="shared" ref="BT48:BU48" si="453">+BT49/BT10</f>
        <v>1167.35576953125</v>
      </c>
      <c r="BU48" s="70">
        <f t="shared" si="453"/>
        <v>0.28691406250000001</v>
      </c>
      <c r="BV48" s="69"/>
      <c r="BW48" s="70"/>
      <c r="BX48" s="271"/>
      <c r="BY48" s="271"/>
      <c r="BZ48" s="271"/>
      <c r="CA48" s="271"/>
      <c r="CB48" s="271"/>
      <c r="CC48" s="271"/>
      <c r="CD48" s="271"/>
      <c r="CE48" s="271"/>
      <c r="CF48" s="271"/>
      <c r="CG48" s="271"/>
    </row>
    <row r="49" spans="1:88" s="4" customFormat="1" ht="18" customHeight="1" outlineLevel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17268.410204999996</v>
      </c>
      <c r="G49" s="70">
        <f>+G50+G52+G56+G54</f>
        <v>4.2442499999999992</v>
      </c>
      <c r="H49" s="69">
        <f t="shared" ref="H49" si="454">+I49*H12</f>
        <v>17268.410204999996</v>
      </c>
      <c r="I49" s="70">
        <f t="shared" ref="I49" si="455">+I50+I52+I56+I54</f>
        <v>4.2442499999999992</v>
      </c>
      <c r="J49" s="69">
        <f t="shared" ref="J49" si="456">+K49*J12</f>
        <v>17268.410204999996</v>
      </c>
      <c r="K49" s="70">
        <f t="shared" ref="K49" si="457">+K50+K52+K56+K54</f>
        <v>4.2442499999999992</v>
      </c>
      <c r="L49" s="69">
        <f t="shared" ref="L49" si="458">+M49*L12</f>
        <v>17268.410204999996</v>
      </c>
      <c r="M49" s="70">
        <f t="shared" ref="M49" si="459">+M50+M52+M56+M54</f>
        <v>4.2442499999999992</v>
      </c>
      <c r="N49" s="69">
        <f t="shared" ref="N49" si="460">+O49*N12</f>
        <v>17268.410204999996</v>
      </c>
      <c r="O49" s="70">
        <f t="shared" ref="O49" si="461">+O50+O52+O56+O54</f>
        <v>4.2442499999999992</v>
      </c>
      <c r="P49" s="69">
        <f t="shared" ref="P49" si="462">+Q49*P12</f>
        <v>17268.410204999996</v>
      </c>
      <c r="Q49" s="70">
        <f t="shared" ref="Q49" si="463">+Q50+Q52+Q56+Q54</f>
        <v>4.2442499999999992</v>
      </c>
      <c r="R49" s="69">
        <f t="shared" ref="R49" si="464">+S49*R12</f>
        <v>17268.410204999996</v>
      </c>
      <c r="S49" s="70">
        <f t="shared" ref="S49" si="465">+S50+S52+S56+S54</f>
        <v>4.2442499999999992</v>
      </c>
      <c r="T49" s="69">
        <f t="shared" ref="T49" si="466">+U49*T12</f>
        <v>17268.410204999996</v>
      </c>
      <c r="U49" s="70">
        <f t="shared" ref="U49" si="467">+U50+U52+U56+U54</f>
        <v>4.2442499999999992</v>
      </c>
      <c r="V49" s="69">
        <f t="shared" ref="V49" si="468">+W49*V12</f>
        <v>17268.410204999996</v>
      </c>
      <c r="W49" s="70">
        <f t="shared" ref="W49" si="469">+W50+W52+W56+W54</f>
        <v>4.2442499999999992</v>
      </c>
      <c r="X49" s="69">
        <f t="shared" ref="X49" si="470">+Y49*X12</f>
        <v>17268.410204999996</v>
      </c>
      <c r="Y49" s="70">
        <f t="shared" ref="Y49" si="471">+Y50+Y52+Y56+Y54</f>
        <v>4.2442499999999992</v>
      </c>
      <c r="Z49" s="69">
        <f t="shared" ref="Z49" si="472">+AA49*Z12</f>
        <v>17268.410204999996</v>
      </c>
      <c r="AA49" s="70">
        <f t="shared" ref="AA49" si="473">+AA50+AA52+AA56+AA54</f>
        <v>4.2442499999999992</v>
      </c>
      <c r="AB49" s="69">
        <f t="shared" ref="AB49" si="474">+AC49*AB12</f>
        <v>17942.588212928018</v>
      </c>
      <c r="AC49" s="70">
        <f t="shared" ref="AC49" si="475">+AC50+AC52+AC56+AC54</f>
        <v>4.4099502570694087</v>
      </c>
      <c r="AD49" s="69">
        <f t="shared" ref="AD49" si="476">+AE49*AD12</f>
        <v>17268.410204999996</v>
      </c>
      <c r="AE49" s="70">
        <f t="shared" ref="AE49" si="477">+AE50+AE52+AE56+AE54</f>
        <v>4.2442499999999992</v>
      </c>
      <c r="AF49" s="69">
        <f t="shared" ref="AF49" si="478">+AG49*AF12</f>
        <v>17268.410204999996</v>
      </c>
      <c r="AG49" s="70">
        <f t="shared" ref="AG49" si="479">+AG50+AG52+AG56+AG54</f>
        <v>4.2442499999999992</v>
      </c>
      <c r="AH49" s="69">
        <f t="shared" ref="AH49" si="480">+AI49*AH12</f>
        <v>17268.410204999996</v>
      </c>
      <c r="AI49" s="70">
        <f t="shared" ref="AI49" si="481">+AI50+AI52+AI56+AI54</f>
        <v>4.2442499999999992</v>
      </c>
      <c r="AJ49" s="69">
        <f t="shared" ref="AJ49" si="482">+AK49*AJ12</f>
        <v>17268.410204999996</v>
      </c>
      <c r="AK49" s="70">
        <f t="shared" ref="AK49" si="483">+AK50+AK52+AK56+AK54</f>
        <v>4.2442499999999992</v>
      </c>
      <c r="AL49" s="69">
        <f t="shared" ref="AL49" si="484">+AM49*AL12</f>
        <v>17268.410204999996</v>
      </c>
      <c r="AM49" s="70">
        <f t="shared" ref="AM49" si="485">+AM50+AM52+AM56+AM54</f>
        <v>4.2442499999999992</v>
      </c>
      <c r="AN49" s="69">
        <f t="shared" ref="AN49" si="486">+AO49*AN12</f>
        <v>17268.410204999996</v>
      </c>
      <c r="AO49" s="70">
        <f t="shared" ref="AO49:AQ49" si="487">+AO50+AO52+AO56+AO54</f>
        <v>4.2442499999999992</v>
      </c>
      <c r="AP49" s="69">
        <f t="shared" ref="AP49" si="488">+AQ49*AP12</f>
        <v>17268.410204999996</v>
      </c>
      <c r="AQ49" s="70">
        <f t="shared" si="487"/>
        <v>4.2442499999999992</v>
      </c>
      <c r="AR49" s="69">
        <f t="shared" ref="AR49" si="489">+AS49*AR12</f>
        <v>17268.410204999996</v>
      </c>
      <c r="AS49" s="70">
        <f t="shared" ref="AS49:AU49" si="490">+AS50+AS52+AS56+AS54</f>
        <v>4.2442499999999992</v>
      </c>
      <c r="AT49" s="69">
        <f t="shared" ref="AT49" si="491">+AU49*AT12</f>
        <v>15858.619514999999</v>
      </c>
      <c r="AU49" s="70">
        <f t="shared" si="490"/>
        <v>3.8977499999999998</v>
      </c>
      <c r="AV49" s="69">
        <f t="shared" ref="AV49" si="492">+AW49*AV12</f>
        <v>15858.619514999999</v>
      </c>
      <c r="AW49" s="70">
        <f t="shared" ref="AW49" si="493">+AW50+AW52+AW56+AW54</f>
        <v>3.8977499999999998</v>
      </c>
      <c r="AX49" s="69">
        <f t="shared" ref="AX49" si="494">+AY49*AX12</f>
        <v>15858.619514999999</v>
      </c>
      <c r="AY49" s="70">
        <f t="shared" ref="AY49" si="495">+AY50+AY52+AY56+AY54</f>
        <v>3.8977499999999998</v>
      </c>
      <c r="AZ49" s="69">
        <f t="shared" ref="AZ49" si="496">+BA49*AZ12</f>
        <v>15858.619515000002</v>
      </c>
      <c r="BA49" s="70">
        <f t="shared" ref="BA49:BC49" si="497">+BA50+BA52+BA56+BA54</f>
        <v>3.8977500000000007</v>
      </c>
      <c r="BB49" s="69">
        <f t="shared" ref="BB49" si="498">+BC49*BB12</f>
        <v>15858.619515000002</v>
      </c>
      <c r="BC49" s="70">
        <f t="shared" si="497"/>
        <v>3.8977500000000007</v>
      </c>
      <c r="BD49" s="69">
        <f t="shared" ref="BD49" si="499">+BE49*BD12</f>
        <v>15858.619515000002</v>
      </c>
      <c r="BE49" s="70">
        <f t="shared" ref="BE49:BI49" si="500">+BE50+BE52+BE56+BE54</f>
        <v>3.8977500000000007</v>
      </c>
      <c r="BF49" s="69">
        <f t="shared" ref="BF49" si="501">+BG49*BF12</f>
        <v>15858.619515000002</v>
      </c>
      <c r="BG49" s="70">
        <f t="shared" ref="BG49" si="502">+BG50+BG52+BG56+BG54</f>
        <v>3.8977500000000007</v>
      </c>
      <c r="BH49" s="69">
        <f t="shared" ref="BH49" si="503">+BI49*BH12</f>
        <v>15858.619515000002</v>
      </c>
      <c r="BI49" s="70">
        <f t="shared" si="500"/>
        <v>3.8977500000000007</v>
      </c>
      <c r="BJ49" s="69">
        <f t="shared" ref="BJ49" si="504">+BK49*BJ12</f>
        <v>13274.00325</v>
      </c>
      <c r="BK49" s="70">
        <f t="shared" ref="BK49" si="505">+BK50+BK52+BK56+BK54</f>
        <v>3.2625000000000002</v>
      </c>
      <c r="BL49" s="69">
        <f>+BM49*BL12</f>
        <v>15858.519654826128</v>
      </c>
      <c r="BM49" s="70">
        <f>+BM50+BM52+BM56+BM54</f>
        <v>3.8977254562500008</v>
      </c>
      <c r="BN49" s="69">
        <f>+BO49*BN12</f>
        <v>15858.519654826128</v>
      </c>
      <c r="BO49" s="70">
        <f>+BO50+BO52+BO56+BO54</f>
        <v>3.8977254562500008</v>
      </c>
      <c r="BP49" s="69">
        <f>+BQ49*BP12</f>
        <v>13272.804927913499</v>
      </c>
      <c r="BQ49" s="70">
        <f>+BQ50+BQ52+BQ56+BQ54</f>
        <v>3.262205475</v>
      </c>
      <c r="BR49" s="69">
        <f t="shared" ref="BR49" si="506">+BS49*BR12</f>
        <v>18942.536649375001</v>
      </c>
      <c r="BS49" s="70">
        <f t="shared" ref="BS49:BU49" si="507">+BS50+BS52+BS56+BS54</f>
        <v>4.6557187500000001</v>
      </c>
      <c r="BT49" s="69">
        <f t="shared" ref="BT49" si="508">+BU49*BT12</f>
        <v>14008.269234374999</v>
      </c>
      <c r="BU49" s="70">
        <f t="shared" si="507"/>
        <v>3.4429687499999999</v>
      </c>
      <c r="BV49" s="69"/>
      <c r="BW49" s="70"/>
      <c r="BX49" s="271"/>
      <c r="BY49" s="271"/>
      <c r="BZ49" s="271"/>
      <c r="CA49" s="271"/>
      <c r="CB49" s="271"/>
      <c r="CC49" s="271"/>
      <c r="CD49" s="271"/>
      <c r="CE49" s="271"/>
      <c r="CF49" s="271"/>
      <c r="CG49" s="271"/>
    </row>
    <row r="50" spans="1:88" s="4" customFormat="1" ht="18" customHeight="1" outlineLevel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0.16749999999999998</v>
      </c>
      <c r="H50" s="50"/>
      <c r="I50" s="72">
        <f t="shared" ref="I50" si="509">+I51*I56</f>
        <v>0.16749999999999998</v>
      </c>
      <c r="J50" s="50"/>
      <c r="K50" s="72">
        <f t="shared" ref="K50" si="510">+K51*K56</f>
        <v>0.16749999999999998</v>
      </c>
      <c r="L50" s="50"/>
      <c r="M50" s="72">
        <f t="shared" ref="M50" si="511">+M51*M56</f>
        <v>0.16749999999999998</v>
      </c>
      <c r="N50" s="50"/>
      <c r="O50" s="72">
        <f t="shared" ref="O50" si="512">+O51*O56</f>
        <v>0.16749999999999998</v>
      </c>
      <c r="P50" s="50"/>
      <c r="Q50" s="72">
        <f t="shared" ref="Q50" si="513">+Q51*Q56</f>
        <v>0.16749999999999998</v>
      </c>
      <c r="R50" s="50"/>
      <c r="S50" s="72">
        <f t="shared" ref="S50" si="514">+S51*S56</f>
        <v>0.16749999999999998</v>
      </c>
      <c r="T50" s="50"/>
      <c r="U50" s="72">
        <f t="shared" ref="U50" si="515">+U51*U56</f>
        <v>0.16749999999999998</v>
      </c>
      <c r="V50" s="50"/>
      <c r="W50" s="72">
        <f t="shared" ref="W50" si="516">+W51*W56</f>
        <v>0.16749999999999998</v>
      </c>
      <c r="X50" s="50"/>
      <c r="Y50" s="72">
        <f t="shared" ref="Y50" si="517">+Y51*Y56</f>
        <v>0.16749999999999998</v>
      </c>
      <c r="Z50" s="50"/>
      <c r="AA50" s="72">
        <f t="shared" ref="AA50" si="518">+AA51*AA56</f>
        <v>0.16749999999999998</v>
      </c>
      <c r="AB50" s="50"/>
      <c r="AC50" s="72">
        <f t="shared" ref="AC50" si="519">+AC51*AC56</f>
        <v>0.17467317130170601</v>
      </c>
      <c r="AD50" s="50"/>
      <c r="AE50" s="72">
        <f t="shared" ref="AE50" si="520">+AE51*AE56</f>
        <v>0.16749999999999998</v>
      </c>
      <c r="AF50" s="50"/>
      <c r="AG50" s="72">
        <f t="shared" ref="AG50" si="521">+AG51*AG56</f>
        <v>0.16749999999999998</v>
      </c>
      <c r="AH50" s="50"/>
      <c r="AI50" s="72">
        <f t="shared" ref="AI50" si="522">+AI51*AI56</f>
        <v>0.16749999999999998</v>
      </c>
      <c r="AJ50" s="50"/>
      <c r="AK50" s="72">
        <f t="shared" ref="AK50" si="523">+AK51*AK56</f>
        <v>0.16749999999999998</v>
      </c>
      <c r="AL50" s="50"/>
      <c r="AM50" s="72">
        <f t="shared" ref="AM50" si="524">+AM51*AM56</f>
        <v>0.16749999999999998</v>
      </c>
      <c r="AN50" s="50"/>
      <c r="AO50" s="72">
        <f t="shared" ref="AO50:AQ50" si="525">+AO51*AO56</f>
        <v>0.16749999999999998</v>
      </c>
      <c r="AP50" s="50"/>
      <c r="AQ50" s="72">
        <f t="shared" si="525"/>
        <v>0.16749999999999998</v>
      </c>
      <c r="AR50" s="50"/>
      <c r="AS50" s="72">
        <f t="shared" ref="AS50:AU50" si="526">+AS51*AS56</f>
        <v>0.16749999999999998</v>
      </c>
      <c r="AT50" s="50"/>
      <c r="AU50" s="72">
        <f t="shared" si="526"/>
        <v>0.1525</v>
      </c>
      <c r="AV50" s="50"/>
      <c r="AW50" s="72">
        <f t="shared" ref="AW50" si="527">+AW51*AW56</f>
        <v>0.1525</v>
      </c>
      <c r="AX50" s="50"/>
      <c r="AY50" s="72">
        <f t="shared" ref="AY50" si="528">+AY51*AY56</f>
        <v>0.1525</v>
      </c>
      <c r="AZ50" s="50"/>
      <c r="BA50" s="72">
        <f t="shared" ref="BA50:BC50" si="529">+BA51*BA56</f>
        <v>0.15250000000000002</v>
      </c>
      <c r="BB50" s="50"/>
      <c r="BC50" s="72">
        <f t="shared" si="529"/>
        <v>0.15250000000000002</v>
      </c>
      <c r="BD50" s="50"/>
      <c r="BE50" s="72">
        <f t="shared" ref="BE50:BI50" si="530">+BE51*BE56</f>
        <v>0.15250000000000002</v>
      </c>
      <c r="BF50" s="50"/>
      <c r="BG50" s="72">
        <f t="shared" ref="BG50" si="531">+BG51*BG56</f>
        <v>0.15250000000000002</v>
      </c>
      <c r="BH50" s="50"/>
      <c r="BI50" s="72">
        <f t="shared" si="530"/>
        <v>0.15250000000000002</v>
      </c>
      <c r="BJ50" s="50"/>
      <c r="BK50" s="72">
        <f t="shared" ref="BK50" si="532">+BK51*BK56</f>
        <v>0.125</v>
      </c>
      <c r="BL50" s="367"/>
      <c r="BM50" s="368">
        <f>+BM51*BM56</f>
        <v>0.15249893750000004</v>
      </c>
      <c r="BN50" s="367"/>
      <c r="BO50" s="368">
        <f>+BO51*BO56</f>
        <v>0.15249893750000004</v>
      </c>
      <c r="BP50" s="367"/>
      <c r="BQ50" s="368">
        <f>+BQ51*BQ56</f>
        <v>0.12498725000000002</v>
      </c>
      <c r="BR50" s="367"/>
      <c r="BS50" s="368">
        <f t="shared" ref="BS50:BU50" si="533">+BS51*BS56</f>
        <v>0.18531250000000002</v>
      </c>
      <c r="BT50" s="367"/>
      <c r="BU50" s="368">
        <f t="shared" si="533"/>
        <v>0.1328125</v>
      </c>
      <c r="BV50" s="367"/>
      <c r="BW50" s="368"/>
      <c r="BX50" s="269"/>
      <c r="BY50" s="269"/>
      <c r="BZ50" s="269"/>
      <c r="CA50" s="269"/>
      <c r="CB50" s="269"/>
      <c r="CC50" s="269"/>
      <c r="CD50" s="269"/>
      <c r="CE50" s="269"/>
      <c r="CF50" s="269"/>
      <c r="CG50" s="269"/>
    </row>
    <row r="51" spans="1:88" s="4" customFormat="1" ht="18" customHeight="1" outlineLevel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47"/>
      <c r="I51" s="1082">
        <v>0.05</v>
      </c>
      <c r="J51" s="47"/>
      <c r="K51" s="1082">
        <v>0.05</v>
      </c>
      <c r="L51" s="47"/>
      <c r="M51" s="1082">
        <v>0.05</v>
      </c>
      <c r="N51" s="47"/>
      <c r="O51" s="1082">
        <v>0.05</v>
      </c>
      <c r="P51" s="47"/>
      <c r="Q51" s="1082">
        <v>0.05</v>
      </c>
      <c r="R51" s="47"/>
      <c r="S51" s="1082">
        <v>0.05</v>
      </c>
      <c r="T51" s="47"/>
      <c r="U51" s="1082">
        <v>0.05</v>
      </c>
      <c r="V51" s="47"/>
      <c r="W51" s="1082">
        <v>0.05</v>
      </c>
      <c r="X51" s="47"/>
      <c r="Y51" s="1082">
        <v>0.05</v>
      </c>
      <c r="Z51" s="47"/>
      <c r="AA51" s="1082">
        <v>0.05</v>
      </c>
      <c r="AB51" s="47"/>
      <c r="AC51" s="1082">
        <v>0.05</v>
      </c>
      <c r="AD51" s="47"/>
      <c r="AE51" s="1082">
        <v>0.05</v>
      </c>
      <c r="AF51" s="47"/>
      <c r="AG51" s="1082">
        <v>0.05</v>
      </c>
      <c r="AH51" s="47"/>
      <c r="AI51" s="1082">
        <v>0.05</v>
      </c>
      <c r="AJ51" s="47"/>
      <c r="AK51" s="1082">
        <v>0.05</v>
      </c>
      <c r="AL51" s="47"/>
      <c r="AM51" s="1082">
        <v>0.05</v>
      </c>
      <c r="AN51" s="47"/>
      <c r="AO51" s="1082">
        <v>0.05</v>
      </c>
      <c r="AP51" s="47"/>
      <c r="AQ51" s="1082">
        <v>0.05</v>
      </c>
      <c r="AR51" s="47"/>
      <c r="AS51" s="1082">
        <v>0.05</v>
      </c>
      <c r="AT51" s="47"/>
      <c r="AU51" s="1082">
        <v>0.05</v>
      </c>
      <c r="AV51" s="47"/>
      <c r="AW51" s="1082">
        <v>0.05</v>
      </c>
      <c r="AX51" s="47"/>
      <c r="AY51" s="1082">
        <v>0.05</v>
      </c>
      <c r="AZ51" s="47"/>
      <c r="BA51" s="1082">
        <v>0.05</v>
      </c>
      <c r="BB51" s="47"/>
      <c r="BC51" s="1082">
        <v>0.05</v>
      </c>
      <c r="BD51" s="47"/>
      <c r="BE51" s="1082">
        <v>0.05</v>
      </c>
      <c r="BF51" s="47"/>
      <c r="BG51" s="1082">
        <v>0.05</v>
      </c>
      <c r="BH51" s="47"/>
      <c r="BI51" s="1082">
        <v>0.05</v>
      </c>
      <c r="BJ51" s="47"/>
      <c r="BK51" s="1082">
        <v>0.05</v>
      </c>
      <c r="BL51" s="369"/>
      <c r="BM51" s="370">
        <v>0.05</v>
      </c>
      <c r="BN51" s="369"/>
      <c r="BO51" s="370">
        <v>0.05</v>
      </c>
      <c r="BP51" s="369"/>
      <c r="BQ51" s="370">
        <v>0.05</v>
      </c>
      <c r="BR51" s="361"/>
      <c r="BS51" s="1081">
        <v>0.05</v>
      </c>
      <c r="BT51" s="361"/>
      <c r="BU51" s="1081">
        <v>0.05</v>
      </c>
      <c r="BV51" s="361"/>
      <c r="BW51" s="1081"/>
      <c r="BX51" s="63"/>
      <c r="BY51" s="63"/>
      <c r="BZ51" s="63"/>
      <c r="CA51" s="63"/>
      <c r="CB51" s="63"/>
      <c r="CC51" s="63"/>
      <c r="CD51" s="63"/>
      <c r="CE51" s="63"/>
      <c r="CF51" s="63"/>
      <c r="CG51" s="63"/>
    </row>
    <row r="52" spans="1:88" s="4" customFormat="1" ht="18" customHeight="1" outlineLevel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0.375</v>
      </c>
      <c r="H52" s="50"/>
      <c r="I52" s="72">
        <f t="shared" ref="I52" si="534">$D$53/I66</f>
        <v>0.375</v>
      </c>
      <c r="J52" s="50"/>
      <c r="K52" s="72">
        <f t="shared" ref="K52" si="535">$D$53/K66</f>
        <v>0.375</v>
      </c>
      <c r="L52" s="50"/>
      <c r="M52" s="72">
        <f t="shared" ref="M52" si="536">$D$53/M66</f>
        <v>0.375</v>
      </c>
      <c r="N52" s="50"/>
      <c r="O52" s="72">
        <f t="shared" ref="O52" si="537">$D$53/O66</f>
        <v>0.375</v>
      </c>
      <c r="P52" s="50"/>
      <c r="Q52" s="72">
        <f t="shared" ref="Q52" si="538">$D$53/Q66</f>
        <v>0.375</v>
      </c>
      <c r="R52" s="50"/>
      <c r="S52" s="72">
        <f t="shared" ref="S52" si="539">$D$53/S66</f>
        <v>0.375</v>
      </c>
      <c r="T52" s="50"/>
      <c r="U52" s="72">
        <f t="shared" ref="U52" si="540">$D$53/U66</f>
        <v>0.375</v>
      </c>
      <c r="V52" s="50"/>
      <c r="W52" s="72">
        <f t="shared" ref="W52" si="541">$D$53/W66</f>
        <v>0.375</v>
      </c>
      <c r="X52" s="50"/>
      <c r="Y52" s="72">
        <f t="shared" ref="Y52" si="542">$D$53/Y66</f>
        <v>0.375</v>
      </c>
      <c r="Z52" s="50"/>
      <c r="AA52" s="72">
        <f t="shared" ref="AA52" si="543">$D$53/AA66</f>
        <v>0.375</v>
      </c>
      <c r="AB52" s="50"/>
      <c r="AC52" s="72">
        <f t="shared" ref="AC52:AI52" si="544">$D$53/AC66</f>
        <v>0.375</v>
      </c>
      <c r="AD52" s="50"/>
      <c r="AE52" s="72">
        <f t="shared" si="544"/>
        <v>0.375</v>
      </c>
      <c r="AF52" s="50"/>
      <c r="AG52" s="72">
        <f t="shared" si="544"/>
        <v>0.375</v>
      </c>
      <c r="AH52" s="50"/>
      <c r="AI52" s="72">
        <f t="shared" si="544"/>
        <v>0.375</v>
      </c>
      <c r="AJ52" s="50"/>
      <c r="AK52" s="72">
        <f t="shared" ref="AK52" si="545">$D$53/AK66</f>
        <v>0.375</v>
      </c>
      <c r="AL52" s="50"/>
      <c r="AM52" s="72">
        <f t="shared" ref="AM52" si="546">$D$53/AM66</f>
        <v>0.375</v>
      </c>
      <c r="AN52" s="50"/>
      <c r="AO52" s="72">
        <f t="shared" ref="AO52:AQ52" si="547">$D$53/AO66</f>
        <v>0.375</v>
      </c>
      <c r="AP52" s="50"/>
      <c r="AQ52" s="72">
        <f t="shared" si="547"/>
        <v>0.375</v>
      </c>
      <c r="AR52" s="50"/>
      <c r="AS52" s="72">
        <f t="shared" ref="AS52:AU52" si="548">$D$53/AS66</f>
        <v>0.375</v>
      </c>
      <c r="AT52" s="50"/>
      <c r="AU52" s="72">
        <f t="shared" si="548"/>
        <v>0.375</v>
      </c>
      <c r="AV52" s="50"/>
      <c r="AW52" s="72">
        <f t="shared" ref="AW52" si="549">$D$53/AW66</f>
        <v>0.375</v>
      </c>
      <c r="AX52" s="50"/>
      <c r="AY52" s="72">
        <f t="shared" ref="AY52" si="550">$D$53/AY66</f>
        <v>0.375</v>
      </c>
      <c r="AZ52" s="50"/>
      <c r="BA52" s="72">
        <f t="shared" ref="BA52:BC52" si="551">$D$53/BA66</f>
        <v>0.375</v>
      </c>
      <c r="BB52" s="50"/>
      <c r="BC52" s="72">
        <f t="shared" si="551"/>
        <v>0.375</v>
      </c>
      <c r="BD52" s="50"/>
      <c r="BE52" s="72">
        <f t="shared" ref="BE52:BI52" si="552">$D$53/BE66</f>
        <v>0.375</v>
      </c>
      <c r="BF52" s="50"/>
      <c r="BG52" s="72">
        <f t="shared" ref="BG52" si="553">$D$53/BG66</f>
        <v>0.375</v>
      </c>
      <c r="BH52" s="50"/>
      <c r="BI52" s="72">
        <f t="shared" si="552"/>
        <v>0.375</v>
      </c>
      <c r="BJ52" s="50"/>
      <c r="BK52" s="72">
        <f t="shared" ref="BK52" si="554">$D$53/BK66</f>
        <v>0.375</v>
      </c>
      <c r="BL52" s="367"/>
      <c r="BM52" s="368">
        <f>$D$53/BM66</f>
        <v>0.375</v>
      </c>
      <c r="BN52" s="367"/>
      <c r="BO52" s="368">
        <f>$D$53/BO66</f>
        <v>0.375</v>
      </c>
      <c r="BP52" s="367"/>
      <c r="BQ52" s="368">
        <f>$D$53/BQ66</f>
        <v>0.375</v>
      </c>
      <c r="BR52" s="367"/>
      <c r="BS52" s="368">
        <f t="shared" ref="BS52:BU52" si="555">$D$53/BS66</f>
        <v>0.375</v>
      </c>
      <c r="BT52" s="367"/>
      <c r="BU52" s="368">
        <f t="shared" si="555"/>
        <v>0.375</v>
      </c>
      <c r="BV52" s="367"/>
      <c r="BW52" s="368"/>
      <c r="BX52" s="269"/>
      <c r="BY52" s="269"/>
      <c r="BZ52" s="269"/>
      <c r="CA52" s="269"/>
      <c r="CB52" s="269"/>
      <c r="CC52" s="269"/>
      <c r="CD52" s="269"/>
      <c r="CE52" s="269"/>
      <c r="CF52" s="269"/>
      <c r="CG52" s="269"/>
    </row>
    <row r="53" spans="1:88" s="4" customFormat="1" ht="18" customHeight="1" outlineLevel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0.1119402985074627</v>
      </c>
      <c r="H53" s="47"/>
      <c r="I53" s="1082">
        <f t="shared" ref="I53" si="556">I52/I56</f>
        <v>0.1119402985074627</v>
      </c>
      <c r="J53" s="47"/>
      <c r="K53" s="1082">
        <f t="shared" ref="K53" si="557">K52/K56</f>
        <v>0.1119402985074627</v>
      </c>
      <c r="L53" s="47"/>
      <c r="M53" s="1082">
        <f t="shared" ref="M53" si="558">M52/M56</f>
        <v>0.1119402985074627</v>
      </c>
      <c r="N53" s="47"/>
      <c r="O53" s="1082">
        <f t="shared" ref="O53" si="559">O52/O56</f>
        <v>0.1119402985074627</v>
      </c>
      <c r="P53" s="47"/>
      <c r="Q53" s="1082">
        <f t="shared" ref="Q53" si="560">Q52/Q56</f>
        <v>0.1119402985074627</v>
      </c>
      <c r="R53" s="47"/>
      <c r="S53" s="1082">
        <f t="shared" ref="S53" si="561">S52/S56</f>
        <v>0.1119402985074627</v>
      </c>
      <c r="T53" s="47"/>
      <c r="U53" s="1082">
        <f t="shared" ref="U53" si="562">U52/U56</f>
        <v>0.1119402985074627</v>
      </c>
      <c r="V53" s="47"/>
      <c r="W53" s="1082">
        <f t="shared" ref="W53" si="563">W52/W56</f>
        <v>0.1119402985074627</v>
      </c>
      <c r="X53" s="47"/>
      <c r="Y53" s="1082">
        <f t="shared" ref="Y53" si="564">Y52/Y56</f>
        <v>0.1119402985074627</v>
      </c>
      <c r="Z53" s="47"/>
      <c r="AA53" s="1082">
        <f t="shared" ref="AA53" si="565">AA52/AA56</f>
        <v>0.1119402985074627</v>
      </c>
      <c r="AB53" s="47"/>
      <c r="AC53" s="1082">
        <f t="shared" ref="AC53" si="566">AC52/AC56</f>
        <v>0.10734333074890975</v>
      </c>
      <c r="AD53" s="47"/>
      <c r="AE53" s="1082">
        <f t="shared" ref="AE53" si="567">AE52/AE56</f>
        <v>0.1119402985074627</v>
      </c>
      <c r="AF53" s="47"/>
      <c r="AG53" s="1082">
        <f t="shared" ref="AG53" si="568">AG52/AG56</f>
        <v>0.1119402985074627</v>
      </c>
      <c r="AH53" s="47"/>
      <c r="AI53" s="1082">
        <f t="shared" ref="AI53" si="569">AI52/AI56</f>
        <v>0.1119402985074627</v>
      </c>
      <c r="AJ53" s="47"/>
      <c r="AK53" s="1082">
        <f t="shared" ref="AK53" si="570">AK52/AK56</f>
        <v>0.1119402985074627</v>
      </c>
      <c r="AL53" s="47"/>
      <c r="AM53" s="1082">
        <f t="shared" ref="AM53" si="571">AM52/AM56</f>
        <v>0.1119402985074627</v>
      </c>
      <c r="AN53" s="47"/>
      <c r="AO53" s="1082">
        <f t="shared" ref="AO53:AQ53" si="572">AO52/AO56</f>
        <v>0.1119402985074627</v>
      </c>
      <c r="AP53" s="47"/>
      <c r="AQ53" s="1082">
        <f t="shared" si="572"/>
        <v>0.1119402985074627</v>
      </c>
      <c r="AR53" s="47"/>
      <c r="AS53" s="1082">
        <f t="shared" ref="AS53:AU53" si="573">AS52/AS56</f>
        <v>0.1119402985074627</v>
      </c>
      <c r="AT53" s="47"/>
      <c r="AU53" s="1082">
        <f t="shared" si="573"/>
        <v>0.12295081967213116</v>
      </c>
      <c r="AV53" s="47"/>
      <c r="AW53" s="1082">
        <f t="shared" ref="AW53" si="574">AW52/AW56</f>
        <v>0.12295081967213116</v>
      </c>
      <c r="AX53" s="47"/>
      <c r="AY53" s="1082">
        <f t="shared" ref="AY53" si="575">AY52/AY56</f>
        <v>0.12295081967213116</v>
      </c>
      <c r="AZ53" s="47"/>
      <c r="BA53" s="1082">
        <f t="shared" ref="BA53:BC53" si="576">BA52/BA56</f>
        <v>0.12295081967213113</v>
      </c>
      <c r="BB53" s="47"/>
      <c r="BC53" s="1082">
        <f t="shared" si="576"/>
        <v>0.12295081967213113</v>
      </c>
      <c r="BD53" s="47"/>
      <c r="BE53" s="1082">
        <f t="shared" ref="BE53:BI53" si="577">BE52/BE56</f>
        <v>0.12295081967213113</v>
      </c>
      <c r="BF53" s="47"/>
      <c r="BG53" s="1082">
        <f t="shared" ref="BG53" si="578">BG52/BG56</f>
        <v>0.12295081967213113</v>
      </c>
      <c r="BH53" s="47"/>
      <c r="BI53" s="1082">
        <f t="shared" si="577"/>
        <v>0.12295081967213113</v>
      </c>
      <c r="BJ53" s="47"/>
      <c r="BK53" s="1082">
        <f t="shared" ref="BK53" si="579">BK52/BK56</f>
        <v>0.15</v>
      </c>
      <c r="BL53" s="369"/>
      <c r="BM53" s="370">
        <f>BM52/BM56</f>
        <v>0.12295167630266274</v>
      </c>
      <c r="BN53" s="369"/>
      <c r="BO53" s="370">
        <f>BO52/BO56</f>
        <v>0.12295167630266274</v>
      </c>
      <c r="BP53" s="369"/>
      <c r="BQ53" s="370">
        <f>BQ52/BQ56</f>
        <v>0.15001530156075918</v>
      </c>
      <c r="BR53" s="361"/>
      <c r="BS53" s="1081">
        <f t="shared" ref="BS53:BU53" si="580">BS52/BS56</f>
        <v>0.1011804384485666</v>
      </c>
      <c r="BT53" s="361"/>
      <c r="BU53" s="1081">
        <f t="shared" si="580"/>
        <v>0.14117647058823529</v>
      </c>
      <c r="BV53" s="361"/>
      <c r="BW53" s="1081"/>
      <c r="BX53" s="63"/>
      <c r="BY53" s="63"/>
      <c r="BZ53" s="63"/>
      <c r="CA53" s="63"/>
      <c r="CB53" s="63"/>
      <c r="CC53" s="63"/>
      <c r="CD53" s="63"/>
      <c r="CE53" s="63"/>
      <c r="CF53" s="63"/>
      <c r="CG53" s="63"/>
    </row>
    <row r="54" spans="1:88" s="4" customFormat="1" ht="18" customHeight="1" outlineLevel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0.35175000000000001</v>
      </c>
      <c r="H54" s="73"/>
      <c r="I54" s="72">
        <f t="shared" ref="I54" si="581">(I55*(I56+I50))</f>
        <v>0.35175000000000001</v>
      </c>
      <c r="J54" s="73"/>
      <c r="K54" s="72">
        <f t="shared" ref="K54" si="582">(K55*(K56+K50))</f>
        <v>0.35175000000000001</v>
      </c>
      <c r="L54" s="73"/>
      <c r="M54" s="72">
        <f t="shared" ref="M54" si="583">(M55*(M56+M50))</f>
        <v>0.35175000000000001</v>
      </c>
      <c r="N54" s="73"/>
      <c r="O54" s="72">
        <f t="shared" ref="O54" si="584">(O55*(O56+O50))</f>
        <v>0.35175000000000001</v>
      </c>
      <c r="P54" s="73"/>
      <c r="Q54" s="72">
        <f t="shared" ref="Q54" si="585">(Q55*(Q56+Q50))</f>
        <v>0.35175000000000001</v>
      </c>
      <c r="R54" s="73"/>
      <c r="S54" s="72">
        <f t="shared" ref="S54" si="586">(S55*(S56+S50))</f>
        <v>0.35175000000000001</v>
      </c>
      <c r="T54" s="73"/>
      <c r="U54" s="72">
        <f t="shared" ref="U54" si="587">(U55*(U56+U50))</f>
        <v>0.35175000000000001</v>
      </c>
      <c r="V54" s="73"/>
      <c r="W54" s="72">
        <f t="shared" ref="W54" si="588">(W55*(W56+W50))</f>
        <v>0.35175000000000001</v>
      </c>
      <c r="X54" s="73"/>
      <c r="Y54" s="72">
        <f t="shared" ref="Y54" si="589">(Y55*(Y56+Y50))</f>
        <v>0.35175000000000001</v>
      </c>
      <c r="Z54" s="73"/>
      <c r="AA54" s="72">
        <f t="shared" ref="AA54" si="590">(AA55*(AA56+AA50))</f>
        <v>0.35175000000000001</v>
      </c>
      <c r="AB54" s="73"/>
      <c r="AC54" s="72">
        <f t="shared" ref="AC54" si="591">(AC55*(AC56+AC50))</f>
        <v>0.36681365973358265</v>
      </c>
      <c r="AD54" s="73"/>
      <c r="AE54" s="72">
        <f t="shared" ref="AE54" si="592">(AE55*(AE56+AE50))</f>
        <v>0.35175000000000001</v>
      </c>
      <c r="AF54" s="73"/>
      <c r="AG54" s="72">
        <f t="shared" ref="AG54" si="593">(AG55*(AG56+AG50))</f>
        <v>0.35175000000000001</v>
      </c>
      <c r="AH54" s="73"/>
      <c r="AI54" s="72">
        <f t="shared" ref="AI54" si="594">(AI55*(AI56+AI50))</f>
        <v>0.35175000000000001</v>
      </c>
      <c r="AJ54" s="73"/>
      <c r="AK54" s="72">
        <f t="shared" ref="AK54" si="595">(AK55*(AK56+AK50))</f>
        <v>0.35175000000000001</v>
      </c>
      <c r="AL54" s="73"/>
      <c r="AM54" s="72">
        <f t="shared" ref="AM54" si="596">(AM55*(AM56+AM50))</f>
        <v>0.35175000000000001</v>
      </c>
      <c r="AN54" s="73"/>
      <c r="AO54" s="72">
        <f t="shared" ref="AO54:AQ54" si="597">(AO55*(AO56+AO50))</f>
        <v>0.35175000000000001</v>
      </c>
      <c r="AP54" s="73"/>
      <c r="AQ54" s="72">
        <f t="shared" si="597"/>
        <v>0.35175000000000001</v>
      </c>
      <c r="AR54" s="73"/>
      <c r="AS54" s="72">
        <f t="shared" ref="AS54:AU54" si="598">(AS55*(AS56+AS50))</f>
        <v>0.35175000000000001</v>
      </c>
      <c r="AT54" s="73"/>
      <c r="AU54" s="72">
        <f t="shared" si="598"/>
        <v>0.32024999999999998</v>
      </c>
      <c r="AV54" s="73"/>
      <c r="AW54" s="72">
        <f t="shared" ref="AW54" si="599">(AW55*(AW56+AW50))</f>
        <v>0.32024999999999998</v>
      </c>
      <c r="AX54" s="73"/>
      <c r="AY54" s="72">
        <f t="shared" ref="AY54" si="600">(AY55*(AY56+AY50))</f>
        <v>0.32024999999999998</v>
      </c>
      <c r="AZ54" s="73"/>
      <c r="BA54" s="72">
        <f t="shared" ref="BA54:BC54" si="601">(BA55*(BA56+BA50))</f>
        <v>0.32025000000000003</v>
      </c>
      <c r="BB54" s="73"/>
      <c r="BC54" s="72">
        <f t="shared" si="601"/>
        <v>0.32025000000000003</v>
      </c>
      <c r="BD54" s="73"/>
      <c r="BE54" s="72">
        <f t="shared" ref="BE54:BI54" si="602">(BE55*(BE56+BE50))</f>
        <v>0.32025000000000003</v>
      </c>
      <c r="BF54" s="73"/>
      <c r="BG54" s="72">
        <f t="shared" ref="BG54" si="603">(BG55*(BG56+BG50))</f>
        <v>0.32025000000000003</v>
      </c>
      <c r="BH54" s="73"/>
      <c r="BI54" s="72">
        <f t="shared" si="602"/>
        <v>0.32025000000000003</v>
      </c>
      <c r="BJ54" s="73"/>
      <c r="BK54" s="72">
        <f t="shared" ref="BK54" si="604">(BK55*(BK56+BK50))</f>
        <v>0.26250000000000001</v>
      </c>
      <c r="BL54" s="371"/>
      <c r="BM54" s="368">
        <f>(BM55*(BM56+BM50))</f>
        <v>0.32024776875000005</v>
      </c>
      <c r="BN54" s="371"/>
      <c r="BO54" s="368">
        <f>(BO55*(BO56+BO50))</f>
        <v>0.32024776875000005</v>
      </c>
      <c r="BP54" s="371"/>
      <c r="BQ54" s="368">
        <f>(BQ55*(BQ56+BQ50))</f>
        <v>0.26247322500000009</v>
      </c>
      <c r="BR54" s="371"/>
      <c r="BS54" s="368">
        <f t="shared" ref="BS54:BU54" si="605">(BS55*(BS56+BS50))</f>
        <v>0.38915625000000009</v>
      </c>
      <c r="BT54" s="371"/>
      <c r="BU54" s="368">
        <f t="shared" si="605"/>
        <v>0.27890625000000002</v>
      </c>
      <c r="BV54" s="371"/>
      <c r="BW54" s="368"/>
      <c r="BX54" s="269"/>
      <c r="BY54" s="269"/>
      <c r="BZ54" s="269"/>
      <c r="CA54" s="269"/>
      <c r="CB54" s="269"/>
      <c r="CC54" s="269"/>
      <c r="CD54" s="269"/>
      <c r="CE54" s="269"/>
      <c r="CF54" s="269"/>
      <c r="CG54" s="269"/>
    </row>
    <row r="55" spans="1:88" s="4" customFormat="1" ht="18" customHeight="1" outlineLevel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47"/>
      <c r="I55" s="1082">
        <v>0.1</v>
      </c>
      <c r="J55" s="47"/>
      <c r="K55" s="1082">
        <v>0.1</v>
      </c>
      <c r="L55" s="47"/>
      <c r="M55" s="1082">
        <v>0.1</v>
      </c>
      <c r="N55" s="47"/>
      <c r="O55" s="1082">
        <v>0.1</v>
      </c>
      <c r="P55" s="47"/>
      <c r="Q55" s="1082">
        <v>0.1</v>
      </c>
      <c r="R55" s="47"/>
      <c r="S55" s="1082">
        <v>0.1</v>
      </c>
      <c r="T55" s="47"/>
      <c r="U55" s="1082">
        <v>0.1</v>
      </c>
      <c r="V55" s="47"/>
      <c r="W55" s="1082">
        <v>0.1</v>
      </c>
      <c r="X55" s="47"/>
      <c r="Y55" s="1082">
        <v>0.1</v>
      </c>
      <c r="Z55" s="47"/>
      <c r="AA55" s="1082">
        <v>0.1</v>
      </c>
      <c r="AB55" s="47"/>
      <c r="AC55" s="1082">
        <v>0.1</v>
      </c>
      <c r="AD55" s="47"/>
      <c r="AE55" s="1082">
        <v>0.1</v>
      </c>
      <c r="AF55" s="47"/>
      <c r="AG55" s="1082">
        <v>0.1</v>
      </c>
      <c r="AH55" s="47"/>
      <c r="AI55" s="1082">
        <v>0.1</v>
      </c>
      <c r="AJ55" s="47"/>
      <c r="AK55" s="1082">
        <v>0.1</v>
      </c>
      <c r="AL55" s="47"/>
      <c r="AM55" s="1082">
        <v>0.1</v>
      </c>
      <c r="AN55" s="47"/>
      <c r="AO55" s="1082">
        <v>0.1</v>
      </c>
      <c r="AP55" s="47"/>
      <c r="AQ55" s="1082">
        <v>0.1</v>
      </c>
      <c r="AR55" s="47"/>
      <c r="AS55" s="1082">
        <v>0.1</v>
      </c>
      <c r="AT55" s="47"/>
      <c r="AU55" s="1082">
        <v>0.1</v>
      </c>
      <c r="AV55" s="47"/>
      <c r="AW55" s="1082">
        <v>0.1</v>
      </c>
      <c r="AX55" s="47"/>
      <c r="AY55" s="1082">
        <v>0.1</v>
      </c>
      <c r="AZ55" s="47"/>
      <c r="BA55" s="1082">
        <v>0.1</v>
      </c>
      <c r="BB55" s="47"/>
      <c r="BC55" s="1082">
        <v>0.1</v>
      </c>
      <c r="BD55" s="47"/>
      <c r="BE55" s="1082">
        <v>0.1</v>
      </c>
      <c r="BF55" s="47"/>
      <c r="BG55" s="1082">
        <v>0.1</v>
      </c>
      <c r="BH55" s="47"/>
      <c r="BI55" s="1082">
        <v>0.1</v>
      </c>
      <c r="BJ55" s="47"/>
      <c r="BK55" s="1082">
        <v>0.1</v>
      </c>
      <c r="BL55" s="369"/>
      <c r="BM55" s="370">
        <v>0.1</v>
      </c>
      <c r="BN55" s="369"/>
      <c r="BO55" s="370">
        <v>0.1</v>
      </c>
      <c r="BP55" s="369"/>
      <c r="BQ55" s="370">
        <v>0.1</v>
      </c>
      <c r="BR55" s="361"/>
      <c r="BS55" s="1081">
        <v>0.1</v>
      </c>
      <c r="BT55" s="361"/>
      <c r="BU55" s="1081">
        <v>0.1</v>
      </c>
      <c r="BV55" s="361"/>
      <c r="BW55" s="1081"/>
      <c r="BX55" s="63"/>
      <c r="BY55" s="63"/>
      <c r="BZ55" s="63"/>
      <c r="CA55" s="63"/>
      <c r="CB55" s="63"/>
      <c r="CC55" s="63"/>
      <c r="CD55" s="63"/>
      <c r="CE55" s="63"/>
      <c r="CF55" s="63"/>
      <c r="CG55" s="63"/>
    </row>
    <row r="56" spans="1:88" s="4" customFormat="1" ht="18" customHeight="1" outlineLevel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3.3499999999999996</v>
      </c>
      <c r="H56" s="81"/>
      <c r="I56" s="82">
        <f t="shared" ref="I56" si="606">I60-I57+I58</f>
        <v>3.3499999999999996</v>
      </c>
      <c r="J56" s="81"/>
      <c r="K56" s="82">
        <f t="shared" ref="K56" si="607">K60-K57+K58</f>
        <v>3.3499999999999996</v>
      </c>
      <c r="L56" s="81"/>
      <c r="M56" s="82">
        <f t="shared" ref="M56" si="608">M60-M57+M58</f>
        <v>3.3499999999999996</v>
      </c>
      <c r="N56" s="81"/>
      <c r="O56" s="82">
        <f t="shared" ref="O56" si="609">O60-O57+O58</f>
        <v>3.3499999999999996</v>
      </c>
      <c r="P56" s="81"/>
      <c r="Q56" s="82">
        <f t="shared" ref="Q56" si="610">Q60-Q57+Q58</f>
        <v>3.3499999999999996</v>
      </c>
      <c r="R56" s="81"/>
      <c r="S56" s="82">
        <f t="shared" ref="S56" si="611">S60-S57+S58</f>
        <v>3.3499999999999996</v>
      </c>
      <c r="T56" s="81"/>
      <c r="U56" s="82">
        <f t="shared" ref="U56" si="612">U60-U57+U58</f>
        <v>3.3499999999999996</v>
      </c>
      <c r="V56" s="81"/>
      <c r="W56" s="82">
        <f t="shared" ref="W56" si="613">W60-W57+W58</f>
        <v>3.3499999999999996</v>
      </c>
      <c r="X56" s="81"/>
      <c r="Y56" s="82">
        <f t="shared" ref="Y56" si="614">Y60-Y57+Y58</f>
        <v>3.3499999999999996</v>
      </c>
      <c r="Z56" s="81"/>
      <c r="AA56" s="82">
        <f t="shared" ref="AA56" si="615">AA60-AA57+AA58</f>
        <v>3.3499999999999996</v>
      </c>
      <c r="AB56" s="81"/>
      <c r="AC56" s="82">
        <f t="shared" ref="AC56" si="616">AC60-AC57+AC58</f>
        <v>3.4934634260341202</v>
      </c>
      <c r="AD56" s="81"/>
      <c r="AE56" s="82">
        <f t="shared" ref="AE56" si="617">AE60-AE57+AE58</f>
        <v>3.3499999999999996</v>
      </c>
      <c r="AF56" s="81"/>
      <c r="AG56" s="82">
        <f t="shared" ref="AG56" si="618">AG60-AG57+AG58</f>
        <v>3.3499999999999996</v>
      </c>
      <c r="AH56" s="81"/>
      <c r="AI56" s="82">
        <f t="shared" ref="AI56" si="619">AI60-AI57+AI58</f>
        <v>3.3499999999999996</v>
      </c>
      <c r="AJ56" s="81"/>
      <c r="AK56" s="82">
        <f t="shared" ref="AK56" si="620">AK60-AK57+AK58</f>
        <v>3.3499999999999996</v>
      </c>
      <c r="AL56" s="81"/>
      <c r="AM56" s="82">
        <f t="shared" ref="AM56" si="621">AM60-AM57+AM58</f>
        <v>3.3499999999999996</v>
      </c>
      <c r="AN56" s="81"/>
      <c r="AO56" s="82">
        <f t="shared" ref="AO56:AQ56" si="622">AO60-AO57+AO58</f>
        <v>3.3499999999999996</v>
      </c>
      <c r="AP56" s="81"/>
      <c r="AQ56" s="82">
        <f t="shared" si="622"/>
        <v>3.3499999999999996</v>
      </c>
      <c r="AR56" s="81"/>
      <c r="AS56" s="82">
        <f t="shared" ref="AS56:AU56" si="623">AS60-AS57+AS58</f>
        <v>3.3499999999999996</v>
      </c>
      <c r="AT56" s="81"/>
      <c r="AU56" s="82">
        <f t="shared" si="623"/>
        <v>3.05</v>
      </c>
      <c r="AV56" s="81"/>
      <c r="AW56" s="82">
        <f t="shared" ref="AW56" si="624">AW60-AW57+AW58</f>
        <v>3.05</v>
      </c>
      <c r="AX56" s="81"/>
      <c r="AY56" s="82">
        <f t="shared" ref="AY56" si="625">AY60-AY57+AY58</f>
        <v>3.05</v>
      </c>
      <c r="AZ56" s="81"/>
      <c r="BA56" s="82">
        <f t="shared" ref="BA56:BC56" si="626">BA60-BA57+BA58</f>
        <v>3.0500000000000003</v>
      </c>
      <c r="BB56" s="81"/>
      <c r="BC56" s="82">
        <f t="shared" si="626"/>
        <v>3.0500000000000003</v>
      </c>
      <c r="BD56" s="81"/>
      <c r="BE56" s="82">
        <f t="shared" ref="BE56:BI56" si="627">BE60-BE57+BE58</f>
        <v>3.0500000000000003</v>
      </c>
      <c r="BF56" s="81"/>
      <c r="BG56" s="82">
        <f t="shared" ref="BG56" si="628">BG60-BG57+BG58</f>
        <v>3.0500000000000003</v>
      </c>
      <c r="BH56" s="81"/>
      <c r="BI56" s="82">
        <f t="shared" si="627"/>
        <v>3.0500000000000003</v>
      </c>
      <c r="BJ56" s="81"/>
      <c r="BK56" s="82">
        <f t="shared" ref="BK56" si="629">BK60-BK57+BK58</f>
        <v>2.5</v>
      </c>
      <c r="BL56" s="81"/>
      <c r="BM56" s="82">
        <f>BM60-BM57+BM58</f>
        <v>3.0499787500000006</v>
      </c>
      <c r="BN56" s="81"/>
      <c r="BO56" s="82">
        <f>BO60-BO57+BO58</f>
        <v>3.0499787500000006</v>
      </c>
      <c r="BP56" s="81"/>
      <c r="BQ56" s="82">
        <f>BQ60-BQ57+BQ58</f>
        <v>2.4997450000000003</v>
      </c>
      <c r="BR56" s="81"/>
      <c r="BS56" s="82">
        <f t="shared" ref="BS56:BU56" si="630">BS60-BS57+BS58</f>
        <v>3.7062500000000003</v>
      </c>
      <c r="BT56" s="81"/>
      <c r="BU56" s="82">
        <f t="shared" si="630"/>
        <v>2.65625</v>
      </c>
      <c r="BV56" s="81"/>
      <c r="BW56" s="82"/>
      <c r="BX56" s="276"/>
      <c r="BY56" s="276"/>
      <c r="BZ56" s="276"/>
      <c r="CA56" s="276"/>
      <c r="CB56" s="276"/>
      <c r="CC56" s="276"/>
      <c r="CD56" s="276"/>
      <c r="CE56" s="276"/>
      <c r="CF56" s="276"/>
      <c r="CG56" s="276"/>
    </row>
    <row r="57" spans="1:88" s="4" customFormat="1" ht="18" customHeight="1" outlineLevel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1.03</v>
      </c>
      <c r="H57" s="85"/>
      <c r="I57" s="86">
        <v>1.03</v>
      </c>
      <c r="J57" s="85"/>
      <c r="K57" s="86">
        <v>1.03</v>
      </c>
      <c r="L57" s="85"/>
      <c r="M57" s="86">
        <v>1.03</v>
      </c>
      <c r="N57" s="85"/>
      <c r="O57" s="86">
        <v>1.03</v>
      </c>
      <c r="P57" s="85"/>
      <c r="Q57" s="86">
        <v>1.03</v>
      </c>
      <c r="R57" s="85"/>
      <c r="S57" s="86">
        <v>1.03</v>
      </c>
      <c r="T57" s="85"/>
      <c r="U57" s="86">
        <v>1.03</v>
      </c>
      <c r="V57" s="85"/>
      <c r="W57" s="86">
        <v>1.03</v>
      </c>
      <c r="X57" s="85"/>
      <c r="Y57" s="86">
        <v>1.03</v>
      </c>
      <c r="Z57" s="85"/>
      <c r="AA57" s="86">
        <v>1.03</v>
      </c>
      <c r="AB57" s="85"/>
      <c r="AC57" s="86">
        <v>0.88653657396587981</v>
      </c>
      <c r="AD57" s="85"/>
      <c r="AE57" s="86">
        <v>1.03</v>
      </c>
      <c r="AF57" s="85"/>
      <c r="AG57" s="86">
        <v>1.03</v>
      </c>
      <c r="AH57" s="85"/>
      <c r="AI57" s="86">
        <v>1.03</v>
      </c>
      <c r="AJ57" s="85"/>
      <c r="AK57" s="86">
        <v>1.03</v>
      </c>
      <c r="AL57" s="85"/>
      <c r="AM57" s="86">
        <v>1.03</v>
      </c>
      <c r="AN57" s="85"/>
      <c r="AO57" s="86">
        <v>1.03</v>
      </c>
      <c r="AP57" s="85"/>
      <c r="AQ57" s="86">
        <v>1.03</v>
      </c>
      <c r="AR57" s="85"/>
      <c r="AS57" s="86">
        <v>1.03</v>
      </c>
      <c r="AT57" s="85"/>
      <c r="AU57" s="86">
        <v>1.33</v>
      </c>
      <c r="AV57" s="85"/>
      <c r="AW57" s="86">
        <v>1.33</v>
      </c>
      <c r="AX57" s="85"/>
      <c r="AY57" s="86">
        <v>1.33</v>
      </c>
      <c r="AZ57" s="85"/>
      <c r="BA57" s="86">
        <v>1.35</v>
      </c>
      <c r="BB57" s="85"/>
      <c r="BC57" s="86">
        <v>1.35</v>
      </c>
      <c r="BD57" s="85"/>
      <c r="BE57" s="86">
        <v>1.35</v>
      </c>
      <c r="BF57" s="85"/>
      <c r="BG57" s="86">
        <v>1.35</v>
      </c>
      <c r="BH57" s="85"/>
      <c r="BI57" s="86">
        <v>1.35</v>
      </c>
      <c r="BJ57" s="85"/>
      <c r="BK57" s="86">
        <f>1.35+0.55</f>
        <v>1.9000000000000001</v>
      </c>
      <c r="BL57" s="85"/>
      <c r="BM57" s="86">
        <v>1.35</v>
      </c>
      <c r="BN57" s="85"/>
      <c r="BO57" s="86">
        <v>1.35</v>
      </c>
      <c r="BP57" s="85"/>
      <c r="BQ57" s="86">
        <v>1.9</v>
      </c>
      <c r="BR57" s="85"/>
      <c r="BS57" s="86">
        <v>1.1499999999999999</v>
      </c>
      <c r="BT57" s="85"/>
      <c r="BU57" s="86">
        <v>2.2000000000000002</v>
      </c>
      <c r="BV57" s="85"/>
      <c r="BW57" s="86"/>
      <c r="BX57" s="277"/>
      <c r="BY57" s="277"/>
      <c r="BZ57" s="277"/>
      <c r="CA57" s="277"/>
      <c r="CB57" s="277"/>
      <c r="CC57" s="277"/>
      <c r="CD57" s="277"/>
      <c r="CE57" s="277"/>
      <c r="CF57" s="277"/>
      <c r="CG57" s="277"/>
      <c r="CI57" s="4" t="s">
        <v>381</v>
      </c>
    </row>
    <row r="58" spans="1:88" s="4" customFormat="1" ht="18" customHeight="1" outlineLevel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/>
      <c r="BX58" s="277"/>
      <c r="BY58" s="277"/>
      <c r="BZ58" s="277"/>
      <c r="CA58" s="277"/>
      <c r="CB58" s="277"/>
      <c r="CC58" s="277"/>
      <c r="CD58" s="277"/>
      <c r="CE58" s="277"/>
      <c r="CF58" s="277"/>
      <c r="CG58" s="277"/>
      <c r="CI58" s="4" t="s">
        <v>382</v>
      </c>
    </row>
    <row r="59" spans="1:88" s="4" customFormat="1" ht="18" customHeight="1" outlineLevel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4.38</v>
      </c>
      <c r="H59" s="85"/>
      <c r="I59" s="86">
        <f t="shared" ref="I59" si="631">+I62+I65+I67</f>
        <v>4.38</v>
      </c>
      <c r="J59" s="85"/>
      <c r="K59" s="86">
        <f t="shared" ref="K59" si="632">+K62+K65+K67</f>
        <v>4.38</v>
      </c>
      <c r="L59" s="85"/>
      <c r="M59" s="86">
        <f t="shared" ref="M59" si="633">+M62+M65+M67</f>
        <v>4.38</v>
      </c>
      <c r="N59" s="85"/>
      <c r="O59" s="86">
        <f t="shared" ref="O59" si="634">+O62+O65+O67</f>
        <v>4.38</v>
      </c>
      <c r="P59" s="85"/>
      <c r="Q59" s="86">
        <f t="shared" ref="Q59" si="635">+Q62+Q65+Q67</f>
        <v>4.38</v>
      </c>
      <c r="R59" s="85"/>
      <c r="S59" s="86">
        <f t="shared" ref="S59" si="636">+S62+S65+S67</f>
        <v>4.38</v>
      </c>
      <c r="T59" s="85"/>
      <c r="U59" s="86">
        <f t="shared" ref="U59" si="637">+U62+U65+U67</f>
        <v>4.38</v>
      </c>
      <c r="V59" s="85"/>
      <c r="W59" s="86">
        <f t="shared" ref="W59" si="638">+W62+W65+W67</f>
        <v>4.38</v>
      </c>
      <c r="X59" s="85"/>
      <c r="Y59" s="86">
        <f t="shared" ref="Y59" si="639">+Y62+Y65+Y67</f>
        <v>4.38</v>
      </c>
      <c r="Z59" s="85"/>
      <c r="AA59" s="86">
        <f t="shared" ref="AA59" si="640">+AA62+AA65+AA67</f>
        <v>4.38</v>
      </c>
      <c r="AB59" s="85"/>
      <c r="AC59" s="86">
        <f t="shared" ref="AC59:AI59" si="641">+AC62+AC65+AC67</f>
        <v>4.38</v>
      </c>
      <c r="AD59" s="85"/>
      <c r="AE59" s="86">
        <f t="shared" si="641"/>
        <v>4.38</v>
      </c>
      <c r="AF59" s="85"/>
      <c r="AG59" s="86">
        <f t="shared" si="641"/>
        <v>4.38</v>
      </c>
      <c r="AH59" s="85"/>
      <c r="AI59" s="86">
        <f t="shared" si="641"/>
        <v>4.38</v>
      </c>
      <c r="AJ59" s="85"/>
      <c r="AK59" s="86">
        <f t="shared" ref="AK59" si="642">+AK62+AK65+AK67</f>
        <v>4.38</v>
      </c>
      <c r="AL59" s="85"/>
      <c r="AM59" s="86">
        <f t="shared" ref="AM59" si="643">+AM62+AM65+AM67</f>
        <v>4.38</v>
      </c>
      <c r="AN59" s="85"/>
      <c r="AO59" s="86">
        <f t="shared" ref="AO59:AQ59" si="644">+AO62+AO65+AO67</f>
        <v>4.38</v>
      </c>
      <c r="AP59" s="85"/>
      <c r="AQ59" s="86">
        <f t="shared" si="644"/>
        <v>4.38</v>
      </c>
      <c r="AR59" s="85"/>
      <c r="AS59" s="86">
        <f t="shared" ref="AS59:AU59" si="645">+AS62+AS65+AS67</f>
        <v>4.38</v>
      </c>
      <c r="AT59" s="85"/>
      <c r="AU59" s="86">
        <f t="shared" si="645"/>
        <v>4.38</v>
      </c>
      <c r="AV59" s="85"/>
      <c r="AW59" s="86">
        <f t="shared" ref="AW59" si="646">+AW62+AW65+AW67</f>
        <v>4.38</v>
      </c>
      <c r="AX59" s="85"/>
      <c r="AY59" s="86">
        <f t="shared" ref="AY59" si="647">+AY62+AY65+AY67</f>
        <v>4.38</v>
      </c>
      <c r="AZ59" s="85"/>
      <c r="BA59" s="86">
        <f>+BA62+BA65+BA67</f>
        <v>4.4000000000000004</v>
      </c>
      <c r="BB59" s="85"/>
      <c r="BC59" s="86">
        <f>+BC62+BC65+BC67</f>
        <v>4.4000000000000004</v>
      </c>
      <c r="BD59" s="85"/>
      <c r="BE59" s="86">
        <f>+BE62+BE65+BE67</f>
        <v>4.4000000000000004</v>
      </c>
      <c r="BF59" s="85"/>
      <c r="BG59" s="86">
        <f>+BG62+BG65+BG67</f>
        <v>4.4000000000000004</v>
      </c>
      <c r="BH59" s="85"/>
      <c r="BI59" s="86">
        <f>+BI62+BI65+BI67</f>
        <v>4.4000000000000004</v>
      </c>
      <c r="BJ59" s="85"/>
      <c r="BK59" s="86">
        <f>+BK62+BK65+BK67</f>
        <v>4.4000000000000004</v>
      </c>
      <c r="BL59" s="85"/>
      <c r="BM59" s="86">
        <f>+BM62+BM65+BM67</f>
        <v>4.3986910000000004</v>
      </c>
      <c r="BN59" s="85"/>
      <c r="BO59" s="86">
        <f>+BO62+BO65+BO67</f>
        <v>4.3986910000000004</v>
      </c>
      <c r="BP59" s="85"/>
      <c r="BQ59" s="86">
        <f>+BQ62+BQ65+BQ67</f>
        <v>4.3986910000000004</v>
      </c>
      <c r="BR59" s="85"/>
      <c r="BS59" s="86">
        <f t="shared" ref="BS59:BU59" si="648">+BS62+BS65+BS67</f>
        <v>4.8562500000000002</v>
      </c>
      <c r="BT59" s="85"/>
      <c r="BU59" s="86">
        <f t="shared" si="648"/>
        <v>4.8562500000000002</v>
      </c>
      <c r="BV59" s="85"/>
      <c r="BW59" s="86"/>
      <c r="BX59" s="277"/>
      <c r="BY59" s="277"/>
      <c r="BZ59" s="277"/>
      <c r="CA59" s="277"/>
      <c r="CB59" s="277"/>
      <c r="CC59" s="277"/>
      <c r="CD59" s="277"/>
      <c r="CE59" s="277"/>
      <c r="CF59" s="277"/>
      <c r="CG59" s="277"/>
      <c r="CI59" s="4" t="s">
        <v>383</v>
      </c>
    </row>
    <row r="60" spans="1:88" s="4" customFormat="1" ht="18" customHeight="1" outlineLevel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4.38</v>
      </c>
      <c r="H60" s="81"/>
      <c r="I60" s="82">
        <f t="shared" ref="I60" si="649">I65+I67</f>
        <v>4.38</v>
      </c>
      <c r="J60" s="81"/>
      <c r="K60" s="82">
        <f t="shared" ref="K60" si="650">K65+K67</f>
        <v>4.38</v>
      </c>
      <c r="L60" s="81"/>
      <c r="M60" s="82">
        <f t="shared" ref="M60" si="651">M65+M67</f>
        <v>4.38</v>
      </c>
      <c r="N60" s="81"/>
      <c r="O60" s="82">
        <f t="shared" ref="O60" si="652">O65+O67</f>
        <v>4.38</v>
      </c>
      <c r="P60" s="81"/>
      <c r="Q60" s="82">
        <f t="shared" ref="Q60" si="653">Q65+Q67</f>
        <v>4.38</v>
      </c>
      <c r="R60" s="81"/>
      <c r="S60" s="82">
        <f t="shared" ref="S60" si="654">S65+S67</f>
        <v>4.38</v>
      </c>
      <c r="T60" s="81"/>
      <c r="U60" s="82">
        <f t="shared" ref="U60" si="655">U65+U67</f>
        <v>4.38</v>
      </c>
      <c r="V60" s="81"/>
      <c r="W60" s="82">
        <f t="shared" ref="W60" si="656">W65+W67</f>
        <v>4.38</v>
      </c>
      <c r="X60" s="81"/>
      <c r="Y60" s="82">
        <f t="shared" ref="Y60" si="657">Y65+Y67</f>
        <v>4.38</v>
      </c>
      <c r="Z60" s="81"/>
      <c r="AA60" s="82">
        <f t="shared" ref="AA60" si="658">AA65+AA67</f>
        <v>4.38</v>
      </c>
      <c r="AB60" s="81"/>
      <c r="AC60" s="82">
        <f t="shared" ref="AC60:AI60" si="659">AC65+AC67</f>
        <v>4.38</v>
      </c>
      <c r="AD60" s="81"/>
      <c r="AE60" s="82">
        <f t="shared" si="659"/>
        <v>4.38</v>
      </c>
      <c r="AF60" s="81"/>
      <c r="AG60" s="82">
        <f t="shared" si="659"/>
        <v>4.38</v>
      </c>
      <c r="AH60" s="81"/>
      <c r="AI60" s="82">
        <f t="shared" si="659"/>
        <v>4.38</v>
      </c>
      <c r="AJ60" s="81"/>
      <c r="AK60" s="82">
        <f t="shared" ref="AK60" si="660">AK65+AK67</f>
        <v>4.38</v>
      </c>
      <c r="AL60" s="81"/>
      <c r="AM60" s="82">
        <f t="shared" ref="AM60" si="661">AM65+AM67</f>
        <v>4.38</v>
      </c>
      <c r="AN60" s="81"/>
      <c r="AO60" s="82">
        <f t="shared" ref="AO60:AQ60" si="662">AO65+AO67</f>
        <v>4.38</v>
      </c>
      <c r="AP60" s="81"/>
      <c r="AQ60" s="82">
        <f t="shared" si="662"/>
        <v>4.38</v>
      </c>
      <c r="AR60" s="81"/>
      <c r="AS60" s="82">
        <f t="shared" ref="AS60:AU60" si="663">AS65+AS67</f>
        <v>4.38</v>
      </c>
      <c r="AT60" s="81"/>
      <c r="AU60" s="82">
        <f t="shared" si="663"/>
        <v>4.38</v>
      </c>
      <c r="AV60" s="81"/>
      <c r="AW60" s="82">
        <f t="shared" ref="AW60" si="664">AW65+AW67</f>
        <v>4.38</v>
      </c>
      <c r="AX60" s="81"/>
      <c r="AY60" s="82">
        <f t="shared" ref="AY60" si="665">AY65+AY67</f>
        <v>4.38</v>
      </c>
      <c r="AZ60" s="81"/>
      <c r="BA60" s="82">
        <f>BA65+BA67+BA62</f>
        <v>4.4000000000000004</v>
      </c>
      <c r="BB60" s="81"/>
      <c r="BC60" s="82">
        <f>BC65+BC67+BC62</f>
        <v>4.4000000000000004</v>
      </c>
      <c r="BD60" s="81"/>
      <c r="BE60" s="82">
        <f>BE65+BE67+BE62</f>
        <v>4.4000000000000004</v>
      </c>
      <c r="BF60" s="81"/>
      <c r="BG60" s="82">
        <f>BG65+BG67+BG62</f>
        <v>4.4000000000000004</v>
      </c>
      <c r="BH60" s="81"/>
      <c r="BI60" s="82">
        <f>BI65+BI67+BI62</f>
        <v>4.4000000000000004</v>
      </c>
      <c r="BJ60" s="81"/>
      <c r="BK60" s="82">
        <f>BK65+BK67+BK62</f>
        <v>4.4000000000000004</v>
      </c>
      <c r="BL60" s="81"/>
      <c r="BM60" s="82">
        <f>BM65+BM67+BM63+BM62</f>
        <v>4.3999787500000007</v>
      </c>
      <c r="BN60" s="81"/>
      <c r="BO60" s="82">
        <f>BO65+BO67+BO63+BO62</f>
        <v>4.3999787500000007</v>
      </c>
      <c r="BP60" s="81"/>
      <c r="BQ60" s="82">
        <f>BQ65+BQ67+BQ63+BQ62</f>
        <v>4.3997450000000002</v>
      </c>
      <c r="BR60" s="81"/>
      <c r="BS60" s="82">
        <f t="shared" ref="BS60:BU60" si="666">BS65+BS67+BS62</f>
        <v>4.8562500000000002</v>
      </c>
      <c r="BT60" s="81"/>
      <c r="BU60" s="82">
        <f t="shared" si="666"/>
        <v>4.8562500000000002</v>
      </c>
      <c r="BV60" s="81"/>
      <c r="BW60" s="82"/>
      <c r="BX60" s="276"/>
      <c r="BY60" s="276"/>
      <c r="BZ60" s="276"/>
      <c r="CA60" s="276"/>
      <c r="CB60" s="276"/>
      <c r="CC60" s="276"/>
      <c r="CD60" s="276"/>
      <c r="CE60" s="276"/>
      <c r="CF60" s="276"/>
      <c r="CG60" s="276"/>
      <c r="CI60" s="1278" t="s">
        <v>384</v>
      </c>
      <c r="CJ60" s="1278"/>
    </row>
    <row r="61" spans="1:88" s="4" customFormat="1" ht="18" customHeight="1" outlineLevel="2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42"/>
      <c r="O61" s="88"/>
      <c r="P61" s="42"/>
      <c r="Q61" s="88"/>
      <c r="R61" s="42"/>
      <c r="S61" s="88"/>
      <c r="T61" s="42"/>
      <c r="U61" s="88"/>
      <c r="V61" s="42"/>
      <c r="W61" s="88"/>
      <c r="X61" s="42"/>
      <c r="Y61" s="88"/>
      <c r="Z61" s="42"/>
      <c r="AA61" s="88"/>
      <c r="AB61" s="42"/>
      <c r="AC61" s="88"/>
      <c r="AD61" s="42"/>
      <c r="AE61" s="88"/>
      <c r="AF61" s="42"/>
      <c r="AG61" s="88"/>
      <c r="AH61" s="42"/>
      <c r="AI61" s="88"/>
      <c r="AJ61" s="42"/>
      <c r="AK61" s="88"/>
      <c r="AL61" s="42"/>
      <c r="AM61" s="88"/>
      <c r="AN61" s="42"/>
      <c r="AO61" s="88"/>
      <c r="AP61" s="42"/>
      <c r="AQ61" s="88"/>
      <c r="AR61" s="42"/>
      <c r="AS61" s="88"/>
      <c r="AT61" s="42"/>
      <c r="AU61" s="88"/>
      <c r="AV61" s="42"/>
      <c r="AW61" s="88"/>
      <c r="AX61" s="42"/>
      <c r="AY61" s="88"/>
      <c r="AZ61" s="42"/>
      <c r="BA61" s="88"/>
      <c r="BB61" s="42"/>
      <c r="BC61" s="88"/>
      <c r="BD61" s="42"/>
      <c r="BE61" s="88"/>
      <c r="BF61" s="42"/>
      <c r="BG61" s="88"/>
      <c r="BH61" s="42"/>
      <c r="BI61" s="88"/>
      <c r="BJ61" s="42"/>
      <c r="BK61" s="88"/>
      <c r="BL61" s="359"/>
      <c r="BM61" s="372"/>
      <c r="BN61" s="359"/>
      <c r="BO61" s="372"/>
      <c r="BP61" s="359"/>
      <c r="BQ61" s="372"/>
      <c r="BR61" s="359"/>
      <c r="BS61" s="372"/>
      <c r="BT61" s="359"/>
      <c r="BU61" s="372"/>
      <c r="BV61" s="359"/>
      <c r="BW61" s="372"/>
      <c r="BX61" s="270"/>
      <c r="BY61" s="270"/>
      <c r="BZ61" s="270"/>
      <c r="CA61" s="270"/>
      <c r="CB61" s="270"/>
      <c r="CC61" s="270"/>
      <c r="CD61" s="270"/>
      <c r="CE61" s="270"/>
      <c r="CF61" s="270"/>
      <c r="CG61" s="270"/>
      <c r="CI61" s="1278"/>
      <c r="CJ61" s="1278"/>
    </row>
    <row r="62" spans="1:88" s="4" customFormat="1" ht="18" customHeight="1" outlineLevel="2" x14ac:dyDescent="0.45">
      <c r="A62" s="561"/>
      <c r="B62" s="1184"/>
      <c r="C62" s="71" t="s">
        <v>385</v>
      </c>
      <c r="D62" s="16"/>
      <c r="E62" s="35" t="s">
        <v>68</v>
      </c>
      <c r="F62" s="89"/>
      <c r="G62" s="374">
        <v>0</v>
      </c>
      <c r="H62" s="89"/>
      <c r="I62" s="374">
        <v>0</v>
      </c>
      <c r="J62" s="89"/>
      <c r="K62" s="374">
        <v>0</v>
      </c>
      <c r="L62" s="89"/>
      <c r="M62" s="374">
        <v>0</v>
      </c>
      <c r="N62" s="89"/>
      <c r="O62" s="374">
        <v>0</v>
      </c>
      <c r="P62" s="89"/>
      <c r="Q62" s="374">
        <v>0</v>
      </c>
      <c r="R62" s="89"/>
      <c r="S62" s="374">
        <v>0</v>
      </c>
      <c r="T62" s="89"/>
      <c r="U62" s="374">
        <v>0</v>
      </c>
      <c r="V62" s="89"/>
      <c r="W62" s="374">
        <v>0</v>
      </c>
      <c r="X62" s="89"/>
      <c r="Y62" s="374">
        <v>0</v>
      </c>
      <c r="Z62" s="89"/>
      <c r="AA62" s="374">
        <v>0</v>
      </c>
      <c r="AB62" s="89"/>
      <c r="AC62" s="374">
        <v>0</v>
      </c>
      <c r="AD62" s="89"/>
      <c r="AE62" s="374">
        <v>0</v>
      </c>
      <c r="AF62" s="89"/>
      <c r="AG62" s="374">
        <v>0</v>
      </c>
      <c r="AH62" s="89"/>
      <c r="AI62" s="374">
        <v>0</v>
      </c>
      <c r="AJ62" s="89"/>
      <c r="AK62" s="374">
        <v>0</v>
      </c>
      <c r="AL62" s="89"/>
      <c r="AM62" s="374">
        <v>0</v>
      </c>
      <c r="AN62" s="89"/>
      <c r="AO62" s="374">
        <v>0</v>
      </c>
      <c r="AP62" s="89"/>
      <c r="AQ62" s="374">
        <v>0</v>
      </c>
      <c r="AR62" s="89"/>
      <c r="AS62" s="374">
        <v>0</v>
      </c>
      <c r="AT62" s="89"/>
      <c r="AU62" s="374">
        <v>0</v>
      </c>
      <c r="AV62" s="89"/>
      <c r="AW62" s="374">
        <v>0</v>
      </c>
      <c r="AX62" s="89"/>
      <c r="AY62" s="374">
        <v>0</v>
      </c>
      <c r="AZ62" s="89">
        <f>4.4-BA60</f>
        <v>0</v>
      </c>
      <c r="BA62" s="374">
        <v>-6.2499999999996447E-3</v>
      </c>
      <c r="BB62" s="89">
        <f>4.4-BC60</f>
        <v>0</v>
      </c>
      <c r="BC62" s="374">
        <v>-6.2499999999996447E-3</v>
      </c>
      <c r="BD62" s="89">
        <f>4.4-BE60</f>
        <v>0</v>
      </c>
      <c r="BE62" s="374">
        <v>-6.2499999999996447E-3</v>
      </c>
      <c r="BF62" s="89">
        <f>4.4-BG60</f>
        <v>0</v>
      </c>
      <c r="BG62" s="374">
        <v>-6.2499999999996447E-3</v>
      </c>
      <c r="BH62" s="89">
        <f>4.4-BI60</f>
        <v>0</v>
      </c>
      <c r="BI62" s="374">
        <v>-6.2499999999996447E-3</v>
      </c>
      <c r="BJ62" s="89">
        <f>4.4-BK60</f>
        <v>0</v>
      </c>
      <c r="BK62" s="374">
        <v>-6.2499999999996447E-3</v>
      </c>
      <c r="BL62" s="1145">
        <f>4.4-BM60</f>
        <v>2.1249999999639613E-5</v>
      </c>
      <c r="BM62" s="607">
        <v>-7.5589999999996493E-3</v>
      </c>
      <c r="BN62" s="1145">
        <f>4.4-BO60</f>
        <v>2.1249999999639613E-5</v>
      </c>
      <c r="BO62" s="607">
        <v>-7.5589999999996493E-3</v>
      </c>
      <c r="BP62" s="1145">
        <f>4.4-BQ60</f>
        <v>2.5500000000011624E-4</v>
      </c>
      <c r="BQ62" s="607">
        <v>-7.5589999999996493E-3</v>
      </c>
      <c r="BR62" s="373"/>
      <c r="BS62" s="374">
        <v>0</v>
      </c>
      <c r="BT62" s="373"/>
      <c r="BU62" s="374">
        <v>0</v>
      </c>
      <c r="BV62" s="373"/>
      <c r="BW62" s="374"/>
      <c r="BX62" s="639"/>
      <c r="BY62" s="639"/>
      <c r="BZ62" s="639"/>
      <c r="CA62" s="639"/>
      <c r="CB62" s="639"/>
      <c r="CC62" s="639"/>
      <c r="CD62" s="639"/>
      <c r="CE62" s="639"/>
      <c r="CF62" s="639"/>
      <c r="CG62" s="639"/>
      <c r="CI62" s="1278"/>
      <c r="CJ62" s="1278"/>
    </row>
    <row r="63" spans="1:88" s="4" customFormat="1" ht="18" customHeight="1" outlineLevel="2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2.19725E-3</v>
      </c>
      <c r="H63" s="89"/>
      <c r="I63" s="90">
        <f t="shared" ref="I63" si="667">0.0425/100*(6.2-I57)</f>
        <v>2.19725E-3</v>
      </c>
      <c r="J63" s="89"/>
      <c r="K63" s="90">
        <f t="shared" ref="K63" si="668">0.0425/100*(6.2-K57)</f>
        <v>2.19725E-3</v>
      </c>
      <c r="L63" s="89"/>
      <c r="M63" s="90">
        <f t="shared" ref="M63" si="669">0.0425/100*(6.2-M57)</f>
        <v>2.19725E-3</v>
      </c>
      <c r="N63" s="89"/>
      <c r="O63" s="90">
        <f t="shared" ref="O63" si="670">0.0425/100*(6.2-O57)</f>
        <v>2.19725E-3</v>
      </c>
      <c r="P63" s="89"/>
      <c r="Q63" s="90">
        <f t="shared" ref="Q63" si="671">0.0425/100*(6.2-Q57)</f>
        <v>2.19725E-3</v>
      </c>
      <c r="R63" s="89"/>
      <c r="S63" s="90">
        <f t="shared" ref="S63" si="672">0.0425/100*(6.2-S57)</f>
        <v>2.19725E-3</v>
      </c>
      <c r="T63" s="89"/>
      <c r="U63" s="90">
        <f t="shared" ref="U63" si="673">0.0425/100*(6.2-U57)</f>
        <v>2.19725E-3</v>
      </c>
      <c r="V63" s="89"/>
      <c r="W63" s="90">
        <f t="shared" ref="W63" si="674">0.0425/100*(6.2-W57)</f>
        <v>2.19725E-3</v>
      </c>
      <c r="X63" s="89"/>
      <c r="Y63" s="90">
        <f t="shared" ref="Y63" si="675">0.0425/100*(6.2-Y57)</f>
        <v>2.19725E-3</v>
      </c>
      <c r="Z63" s="89"/>
      <c r="AA63" s="90">
        <f t="shared" ref="AA63" si="676">0.0425/100*(6.2-AA57)</f>
        <v>2.19725E-3</v>
      </c>
      <c r="AB63" s="89"/>
      <c r="AC63" s="90">
        <f t="shared" ref="AC63:AI63" si="677">0.0425/100*(6.2-AC57)</f>
        <v>2.2582219560645014E-3</v>
      </c>
      <c r="AD63" s="89"/>
      <c r="AE63" s="90">
        <f t="shared" si="677"/>
        <v>2.19725E-3</v>
      </c>
      <c r="AF63" s="89"/>
      <c r="AG63" s="90">
        <f t="shared" si="677"/>
        <v>2.19725E-3</v>
      </c>
      <c r="AH63" s="89"/>
      <c r="AI63" s="90">
        <f t="shared" si="677"/>
        <v>2.19725E-3</v>
      </c>
      <c r="AJ63" s="89"/>
      <c r="AK63" s="90">
        <f t="shared" ref="AK63" si="678">0.0425/100*(6.2-AK57)</f>
        <v>2.19725E-3</v>
      </c>
      <c r="AL63" s="89"/>
      <c r="AM63" s="90">
        <f t="shared" ref="AM63" si="679">0.0425/100*(6.2-AM57)</f>
        <v>2.19725E-3</v>
      </c>
      <c r="AN63" s="89"/>
      <c r="AO63" s="90">
        <f t="shared" ref="AO63:AQ63" si="680">0.0425/100*(6.2-AO57)</f>
        <v>2.19725E-3</v>
      </c>
      <c r="AP63" s="89"/>
      <c r="AQ63" s="90">
        <f t="shared" si="680"/>
        <v>2.19725E-3</v>
      </c>
      <c r="AR63" s="89"/>
      <c r="AS63" s="90">
        <f t="shared" ref="AS63:AU63" si="681">0.0425/100*(6.2-AS57)</f>
        <v>2.19725E-3</v>
      </c>
      <c r="AT63" s="89"/>
      <c r="AU63" s="90">
        <f t="shared" si="681"/>
        <v>2.0697500000000004E-3</v>
      </c>
      <c r="AV63" s="89"/>
      <c r="AW63" s="90">
        <f t="shared" ref="AW63" si="682">0.0425/100*(6.2-AW57)</f>
        <v>2.0697500000000004E-3</v>
      </c>
      <c r="AX63" s="89"/>
      <c r="AY63" s="90">
        <f t="shared" ref="AY63:BA63" si="683">0.0425/100*(6.2-AY57)</f>
        <v>2.0697500000000004E-3</v>
      </c>
      <c r="BA63" s="90">
        <f t="shared" si="683"/>
        <v>2.0612500000000001E-3</v>
      </c>
      <c r="BC63" s="90">
        <f t="shared" ref="BC63:BE63" si="684">0.0425/100*(6.2-BC57)</f>
        <v>2.0612500000000001E-3</v>
      </c>
      <c r="BE63" s="90">
        <f t="shared" si="684"/>
        <v>2.0612500000000001E-3</v>
      </c>
      <c r="BG63" s="90">
        <f t="shared" ref="BG63" si="685">0.0425/100*(6.2-BG57)</f>
        <v>2.0612500000000001E-3</v>
      </c>
      <c r="BI63" s="90">
        <f t="shared" ref="BI63:BK63" si="686">0.0425/100*(6.2-BI57)</f>
        <v>2.0612500000000001E-3</v>
      </c>
      <c r="BK63" s="90">
        <f t="shared" si="686"/>
        <v>1.8275000000000001E-3</v>
      </c>
      <c r="BL63" s="373"/>
      <c r="BM63" s="607">
        <f>0.0425%*(4.38-BM57)</f>
        <v>1.28775E-3</v>
      </c>
      <c r="BN63" s="373"/>
      <c r="BO63" s="607">
        <f>0.0425%*(4.38-BO57)</f>
        <v>1.28775E-3</v>
      </c>
      <c r="BP63" s="373"/>
      <c r="BQ63" s="607">
        <f>0.0425%*(4.38-BQ57)</f>
        <v>1.054E-3</v>
      </c>
      <c r="BR63" s="373"/>
      <c r="BS63" s="374">
        <f t="shared" ref="BS63:BU63" si="687">0.0425/100*(6.2-BS57)</f>
        <v>2.1462500000000006E-3</v>
      </c>
      <c r="BT63" s="373"/>
      <c r="BU63" s="374">
        <f t="shared" si="687"/>
        <v>1.7000000000000001E-3</v>
      </c>
      <c r="BV63" s="373"/>
      <c r="BW63" s="374"/>
      <c r="BX63" s="278"/>
      <c r="BY63" s="278"/>
      <c r="BZ63" s="278"/>
      <c r="CA63" s="278"/>
      <c r="CB63" s="278"/>
      <c r="CC63" s="278"/>
      <c r="CD63" s="278"/>
      <c r="CE63" s="278"/>
      <c r="CF63" s="278"/>
      <c r="CG63" s="278"/>
      <c r="CI63" s="1278"/>
      <c r="CJ63" s="1278"/>
    </row>
    <row r="64" spans="1:88" s="4" customFormat="1" ht="18" customHeight="1" outlineLevel="2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42"/>
      <c r="I64" s="91">
        <v>1200</v>
      </c>
      <c r="J64" s="42"/>
      <c r="K64" s="91">
        <v>1200</v>
      </c>
      <c r="L64" s="42"/>
      <c r="M64" s="91">
        <v>1200</v>
      </c>
      <c r="N64" s="42"/>
      <c r="O64" s="91">
        <v>1200</v>
      </c>
      <c r="P64" s="42"/>
      <c r="Q64" s="91">
        <v>1200</v>
      </c>
      <c r="R64" s="42"/>
      <c r="S64" s="91">
        <v>1200</v>
      </c>
      <c r="T64" s="42"/>
      <c r="U64" s="91">
        <v>1200</v>
      </c>
      <c r="V64" s="42"/>
      <c r="W64" s="91">
        <v>1200</v>
      </c>
      <c r="X64" s="42"/>
      <c r="Y64" s="91">
        <v>1200</v>
      </c>
      <c r="Z64" s="42"/>
      <c r="AA64" s="91">
        <v>1200</v>
      </c>
      <c r="AB64" s="42"/>
      <c r="AC64" s="91">
        <v>1200</v>
      </c>
      <c r="AD64" s="42"/>
      <c r="AE64" s="91">
        <v>1200</v>
      </c>
      <c r="AF64" s="42"/>
      <c r="AG64" s="91">
        <v>1200</v>
      </c>
      <c r="AH64" s="42"/>
      <c r="AI64" s="91">
        <v>1200</v>
      </c>
      <c r="AJ64" s="42"/>
      <c r="AK64" s="91">
        <v>1200</v>
      </c>
      <c r="AL64" s="42"/>
      <c r="AM64" s="91">
        <v>1200</v>
      </c>
      <c r="AN64" s="42"/>
      <c r="AO64" s="91">
        <v>1200</v>
      </c>
      <c r="AP64" s="42"/>
      <c r="AQ64" s="91">
        <v>1200</v>
      </c>
      <c r="AR64" s="42"/>
      <c r="AS64" s="91">
        <v>1200</v>
      </c>
      <c r="AT64" s="42"/>
      <c r="AU64" s="91">
        <v>1200</v>
      </c>
      <c r="AV64" s="42"/>
      <c r="AW64" s="91">
        <v>1200</v>
      </c>
      <c r="AX64" s="42"/>
      <c r="AY64" s="91">
        <v>1200</v>
      </c>
      <c r="AZ64" s="42"/>
      <c r="BA64" s="91">
        <v>750</v>
      </c>
      <c r="BB64" s="42"/>
      <c r="BC64" s="91">
        <v>750</v>
      </c>
      <c r="BD64" s="42"/>
      <c r="BE64" s="91">
        <v>750</v>
      </c>
      <c r="BF64" s="42"/>
      <c r="BG64" s="91">
        <v>750</v>
      </c>
      <c r="BH64" s="42"/>
      <c r="BI64" s="91">
        <v>750</v>
      </c>
      <c r="BJ64" s="42"/>
      <c r="BK64" s="91">
        <v>750</v>
      </c>
      <c r="BL64" s="359"/>
      <c r="BM64" s="91">
        <v>750</v>
      </c>
      <c r="BN64" s="359"/>
      <c r="BO64" s="91">
        <v>750</v>
      </c>
      <c r="BP64" s="359"/>
      <c r="BQ64" s="91">
        <v>750</v>
      </c>
      <c r="BR64" s="359"/>
      <c r="BS64" s="91">
        <v>750</v>
      </c>
      <c r="BT64" s="359"/>
      <c r="BU64" s="91">
        <v>750</v>
      </c>
      <c r="BV64" s="359"/>
      <c r="BW64" s="91"/>
      <c r="BX64" s="669"/>
      <c r="BY64" s="669"/>
      <c r="BZ64" s="669"/>
      <c r="CA64" s="669"/>
      <c r="CB64" s="669"/>
      <c r="CC64" s="669"/>
      <c r="CD64" s="669"/>
      <c r="CE64" s="669"/>
      <c r="CF64" s="669"/>
      <c r="CG64" s="669"/>
      <c r="CI64" s="1278" t="s">
        <v>386</v>
      </c>
      <c r="CJ64" s="1278"/>
    </row>
    <row r="65" spans="1:88" s="97" customFormat="1" ht="18" customHeight="1" outlineLevel="2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0.25</v>
      </c>
      <c r="H65" s="95"/>
      <c r="I65" s="96">
        <f t="shared" ref="I65" si="688">+I64/I66</f>
        <v>0.25</v>
      </c>
      <c r="J65" s="95"/>
      <c r="K65" s="96">
        <f t="shared" ref="K65" si="689">+K64/K66</f>
        <v>0.25</v>
      </c>
      <c r="L65" s="95"/>
      <c r="M65" s="96">
        <f t="shared" ref="M65" si="690">+M64/M66</f>
        <v>0.25</v>
      </c>
      <c r="N65" s="95"/>
      <c r="O65" s="96">
        <f t="shared" ref="O65" si="691">+O64/O66</f>
        <v>0.25</v>
      </c>
      <c r="P65" s="95"/>
      <c r="Q65" s="96">
        <f t="shared" ref="Q65" si="692">+Q64/Q66</f>
        <v>0.25</v>
      </c>
      <c r="R65" s="95"/>
      <c r="S65" s="96">
        <f t="shared" ref="S65" si="693">+S64/S66</f>
        <v>0.25</v>
      </c>
      <c r="T65" s="95"/>
      <c r="U65" s="96">
        <f t="shared" ref="U65" si="694">+U64/U66</f>
        <v>0.25</v>
      </c>
      <c r="V65" s="95"/>
      <c r="W65" s="96">
        <f t="shared" ref="W65" si="695">+W64/W66</f>
        <v>0.25</v>
      </c>
      <c r="X65" s="95"/>
      <c r="Y65" s="96">
        <f t="shared" ref="Y65" si="696">+Y64/Y66</f>
        <v>0.25</v>
      </c>
      <c r="Z65" s="95"/>
      <c r="AA65" s="96">
        <f t="shared" ref="AA65" si="697">+AA64/AA66</f>
        <v>0.25</v>
      </c>
      <c r="AB65" s="95"/>
      <c r="AC65" s="96">
        <f t="shared" ref="AC65" si="698">+AC64/AC66</f>
        <v>0.25</v>
      </c>
      <c r="AD65" s="95"/>
      <c r="AE65" s="96">
        <f t="shared" ref="AE65" si="699">+AE64/AE66</f>
        <v>0.25</v>
      </c>
      <c r="AF65" s="95"/>
      <c r="AG65" s="96">
        <f t="shared" ref="AG65" si="700">+AG64/AG66</f>
        <v>0.25</v>
      </c>
      <c r="AH65" s="95"/>
      <c r="AI65" s="96">
        <f t="shared" ref="AI65" si="701">+AI64/AI66</f>
        <v>0.25</v>
      </c>
      <c r="AJ65" s="95"/>
      <c r="AK65" s="96">
        <f t="shared" ref="AK65" si="702">+AK64/AK66</f>
        <v>0.25</v>
      </c>
      <c r="AL65" s="95"/>
      <c r="AM65" s="96">
        <f t="shared" ref="AM65" si="703">+AM64/AM66</f>
        <v>0.25</v>
      </c>
      <c r="AN65" s="95"/>
      <c r="AO65" s="96">
        <f t="shared" ref="AO65:AQ65" si="704">+AO64/AO66</f>
        <v>0.25</v>
      </c>
      <c r="AP65" s="95"/>
      <c r="AQ65" s="96">
        <f t="shared" si="704"/>
        <v>0.25</v>
      </c>
      <c r="AR65" s="95"/>
      <c r="AS65" s="96">
        <f t="shared" ref="AS65:AU65" si="705">+AS64/AS66</f>
        <v>0.25</v>
      </c>
      <c r="AT65" s="95"/>
      <c r="AU65" s="96">
        <f t="shared" si="705"/>
        <v>0.25</v>
      </c>
      <c r="AV65" s="95"/>
      <c r="AW65" s="96">
        <f t="shared" ref="AW65" si="706">+AW64/AW66</f>
        <v>0.25</v>
      </c>
      <c r="AX65" s="95"/>
      <c r="AY65" s="96">
        <f t="shared" ref="AY65" si="707">+AY64/AY66</f>
        <v>0.25</v>
      </c>
      <c r="AZ65" s="95"/>
      <c r="BA65" s="96">
        <f t="shared" ref="BA65:BC65" si="708">+BA64/BA66</f>
        <v>0.15625</v>
      </c>
      <c r="BB65" s="95"/>
      <c r="BC65" s="96">
        <f t="shared" si="708"/>
        <v>0.15625</v>
      </c>
      <c r="BD65" s="95"/>
      <c r="BE65" s="96">
        <f t="shared" ref="BE65:BI65" si="709">+BE64/BE66</f>
        <v>0.15625</v>
      </c>
      <c r="BF65" s="95"/>
      <c r="BG65" s="96">
        <f t="shared" ref="BG65" si="710">+BG64/BG66</f>
        <v>0.15625</v>
      </c>
      <c r="BH65" s="95"/>
      <c r="BI65" s="96">
        <f t="shared" si="709"/>
        <v>0.15625</v>
      </c>
      <c r="BJ65" s="95"/>
      <c r="BK65" s="96">
        <f t="shared" ref="BK65" si="711">+BK64/BK66</f>
        <v>0.15625</v>
      </c>
      <c r="BL65" s="375"/>
      <c r="BM65" s="376">
        <f>+BM64/BM66</f>
        <v>0.15625</v>
      </c>
      <c r="BN65" s="375"/>
      <c r="BO65" s="376">
        <f>+BO64/BO66</f>
        <v>0.15625</v>
      </c>
      <c r="BP65" s="375"/>
      <c r="BQ65" s="376">
        <f>+BQ64/BQ66</f>
        <v>0.15625</v>
      </c>
      <c r="BR65" s="375"/>
      <c r="BS65" s="376">
        <f t="shared" ref="BS65:BU65" si="712">+BS64/BS66</f>
        <v>0.15625</v>
      </c>
      <c r="BT65" s="375"/>
      <c r="BU65" s="376">
        <f t="shared" si="712"/>
        <v>0.15625</v>
      </c>
      <c r="BV65" s="375"/>
      <c r="BW65" s="376"/>
      <c r="BX65" s="279"/>
      <c r="BY65" s="279"/>
      <c r="BZ65" s="279"/>
      <c r="CA65" s="279"/>
      <c r="CB65" s="279"/>
      <c r="CC65" s="279"/>
      <c r="CD65" s="279"/>
      <c r="CE65" s="279"/>
      <c r="CF65" s="279"/>
      <c r="CG65" s="279"/>
      <c r="CI65" s="1278"/>
      <c r="CJ65" s="1278"/>
    </row>
    <row r="66" spans="1:88" s="4" customFormat="1" ht="18" customHeight="1" outlineLevel="2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4800</v>
      </c>
      <c r="H66" s="42"/>
      <c r="I66" s="88">
        <v>4800</v>
      </c>
      <c r="J66" s="42"/>
      <c r="K66" s="88">
        <v>4800</v>
      </c>
      <c r="L66" s="42"/>
      <c r="M66" s="88">
        <v>4800</v>
      </c>
      <c r="N66" s="42"/>
      <c r="O66" s="88">
        <v>4800</v>
      </c>
      <c r="P66" s="42"/>
      <c r="Q66" s="88">
        <v>4800</v>
      </c>
      <c r="R66" s="42"/>
      <c r="S66" s="88">
        <v>4800</v>
      </c>
      <c r="T66" s="42"/>
      <c r="U66" s="88">
        <v>4800</v>
      </c>
      <c r="V66" s="42"/>
      <c r="W66" s="88">
        <v>4800</v>
      </c>
      <c r="X66" s="42"/>
      <c r="Y66" s="88">
        <v>4800</v>
      </c>
      <c r="Z66" s="42"/>
      <c r="AA66" s="88">
        <v>4800</v>
      </c>
      <c r="AB66" s="42"/>
      <c r="AC66" s="88">
        <v>4800</v>
      </c>
      <c r="AD66" s="42"/>
      <c r="AE66" s="88">
        <v>4800</v>
      </c>
      <c r="AF66" s="42"/>
      <c r="AG66" s="88">
        <v>4800</v>
      </c>
      <c r="AH66" s="42"/>
      <c r="AI66" s="88">
        <v>4800</v>
      </c>
      <c r="AJ66" s="42"/>
      <c r="AK66" s="88">
        <v>4800</v>
      </c>
      <c r="AL66" s="42"/>
      <c r="AM66" s="88">
        <v>4800</v>
      </c>
      <c r="AN66" s="42"/>
      <c r="AO66" s="88">
        <v>4800</v>
      </c>
      <c r="AP66" s="42"/>
      <c r="AQ66" s="88">
        <v>4800</v>
      </c>
      <c r="AR66" s="42"/>
      <c r="AS66" s="88">
        <v>4800</v>
      </c>
      <c r="AT66" s="42"/>
      <c r="AU66" s="88">
        <v>4800</v>
      </c>
      <c r="AV66" s="42"/>
      <c r="AW66" s="88">
        <v>4800</v>
      </c>
      <c r="AX66" s="42"/>
      <c r="AY66" s="88">
        <v>4800</v>
      </c>
      <c r="AZ66" s="42"/>
      <c r="BA66" s="88">
        <v>4800</v>
      </c>
      <c r="BB66" s="42"/>
      <c r="BC66" s="88">
        <v>4800</v>
      </c>
      <c r="BD66" s="42"/>
      <c r="BE66" s="88">
        <v>4800</v>
      </c>
      <c r="BF66" s="42"/>
      <c r="BG66" s="88">
        <v>4800</v>
      </c>
      <c r="BH66" s="42"/>
      <c r="BI66" s="88">
        <v>4800</v>
      </c>
      <c r="BJ66" s="42"/>
      <c r="BK66" s="88">
        <v>4800</v>
      </c>
      <c r="BL66" s="359"/>
      <c r="BM66" s="372">
        <v>4800</v>
      </c>
      <c r="BN66" s="359"/>
      <c r="BO66" s="372">
        <v>4800</v>
      </c>
      <c r="BP66" s="359"/>
      <c r="BQ66" s="372">
        <v>4800</v>
      </c>
      <c r="BR66" s="359"/>
      <c r="BS66" s="372">
        <f t="shared" ref="BS66" si="713">BI66</f>
        <v>4800</v>
      </c>
      <c r="BT66" s="359"/>
      <c r="BU66" s="372">
        <f t="shared" ref="BU66" si="714">BK66</f>
        <v>4800</v>
      </c>
      <c r="BV66" s="359"/>
      <c r="BW66" s="372"/>
      <c r="BX66" s="270"/>
      <c r="BY66" s="270"/>
      <c r="BZ66" s="270"/>
      <c r="CA66" s="270"/>
      <c r="CB66" s="270"/>
      <c r="CC66" s="270"/>
      <c r="CD66" s="270"/>
      <c r="CE66" s="270"/>
      <c r="CF66" s="270"/>
      <c r="CG66" s="270"/>
      <c r="CI66" s="1278"/>
      <c r="CJ66" s="1278"/>
    </row>
    <row r="67" spans="1:88" s="7" customFormat="1" ht="18" customHeight="1" outlineLevel="2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4.13</v>
      </c>
      <c r="H67" s="81"/>
      <c r="I67" s="82">
        <v>4.13</v>
      </c>
      <c r="J67" s="81"/>
      <c r="K67" s="82">
        <v>4.13</v>
      </c>
      <c r="L67" s="81"/>
      <c r="M67" s="82">
        <v>4.13</v>
      </c>
      <c r="N67" s="81"/>
      <c r="O67" s="82">
        <v>4.13</v>
      </c>
      <c r="P67" s="81"/>
      <c r="Q67" s="82">
        <v>4.13</v>
      </c>
      <c r="R67" s="81"/>
      <c r="S67" s="82">
        <v>4.13</v>
      </c>
      <c r="T67" s="81"/>
      <c r="U67" s="82">
        <v>4.13</v>
      </c>
      <c r="V67" s="81"/>
      <c r="W67" s="82">
        <v>4.13</v>
      </c>
      <c r="X67" s="81"/>
      <c r="Y67" s="82">
        <v>4.13</v>
      </c>
      <c r="Z67" s="81"/>
      <c r="AA67" s="82">
        <v>4.13</v>
      </c>
      <c r="AB67" s="81"/>
      <c r="AC67" s="82">
        <v>4.13</v>
      </c>
      <c r="AD67" s="81"/>
      <c r="AE67" s="82">
        <v>4.13</v>
      </c>
      <c r="AF67" s="81"/>
      <c r="AG67" s="82">
        <v>4.13</v>
      </c>
      <c r="AH67" s="81"/>
      <c r="AI67" s="82">
        <v>4.13</v>
      </c>
      <c r="AJ67" s="81"/>
      <c r="AK67" s="82">
        <v>4.13</v>
      </c>
      <c r="AL67" s="81"/>
      <c r="AM67" s="82">
        <v>4.13</v>
      </c>
      <c r="AN67" s="81"/>
      <c r="AO67" s="82">
        <v>4.13</v>
      </c>
      <c r="AP67" s="81"/>
      <c r="AQ67" s="82">
        <v>4.13</v>
      </c>
      <c r="AR67" s="81"/>
      <c r="AS67" s="82">
        <v>4.13</v>
      </c>
      <c r="AT67" s="81"/>
      <c r="AU67" s="82">
        <v>4.13</v>
      </c>
      <c r="AV67" s="81"/>
      <c r="AW67" s="82">
        <v>4.13</v>
      </c>
      <c r="AX67" s="81"/>
      <c r="AY67" s="82">
        <v>4.13</v>
      </c>
      <c r="AZ67" s="81"/>
      <c r="BA67" s="82">
        <f>4.13+0.12</f>
        <v>4.25</v>
      </c>
      <c r="BB67" s="81"/>
      <c r="BC67" s="82">
        <f>4.13+0.12</f>
        <v>4.25</v>
      </c>
      <c r="BD67" s="81"/>
      <c r="BE67" s="82">
        <f>4.13+0.12</f>
        <v>4.25</v>
      </c>
      <c r="BF67" s="81"/>
      <c r="BG67" s="82">
        <f>4.13+0.12</f>
        <v>4.25</v>
      </c>
      <c r="BH67" s="81"/>
      <c r="BI67" s="82">
        <f>4.13+0.12</f>
        <v>4.25</v>
      </c>
      <c r="BJ67" s="81"/>
      <c r="BK67" s="82">
        <f>4.13+0.12</f>
        <v>4.25</v>
      </c>
      <c r="BL67" s="81"/>
      <c r="BM67" s="82">
        <f>4.1+0.15</f>
        <v>4.25</v>
      </c>
      <c r="BN67" s="81"/>
      <c r="BO67" s="82">
        <f>4.1+0.15</f>
        <v>4.25</v>
      </c>
      <c r="BP67" s="81"/>
      <c r="BQ67" s="82">
        <f>4.1+0.15</f>
        <v>4.25</v>
      </c>
      <c r="BR67" s="81"/>
      <c r="BS67" s="82">
        <v>4.7</v>
      </c>
      <c r="BT67" s="81"/>
      <c r="BU67" s="82">
        <v>4.7</v>
      </c>
      <c r="BV67" s="81"/>
      <c r="BW67" s="82"/>
      <c r="BX67" s="276"/>
      <c r="BY67" s="276"/>
      <c r="BZ67" s="276"/>
      <c r="CA67" s="276"/>
      <c r="CB67" s="276"/>
      <c r="CC67" s="276"/>
      <c r="CD67" s="276"/>
      <c r="CE67" s="276"/>
      <c r="CF67" s="276"/>
      <c r="CG67" s="276"/>
      <c r="CI67" s="1278"/>
      <c r="CJ67" s="1278"/>
    </row>
    <row r="68" spans="1:88" s="7" customFormat="1" ht="18" customHeight="1" outlineLevel="2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3.0999999999999996</v>
      </c>
      <c r="H68" s="81"/>
      <c r="I68" s="82">
        <f t="shared" ref="I68" si="715">I56-I65</f>
        <v>3.0999999999999996</v>
      </c>
      <c r="J68" s="81"/>
      <c r="K68" s="82">
        <f t="shared" ref="K68" si="716">K56-K65</f>
        <v>3.0999999999999996</v>
      </c>
      <c r="L68" s="81"/>
      <c r="M68" s="82">
        <f t="shared" ref="M68" si="717">M56-M65</f>
        <v>3.0999999999999996</v>
      </c>
      <c r="N68" s="81"/>
      <c r="O68" s="82">
        <f t="shared" ref="O68" si="718">O56-O65</f>
        <v>3.0999999999999996</v>
      </c>
      <c r="P68" s="81"/>
      <c r="Q68" s="82">
        <f t="shared" ref="Q68" si="719">Q56-Q65</f>
        <v>3.0999999999999996</v>
      </c>
      <c r="R68" s="81"/>
      <c r="S68" s="82">
        <f t="shared" ref="S68" si="720">S56-S65</f>
        <v>3.0999999999999996</v>
      </c>
      <c r="T68" s="81"/>
      <c r="U68" s="82">
        <f t="shared" ref="U68" si="721">U56-U65</f>
        <v>3.0999999999999996</v>
      </c>
      <c r="V68" s="81"/>
      <c r="W68" s="82">
        <f t="shared" ref="W68" si="722">W56-W65</f>
        <v>3.0999999999999996</v>
      </c>
      <c r="X68" s="81"/>
      <c r="Y68" s="82">
        <f t="shared" ref="Y68" si="723">Y56-Y65</f>
        <v>3.0999999999999996</v>
      </c>
      <c r="Z68" s="81"/>
      <c r="AA68" s="82">
        <f t="shared" ref="AA68" si="724">AA56-AA65</f>
        <v>3.0999999999999996</v>
      </c>
      <c r="AB68" s="81"/>
      <c r="AC68" s="82">
        <f t="shared" ref="AC68:AI68" si="725">AC56-AC65</f>
        <v>3.2434634260341202</v>
      </c>
      <c r="AD68" s="81"/>
      <c r="AE68" s="82">
        <f t="shared" si="725"/>
        <v>3.0999999999999996</v>
      </c>
      <c r="AF68" s="81"/>
      <c r="AG68" s="82">
        <f t="shared" si="725"/>
        <v>3.0999999999999996</v>
      </c>
      <c r="AH68" s="81"/>
      <c r="AI68" s="82">
        <f t="shared" si="725"/>
        <v>3.0999999999999996</v>
      </c>
      <c r="AJ68" s="81"/>
      <c r="AK68" s="82">
        <f t="shared" ref="AK68" si="726">AK56-AK65</f>
        <v>3.0999999999999996</v>
      </c>
      <c r="AL68" s="81"/>
      <c r="AM68" s="82">
        <f t="shared" ref="AM68" si="727">AM56-AM65</f>
        <v>3.0999999999999996</v>
      </c>
      <c r="AN68" s="81"/>
      <c r="AO68" s="82">
        <f t="shared" ref="AO68:AQ68" si="728">AO56-AO65</f>
        <v>3.0999999999999996</v>
      </c>
      <c r="AP68" s="81"/>
      <c r="AQ68" s="82">
        <f t="shared" si="728"/>
        <v>3.0999999999999996</v>
      </c>
      <c r="AR68" s="81"/>
      <c r="AS68" s="82">
        <f t="shared" ref="AS68:AU68" si="729">AS56-AS65</f>
        <v>3.0999999999999996</v>
      </c>
      <c r="AT68" s="81"/>
      <c r="AU68" s="82">
        <f t="shared" si="729"/>
        <v>2.8</v>
      </c>
      <c r="AV68" s="81"/>
      <c r="AW68" s="82">
        <f t="shared" ref="AW68" si="730">AW56-AW65</f>
        <v>2.8</v>
      </c>
      <c r="AX68" s="81"/>
      <c r="AY68" s="82">
        <f t="shared" ref="AY68" si="731">AY56-AY65</f>
        <v>2.8</v>
      </c>
      <c r="AZ68" s="81"/>
      <c r="BA68" s="82">
        <f t="shared" ref="BA68:BC68" si="732">BA56-BA65</f>
        <v>2.8937500000000003</v>
      </c>
      <c r="BB68" s="81"/>
      <c r="BC68" s="82">
        <f t="shared" si="732"/>
        <v>2.8937500000000003</v>
      </c>
      <c r="BD68" s="81"/>
      <c r="BE68" s="82">
        <f t="shared" ref="BE68:BI68" si="733">BE56-BE65</f>
        <v>2.8937500000000003</v>
      </c>
      <c r="BF68" s="81"/>
      <c r="BG68" s="82">
        <f t="shared" ref="BG68" si="734">BG56-BG65</f>
        <v>2.8937500000000003</v>
      </c>
      <c r="BH68" s="81"/>
      <c r="BI68" s="82">
        <f t="shared" si="733"/>
        <v>2.8937500000000003</v>
      </c>
      <c r="BJ68" s="81"/>
      <c r="BK68" s="82">
        <f t="shared" ref="BK68:BQ68" si="735">BK56-BK65</f>
        <v>2.34375</v>
      </c>
      <c r="BL68" s="81"/>
      <c r="BM68" s="82">
        <f t="shared" ref="BM68" si="736">BM56-BM65</f>
        <v>2.8937287500000006</v>
      </c>
      <c r="BN68" s="81"/>
      <c r="BO68" s="82">
        <f t="shared" si="735"/>
        <v>2.8937287500000006</v>
      </c>
      <c r="BP68" s="81"/>
      <c r="BQ68" s="82">
        <f t="shared" si="735"/>
        <v>2.3434950000000003</v>
      </c>
      <c r="BR68" s="81"/>
      <c r="BS68" s="82">
        <f t="shared" ref="BS68:BU68" si="737">BS56-BS65</f>
        <v>3.5500000000000003</v>
      </c>
      <c r="BT68" s="81"/>
      <c r="BU68" s="82">
        <f t="shared" si="737"/>
        <v>2.5</v>
      </c>
      <c r="BV68" s="81"/>
      <c r="BW68" s="82"/>
      <c r="BX68" s="276"/>
      <c r="BY68" s="276"/>
      <c r="BZ68" s="276"/>
      <c r="CA68" s="276"/>
      <c r="CB68" s="276"/>
      <c r="CC68" s="276"/>
      <c r="CD68" s="276"/>
      <c r="CE68" s="276"/>
      <c r="CF68" s="276"/>
      <c r="CG68" s="276"/>
    </row>
    <row r="69" spans="1:88" s="103" customFormat="1" ht="18" customHeight="1" outlineLevel="2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0.34416666666666668</v>
      </c>
      <c r="H69" s="101"/>
      <c r="I69" s="102">
        <f t="shared" ref="I69" si="738">+I67/I10</f>
        <v>0.34416666666666668</v>
      </c>
      <c r="J69" s="101"/>
      <c r="K69" s="102">
        <f t="shared" ref="K69" si="739">+K67/K10</f>
        <v>0.34416666666666668</v>
      </c>
      <c r="L69" s="101"/>
      <c r="M69" s="102">
        <f t="shared" ref="M69" si="740">+M67/M10</f>
        <v>0.34416666666666668</v>
      </c>
      <c r="N69" s="101"/>
      <c r="O69" s="102">
        <f t="shared" ref="O69" si="741">+O67/O10</f>
        <v>0.34416666666666668</v>
      </c>
      <c r="P69" s="101"/>
      <c r="Q69" s="102">
        <f t="shared" ref="Q69" si="742">+Q67/Q10</f>
        <v>0.34416666666666668</v>
      </c>
      <c r="R69" s="101"/>
      <c r="S69" s="102">
        <f t="shared" ref="S69" si="743">+S67/S10</f>
        <v>0.34416666666666668</v>
      </c>
      <c r="T69" s="101"/>
      <c r="U69" s="102">
        <f t="shared" ref="U69" si="744">+U67/U10</f>
        <v>0.34416666666666668</v>
      </c>
      <c r="V69" s="101"/>
      <c r="W69" s="102">
        <f t="shared" ref="W69" si="745">+W67/W10</f>
        <v>0.34416666666666668</v>
      </c>
      <c r="X69" s="101"/>
      <c r="Y69" s="102">
        <f t="shared" ref="Y69" si="746">+Y67/Y10</f>
        <v>0.34416666666666668</v>
      </c>
      <c r="Z69" s="101"/>
      <c r="AA69" s="102">
        <f t="shared" ref="AA69" si="747">+AA67/AA10</f>
        <v>0.34416666666666668</v>
      </c>
      <c r="AB69" s="101"/>
      <c r="AC69" s="102">
        <f t="shared" ref="AC69:AI69" si="748">+AC67/AC10</f>
        <v>0.34416666666666668</v>
      </c>
      <c r="AD69" s="101"/>
      <c r="AE69" s="102">
        <f t="shared" si="748"/>
        <v>0.34416666666666668</v>
      </c>
      <c r="AF69" s="101"/>
      <c r="AG69" s="102">
        <f t="shared" si="748"/>
        <v>0.34416666666666668</v>
      </c>
      <c r="AH69" s="101"/>
      <c r="AI69" s="102">
        <f t="shared" si="748"/>
        <v>0.34416666666666668</v>
      </c>
      <c r="AJ69" s="101"/>
      <c r="AK69" s="102">
        <f t="shared" ref="AK69" si="749">+AK67/AK10</f>
        <v>0.34416666666666668</v>
      </c>
      <c r="AL69" s="101"/>
      <c r="AM69" s="102">
        <f t="shared" ref="AM69" si="750">+AM67/AM10</f>
        <v>0.34416666666666668</v>
      </c>
      <c r="AN69" s="101"/>
      <c r="AO69" s="102">
        <f t="shared" ref="AO69:AQ69" si="751">+AO67/AO10</f>
        <v>0.34416666666666668</v>
      </c>
      <c r="AP69" s="101"/>
      <c r="AQ69" s="102">
        <f t="shared" si="751"/>
        <v>0.34416666666666668</v>
      </c>
      <c r="AR69" s="101"/>
      <c r="AS69" s="102">
        <f t="shared" ref="AS69:AU69" si="752">+AS67/AS10</f>
        <v>0.34416666666666668</v>
      </c>
      <c r="AT69" s="101"/>
      <c r="AU69" s="102">
        <f t="shared" si="752"/>
        <v>0.34416666666666668</v>
      </c>
      <c r="AV69" s="101"/>
      <c r="AW69" s="102">
        <f t="shared" ref="AW69" si="753">+AW67/AW10</f>
        <v>0.34416666666666668</v>
      </c>
      <c r="AX69" s="101"/>
      <c r="AY69" s="102">
        <f t="shared" ref="AY69" si="754">+AY67/AY10</f>
        <v>0.34416666666666668</v>
      </c>
      <c r="AZ69" s="101"/>
      <c r="BA69" s="102">
        <f t="shared" ref="BA69:BC69" si="755">+BA67/BA10</f>
        <v>0.35416666666666669</v>
      </c>
      <c r="BB69" s="101"/>
      <c r="BC69" s="102">
        <f t="shared" si="755"/>
        <v>0.35416666666666669</v>
      </c>
      <c r="BD69" s="101"/>
      <c r="BE69" s="102">
        <f t="shared" ref="BE69:BI69" si="756">+BE67/BE10</f>
        <v>0.35416666666666669</v>
      </c>
      <c r="BF69" s="101"/>
      <c r="BG69" s="102">
        <f t="shared" ref="BG69" si="757">+BG67/BG10</f>
        <v>0.35416666666666669</v>
      </c>
      <c r="BH69" s="101"/>
      <c r="BI69" s="102">
        <f t="shared" si="756"/>
        <v>0.35416666666666669</v>
      </c>
      <c r="BJ69" s="101"/>
      <c r="BK69" s="102">
        <f t="shared" ref="BK69" si="758">+BK67/BK10</f>
        <v>0.35416666666666669</v>
      </c>
      <c r="BL69" s="101"/>
      <c r="BM69" s="102">
        <f>+BM67/BM10</f>
        <v>0.35416666666666669</v>
      </c>
      <c r="BN69" s="101"/>
      <c r="BO69" s="102">
        <f>+BO67/BO10</f>
        <v>0.35416666666666669</v>
      </c>
      <c r="BP69" s="101"/>
      <c r="BQ69" s="102">
        <f>+BQ67/BQ10</f>
        <v>0.35416666666666669</v>
      </c>
      <c r="BR69" s="101"/>
      <c r="BS69" s="102">
        <f t="shared" ref="BS69:BU69" si="759">+BS67/BS10</f>
        <v>0.39166666666666666</v>
      </c>
      <c r="BT69" s="101"/>
      <c r="BU69" s="102">
        <f t="shared" si="759"/>
        <v>0.39166666666666666</v>
      </c>
      <c r="BV69" s="101"/>
      <c r="BW69" s="102"/>
      <c r="BX69" s="99"/>
      <c r="BY69" s="99"/>
      <c r="BZ69" s="99"/>
      <c r="CA69" s="99"/>
      <c r="CB69" s="99"/>
      <c r="CC69" s="99"/>
      <c r="CD69" s="99"/>
      <c r="CE69" s="99"/>
      <c r="CF69" s="99"/>
      <c r="CG69" s="99"/>
    </row>
    <row r="70" spans="1:88" s="4" customFormat="1" ht="18" customHeight="1" outlineLevel="2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106"/>
      <c r="O70" s="107"/>
      <c r="P70" s="106"/>
      <c r="Q70" s="107"/>
      <c r="R70" s="106"/>
      <c r="S70" s="107"/>
      <c r="T70" s="106"/>
      <c r="U70" s="107"/>
      <c r="V70" s="106"/>
      <c r="W70" s="107"/>
      <c r="X70" s="106"/>
      <c r="Y70" s="107"/>
      <c r="Z70" s="106"/>
      <c r="AA70" s="107"/>
      <c r="AB70" s="106"/>
      <c r="AC70" s="107"/>
      <c r="AD70" s="106"/>
      <c r="AE70" s="107"/>
      <c r="AF70" s="106"/>
      <c r="AG70" s="107"/>
      <c r="AH70" s="106"/>
      <c r="AI70" s="107"/>
      <c r="AJ70" s="106"/>
      <c r="AK70" s="107"/>
      <c r="AL70" s="106"/>
      <c r="AM70" s="107"/>
      <c r="AN70" s="106"/>
      <c r="AO70" s="107"/>
      <c r="AP70" s="106"/>
      <c r="AQ70" s="107"/>
      <c r="AR70" s="106"/>
      <c r="AS70" s="107"/>
      <c r="AT70" s="106"/>
      <c r="AU70" s="107"/>
      <c r="AV70" s="106"/>
      <c r="AW70" s="107"/>
      <c r="AX70" s="106"/>
      <c r="AY70" s="107"/>
      <c r="AZ70" s="106"/>
      <c r="BA70" s="107"/>
      <c r="BB70" s="106"/>
      <c r="BC70" s="107"/>
      <c r="BD70" s="106"/>
      <c r="BE70" s="107"/>
      <c r="BF70" s="106"/>
      <c r="BG70" s="107"/>
      <c r="BH70" s="106"/>
      <c r="BI70" s="107"/>
      <c r="BJ70" s="106"/>
      <c r="BK70" s="107"/>
      <c r="BL70" s="377"/>
      <c r="BM70" s="378"/>
      <c r="BN70" s="377"/>
      <c r="BO70" s="378"/>
      <c r="BP70" s="377"/>
      <c r="BQ70" s="378"/>
      <c r="BR70" s="377"/>
      <c r="BS70" s="378"/>
      <c r="BT70" s="377"/>
      <c r="BU70" s="378"/>
      <c r="BV70" s="377"/>
      <c r="BW70" s="378"/>
      <c r="BX70" s="270"/>
      <c r="BY70" s="270"/>
      <c r="BZ70" s="270"/>
      <c r="CA70" s="270"/>
      <c r="CB70" s="270"/>
      <c r="CC70" s="270"/>
      <c r="CD70" s="270"/>
      <c r="CE70" s="270"/>
      <c r="CF70" s="270"/>
      <c r="CG70" s="270"/>
    </row>
    <row r="71" spans="1:88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2.6321636936412749</v>
      </c>
      <c r="H71" s="111"/>
      <c r="I71" s="112">
        <f t="shared" ref="I71" si="760">I74+I72</f>
        <v>2.7731379431141159</v>
      </c>
      <c r="J71" s="111"/>
      <c r="K71" s="112">
        <f t="shared" ref="K71" si="761">K74+K72</f>
        <v>2.7888729696645194</v>
      </c>
      <c r="L71" s="111"/>
      <c r="M71" s="112">
        <f t="shared" ref="M71" si="762">M74+M72</f>
        <v>2.7832685224048026</v>
      </c>
      <c r="N71" s="111"/>
      <c r="O71" s="112">
        <f t="shared" ref="O71" si="763">O74+O72</f>
        <v>3.0626421242258033</v>
      </c>
      <c r="P71" s="111"/>
      <c r="Q71" s="112">
        <f t="shared" ref="Q71" si="764">Q74+Q72</f>
        <v>2.8483807139658475</v>
      </c>
      <c r="R71" s="111"/>
      <c r="S71" s="112">
        <f t="shared" ref="S71" si="765">S74+S72</f>
        <v>2.9499839530282932</v>
      </c>
      <c r="T71" s="111"/>
      <c r="U71" s="112">
        <f t="shared" ref="U71" si="766">U74+U72</f>
        <v>2.841120156500335</v>
      </c>
      <c r="V71" s="111"/>
      <c r="W71" s="112">
        <f t="shared" ref="W71" si="767">W74+W72</f>
        <v>2.6814020034459154</v>
      </c>
      <c r="X71" s="111"/>
      <c r="Y71" s="112">
        <f t="shared" ref="Y71" si="768">Y74+Y72</f>
        <v>2.6639262637453816</v>
      </c>
      <c r="Z71" s="111"/>
      <c r="AA71" s="112">
        <f t="shared" ref="AA71" si="769">AA74+AA72</f>
        <v>2.6365944774294792</v>
      </c>
      <c r="AB71" s="111"/>
      <c r="AC71" s="112">
        <f t="shared" ref="AC71" si="770">AC74+AC72</f>
        <v>2.4731286226689022</v>
      </c>
      <c r="AD71" s="111"/>
      <c r="AE71" s="112">
        <f t="shared" ref="AE71" si="771">AE74+AE72</f>
        <v>2.4692732458435036</v>
      </c>
      <c r="AF71" s="111"/>
      <c r="AG71" s="112">
        <f t="shared" ref="AG71" si="772">AG74+AG72</f>
        <v>2.6807325290912183</v>
      </c>
      <c r="AH71" s="111"/>
      <c r="AI71" s="112">
        <f t="shared" ref="AI71" si="773">AI74+AI72</f>
        <v>2.4368727957320435</v>
      </c>
      <c r="AJ71" s="111"/>
      <c r="AK71" s="112">
        <f t="shared" ref="AK71" si="774">AK74+AK72</f>
        <v>2.9285253047884545</v>
      </c>
      <c r="AL71" s="111"/>
      <c r="AM71" s="112">
        <f t="shared" ref="AM71" si="775">AM74+AM72</f>
        <v>2.6130343614573626</v>
      </c>
      <c r="AN71" s="111"/>
      <c r="AO71" s="112">
        <f t="shared" ref="AO71:AQ71" si="776">AO74+AO72</f>
        <v>2.4329129006518428</v>
      </c>
      <c r="AP71" s="111"/>
      <c r="AQ71" s="112">
        <f t="shared" si="776"/>
        <v>2.4034701155880058</v>
      </c>
      <c r="AR71" s="111"/>
      <c r="AS71" s="112">
        <f t="shared" ref="AS71:AU71" si="777">AS74+AS72</f>
        <v>2.3473017575888764</v>
      </c>
      <c r="AT71" s="111"/>
      <c r="AU71" s="112">
        <f t="shared" si="777"/>
        <v>2.3488174222993954</v>
      </c>
      <c r="AV71" s="111"/>
      <c r="AW71" s="112">
        <f t="shared" ref="AW71" si="778">AW74+AW72</f>
        <v>2.2418293820590685</v>
      </c>
      <c r="AX71" s="111"/>
      <c r="AY71" s="112">
        <f t="shared" ref="AY71" si="779">AY74+AY72</f>
        <v>2.23932182491084</v>
      </c>
      <c r="AZ71" s="111"/>
      <c r="BA71" s="112">
        <f t="shared" ref="BA71:BC71" si="780">BA74+BA72</f>
        <v>2.2260052699300359</v>
      </c>
      <c r="BB71" s="111"/>
      <c r="BC71" s="112">
        <f t="shared" si="780"/>
        <v>2.1722032372658679</v>
      </c>
      <c r="BD71" s="111"/>
      <c r="BE71" s="112">
        <f t="shared" ref="BE71:BI71" si="781">BE74+BE72</f>
        <v>2.2742196280460583</v>
      </c>
      <c r="BF71" s="111"/>
      <c r="BG71" s="112">
        <f t="shared" ref="BG71" si="782">BG74+BG72</f>
        <v>2.3716739257248789</v>
      </c>
      <c r="BH71" s="111"/>
      <c r="BI71" s="112">
        <f t="shared" si="781"/>
        <v>2.3716739257248789</v>
      </c>
      <c r="BJ71" s="111"/>
      <c r="BK71" s="112">
        <f t="shared" ref="BK71" si="783">BK74+BK72</f>
        <v>2.3716739257248789</v>
      </c>
      <c r="BL71" s="111"/>
      <c r="BM71" s="112">
        <f>BM74+BM72</f>
        <v>2.3773908440212388</v>
      </c>
      <c r="BN71" s="111"/>
      <c r="BO71" s="112">
        <f>BO74+BO72</f>
        <v>2.3773908440212388</v>
      </c>
      <c r="BP71" s="111"/>
      <c r="BQ71" s="112">
        <f>BQ74+BQ72</f>
        <v>2.3773908440212388</v>
      </c>
      <c r="BR71" s="111"/>
      <c r="BS71" s="112">
        <f t="shared" ref="BS71:BU71" si="784">BS74+BS72</f>
        <v>2.341874995886752</v>
      </c>
      <c r="BT71" s="111"/>
      <c r="BU71" s="112">
        <f t="shared" si="784"/>
        <v>2.341874995886752</v>
      </c>
      <c r="BV71" s="111"/>
      <c r="BW71" s="112"/>
      <c r="BX71" s="642"/>
      <c r="BY71" s="642"/>
      <c r="BZ71" s="642"/>
      <c r="CA71" s="642"/>
      <c r="CB71" s="642"/>
      <c r="CC71" s="642"/>
      <c r="CD71" s="642"/>
      <c r="CE71" s="642"/>
      <c r="CF71" s="642"/>
      <c r="CG71" s="642"/>
    </row>
    <row r="72" spans="1:88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3.2174117587233694E-2</v>
      </c>
      <c r="H72" s="116"/>
      <c r="I72" s="117">
        <v>4.2385511597152363E-2</v>
      </c>
      <c r="J72" s="116"/>
      <c r="K72" s="117">
        <v>4.7008795934724318E-2</v>
      </c>
      <c r="L72" s="116"/>
      <c r="M72" s="117">
        <v>3.27102564144914E-2</v>
      </c>
      <c r="N72" s="116"/>
      <c r="O72" s="117">
        <v>3.9379634930487628E-2</v>
      </c>
      <c r="P72" s="116"/>
      <c r="Q72" s="117">
        <v>5.5289409910073459E-2</v>
      </c>
      <c r="R72" s="116"/>
      <c r="S72" s="117">
        <v>3.7026555104111576E-2</v>
      </c>
      <c r="T72" s="116"/>
      <c r="U72" s="117">
        <v>4.6053911221776087E-2</v>
      </c>
      <c r="V72" s="116"/>
      <c r="W72" s="117">
        <v>3.6437002896041883E-2</v>
      </c>
      <c r="X72" s="116"/>
      <c r="Y72" s="117">
        <v>3.6232045313884506E-2</v>
      </c>
      <c r="Z72" s="116"/>
      <c r="AA72" s="117">
        <v>3.762920411638352E-2</v>
      </c>
      <c r="AB72" s="116"/>
      <c r="AC72" s="117">
        <v>3.7290225820679868E-2</v>
      </c>
      <c r="AD72" s="116"/>
      <c r="AE72" s="117">
        <v>3.7674571848760982E-2</v>
      </c>
      <c r="AF72" s="116"/>
      <c r="AG72" s="117">
        <v>3.5916699060394838E-2</v>
      </c>
      <c r="AH72" s="116"/>
      <c r="AI72" s="117">
        <v>3.4515512472343586E-2</v>
      </c>
      <c r="AJ72" s="116"/>
      <c r="AK72" s="117">
        <v>3.8525334961093421E-2</v>
      </c>
      <c r="AL72" s="116"/>
      <c r="AM72" s="117">
        <v>3.4823995077044194E-2</v>
      </c>
      <c r="AN72" s="116"/>
      <c r="AO72" s="117">
        <v>3.9421599686285703E-2</v>
      </c>
      <c r="AP72" s="116"/>
      <c r="AQ72" s="117">
        <v>3.4949016182977286E-2</v>
      </c>
      <c r="AR72" s="116"/>
      <c r="AS72" s="117">
        <v>3.4515512472343586E-2</v>
      </c>
      <c r="AT72" s="116"/>
      <c r="AU72" s="117">
        <v>3.6031177182862521E-2</v>
      </c>
      <c r="AV72" s="116"/>
      <c r="AW72" s="117">
        <v>3.8316601674487173E-2</v>
      </c>
      <c r="AX72" s="116"/>
      <c r="AY72" s="117">
        <v>3.5809044526258701E-2</v>
      </c>
      <c r="AZ72" s="116"/>
      <c r="BA72" s="117">
        <v>3.6005269930035902E-2</v>
      </c>
      <c r="BB72" s="116"/>
      <c r="BC72" s="117">
        <v>3.7697373382267897E-2</v>
      </c>
      <c r="BD72" s="116"/>
      <c r="BE72" s="117">
        <v>3.3479972935498398E-2</v>
      </c>
      <c r="BF72" s="116"/>
      <c r="BG72" s="117">
        <v>3.5914039310999103E-2</v>
      </c>
      <c r="BH72" s="116"/>
      <c r="BI72" s="117">
        <v>3.5914039310999103E-2</v>
      </c>
      <c r="BJ72" s="116"/>
      <c r="BK72" s="117">
        <v>3.5914039310999103E-2</v>
      </c>
      <c r="BL72" s="116"/>
      <c r="BM72" s="117">
        <v>3.5914039310999103E-2</v>
      </c>
      <c r="BN72" s="116"/>
      <c r="BO72" s="117">
        <v>3.5914039310999103E-2</v>
      </c>
      <c r="BP72" s="116"/>
      <c r="BQ72" s="117">
        <v>3.5914039310999103E-2</v>
      </c>
      <c r="BR72" s="116"/>
      <c r="BS72" s="117">
        <v>3.7697373382267897E-2</v>
      </c>
      <c r="BT72" s="116"/>
      <c r="BU72" s="117">
        <v>3.7697373382267897E-2</v>
      </c>
      <c r="BV72" s="116"/>
      <c r="BW72" s="117"/>
      <c r="BX72" s="671"/>
      <c r="BY72" s="671"/>
      <c r="BZ72" s="671"/>
      <c r="CA72" s="671"/>
      <c r="CB72" s="671"/>
      <c r="CC72" s="671"/>
      <c r="CD72" s="671"/>
      <c r="CE72" s="671"/>
      <c r="CF72" s="671"/>
      <c r="CG72" s="671"/>
    </row>
    <row r="73" spans="1:88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42"/>
      <c r="K73" s="118"/>
      <c r="L73" s="42"/>
      <c r="M73" s="118"/>
      <c r="N73" s="42"/>
      <c r="O73" s="118"/>
      <c r="P73" s="42"/>
      <c r="Q73" s="118"/>
      <c r="R73" s="42"/>
      <c r="S73" s="118"/>
      <c r="T73" s="42"/>
      <c r="U73" s="118"/>
      <c r="V73" s="42"/>
      <c r="W73" s="118"/>
      <c r="X73" s="42"/>
      <c r="Y73" s="118"/>
      <c r="Z73" s="42"/>
      <c r="AA73" s="118"/>
      <c r="AB73" s="42"/>
      <c r="AC73" s="118"/>
      <c r="AD73" s="42"/>
      <c r="AE73" s="118"/>
      <c r="AF73" s="42"/>
      <c r="AG73" s="118"/>
      <c r="AH73" s="42"/>
      <c r="AI73" s="118"/>
      <c r="AJ73" s="42"/>
      <c r="AK73" s="118"/>
      <c r="AL73" s="42"/>
      <c r="AM73" s="118"/>
      <c r="AN73" s="42"/>
      <c r="AO73" s="118"/>
      <c r="AP73" s="42"/>
      <c r="AQ73" s="118"/>
      <c r="AR73" s="42"/>
      <c r="AS73" s="118"/>
      <c r="AT73" s="42"/>
      <c r="AU73" s="118"/>
      <c r="AV73" s="42"/>
      <c r="AW73" s="118"/>
      <c r="AX73" s="42"/>
      <c r="AY73" s="118"/>
      <c r="AZ73" s="42"/>
      <c r="BA73" s="118"/>
      <c r="BB73" s="42"/>
      <c r="BC73" s="118"/>
      <c r="BD73" s="42"/>
      <c r="BE73" s="118"/>
      <c r="BF73" s="42"/>
      <c r="BG73" s="118"/>
      <c r="BH73" s="42"/>
      <c r="BI73" s="118"/>
      <c r="BJ73" s="42"/>
      <c r="BK73" s="118"/>
      <c r="BL73" s="359"/>
      <c r="BM73" s="379"/>
      <c r="BN73" s="359"/>
      <c r="BO73" s="379"/>
      <c r="BP73" s="359"/>
      <c r="BQ73" s="379"/>
      <c r="BR73" s="359"/>
      <c r="BS73" s="379"/>
      <c r="BT73" s="359"/>
      <c r="BU73" s="379"/>
      <c r="BV73" s="359"/>
      <c r="BW73" s="379"/>
      <c r="BX73" s="1151"/>
      <c r="BY73" s="1151"/>
      <c r="BZ73" s="1151"/>
      <c r="CA73" s="1151"/>
      <c r="CB73" s="1151"/>
      <c r="CC73" s="1151"/>
      <c r="CD73" s="1151"/>
      <c r="CE73" s="1151"/>
      <c r="CF73" s="1151"/>
      <c r="CG73" s="1151"/>
    </row>
    <row r="74" spans="1:88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2.5999895760540412</v>
      </c>
      <c r="H74" s="66"/>
      <c r="I74" s="70">
        <v>2.7307524315169633</v>
      </c>
      <c r="J74" s="66"/>
      <c r="K74" s="70">
        <v>2.7418641737297951</v>
      </c>
      <c r="L74" s="66"/>
      <c r="M74" s="70">
        <v>2.7505582659903114</v>
      </c>
      <c r="N74" s="66"/>
      <c r="O74" s="70">
        <v>3.0232624892953157</v>
      </c>
      <c r="P74" s="66"/>
      <c r="Q74" s="70">
        <v>2.7930913040557739</v>
      </c>
      <c r="R74" s="66"/>
      <c r="S74" s="70">
        <v>2.9129573979241816</v>
      </c>
      <c r="T74" s="66"/>
      <c r="U74" s="70">
        <v>2.7950662452785591</v>
      </c>
      <c r="V74" s="66"/>
      <c r="W74" s="70">
        <v>2.6449650005498735</v>
      </c>
      <c r="X74" s="66"/>
      <c r="Y74" s="70">
        <v>2.6276942184314969</v>
      </c>
      <c r="Z74" s="66"/>
      <c r="AA74" s="70">
        <v>2.5989652733130955</v>
      </c>
      <c r="AB74" s="66"/>
      <c r="AC74" s="70">
        <v>2.4358383968482222</v>
      </c>
      <c r="AD74" s="66"/>
      <c r="AE74" s="70">
        <v>2.4315986739947428</v>
      </c>
      <c r="AF74" s="66"/>
      <c r="AG74" s="70">
        <v>2.6448158300308235</v>
      </c>
      <c r="AH74" s="66"/>
      <c r="AI74" s="70">
        <v>2.4023572832597</v>
      </c>
      <c r="AJ74" s="66"/>
      <c r="AK74" s="70">
        <v>2.8899999698273611</v>
      </c>
      <c r="AL74" s="66"/>
      <c r="AM74" s="70">
        <v>2.5782103663803184</v>
      </c>
      <c r="AN74" s="66"/>
      <c r="AO74" s="70">
        <v>2.393491300965557</v>
      </c>
      <c r="AP74" s="66"/>
      <c r="AQ74" s="70">
        <v>2.3685210994050285</v>
      </c>
      <c r="AR74" s="66"/>
      <c r="AS74" s="70">
        <v>2.3127862451165329</v>
      </c>
      <c r="AT74" s="66"/>
      <c r="AU74" s="70">
        <v>2.3127862451165329</v>
      </c>
      <c r="AV74" s="66"/>
      <c r="AW74" s="70">
        <v>2.2035127803845813</v>
      </c>
      <c r="AX74" s="66"/>
      <c r="AY74" s="70">
        <f>AW74</f>
        <v>2.2035127803845813</v>
      </c>
      <c r="AZ74" s="66"/>
      <c r="BA74" s="70">
        <v>2.19</v>
      </c>
      <c r="BB74" s="66"/>
      <c r="BC74" s="70">
        <v>2.1345058638836001</v>
      </c>
      <c r="BD74" s="66"/>
      <c r="BE74" s="70">
        <v>2.2407396551105601</v>
      </c>
      <c r="BF74" s="66"/>
      <c r="BG74" s="70">
        <v>2.33575988641388</v>
      </c>
      <c r="BH74" s="66"/>
      <c r="BI74" s="70">
        <v>2.33575988641388</v>
      </c>
      <c r="BJ74" s="66"/>
      <c r="BK74" s="70">
        <v>2.33575988641388</v>
      </c>
      <c r="BL74" s="66"/>
      <c r="BM74" s="70">
        <v>2.3414768047102399</v>
      </c>
      <c r="BN74" s="66"/>
      <c r="BO74" s="70">
        <v>2.3414768047102399</v>
      </c>
      <c r="BP74" s="66"/>
      <c r="BQ74" s="70">
        <v>2.3414768047102399</v>
      </c>
      <c r="BR74" s="66"/>
      <c r="BS74" s="70">
        <v>2.3041776225044841</v>
      </c>
      <c r="BT74" s="66"/>
      <c r="BU74" s="70">
        <v>2.3041776225044841</v>
      </c>
      <c r="BV74" s="66"/>
      <c r="BW74" s="70"/>
      <c r="BX74" s="271"/>
      <c r="BY74" s="271"/>
      <c r="BZ74" s="271"/>
      <c r="CA74" s="271"/>
      <c r="CB74" s="271"/>
      <c r="CC74" s="271"/>
      <c r="CD74" s="271"/>
      <c r="CE74" s="271"/>
      <c r="CF74" s="271"/>
      <c r="CG74" s="271"/>
    </row>
    <row r="75" spans="1:88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0.21666579800450345</v>
      </c>
      <c r="H75" s="124"/>
      <c r="I75" s="125">
        <f t="shared" ref="I75" si="785">+I74/I10</f>
        <v>0.22756270262641362</v>
      </c>
      <c r="J75" s="124"/>
      <c r="K75" s="125">
        <f t="shared" ref="K75" si="786">+K74/K10</f>
        <v>0.22848868114414958</v>
      </c>
      <c r="L75" s="124"/>
      <c r="M75" s="125">
        <f t="shared" ref="M75" si="787">+M74/M10</f>
        <v>0.22921318883252595</v>
      </c>
      <c r="N75" s="124"/>
      <c r="O75" s="125">
        <f t="shared" ref="O75" si="788">+O74/O10</f>
        <v>0.25193854077460964</v>
      </c>
      <c r="P75" s="124"/>
      <c r="Q75" s="125">
        <f t="shared" ref="Q75" si="789">+Q74/Q10</f>
        <v>0.23275760867131448</v>
      </c>
      <c r="R75" s="124"/>
      <c r="S75" s="125">
        <f t="shared" ref="S75" si="790">+S74/S10</f>
        <v>0.24274644982701513</v>
      </c>
      <c r="T75" s="124"/>
      <c r="U75" s="125">
        <f t="shared" ref="U75" si="791">+U74/U10</f>
        <v>0.23292218710654658</v>
      </c>
      <c r="V75" s="124"/>
      <c r="W75" s="125">
        <f t="shared" ref="W75" si="792">+W74/W10</f>
        <v>0.22041375004582278</v>
      </c>
      <c r="X75" s="124"/>
      <c r="Y75" s="125">
        <f t="shared" ref="Y75" si="793">+Y74/Y10</f>
        <v>0.21897451820262473</v>
      </c>
      <c r="Z75" s="124"/>
      <c r="AA75" s="125">
        <f t="shared" ref="AA75" si="794">+AA74/AA10</f>
        <v>0.21658043944275795</v>
      </c>
      <c r="AB75" s="124"/>
      <c r="AC75" s="125">
        <f t="shared" ref="AC75" si="795">+AC74/AC10</f>
        <v>0.20298653307068518</v>
      </c>
      <c r="AD75" s="124"/>
      <c r="AE75" s="125">
        <f t="shared" ref="AE75" si="796">+AE74/AE10</f>
        <v>0.20263322283289523</v>
      </c>
      <c r="AF75" s="124"/>
      <c r="AG75" s="125">
        <f t="shared" ref="AG75" si="797">+AG74/AG10</f>
        <v>0.2204013191692353</v>
      </c>
      <c r="AH75" s="124"/>
      <c r="AI75" s="125">
        <f t="shared" ref="AI75" si="798">+AI74/AI10</f>
        <v>0.20019644027164166</v>
      </c>
      <c r="AJ75" s="124"/>
      <c r="AK75" s="125">
        <f t="shared" ref="AK75" si="799">+AK74/AK10</f>
        <v>0.24083333081894676</v>
      </c>
      <c r="AL75" s="124"/>
      <c r="AM75" s="125">
        <f t="shared" ref="AM75" si="800">+AM74/AM10</f>
        <v>0.21485086386502653</v>
      </c>
      <c r="AN75" s="124"/>
      <c r="AO75" s="125">
        <f t="shared" ref="AO75:AQ75" si="801">+AO74/AO10</f>
        <v>0.19945760841379642</v>
      </c>
      <c r="AP75" s="124"/>
      <c r="AQ75" s="125">
        <f t="shared" si="801"/>
        <v>0.19737675828375237</v>
      </c>
      <c r="AR75" s="124"/>
      <c r="AS75" s="125">
        <f t="shared" ref="AS75:AU75" si="802">+AS74/AS10</f>
        <v>0.1927321870930444</v>
      </c>
      <c r="AT75" s="124"/>
      <c r="AU75" s="125">
        <f t="shared" si="802"/>
        <v>0.1927321870930444</v>
      </c>
      <c r="AV75" s="124"/>
      <c r="AW75" s="125">
        <f t="shared" ref="AW75" si="803">+AW74/AW10</f>
        <v>0.18362606503204845</v>
      </c>
      <c r="AX75" s="124"/>
      <c r="AY75" s="125">
        <f t="shared" ref="AY75" si="804">+AY74/AY10</f>
        <v>0.18362606503204845</v>
      </c>
      <c r="AZ75" s="124"/>
      <c r="BA75" s="125">
        <f t="shared" ref="BA75:BC75" si="805">+BA74/BA10</f>
        <v>0.1825</v>
      </c>
      <c r="BB75" s="124"/>
      <c r="BC75" s="125">
        <f t="shared" si="805"/>
        <v>0.17787548865696667</v>
      </c>
      <c r="BD75" s="124"/>
      <c r="BE75" s="125">
        <f t="shared" ref="BE75:BI75" si="806">+BE74/BE10</f>
        <v>0.18672830459254666</v>
      </c>
      <c r="BF75" s="124"/>
      <c r="BG75" s="125">
        <f t="shared" ref="BG75" si="807">+BG74/BG10</f>
        <v>0.19464665720115668</v>
      </c>
      <c r="BH75" s="124"/>
      <c r="BI75" s="125">
        <f t="shared" si="806"/>
        <v>0.19464665720115668</v>
      </c>
      <c r="BJ75" s="124"/>
      <c r="BK75" s="125">
        <f t="shared" ref="BK75" si="808">+BK74/BK10</f>
        <v>0.19464665720115668</v>
      </c>
      <c r="BL75" s="124"/>
      <c r="BM75" s="125">
        <f>+BM74/BM10</f>
        <v>0.19512306705918667</v>
      </c>
      <c r="BN75" s="124"/>
      <c r="BO75" s="125">
        <f>+BO74/BO10</f>
        <v>0.19512306705918667</v>
      </c>
      <c r="BP75" s="124"/>
      <c r="BQ75" s="125">
        <f>+BQ74/BQ10</f>
        <v>0.19512306705918667</v>
      </c>
      <c r="BR75" s="124"/>
      <c r="BS75" s="125">
        <f t="shared" ref="BS75:BU75" si="809">+BS74/BS10</f>
        <v>0.19201480187537368</v>
      </c>
      <c r="BT75" s="124"/>
      <c r="BU75" s="125">
        <f t="shared" si="809"/>
        <v>0.19201480187537368</v>
      </c>
      <c r="BV75" s="124"/>
      <c r="BW75" s="125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</row>
    <row r="76" spans="1:88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37255.25063527836</v>
      </c>
      <c r="H76" s="127"/>
      <c r="I76" s="374">
        <f t="shared" ref="I76" si="810">I77*I10</f>
        <v>39194.489649562973</v>
      </c>
      <c r="J76" s="127"/>
      <c r="K76" s="374">
        <f t="shared" ref="K76" si="811">K77*K10</f>
        <v>39337.525300501373</v>
      </c>
      <c r="L76" s="127"/>
      <c r="M76" s="374">
        <f t="shared" ref="M76" si="812">M77*M10</f>
        <v>39517.270607482802</v>
      </c>
      <c r="N76" s="127"/>
      <c r="O76" s="374">
        <f t="shared" ref="O76" si="813">O77*O10</f>
        <v>44191.027806029633</v>
      </c>
      <c r="P76" s="127"/>
      <c r="Q76" s="374">
        <f t="shared" ref="Q76" si="814">Q77*Q10</f>
        <v>40983.028704410368</v>
      </c>
      <c r="R76" s="127"/>
      <c r="S76" s="374">
        <f t="shared" ref="S76" si="815">S77*S10</f>
        <v>43633.188863506315</v>
      </c>
      <c r="T76" s="127"/>
      <c r="U76" s="374">
        <f t="shared" ref="U76" si="816">U77*U10</f>
        <v>41515.11894112244</v>
      </c>
      <c r="V76" s="127"/>
      <c r="W76" s="374">
        <f t="shared" ref="W76" si="817">W77*W10</f>
        <v>39772.338713268451</v>
      </c>
      <c r="X76" s="127"/>
      <c r="Y76" s="374">
        <f t="shared" ref="Y76" si="818">Y77*Y10</f>
        <v>40513.789459776817</v>
      </c>
      <c r="Z76" s="127"/>
      <c r="AA76" s="374">
        <f t="shared" ref="AA76" si="819">AA77*AA10</f>
        <v>40660.81170098338</v>
      </c>
      <c r="AB76" s="127"/>
      <c r="AC76" s="374">
        <f t="shared" ref="AC76" si="820">AC77*AC10</f>
        <v>38055.103273959779</v>
      </c>
      <c r="AD76" s="127"/>
      <c r="AE76" s="374">
        <f t="shared" ref="AE76" si="821">AE77*AE10</f>
        <v>37278.839271013399</v>
      </c>
      <c r="AF76" s="127"/>
      <c r="AG76" s="374">
        <f t="shared" ref="AG76" si="822">AG77*AG10</f>
        <v>39912.915690995156</v>
      </c>
      <c r="AH76" s="127"/>
      <c r="AI76" s="374">
        <f t="shared" ref="AI76" si="823">AI77*AI10</f>
        <v>36696.007501791915</v>
      </c>
      <c r="AJ76" s="127"/>
      <c r="AK76" s="374">
        <f t="shared" ref="AK76" si="824">AK77*AK10</f>
        <v>42936.729551725104</v>
      </c>
      <c r="AL76" s="127"/>
      <c r="AM76" s="374">
        <f t="shared" ref="AM76" si="825">AM77*AM10</f>
        <v>38108.527425467488</v>
      </c>
      <c r="AN76" s="127"/>
      <c r="AO76" s="374">
        <f t="shared" ref="AO76:AQ76" si="826">AO77*AO10</f>
        <v>35737.21861471673</v>
      </c>
      <c r="AP76" s="127"/>
      <c r="AQ76" s="374">
        <f t="shared" si="826"/>
        <v>35584.660997461149</v>
      </c>
      <c r="AR76" s="127"/>
      <c r="AS76" s="374">
        <f t="shared" ref="AS76:AU76" si="827">AS77*AS10</f>
        <v>35237.611230595496</v>
      </c>
      <c r="AT76" s="127"/>
      <c r="AU76" s="374">
        <f t="shared" si="827"/>
        <v>35237.611230595496</v>
      </c>
      <c r="AV76" s="127"/>
      <c r="AW76" s="374">
        <f t="shared" ref="AW76" si="828">AW77*AW10</f>
        <v>33790.868487197557</v>
      </c>
      <c r="AX76" s="127"/>
      <c r="AY76" s="374">
        <f t="shared" ref="AY76" si="829">AY77*AY10</f>
        <v>34623.796318182925</v>
      </c>
      <c r="AZ76" s="127"/>
      <c r="BA76" s="374">
        <f t="shared" ref="BA76:BC76" si="830">BA77*BA10</f>
        <v>34358.909999999996</v>
      </c>
      <c r="BB76" s="127"/>
      <c r="BC76" s="374">
        <f t="shared" si="830"/>
        <v>33127.531007473473</v>
      </c>
      <c r="BD76" s="127"/>
      <c r="BE76" s="374">
        <f t="shared" ref="BE76:BI76" si="831">BE77*BE10</f>
        <v>34915.205305932745</v>
      </c>
      <c r="BF76" s="127"/>
      <c r="BG76" s="374">
        <f t="shared" ref="BG76" si="832">BG77*BG10</f>
        <v>36395.81055010108</v>
      </c>
      <c r="BH76" s="127"/>
      <c r="BI76" s="374">
        <f t="shared" si="831"/>
        <v>36673.765976584327</v>
      </c>
      <c r="BJ76" s="127"/>
      <c r="BK76" s="374">
        <f t="shared" ref="BK76" si="833">BK77*BK10</f>
        <v>36629.386538742467</v>
      </c>
      <c r="BL76" s="380"/>
      <c r="BM76" s="374">
        <f>BM77*BM10</f>
        <v>36763.527310755482</v>
      </c>
      <c r="BN76" s="380"/>
      <c r="BO76" s="374">
        <f>BO77*BO10</f>
        <v>36763.527310755482</v>
      </c>
      <c r="BP76" s="380"/>
      <c r="BQ76" s="374">
        <f>BQ77*BQ10</f>
        <v>36763.527310755482</v>
      </c>
      <c r="BR76" s="380"/>
      <c r="BS76" s="374">
        <f t="shared" ref="BS76:BU76" si="834">BS77*BS10</f>
        <v>36134.113476115323</v>
      </c>
      <c r="BT76" s="380"/>
      <c r="BU76" s="374">
        <f t="shared" si="834"/>
        <v>36134.113476115323</v>
      </c>
      <c r="BV76" s="380"/>
      <c r="BW76" s="374"/>
      <c r="BX76" s="639"/>
      <c r="BY76" s="639"/>
      <c r="BZ76" s="639"/>
      <c r="CA76" s="639"/>
      <c r="CB76" s="639"/>
      <c r="CC76" s="639"/>
      <c r="CD76" s="639"/>
      <c r="CE76" s="639"/>
      <c r="CF76" s="639"/>
      <c r="CG76" s="639"/>
    </row>
    <row r="77" spans="1:88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G74*G79/G10</f>
        <v>3104.60421960653</v>
      </c>
      <c r="H77" s="127"/>
      <c r="I77" s="90">
        <f t="shared" ref="I77" si="835">I74*I79/I10</f>
        <v>3266.2074707969145</v>
      </c>
      <c r="J77" s="127"/>
      <c r="K77" s="90">
        <f t="shared" ref="K77" si="836">K74*K79/K10</f>
        <v>3278.1271083751144</v>
      </c>
      <c r="L77" s="127"/>
      <c r="M77" s="90">
        <f t="shared" ref="M77" si="837">M74*M79/M10</f>
        <v>3293.1058839569</v>
      </c>
      <c r="N77" s="127"/>
      <c r="O77" s="90">
        <f t="shared" ref="O77" si="838">O74*O79/O10</f>
        <v>3682.5856505024694</v>
      </c>
      <c r="P77" s="127"/>
      <c r="Q77" s="90">
        <f t="shared" ref="Q77" si="839">Q74*Q79/Q10</f>
        <v>3415.2523920341973</v>
      </c>
      <c r="R77" s="127"/>
      <c r="S77" s="90">
        <f t="shared" ref="S77" si="840">S74*S79/S10</f>
        <v>3636.0990719588594</v>
      </c>
      <c r="T77" s="127"/>
      <c r="U77" s="90">
        <f t="shared" ref="U77" si="841">U74*U79/U10</f>
        <v>3459.5932450935366</v>
      </c>
      <c r="V77" s="127"/>
      <c r="W77" s="90">
        <f t="shared" ref="W77" si="842">W74*W79/W10</f>
        <v>3314.3615594390376</v>
      </c>
      <c r="X77" s="127"/>
      <c r="Y77" s="90">
        <f t="shared" ref="Y77" si="843">Y74*Y79/Y10</f>
        <v>3376.1491216480681</v>
      </c>
      <c r="Z77" s="127"/>
      <c r="AA77" s="90">
        <f t="shared" ref="AA77" si="844">AA74*AA79/AA10</f>
        <v>3388.4009750819482</v>
      </c>
      <c r="AB77" s="127"/>
      <c r="AC77" s="90">
        <f t="shared" ref="AC77:AI77" si="845">AC74*AC79/AC10</f>
        <v>3171.2586061633151</v>
      </c>
      <c r="AD77" s="127"/>
      <c r="AE77" s="90">
        <f t="shared" si="845"/>
        <v>3106.5699392511165</v>
      </c>
      <c r="AF77" s="127"/>
      <c r="AG77" s="90">
        <f t="shared" si="845"/>
        <v>3326.0763075829295</v>
      </c>
      <c r="AH77" s="127"/>
      <c r="AI77" s="90">
        <f t="shared" si="845"/>
        <v>3058.0006251493264</v>
      </c>
      <c r="AJ77" s="127"/>
      <c r="AK77" s="90">
        <f t="shared" ref="AK77" si="846">AK74*AK79/AK10</f>
        <v>3578.0607959770919</v>
      </c>
      <c r="AL77" s="127"/>
      <c r="AM77" s="90">
        <f t="shared" ref="AM77" si="847">AM74*AM79/AM10</f>
        <v>3175.7106187889572</v>
      </c>
      <c r="AN77" s="127"/>
      <c r="AO77" s="90">
        <f t="shared" ref="AO77:AQ77" si="848">AO74*AO79/AO10</f>
        <v>2978.1015512263943</v>
      </c>
      <c r="AP77" s="127"/>
      <c r="AQ77" s="90">
        <f t="shared" si="848"/>
        <v>2965.3884164550959</v>
      </c>
      <c r="AR77" s="127"/>
      <c r="AS77" s="90">
        <f t="shared" ref="AS77:AU77" si="849">AS74*AS79/AS10</f>
        <v>2936.4676025496246</v>
      </c>
      <c r="AT77" s="127"/>
      <c r="AU77" s="90">
        <f t="shared" si="849"/>
        <v>2936.4676025496246</v>
      </c>
      <c r="AV77" s="127"/>
      <c r="AW77" s="90">
        <f t="shared" ref="AW77" si="850">AW74*AW79/AW10</f>
        <v>2815.9057072664632</v>
      </c>
      <c r="AX77" s="127"/>
      <c r="AY77" s="90">
        <f t="shared" ref="AY77" si="851">AY74*AY79/AY10</f>
        <v>2885.3163598485771</v>
      </c>
      <c r="AZ77" s="127"/>
      <c r="BA77" s="90">
        <f t="shared" ref="BA77:BC77" si="852">BA74*BA79/BA10</f>
        <v>2863.2424999999998</v>
      </c>
      <c r="BB77" s="127"/>
      <c r="BC77" s="90">
        <f t="shared" si="852"/>
        <v>2760.6275839561226</v>
      </c>
      <c r="BD77" s="127"/>
      <c r="BE77" s="90">
        <f t="shared" ref="BE77:BK77" si="853">BE74*BE79/BE10</f>
        <v>2909.6004421610619</v>
      </c>
      <c r="BF77" s="127"/>
      <c r="BG77" s="622">
        <f t="shared" ref="BG77" si="854">BG74*BG79/BG10</f>
        <v>3032.9842125084233</v>
      </c>
      <c r="BH77" s="127"/>
      <c r="BI77" s="622">
        <f t="shared" si="853"/>
        <v>3056.1471647153608</v>
      </c>
      <c r="BJ77" s="127"/>
      <c r="BK77" s="622">
        <f t="shared" si="853"/>
        <v>3052.4488782285389</v>
      </c>
      <c r="BL77" s="380"/>
      <c r="BM77" s="622">
        <f>BM75*BM79</f>
        <v>3063.62727589629</v>
      </c>
      <c r="BN77" s="380"/>
      <c r="BO77" s="622">
        <f>BO75*BO79</f>
        <v>3063.62727589629</v>
      </c>
      <c r="BP77" s="380"/>
      <c r="BQ77" s="622">
        <f>BQ75*BQ79</f>
        <v>3063.62727589629</v>
      </c>
      <c r="BR77" s="380"/>
      <c r="BS77" s="622">
        <f t="shared" ref="BS77:BU77" si="855">BS74*BS79/BS10</f>
        <v>3011.1761230096104</v>
      </c>
      <c r="BT77" s="380"/>
      <c r="BU77" s="622">
        <f t="shared" si="855"/>
        <v>3011.1761230096104</v>
      </c>
      <c r="BV77" s="380"/>
      <c r="BW77" s="622"/>
      <c r="BX77" s="278"/>
      <c r="BY77" s="278"/>
      <c r="BZ77" s="278"/>
      <c r="CA77" s="278"/>
      <c r="CB77" s="278"/>
      <c r="CC77" s="278"/>
      <c r="CD77" s="278"/>
      <c r="CE77" s="278"/>
      <c r="CF77" s="278"/>
      <c r="CG77" s="278"/>
    </row>
    <row r="78" spans="1:88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127"/>
      <c r="O78" s="90"/>
      <c r="P78" s="127"/>
      <c r="Q78" s="90"/>
      <c r="R78" s="127"/>
      <c r="S78" s="90"/>
      <c r="T78" s="127"/>
      <c r="U78" s="90"/>
      <c r="V78" s="127"/>
      <c r="W78" s="90"/>
      <c r="X78" s="127"/>
      <c r="Y78" s="90"/>
      <c r="Z78" s="127"/>
      <c r="AA78" s="90"/>
      <c r="AB78" s="127"/>
      <c r="AC78" s="90"/>
      <c r="AD78" s="127"/>
      <c r="AE78" s="90"/>
      <c r="AF78" s="127"/>
      <c r="AG78" s="90"/>
      <c r="AH78" s="127"/>
      <c r="AI78" s="90"/>
      <c r="AJ78" s="127"/>
      <c r="AK78" s="90"/>
      <c r="AL78" s="127"/>
      <c r="AM78" s="90"/>
      <c r="AN78" s="127"/>
      <c r="AO78" s="90"/>
      <c r="AP78" s="127"/>
      <c r="AQ78" s="90"/>
      <c r="AR78" s="127"/>
      <c r="AS78" s="90"/>
      <c r="AT78" s="127"/>
      <c r="AU78" s="90"/>
      <c r="AV78" s="127"/>
      <c r="AW78" s="90"/>
      <c r="AX78" s="127"/>
      <c r="AY78" s="90"/>
      <c r="AZ78" s="127"/>
      <c r="BA78" s="90"/>
      <c r="BB78" s="127"/>
      <c r="BC78" s="90"/>
      <c r="BD78" s="127"/>
      <c r="BE78" s="90"/>
      <c r="BF78" s="127"/>
      <c r="BG78" s="90"/>
      <c r="BH78" s="127"/>
      <c r="BI78" s="90"/>
      <c r="BJ78" s="127"/>
      <c r="BK78" s="90"/>
      <c r="BL78" s="380"/>
      <c r="BM78" s="374"/>
      <c r="BN78" s="380"/>
      <c r="BO78" s="374"/>
      <c r="BP78" s="380"/>
      <c r="BQ78" s="374"/>
      <c r="BR78" s="380"/>
      <c r="BS78" s="374"/>
      <c r="BT78" s="380"/>
      <c r="BU78" s="374"/>
      <c r="BV78" s="380"/>
      <c r="BW78" s="374"/>
      <c r="BX78" s="278"/>
      <c r="BY78" s="278"/>
      <c r="BZ78" s="278"/>
      <c r="CA78" s="278"/>
      <c r="CB78" s="278"/>
      <c r="CC78" s="278"/>
      <c r="CD78" s="278"/>
      <c r="CE78" s="278"/>
      <c r="CF78" s="278"/>
      <c r="CG78" s="278"/>
    </row>
    <row r="79" spans="1:88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'Pricing Structure - CGSS'!G79</f>
        <v>14329</v>
      </c>
      <c r="H79" s="42"/>
      <c r="I79" s="88">
        <f>'Pricing Structure - CGSS'!I79</f>
        <v>14353</v>
      </c>
      <c r="J79" s="42"/>
      <c r="K79" s="88">
        <f>'Pricing Structure - CGSS'!K79</f>
        <v>14347</v>
      </c>
      <c r="L79" s="42"/>
      <c r="M79" s="88">
        <f>'Pricing Structure - CGSS'!M79</f>
        <v>14367</v>
      </c>
      <c r="N79" s="42"/>
      <c r="O79" s="88">
        <f>'Pricing Structure - CGSS'!O79</f>
        <v>14617</v>
      </c>
      <c r="P79" s="42"/>
      <c r="Q79" s="88">
        <f>'Pricing Structure - CGSS'!Q79</f>
        <v>14673</v>
      </c>
      <c r="R79" s="42"/>
      <c r="S79" s="88">
        <f>'Pricing Structure - CGSS'!S79</f>
        <v>14979</v>
      </c>
      <c r="T79" s="42"/>
      <c r="U79" s="88">
        <f>'Pricing Structure - CGSS'!U79</f>
        <v>14853</v>
      </c>
      <c r="V79" s="42"/>
      <c r="W79" s="88">
        <f>'Pricing Structure - CGSS'!W79</f>
        <v>15037</v>
      </c>
      <c r="X79" s="42"/>
      <c r="Y79" s="88">
        <f>'Pricing Structure - CGSS'!Y79</f>
        <v>15418</v>
      </c>
      <c r="Z79" s="42"/>
      <c r="AA79" s="88">
        <f>'Pricing Structure - CGSS'!AA79</f>
        <v>15645</v>
      </c>
      <c r="AB79" s="42"/>
      <c r="AC79" s="88">
        <f>'Pricing Structure - CGSS'!AC79</f>
        <v>15623</v>
      </c>
      <c r="AD79" s="42"/>
      <c r="AE79" s="88">
        <f>'Pricing Structure - CGSS'!AE79</f>
        <v>15331</v>
      </c>
      <c r="AF79" s="42"/>
      <c r="AG79" s="88">
        <f>'Pricing Structure - CGSS'!AG79</f>
        <v>15091</v>
      </c>
      <c r="AH79" s="42"/>
      <c r="AI79" s="88">
        <f>'Pricing Structure - CGSS'!AI79</f>
        <v>15275</v>
      </c>
      <c r="AJ79" s="42"/>
      <c r="AK79" s="88">
        <f>'Pricing Structure - GSS'!AW79</f>
        <v>14857</v>
      </c>
      <c r="AL79" s="42"/>
      <c r="AM79" s="88">
        <f>'Pricing Structure - GSS'!AY79</f>
        <v>14781</v>
      </c>
      <c r="AN79" s="42"/>
      <c r="AO79" s="88">
        <f>'Pricing Structure - GSS'!BA79</f>
        <v>14931</v>
      </c>
      <c r="AP79" s="42"/>
      <c r="AQ79" s="88">
        <f>'Pricing Structure - GSS'!BC79</f>
        <v>15024</v>
      </c>
      <c r="AR79" s="42"/>
      <c r="AS79" s="88">
        <f>'Pricing Structure - GSS'!BE79</f>
        <v>15236</v>
      </c>
      <c r="AT79" s="42"/>
      <c r="AU79" s="88">
        <f>'Pricing Structure - GSS'!BE79</f>
        <v>15236</v>
      </c>
      <c r="AV79" s="42"/>
      <c r="AW79" s="88">
        <f>'Pricing Structure - GSS'!BG79</f>
        <v>15335</v>
      </c>
      <c r="AX79" s="42"/>
      <c r="AY79" s="88">
        <f>'Pricing Structure - GSS'!BI79</f>
        <v>15713</v>
      </c>
      <c r="AZ79" s="42"/>
      <c r="BA79" s="88">
        <f>'Pricing Structure - GSS'!BK79</f>
        <v>15689</v>
      </c>
      <c r="BB79" s="42"/>
      <c r="BC79" s="88">
        <f>'Pricing Structure - GSS'!BM79</f>
        <v>15520</v>
      </c>
      <c r="BD79" s="42"/>
      <c r="BE79" s="88">
        <f>'Pricing Structure - GSS'!BO79</f>
        <v>15582</v>
      </c>
      <c r="BF79" s="42"/>
      <c r="BG79" s="88">
        <f>'Pricing Structure - GSS'!BO79</f>
        <v>15582</v>
      </c>
      <c r="BH79" s="42"/>
      <c r="BI79" s="88">
        <f>'Pricing Structure - GSS'!BQ79</f>
        <v>15701</v>
      </c>
      <c r="BJ79" s="42"/>
      <c r="BK79" s="88">
        <f>'Pricing Structure - GSS'!BS79</f>
        <v>15682</v>
      </c>
      <c r="BL79" s="359"/>
      <c r="BM79" s="372">
        <v>15701</v>
      </c>
      <c r="BN79" s="359"/>
      <c r="BO79" s="372">
        <v>15701</v>
      </c>
      <c r="BP79" s="359"/>
      <c r="BQ79" s="372">
        <v>15701</v>
      </c>
      <c r="BR79" s="359"/>
      <c r="BS79" s="372">
        <v>15682</v>
      </c>
      <c r="BT79" s="359"/>
      <c r="BU79" s="372">
        <v>15682</v>
      </c>
      <c r="BV79" s="359"/>
      <c r="BW79" s="372"/>
      <c r="BX79" s="270"/>
      <c r="BY79" s="270"/>
      <c r="BZ79" s="270"/>
      <c r="CA79" s="270"/>
      <c r="CB79" s="270"/>
      <c r="CC79" s="270"/>
      <c r="CD79" s="270"/>
      <c r="CE79" s="270"/>
      <c r="CF79" s="270"/>
      <c r="CG79" s="270"/>
    </row>
    <row r="80" spans="1:88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1.5300104239459587</v>
      </c>
      <c r="H80" s="50"/>
      <c r="I80" s="72">
        <f t="shared" ref="I80" si="856">+I67-I74</f>
        <v>1.3992475684830366</v>
      </c>
      <c r="J80" s="50"/>
      <c r="K80" s="72">
        <f t="shared" ref="K80" si="857">+K67-K74</f>
        <v>1.3881358262702048</v>
      </c>
      <c r="L80" s="50"/>
      <c r="M80" s="72">
        <f t="shared" ref="M80" si="858">+M67-M74</f>
        <v>1.3794417340096885</v>
      </c>
      <c r="N80" s="50"/>
      <c r="O80" s="72">
        <f t="shared" ref="O80" si="859">+O67-O74</f>
        <v>1.1067375107046842</v>
      </c>
      <c r="P80" s="50"/>
      <c r="Q80" s="72">
        <f t="shared" ref="Q80" si="860">+Q67-Q74</f>
        <v>1.336908695944226</v>
      </c>
      <c r="R80" s="50"/>
      <c r="S80" s="72">
        <f t="shared" ref="S80" si="861">+S67-S74</f>
        <v>1.2170426020758183</v>
      </c>
      <c r="T80" s="50"/>
      <c r="U80" s="72">
        <f t="shared" ref="U80" si="862">+U67-U74</f>
        <v>1.3349337547214408</v>
      </c>
      <c r="V80" s="50"/>
      <c r="W80" s="72">
        <f t="shared" ref="W80" si="863">+W67-W74</f>
        <v>1.4850349994501264</v>
      </c>
      <c r="X80" s="50"/>
      <c r="Y80" s="72">
        <f t="shared" ref="Y80" si="864">+Y67-Y74</f>
        <v>1.502305781568503</v>
      </c>
      <c r="Z80" s="50"/>
      <c r="AA80" s="72">
        <f t="shared" ref="AA80" si="865">+AA67-AA74</f>
        <v>1.5310347266869044</v>
      </c>
      <c r="AB80" s="50"/>
      <c r="AC80" s="72">
        <f t="shared" ref="AC80:AI80" si="866">+AC67-AC74</f>
        <v>1.6941616031517777</v>
      </c>
      <c r="AD80" s="50"/>
      <c r="AE80" s="72">
        <f t="shared" si="866"/>
        <v>1.6984013260052571</v>
      </c>
      <c r="AF80" s="50"/>
      <c r="AG80" s="72">
        <f t="shared" si="866"/>
        <v>1.4851841699691763</v>
      </c>
      <c r="AH80" s="50"/>
      <c r="AI80" s="72">
        <f t="shared" si="866"/>
        <v>1.7276427167402999</v>
      </c>
      <c r="AJ80" s="50"/>
      <c r="AK80" s="72">
        <f t="shared" ref="AK80" si="867">+AK67-AK74</f>
        <v>1.2400000301726388</v>
      </c>
      <c r="AL80" s="50"/>
      <c r="AM80" s="72">
        <f t="shared" ref="AM80" si="868">+AM67-AM74</f>
        <v>1.5517896336196815</v>
      </c>
      <c r="AN80" s="50"/>
      <c r="AO80" s="72">
        <f t="shared" ref="AO80:AQ80" si="869">+AO67-AO74</f>
        <v>1.7365086990344429</v>
      </c>
      <c r="AP80" s="50"/>
      <c r="AQ80" s="72">
        <f t="shared" si="869"/>
        <v>1.7614789005949714</v>
      </c>
      <c r="AR80" s="50"/>
      <c r="AS80" s="72">
        <f t="shared" ref="AS80:AU80" si="870">+AS67-AS74</f>
        <v>1.817213754883467</v>
      </c>
      <c r="AT80" s="50"/>
      <c r="AU80" s="72">
        <f t="shared" si="870"/>
        <v>1.817213754883467</v>
      </c>
      <c r="AV80" s="50"/>
      <c r="AW80" s="72">
        <f t="shared" ref="AW80" si="871">+AW67-AW74</f>
        <v>1.9264872196154186</v>
      </c>
      <c r="AX80" s="50"/>
      <c r="AY80" s="72">
        <f t="shared" ref="AY80" si="872">+AY67-AY74</f>
        <v>1.9264872196154186</v>
      </c>
      <c r="AZ80" s="50"/>
      <c r="BA80" s="72">
        <f t="shared" ref="BA80:BC80" si="873">+BA67-BA74</f>
        <v>2.06</v>
      </c>
      <c r="BB80" s="50"/>
      <c r="BC80" s="72">
        <f t="shared" si="873"/>
        <v>2.1154941361163999</v>
      </c>
      <c r="BD80" s="50"/>
      <c r="BE80" s="72">
        <f t="shared" ref="BE80:BI80" si="874">+BE67-BE74</f>
        <v>2.0092603448894399</v>
      </c>
      <c r="BF80" s="50"/>
      <c r="BG80" s="72">
        <f t="shared" ref="BG80" si="875">+BG67-BG74</f>
        <v>1.91424011358612</v>
      </c>
      <c r="BH80" s="50"/>
      <c r="BI80" s="72">
        <f t="shared" si="874"/>
        <v>1.91424011358612</v>
      </c>
      <c r="BJ80" s="50"/>
      <c r="BK80" s="72">
        <f t="shared" ref="BK80" si="876">+BK67-BK74</f>
        <v>1.91424011358612</v>
      </c>
      <c r="BL80" s="363"/>
      <c r="BM80" s="368">
        <f>+BM67-BM74</f>
        <v>1.9085231952897601</v>
      </c>
      <c r="BN80" s="363"/>
      <c r="BO80" s="368">
        <f>+BO67-BO74</f>
        <v>1.9085231952897601</v>
      </c>
      <c r="BP80" s="363"/>
      <c r="BQ80" s="368">
        <f>+BQ67-BQ74</f>
        <v>1.9085231952897601</v>
      </c>
      <c r="BR80" s="363"/>
      <c r="BS80" s="368">
        <f t="shared" ref="BS80:BU80" si="877">+BS67-BS74</f>
        <v>2.3958223774955161</v>
      </c>
      <c r="BT80" s="363"/>
      <c r="BU80" s="368">
        <f t="shared" si="877"/>
        <v>2.3958223774955161</v>
      </c>
      <c r="BV80" s="363"/>
      <c r="BW80" s="368"/>
      <c r="BX80" s="269"/>
      <c r="BY80" s="269"/>
      <c r="BZ80" s="269"/>
      <c r="CA80" s="269"/>
      <c r="CB80" s="269"/>
      <c r="CC80" s="269"/>
      <c r="CD80" s="269"/>
      <c r="CE80" s="269"/>
      <c r="CF80" s="269"/>
      <c r="CG80" s="269"/>
    </row>
    <row r="81" spans="1:85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0.12750086866216323</v>
      </c>
      <c r="H81" s="50"/>
      <c r="I81" s="72">
        <f t="shared" ref="I81" si="878">+I80/I10</f>
        <v>0.11660396404025304</v>
      </c>
      <c r="J81" s="50"/>
      <c r="K81" s="72">
        <f t="shared" ref="K81" si="879">+K80/K10</f>
        <v>0.11567798552251707</v>
      </c>
      <c r="L81" s="50"/>
      <c r="M81" s="72">
        <f t="shared" ref="M81" si="880">+M80/M10</f>
        <v>0.11495347783414071</v>
      </c>
      <c r="N81" s="50"/>
      <c r="O81" s="72">
        <f t="shared" ref="O81" si="881">+O80/O10</f>
        <v>9.222812589205702E-2</v>
      </c>
      <c r="P81" s="50"/>
      <c r="Q81" s="72">
        <f t="shared" ref="Q81" si="882">+Q80/Q10</f>
        <v>0.11140905799535217</v>
      </c>
      <c r="R81" s="50"/>
      <c r="S81" s="72">
        <f t="shared" ref="S81" si="883">+S80/S10</f>
        <v>0.10142021683965152</v>
      </c>
      <c r="T81" s="50"/>
      <c r="U81" s="72">
        <f t="shared" ref="U81" si="884">+U80/U10</f>
        <v>0.11124447956012007</v>
      </c>
      <c r="V81" s="50"/>
      <c r="W81" s="72">
        <f t="shared" ref="W81" si="885">+W80/W10</f>
        <v>0.12375291662084387</v>
      </c>
      <c r="X81" s="50"/>
      <c r="Y81" s="72">
        <f t="shared" ref="Y81" si="886">+Y80/Y10</f>
        <v>0.12519214846404192</v>
      </c>
      <c r="Z81" s="50"/>
      <c r="AA81" s="72">
        <f t="shared" ref="AA81" si="887">+AA80/AA10</f>
        <v>0.12758622722390869</v>
      </c>
      <c r="AB81" s="50"/>
      <c r="AC81" s="72">
        <f t="shared" ref="AC81" si="888">+AC80/AC10</f>
        <v>0.14118013359598147</v>
      </c>
      <c r="AD81" s="50"/>
      <c r="AE81" s="72">
        <f t="shared" ref="AE81" si="889">+AE80/AE10</f>
        <v>0.14153344383377142</v>
      </c>
      <c r="AF81" s="50"/>
      <c r="AG81" s="72">
        <f t="shared" ref="AG81" si="890">+AG80/AG10</f>
        <v>0.12376534749743136</v>
      </c>
      <c r="AH81" s="50"/>
      <c r="AI81" s="72">
        <f t="shared" ref="AI81" si="891">+AI80/AI10</f>
        <v>0.14397022639502499</v>
      </c>
      <c r="AJ81" s="50"/>
      <c r="AK81" s="72">
        <f t="shared" ref="AK81" si="892">+AK80/AK10</f>
        <v>0.10333333584771991</v>
      </c>
      <c r="AL81" s="50"/>
      <c r="AM81" s="72">
        <f t="shared" ref="AM81" si="893">+AM80/AM10</f>
        <v>0.12931580280164012</v>
      </c>
      <c r="AN81" s="50"/>
      <c r="AO81" s="72">
        <f t="shared" ref="AO81:AQ81" si="894">+AO80/AO10</f>
        <v>0.14470905825287025</v>
      </c>
      <c r="AP81" s="50"/>
      <c r="AQ81" s="72">
        <f t="shared" si="894"/>
        <v>0.14678990838291428</v>
      </c>
      <c r="AR81" s="50"/>
      <c r="AS81" s="72">
        <f t="shared" ref="AS81:AU81" si="895">+AS80/AS10</f>
        <v>0.15143447957362224</v>
      </c>
      <c r="AT81" s="50"/>
      <c r="AU81" s="72">
        <f t="shared" si="895"/>
        <v>0.15143447957362224</v>
      </c>
      <c r="AV81" s="50"/>
      <c r="AW81" s="72">
        <f t="shared" ref="AW81" si="896">+AW80/AW10</f>
        <v>0.16054060163461822</v>
      </c>
      <c r="AX81" s="50"/>
      <c r="AY81" s="72">
        <f t="shared" ref="AY81" si="897">+AY80/AY10</f>
        <v>0.16054060163461822</v>
      </c>
      <c r="AZ81" s="50"/>
      <c r="BA81" s="72">
        <f t="shared" ref="BA81:BC81" si="898">+BA80/BA10</f>
        <v>0.17166666666666666</v>
      </c>
      <c r="BB81" s="50"/>
      <c r="BC81" s="72">
        <f t="shared" si="898"/>
        <v>0.17629117800969998</v>
      </c>
      <c r="BD81" s="50"/>
      <c r="BE81" s="72">
        <f t="shared" ref="BE81:BI81" si="899">+BE80/BE10</f>
        <v>0.16743836207412</v>
      </c>
      <c r="BF81" s="50"/>
      <c r="BG81" s="72">
        <f t="shared" ref="BG81" si="900">+BG80/BG10</f>
        <v>0.15952000946551001</v>
      </c>
      <c r="BH81" s="50"/>
      <c r="BI81" s="72">
        <f t="shared" si="899"/>
        <v>0.15952000946551001</v>
      </c>
      <c r="BJ81" s="50"/>
      <c r="BK81" s="72">
        <f t="shared" ref="BK81" si="901">+BK80/BK10</f>
        <v>0.15952000946551001</v>
      </c>
      <c r="BL81" s="363"/>
      <c r="BM81" s="368">
        <f>+BM80/BM10</f>
        <v>0.15904359960748002</v>
      </c>
      <c r="BN81" s="363"/>
      <c r="BO81" s="368">
        <f>+BO80/BO10</f>
        <v>0.15904359960748002</v>
      </c>
      <c r="BP81" s="363"/>
      <c r="BQ81" s="368">
        <f>+BQ80/BQ10</f>
        <v>0.15904359960748002</v>
      </c>
      <c r="BR81" s="363"/>
      <c r="BS81" s="368">
        <f t="shared" ref="BS81:BU81" si="902">+BS80/BS10</f>
        <v>0.19965186479129302</v>
      </c>
      <c r="BT81" s="363"/>
      <c r="BU81" s="368">
        <f t="shared" si="902"/>
        <v>0.19965186479129302</v>
      </c>
      <c r="BV81" s="363"/>
      <c r="BW81" s="368"/>
      <c r="BX81" s="269"/>
      <c r="BY81" s="269"/>
      <c r="BZ81" s="269"/>
      <c r="CA81" s="269"/>
      <c r="CB81" s="269"/>
      <c r="CC81" s="269"/>
      <c r="CD81" s="269"/>
      <c r="CE81" s="269"/>
      <c r="CF81" s="269"/>
      <c r="CG81" s="269"/>
    </row>
    <row r="82" spans="1:85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0.37046257238400937</v>
      </c>
      <c r="H82" s="132"/>
      <c r="I82" s="133">
        <f t="shared" ref="I82" si="903">+I80/I67</f>
        <v>0.33880086403947618</v>
      </c>
      <c r="J82" s="132"/>
      <c r="K82" s="133">
        <f t="shared" ref="K82" si="904">+K80/K67</f>
        <v>0.33611036955695034</v>
      </c>
      <c r="L82" s="132"/>
      <c r="M82" s="133">
        <f t="shared" ref="M82" si="905">+M80/M67</f>
        <v>0.33400526247207957</v>
      </c>
      <c r="N82" s="132"/>
      <c r="O82" s="133">
        <f t="shared" ref="O82" si="906">+O80/O67</f>
        <v>0.26797518418999616</v>
      </c>
      <c r="P82" s="132"/>
      <c r="Q82" s="133">
        <f t="shared" ref="Q82" si="907">+Q80/Q67</f>
        <v>0.3237067060397642</v>
      </c>
      <c r="R82" s="132"/>
      <c r="S82" s="133">
        <f t="shared" ref="S82" si="908">+S80/S67</f>
        <v>0.29468343875927805</v>
      </c>
      <c r="T82" s="132"/>
      <c r="U82" s="133">
        <f t="shared" ref="U82" si="909">+U80/U67</f>
        <v>0.32322851203908981</v>
      </c>
      <c r="V82" s="132"/>
      <c r="W82" s="133">
        <f t="shared" ref="W82" si="910">+W80/W67</f>
        <v>0.35957263909204029</v>
      </c>
      <c r="X82" s="132"/>
      <c r="Y82" s="133">
        <f t="shared" ref="Y82" si="911">+Y80/Y67</f>
        <v>0.36375442652990392</v>
      </c>
      <c r="Z82" s="132"/>
      <c r="AA82" s="133">
        <f t="shared" ref="AA82" si="912">+AA80/AA67</f>
        <v>0.37071058757552167</v>
      </c>
      <c r="AB82" s="132"/>
      <c r="AC82" s="133">
        <f t="shared" ref="AC82:AI82" si="913">+AC80/AC67</f>
        <v>0.41020862061786384</v>
      </c>
      <c r="AD82" s="132"/>
      <c r="AE82" s="1143">
        <f t="shared" si="913"/>
        <v>0.4112351878947354</v>
      </c>
      <c r="AF82" s="132"/>
      <c r="AG82" s="1143">
        <f t="shared" si="913"/>
        <v>0.35960875786178603</v>
      </c>
      <c r="AH82" s="132"/>
      <c r="AI82" s="1143">
        <f t="shared" si="913"/>
        <v>0.41831542778215497</v>
      </c>
      <c r="AJ82" s="132"/>
      <c r="AK82" s="1143">
        <f t="shared" ref="AK82" si="914">+AK80/AK67</f>
        <v>0.30024213805632904</v>
      </c>
      <c r="AL82" s="132"/>
      <c r="AM82" s="1143">
        <f t="shared" ref="AM82" si="915">+AM80/AM67</f>
        <v>0.37573598876989867</v>
      </c>
      <c r="AN82" s="132"/>
      <c r="AO82" s="1143">
        <f t="shared" ref="AO82:AQ82" si="916">+AO80/AO67</f>
        <v>0.42046215472988935</v>
      </c>
      <c r="AP82" s="132"/>
      <c r="AQ82" s="133">
        <f t="shared" si="916"/>
        <v>0.42650820837650638</v>
      </c>
      <c r="AR82" s="132"/>
      <c r="AS82" s="133">
        <f t="shared" ref="AS82:AU82" si="917">+AS80/AS67</f>
        <v>0.44000333048025836</v>
      </c>
      <c r="AT82" s="132"/>
      <c r="AU82" s="133">
        <f t="shared" si="917"/>
        <v>0.44000333048025836</v>
      </c>
      <c r="AV82" s="132"/>
      <c r="AW82" s="133">
        <f t="shared" ref="AW82" si="918">+AW80/AW67</f>
        <v>0.4664617965170505</v>
      </c>
      <c r="AX82" s="132"/>
      <c r="AY82" s="133">
        <f t="shared" ref="AY82" si="919">+AY80/AY67</f>
        <v>0.4664617965170505</v>
      </c>
      <c r="AZ82" s="132"/>
      <c r="BA82" s="133">
        <f t="shared" ref="BA82:BC82" si="920">+BA80/BA67</f>
        <v>0.48470588235294121</v>
      </c>
      <c r="BB82" s="132"/>
      <c r="BC82" s="133">
        <f t="shared" si="920"/>
        <v>0.49776332614503527</v>
      </c>
      <c r="BD82" s="132"/>
      <c r="BE82" s="133">
        <f t="shared" ref="BE82:BI82" si="921">+BE80/BE67</f>
        <v>0.47276713997398589</v>
      </c>
      <c r="BF82" s="132"/>
      <c r="BG82" s="133">
        <f t="shared" ref="BG82" si="922">+BG80/BG67</f>
        <v>0.45040943849085174</v>
      </c>
      <c r="BH82" s="132"/>
      <c r="BI82" s="133">
        <f t="shared" si="921"/>
        <v>0.45040943849085174</v>
      </c>
      <c r="BJ82" s="132"/>
      <c r="BK82" s="133">
        <f t="shared" ref="BK82" si="923">+BK80/BK67</f>
        <v>0.45040943849085174</v>
      </c>
      <c r="BL82" s="381"/>
      <c r="BM82" s="611">
        <f>+BM80/BM67</f>
        <v>0.44906428124464942</v>
      </c>
      <c r="BN82" s="381"/>
      <c r="BO82" s="611">
        <f>+BO80/BO67</f>
        <v>0.44906428124464942</v>
      </c>
      <c r="BP82" s="381"/>
      <c r="BQ82" s="611">
        <f>+BQ80/BQ67</f>
        <v>0.44906428124464942</v>
      </c>
      <c r="BR82" s="381"/>
      <c r="BS82" s="382">
        <f t="shared" ref="BS82:BU82" si="924">+BS80/BS67</f>
        <v>0.50974944202032257</v>
      </c>
      <c r="BT82" s="381"/>
      <c r="BU82" s="382">
        <f t="shared" si="924"/>
        <v>0.50974944202032257</v>
      </c>
      <c r="BV82" s="381"/>
      <c r="BW82" s="382"/>
      <c r="BX82" s="1152"/>
      <c r="BY82" s="1152"/>
      <c r="BZ82" s="1152"/>
      <c r="CA82" s="1152"/>
      <c r="CB82" s="1152"/>
      <c r="CC82" s="1152"/>
      <c r="CD82" s="1152"/>
      <c r="CE82" s="1152"/>
      <c r="CF82" s="1152"/>
      <c r="CG82" s="1152"/>
    </row>
    <row r="83" spans="1:85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0.50001042394595863</v>
      </c>
      <c r="H83" s="137"/>
      <c r="I83" s="138">
        <f t="shared" ref="I83" si="925">I80-I57</f>
        <v>0.36924756848303653</v>
      </c>
      <c r="J83" s="137"/>
      <c r="K83" s="138">
        <f t="shared" ref="K83" si="926">K80-K57</f>
        <v>0.35813582627020479</v>
      </c>
      <c r="L83" s="137"/>
      <c r="M83" s="138">
        <f t="shared" ref="M83" si="927">M80-M57</f>
        <v>0.34944173400968848</v>
      </c>
      <c r="N83" s="137"/>
      <c r="O83" s="138">
        <f t="shared" ref="O83" si="928">O80-O57</f>
        <v>7.6737510704684153E-2</v>
      </c>
      <c r="P83" s="137"/>
      <c r="Q83" s="138">
        <f t="shared" ref="Q83" si="929">Q80-Q57</f>
        <v>0.30690869594422598</v>
      </c>
      <c r="R83" s="137"/>
      <c r="S83" s="138">
        <f t="shared" ref="S83" si="930">S80-S57</f>
        <v>0.18704260207581824</v>
      </c>
      <c r="T83" s="137"/>
      <c r="U83" s="138">
        <f t="shared" ref="U83" si="931">U80-U57</f>
        <v>0.3049337547214408</v>
      </c>
      <c r="V83" s="137"/>
      <c r="W83" s="138">
        <f t="shared" ref="W83" si="932">W80-W57</f>
        <v>0.45503499945012638</v>
      </c>
      <c r="X83" s="137"/>
      <c r="Y83" s="138">
        <f t="shared" ref="Y83" si="933">Y80-Y57</f>
        <v>0.472305781568503</v>
      </c>
      <c r="Z83" s="137"/>
      <c r="AA83" s="138">
        <f t="shared" ref="AA83" si="934">AA80-AA57</f>
        <v>0.50103472668690441</v>
      </c>
      <c r="AB83" s="137"/>
      <c r="AC83" s="138">
        <f t="shared" ref="AC83:AI83" si="935">AC80-AC57</f>
        <v>0.80762502918589785</v>
      </c>
      <c r="AD83" s="137"/>
      <c r="AE83" s="138">
        <f t="shared" si="935"/>
        <v>0.66840132600525703</v>
      </c>
      <c r="AF83" s="137"/>
      <c r="AG83" s="138">
        <f t="shared" si="935"/>
        <v>0.45518416996917632</v>
      </c>
      <c r="AH83" s="137"/>
      <c r="AI83" s="138">
        <f t="shared" si="935"/>
        <v>0.69764271674029987</v>
      </c>
      <c r="AJ83" s="137"/>
      <c r="AK83" s="138">
        <f t="shared" ref="AK83" si="936">AK80-AK57</f>
        <v>0.2100000301726388</v>
      </c>
      <c r="AL83" s="137"/>
      <c r="AM83" s="138">
        <f t="shared" ref="AM83" si="937">AM80-AM57</f>
        <v>0.52178963361968145</v>
      </c>
      <c r="AN83" s="137"/>
      <c r="AO83" s="138">
        <f t="shared" ref="AO83:AQ83" si="938">AO80-AO57</f>
        <v>0.70650869903444291</v>
      </c>
      <c r="AP83" s="137"/>
      <c r="AQ83" s="138">
        <f t="shared" si="938"/>
        <v>0.73147890059497134</v>
      </c>
      <c r="AR83" s="137"/>
      <c r="AS83" s="138">
        <f t="shared" ref="AS83:AU83" si="939">AS80-AS57</f>
        <v>0.78721375488346701</v>
      </c>
      <c r="AT83" s="137"/>
      <c r="AU83" s="138">
        <f t="shared" si="939"/>
        <v>0.48721375488346697</v>
      </c>
      <c r="AV83" s="137"/>
      <c r="AW83" s="138">
        <f t="shared" ref="AW83" si="940">AW80-AW57</f>
        <v>0.59648721961541851</v>
      </c>
      <c r="AX83" s="137"/>
      <c r="AY83" s="138">
        <f t="shared" ref="AY83" si="941">AY80-AY57</f>
        <v>0.59648721961541851</v>
      </c>
      <c r="AZ83" s="137"/>
      <c r="BA83" s="138">
        <f t="shared" ref="BA83:BC83" si="942">BA80-BA57</f>
        <v>0.71</v>
      </c>
      <c r="BB83" s="137"/>
      <c r="BC83" s="138">
        <f t="shared" si="942"/>
        <v>0.76549413611639983</v>
      </c>
      <c r="BD83" s="137"/>
      <c r="BE83" s="138">
        <f t="shared" ref="BE83:BI83" si="943">BE80-BE57</f>
        <v>0.65926034488943985</v>
      </c>
      <c r="BF83" s="137"/>
      <c r="BG83" s="138">
        <f t="shared" ref="BG83" si="944">BG80-BG57</f>
        <v>0.56424011358611992</v>
      </c>
      <c r="BH83" s="137"/>
      <c r="BI83" s="138">
        <f t="shared" si="943"/>
        <v>0.56424011358611992</v>
      </c>
      <c r="BJ83" s="137"/>
      <c r="BK83" s="138">
        <f t="shared" ref="BK83" si="945">BK80-BK57</f>
        <v>1.4240113586119874E-2</v>
      </c>
      <c r="BL83" s="137"/>
      <c r="BM83" s="138">
        <f>BM80-BM57</f>
        <v>0.55852319528976002</v>
      </c>
      <c r="BN83" s="137"/>
      <c r="BO83" s="138">
        <f>BO80-BO57</f>
        <v>0.55852319528976002</v>
      </c>
      <c r="BP83" s="137"/>
      <c r="BQ83" s="138">
        <f>BQ80-BQ57</f>
        <v>8.5231952897601992E-3</v>
      </c>
      <c r="BR83" s="137"/>
      <c r="BS83" s="138">
        <f t="shared" ref="BS83:BU83" si="946">BS80-BS57</f>
        <v>1.2458223774955162</v>
      </c>
      <c r="BT83" s="137"/>
      <c r="BU83" s="138">
        <f t="shared" si="946"/>
        <v>0.1958223774955159</v>
      </c>
      <c r="BV83" s="137"/>
      <c r="BW83" s="138"/>
      <c r="BX83" s="281"/>
      <c r="BY83" s="281"/>
      <c r="BZ83" s="281"/>
      <c r="CA83" s="281"/>
      <c r="CB83" s="281"/>
      <c r="CC83" s="281"/>
      <c r="CD83" s="281"/>
      <c r="CE83" s="281"/>
      <c r="CF83" s="281"/>
      <c r="CG83" s="281"/>
    </row>
    <row r="84" spans="1:85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0.12106789926052268</v>
      </c>
      <c r="H84" s="132"/>
      <c r="I84" s="133">
        <f t="shared" ref="I84" si="947">I83/I67</f>
        <v>8.9406190915989475E-2</v>
      </c>
      <c r="J84" s="132"/>
      <c r="K84" s="133">
        <f t="shared" ref="K84" si="948">K83/K67</f>
        <v>8.6715696433463635E-2</v>
      </c>
      <c r="L84" s="132"/>
      <c r="M84" s="133">
        <f t="shared" ref="M84" si="949">M83/M67</f>
        <v>8.4610589348592849E-2</v>
      </c>
      <c r="N84" s="132"/>
      <c r="O84" s="133">
        <f t="shared" ref="O84" si="950">O83/O67</f>
        <v>1.8580511066509479E-2</v>
      </c>
      <c r="P84" s="132"/>
      <c r="Q84" s="133">
        <f t="shared" ref="Q84" si="951">Q83/Q67</f>
        <v>7.4312032916277485E-2</v>
      </c>
      <c r="R84" s="132"/>
      <c r="S84" s="133">
        <f t="shared" ref="S84" si="952">S83/S67</f>
        <v>4.5288765635791345E-2</v>
      </c>
      <c r="T84" s="132"/>
      <c r="U84" s="133">
        <f t="shared" ref="U84" si="953">U83/U67</f>
        <v>7.3833838915603106E-2</v>
      </c>
      <c r="V84" s="132"/>
      <c r="W84" s="133">
        <f t="shared" ref="W84" si="954">W83/W67</f>
        <v>0.1101779659685536</v>
      </c>
      <c r="X84" s="132"/>
      <c r="Y84" s="133">
        <f t="shared" ref="Y84" si="955">Y83/Y67</f>
        <v>0.1143597534064172</v>
      </c>
      <c r="Z84" s="132"/>
      <c r="AA84" s="133">
        <f t="shared" ref="AA84" si="956">AA83/AA67</f>
        <v>0.12131591445203496</v>
      </c>
      <c r="AB84" s="132"/>
      <c r="AC84" s="133">
        <f t="shared" ref="AC84" si="957">AC83/AC67</f>
        <v>0.19555085452443047</v>
      </c>
      <c r="AD84" s="132"/>
      <c r="AE84" s="1143">
        <f t="shared" ref="AE84" si="958">AE83/AE67</f>
        <v>0.16184051477124869</v>
      </c>
      <c r="AF84" s="132"/>
      <c r="AG84" s="1143">
        <f t="shared" ref="AG84" si="959">AG83/AG67</f>
        <v>0.11021408473829936</v>
      </c>
      <c r="AH84" s="132"/>
      <c r="AI84" s="1143">
        <f t="shared" ref="AI84" si="960">AI83/AI67</f>
        <v>0.16892075465866827</v>
      </c>
      <c r="AJ84" s="132"/>
      <c r="AK84" s="1143">
        <f t="shared" ref="AK84" si="961">AK83/AK67</f>
        <v>5.0847464932842326E-2</v>
      </c>
      <c r="AL84" s="132"/>
      <c r="AM84" s="1143">
        <f t="shared" ref="AM84" si="962">AM83/AM67</f>
        <v>0.12634131564641199</v>
      </c>
      <c r="AN84" s="132"/>
      <c r="AO84" s="1143">
        <f t="shared" ref="AO84:AQ84" si="963">AO83/AO67</f>
        <v>0.17106748160640264</v>
      </c>
      <c r="AP84" s="132"/>
      <c r="AQ84" s="133">
        <f t="shared" si="963"/>
        <v>0.1771135352530197</v>
      </c>
      <c r="AR84" s="132"/>
      <c r="AS84" s="133">
        <f t="shared" ref="AS84:AU84" si="964">AS83/AS67</f>
        <v>0.19060865735677168</v>
      </c>
      <c r="AT84" s="132"/>
      <c r="AU84" s="133">
        <f t="shared" si="964"/>
        <v>0.1179694321751736</v>
      </c>
      <c r="AV84" s="132"/>
      <c r="AW84" s="133">
        <f t="shared" ref="AW84" si="965">AW83/AW67</f>
        <v>0.14442789821196575</v>
      </c>
      <c r="AX84" s="132"/>
      <c r="AY84" s="133">
        <f t="shared" ref="AY84" si="966">AY83/AY67</f>
        <v>0.14442789821196575</v>
      </c>
      <c r="AZ84" s="132"/>
      <c r="BA84" s="133">
        <f t="shared" ref="BA84:BC84" si="967">BA83/BA67</f>
        <v>0.16705882352941176</v>
      </c>
      <c r="BB84" s="132"/>
      <c r="BC84" s="133">
        <f t="shared" si="967"/>
        <v>0.18011626732150585</v>
      </c>
      <c r="BD84" s="132"/>
      <c r="BE84" s="133">
        <f t="shared" ref="BE84:BI84" si="968">BE83/BE67</f>
        <v>0.15512008115045645</v>
      </c>
      <c r="BF84" s="132"/>
      <c r="BG84" s="133">
        <f t="shared" ref="BG84" si="969">BG83/BG67</f>
        <v>0.13276237966732232</v>
      </c>
      <c r="BH84" s="132"/>
      <c r="BI84" s="133">
        <f t="shared" si="968"/>
        <v>0.13276237966732232</v>
      </c>
      <c r="BJ84" s="132"/>
      <c r="BK84" s="133">
        <f t="shared" ref="BK84" si="970">BK83/BK67</f>
        <v>3.3506149614399702E-3</v>
      </c>
      <c r="BL84" s="381"/>
      <c r="BM84" s="611">
        <f>BM83/BM67</f>
        <v>0.13141722242112</v>
      </c>
      <c r="BN84" s="381"/>
      <c r="BO84" s="611">
        <f>BO83/BO67</f>
        <v>0.13141722242112</v>
      </c>
      <c r="BP84" s="381"/>
      <c r="BQ84" s="611">
        <f>BQ83/BQ67</f>
        <v>2.0054577152376941E-3</v>
      </c>
      <c r="BR84" s="381"/>
      <c r="BS84" s="382">
        <f t="shared" ref="BS84:BU84" si="971">BS83/BS67</f>
        <v>0.26506859095649277</v>
      </c>
      <c r="BT84" s="381"/>
      <c r="BU84" s="382">
        <f t="shared" si="971"/>
        <v>4.1664335637343806E-2</v>
      </c>
      <c r="BV84" s="381"/>
      <c r="BW84" s="382"/>
      <c r="BX84" s="1152"/>
      <c r="BY84" s="1152"/>
      <c r="BZ84" s="1152"/>
      <c r="CA84" s="1152"/>
      <c r="CB84" s="1152"/>
      <c r="CC84" s="1152"/>
      <c r="CD84" s="1152"/>
      <c r="CE84" s="1152"/>
      <c r="CF84" s="1152"/>
      <c r="CG84" s="1152"/>
    </row>
    <row r="85" spans="1:85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  <c r="T85" s="132"/>
      <c r="U85" s="133"/>
      <c r="V85" s="132"/>
      <c r="W85" s="133"/>
      <c r="X85" s="132"/>
      <c r="Y85" s="133"/>
      <c r="Z85" s="132"/>
      <c r="AA85" s="133"/>
      <c r="AB85" s="132"/>
      <c r="AC85" s="133"/>
      <c r="AD85" s="132"/>
      <c r="AE85" s="133"/>
      <c r="AF85" s="132"/>
      <c r="AG85" s="133"/>
      <c r="AH85" s="132"/>
      <c r="AI85" s="133"/>
      <c r="AJ85" s="132"/>
      <c r="AK85" s="133"/>
      <c r="AL85" s="132"/>
      <c r="AM85" s="133"/>
      <c r="AN85" s="132"/>
      <c r="AO85" s="133"/>
      <c r="AP85" s="132"/>
      <c r="AQ85" s="133"/>
      <c r="AR85" s="132"/>
      <c r="AS85" s="133"/>
      <c r="AT85" s="132"/>
      <c r="AU85" s="133"/>
      <c r="AV85" s="132"/>
      <c r="AW85" s="133"/>
      <c r="AX85" s="132"/>
      <c r="AY85" s="133"/>
      <c r="AZ85" s="132"/>
      <c r="BA85" s="133"/>
      <c r="BB85" s="132"/>
      <c r="BC85" s="133"/>
      <c r="BD85" s="132"/>
      <c r="BE85" s="133"/>
      <c r="BF85" s="132"/>
      <c r="BG85" s="133"/>
      <c r="BH85" s="132"/>
      <c r="BI85" s="133"/>
      <c r="BJ85" s="132"/>
      <c r="BK85" s="133"/>
      <c r="BL85" s="381"/>
      <c r="BM85" s="613"/>
      <c r="BN85" s="381"/>
      <c r="BO85" s="613"/>
      <c r="BP85" s="381"/>
      <c r="BQ85" s="613"/>
      <c r="BR85" s="381"/>
      <c r="BS85" s="382"/>
      <c r="BT85" s="381"/>
      <c r="BU85" s="382"/>
      <c r="BV85" s="381"/>
      <c r="BW85" s="382"/>
      <c r="BX85" s="1152"/>
      <c r="BY85" s="1152"/>
      <c r="BZ85" s="1152"/>
      <c r="CA85" s="1152"/>
      <c r="CB85" s="1152"/>
      <c r="CC85" s="1152"/>
      <c r="CD85" s="1152"/>
      <c r="CE85" s="1152"/>
      <c r="CF85" s="1152"/>
      <c r="CG85" s="1152"/>
    </row>
    <row r="86" spans="1:85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0.46783630635872492</v>
      </c>
      <c r="H86" s="141"/>
      <c r="I86" s="142">
        <f t="shared" ref="I86" si="972">I83-I72</f>
        <v>0.32686205688588416</v>
      </c>
      <c r="J86" s="141"/>
      <c r="K86" s="142">
        <f t="shared" ref="K86" si="973">K83-K72</f>
        <v>0.3111270303354805</v>
      </c>
      <c r="L86" s="141"/>
      <c r="M86" s="142">
        <f t="shared" ref="M86" si="974">M83-M72</f>
        <v>0.3167314775951971</v>
      </c>
      <c r="N86" s="141"/>
      <c r="O86" s="142">
        <f t="shared" ref="O86" si="975">O83-O72</f>
        <v>3.7357875774196525E-2</v>
      </c>
      <c r="P86" s="141"/>
      <c r="Q86" s="142">
        <f t="shared" ref="Q86" si="976">Q83-Q72</f>
        <v>0.25161928603415251</v>
      </c>
      <c r="R86" s="141"/>
      <c r="S86" s="142">
        <f t="shared" ref="S86" si="977">S83-S72</f>
        <v>0.15001604697170667</v>
      </c>
      <c r="T86" s="141"/>
      <c r="U86" s="142">
        <f t="shared" ref="U86" si="978">U83-U72</f>
        <v>0.2588798434996647</v>
      </c>
      <c r="V86" s="141"/>
      <c r="W86" s="142">
        <f t="shared" ref="W86" si="979">W83-W72</f>
        <v>0.41859799655408447</v>
      </c>
      <c r="X86" s="141"/>
      <c r="Y86" s="142">
        <f t="shared" ref="Y86" si="980">Y83-Y72</f>
        <v>0.43607373625461848</v>
      </c>
      <c r="Z86" s="141"/>
      <c r="AA86" s="142">
        <f t="shared" ref="AA86" si="981">AA83-AA72</f>
        <v>0.46340552257052087</v>
      </c>
      <c r="AB86" s="141"/>
      <c r="AC86" s="142">
        <f t="shared" ref="AC86:AI86" si="982">AC83-AC72</f>
        <v>0.77033480336521798</v>
      </c>
      <c r="AD86" s="141"/>
      <c r="AE86" s="142">
        <f t="shared" si="982"/>
        <v>0.63072675415649604</v>
      </c>
      <c r="AF86" s="141"/>
      <c r="AG86" s="142">
        <f t="shared" si="982"/>
        <v>0.41926747090878147</v>
      </c>
      <c r="AH86" s="141"/>
      <c r="AI86" s="142">
        <f t="shared" si="982"/>
        <v>0.66312720426795624</v>
      </c>
      <c r="AJ86" s="141"/>
      <c r="AK86" s="142">
        <f t="shared" ref="AK86" si="983">AK83-AK72</f>
        <v>0.17147469521154537</v>
      </c>
      <c r="AL86" s="141"/>
      <c r="AM86" s="142">
        <f t="shared" ref="AM86" si="984">AM83-AM72</f>
        <v>0.48696563854263725</v>
      </c>
      <c r="AN86" s="141"/>
      <c r="AO86" s="142">
        <f t="shared" ref="AO86:AQ86" si="985">AO83-AO72</f>
        <v>0.66708709934815724</v>
      </c>
      <c r="AP86" s="141"/>
      <c r="AQ86" s="142">
        <f t="shared" si="985"/>
        <v>0.69652988441199404</v>
      </c>
      <c r="AR86" s="141"/>
      <c r="AS86" s="142">
        <f t="shared" ref="AS86:AU86" si="986">AS83-AS72</f>
        <v>0.75269824241112337</v>
      </c>
      <c r="AT86" s="141"/>
      <c r="AU86" s="142">
        <f t="shared" si="986"/>
        <v>0.45118257770060444</v>
      </c>
      <c r="AV86" s="141"/>
      <c r="AW86" s="142">
        <f t="shared" ref="AW86" si="987">AW83-AW72</f>
        <v>0.55817061794093137</v>
      </c>
      <c r="AX86" s="141"/>
      <c r="AY86" s="142">
        <f t="shared" ref="AY86" si="988">AY83-AY72</f>
        <v>0.56067817508915985</v>
      </c>
      <c r="AZ86" s="141"/>
      <c r="BA86" s="142">
        <f t="shared" ref="BA86:BC86" si="989">BA83-BA72</f>
        <v>0.67399473006996402</v>
      </c>
      <c r="BB86" s="141"/>
      <c r="BC86" s="142">
        <f t="shared" si="989"/>
        <v>0.72779676273413196</v>
      </c>
      <c r="BD86" s="141"/>
      <c r="BE86" s="142">
        <f t="shared" ref="BE86:BI86" si="990">BE83-BE72</f>
        <v>0.62578037195394143</v>
      </c>
      <c r="BF86" s="141"/>
      <c r="BG86" s="142">
        <f t="shared" ref="BG86" si="991">BG83-BG72</f>
        <v>0.52832607427512079</v>
      </c>
      <c r="BH86" s="141"/>
      <c r="BI86" s="142">
        <f t="shared" si="990"/>
        <v>0.52832607427512079</v>
      </c>
      <c r="BJ86" s="141"/>
      <c r="BK86" s="142">
        <f t="shared" ref="BK86" si="992">BK83-BK72</f>
        <v>-2.167392572487923E-2</v>
      </c>
      <c r="BL86" s="141"/>
      <c r="BM86" s="599">
        <f>BM83-BM72</f>
        <v>0.5226091559787609</v>
      </c>
      <c r="BN86" s="141"/>
      <c r="BO86" s="599">
        <f>BO83-BO72</f>
        <v>0.5226091559787609</v>
      </c>
      <c r="BP86" s="141"/>
      <c r="BQ86" s="599">
        <f>BQ83-BQ72</f>
        <v>-2.7390844021238904E-2</v>
      </c>
      <c r="BR86" s="141"/>
      <c r="BS86" s="142">
        <f t="shared" ref="BS86:BU86" si="993">BS83-BS72</f>
        <v>1.2081250041132483</v>
      </c>
      <c r="BT86" s="141"/>
      <c r="BU86" s="142">
        <f t="shared" si="993"/>
        <v>0.15812500411324801</v>
      </c>
      <c r="BV86" s="141"/>
      <c r="BW86" s="142"/>
      <c r="BX86" s="673"/>
      <c r="BY86" s="673"/>
      <c r="BZ86" s="673"/>
      <c r="CA86" s="673"/>
      <c r="CB86" s="673"/>
      <c r="CC86" s="673"/>
      <c r="CD86" s="673"/>
      <c r="CE86" s="673"/>
      <c r="CF86" s="673"/>
      <c r="CG86" s="673"/>
    </row>
    <row r="87" spans="1:85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0.11327755601906173</v>
      </c>
      <c r="H87" s="132"/>
      <c r="I87" s="133">
        <f t="shared" ref="I87" si="994">I86/I67</f>
        <v>7.9143355178180191E-2</v>
      </c>
      <c r="J87" s="132"/>
      <c r="K87" s="133">
        <f t="shared" ref="K87" si="995">K86/K67</f>
        <v>7.5333421388736208E-2</v>
      </c>
      <c r="L87" s="132"/>
      <c r="M87" s="133">
        <f t="shared" ref="M87" si="996">M86/M67</f>
        <v>7.6690430410459351E-2</v>
      </c>
      <c r="N87" s="132"/>
      <c r="O87" s="133">
        <f t="shared" ref="O87" si="997">O86/O67</f>
        <v>9.0454905022267617E-3</v>
      </c>
      <c r="P87" s="132"/>
      <c r="Q87" s="133">
        <f t="shared" ref="Q87" si="998">Q86/Q67</f>
        <v>6.0924766594225792E-2</v>
      </c>
      <c r="R87" s="132"/>
      <c r="S87" s="133">
        <f t="shared" ref="S87" si="999">S86/S67</f>
        <v>3.6323498056103312E-2</v>
      </c>
      <c r="T87" s="132"/>
      <c r="U87" s="133">
        <f t="shared" ref="U87" si="1000">U86/U67</f>
        <v>6.268277082316337E-2</v>
      </c>
      <c r="V87" s="132"/>
      <c r="W87" s="133">
        <f t="shared" ref="W87" si="1001">W86/W67</f>
        <v>0.1013554471075265</v>
      </c>
      <c r="X87" s="132"/>
      <c r="Y87" s="133">
        <f t="shared" ref="Y87" si="1002">Y86/Y67</f>
        <v>0.10558686107860012</v>
      </c>
      <c r="Z87" s="132"/>
      <c r="AA87" s="133">
        <f t="shared" ref="AA87" si="1003">AA86/AA67</f>
        <v>0.11220472701465396</v>
      </c>
      <c r="AB87" s="132"/>
      <c r="AC87" s="133">
        <f t="shared" ref="AC87" si="1004">AC86/AC67</f>
        <v>0.18652174415622713</v>
      </c>
      <c r="AD87" s="132"/>
      <c r="AE87" s="1143">
        <f t="shared" ref="AE87" si="1005">AE86/AE67</f>
        <v>0.15271834241077387</v>
      </c>
      <c r="AF87" s="132"/>
      <c r="AG87" s="1143">
        <f t="shared" ref="AG87" si="1006">AG86/AG67</f>
        <v>0.10151754743554031</v>
      </c>
      <c r="AH87" s="132"/>
      <c r="AI87" s="1143">
        <f t="shared" ref="AI87" si="1007">AI86/AI67</f>
        <v>0.16056348771621218</v>
      </c>
      <c r="AJ87" s="132"/>
      <c r="AK87" s="1143">
        <f t="shared" ref="AK87" si="1008">AK86/AK67</f>
        <v>4.1519296661391134E-2</v>
      </c>
      <c r="AL87" s="132"/>
      <c r="AM87" s="1143">
        <f t="shared" ref="AM87" si="1009">AM86/AM67</f>
        <v>0.11790935557933105</v>
      </c>
      <c r="AN87" s="132"/>
      <c r="AO87" s="1143">
        <f t="shared" ref="AO87:AQ87" si="1010">AO86/AO67</f>
        <v>0.16152230008429957</v>
      </c>
      <c r="AP87" s="132"/>
      <c r="AQ87" s="133">
        <f t="shared" si="1010"/>
        <v>0.16865130373171769</v>
      </c>
      <c r="AR87" s="132"/>
      <c r="AS87" s="133">
        <f t="shared" ref="AS87:AU87" si="1011">AS86/AS67</f>
        <v>0.18225139041431559</v>
      </c>
      <c r="AT87" s="132"/>
      <c r="AU87" s="133">
        <f t="shared" si="1011"/>
        <v>0.10924517619869357</v>
      </c>
      <c r="AV87" s="132"/>
      <c r="AW87" s="133">
        <f t="shared" ref="AW87" si="1012">AW86/AW67</f>
        <v>0.13515027068787686</v>
      </c>
      <c r="AX87" s="132"/>
      <c r="AY87" s="133">
        <f t="shared" ref="AY87" si="1013">AY86/AY67</f>
        <v>0.13575742738236315</v>
      </c>
      <c r="AZ87" s="132"/>
      <c r="BA87" s="133">
        <f t="shared" ref="BA87:BC87" si="1014">BA86/BA67</f>
        <v>0.15858699531057976</v>
      </c>
      <c r="BB87" s="132"/>
      <c r="BC87" s="133">
        <f t="shared" si="1014"/>
        <v>0.1712462971139134</v>
      </c>
      <c r="BD87" s="132"/>
      <c r="BE87" s="133">
        <f t="shared" ref="BE87:BI87" si="1015">BE86/BE67</f>
        <v>0.14724244045975093</v>
      </c>
      <c r="BF87" s="132"/>
      <c r="BG87" s="133">
        <f t="shared" ref="BG87" si="1016">BG86/BG67</f>
        <v>0.124312017476499</v>
      </c>
      <c r="BH87" s="132"/>
      <c r="BI87" s="133">
        <f t="shared" si="1015"/>
        <v>0.124312017476499</v>
      </c>
      <c r="BJ87" s="132"/>
      <c r="BK87" s="133">
        <f t="shared" ref="BK87" si="1017">BK86/BK67</f>
        <v>-5.0997472293833482E-3</v>
      </c>
      <c r="BL87" s="381"/>
      <c r="BM87" s="611">
        <f>BM86/BM67</f>
        <v>0.12296686023029668</v>
      </c>
      <c r="BN87" s="381"/>
      <c r="BO87" s="611">
        <f>BO86/BO67</f>
        <v>0.12296686023029668</v>
      </c>
      <c r="BP87" s="381"/>
      <c r="BQ87" s="611">
        <f>BQ86/BQ67</f>
        <v>-6.4449044755856243E-3</v>
      </c>
      <c r="BR87" s="381"/>
      <c r="BS87" s="382">
        <f t="shared" ref="BS87:BU87" si="1018">BS86/BS67</f>
        <v>0.25704787321558475</v>
      </c>
      <c r="BT87" s="381"/>
      <c r="BU87" s="382">
        <f t="shared" si="1018"/>
        <v>3.3643617896435746E-2</v>
      </c>
      <c r="BV87" s="381"/>
      <c r="BW87" s="382"/>
      <c r="BX87" s="1152"/>
      <c r="BY87" s="1152"/>
      <c r="BZ87" s="1152"/>
      <c r="CA87" s="1152"/>
      <c r="CB87" s="1152"/>
      <c r="CC87" s="1152"/>
      <c r="CD87" s="1152"/>
      <c r="CE87" s="1152"/>
      <c r="CF87" s="1152"/>
      <c r="CG87" s="1152"/>
    </row>
    <row r="88" spans="1:85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132"/>
      <c r="O88" s="133"/>
      <c r="P88" s="132"/>
      <c r="Q88" s="133"/>
      <c r="R88" s="132"/>
      <c r="S88" s="133"/>
      <c r="T88" s="132"/>
      <c r="U88" s="133"/>
      <c r="V88" s="132"/>
      <c r="W88" s="133"/>
      <c r="X88" s="132"/>
      <c r="Y88" s="133"/>
      <c r="Z88" s="132"/>
      <c r="AA88" s="133"/>
      <c r="AB88" s="132"/>
      <c r="AC88" s="133"/>
      <c r="AD88" s="132"/>
      <c r="AE88" s="133"/>
      <c r="AF88" s="132"/>
      <c r="AG88" s="133"/>
      <c r="AH88" s="132"/>
      <c r="AI88" s="133"/>
      <c r="AJ88" s="132"/>
      <c r="AK88" s="133"/>
      <c r="AL88" s="132"/>
      <c r="AM88" s="133"/>
      <c r="AN88" s="132"/>
      <c r="AO88" s="133"/>
      <c r="AP88" s="132"/>
      <c r="AQ88" s="133"/>
      <c r="AR88" s="132"/>
      <c r="AS88" s="133"/>
      <c r="AT88" s="132"/>
      <c r="AU88" s="133"/>
      <c r="AV88" s="132"/>
      <c r="AW88" s="133"/>
      <c r="AX88" s="132"/>
      <c r="AY88" s="133"/>
      <c r="AZ88" s="132"/>
      <c r="BA88" s="133"/>
      <c r="BB88" s="132"/>
      <c r="BC88" s="133"/>
      <c r="BD88" s="132"/>
      <c r="BE88" s="133"/>
      <c r="BF88" s="132"/>
      <c r="BG88" s="133"/>
      <c r="BH88" s="132"/>
      <c r="BI88" s="133"/>
      <c r="BJ88" s="132"/>
      <c r="BK88" s="133"/>
      <c r="BL88" s="381"/>
      <c r="BM88" s="613"/>
      <c r="BN88" s="381"/>
      <c r="BO88" s="613"/>
      <c r="BP88" s="381"/>
      <c r="BQ88" s="613"/>
      <c r="BR88" s="381"/>
      <c r="BS88" s="382"/>
      <c r="BT88" s="381"/>
      <c r="BU88" s="382"/>
      <c r="BV88" s="381"/>
      <c r="BW88" s="382"/>
      <c r="BX88" s="1152"/>
      <c r="BY88" s="1152"/>
      <c r="BZ88" s="1152"/>
      <c r="CA88" s="1152"/>
      <c r="CB88" s="1152"/>
      <c r="CC88" s="1152"/>
      <c r="CD88" s="1152"/>
      <c r="CE88" s="1152"/>
      <c r="CF88" s="1152"/>
      <c r="CG88" s="1152"/>
    </row>
    <row r="89" spans="1:85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0.46783630635872492</v>
      </c>
      <c r="H89" s="146"/>
      <c r="I89" s="147">
        <f t="shared" ref="I89" si="1019">I86</f>
        <v>0.32686205688588416</v>
      </c>
      <c r="J89" s="146"/>
      <c r="K89" s="147">
        <f t="shared" ref="K89" si="1020">K86</f>
        <v>0.3111270303354805</v>
      </c>
      <c r="L89" s="146"/>
      <c r="M89" s="147">
        <f t="shared" ref="M89" si="1021">M86</f>
        <v>0.3167314775951971</v>
      </c>
      <c r="N89" s="146"/>
      <c r="O89" s="147">
        <f t="shared" ref="O89" si="1022">O86</f>
        <v>3.7357875774196525E-2</v>
      </c>
      <c r="P89" s="146"/>
      <c r="Q89" s="147">
        <f t="shared" ref="Q89" si="1023">Q86</f>
        <v>0.25161928603415251</v>
      </c>
      <c r="R89" s="146"/>
      <c r="S89" s="147">
        <f t="shared" ref="S89" si="1024">S86</f>
        <v>0.15001604697170667</v>
      </c>
      <c r="T89" s="146"/>
      <c r="U89" s="147">
        <f t="shared" ref="U89" si="1025">U86</f>
        <v>0.2588798434996647</v>
      </c>
      <c r="V89" s="146"/>
      <c r="W89" s="147">
        <f t="shared" ref="W89" si="1026">W86</f>
        <v>0.41859799655408447</v>
      </c>
      <c r="X89" s="146"/>
      <c r="Y89" s="147">
        <f t="shared" ref="Y89" si="1027">Y86</f>
        <v>0.43607373625461848</v>
      </c>
      <c r="Z89" s="146"/>
      <c r="AA89" s="147">
        <f t="shared" ref="AA89" si="1028">AA86</f>
        <v>0.46340552257052087</v>
      </c>
      <c r="AB89" s="146"/>
      <c r="AC89" s="147">
        <f t="shared" ref="AC89:AI89" si="1029">AC86</f>
        <v>0.77033480336521798</v>
      </c>
      <c r="AD89" s="146"/>
      <c r="AE89" s="147">
        <f t="shared" si="1029"/>
        <v>0.63072675415649604</v>
      </c>
      <c r="AF89" s="146"/>
      <c r="AG89" s="147">
        <f t="shared" si="1029"/>
        <v>0.41926747090878147</v>
      </c>
      <c r="AH89" s="146"/>
      <c r="AI89" s="147">
        <f t="shared" si="1029"/>
        <v>0.66312720426795624</v>
      </c>
      <c r="AJ89" s="146"/>
      <c r="AK89" s="147">
        <f t="shared" ref="AK89" si="1030">AK86</f>
        <v>0.17147469521154537</v>
      </c>
      <c r="AL89" s="146"/>
      <c r="AM89" s="147">
        <f t="shared" ref="AM89" si="1031">AM86</f>
        <v>0.48696563854263725</v>
      </c>
      <c r="AN89" s="146"/>
      <c r="AO89" s="147">
        <f t="shared" ref="AO89:AQ89" si="1032">AO86</f>
        <v>0.66708709934815724</v>
      </c>
      <c r="AP89" s="146"/>
      <c r="AQ89" s="147">
        <f t="shared" si="1032"/>
        <v>0.69652988441199404</v>
      </c>
      <c r="AR89" s="146"/>
      <c r="AS89" s="147">
        <f t="shared" ref="AS89:AU89" si="1033">AS86</f>
        <v>0.75269824241112337</v>
      </c>
      <c r="AT89" s="146"/>
      <c r="AU89" s="147">
        <f t="shared" si="1033"/>
        <v>0.45118257770060444</v>
      </c>
      <c r="AV89" s="146"/>
      <c r="AW89" s="147">
        <f t="shared" ref="AW89" si="1034">AW86</f>
        <v>0.55817061794093137</v>
      </c>
      <c r="AX89" s="146"/>
      <c r="AY89" s="147">
        <f t="shared" ref="AY89" si="1035">AY86</f>
        <v>0.56067817508915985</v>
      </c>
      <c r="AZ89" s="146"/>
      <c r="BA89" s="147">
        <f t="shared" ref="BA89:BC89" si="1036">BA86</f>
        <v>0.67399473006996402</v>
      </c>
      <c r="BB89" s="146"/>
      <c r="BC89" s="147">
        <f t="shared" si="1036"/>
        <v>0.72779676273413196</v>
      </c>
      <c r="BD89" s="146"/>
      <c r="BE89" s="147">
        <f t="shared" ref="BE89:BI89" si="1037">BE86</f>
        <v>0.62578037195394143</v>
      </c>
      <c r="BF89" s="146"/>
      <c r="BG89" s="147">
        <f t="shared" ref="BG89" si="1038">BG86</f>
        <v>0.52832607427512079</v>
      </c>
      <c r="BH89" s="146"/>
      <c r="BI89" s="147">
        <f t="shared" si="1037"/>
        <v>0.52832607427512079</v>
      </c>
      <c r="BJ89" s="146"/>
      <c r="BK89" s="147">
        <f t="shared" ref="BK89" si="1039">BK86</f>
        <v>-2.167392572487923E-2</v>
      </c>
      <c r="BL89" s="146"/>
      <c r="BM89" s="601">
        <f>BM86</f>
        <v>0.5226091559787609</v>
      </c>
      <c r="BN89" s="146"/>
      <c r="BO89" s="601">
        <f>BO86</f>
        <v>0.5226091559787609</v>
      </c>
      <c r="BP89" s="146"/>
      <c r="BQ89" s="601">
        <f>BQ86</f>
        <v>-2.7390844021238904E-2</v>
      </c>
      <c r="BR89" s="146"/>
      <c r="BS89" s="147">
        <f t="shared" ref="BS89:BU89" si="1040">BS86</f>
        <v>1.2081250041132483</v>
      </c>
      <c r="BT89" s="146"/>
      <c r="BU89" s="147">
        <f t="shared" si="1040"/>
        <v>0.15812500411324801</v>
      </c>
      <c r="BV89" s="146"/>
      <c r="BW89" s="147"/>
      <c r="BX89" s="674"/>
      <c r="BY89" s="674"/>
      <c r="BZ89" s="674"/>
      <c r="CA89" s="674"/>
      <c r="CB89" s="674"/>
      <c r="CC89" s="674"/>
      <c r="CD89" s="674"/>
      <c r="CE89" s="674"/>
      <c r="CF89" s="674"/>
      <c r="CG89" s="674"/>
    </row>
    <row r="90" spans="1:85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0.11327755601906173</v>
      </c>
      <c r="H90" s="132"/>
      <c r="I90" s="133">
        <f t="shared" ref="I90" si="1041">I89/I67</f>
        <v>7.9143355178180191E-2</v>
      </c>
      <c r="J90" s="132"/>
      <c r="K90" s="133">
        <f t="shared" ref="K90" si="1042">K89/K67</f>
        <v>7.5333421388736208E-2</v>
      </c>
      <c r="L90" s="132"/>
      <c r="M90" s="133">
        <f t="shared" ref="M90" si="1043">M89/M67</f>
        <v>7.6690430410459351E-2</v>
      </c>
      <c r="N90" s="132"/>
      <c r="O90" s="133">
        <f t="shared" ref="O90" si="1044">O89/O67</f>
        <v>9.0454905022267617E-3</v>
      </c>
      <c r="P90" s="132"/>
      <c r="Q90" s="133">
        <f t="shared" ref="Q90" si="1045">Q89/Q67</f>
        <v>6.0924766594225792E-2</v>
      </c>
      <c r="R90" s="132"/>
      <c r="S90" s="133">
        <f t="shared" ref="S90" si="1046">S89/S67</f>
        <v>3.6323498056103312E-2</v>
      </c>
      <c r="T90" s="132"/>
      <c r="U90" s="133">
        <f t="shared" ref="U90" si="1047">U89/U67</f>
        <v>6.268277082316337E-2</v>
      </c>
      <c r="V90" s="132"/>
      <c r="W90" s="133">
        <f t="shared" ref="W90" si="1048">W89/W67</f>
        <v>0.1013554471075265</v>
      </c>
      <c r="X90" s="132"/>
      <c r="Y90" s="133">
        <f t="shared" ref="Y90" si="1049">Y89/Y67</f>
        <v>0.10558686107860012</v>
      </c>
      <c r="Z90" s="132"/>
      <c r="AA90" s="133">
        <f t="shared" ref="AA90" si="1050">AA89/AA67</f>
        <v>0.11220472701465396</v>
      </c>
      <c r="AB90" s="132"/>
      <c r="AC90" s="133">
        <f t="shared" ref="AC90" si="1051">AC89/AC67</f>
        <v>0.18652174415622713</v>
      </c>
      <c r="AD90" s="132"/>
      <c r="AE90" s="1143">
        <f t="shared" ref="AE90" si="1052">AE89/AE67</f>
        <v>0.15271834241077387</v>
      </c>
      <c r="AF90" s="132"/>
      <c r="AG90" s="1143">
        <f t="shared" ref="AG90" si="1053">AG89/AG67</f>
        <v>0.10151754743554031</v>
      </c>
      <c r="AH90" s="132"/>
      <c r="AI90" s="1143">
        <f t="shared" ref="AI90" si="1054">AI89/AI67</f>
        <v>0.16056348771621218</v>
      </c>
      <c r="AJ90" s="132"/>
      <c r="AK90" s="1143">
        <f t="shared" ref="AK90" si="1055">AK89/AK67</f>
        <v>4.1519296661391134E-2</v>
      </c>
      <c r="AL90" s="132"/>
      <c r="AM90" s="1143">
        <f t="shared" ref="AM90" si="1056">AM89/AM67</f>
        <v>0.11790935557933105</v>
      </c>
      <c r="AN90" s="132"/>
      <c r="AO90" s="1143">
        <f t="shared" ref="AO90:AQ90" si="1057">AO89/AO67</f>
        <v>0.16152230008429957</v>
      </c>
      <c r="AP90" s="132"/>
      <c r="AQ90" s="133">
        <f t="shared" si="1057"/>
        <v>0.16865130373171769</v>
      </c>
      <c r="AR90" s="132"/>
      <c r="AS90" s="133">
        <f t="shared" ref="AS90:AU90" si="1058">AS89/AS67</f>
        <v>0.18225139041431559</v>
      </c>
      <c r="AT90" s="132"/>
      <c r="AU90" s="133">
        <f t="shared" si="1058"/>
        <v>0.10924517619869357</v>
      </c>
      <c r="AV90" s="132"/>
      <c r="AW90" s="133">
        <f t="shared" ref="AW90" si="1059">AW89/AW67</f>
        <v>0.13515027068787686</v>
      </c>
      <c r="AX90" s="132"/>
      <c r="AY90" s="133">
        <f t="shared" ref="AY90" si="1060">AY89/AY67</f>
        <v>0.13575742738236315</v>
      </c>
      <c r="AZ90" s="132"/>
      <c r="BA90" s="133">
        <f t="shared" ref="BA90:BC90" si="1061">BA89/BA67</f>
        <v>0.15858699531057976</v>
      </c>
      <c r="BB90" s="132"/>
      <c r="BC90" s="133">
        <f t="shared" si="1061"/>
        <v>0.1712462971139134</v>
      </c>
      <c r="BD90" s="132"/>
      <c r="BE90" s="133">
        <f t="shared" ref="BE90:BI90" si="1062">BE89/BE67</f>
        <v>0.14724244045975093</v>
      </c>
      <c r="BF90" s="132"/>
      <c r="BG90" s="133">
        <f t="shared" ref="BG90" si="1063">BG89/BG67</f>
        <v>0.124312017476499</v>
      </c>
      <c r="BH90" s="132"/>
      <c r="BI90" s="133">
        <f t="shared" si="1062"/>
        <v>0.124312017476499</v>
      </c>
      <c r="BJ90" s="132"/>
      <c r="BK90" s="133">
        <f t="shared" ref="BK90" si="1064">BK89/BK67</f>
        <v>-5.0997472293833482E-3</v>
      </c>
      <c r="BL90" s="381"/>
      <c r="BM90" s="611">
        <f>BM89/BM67</f>
        <v>0.12296686023029668</v>
      </c>
      <c r="BN90" s="381"/>
      <c r="BO90" s="611">
        <f>BO89/BO67</f>
        <v>0.12296686023029668</v>
      </c>
      <c r="BP90" s="381"/>
      <c r="BQ90" s="611">
        <f>BQ89/BQ67</f>
        <v>-6.4449044755856243E-3</v>
      </c>
      <c r="BR90" s="381"/>
      <c r="BS90" s="382">
        <f t="shared" ref="BS90:BU90" si="1065">BS89/BS67</f>
        <v>0.25704787321558475</v>
      </c>
      <c r="BT90" s="381"/>
      <c r="BU90" s="382">
        <f t="shared" si="1065"/>
        <v>3.3643617896435746E-2</v>
      </c>
      <c r="BV90" s="381"/>
      <c r="BW90" s="382"/>
      <c r="BX90" s="1152"/>
      <c r="BY90" s="1152"/>
      <c r="BZ90" s="1152"/>
      <c r="CA90" s="1152"/>
      <c r="CB90" s="1152"/>
      <c r="CC90" s="1152"/>
      <c r="CD90" s="1152"/>
      <c r="CE90" s="1152"/>
      <c r="CF90" s="1152"/>
      <c r="CG90" s="1152"/>
    </row>
    <row r="91" spans="1:85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132"/>
      <c r="O91" s="133"/>
      <c r="P91" s="132"/>
      <c r="Q91" s="133"/>
      <c r="R91" s="132"/>
      <c r="S91" s="133"/>
      <c r="T91" s="132"/>
      <c r="U91" s="133"/>
      <c r="V91" s="132"/>
      <c r="W91" s="133"/>
      <c r="X91" s="132"/>
      <c r="Y91" s="133"/>
      <c r="Z91" s="132"/>
      <c r="AA91" s="133"/>
      <c r="AB91" s="132"/>
      <c r="AC91" s="133"/>
      <c r="AD91" s="132"/>
      <c r="AE91" s="133"/>
      <c r="AF91" s="132"/>
      <c r="AG91" s="133"/>
      <c r="AH91" s="132"/>
      <c r="AI91" s="133"/>
      <c r="AJ91" s="132"/>
      <c r="AK91" s="133"/>
      <c r="AL91" s="132"/>
      <c r="AM91" s="133"/>
      <c r="AN91" s="132"/>
      <c r="AO91" s="133"/>
      <c r="AP91" s="132"/>
      <c r="AQ91" s="133"/>
      <c r="AR91" s="132"/>
      <c r="AS91" s="133"/>
      <c r="AT91" s="132"/>
      <c r="AU91" s="133"/>
      <c r="AV91" s="132"/>
      <c r="AW91" s="133"/>
      <c r="AX91" s="132"/>
      <c r="AY91" s="133"/>
      <c r="AZ91" s="132"/>
      <c r="BA91" s="133"/>
      <c r="BB91" s="132"/>
      <c r="BC91" s="133"/>
      <c r="BD91" s="132"/>
      <c r="BE91" s="133"/>
      <c r="BF91" s="132"/>
      <c r="BG91" s="133"/>
      <c r="BH91" s="132"/>
      <c r="BI91" s="133"/>
      <c r="BJ91" s="132"/>
      <c r="BK91" s="133"/>
      <c r="BL91" s="381"/>
      <c r="BM91" s="613"/>
      <c r="BN91" s="381"/>
      <c r="BO91" s="613"/>
      <c r="BP91" s="381"/>
      <c r="BQ91" s="613"/>
      <c r="BR91" s="381"/>
      <c r="BS91" s="382"/>
      <c r="BT91" s="381"/>
      <c r="BU91" s="382"/>
      <c r="BV91" s="381"/>
      <c r="BW91" s="382"/>
      <c r="BX91" s="1152"/>
      <c r="BY91" s="1152"/>
      <c r="BZ91" s="1152"/>
      <c r="CA91" s="1152"/>
      <c r="CB91" s="1152"/>
      <c r="CC91" s="1152"/>
      <c r="CD91" s="1152"/>
      <c r="CE91" s="1152"/>
      <c r="CF91" s="1152"/>
      <c r="CG91" s="1152"/>
    </row>
    <row r="92" spans="1:85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257">
        <v>0</v>
      </c>
      <c r="AZ92" s="256"/>
      <c r="BA92" s="257">
        <v>0</v>
      </c>
      <c r="BB92" s="256"/>
      <c r="BC92" s="257">
        <v>0</v>
      </c>
      <c r="BD92" s="256"/>
      <c r="BE92" s="257">
        <v>0</v>
      </c>
      <c r="BF92" s="256"/>
      <c r="BG92" s="257">
        <v>0</v>
      </c>
      <c r="BH92" s="256"/>
      <c r="BI92" s="257">
        <v>0</v>
      </c>
      <c r="BJ92" s="256"/>
      <c r="BK92" s="257">
        <v>0</v>
      </c>
      <c r="BL92" s="256"/>
      <c r="BM92" s="604">
        <v>0</v>
      </c>
      <c r="BN92" s="256"/>
      <c r="BO92" s="604">
        <v>0</v>
      </c>
      <c r="BP92" s="256"/>
      <c r="BQ92" s="604">
        <v>0</v>
      </c>
      <c r="BR92" s="256"/>
      <c r="BS92" s="257">
        <v>0</v>
      </c>
      <c r="BT92" s="256"/>
      <c r="BU92" s="257">
        <v>0</v>
      </c>
      <c r="BV92" s="256"/>
      <c r="BW92" s="257"/>
      <c r="BX92" s="675"/>
      <c r="BY92" s="675"/>
      <c r="BZ92" s="675"/>
      <c r="CA92" s="675"/>
      <c r="CB92" s="675"/>
      <c r="CC92" s="675"/>
      <c r="CD92" s="675"/>
      <c r="CE92" s="675"/>
      <c r="CF92" s="675"/>
      <c r="CG92" s="675"/>
    </row>
    <row r="93" spans="1:85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0.46783630635872492</v>
      </c>
      <c r="H93" s="146"/>
      <c r="I93" s="147">
        <f t="shared" ref="I93" si="1066">I89-I92</f>
        <v>0.32686205688588416</v>
      </c>
      <c r="J93" s="146"/>
      <c r="K93" s="147">
        <f t="shared" ref="K93" si="1067">K89-K92</f>
        <v>0.3111270303354805</v>
      </c>
      <c r="L93" s="146"/>
      <c r="M93" s="147">
        <f t="shared" ref="M93" si="1068">M89-M92</f>
        <v>0.3167314775951971</v>
      </c>
      <c r="N93" s="146"/>
      <c r="O93" s="147">
        <f t="shared" ref="O93" si="1069">O89-O92</f>
        <v>3.7357875774196525E-2</v>
      </c>
      <c r="P93" s="146"/>
      <c r="Q93" s="147">
        <f t="shared" ref="Q93" si="1070">Q89-Q92</f>
        <v>0.25161928603415251</v>
      </c>
      <c r="R93" s="146"/>
      <c r="S93" s="147">
        <f t="shared" ref="S93" si="1071">S89-S92</f>
        <v>0.15001604697170667</v>
      </c>
      <c r="T93" s="146"/>
      <c r="U93" s="147">
        <f t="shared" ref="U93" si="1072">U89-U92</f>
        <v>0.2588798434996647</v>
      </c>
      <c r="V93" s="146"/>
      <c r="W93" s="147">
        <f t="shared" ref="W93" si="1073">W89-W92</f>
        <v>0.41859799655408447</v>
      </c>
      <c r="X93" s="146"/>
      <c r="Y93" s="147">
        <f t="shared" ref="Y93" si="1074">Y89-Y92</f>
        <v>0.43607373625461848</v>
      </c>
      <c r="Z93" s="146"/>
      <c r="AA93" s="147">
        <f t="shared" ref="AA93" si="1075">AA89-AA92</f>
        <v>0.46340552257052087</v>
      </c>
      <c r="AB93" s="146"/>
      <c r="AC93" s="147">
        <f t="shared" ref="AC93" si="1076">AC89-AC92</f>
        <v>0.77033480336521798</v>
      </c>
      <c r="AD93" s="146"/>
      <c r="AE93" s="147">
        <f t="shared" ref="AE93" si="1077">AE89-AE92</f>
        <v>0.63072675415649604</v>
      </c>
      <c r="AF93" s="146"/>
      <c r="AG93" s="147">
        <f t="shared" ref="AG93" si="1078">AG89-AG92</f>
        <v>0.41926747090878147</v>
      </c>
      <c r="AH93" s="146"/>
      <c r="AI93" s="147">
        <f t="shared" ref="AI93" si="1079">AI89-AI92</f>
        <v>0.66312720426795624</v>
      </c>
      <c r="AJ93" s="146"/>
      <c r="AK93" s="147">
        <f t="shared" ref="AK93" si="1080">AK89-AK92</f>
        <v>0.17147469521154537</v>
      </c>
      <c r="AL93" s="146"/>
      <c r="AM93" s="147">
        <f t="shared" ref="AM93" si="1081">AM89-AM92</f>
        <v>0.48696563854263725</v>
      </c>
      <c r="AN93" s="146"/>
      <c r="AO93" s="147">
        <f t="shared" ref="AO93:AQ93" si="1082">AO89-AO92</f>
        <v>0.66708709934815724</v>
      </c>
      <c r="AP93" s="146"/>
      <c r="AQ93" s="147">
        <f t="shared" si="1082"/>
        <v>0.69652988441199404</v>
      </c>
      <c r="AR93" s="146"/>
      <c r="AS93" s="147">
        <f t="shared" ref="AS93:AU93" si="1083">AS89-AS92</f>
        <v>0.75269824241112337</v>
      </c>
      <c r="AT93" s="146"/>
      <c r="AU93" s="147">
        <f t="shared" si="1083"/>
        <v>0.45118257770060444</v>
      </c>
      <c r="AV93" s="146"/>
      <c r="AW93" s="147">
        <f t="shared" ref="AW93" si="1084">AW89-AW92</f>
        <v>0.55817061794093137</v>
      </c>
      <c r="AX93" s="146"/>
      <c r="AY93" s="147">
        <f t="shared" ref="AY93" si="1085">AY89-AY92</f>
        <v>0.56067817508915985</v>
      </c>
      <c r="AZ93" s="146"/>
      <c r="BA93" s="147">
        <f t="shared" ref="BA93:BC93" si="1086">BA89-BA92</f>
        <v>0.67399473006996402</v>
      </c>
      <c r="BB93" s="146"/>
      <c r="BC93" s="147">
        <f t="shared" si="1086"/>
        <v>0.72779676273413196</v>
      </c>
      <c r="BD93" s="146"/>
      <c r="BE93" s="147">
        <f t="shared" ref="BE93:BI93" si="1087">BE89-BE92</f>
        <v>0.62578037195394143</v>
      </c>
      <c r="BF93" s="146"/>
      <c r="BG93" s="147">
        <f t="shared" ref="BG93" si="1088">BG89-BG92</f>
        <v>0.52832607427512079</v>
      </c>
      <c r="BH93" s="146"/>
      <c r="BI93" s="147">
        <f t="shared" si="1087"/>
        <v>0.52832607427512079</v>
      </c>
      <c r="BJ93" s="146"/>
      <c r="BK93" s="147">
        <f t="shared" ref="BK93" si="1089">BK89-BK92</f>
        <v>-2.167392572487923E-2</v>
      </c>
      <c r="BL93" s="146"/>
      <c r="BM93" s="601">
        <f>BM89-BM92</f>
        <v>0.5226091559787609</v>
      </c>
      <c r="BN93" s="146"/>
      <c r="BO93" s="601">
        <f>BO89-BO92</f>
        <v>0.5226091559787609</v>
      </c>
      <c r="BP93" s="146"/>
      <c r="BQ93" s="601">
        <f>BQ89-BQ92</f>
        <v>-2.7390844021238904E-2</v>
      </c>
      <c r="BR93" s="146"/>
      <c r="BS93" s="147">
        <f t="shared" ref="BS93:BU93" si="1090">BS89-BS92</f>
        <v>1.2081250041132483</v>
      </c>
      <c r="BT93" s="146"/>
      <c r="BU93" s="147">
        <f t="shared" si="1090"/>
        <v>0.15812500411324801</v>
      </c>
      <c r="BV93" s="146"/>
      <c r="BW93" s="147"/>
      <c r="BX93" s="674"/>
      <c r="BY93" s="674"/>
      <c r="BZ93" s="674"/>
      <c r="CA93" s="674"/>
      <c r="CB93" s="674"/>
      <c r="CC93" s="674"/>
      <c r="CD93" s="674"/>
      <c r="CE93" s="674"/>
      <c r="CF93" s="674"/>
      <c r="CG93" s="674"/>
    </row>
    <row r="94" spans="1:85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0.11327755601906173</v>
      </c>
      <c r="H94" s="132"/>
      <c r="I94" s="133">
        <f t="shared" ref="I94" si="1091">I93/I67</f>
        <v>7.9143355178180191E-2</v>
      </c>
      <c r="J94" s="132"/>
      <c r="K94" s="133">
        <f t="shared" ref="K94" si="1092">K93/K67</f>
        <v>7.5333421388736208E-2</v>
      </c>
      <c r="L94" s="132"/>
      <c r="M94" s="133">
        <f t="shared" ref="M94" si="1093">M93/M67</f>
        <v>7.6690430410459351E-2</v>
      </c>
      <c r="N94" s="132"/>
      <c r="O94" s="133">
        <f t="shared" ref="O94" si="1094">O93/O67</f>
        <v>9.0454905022267617E-3</v>
      </c>
      <c r="P94" s="132"/>
      <c r="Q94" s="133">
        <f t="shared" ref="Q94" si="1095">Q93/Q67</f>
        <v>6.0924766594225792E-2</v>
      </c>
      <c r="R94" s="132"/>
      <c r="S94" s="133">
        <f t="shared" ref="S94" si="1096">S93/S67</f>
        <v>3.6323498056103312E-2</v>
      </c>
      <c r="T94" s="132"/>
      <c r="U94" s="133">
        <f t="shared" ref="U94" si="1097">U93/U67</f>
        <v>6.268277082316337E-2</v>
      </c>
      <c r="V94" s="132"/>
      <c r="W94" s="133">
        <f t="shared" ref="W94" si="1098">W93/W67</f>
        <v>0.1013554471075265</v>
      </c>
      <c r="X94" s="132"/>
      <c r="Y94" s="133">
        <f t="shared" ref="Y94" si="1099">Y93/Y67</f>
        <v>0.10558686107860012</v>
      </c>
      <c r="Z94" s="132"/>
      <c r="AA94" s="133">
        <f t="shared" ref="AA94" si="1100">AA93/AA67</f>
        <v>0.11220472701465396</v>
      </c>
      <c r="AB94" s="132"/>
      <c r="AC94" s="133">
        <f t="shared" ref="AC94" si="1101">AC93/AC67</f>
        <v>0.18652174415622713</v>
      </c>
      <c r="AD94" s="132"/>
      <c r="AE94" s="1143">
        <f t="shared" ref="AE94" si="1102">AE93/AE67</f>
        <v>0.15271834241077387</v>
      </c>
      <c r="AF94" s="132"/>
      <c r="AG94" s="1143">
        <f t="shared" ref="AG94" si="1103">AG93/AG67</f>
        <v>0.10151754743554031</v>
      </c>
      <c r="AH94" s="132"/>
      <c r="AI94" s="1143">
        <f t="shared" ref="AI94" si="1104">AI93/AI67</f>
        <v>0.16056348771621218</v>
      </c>
      <c r="AJ94" s="132"/>
      <c r="AK94" s="1143">
        <f t="shared" ref="AK94" si="1105">AK93/AK67</f>
        <v>4.1519296661391134E-2</v>
      </c>
      <c r="AL94" s="132"/>
      <c r="AM94" s="1143">
        <f t="shared" ref="AM94" si="1106">AM93/AM67</f>
        <v>0.11790935557933105</v>
      </c>
      <c r="AN94" s="132"/>
      <c r="AO94" s="1143">
        <f t="shared" ref="AO94:AQ94" si="1107">AO93/AO67</f>
        <v>0.16152230008429957</v>
      </c>
      <c r="AP94" s="132"/>
      <c r="AQ94" s="133">
        <f t="shared" si="1107"/>
        <v>0.16865130373171769</v>
      </c>
      <c r="AR94" s="132"/>
      <c r="AS94" s="133">
        <f t="shared" ref="AS94:AU94" si="1108">AS93/AS67</f>
        <v>0.18225139041431559</v>
      </c>
      <c r="AT94" s="132"/>
      <c r="AU94" s="133">
        <f t="shared" si="1108"/>
        <v>0.10924517619869357</v>
      </c>
      <c r="AV94" s="132"/>
      <c r="AW94" s="133">
        <f t="shared" ref="AW94" si="1109">AW93/AW67</f>
        <v>0.13515027068787686</v>
      </c>
      <c r="AX94" s="132"/>
      <c r="AY94" s="133">
        <f t="shared" ref="AY94" si="1110">AY93/AY67</f>
        <v>0.13575742738236315</v>
      </c>
      <c r="AZ94" s="132"/>
      <c r="BA94" s="133">
        <f t="shared" ref="BA94:BC94" si="1111">BA93/BA67</f>
        <v>0.15858699531057976</v>
      </c>
      <c r="BB94" s="132"/>
      <c r="BC94" s="133">
        <f t="shared" si="1111"/>
        <v>0.1712462971139134</v>
      </c>
      <c r="BD94" s="132"/>
      <c r="BE94" s="133">
        <f t="shared" ref="BE94:BI94" si="1112">BE93/BE67</f>
        <v>0.14724244045975093</v>
      </c>
      <c r="BF94" s="132"/>
      <c r="BG94" s="133">
        <f t="shared" ref="BG94" si="1113">BG93/BG67</f>
        <v>0.124312017476499</v>
      </c>
      <c r="BH94" s="132"/>
      <c r="BI94" s="133">
        <f t="shared" si="1112"/>
        <v>0.124312017476499</v>
      </c>
      <c r="BJ94" s="132"/>
      <c r="BK94" s="133">
        <f t="shared" ref="BK94" si="1114">BK93/BK67</f>
        <v>-5.0997472293833482E-3</v>
      </c>
      <c r="BL94" s="381"/>
      <c r="BM94" s="611">
        <f>BM93/BM67</f>
        <v>0.12296686023029668</v>
      </c>
      <c r="BN94" s="381"/>
      <c r="BO94" s="611">
        <f>BO93/BO67</f>
        <v>0.12296686023029668</v>
      </c>
      <c r="BP94" s="381"/>
      <c r="BQ94" s="611">
        <f>BQ93/BQ67</f>
        <v>-6.4449044755856243E-3</v>
      </c>
      <c r="BR94" s="381"/>
      <c r="BS94" s="382">
        <f t="shared" ref="BS94:BU94" si="1115">BS93/BS67</f>
        <v>0.25704787321558475</v>
      </c>
      <c r="BT94" s="381"/>
      <c r="BU94" s="382">
        <f t="shared" si="1115"/>
        <v>3.3643617896435746E-2</v>
      </c>
      <c r="BV94" s="381"/>
      <c r="BW94" s="382"/>
      <c r="BX94" s="1152"/>
      <c r="BY94" s="1152"/>
      <c r="BZ94" s="1152"/>
      <c r="CA94" s="1152"/>
      <c r="CB94" s="1152"/>
      <c r="CC94" s="1152"/>
      <c r="CD94" s="1152"/>
      <c r="CE94" s="1152"/>
      <c r="CF94" s="1152"/>
      <c r="CG94" s="1152"/>
    </row>
    <row r="95" spans="1:85" s="65" customFormat="1" ht="6.6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132"/>
      <c r="O95" s="133"/>
      <c r="P95" s="132"/>
      <c r="Q95" s="133"/>
      <c r="R95" s="132"/>
      <c r="S95" s="133"/>
      <c r="T95" s="132"/>
      <c r="U95" s="133"/>
      <c r="V95" s="132"/>
      <c r="W95" s="133"/>
      <c r="X95" s="132"/>
      <c r="Y95" s="133"/>
      <c r="Z95" s="132"/>
      <c r="AA95" s="133"/>
      <c r="AB95" s="132"/>
      <c r="AC95" s="133"/>
      <c r="AD95" s="132"/>
      <c r="AE95" s="133"/>
      <c r="AF95" s="132"/>
      <c r="AG95" s="133"/>
      <c r="AH95" s="132"/>
      <c r="AI95" s="133"/>
      <c r="AJ95" s="132"/>
      <c r="AK95" s="133"/>
      <c r="AL95" s="132"/>
      <c r="AM95" s="133"/>
      <c r="AN95" s="132"/>
      <c r="AO95" s="133"/>
      <c r="AP95" s="132"/>
      <c r="AQ95" s="133"/>
      <c r="AR95" s="132"/>
      <c r="AS95" s="133"/>
      <c r="AT95" s="132"/>
      <c r="AU95" s="133"/>
      <c r="AV95" s="132"/>
      <c r="AW95" s="133"/>
      <c r="AX95" s="132"/>
      <c r="AY95" s="133"/>
      <c r="AZ95" s="132"/>
      <c r="BA95" s="133"/>
      <c r="BB95" s="132"/>
      <c r="BC95" s="133"/>
      <c r="BD95" s="132"/>
      <c r="BE95" s="133"/>
      <c r="BF95" s="132"/>
      <c r="BG95" s="133"/>
      <c r="BH95" s="132"/>
      <c r="BI95" s="133"/>
      <c r="BJ95" s="132"/>
      <c r="BK95" s="133"/>
      <c r="BL95" s="381"/>
      <c r="BM95" s="613"/>
      <c r="BN95" s="381"/>
      <c r="BO95" s="613"/>
      <c r="BP95" s="381"/>
      <c r="BQ95" s="613"/>
      <c r="BR95" s="381"/>
      <c r="BS95" s="382"/>
      <c r="BT95" s="381"/>
      <c r="BU95" s="382"/>
      <c r="BV95" s="381"/>
      <c r="BW95" s="382"/>
      <c r="BX95" s="1152"/>
      <c r="BY95" s="1152"/>
      <c r="BZ95" s="1152"/>
      <c r="CA95" s="1152"/>
      <c r="CB95" s="1152"/>
      <c r="CC95" s="1152"/>
      <c r="CD95" s="1152"/>
      <c r="CE95" s="1152"/>
      <c r="CF95" s="1152"/>
      <c r="CG95" s="1152"/>
    </row>
    <row r="96" spans="1:85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1.6780493010351116E-2</v>
      </c>
      <c r="H96" s="132"/>
      <c r="I96" s="383">
        <f t="shared" ref="I96" si="1116">(I136-I135)/I66</f>
        <v>0.12166034741204479</v>
      </c>
      <c r="J96" s="132"/>
      <c r="K96" s="383">
        <f t="shared" ref="K96" si="1117">(K136-K135)/K66</f>
        <v>5.782438067206281E-2</v>
      </c>
      <c r="L96" s="132"/>
      <c r="M96" s="383">
        <f t="shared" ref="M96" si="1118">(M136-M135)/M66</f>
        <v>-1.416110273530047E-2</v>
      </c>
      <c r="N96" s="132"/>
      <c r="O96" s="383">
        <f t="shared" ref="O96" si="1119">(O136-O135)/O66</f>
        <v>7.9012961116650099E-2</v>
      </c>
      <c r="P96" s="132"/>
      <c r="Q96" s="383">
        <f t="shared" ref="Q96" si="1120">(Q136-Q135)/Q66</f>
        <v>1.9753438034014199E-2</v>
      </c>
      <c r="R96" s="132"/>
      <c r="S96" s="383">
        <f t="shared" ref="S96" si="1121">(S136-S135)/S66</f>
        <v>2.0579328615456329E-2</v>
      </c>
      <c r="T96" s="132"/>
      <c r="U96" s="383">
        <f t="shared" ref="U96" si="1122">(U136-U135)/U66</f>
        <v>6.5365329512893783E-3</v>
      </c>
      <c r="V96" s="132"/>
      <c r="W96" s="383">
        <f t="shared" ref="W96" si="1123">(W136-W135)/W66</f>
        <v>-3.9708584930427948E-2</v>
      </c>
      <c r="X96" s="132"/>
      <c r="Y96" s="383">
        <f t="shared" ref="Y96" si="1124">(Y136-Y135)/Y66</f>
        <v>-0.10063736641057557</v>
      </c>
      <c r="Z96" s="132"/>
      <c r="AA96" s="383">
        <f t="shared" ref="AA96" si="1125">(AA136-AA135)/AA66</f>
        <v>-0.12500256553109124</v>
      </c>
      <c r="AB96" s="132"/>
      <c r="AC96" s="383">
        <f t="shared" ref="AC96:AI96" si="1126">(AC136-AC135)/AC66</f>
        <v>-0.13071303643763227</v>
      </c>
      <c r="AD96" s="132"/>
      <c r="AE96" s="383">
        <f t="shared" si="1126"/>
        <v>-0.16616921530115975</v>
      </c>
      <c r="AF96" s="132"/>
      <c r="AG96" s="383">
        <f t="shared" si="1126"/>
        <v>-0.2171711292200233</v>
      </c>
      <c r="AH96" s="132"/>
      <c r="AI96" s="383">
        <f t="shared" si="1126"/>
        <v>-0.11009587966923297</v>
      </c>
      <c r="AJ96" s="132"/>
      <c r="AK96" s="383">
        <f t="shared" ref="AK96" si="1127">(AK136-AK135)/AK66</f>
        <v>-0.24513752052545157</v>
      </c>
      <c r="AL96" s="132"/>
      <c r="AM96" s="383">
        <f t="shared" ref="AM96" si="1128">(AM136-AM135)/AM66</f>
        <v>-0.15416666666666667</v>
      </c>
      <c r="AN96" s="132"/>
      <c r="AO96" s="383">
        <f t="shared" ref="AO96:AQ96" si="1129">(AO136-AO135)/AO66</f>
        <v>-0.21875</v>
      </c>
      <c r="AP96" s="132"/>
      <c r="AQ96" s="383">
        <f t="shared" si="1129"/>
        <v>-0.22812499999999999</v>
      </c>
      <c r="AR96" s="132"/>
      <c r="AS96" s="383">
        <f t="shared" ref="AS96:AU96" si="1130">(AS136-AS135)/AS66</f>
        <v>-0.22812499999999999</v>
      </c>
      <c r="AT96" s="132"/>
      <c r="AU96" s="383">
        <f t="shared" si="1130"/>
        <v>-0.22812499999999999</v>
      </c>
      <c r="AV96" s="132"/>
      <c r="AW96" s="383">
        <f t="shared" ref="AW96" si="1131">(AW136-AW135)/AW66</f>
        <v>-0.230625</v>
      </c>
      <c r="AX96" s="132"/>
      <c r="AY96" s="383">
        <f t="shared" ref="AY96" si="1132">(AY136-AY135)/AY66</f>
        <v>-0.23749999999999999</v>
      </c>
      <c r="AZ96" s="132"/>
      <c r="BA96" s="383">
        <f t="shared" ref="BA96:BC96" si="1133">(BA136-BA135)/BA66</f>
        <v>-0.14374999999999999</v>
      </c>
      <c r="BB96" s="132"/>
      <c r="BC96" s="383">
        <f t="shared" si="1133"/>
        <v>-0.14479166666666668</v>
      </c>
      <c r="BD96" s="132"/>
      <c r="BE96" s="383">
        <f t="shared" ref="BE96:BI96" si="1134">(BE136-BE135)/BE66</f>
        <v>-0.14041666666666666</v>
      </c>
      <c r="BF96" s="132"/>
      <c r="BG96" s="383">
        <f t="shared" ref="BG96" si="1135">(BG136-BG135)/BG66</f>
        <v>-0.14604166666666665</v>
      </c>
      <c r="BH96" s="132"/>
      <c r="BI96" s="383">
        <f t="shared" si="1134"/>
        <v>-0.14604166666666665</v>
      </c>
      <c r="BJ96" s="132"/>
      <c r="BK96" s="383">
        <f t="shared" ref="BK96" si="1136">(BK136-BK135)/BK66</f>
        <v>-0.13541666666666666</v>
      </c>
      <c r="BL96" s="381"/>
      <c r="BM96" s="383">
        <f>(BM136-BM135)/BM66</f>
        <v>-0.23979166666666665</v>
      </c>
      <c r="BN96" s="381"/>
      <c r="BO96" s="383">
        <f>(BO136-BO135)/BO66</f>
        <v>-0.23979166666666665</v>
      </c>
      <c r="BP96" s="381"/>
      <c r="BQ96" s="383">
        <f>(BQ136-BQ135)/BQ66</f>
        <v>-0.22916666666666666</v>
      </c>
      <c r="BR96" s="381"/>
      <c r="BS96" s="383">
        <f>(BS136-BS135)/BS66</f>
        <v>-0.14895833333333333</v>
      </c>
      <c r="BT96" s="381"/>
      <c r="BU96" s="383">
        <f>(BU136-BU135)/BU66</f>
        <v>-0.13541666666666666</v>
      </c>
      <c r="BV96" s="381"/>
      <c r="BW96" s="383"/>
      <c r="BX96" s="646"/>
      <c r="BY96" s="646"/>
      <c r="BZ96" s="646"/>
      <c r="CA96" s="646"/>
      <c r="CB96" s="646"/>
      <c r="CC96" s="646"/>
      <c r="CD96" s="646"/>
      <c r="CE96" s="646"/>
      <c r="CF96" s="646"/>
      <c r="CG96" s="646"/>
    </row>
    <row r="97" spans="1:85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132"/>
      <c r="O97" s="133"/>
      <c r="P97" s="132"/>
      <c r="Q97" s="133"/>
      <c r="R97" s="132"/>
      <c r="S97" s="133"/>
      <c r="T97" s="132"/>
      <c r="U97" s="133"/>
      <c r="V97" s="132"/>
      <c r="W97" s="133"/>
      <c r="X97" s="132"/>
      <c r="Y97" s="133"/>
      <c r="Z97" s="132"/>
      <c r="AA97" s="133"/>
      <c r="AB97" s="132"/>
      <c r="AC97" s="133"/>
      <c r="AD97" s="132"/>
      <c r="AE97" s="133"/>
      <c r="AF97" s="132"/>
      <c r="AG97" s="133"/>
      <c r="AH97" s="132"/>
      <c r="AI97" s="133"/>
      <c r="AJ97" s="132"/>
      <c r="AK97" s="133"/>
      <c r="AL97" s="132"/>
      <c r="AM97" s="133"/>
      <c r="AN97" s="132"/>
      <c r="AO97" s="133"/>
      <c r="AP97" s="132"/>
      <c r="AQ97" s="133"/>
      <c r="AR97" s="132"/>
      <c r="AS97" s="133"/>
      <c r="AT97" s="132"/>
      <c r="AU97" s="133"/>
      <c r="AV97" s="132"/>
      <c r="AW97" s="133"/>
      <c r="AX97" s="132"/>
      <c r="AY97" s="133"/>
      <c r="AZ97" s="132"/>
      <c r="BA97" s="133"/>
      <c r="BB97" s="132"/>
      <c r="BC97" s="133"/>
      <c r="BD97" s="132"/>
      <c r="BE97" s="133"/>
      <c r="BF97" s="132"/>
      <c r="BG97" s="133"/>
      <c r="BH97" s="132"/>
      <c r="BI97" s="133"/>
      <c r="BJ97" s="132"/>
      <c r="BK97" s="133"/>
      <c r="BL97" s="381"/>
      <c r="BM97" s="383"/>
      <c r="BN97" s="381"/>
      <c r="BO97" s="383"/>
      <c r="BP97" s="381"/>
      <c r="BQ97" s="383"/>
      <c r="BR97" s="381"/>
      <c r="BS97" s="382"/>
      <c r="BT97" s="381"/>
      <c r="BU97" s="382"/>
      <c r="BV97" s="381"/>
      <c r="BW97" s="382"/>
      <c r="BX97" s="1152"/>
      <c r="BY97" s="1152"/>
      <c r="BZ97" s="1152"/>
      <c r="CA97" s="1152"/>
      <c r="CB97" s="1152"/>
      <c r="CC97" s="1152"/>
      <c r="CD97" s="1152"/>
      <c r="CE97" s="1152"/>
      <c r="CF97" s="1152"/>
      <c r="CG97" s="1152"/>
    </row>
    <row r="98" spans="1:85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0.4510558133483738</v>
      </c>
      <c r="H98" s="591"/>
      <c r="I98" s="590">
        <f t="shared" ref="I98" si="1137">I93-I96</f>
        <v>0.20520170947383937</v>
      </c>
      <c r="J98" s="591"/>
      <c r="K98" s="590">
        <f t="shared" ref="K98" si="1138">K93-K96</f>
        <v>0.2533026496634177</v>
      </c>
      <c r="L98" s="591"/>
      <c r="M98" s="590">
        <f t="shared" ref="M98" si="1139">M93-M96</f>
        <v>0.33089258033049757</v>
      </c>
      <c r="N98" s="591"/>
      <c r="O98" s="590">
        <f t="shared" ref="O98" si="1140">O93-O96</f>
        <v>-4.1655085342453574E-2</v>
      </c>
      <c r="P98" s="591"/>
      <c r="Q98" s="590">
        <f t="shared" ref="Q98" si="1141">Q93-Q96</f>
        <v>0.23186584800013832</v>
      </c>
      <c r="R98" s="591"/>
      <c r="S98" s="590">
        <f t="shared" ref="S98" si="1142">S93-S96</f>
        <v>0.12943671835625034</v>
      </c>
      <c r="T98" s="591"/>
      <c r="U98" s="590">
        <f t="shared" ref="U98" si="1143">U93-U96</f>
        <v>0.25234331054837533</v>
      </c>
      <c r="V98" s="591"/>
      <c r="W98" s="590">
        <f t="shared" ref="W98" si="1144">W93-W96</f>
        <v>0.45830658148451242</v>
      </c>
      <c r="X98" s="591"/>
      <c r="Y98" s="590">
        <f t="shared" ref="Y98" si="1145">Y93-Y96</f>
        <v>0.53671110266519406</v>
      </c>
      <c r="Z98" s="591"/>
      <c r="AA98" s="590">
        <f t="shared" ref="AA98" si="1146">AA93-AA96</f>
        <v>0.58840808810161205</v>
      </c>
      <c r="AB98" s="591"/>
      <c r="AC98" s="590">
        <f t="shared" ref="AC98:AI98" si="1147">AC93-AC96</f>
        <v>0.9010478398028503</v>
      </c>
      <c r="AD98" s="591"/>
      <c r="AE98" s="590">
        <f t="shared" si="1147"/>
        <v>0.79689596945765584</v>
      </c>
      <c r="AF98" s="591"/>
      <c r="AG98" s="590">
        <f t="shared" si="1147"/>
        <v>0.63643860012880471</v>
      </c>
      <c r="AH98" s="591"/>
      <c r="AI98" s="590">
        <f t="shared" si="1147"/>
        <v>0.77322308393718919</v>
      </c>
      <c r="AJ98" s="591"/>
      <c r="AK98" s="590">
        <f t="shared" ref="AK98" si="1148">AK93-AK96</f>
        <v>0.41661221573699692</v>
      </c>
      <c r="AL98" s="591"/>
      <c r="AM98" s="590">
        <f t="shared" ref="AM98" si="1149">AM93-AM96</f>
        <v>0.64113230520930387</v>
      </c>
      <c r="AN98" s="591"/>
      <c r="AO98" s="590">
        <f t="shared" ref="AO98" si="1150">AO93-AO96</f>
        <v>0.88583709934815724</v>
      </c>
      <c r="AP98" s="591"/>
      <c r="AQ98" s="590">
        <f>AQ93-AQ96</f>
        <v>0.92465488441199406</v>
      </c>
      <c r="AR98" s="591"/>
      <c r="AS98" s="590">
        <f t="shared" ref="AS98:AU98" si="1151">AS93-AS96</f>
        <v>0.9808232424111234</v>
      </c>
      <c r="AT98" s="591"/>
      <c r="AU98" s="590">
        <f t="shared" si="1151"/>
        <v>0.67930757770060446</v>
      </c>
      <c r="AV98" s="591"/>
      <c r="AW98" s="590">
        <f t="shared" ref="AW98" si="1152">AW93-AW96</f>
        <v>0.78879561794093134</v>
      </c>
      <c r="AX98" s="591"/>
      <c r="AY98" s="590">
        <f t="shared" ref="AY98" si="1153">AY93-AY96</f>
        <v>0.79817817508915989</v>
      </c>
      <c r="AZ98" s="591"/>
      <c r="BA98" s="590">
        <f t="shared" ref="BA98:BC98" si="1154">BA93-BA96</f>
        <v>0.81774473006996407</v>
      </c>
      <c r="BB98" s="591"/>
      <c r="BC98" s="590">
        <f t="shared" si="1154"/>
        <v>0.87258842940079862</v>
      </c>
      <c r="BD98" s="591"/>
      <c r="BE98" s="590">
        <f t="shared" ref="BE98:BI98" si="1155">BE93-BE96</f>
        <v>0.76619703862060806</v>
      </c>
      <c r="BF98" s="591"/>
      <c r="BG98" s="590">
        <f t="shared" ref="BG98" si="1156">BG93-BG96</f>
        <v>0.67436774094178742</v>
      </c>
      <c r="BH98" s="591"/>
      <c r="BI98" s="590">
        <f t="shared" si="1155"/>
        <v>0.67436774094178742</v>
      </c>
      <c r="BJ98" s="591"/>
      <c r="BK98" s="590">
        <f t="shared" ref="BK98" si="1157">BK93-BK96</f>
        <v>0.11374274094178743</v>
      </c>
      <c r="BL98" s="155"/>
      <c r="BM98" s="590">
        <f>BM93-BM96</f>
        <v>0.76240082264542752</v>
      </c>
      <c r="BN98" s="155"/>
      <c r="BO98" s="590">
        <f>BO93-BO96</f>
        <v>0.76240082264542752</v>
      </c>
      <c r="BP98" s="155"/>
      <c r="BQ98" s="590">
        <f>BQ93-BQ96</f>
        <v>0.20177582264542776</v>
      </c>
      <c r="BR98" s="591"/>
      <c r="BS98" s="590">
        <f t="shared" ref="BS98:BU98" si="1158">BS93-BS96</f>
        <v>1.3570833374465816</v>
      </c>
      <c r="BT98" s="591"/>
      <c r="BU98" s="590">
        <f t="shared" si="1158"/>
        <v>0.29354167077991467</v>
      </c>
      <c r="BV98" s="591"/>
      <c r="BW98" s="590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</row>
    <row r="99" spans="1:85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0.10921448265093797</v>
      </c>
      <c r="H99" s="159"/>
      <c r="I99" s="1097">
        <f t="shared" ref="I99" si="1159">I98/I67</f>
        <v>4.9685643940396942E-2</v>
      </c>
      <c r="J99" s="159"/>
      <c r="K99" s="1097">
        <f t="shared" ref="K99" si="1160">K98/K67</f>
        <v>6.1332360693321479E-2</v>
      </c>
      <c r="L99" s="159"/>
      <c r="M99" s="1097">
        <f t="shared" ref="M99" si="1161">M98/M67</f>
        <v>8.0119268845156799E-2</v>
      </c>
      <c r="N99" s="159"/>
      <c r="O99" s="1097">
        <f t="shared" ref="O99" si="1162">O98/O67</f>
        <v>-1.0085977080497233E-2</v>
      </c>
      <c r="P99" s="159"/>
      <c r="Q99" s="1097">
        <f t="shared" ref="Q99" si="1163">Q98/Q67</f>
        <v>5.6141851816014124E-2</v>
      </c>
      <c r="R99" s="159"/>
      <c r="S99" s="1097">
        <f t="shared" ref="S99" si="1164">S98/S67</f>
        <v>3.134060977148919E-2</v>
      </c>
      <c r="T99" s="159"/>
      <c r="U99" s="1097">
        <f t="shared" ref="U99" si="1165">U98/U67</f>
        <v>6.1100075193311218E-2</v>
      </c>
      <c r="V99" s="159"/>
      <c r="W99" s="1097">
        <f t="shared" ref="W99" si="1166">W98/W67</f>
        <v>0.1109701165822064</v>
      </c>
      <c r="X99" s="159"/>
      <c r="Y99" s="1097">
        <f t="shared" ref="Y99" si="1167">Y98/Y67</f>
        <v>0.1299542621465361</v>
      </c>
      <c r="Z99" s="159"/>
      <c r="AA99" s="1097">
        <f t="shared" ref="AA99" si="1168">AA98/AA67</f>
        <v>0.14247169203428864</v>
      </c>
      <c r="AB99" s="159"/>
      <c r="AC99" s="1097">
        <f>AC98/AC67</f>
        <v>0.21817138978277248</v>
      </c>
      <c r="AD99" s="159"/>
      <c r="AE99" s="1097">
        <f t="shared" ref="AE99" si="1169">AE98/AE67</f>
        <v>0.19295301923914185</v>
      </c>
      <c r="AF99" s="159"/>
      <c r="AG99" s="1097">
        <f t="shared" ref="AG99" si="1170">AG98/AG67</f>
        <v>0.15410135596339097</v>
      </c>
      <c r="AH99" s="159"/>
      <c r="AI99" s="1097">
        <f t="shared" ref="AI99" si="1171">AI98/AI67</f>
        <v>0.18722108569907728</v>
      </c>
      <c r="AJ99" s="159"/>
      <c r="AK99" s="1097">
        <f t="shared" ref="AK99" si="1172">AK98/AK67</f>
        <v>0.10087462850774744</v>
      </c>
      <c r="AL99" s="159"/>
      <c r="AM99" s="1097">
        <f t="shared" ref="AM99" si="1173">AM98/AM67</f>
        <v>0.15523784629765228</v>
      </c>
      <c r="AN99" s="159"/>
      <c r="AO99" s="1097">
        <f t="shared" ref="AO99:AQ99" si="1174">AO98/AO67</f>
        <v>0.21448840177921483</v>
      </c>
      <c r="AP99" s="159"/>
      <c r="AQ99" s="1097">
        <f t="shared" si="1174"/>
        <v>0.22388738121355789</v>
      </c>
      <c r="AR99" s="159"/>
      <c r="AS99" s="1097">
        <f t="shared" ref="AS99:AU99" si="1175">AS98/AS67</f>
        <v>0.2374874678961558</v>
      </c>
      <c r="AT99" s="159"/>
      <c r="AU99" s="1097">
        <f t="shared" si="1175"/>
        <v>0.16448125368053376</v>
      </c>
      <c r="AV99" s="159"/>
      <c r="AW99" s="1097">
        <f t="shared" ref="AW99" si="1176">AW98/AW67</f>
        <v>0.19099167504623035</v>
      </c>
      <c r="AX99" s="159"/>
      <c r="AY99" s="1097">
        <f t="shared" ref="AY99" si="1177">AY98/AY67</f>
        <v>0.19326348065112831</v>
      </c>
      <c r="AZ99" s="159"/>
      <c r="BA99" s="1097">
        <f t="shared" ref="BA99:BC99" si="1178">BA98/BA67</f>
        <v>0.19241052472234449</v>
      </c>
      <c r="BB99" s="159"/>
      <c r="BC99" s="1097">
        <f t="shared" si="1178"/>
        <v>0.20531492456489378</v>
      </c>
      <c r="BD99" s="159"/>
      <c r="BE99" s="1097">
        <f t="shared" ref="BE99:BI99" si="1179">BE98/BE67</f>
        <v>0.18028165614602543</v>
      </c>
      <c r="BF99" s="159"/>
      <c r="BG99" s="1097">
        <f t="shared" ref="BG99" si="1180">BG98/BG67</f>
        <v>0.15867476257453822</v>
      </c>
      <c r="BH99" s="159"/>
      <c r="BI99" s="1097">
        <f t="shared" si="1179"/>
        <v>0.15867476257453822</v>
      </c>
      <c r="BJ99" s="159"/>
      <c r="BK99" s="1097">
        <f t="shared" ref="BK99" si="1181">BK98/BK67</f>
        <v>2.6762997868655866E-2</v>
      </c>
      <c r="BL99" s="159"/>
      <c r="BM99" s="609">
        <f>BM98/BM67</f>
        <v>0.17938842885774764</v>
      </c>
      <c r="BN99" s="159"/>
      <c r="BO99" s="609">
        <f>BO98/BO67</f>
        <v>0.17938842885774764</v>
      </c>
      <c r="BP99" s="159"/>
      <c r="BQ99" s="609">
        <f>BQ98/BQ67</f>
        <v>4.7476664151865355E-2</v>
      </c>
      <c r="BR99" s="159"/>
      <c r="BS99" s="1097">
        <f t="shared" ref="BS99:BU99" si="1182">BS98/BS67</f>
        <v>0.28874113562693227</v>
      </c>
      <c r="BT99" s="159"/>
      <c r="BU99" s="1097">
        <f t="shared" si="1182"/>
        <v>6.2455674634024391E-2</v>
      </c>
      <c r="BV99" s="159"/>
      <c r="BW99" s="1097"/>
      <c r="BX99" s="1153"/>
      <c r="BY99" s="1153"/>
      <c r="BZ99" s="1153"/>
      <c r="CA99" s="1153"/>
      <c r="CB99" s="1153"/>
      <c r="CC99" s="1153"/>
      <c r="CD99" s="1153"/>
      <c r="CE99" s="1153"/>
      <c r="CF99" s="1153"/>
      <c r="CG99" s="1153"/>
    </row>
    <row r="100" spans="1:85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1200</v>
      </c>
      <c r="BN100" s="251"/>
      <c r="BO100" s="167">
        <v>1200</v>
      </c>
      <c r="BP100" s="251"/>
      <c r="BQ100" s="167">
        <v>1200</v>
      </c>
      <c r="BR100" s="251"/>
      <c r="BS100" s="167">
        <v>620</v>
      </c>
      <c r="BT100" s="251"/>
      <c r="BU100" s="167">
        <v>620</v>
      </c>
      <c r="BV100" s="251"/>
      <c r="BW100" s="167"/>
      <c r="BX100" s="166"/>
      <c r="BY100" s="166"/>
      <c r="BZ100" s="166"/>
      <c r="CA100" s="166"/>
      <c r="CB100" s="166"/>
      <c r="CC100" s="166"/>
      <c r="CD100" s="166"/>
      <c r="CE100" s="166"/>
      <c r="CF100" s="166"/>
      <c r="CG100" s="166"/>
    </row>
    <row r="101" spans="1:85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</row>
    <row r="102" spans="1:85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</row>
    <row r="103" spans="1:85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</row>
    <row r="104" spans="1:85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 t="shared" ref="I104" si="1183">I101-I100</f>
        <v>530</v>
      </c>
      <c r="J104" s="173"/>
      <c r="K104" s="165">
        <f t="shared" ref="K104" si="1184">K101-K100</f>
        <v>530</v>
      </c>
      <c r="L104" s="173"/>
      <c r="M104" s="165">
        <f t="shared" ref="M104" si="1185">M101-M100</f>
        <v>530</v>
      </c>
      <c r="N104" s="173"/>
      <c r="O104" s="165">
        <f t="shared" ref="O104" si="1186">O101-O100</f>
        <v>530</v>
      </c>
      <c r="P104" s="173"/>
      <c r="Q104" s="165">
        <f t="shared" ref="Q104" si="1187">Q101-Q100</f>
        <v>530</v>
      </c>
      <c r="R104" s="173"/>
      <c r="S104" s="165">
        <f t="shared" ref="S104" si="1188">S101-S100</f>
        <v>530</v>
      </c>
      <c r="T104" s="173"/>
      <c r="U104" s="165">
        <f t="shared" ref="U104" si="1189">U101-U100</f>
        <v>530</v>
      </c>
      <c r="V104" s="173"/>
      <c r="W104" s="165">
        <f t="shared" ref="W104" si="1190">W101-W100</f>
        <v>530</v>
      </c>
      <c r="X104" s="173"/>
      <c r="Y104" s="165">
        <f t="shared" ref="Y104" si="1191">Y101-Y100</f>
        <v>530</v>
      </c>
      <c r="Z104" s="173"/>
      <c r="AA104" s="165">
        <f t="shared" ref="AA104" si="1192">AA101-AA100</f>
        <v>530</v>
      </c>
      <c r="AB104" s="173"/>
      <c r="AC104" s="165">
        <f t="shared" ref="AC104:AI104" si="1193">AC101-AC100</f>
        <v>530</v>
      </c>
      <c r="AD104" s="173"/>
      <c r="AE104" s="165">
        <f t="shared" si="1193"/>
        <v>530</v>
      </c>
      <c r="AF104" s="173"/>
      <c r="AG104" s="165">
        <f t="shared" si="1193"/>
        <v>530</v>
      </c>
      <c r="AH104" s="173"/>
      <c r="AI104" s="165">
        <f t="shared" si="1193"/>
        <v>530</v>
      </c>
      <c r="AJ104" s="173"/>
      <c r="AK104" s="165">
        <f t="shared" ref="AK104" si="1194">AK101-AK100</f>
        <v>530</v>
      </c>
      <c r="AL104" s="173"/>
      <c r="AM104" s="165">
        <f t="shared" ref="AM104" si="1195">AM101-AM100</f>
        <v>530</v>
      </c>
      <c r="AN104" s="173"/>
      <c r="AO104" s="165">
        <f t="shared" ref="AO104:AQ104" si="1196">AO101-AO100</f>
        <v>530</v>
      </c>
      <c r="AP104" s="173"/>
      <c r="AQ104" s="165">
        <f t="shared" si="1196"/>
        <v>530</v>
      </c>
      <c r="AR104" s="173"/>
      <c r="AS104" s="165">
        <f t="shared" ref="AS104:AU104" si="1197">AS101-AS100</f>
        <v>530</v>
      </c>
      <c r="AT104" s="173"/>
      <c r="AU104" s="165">
        <f t="shared" si="1197"/>
        <v>530</v>
      </c>
      <c r="AV104" s="173"/>
      <c r="AW104" s="165">
        <f t="shared" ref="AW104" si="1198">AW101-AW100</f>
        <v>530</v>
      </c>
      <c r="AX104" s="173"/>
      <c r="AY104" s="165">
        <f t="shared" ref="AY104" si="1199">AY101-AY100</f>
        <v>530</v>
      </c>
      <c r="AZ104" s="173"/>
      <c r="BA104" s="165">
        <f t="shared" ref="BA104:BC104" si="1200">BA101-BA100</f>
        <v>530</v>
      </c>
      <c r="BB104" s="173"/>
      <c r="BC104" s="165">
        <f t="shared" si="1200"/>
        <v>530</v>
      </c>
      <c r="BD104" s="173"/>
      <c r="BE104" s="165">
        <f t="shared" ref="BE104:BI104" si="1201">BE101-BE100</f>
        <v>530</v>
      </c>
      <c r="BF104" s="173"/>
      <c r="BG104" s="165">
        <f t="shared" ref="BG104" si="1202">BG101-BG100</f>
        <v>530</v>
      </c>
      <c r="BH104" s="173"/>
      <c r="BI104" s="165">
        <f t="shared" si="1201"/>
        <v>530</v>
      </c>
      <c r="BJ104" s="173"/>
      <c r="BK104" s="165">
        <f t="shared" ref="BK104" si="1203">BK101-BK100</f>
        <v>530</v>
      </c>
      <c r="BL104" s="173"/>
      <c r="BM104" s="165">
        <f>BM101-BM100</f>
        <v>-50</v>
      </c>
      <c r="BN104" s="173"/>
      <c r="BO104" s="165">
        <f>BO101-BO100</f>
        <v>-50</v>
      </c>
      <c r="BP104" s="173"/>
      <c r="BQ104" s="165">
        <f>BQ101-BQ100</f>
        <v>-50</v>
      </c>
      <c r="BR104" s="173"/>
      <c r="BS104" s="165">
        <f t="shared" ref="BS104:BU104" si="1204">BS101-BS100</f>
        <v>530</v>
      </c>
      <c r="BT104" s="173"/>
      <c r="BU104" s="165">
        <f t="shared" si="1204"/>
        <v>530</v>
      </c>
      <c r="BV104" s="173"/>
      <c r="BW104" s="165"/>
      <c r="BX104" s="166"/>
      <c r="BY104" s="166"/>
      <c r="BZ104" s="166"/>
      <c r="CA104" s="166"/>
      <c r="CB104" s="166"/>
      <c r="CC104" s="166"/>
      <c r="CD104" s="166"/>
      <c r="CE104" s="166"/>
      <c r="CF104" s="166"/>
      <c r="CG104" s="166"/>
    </row>
    <row r="105" spans="1:85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0.11041666666666666</v>
      </c>
      <c r="H105" s="177"/>
      <c r="I105" s="178">
        <f t="shared" ref="I105" si="1205">I104/I66</f>
        <v>0.11041666666666666</v>
      </c>
      <c r="J105" s="177"/>
      <c r="K105" s="178">
        <f t="shared" ref="K105" si="1206">K104/K66</f>
        <v>0.11041666666666666</v>
      </c>
      <c r="L105" s="177"/>
      <c r="M105" s="178">
        <f t="shared" ref="M105" si="1207">M104/M66</f>
        <v>0.11041666666666666</v>
      </c>
      <c r="N105" s="177"/>
      <c r="O105" s="178">
        <f t="shared" ref="O105" si="1208">O104/O66</f>
        <v>0.11041666666666666</v>
      </c>
      <c r="P105" s="177"/>
      <c r="Q105" s="178">
        <f t="shared" ref="Q105" si="1209">Q104/Q66</f>
        <v>0.11041666666666666</v>
      </c>
      <c r="R105" s="177"/>
      <c r="S105" s="178">
        <f t="shared" ref="S105" si="1210">S104/S66</f>
        <v>0.11041666666666666</v>
      </c>
      <c r="T105" s="177"/>
      <c r="U105" s="178">
        <f t="shared" ref="U105" si="1211">U104/U66</f>
        <v>0.11041666666666666</v>
      </c>
      <c r="V105" s="177"/>
      <c r="W105" s="178">
        <f t="shared" ref="W105" si="1212">W104/W66</f>
        <v>0.11041666666666666</v>
      </c>
      <c r="X105" s="177"/>
      <c r="Y105" s="178">
        <f t="shared" ref="Y105" si="1213">Y104/Y66</f>
        <v>0.11041666666666666</v>
      </c>
      <c r="Z105" s="177"/>
      <c r="AA105" s="178">
        <f t="shared" ref="AA105" si="1214">AA104/AA66</f>
        <v>0.11041666666666666</v>
      </c>
      <c r="AB105" s="177"/>
      <c r="AC105" s="178">
        <f t="shared" ref="AC105" si="1215">AC104/AC66</f>
        <v>0.11041666666666666</v>
      </c>
      <c r="AD105" s="177"/>
      <c r="AE105" s="178">
        <f t="shared" ref="AE105" si="1216">AE104/AE66</f>
        <v>0.11041666666666666</v>
      </c>
      <c r="AF105" s="177"/>
      <c r="AG105" s="178">
        <f t="shared" ref="AG105" si="1217">AG104/AG66</f>
        <v>0.11041666666666666</v>
      </c>
      <c r="AH105" s="177"/>
      <c r="AI105" s="178">
        <f t="shared" ref="AI105" si="1218">AI104/AI66</f>
        <v>0.11041666666666666</v>
      </c>
      <c r="AJ105" s="177"/>
      <c r="AK105" s="178">
        <f t="shared" ref="AK105" si="1219">AK104/AK66</f>
        <v>0.11041666666666666</v>
      </c>
      <c r="AL105" s="177"/>
      <c r="AM105" s="178">
        <f t="shared" ref="AM105" si="1220">AM104/AM66</f>
        <v>0.11041666666666666</v>
      </c>
      <c r="AN105" s="177"/>
      <c r="AO105" s="178">
        <f t="shared" ref="AO105:AQ105" si="1221">AO104/AO66</f>
        <v>0.11041666666666666</v>
      </c>
      <c r="AP105" s="177"/>
      <c r="AQ105" s="178">
        <f t="shared" si="1221"/>
        <v>0.11041666666666666</v>
      </c>
      <c r="AR105" s="177"/>
      <c r="AS105" s="178">
        <f t="shared" ref="AS105:AU105" si="1222">AS104/AS66</f>
        <v>0.11041666666666666</v>
      </c>
      <c r="AT105" s="177"/>
      <c r="AU105" s="178">
        <f t="shared" si="1222"/>
        <v>0.11041666666666666</v>
      </c>
      <c r="AV105" s="177"/>
      <c r="AW105" s="178">
        <f t="shared" ref="AW105" si="1223">AW104/AW66</f>
        <v>0.11041666666666666</v>
      </c>
      <c r="AX105" s="177"/>
      <c r="AY105" s="178">
        <f t="shared" ref="AY105" si="1224">AY104/AY66</f>
        <v>0.11041666666666666</v>
      </c>
      <c r="AZ105" s="177"/>
      <c r="BA105" s="178">
        <f t="shared" ref="BA105:BC105" si="1225">BA104/BA66</f>
        <v>0.11041666666666666</v>
      </c>
      <c r="BB105" s="177"/>
      <c r="BC105" s="178">
        <f t="shared" si="1225"/>
        <v>0.11041666666666666</v>
      </c>
      <c r="BD105" s="177"/>
      <c r="BE105" s="178">
        <f t="shared" ref="BE105:BI105" si="1226">BE104/BE66</f>
        <v>0.11041666666666666</v>
      </c>
      <c r="BF105" s="177"/>
      <c r="BG105" s="178">
        <f t="shared" ref="BG105" si="1227">BG104/BG66</f>
        <v>0.11041666666666666</v>
      </c>
      <c r="BH105" s="177"/>
      <c r="BI105" s="178">
        <f t="shared" si="1226"/>
        <v>0.11041666666666666</v>
      </c>
      <c r="BJ105" s="177"/>
      <c r="BK105" s="178">
        <f t="shared" ref="BK105" si="1228">BK104/BK66</f>
        <v>0.11041666666666666</v>
      </c>
      <c r="BL105" s="177"/>
      <c r="BM105" s="178">
        <f>BM104/BM66</f>
        <v>-1.0416666666666666E-2</v>
      </c>
      <c r="BN105" s="177"/>
      <c r="BO105" s="178">
        <f>BO104/BO66</f>
        <v>-1.0416666666666666E-2</v>
      </c>
      <c r="BP105" s="177"/>
      <c r="BQ105" s="178">
        <f>BQ104/BQ66</f>
        <v>-1.0416666666666666E-2</v>
      </c>
      <c r="BR105" s="177"/>
      <c r="BS105" s="178">
        <f t="shared" ref="BS105:BU105" si="1229">BS104/BS66</f>
        <v>0.11041666666666666</v>
      </c>
      <c r="BT105" s="177"/>
      <c r="BU105" s="178">
        <f t="shared" si="1229"/>
        <v>0.11041666666666666</v>
      </c>
      <c r="BV105" s="177"/>
      <c r="BW105" s="178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</row>
    <row r="106" spans="1:85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8.3333333333333329E-2</v>
      </c>
      <c r="H106" s="177"/>
      <c r="I106" s="178">
        <f t="shared" ref="I106" si="1230">(I101-I102)/I66</f>
        <v>8.3333333333333329E-2</v>
      </c>
      <c r="J106" s="177"/>
      <c r="K106" s="178">
        <f t="shared" ref="K106" si="1231">(K101-K102)/K66</f>
        <v>8.3333333333333329E-2</v>
      </c>
      <c r="L106" s="177"/>
      <c r="M106" s="178">
        <f t="shared" ref="M106" si="1232">(M101-M102)/M66</f>
        <v>8.3333333333333329E-2</v>
      </c>
      <c r="N106" s="177"/>
      <c r="O106" s="178">
        <f t="shared" ref="O106" si="1233">(O101-O102)/O66</f>
        <v>8.3333333333333329E-2</v>
      </c>
      <c r="P106" s="177"/>
      <c r="Q106" s="178">
        <f t="shared" ref="Q106" si="1234">(Q101-Q102)/Q66</f>
        <v>8.3333333333333329E-2</v>
      </c>
      <c r="R106" s="177"/>
      <c r="S106" s="178">
        <f t="shared" ref="S106" si="1235">(S101-S102)/S66</f>
        <v>8.3333333333333329E-2</v>
      </c>
      <c r="T106" s="177"/>
      <c r="U106" s="178">
        <f t="shared" ref="U106" si="1236">(U101-U102)/U66</f>
        <v>8.3333333333333329E-2</v>
      </c>
      <c r="V106" s="177"/>
      <c r="W106" s="178">
        <f t="shared" ref="W106" si="1237">(W101-W102)/W66</f>
        <v>8.3333333333333329E-2</v>
      </c>
      <c r="X106" s="177"/>
      <c r="Y106" s="178">
        <f t="shared" ref="Y106" si="1238">(Y101-Y102)/Y66</f>
        <v>8.3333333333333329E-2</v>
      </c>
      <c r="Z106" s="177"/>
      <c r="AA106" s="178">
        <f t="shared" ref="AA106" si="1239">(AA101-AA102)/AA66</f>
        <v>8.3333333333333329E-2</v>
      </c>
      <c r="AB106" s="177"/>
      <c r="AC106" s="178">
        <f t="shared" ref="AC106:AI106" si="1240">(AC101-AC102)/AC66</f>
        <v>8.3333333333333329E-2</v>
      </c>
      <c r="AD106" s="177"/>
      <c r="AE106" s="178">
        <f t="shared" si="1240"/>
        <v>8.3333333333333329E-2</v>
      </c>
      <c r="AF106" s="177"/>
      <c r="AG106" s="178">
        <f t="shared" si="1240"/>
        <v>8.3333333333333329E-2</v>
      </c>
      <c r="AH106" s="177"/>
      <c r="AI106" s="178">
        <f t="shared" si="1240"/>
        <v>8.3333333333333329E-2</v>
      </c>
      <c r="AJ106" s="177"/>
      <c r="AK106" s="178">
        <f t="shared" ref="AK106" si="1241">(AK101-AK102)/AK66</f>
        <v>8.3333333333333329E-2</v>
      </c>
      <c r="AL106" s="177"/>
      <c r="AM106" s="178">
        <f t="shared" ref="AM106" si="1242">(AM101-AM102)/AM66</f>
        <v>8.3333333333333329E-2</v>
      </c>
      <c r="AN106" s="177"/>
      <c r="AO106" s="178">
        <f t="shared" ref="AO106:AQ106" si="1243">(AO101-AO102)/AO66</f>
        <v>8.3333333333333329E-2</v>
      </c>
      <c r="AP106" s="177"/>
      <c r="AQ106" s="178">
        <f t="shared" si="1243"/>
        <v>8.3333333333333329E-2</v>
      </c>
      <c r="AR106" s="177"/>
      <c r="AS106" s="178">
        <f t="shared" ref="AS106:AU106" si="1244">(AS101-AS102)/AS66</f>
        <v>8.3333333333333329E-2</v>
      </c>
      <c r="AT106" s="177"/>
      <c r="AU106" s="178">
        <f t="shared" si="1244"/>
        <v>8.3333333333333329E-2</v>
      </c>
      <c r="AV106" s="177"/>
      <c r="AW106" s="178">
        <f t="shared" ref="AW106" si="1245">(AW101-AW102)/AW66</f>
        <v>8.3333333333333329E-2</v>
      </c>
      <c r="AX106" s="177"/>
      <c r="AY106" s="178">
        <f t="shared" ref="AY106" si="1246">(AY101-AY102)/AY66</f>
        <v>8.3333333333333329E-2</v>
      </c>
      <c r="AZ106" s="177"/>
      <c r="BA106" s="178">
        <f t="shared" ref="BA106:BC106" si="1247">(BA101-BA102)/BA66</f>
        <v>8.3333333333333329E-2</v>
      </c>
      <c r="BB106" s="177"/>
      <c r="BC106" s="178">
        <f t="shared" si="1247"/>
        <v>8.3333333333333329E-2</v>
      </c>
      <c r="BD106" s="177"/>
      <c r="BE106" s="178">
        <f t="shared" ref="BE106:BI106" si="1248">(BE101-BE102)/BE66</f>
        <v>8.3333333333333329E-2</v>
      </c>
      <c r="BF106" s="177"/>
      <c r="BG106" s="178">
        <f t="shared" ref="BG106" si="1249">(BG101-BG102)/BG66</f>
        <v>8.3333333333333329E-2</v>
      </c>
      <c r="BH106" s="177"/>
      <c r="BI106" s="178">
        <f t="shared" si="1248"/>
        <v>8.3333333333333329E-2</v>
      </c>
      <c r="BJ106" s="177"/>
      <c r="BK106" s="178">
        <f t="shared" ref="BK106" si="1250">(BK101-BK102)/BK66</f>
        <v>8.3333333333333329E-2</v>
      </c>
      <c r="BL106" s="177"/>
      <c r="BM106" s="178">
        <f>(BM101-BM102)/BM66</f>
        <v>8.3333333333333329E-2</v>
      </c>
      <c r="BN106" s="177"/>
      <c r="BO106" s="178">
        <f>(BO101-BO102)/BO66</f>
        <v>8.3333333333333329E-2</v>
      </c>
      <c r="BP106" s="177"/>
      <c r="BQ106" s="178">
        <f>(BQ101-BQ102)/BQ66</f>
        <v>8.3333333333333329E-2</v>
      </c>
      <c r="BR106" s="177"/>
      <c r="BS106" s="178">
        <f t="shared" ref="BS106:BU106" si="1251">(BS101-BS102)/BS66</f>
        <v>8.3333333333333329E-2</v>
      </c>
      <c r="BT106" s="177"/>
      <c r="BU106" s="178">
        <f t="shared" si="1251"/>
        <v>8.3333333333333329E-2</v>
      </c>
      <c r="BV106" s="177"/>
      <c r="BW106" s="178"/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</row>
    <row r="107" spans="1:85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</row>
    <row r="108" spans="1:85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1.5404270906126256</v>
      </c>
      <c r="H108" s="186"/>
      <c r="I108" s="187">
        <f t="shared" ref="I108" si="1252">I60-(I101/I66)-I74</f>
        <v>1.4096642351497035</v>
      </c>
      <c r="J108" s="186"/>
      <c r="K108" s="187">
        <f t="shared" ref="K108" si="1253">K60-(K101/K66)-K74</f>
        <v>1.3985524929368718</v>
      </c>
      <c r="L108" s="186"/>
      <c r="M108" s="187">
        <f t="shared" ref="M108" si="1254">M60-(M101/M66)-M74</f>
        <v>1.3898584006763555</v>
      </c>
      <c r="N108" s="186"/>
      <c r="O108" s="187">
        <f t="shared" ref="O108" si="1255">O60-(O101/O66)-O74</f>
        <v>1.1171541773713511</v>
      </c>
      <c r="P108" s="186"/>
      <c r="Q108" s="187">
        <f t="shared" ref="Q108" si="1256">Q60-(Q101/Q66)-Q74</f>
        <v>1.347325362610893</v>
      </c>
      <c r="R108" s="186"/>
      <c r="S108" s="187">
        <f t="shared" ref="S108" si="1257">S60-(S101/S66)-S74</f>
        <v>1.2274592687424852</v>
      </c>
      <c r="T108" s="186"/>
      <c r="U108" s="187">
        <f t="shared" ref="U108" si="1258">U60-(U101/U66)-U74</f>
        <v>1.3453504213881078</v>
      </c>
      <c r="V108" s="186"/>
      <c r="W108" s="187">
        <f t="shared" ref="W108" si="1259">W60-(W101/W66)-W74</f>
        <v>1.4954516661167934</v>
      </c>
      <c r="X108" s="186"/>
      <c r="Y108" s="187">
        <f t="shared" ref="Y108" si="1260">Y60-(Y101/Y66)-Y74</f>
        <v>1.51272244823517</v>
      </c>
      <c r="Z108" s="186"/>
      <c r="AA108" s="187">
        <f t="shared" ref="AA108" si="1261">AA60-(AA101/AA66)-AA74</f>
        <v>1.5414513933535714</v>
      </c>
      <c r="AB108" s="186"/>
      <c r="AC108" s="187">
        <f t="shared" ref="AC108:AI108" si="1262">AC60-(AC101/AC66)-AC74</f>
        <v>1.7045782698184446</v>
      </c>
      <c r="AD108" s="186"/>
      <c r="AE108" s="187">
        <f t="shared" si="1262"/>
        <v>1.708817992671924</v>
      </c>
      <c r="AF108" s="186"/>
      <c r="AG108" s="187">
        <f t="shared" si="1262"/>
        <v>1.4956008366358433</v>
      </c>
      <c r="AH108" s="186"/>
      <c r="AI108" s="187">
        <f t="shared" si="1262"/>
        <v>1.7380593834069669</v>
      </c>
      <c r="AJ108" s="186"/>
      <c r="AK108" s="187">
        <f t="shared" ref="AK108" si="1263">AK60-(AK101/AK66)-AK74</f>
        <v>1.2504166968393058</v>
      </c>
      <c r="AL108" s="186"/>
      <c r="AM108" s="187">
        <f t="shared" ref="AM108" si="1264">AM60-(AM101/AM66)-AM74</f>
        <v>1.5622063002863484</v>
      </c>
      <c r="AN108" s="186"/>
      <c r="AO108" s="187">
        <f t="shared" ref="AO108:AQ108" si="1265">AO60-(AO101/AO66)-AO74</f>
        <v>1.7469253657011099</v>
      </c>
      <c r="AP108" s="186"/>
      <c r="AQ108" s="187">
        <f t="shared" si="1265"/>
        <v>1.7718955672616383</v>
      </c>
      <c r="AR108" s="186"/>
      <c r="AS108" s="187">
        <f t="shared" ref="AS108:AU108" si="1266">AS60-(AS101/AS66)-AS74</f>
        <v>1.827630421550134</v>
      </c>
      <c r="AT108" s="186"/>
      <c r="AU108" s="187">
        <f t="shared" si="1266"/>
        <v>1.827630421550134</v>
      </c>
      <c r="AV108" s="186"/>
      <c r="AW108" s="187">
        <f t="shared" ref="AW108" si="1267">AW60-(AW101/AW66)-AW74</f>
        <v>1.9369038862820855</v>
      </c>
      <c r="AX108" s="186"/>
      <c r="AY108" s="187">
        <f t="shared" ref="AY108" si="1268">AY60-(AY101/AY66)-AY74</f>
        <v>1.9369038862820855</v>
      </c>
      <c r="AZ108" s="186"/>
      <c r="BA108" s="187">
        <f t="shared" ref="BA108:BC108" si="1269">BA60-(BA101/BA66)-BA74</f>
        <v>1.9704166666666674</v>
      </c>
      <c r="BB108" s="186"/>
      <c r="BC108" s="187">
        <f t="shared" si="1269"/>
        <v>2.0259108027830672</v>
      </c>
      <c r="BD108" s="186"/>
      <c r="BE108" s="187">
        <f t="shared" ref="BE108:BI108" si="1270">BE60-(BE101/BE66)-BE74</f>
        <v>1.9196770115561073</v>
      </c>
      <c r="BF108" s="186"/>
      <c r="BG108" s="187">
        <f t="shared" ref="BG108" si="1271">BG60-(BG101/BG66)-BG74</f>
        <v>1.8246567802527873</v>
      </c>
      <c r="BH108" s="186"/>
      <c r="BI108" s="187">
        <f t="shared" si="1270"/>
        <v>1.8246567802527873</v>
      </c>
      <c r="BJ108" s="186"/>
      <c r="BK108" s="187">
        <f t="shared" ref="BK108" si="1272">BK60-(BK101/BK66)-BK74</f>
        <v>1.8246567802527873</v>
      </c>
      <c r="BL108" s="186"/>
      <c r="BM108" s="187">
        <f>BM60-(BM101/BM66)-BM74</f>
        <v>1.8189186119564278</v>
      </c>
      <c r="BN108" s="186"/>
      <c r="BO108" s="187">
        <f>BO60-(BO101/BO66)-BO74</f>
        <v>1.8189186119564278</v>
      </c>
      <c r="BP108" s="186"/>
      <c r="BQ108" s="187">
        <f>BQ60-(BQ101/BQ66)-BQ74</f>
        <v>1.8186848619564273</v>
      </c>
      <c r="BR108" s="186"/>
      <c r="BS108" s="187">
        <f t="shared" ref="BS108:BU108" si="1273">BS60-(BS101/BS66)-BS74</f>
        <v>2.312489044162183</v>
      </c>
      <c r="BT108" s="186"/>
      <c r="BU108" s="187">
        <f t="shared" si="1273"/>
        <v>2.312489044162183</v>
      </c>
      <c r="BV108" s="186"/>
      <c r="BW108" s="187"/>
      <c r="BX108" s="653"/>
      <c r="BY108" s="653"/>
      <c r="BZ108" s="653"/>
      <c r="CA108" s="653"/>
      <c r="CB108" s="653"/>
      <c r="CC108" s="653"/>
      <c r="CD108" s="653"/>
      <c r="CE108" s="653"/>
      <c r="CF108" s="653"/>
      <c r="CG108" s="653"/>
    </row>
    <row r="109" spans="1:85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0.37298476770281491</v>
      </c>
      <c r="H109" s="192"/>
      <c r="I109" s="193">
        <f t="shared" ref="I109" si="1274">I108/I67</f>
        <v>0.34132305935828172</v>
      </c>
      <c r="J109" s="192"/>
      <c r="K109" s="193">
        <f t="shared" ref="K109" si="1275">K108/K67</f>
        <v>0.33863256487575588</v>
      </c>
      <c r="L109" s="192"/>
      <c r="M109" s="193">
        <f t="shared" ref="M109" si="1276">M108/M67</f>
        <v>0.33652745779088511</v>
      </c>
      <c r="N109" s="192"/>
      <c r="O109" s="193">
        <f t="shared" ref="O109" si="1277">O108/O67</f>
        <v>0.27049737950880176</v>
      </c>
      <c r="P109" s="192"/>
      <c r="Q109" s="193">
        <f t="shared" ref="Q109" si="1278">Q108/Q67</f>
        <v>0.32622890135856975</v>
      </c>
      <c r="R109" s="192"/>
      <c r="S109" s="193">
        <f t="shared" ref="S109" si="1279">S108/S67</f>
        <v>0.29720563407808359</v>
      </c>
      <c r="T109" s="192"/>
      <c r="U109" s="193">
        <f t="shared" ref="U109" si="1280">U108/U67</f>
        <v>0.32575070735789535</v>
      </c>
      <c r="V109" s="192"/>
      <c r="W109" s="193">
        <f t="shared" ref="W109" si="1281">W108/W67</f>
        <v>0.36209483441084583</v>
      </c>
      <c r="X109" s="192"/>
      <c r="Y109" s="193">
        <f t="shared" ref="Y109" si="1282">Y108/Y67</f>
        <v>0.36627662184870946</v>
      </c>
      <c r="Z109" s="192"/>
      <c r="AA109" s="193">
        <f t="shared" ref="AA109" si="1283">AA108/AA67</f>
        <v>0.37323278289432721</v>
      </c>
      <c r="AB109" s="192"/>
      <c r="AC109" s="193">
        <f t="shared" ref="AC109" si="1284">AC108/AC67</f>
        <v>0.41273081593666944</v>
      </c>
      <c r="AD109" s="192"/>
      <c r="AE109" s="193">
        <f t="shared" ref="AE109" si="1285">AE108/AE67</f>
        <v>0.41375738321354094</v>
      </c>
      <c r="AF109" s="192"/>
      <c r="AG109" s="193">
        <f t="shared" ref="AG109" si="1286">AG108/AG67</f>
        <v>0.36213095318059163</v>
      </c>
      <c r="AH109" s="192"/>
      <c r="AI109" s="193">
        <f t="shared" ref="AI109" si="1287">AI108/AI67</f>
        <v>0.42083762310096051</v>
      </c>
      <c r="AJ109" s="192"/>
      <c r="AK109" s="193">
        <f t="shared" ref="AK109" si="1288">AK108/AK67</f>
        <v>0.30276433337513459</v>
      </c>
      <c r="AL109" s="192"/>
      <c r="AM109" s="193">
        <f t="shared" ref="AM109" si="1289">AM108/AM67</f>
        <v>0.37825818408870421</v>
      </c>
      <c r="AN109" s="192"/>
      <c r="AO109" s="193">
        <f t="shared" ref="AO109:AQ109" si="1290">AO108/AO67</f>
        <v>0.42298435004869489</v>
      </c>
      <c r="AP109" s="192"/>
      <c r="AQ109" s="193">
        <f t="shared" si="1290"/>
        <v>0.42903040369531198</v>
      </c>
      <c r="AR109" s="192"/>
      <c r="AS109" s="193">
        <f t="shared" ref="AS109:AU109" si="1291">AS108/AS67</f>
        <v>0.44252552579906396</v>
      </c>
      <c r="AT109" s="192"/>
      <c r="AU109" s="193">
        <f t="shared" si="1291"/>
        <v>0.44252552579906396</v>
      </c>
      <c r="AV109" s="192"/>
      <c r="AW109" s="193">
        <f t="shared" ref="AW109" si="1292">AW108/AW67</f>
        <v>0.4689839918358561</v>
      </c>
      <c r="AX109" s="192"/>
      <c r="AY109" s="193">
        <f t="shared" ref="AY109" si="1293">AY108/AY67</f>
        <v>0.4689839918358561</v>
      </c>
      <c r="AZ109" s="192"/>
      <c r="BA109" s="193">
        <f t="shared" ref="BA109:BC109" si="1294">BA108/BA67</f>
        <v>0.46362745098039232</v>
      </c>
      <c r="BB109" s="192"/>
      <c r="BC109" s="193">
        <f t="shared" si="1294"/>
        <v>0.47668489477248643</v>
      </c>
      <c r="BD109" s="192"/>
      <c r="BE109" s="193">
        <f t="shared" ref="BE109:BI109" si="1295">BE108/BE67</f>
        <v>0.45168870860143701</v>
      </c>
      <c r="BF109" s="192"/>
      <c r="BG109" s="193">
        <f t="shared" ref="BG109" si="1296">BG108/BG67</f>
        <v>0.42933100711830291</v>
      </c>
      <c r="BH109" s="192"/>
      <c r="BI109" s="193">
        <f t="shared" si="1295"/>
        <v>0.42933100711830291</v>
      </c>
      <c r="BJ109" s="192"/>
      <c r="BK109" s="193">
        <f t="shared" ref="BK109" si="1297">BK108/BK67</f>
        <v>0.42933100711830291</v>
      </c>
      <c r="BL109" s="192"/>
      <c r="BM109" s="193">
        <f>BM108/BM67</f>
        <v>0.42798084987210067</v>
      </c>
      <c r="BN109" s="192"/>
      <c r="BO109" s="193">
        <f>BO108/BO67</f>
        <v>0.42798084987210067</v>
      </c>
      <c r="BP109" s="192"/>
      <c r="BQ109" s="193">
        <f>BQ108/BQ67</f>
        <v>0.42792584987210053</v>
      </c>
      <c r="BR109" s="192"/>
      <c r="BS109" s="193">
        <f t="shared" ref="BS109:BU109" si="1298">BS108/BS67</f>
        <v>0.49201894556642189</v>
      </c>
      <c r="BT109" s="192"/>
      <c r="BU109" s="193">
        <f t="shared" si="1298"/>
        <v>0.49201894556642189</v>
      </c>
      <c r="BV109" s="192"/>
      <c r="BW109" s="193"/>
      <c r="BX109" s="654"/>
      <c r="BY109" s="654"/>
      <c r="BZ109" s="654"/>
      <c r="CA109" s="654"/>
      <c r="CB109" s="654"/>
      <c r="CC109" s="654"/>
      <c r="CD109" s="654"/>
      <c r="CE109" s="654"/>
      <c r="CF109" s="654"/>
      <c r="CG109" s="654"/>
    </row>
    <row r="110" spans="1:85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/>
      <c r="BT110" s="164"/>
      <c r="BU110" s="198"/>
      <c r="BV110" s="164"/>
      <c r="BW110" s="198"/>
      <c r="BX110" s="655"/>
      <c r="BY110" s="655"/>
      <c r="BZ110" s="655"/>
      <c r="CA110" s="655"/>
      <c r="CB110" s="655"/>
      <c r="CC110" s="655"/>
      <c r="CD110" s="655"/>
      <c r="CE110" s="655"/>
      <c r="CF110" s="655"/>
      <c r="CG110" s="655"/>
    </row>
    <row r="111" spans="1:85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1.6237604239459587</v>
      </c>
      <c r="H111" s="186"/>
      <c r="I111" s="187">
        <f t="shared" ref="I111" si="1299">I60-(I102/I66)-I74</f>
        <v>1.4929975684830366</v>
      </c>
      <c r="J111" s="186"/>
      <c r="K111" s="187">
        <f t="shared" ref="K111" si="1300">K60-(K102/K66)-K74</f>
        <v>1.4818858262702048</v>
      </c>
      <c r="L111" s="186"/>
      <c r="M111" s="187">
        <f t="shared" ref="M111" si="1301">M60-(M102/M66)-M74</f>
        <v>1.4731917340096885</v>
      </c>
      <c r="N111" s="186"/>
      <c r="O111" s="187">
        <f t="shared" ref="O111" si="1302">O60-(O102/O66)-O74</f>
        <v>1.2004875107046842</v>
      </c>
      <c r="P111" s="186"/>
      <c r="Q111" s="187">
        <f t="shared" ref="Q111" si="1303">Q60-(Q102/Q66)-Q74</f>
        <v>1.430658695944226</v>
      </c>
      <c r="R111" s="186"/>
      <c r="S111" s="187">
        <f t="shared" ref="S111" si="1304">S60-(S102/S66)-S74</f>
        <v>1.3107926020758183</v>
      </c>
      <c r="T111" s="186"/>
      <c r="U111" s="187">
        <f t="shared" ref="U111" si="1305">U60-(U102/U66)-U74</f>
        <v>1.4286837547214408</v>
      </c>
      <c r="V111" s="186"/>
      <c r="W111" s="187">
        <f t="shared" ref="W111" si="1306">W60-(W102/W66)-W74</f>
        <v>1.5787849994501264</v>
      </c>
      <c r="X111" s="186"/>
      <c r="Y111" s="187">
        <f t="shared" ref="Y111" si="1307">Y60-(Y102/Y66)-Y74</f>
        <v>1.596055781568503</v>
      </c>
      <c r="Z111" s="186"/>
      <c r="AA111" s="187">
        <f t="shared" ref="AA111" si="1308">AA60-(AA102/AA66)-AA74</f>
        <v>1.6247847266869044</v>
      </c>
      <c r="AB111" s="186"/>
      <c r="AC111" s="187">
        <f t="shared" ref="AC111:AI111" si="1309">AC60-(AC102/AC66)-AC74</f>
        <v>1.7879116031517777</v>
      </c>
      <c r="AD111" s="186"/>
      <c r="AE111" s="187">
        <f t="shared" si="1309"/>
        <v>1.7921513260052571</v>
      </c>
      <c r="AF111" s="186"/>
      <c r="AG111" s="187">
        <f t="shared" si="1309"/>
        <v>1.5789341699691763</v>
      </c>
      <c r="AH111" s="186"/>
      <c r="AI111" s="187">
        <f t="shared" si="1309"/>
        <v>1.8213927167402999</v>
      </c>
      <c r="AJ111" s="186"/>
      <c r="AK111" s="187">
        <f t="shared" ref="AK111" si="1310">AK60-(AK102/AK66)-AK74</f>
        <v>1.3337500301726388</v>
      </c>
      <c r="AL111" s="186"/>
      <c r="AM111" s="187">
        <f t="shared" ref="AM111" si="1311">AM60-(AM102/AM66)-AM74</f>
        <v>1.6455396336196815</v>
      </c>
      <c r="AN111" s="186"/>
      <c r="AO111" s="187">
        <f t="shared" ref="AO111:AQ111" si="1312">AO60-(AO102/AO66)-AO74</f>
        <v>1.8302586990344429</v>
      </c>
      <c r="AP111" s="186"/>
      <c r="AQ111" s="187">
        <f t="shared" si="1312"/>
        <v>1.8552289005949714</v>
      </c>
      <c r="AR111" s="186"/>
      <c r="AS111" s="187">
        <f t="shared" ref="AS111:AU111" si="1313">AS60-(AS102/AS66)-AS74</f>
        <v>1.910963754883467</v>
      </c>
      <c r="AT111" s="186"/>
      <c r="AU111" s="187">
        <f t="shared" si="1313"/>
        <v>1.910963754883467</v>
      </c>
      <c r="AV111" s="186"/>
      <c r="AW111" s="187">
        <f t="shared" ref="AW111" si="1314">AW60-(AW102/AW66)-AW74</f>
        <v>2.0202372196154186</v>
      </c>
      <c r="AX111" s="186"/>
      <c r="AY111" s="187">
        <f t="shared" ref="AY111" si="1315">AY60-(AY102/AY66)-AY74</f>
        <v>2.0202372196154186</v>
      </c>
      <c r="AZ111" s="186"/>
      <c r="BA111" s="187">
        <f t="shared" ref="BA111:BC111" si="1316">BA60-(BA102/BA66)-BA74</f>
        <v>2.0537500000000004</v>
      </c>
      <c r="BB111" s="186"/>
      <c r="BC111" s="187">
        <f t="shared" si="1316"/>
        <v>2.1092441361164003</v>
      </c>
      <c r="BD111" s="186"/>
      <c r="BE111" s="187">
        <f t="shared" ref="BE111:BI111" si="1317">BE60-(BE102/BE66)-BE74</f>
        <v>2.0030103448894403</v>
      </c>
      <c r="BF111" s="186"/>
      <c r="BG111" s="187">
        <f t="shared" ref="BG111" si="1318">BG60-(BG102/BG66)-BG74</f>
        <v>1.9079901135861204</v>
      </c>
      <c r="BH111" s="186"/>
      <c r="BI111" s="187">
        <f t="shared" si="1317"/>
        <v>1.9079901135861204</v>
      </c>
      <c r="BJ111" s="186"/>
      <c r="BK111" s="187">
        <f t="shared" ref="BK111" si="1319">BK60-(BK102/BK66)-BK74</f>
        <v>1.9079901135861204</v>
      </c>
      <c r="BL111" s="186"/>
      <c r="BM111" s="187">
        <f>BM60-(BM102/BM66)-BM74</f>
        <v>1.9022519452897608</v>
      </c>
      <c r="BN111" s="186"/>
      <c r="BO111" s="187">
        <f>BO60-(BO102/BO66)-BO74</f>
        <v>1.9022519452897608</v>
      </c>
      <c r="BP111" s="186"/>
      <c r="BQ111" s="187">
        <f>BQ60-(BQ102/BQ66)-BQ74</f>
        <v>1.9020181952897603</v>
      </c>
      <c r="BR111" s="186"/>
      <c r="BS111" s="187">
        <f t="shared" ref="BS111:BU111" si="1320">BS60-(BS102/BS66)-BS74</f>
        <v>2.3958223774955161</v>
      </c>
      <c r="BT111" s="186"/>
      <c r="BU111" s="187">
        <f t="shared" si="1320"/>
        <v>2.3958223774955161</v>
      </c>
      <c r="BV111" s="186"/>
      <c r="BW111" s="187"/>
      <c r="BX111" s="653"/>
      <c r="BY111" s="653"/>
      <c r="BZ111" s="653"/>
      <c r="CA111" s="653"/>
      <c r="CB111" s="653"/>
      <c r="CC111" s="653"/>
      <c r="CD111" s="653"/>
      <c r="CE111" s="653"/>
      <c r="CF111" s="653"/>
      <c r="CG111" s="653"/>
    </row>
    <row r="112" spans="1:85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0.39316233025325875</v>
      </c>
      <c r="H112" s="192"/>
      <c r="I112" s="193">
        <f t="shared" ref="I112" si="1321">I111/I67</f>
        <v>0.36150062190872556</v>
      </c>
      <c r="J112" s="192"/>
      <c r="K112" s="193">
        <f t="shared" ref="K112" si="1322">K111/K67</f>
        <v>0.35881012742619972</v>
      </c>
      <c r="L112" s="192"/>
      <c r="M112" s="193">
        <f t="shared" ref="M112" si="1323">M111/M67</f>
        <v>0.35670502034132895</v>
      </c>
      <c r="N112" s="192"/>
      <c r="O112" s="193">
        <f t="shared" ref="O112" si="1324">O111/O67</f>
        <v>0.29067494205924554</v>
      </c>
      <c r="P112" s="192"/>
      <c r="Q112" s="193">
        <f t="shared" ref="Q112" si="1325">Q111/Q67</f>
        <v>0.34640646390901358</v>
      </c>
      <c r="R112" s="192"/>
      <c r="S112" s="193">
        <f t="shared" ref="S112" si="1326">S111/S67</f>
        <v>0.31738319662852743</v>
      </c>
      <c r="T112" s="192"/>
      <c r="U112" s="193">
        <f t="shared" ref="U112" si="1327">U111/U67</f>
        <v>0.34592826990833919</v>
      </c>
      <c r="V112" s="192"/>
      <c r="W112" s="193">
        <f t="shared" ref="W112" si="1328">W111/W67</f>
        <v>0.38227239696128967</v>
      </c>
      <c r="X112" s="192"/>
      <c r="Y112" s="193">
        <f t="shared" ref="Y112" si="1329">Y111/Y67</f>
        <v>0.3864541843991533</v>
      </c>
      <c r="Z112" s="192"/>
      <c r="AA112" s="193">
        <f t="shared" ref="AA112" si="1330">AA111/AA67</f>
        <v>0.39341034544477105</v>
      </c>
      <c r="AB112" s="192"/>
      <c r="AC112" s="193">
        <f t="shared" ref="AC112" si="1331">AC111/AC67</f>
        <v>0.43290837848711322</v>
      </c>
      <c r="AD112" s="192"/>
      <c r="AE112" s="193">
        <f t="shared" ref="AE112" si="1332">AE111/AE67</f>
        <v>0.43393494576398478</v>
      </c>
      <c r="AF112" s="192"/>
      <c r="AG112" s="193">
        <f t="shared" ref="AG112" si="1333">AG111/AG67</f>
        <v>0.38230851573103547</v>
      </c>
      <c r="AH112" s="192"/>
      <c r="AI112" s="193">
        <f t="shared" ref="AI112" si="1334">AI111/AI67</f>
        <v>0.44101518565140435</v>
      </c>
      <c r="AJ112" s="192"/>
      <c r="AK112" s="193">
        <f t="shared" ref="AK112" si="1335">AK111/AK67</f>
        <v>0.32294189592557843</v>
      </c>
      <c r="AL112" s="192"/>
      <c r="AM112" s="193">
        <f t="shared" ref="AM112" si="1336">AM111/AM67</f>
        <v>0.39843574663914805</v>
      </c>
      <c r="AN112" s="192"/>
      <c r="AO112" s="193">
        <f t="shared" ref="AO112:AQ112" si="1337">AO111/AO67</f>
        <v>0.44316191259913873</v>
      </c>
      <c r="AP112" s="192"/>
      <c r="AQ112" s="193">
        <f t="shared" si="1337"/>
        <v>0.44920796624575576</v>
      </c>
      <c r="AR112" s="192"/>
      <c r="AS112" s="193">
        <f t="shared" ref="AS112:AU112" si="1338">AS111/AS67</f>
        <v>0.4627030883495078</v>
      </c>
      <c r="AT112" s="192"/>
      <c r="AU112" s="193">
        <f t="shared" si="1338"/>
        <v>0.4627030883495078</v>
      </c>
      <c r="AV112" s="192"/>
      <c r="AW112" s="193">
        <f t="shared" ref="AW112" si="1339">AW111/AW67</f>
        <v>0.48916155438629993</v>
      </c>
      <c r="AX112" s="192"/>
      <c r="AY112" s="193">
        <f t="shared" ref="AY112" si="1340">AY111/AY67</f>
        <v>0.48916155438629993</v>
      </c>
      <c r="AZ112" s="192"/>
      <c r="BA112" s="193">
        <f t="shared" ref="BA112:BC112" si="1341">BA111/BA67</f>
        <v>0.48323529411764715</v>
      </c>
      <c r="BB112" s="192"/>
      <c r="BC112" s="193">
        <f t="shared" si="1341"/>
        <v>0.49629273790974127</v>
      </c>
      <c r="BD112" s="192"/>
      <c r="BE112" s="193">
        <f t="shared" ref="BE112:BI112" si="1342">BE111/BE67</f>
        <v>0.47129655173869184</v>
      </c>
      <c r="BF112" s="192"/>
      <c r="BG112" s="193">
        <f t="shared" ref="BG112" si="1343">BG111/BG67</f>
        <v>0.44893885025555774</v>
      </c>
      <c r="BH112" s="192"/>
      <c r="BI112" s="193">
        <f t="shared" si="1342"/>
        <v>0.44893885025555774</v>
      </c>
      <c r="BJ112" s="192"/>
      <c r="BK112" s="193">
        <f t="shared" ref="BK112" si="1344">BK111/BK67</f>
        <v>0.44893885025555774</v>
      </c>
      <c r="BL112" s="192"/>
      <c r="BM112" s="193">
        <f>BM111/BM67</f>
        <v>0.4475886930093555</v>
      </c>
      <c r="BN112" s="192"/>
      <c r="BO112" s="193">
        <f>BO111/BO67</f>
        <v>0.4475886930093555</v>
      </c>
      <c r="BP112" s="192"/>
      <c r="BQ112" s="193">
        <f>BQ111/BQ67</f>
        <v>0.44753369300935536</v>
      </c>
      <c r="BR112" s="192"/>
      <c r="BS112" s="193">
        <f t="shared" ref="BS112:BU112" si="1345">BS111/BS67</f>
        <v>0.50974944202032257</v>
      </c>
      <c r="BT112" s="192"/>
      <c r="BU112" s="193">
        <f t="shared" si="1345"/>
        <v>0.50974944202032257</v>
      </c>
      <c r="BV112" s="192"/>
      <c r="BW112" s="193"/>
      <c r="BX112" s="654"/>
      <c r="BY112" s="654"/>
      <c r="BZ112" s="654"/>
      <c r="CA112" s="654"/>
      <c r="CB112" s="654"/>
      <c r="CC112" s="654"/>
      <c r="CD112" s="654"/>
      <c r="CE112" s="654"/>
      <c r="CF112" s="654"/>
      <c r="CG112" s="654"/>
    </row>
    <row r="113" spans="1:85" s="4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166"/>
      <c r="BY113" s="166"/>
      <c r="BZ113" s="166"/>
      <c r="CA113" s="166"/>
      <c r="CB113" s="166"/>
      <c r="CC113" s="166"/>
      <c r="CD113" s="166"/>
      <c r="CE113" s="166"/>
      <c r="CF113" s="166"/>
      <c r="CG113" s="166"/>
    </row>
    <row r="114" spans="1:85" s="65" customFormat="1" ht="18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459.73724614418319</v>
      </c>
      <c r="H114" s="202" t="s">
        <v>111</v>
      </c>
      <c r="I114" s="203">
        <f t="shared" ref="I114" si="1346">I116/I79</f>
        <v>459.26113007733579</v>
      </c>
      <c r="J114" s="202" t="s">
        <v>111</v>
      </c>
      <c r="K114" s="203">
        <f t="shared" ref="K114" si="1347">K116/K79</f>
        <v>459.38000975813765</v>
      </c>
      <c r="L114" s="202" t="s">
        <v>111</v>
      </c>
      <c r="M114" s="203">
        <f t="shared" ref="M114" si="1348">M116/M79</f>
        <v>458.98413029860097</v>
      </c>
      <c r="N114" s="202" t="s">
        <v>111</v>
      </c>
      <c r="O114" s="203">
        <f t="shared" ref="O114" si="1349">O116/O79</f>
        <v>454.12704385304789</v>
      </c>
      <c r="P114" s="202" t="s">
        <v>111</v>
      </c>
      <c r="Q114" s="203">
        <f t="shared" ref="Q114" si="1350">Q116/Q79</f>
        <v>453.06174606419955</v>
      </c>
      <c r="R114" s="202" t="s">
        <v>111</v>
      </c>
      <c r="S114" s="203">
        <f t="shared" ref="S114" si="1351">S116/S79</f>
        <v>447.38133386741436</v>
      </c>
      <c r="T114" s="202" t="s">
        <v>111</v>
      </c>
      <c r="U114" s="203">
        <f t="shared" ref="U114" si="1352">U116/U79</f>
        <v>449.69198141789536</v>
      </c>
      <c r="V114" s="202" t="s">
        <v>111</v>
      </c>
      <c r="W114" s="203">
        <f t="shared" ref="W114" si="1353">W116/W79</f>
        <v>446.3307175633438</v>
      </c>
      <c r="X114" s="202" t="s">
        <v>111</v>
      </c>
      <c r="Y114" s="203">
        <f t="shared" ref="Y114" si="1354">Y116/Y79</f>
        <v>439.62576209625121</v>
      </c>
      <c r="Z114" s="202" t="s">
        <v>111</v>
      </c>
      <c r="AA114" s="203">
        <f t="shared" ref="AA114" si="1355">AA116/AA79</f>
        <v>435.78619367209973</v>
      </c>
      <c r="AB114" s="202" t="s">
        <v>111</v>
      </c>
      <c r="AC114" s="203">
        <f t="shared" ref="AC114:AI114" si="1356">AC116/AC79</f>
        <v>436.1534276387377</v>
      </c>
      <c r="AD114" s="202" t="s">
        <v>111</v>
      </c>
      <c r="AE114" s="203">
        <f t="shared" si="1356"/>
        <v>441.12745417780974</v>
      </c>
      <c r="AF114" s="202" t="s">
        <v>111</v>
      </c>
      <c r="AG114" s="203">
        <f t="shared" si="1356"/>
        <v>445.35981710953553</v>
      </c>
      <c r="AH114" s="202" t="s">
        <v>111</v>
      </c>
      <c r="AI114" s="203">
        <f t="shared" si="1356"/>
        <v>442.10310965630106</v>
      </c>
      <c r="AJ114" s="202" t="s">
        <v>111</v>
      </c>
      <c r="AK114" s="203">
        <f t="shared" ref="AK114" si="1357">AK116/AK79</f>
        <v>449.61802517331904</v>
      </c>
      <c r="AL114" s="202" t="s">
        <v>111</v>
      </c>
      <c r="AM114" s="203">
        <f t="shared" ref="AM114" si="1358">AM116/AM79</f>
        <v>451.03003856302007</v>
      </c>
      <c r="AN114" s="202" t="s">
        <v>111</v>
      </c>
      <c r="AO114" s="203">
        <f t="shared" ref="AO114:AQ114" si="1359">AO116/AO79</f>
        <v>448.25698211774159</v>
      </c>
      <c r="AP114" s="202" t="s">
        <v>111</v>
      </c>
      <c r="AQ114" s="203">
        <f t="shared" si="1359"/>
        <v>446.56549520766771</v>
      </c>
      <c r="AR114" s="202" t="s">
        <v>111</v>
      </c>
      <c r="AS114" s="203">
        <f t="shared" ref="AS114:AU114" si="1360">AS116/AS79</f>
        <v>442.78682068784451</v>
      </c>
      <c r="AT114" s="202" t="s">
        <v>111</v>
      </c>
      <c r="AU114" s="203">
        <f t="shared" si="1360"/>
        <v>442.78682068784451</v>
      </c>
      <c r="AV114" s="202" t="s">
        <v>111</v>
      </c>
      <c r="AW114" s="203">
        <f t="shared" ref="AW114" si="1361">AW116/AW79</f>
        <v>441.05803716987276</v>
      </c>
      <c r="AX114" s="202" t="s">
        <v>111</v>
      </c>
      <c r="AY114" s="203">
        <f t="shared" ref="AY114" si="1362">AY116/AY79</f>
        <v>434.65760834977402</v>
      </c>
      <c r="AZ114" s="202" t="s">
        <v>111</v>
      </c>
      <c r="BA114" s="203">
        <f t="shared" ref="BA114:BC114" si="1363">BA116/BA79</f>
        <v>435.05481547581104</v>
      </c>
      <c r="BB114" s="202" t="s">
        <v>111</v>
      </c>
      <c r="BC114" s="203">
        <f t="shared" si="1363"/>
        <v>437.8865979381444</v>
      </c>
      <c r="BD114" s="202" t="s">
        <v>111</v>
      </c>
      <c r="BE114" s="203">
        <f t="shared" ref="BE114:BI114" si="1364">BE116/BE79</f>
        <v>436.84058529072007</v>
      </c>
      <c r="BF114" s="202" t="s">
        <v>111</v>
      </c>
      <c r="BG114" s="203">
        <f t="shared" ref="BG114" si="1365">BG116/BG79</f>
        <v>436.84058529072007</v>
      </c>
      <c r="BH114" s="202" t="s">
        <v>111</v>
      </c>
      <c r="BI114" s="203">
        <f t="shared" si="1364"/>
        <v>434.85606012355896</v>
      </c>
      <c r="BJ114" s="202" t="s">
        <v>111</v>
      </c>
      <c r="BK114" s="203">
        <f t="shared" ref="BK114" si="1366">BK116/BK79</f>
        <v>435.17089656931518</v>
      </c>
      <c r="BL114" s="202" t="s">
        <v>111</v>
      </c>
      <c r="BM114" s="203">
        <f>BM116/BM79</f>
        <v>434.85606012355896</v>
      </c>
      <c r="BN114" s="202" t="s">
        <v>111</v>
      </c>
      <c r="BO114" s="203">
        <f>BO116/BO79</f>
        <v>434.85606012355896</v>
      </c>
      <c r="BP114" s="202" t="s">
        <v>111</v>
      </c>
      <c r="BQ114" s="203">
        <f>BQ116/BQ79</f>
        <v>434.85606012355896</v>
      </c>
      <c r="BR114" s="202" t="s">
        <v>111</v>
      </c>
      <c r="BS114" s="203">
        <f t="shared" ref="BS114:BU114" si="1367">BS116/BS79</f>
        <v>435.17089656931518</v>
      </c>
      <c r="BT114" s="202" t="s">
        <v>111</v>
      </c>
      <c r="BU114" s="203">
        <f t="shared" si="1367"/>
        <v>435.17089656931518</v>
      </c>
      <c r="BV114" s="202"/>
      <c r="BW114" s="203"/>
      <c r="BX114" s="656"/>
      <c r="BY114" s="656"/>
      <c r="BZ114" s="656"/>
      <c r="CA114" s="656"/>
      <c r="CB114" s="656"/>
      <c r="CC114" s="656"/>
      <c r="CD114" s="656"/>
      <c r="CE114" s="656"/>
      <c r="CF114" s="656"/>
      <c r="CG114" s="656"/>
    </row>
    <row r="115" spans="1:85" s="65" customFormat="1" ht="18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9.5778592946704835E-2</v>
      </c>
      <c r="H115" s="202" t="s">
        <v>111</v>
      </c>
      <c r="I115" s="203">
        <f t="shared" ref="I115" si="1368">I114/I66</f>
        <v>9.5679402099444963E-2</v>
      </c>
      <c r="J115" s="202" t="s">
        <v>111</v>
      </c>
      <c r="K115" s="203">
        <f t="shared" ref="K115" si="1369">K114/K66</f>
        <v>9.5704168699612013E-2</v>
      </c>
      <c r="L115" s="202" t="s">
        <v>111</v>
      </c>
      <c r="M115" s="203">
        <f t="shared" ref="M115" si="1370">M114/M66</f>
        <v>9.562169381220853E-2</v>
      </c>
      <c r="N115" s="202" t="s">
        <v>111</v>
      </c>
      <c r="O115" s="203">
        <f t="shared" ref="O115" si="1371">O114/O66</f>
        <v>9.4609800802718316E-2</v>
      </c>
      <c r="P115" s="202" t="s">
        <v>111</v>
      </c>
      <c r="Q115" s="203">
        <f t="shared" ref="Q115" si="1372">Q114/Q66</f>
        <v>9.4387863763374907E-2</v>
      </c>
      <c r="R115" s="202" t="s">
        <v>111</v>
      </c>
      <c r="S115" s="203">
        <f t="shared" ref="S115" si="1373">S114/S66</f>
        <v>9.3204444555711322E-2</v>
      </c>
      <c r="T115" s="202" t="s">
        <v>111</v>
      </c>
      <c r="U115" s="203">
        <f t="shared" ref="U115" si="1374">U114/U66</f>
        <v>9.368582946206154E-2</v>
      </c>
      <c r="V115" s="202" t="s">
        <v>111</v>
      </c>
      <c r="W115" s="203">
        <f t="shared" ref="W115" si="1375">W114/W66</f>
        <v>9.2985566159029961E-2</v>
      </c>
      <c r="X115" s="202" t="s">
        <v>111</v>
      </c>
      <c r="Y115" s="203">
        <f t="shared" ref="Y115" si="1376">Y114/Y66</f>
        <v>9.1588700436719003E-2</v>
      </c>
      <c r="Z115" s="202" t="s">
        <v>111</v>
      </c>
      <c r="AA115" s="203">
        <f t="shared" ref="AA115" si="1377">AA114/AA66</f>
        <v>9.0788790348354104E-2</v>
      </c>
      <c r="AB115" s="202" t="s">
        <v>111</v>
      </c>
      <c r="AC115" s="203">
        <f t="shared" ref="AC115" si="1378">AC114/AC66</f>
        <v>9.0865297424737021E-2</v>
      </c>
      <c r="AD115" s="202" t="s">
        <v>111</v>
      </c>
      <c r="AE115" s="203">
        <f t="shared" ref="AE115" si="1379">AE114/AE66</f>
        <v>9.1901552953710358E-2</v>
      </c>
      <c r="AF115" s="202" t="s">
        <v>111</v>
      </c>
      <c r="AG115" s="203">
        <f t="shared" ref="AG115" si="1380">AG114/AG66</f>
        <v>9.2783295231153237E-2</v>
      </c>
      <c r="AH115" s="202" t="s">
        <v>111</v>
      </c>
      <c r="AI115" s="203">
        <f t="shared" ref="AI115" si="1381">AI114/AI66</f>
        <v>9.2104814511729388E-2</v>
      </c>
      <c r="AJ115" s="202" t="s">
        <v>111</v>
      </c>
      <c r="AK115" s="203">
        <f t="shared" ref="AK115" si="1382">AK114/AK66</f>
        <v>9.3670421911108137E-2</v>
      </c>
      <c r="AL115" s="202" t="s">
        <v>111</v>
      </c>
      <c r="AM115" s="203">
        <f t="shared" ref="AM115" si="1383">AM114/AM66</f>
        <v>9.3964591367295847E-2</v>
      </c>
      <c r="AN115" s="202" t="s">
        <v>111</v>
      </c>
      <c r="AO115" s="203">
        <f t="shared" ref="AO115:AQ115" si="1384">AO114/AO66</f>
        <v>9.3386871274529493E-2</v>
      </c>
      <c r="AP115" s="202" t="s">
        <v>111</v>
      </c>
      <c r="AQ115" s="203">
        <f t="shared" si="1384"/>
        <v>9.3034478168264101E-2</v>
      </c>
      <c r="AR115" s="202" t="s">
        <v>111</v>
      </c>
      <c r="AS115" s="203">
        <f t="shared" ref="AS115:AU115" si="1385">AS114/AS66</f>
        <v>9.2247254309967608E-2</v>
      </c>
      <c r="AT115" s="202" t="s">
        <v>111</v>
      </c>
      <c r="AU115" s="203">
        <f t="shared" si="1385"/>
        <v>9.2247254309967608E-2</v>
      </c>
      <c r="AV115" s="202" t="s">
        <v>111</v>
      </c>
      <c r="AW115" s="203">
        <f t="shared" ref="AW115" si="1386">AW114/AW66</f>
        <v>9.1887091077056823E-2</v>
      </c>
      <c r="AX115" s="202" t="s">
        <v>111</v>
      </c>
      <c r="AY115" s="203">
        <f t="shared" ref="AY115" si="1387">AY114/AY66</f>
        <v>9.0553668406202922E-2</v>
      </c>
      <c r="AZ115" s="202" t="s">
        <v>111</v>
      </c>
      <c r="BA115" s="203">
        <f t="shared" ref="BA115:BC115" si="1388">BA114/BA66</f>
        <v>9.0636419890793962E-2</v>
      </c>
      <c r="BB115" s="202" t="s">
        <v>111</v>
      </c>
      <c r="BC115" s="203">
        <f t="shared" si="1388"/>
        <v>9.1226374570446744E-2</v>
      </c>
      <c r="BD115" s="202" t="s">
        <v>111</v>
      </c>
      <c r="BE115" s="203">
        <f t="shared" ref="BE115:BI115" si="1389">BE114/BE66</f>
        <v>9.1008455268900015E-2</v>
      </c>
      <c r="BF115" s="202" t="s">
        <v>111</v>
      </c>
      <c r="BG115" s="203">
        <f t="shared" ref="BG115" si="1390">BG114/BG66</f>
        <v>9.1008455268900015E-2</v>
      </c>
      <c r="BH115" s="202" t="s">
        <v>111</v>
      </c>
      <c r="BI115" s="203">
        <f t="shared" si="1389"/>
        <v>9.0595012525741453E-2</v>
      </c>
      <c r="BJ115" s="202" t="s">
        <v>111</v>
      </c>
      <c r="BK115" s="203">
        <f t="shared" ref="BK115" si="1391">BK114/BK66</f>
        <v>9.0660603451940658E-2</v>
      </c>
      <c r="BL115" s="202" t="s">
        <v>111</v>
      </c>
      <c r="BM115" s="203">
        <f>BM114/BM66</f>
        <v>9.0595012525741453E-2</v>
      </c>
      <c r="BN115" s="202" t="s">
        <v>111</v>
      </c>
      <c r="BO115" s="203">
        <f>BO114/BO66</f>
        <v>9.0595012525741453E-2</v>
      </c>
      <c r="BP115" s="202" t="s">
        <v>111</v>
      </c>
      <c r="BQ115" s="203">
        <f>BQ114/BQ66</f>
        <v>9.0595012525741453E-2</v>
      </c>
      <c r="BR115" s="202" t="s">
        <v>111</v>
      </c>
      <c r="BS115" s="203">
        <f t="shared" ref="BS115:BU115" si="1392">BS114/BS66</f>
        <v>9.0660603451940658E-2</v>
      </c>
      <c r="BT115" s="202" t="s">
        <v>111</v>
      </c>
      <c r="BU115" s="203">
        <f t="shared" si="1392"/>
        <v>9.0660603451940658E-2</v>
      </c>
      <c r="BV115" s="202"/>
      <c r="BW115" s="203"/>
      <c r="BX115" s="656"/>
      <c r="BY115" s="656"/>
      <c r="BZ115" s="656"/>
      <c r="CA115" s="656"/>
      <c r="CB115" s="656"/>
      <c r="CC115" s="656"/>
      <c r="CD115" s="656"/>
      <c r="CE115" s="656"/>
      <c r="CF115" s="656"/>
      <c r="CG115" s="656"/>
    </row>
    <row r="116" spans="1:85" s="65" customFormat="1" ht="18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6587575.0000000009</v>
      </c>
      <c r="H116" s="202" t="s">
        <v>114</v>
      </c>
      <c r="I116" s="204">
        <f t="shared" ref="I116" si="1393">I117*I66</f>
        <v>6591775.0000000009</v>
      </c>
      <c r="J116" s="202" t="s">
        <v>114</v>
      </c>
      <c r="K116" s="204">
        <f t="shared" ref="K116" si="1394">K117*K66</f>
        <v>6590725.0000000009</v>
      </c>
      <c r="L116" s="202" t="s">
        <v>114</v>
      </c>
      <c r="M116" s="204">
        <f t="shared" ref="M116" si="1395">M117*M66</f>
        <v>6594225</v>
      </c>
      <c r="N116" s="202" t="s">
        <v>114</v>
      </c>
      <c r="O116" s="204">
        <f t="shared" ref="O116" si="1396">O117*O66</f>
        <v>6637975.0000000009</v>
      </c>
      <c r="P116" s="202" t="s">
        <v>114</v>
      </c>
      <c r="Q116" s="204">
        <f t="shared" ref="Q116" si="1397">Q117*Q66</f>
        <v>6647775</v>
      </c>
      <c r="R116" s="202" t="s">
        <v>114</v>
      </c>
      <c r="S116" s="204">
        <f t="shared" ref="S116" si="1398">S117*S66</f>
        <v>6701325</v>
      </c>
      <c r="T116" s="202" t="s">
        <v>114</v>
      </c>
      <c r="U116" s="204">
        <f t="shared" ref="U116" si="1399">U117*U66</f>
        <v>6679275</v>
      </c>
      <c r="V116" s="202" t="s">
        <v>114</v>
      </c>
      <c r="W116" s="204">
        <f t="shared" ref="W116" si="1400">W117*W66</f>
        <v>6711475.0000000009</v>
      </c>
      <c r="X116" s="202" t="s">
        <v>114</v>
      </c>
      <c r="Y116" s="204">
        <f t="shared" ref="Y116" si="1401">Y117*Y66</f>
        <v>6778150.0000000009</v>
      </c>
      <c r="Z116" s="202" t="s">
        <v>114</v>
      </c>
      <c r="AA116" s="204">
        <f t="shared" ref="AA116" si="1402">AA117*AA66</f>
        <v>6817875</v>
      </c>
      <c r="AB116" s="202" t="s">
        <v>114</v>
      </c>
      <c r="AC116" s="204">
        <f t="shared" ref="AC116" si="1403">AC117*AC66</f>
        <v>6814024.9999999991</v>
      </c>
      <c r="AD116" s="202" t="s">
        <v>114</v>
      </c>
      <c r="AE116" s="204">
        <f t="shared" ref="AE116" si="1404">AE117*AE66</f>
        <v>6762925.0000000009</v>
      </c>
      <c r="AF116" s="202" t="s">
        <v>114</v>
      </c>
      <c r="AG116" s="204">
        <f t="shared" ref="AG116" si="1405">AG117*AG66</f>
        <v>6720925.0000000009</v>
      </c>
      <c r="AH116" s="202" t="s">
        <v>114</v>
      </c>
      <c r="AI116" s="204">
        <f t="shared" ref="AI116" si="1406">AI117*AI66</f>
        <v>6753124.9999999991</v>
      </c>
      <c r="AJ116" s="202" t="s">
        <v>114</v>
      </c>
      <c r="AK116" s="204">
        <f t="shared" ref="AK116" si="1407">AK117*AK66</f>
        <v>6679975.0000000009</v>
      </c>
      <c r="AL116" s="202" t="s">
        <v>114</v>
      </c>
      <c r="AM116" s="204">
        <f t="shared" ref="AM116" si="1408">AM117*AM66</f>
        <v>6666675</v>
      </c>
      <c r="AN116" s="202" t="s">
        <v>114</v>
      </c>
      <c r="AO116" s="204">
        <f t="shared" ref="AO116:AQ116" si="1409">AO117*AO66</f>
        <v>6692925</v>
      </c>
      <c r="AP116" s="202" t="s">
        <v>114</v>
      </c>
      <c r="AQ116" s="204">
        <f t="shared" si="1409"/>
        <v>6709200</v>
      </c>
      <c r="AR116" s="202" t="s">
        <v>114</v>
      </c>
      <c r="AS116" s="204">
        <f t="shared" ref="AS116:AU116" si="1410">AS117*AS66</f>
        <v>6746299.9999999991</v>
      </c>
      <c r="AT116" s="202" t="s">
        <v>114</v>
      </c>
      <c r="AU116" s="204">
        <f t="shared" si="1410"/>
        <v>6746299.9999999991</v>
      </c>
      <c r="AV116" s="202" t="s">
        <v>114</v>
      </c>
      <c r="AW116" s="204">
        <f t="shared" ref="AW116" si="1411">AW117*AW66</f>
        <v>6763624.9999999991</v>
      </c>
      <c r="AX116" s="202" t="s">
        <v>114</v>
      </c>
      <c r="AY116" s="204">
        <f t="shared" ref="AY116" si="1412">AY117*AY66</f>
        <v>6829774.9999999991</v>
      </c>
      <c r="AZ116" s="202" t="s">
        <v>114</v>
      </c>
      <c r="BA116" s="204">
        <f t="shared" ref="BA116:BC116" si="1413">BA117*BA66</f>
        <v>6825574.9999999991</v>
      </c>
      <c r="BB116" s="202" t="s">
        <v>114</v>
      </c>
      <c r="BC116" s="204">
        <f t="shared" si="1413"/>
        <v>6796000.0000000009</v>
      </c>
      <c r="BD116" s="202" t="s">
        <v>114</v>
      </c>
      <c r="BE116" s="204">
        <f t="shared" ref="BE116:BI116" si="1414">BE117*BE66</f>
        <v>6806850</v>
      </c>
      <c r="BF116" s="202" t="s">
        <v>114</v>
      </c>
      <c r="BG116" s="204">
        <f t="shared" ref="BG116" si="1415">BG117*BG66</f>
        <v>6806850</v>
      </c>
      <c r="BH116" s="202" t="s">
        <v>114</v>
      </c>
      <c r="BI116" s="204">
        <f t="shared" si="1414"/>
        <v>6827674.9999999991</v>
      </c>
      <c r="BJ116" s="202" t="s">
        <v>114</v>
      </c>
      <c r="BK116" s="204">
        <f t="shared" ref="BK116" si="1416">BK117*BK66</f>
        <v>6824350.0000000009</v>
      </c>
      <c r="BL116" s="202" t="s">
        <v>114</v>
      </c>
      <c r="BM116" s="204">
        <f>BM117*BM66</f>
        <v>6827674.9999999991</v>
      </c>
      <c r="BN116" s="202" t="s">
        <v>114</v>
      </c>
      <c r="BO116" s="204">
        <f>BO117*BO66</f>
        <v>6827674.9999999991</v>
      </c>
      <c r="BP116" s="202" t="s">
        <v>114</v>
      </c>
      <c r="BQ116" s="204">
        <f>BQ117*BQ66</f>
        <v>6827674.9999999991</v>
      </c>
      <c r="BR116" s="202" t="s">
        <v>114</v>
      </c>
      <c r="BS116" s="204">
        <f t="shared" ref="BS116:BU116" si="1417">BS117*BS66</f>
        <v>6824350.0000000009</v>
      </c>
      <c r="BT116" s="202" t="s">
        <v>114</v>
      </c>
      <c r="BU116" s="204">
        <f t="shared" si="1417"/>
        <v>6824350.0000000009</v>
      </c>
      <c r="BV116" s="202"/>
      <c r="BW116" s="204"/>
      <c r="BX116" s="657"/>
      <c r="BY116" s="657"/>
      <c r="BZ116" s="657"/>
      <c r="CA116" s="657"/>
      <c r="CB116" s="657"/>
      <c r="CC116" s="657"/>
      <c r="CD116" s="657"/>
      <c r="CE116" s="657"/>
      <c r="CF116" s="657"/>
      <c r="CG116" s="657"/>
    </row>
    <row r="117" spans="1:85" s="65" customFormat="1" ht="18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1372.4114583333335</v>
      </c>
      <c r="H117" s="202" t="s">
        <v>114</v>
      </c>
      <c r="I117" s="204">
        <f t="shared" ref="I117" si="1418">SUM(I118:I123)</f>
        <v>1373.2864583333335</v>
      </c>
      <c r="J117" s="202" t="s">
        <v>114</v>
      </c>
      <c r="K117" s="204">
        <f t="shared" ref="K117" si="1419">SUM(K118:K123)</f>
        <v>1373.0677083333335</v>
      </c>
      <c r="L117" s="202" t="s">
        <v>114</v>
      </c>
      <c r="M117" s="204">
        <f t="shared" ref="M117" si="1420">SUM(M118:M123)</f>
        <v>1373.796875</v>
      </c>
      <c r="N117" s="202" t="s">
        <v>114</v>
      </c>
      <c r="O117" s="204">
        <f t="shared" ref="O117" si="1421">SUM(O118:O123)</f>
        <v>1382.9114583333335</v>
      </c>
      <c r="P117" s="202" t="s">
        <v>114</v>
      </c>
      <c r="Q117" s="204">
        <f t="shared" ref="Q117" si="1422">SUM(Q118:Q123)</f>
        <v>1384.953125</v>
      </c>
      <c r="R117" s="202" t="s">
        <v>114</v>
      </c>
      <c r="S117" s="204">
        <f t="shared" ref="S117" si="1423">SUM(S118:S123)</f>
        <v>1396.109375</v>
      </c>
      <c r="T117" s="202" t="s">
        <v>114</v>
      </c>
      <c r="U117" s="204">
        <f t="shared" ref="U117" si="1424">SUM(U118:U123)</f>
        <v>1391.515625</v>
      </c>
      <c r="V117" s="202" t="s">
        <v>114</v>
      </c>
      <c r="W117" s="204">
        <f t="shared" ref="W117" si="1425">SUM(W118:W123)</f>
        <v>1398.2239583333335</v>
      </c>
      <c r="X117" s="202" t="s">
        <v>114</v>
      </c>
      <c r="Y117" s="204">
        <f t="shared" ref="Y117" si="1426">SUM(Y118:Y123)</f>
        <v>1412.1145833333335</v>
      </c>
      <c r="Z117" s="202" t="s">
        <v>114</v>
      </c>
      <c r="AA117" s="204">
        <f t="shared" ref="AA117" si="1427">SUM(AA118:AA123)</f>
        <v>1420.390625</v>
      </c>
      <c r="AB117" s="202" t="s">
        <v>114</v>
      </c>
      <c r="AC117" s="204">
        <f t="shared" ref="AC117" si="1428">SUM(AC118:AC123)</f>
        <v>1419.5885416666665</v>
      </c>
      <c r="AD117" s="202" t="s">
        <v>114</v>
      </c>
      <c r="AE117" s="204">
        <f t="shared" ref="AE117" si="1429">SUM(AE118:AE123)</f>
        <v>1408.9427083333335</v>
      </c>
      <c r="AF117" s="202" t="s">
        <v>114</v>
      </c>
      <c r="AG117" s="204">
        <f t="shared" ref="AG117" si="1430">SUM(AG118:AG123)</f>
        <v>1400.1927083333335</v>
      </c>
      <c r="AH117" s="202" t="s">
        <v>114</v>
      </c>
      <c r="AI117" s="204">
        <f t="shared" ref="AI117" si="1431">SUM(AI118:AI123)</f>
        <v>1406.9010416666665</v>
      </c>
      <c r="AJ117" s="202" t="s">
        <v>114</v>
      </c>
      <c r="AK117" s="204">
        <f t="shared" ref="AK117" si="1432">SUM(AK118:AK123)</f>
        <v>1391.6614583333335</v>
      </c>
      <c r="AL117" s="202" t="s">
        <v>114</v>
      </c>
      <c r="AM117" s="204">
        <f t="shared" ref="AM117" si="1433">SUM(AM118:AM123)</f>
        <v>1388.890625</v>
      </c>
      <c r="AN117" s="202" t="s">
        <v>114</v>
      </c>
      <c r="AO117" s="204">
        <f t="shared" ref="AO117:AQ117" si="1434">SUM(AO118:AO123)</f>
        <v>1394.359375</v>
      </c>
      <c r="AP117" s="202" t="s">
        <v>114</v>
      </c>
      <c r="AQ117" s="204">
        <f t="shared" si="1434"/>
        <v>1397.75</v>
      </c>
      <c r="AR117" s="202" t="s">
        <v>114</v>
      </c>
      <c r="AS117" s="204">
        <f t="shared" ref="AS117:AU117" si="1435">SUM(AS118:AS123)</f>
        <v>1405.4791666666665</v>
      </c>
      <c r="AT117" s="202" t="s">
        <v>114</v>
      </c>
      <c r="AU117" s="204">
        <f t="shared" si="1435"/>
        <v>1405.4791666666665</v>
      </c>
      <c r="AV117" s="202" t="s">
        <v>114</v>
      </c>
      <c r="AW117" s="204">
        <f t="shared" ref="AW117" si="1436">SUM(AW118:AW123)</f>
        <v>1409.0885416666665</v>
      </c>
      <c r="AX117" s="202" t="s">
        <v>114</v>
      </c>
      <c r="AY117" s="204">
        <f t="shared" ref="AY117" si="1437">SUM(AY118:AY123)</f>
        <v>1422.8697916666665</v>
      </c>
      <c r="AZ117" s="202" t="s">
        <v>114</v>
      </c>
      <c r="BA117" s="204">
        <f t="shared" ref="BA117:BC117" si="1438">SUM(BA118:BA123)</f>
        <v>1421.9947916666665</v>
      </c>
      <c r="BB117" s="202" t="s">
        <v>114</v>
      </c>
      <c r="BC117" s="204">
        <f t="shared" si="1438"/>
        <v>1415.8333333333335</v>
      </c>
      <c r="BD117" s="202" t="s">
        <v>114</v>
      </c>
      <c r="BE117" s="204">
        <f t="shared" ref="BE117:BI117" si="1439">SUM(BE118:BE123)</f>
        <v>1418.09375</v>
      </c>
      <c r="BF117" s="202" t="s">
        <v>114</v>
      </c>
      <c r="BG117" s="204">
        <f t="shared" ref="BG117" si="1440">SUM(BG118:BG123)</f>
        <v>1418.09375</v>
      </c>
      <c r="BH117" s="202" t="s">
        <v>114</v>
      </c>
      <c r="BI117" s="204">
        <f t="shared" si="1439"/>
        <v>1422.4322916666665</v>
      </c>
      <c r="BJ117" s="202" t="s">
        <v>114</v>
      </c>
      <c r="BK117" s="204">
        <f t="shared" ref="BK117" si="1441">SUM(BK118:BK123)</f>
        <v>1421.7395833333335</v>
      </c>
      <c r="BL117" s="202" t="s">
        <v>114</v>
      </c>
      <c r="BM117" s="204">
        <f>SUM(BM118:BM123)</f>
        <v>1422.4322916666665</v>
      </c>
      <c r="BN117" s="202" t="s">
        <v>114</v>
      </c>
      <c r="BO117" s="204">
        <f>SUM(BO118:BO123)</f>
        <v>1422.4322916666665</v>
      </c>
      <c r="BP117" s="202" t="s">
        <v>114</v>
      </c>
      <c r="BQ117" s="204">
        <f>SUM(BQ118:BQ123)</f>
        <v>1422.4322916666665</v>
      </c>
      <c r="BR117" s="202" t="s">
        <v>114</v>
      </c>
      <c r="BS117" s="204">
        <f t="shared" ref="BS117:BU117" si="1442">SUM(BS118:BS123)</f>
        <v>1421.7395833333335</v>
      </c>
      <c r="BT117" s="202" t="s">
        <v>114</v>
      </c>
      <c r="BU117" s="204">
        <f t="shared" si="1442"/>
        <v>1421.7395833333335</v>
      </c>
      <c r="BV117" s="202"/>
      <c r="BW117" s="204"/>
      <c r="BX117" s="657"/>
      <c r="BY117" s="657"/>
      <c r="BZ117" s="657"/>
      <c r="CA117" s="657"/>
      <c r="CB117" s="657"/>
      <c r="CC117" s="657"/>
      <c r="CD117" s="657"/>
      <c r="CE117" s="657"/>
      <c r="CF117" s="657"/>
      <c r="CG117" s="657"/>
    </row>
    <row r="118" spans="1:85" s="65" customFormat="1" ht="18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/>
      <c r="BW118" s="204"/>
      <c r="BX118" s="657"/>
      <c r="BY118" s="657"/>
      <c r="BZ118" s="657"/>
      <c r="CA118" s="657"/>
      <c r="CB118" s="657"/>
      <c r="CC118" s="657"/>
      <c r="CD118" s="657"/>
      <c r="CE118" s="657"/>
      <c r="CF118" s="657"/>
      <c r="CG118" s="657"/>
    </row>
    <row r="119" spans="1:85" s="65" customFormat="1" ht="18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404.16666666666669</v>
      </c>
      <c r="H119" s="202" t="s">
        <v>114</v>
      </c>
      <c r="I119" s="204">
        <f t="shared" ref="I119" si="1443">1940000/I66</f>
        <v>404.16666666666669</v>
      </c>
      <c r="J119" s="202" t="s">
        <v>114</v>
      </c>
      <c r="K119" s="204">
        <f t="shared" ref="K119" si="1444">1940000/K66</f>
        <v>404.16666666666669</v>
      </c>
      <c r="L119" s="202" t="s">
        <v>114</v>
      </c>
      <c r="M119" s="204">
        <f t="shared" ref="M119" si="1445">1940000/M66</f>
        <v>404.16666666666669</v>
      </c>
      <c r="N119" s="202" t="s">
        <v>114</v>
      </c>
      <c r="O119" s="204">
        <f t="shared" ref="O119" si="1446">1940000/O66</f>
        <v>404.16666666666669</v>
      </c>
      <c r="P119" s="202" t="s">
        <v>114</v>
      </c>
      <c r="Q119" s="204">
        <f t="shared" ref="Q119" si="1447">1940000/Q66</f>
        <v>404.16666666666669</v>
      </c>
      <c r="R119" s="202" t="s">
        <v>114</v>
      </c>
      <c r="S119" s="204">
        <f t="shared" ref="S119" si="1448">1940000/S66</f>
        <v>404.16666666666669</v>
      </c>
      <c r="T119" s="202" t="s">
        <v>114</v>
      </c>
      <c r="U119" s="204">
        <f t="shared" ref="U119" si="1449">1940000/U66</f>
        <v>404.16666666666669</v>
      </c>
      <c r="V119" s="202" t="s">
        <v>114</v>
      </c>
      <c r="W119" s="204">
        <f t="shared" ref="W119" si="1450">1940000/W66</f>
        <v>404.16666666666669</v>
      </c>
      <c r="X119" s="202" t="s">
        <v>114</v>
      </c>
      <c r="Y119" s="204">
        <f t="shared" ref="Y119" si="1451">1940000/Y66</f>
        <v>404.16666666666669</v>
      </c>
      <c r="Z119" s="202" t="s">
        <v>114</v>
      </c>
      <c r="AA119" s="204">
        <f t="shared" ref="AA119" si="1452">1940000/AA66</f>
        <v>404.16666666666669</v>
      </c>
      <c r="AB119" s="202" t="s">
        <v>114</v>
      </c>
      <c r="AC119" s="204">
        <f t="shared" ref="AC119:AI119" si="1453">1940000/AC66</f>
        <v>404.16666666666669</v>
      </c>
      <c r="AD119" s="202" t="s">
        <v>114</v>
      </c>
      <c r="AE119" s="204">
        <f t="shared" si="1453"/>
        <v>404.16666666666669</v>
      </c>
      <c r="AF119" s="202" t="s">
        <v>114</v>
      </c>
      <c r="AG119" s="204">
        <f t="shared" si="1453"/>
        <v>404.16666666666669</v>
      </c>
      <c r="AH119" s="202" t="s">
        <v>114</v>
      </c>
      <c r="AI119" s="204">
        <f t="shared" si="1453"/>
        <v>404.16666666666669</v>
      </c>
      <c r="AJ119" s="202" t="s">
        <v>114</v>
      </c>
      <c r="AK119" s="204">
        <f t="shared" ref="AK119" si="1454">1940000/AK66</f>
        <v>404.16666666666669</v>
      </c>
      <c r="AL119" s="202" t="s">
        <v>114</v>
      </c>
      <c r="AM119" s="204">
        <f t="shared" ref="AM119" si="1455">1940000/AM66</f>
        <v>404.16666666666669</v>
      </c>
      <c r="AN119" s="202" t="s">
        <v>114</v>
      </c>
      <c r="AO119" s="204">
        <f t="shared" ref="AO119:AQ119" si="1456">1940000/AO66</f>
        <v>404.16666666666669</v>
      </c>
      <c r="AP119" s="202" t="s">
        <v>114</v>
      </c>
      <c r="AQ119" s="204">
        <f t="shared" si="1456"/>
        <v>404.16666666666669</v>
      </c>
      <c r="AR119" s="202" t="s">
        <v>114</v>
      </c>
      <c r="AS119" s="204">
        <f t="shared" ref="AS119:AU119" si="1457">1940000/AS66</f>
        <v>404.16666666666669</v>
      </c>
      <c r="AT119" s="202" t="s">
        <v>114</v>
      </c>
      <c r="AU119" s="204">
        <f t="shared" si="1457"/>
        <v>404.16666666666669</v>
      </c>
      <c r="AV119" s="202" t="s">
        <v>114</v>
      </c>
      <c r="AW119" s="204">
        <f t="shared" ref="AW119" si="1458">1940000/AW66</f>
        <v>404.16666666666669</v>
      </c>
      <c r="AX119" s="202" t="s">
        <v>114</v>
      </c>
      <c r="AY119" s="204">
        <f t="shared" ref="AY119" si="1459">1940000/AY66</f>
        <v>404.16666666666669</v>
      </c>
      <c r="AZ119" s="202" t="s">
        <v>114</v>
      </c>
      <c r="BA119" s="204">
        <f t="shared" ref="BA119:BC119" si="1460">1940000/BA66</f>
        <v>404.16666666666669</v>
      </c>
      <c r="BB119" s="202" t="s">
        <v>114</v>
      </c>
      <c r="BC119" s="204">
        <f t="shared" si="1460"/>
        <v>404.16666666666669</v>
      </c>
      <c r="BD119" s="202" t="s">
        <v>114</v>
      </c>
      <c r="BE119" s="204">
        <f t="shared" ref="BE119:BI119" si="1461">1940000/BE66</f>
        <v>404.16666666666669</v>
      </c>
      <c r="BF119" s="202" t="s">
        <v>114</v>
      </c>
      <c r="BG119" s="204">
        <f t="shared" ref="BG119" si="1462">1940000/BG66</f>
        <v>404.16666666666669</v>
      </c>
      <c r="BH119" s="202" t="s">
        <v>114</v>
      </c>
      <c r="BI119" s="204">
        <f t="shared" si="1461"/>
        <v>404.16666666666669</v>
      </c>
      <c r="BJ119" s="202" t="s">
        <v>114</v>
      </c>
      <c r="BK119" s="204">
        <f t="shared" ref="BK119" si="1463">1940000/BK66</f>
        <v>404.16666666666669</v>
      </c>
      <c r="BL119" s="202" t="s">
        <v>114</v>
      </c>
      <c r="BM119" s="204">
        <f>1940000/BM66</f>
        <v>404.16666666666669</v>
      </c>
      <c r="BN119" s="202" t="s">
        <v>114</v>
      </c>
      <c r="BO119" s="204">
        <f>1940000/BO66</f>
        <v>404.16666666666669</v>
      </c>
      <c r="BP119" s="202" t="s">
        <v>114</v>
      </c>
      <c r="BQ119" s="204">
        <f>1940000/BQ66</f>
        <v>404.16666666666669</v>
      </c>
      <c r="BR119" s="202" t="s">
        <v>114</v>
      </c>
      <c r="BS119" s="204">
        <f t="shared" ref="BS119:BU119" si="1464">1940000/BS66</f>
        <v>404.16666666666669</v>
      </c>
      <c r="BT119" s="202" t="s">
        <v>114</v>
      </c>
      <c r="BU119" s="204">
        <f t="shared" si="1464"/>
        <v>404.16666666666669</v>
      </c>
      <c r="BV119" s="202"/>
      <c r="BW119" s="204"/>
      <c r="BX119" s="657"/>
      <c r="BY119" s="657"/>
      <c r="BZ119" s="657"/>
      <c r="CA119" s="657"/>
      <c r="CB119" s="657"/>
      <c r="CC119" s="657"/>
      <c r="CD119" s="657"/>
      <c r="CE119" s="657"/>
      <c r="CF119" s="657"/>
      <c r="CG119" s="657"/>
    </row>
    <row r="120" spans="1:85" s="65" customFormat="1" ht="18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57.291666666666664</v>
      </c>
      <c r="H120" s="202" t="s">
        <v>114</v>
      </c>
      <c r="I120" s="204">
        <f t="shared" ref="I120" si="1465">275000/I66</f>
        <v>57.291666666666664</v>
      </c>
      <c r="J120" s="202" t="s">
        <v>114</v>
      </c>
      <c r="K120" s="204">
        <f t="shared" ref="K120" si="1466">275000/K66</f>
        <v>57.291666666666664</v>
      </c>
      <c r="L120" s="202" t="s">
        <v>114</v>
      </c>
      <c r="M120" s="204">
        <f t="shared" ref="M120" si="1467">275000/M66</f>
        <v>57.291666666666664</v>
      </c>
      <c r="N120" s="202" t="s">
        <v>114</v>
      </c>
      <c r="O120" s="204">
        <f t="shared" ref="O120" si="1468">275000/O66</f>
        <v>57.291666666666664</v>
      </c>
      <c r="P120" s="202" t="s">
        <v>114</v>
      </c>
      <c r="Q120" s="204">
        <f t="shared" ref="Q120" si="1469">275000/Q66</f>
        <v>57.291666666666664</v>
      </c>
      <c r="R120" s="202" t="s">
        <v>114</v>
      </c>
      <c r="S120" s="204">
        <f t="shared" ref="S120" si="1470">275000/S66</f>
        <v>57.291666666666664</v>
      </c>
      <c r="T120" s="202" t="s">
        <v>114</v>
      </c>
      <c r="U120" s="204">
        <f t="shared" ref="U120" si="1471">275000/U66</f>
        <v>57.291666666666664</v>
      </c>
      <c r="V120" s="202" t="s">
        <v>114</v>
      </c>
      <c r="W120" s="204">
        <f t="shared" ref="W120" si="1472">275000/W66</f>
        <v>57.291666666666664</v>
      </c>
      <c r="X120" s="202" t="s">
        <v>114</v>
      </c>
      <c r="Y120" s="204">
        <f t="shared" ref="Y120" si="1473">275000/Y66</f>
        <v>57.291666666666664</v>
      </c>
      <c r="Z120" s="202" t="s">
        <v>114</v>
      </c>
      <c r="AA120" s="204">
        <f t="shared" ref="AA120" si="1474">275000/AA66</f>
        <v>57.291666666666664</v>
      </c>
      <c r="AB120" s="202" t="s">
        <v>114</v>
      </c>
      <c r="AC120" s="204">
        <f t="shared" ref="AC120:AI120" si="1475">275000/AC66</f>
        <v>57.291666666666664</v>
      </c>
      <c r="AD120" s="202" t="s">
        <v>114</v>
      </c>
      <c r="AE120" s="204">
        <f t="shared" si="1475"/>
        <v>57.291666666666664</v>
      </c>
      <c r="AF120" s="202" t="s">
        <v>114</v>
      </c>
      <c r="AG120" s="204">
        <f t="shared" si="1475"/>
        <v>57.291666666666664</v>
      </c>
      <c r="AH120" s="202" t="s">
        <v>114</v>
      </c>
      <c r="AI120" s="204">
        <f t="shared" si="1475"/>
        <v>57.291666666666664</v>
      </c>
      <c r="AJ120" s="202" t="s">
        <v>114</v>
      </c>
      <c r="AK120" s="204">
        <f t="shared" ref="AK120" si="1476">275000/AK66</f>
        <v>57.291666666666664</v>
      </c>
      <c r="AL120" s="202" t="s">
        <v>114</v>
      </c>
      <c r="AM120" s="204">
        <f t="shared" ref="AM120" si="1477">275000/AM66</f>
        <v>57.291666666666664</v>
      </c>
      <c r="AN120" s="202" t="s">
        <v>114</v>
      </c>
      <c r="AO120" s="204">
        <f t="shared" ref="AO120:AQ120" si="1478">275000/AO66</f>
        <v>57.291666666666664</v>
      </c>
      <c r="AP120" s="202" t="s">
        <v>114</v>
      </c>
      <c r="AQ120" s="204">
        <f t="shared" si="1478"/>
        <v>57.291666666666664</v>
      </c>
      <c r="AR120" s="202" t="s">
        <v>114</v>
      </c>
      <c r="AS120" s="204">
        <f t="shared" ref="AS120:AU120" si="1479">275000/AS66</f>
        <v>57.291666666666664</v>
      </c>
      <c r="AT120" s="202" t="s">
        <v>114</v>
      </c>
      <c r="AU120" s="204">
        <f t="shared" si="1479"/>
        <v>57.291666666666664</v>
      </c>
      <c r="AV120" s="202" t="s">
        <v>114</v>
      </c>
      <c r="AW120" s="204">
        <f t="shared" ref="AW120" si="1480">275000/AW66</f>
        <v>57.291666666666664</v>
      </c>
      <c r="AX120" s="202" t="s">
        <v>114</v>
      </c>
      <c r="AY120" s="204">
        <f t="shared" ref="AY120" si="1481">275000/AY66</f>
        <v>57.291666666666664</v>
      </c>
      <c r="AZ120" s="202" t="s">
        <v>114</v>
      </c>
      <c r="BA120" s="204">
        <f t="shared" ref="BA120:BC120" si="1482">275000/BA66</f>
        <v>57.291666666666664</v>
      </c>
      <c r="BB120" s="202" t="s">
        <v>114</v>
      </c>
      <c r="BC120" s="204">
        <f t="shared" si="1482"/>
        <v>57.291666666666664</v>
      </c>
      <c r="BD120" s="202" t="s">
        <v>114</v>
      </c>
      <c r="BE120" s="204">
        <f t="shared" ref="BE120:BI120" si="1483">275000/BE66</f>
        <v>57.291666666666664</v>
      </c>
      <c r="BF120" s="202" t="s">
        <v>114</v>
      </c>
      <c r="BG120" s="204">
        <f t="shared" ref="BG120" si="1484">275000/BG66</f>
        <v>57.291666666666664</v>
      </c>
      <c r="BH120" s="202" t="s">
        <v>114</v>
      </c>
      <c r="BI120" s="204">
        <f t="shared" si="1483"/>
        <v>57.291666666666664</v>
      </c>
      <c r="BJ120" s="202" t="s">
        <v>114</v>
      </c>
      <c r="BK120" s="204">
        <f t="shared" ref="BK120" si="1485">275000/BK66</f>
        <v>57.291666666666664</v>
      </c>
      <c r="BL120" s="202" t="s">
        <v>114</v>
      </c>
      <c r="BM120" s="204">
        <f>275000/BM66</f>
        <v>57.291666666666664</v>
      </c>
      <c r="BN120" s="202" t="s">
        <v>114</v>
      </c>
      <c r="BO120" s="204">
        <f>275000/BO66</f>
        <v>57.291666666666664</v>
      </c>
      <c r="BP120" s="202" t="s">
        <v>114</v>
      </c>
      <c r="BQ120" s="204">
        <f>275000/BQ66</f>
        <v>57.291666666666664</v>
      </c>
      <c r="BR120" s="202" t="s">
        <v>114</v>
      </c>
      <c r="BS120" s="204">
        <f t="shared" ref="BS120:BU120" si="1486">275000/BS66</f>
        <v>57.291666666666664</v>
      </c>
      <c r="BT120" s="202" t="s">
        <v>114</v>
      </c>
      <c r="BU120" s="204">
        <f t="shared" si="1486"/>
        <v>57.291666666666664</v>
      </c>
      <c r="BV120" s="202"/>
      <c r="BW120" s="204"/>
      <c r="BX120" s="657"/>
      <c r="BY120" s="657"/>
      <c r="BZ120" s="657"/>
      <c r="CA120" s="657"/>
      <c r="CB120" s="657"/>
      <c r="CC120" s="657"/>
      <c r="CD120" s="657"/>
      <c r="CE120" s="657"/>
      <c r="CF120" s="657"/>
      <c r="CG120" s="657"/>
    </row>
    <row r="121" spans="1:85" s="65" customFormat="1" ht="18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266.66666666666669</v>
      </c>
      <c r="H121" s="202" t="s">
        <v>114</v>
      </c>
      <c r="I121" s="204">
        <f t="shared" ref="I121" si="1487">1280000/I66</f>
        <v>266.66666666666669</v>
      </c>
      <c r="J121" s="202" t="s">
        <v>114</v>
      </c>
      <c r="K121" s="204">
        <f t="shared" ref="K121" si="1488">1280000/K66</f>
        <v>266.66666666666669</v>
      </c>
      <c r="L121" s="202" t="s">
        <v>114</v>
      </c>
      <c r="M121" s="204">
        <f t="shared" ref="M121" si="1489">1280000/M66</f>
        <v>266.66666666666669</v>
      </c>
      <c r="N121" s="202" t="s">
        <v>114</v>
      </c>
      <c r="O121" s="204">
        <f t="shared" ref="O121" si="1490">1280000/O66</f>
        <v>266.66666666666669</v>
      </c>
      <c r="P121" s="202" t="s">
        <v>114</v>
      </c>
      <c r="Q121" s="204">
        <f t="shared" ref="Q121" si="1491">1280000/Q66</f>
        <v>266.66666666666669</v>
      </c>
      <c r="R121" s="202" t="s">
        <v>114</v>
      </c>
      <c r="S121" s="204">
        <f t="shared" ref="S121" si="1492">1280000/S66</f>
        <v>266.66666666666669</v>
      </c>
      <c r="T121" s="202" t="s">
        <v>114</v>
      </c>
      <c r="U121" s="204">
        <f t="shared" ref="U121" si="1493">1280000/U66</f>
        <v>266.66666666666669</v>
      </c>
      <c r="V121" s="202" t="s">
        <v>114</v>
      </c>
      <c r="W121" s="204">
        <f t="shared" ref="W121" si="1494">1280000/W66</f>
        <v>266.66666666666669</v>
      </c>
      <c r="X121" s="202" t="s">
        <v>114</v>
      </c>
      <c r="Y121" s="204">
        <f t="shared" ref="Y121" si="1495">1280000/Y66</f>
        <v>266.66666666666669</v>
      </c>
      <c r="Z121" s="202" t="s">
        <v>114</v>
      </c>
      <c r="AA121" s="204">
        <f t="shared" ref="AA121" si="1496">1280000/AA66</f>
        <v>266.66666666666669</v>
      </c>
      <c r="AB121" s="202" t="s">
        <v>114</v>
      </c>
      <c r="AC121" s="204">
        <f t="shared" ref="AC121:AI121" si="1497">1280000/AC66</f>
        <v>266.66666666666669</v>
      </c>
      <c r="AD121" s="202" t="s">
        <v>114</v>
      </c>
      <c r="AE121" s="204">
        <f t="shared" si="1497"/>
        <v>266.66666666666669</v>
      </c>
      <c r="AF121" s="202" t="s">
        <v>114</v>
      </c>
      <c r="AG121" s="204">
        <f t="shared" si="1497"/>
        <v>266.66666666666669</v>
      </c>
      <c r="AH121" s="202" t="s">
        <v>114</v>
      </c>
      <c r="AI121" s="204">
        <f t="shared" si="1497"/>
        <v>266.66666666666669</v>
      </c>
      <c r="AJ121" s="202" t="s">
        <v>114</v>
      </c>
      <c r="AK121" s="204">
        <f t="shared" ref="AK121" si="1498">1280000/AK66</f>
        <v>266.66666666666669</v>
      </c>
      <c r="AL121" s="202" t="s">
        <v>114</v>
      </c>
      <c r="AM121" s="204">
        <f t="shared" ref="AM121" si="1499">1280000/AM66</f>
        <v>266.66666666666669</v>
      </c>
      <c r="AN121" s="202" t="s">
        <v>114</v>
      </c>
      <c r="AO121" s="204">
        <f t="shared" ref="AO121:AQ121" si="1500">1280000/AO66</f>
        <v>266.66666666666669</v>
      </c>
      <c r="AP121" s="202" t="s">
        <v>114</v>
      </c>
      <c r="AQ121" s="204">
        <f t="shared" si="1500"/>
        <v>266.66666666666669</v>
      </c>
      <c r="AR121" s="202" t="s">
        <v>114</v>
      </c>
      <c r="AS121" s="204">
        <f t="shared" ref="AS121:AU121" si="1501">1280000/AS66</f>
        <v>266.66666666666669</v>
      </c>
      <c r="AT121" s="202" t="s">
        <v>114</v>
      </c>
      <c r="AU121" s="204">
        <f t="shared" si="1501"/>
        <v>266.66666666666669</v>
      </c>
      <c r="AV121" s="202" t="s">
        <v>114</v>
      </c>
      <c r="AW121" s="204">
        <f t="shared" ref="AW121" si="1502">1280000/AW66</f>
        <v>266.66666666666669</v>
      </c>
      <c r="AX121" s="202" t="s">
        <v>114</v>
      </c>
      <c r="AY121" s="204">
        <f t="shared" ref="AY121" si="1503">1280000/AY66</f>
        <v>266.66666666666669</v>
      </c>
      <c r="AZ121" s="202" t="s">
        <v>114</v>
      </c>
      <c r="BA121" s="204">
        <f t="shared" ref="BA121:BC121" si="1504">1280000/BA66</f>
        <v>266.66666666666669</v>
      </c>
      <c r="BB121" s="202" t="s">
        <v>114</v>
      </c>
      <c r="BC121" s="204">
        <f t="shared" si="1504"/>
        <v>266.66666666666669</v>
      </c>
      <c r="BD121" s="202" t="s">
        <v>114</v>
      </c>
      <c r="BE121" s="204">
        <f t="shared" ref="BE121:BI121" si="1505">1280000/BE66</f>
        <v>266.66666666666669</v>
      </c>
      <c r="BF121" s="202" t="s">
        <v>114</v>
      </c>
      <c r="BG121" s="204">
        <f t="shared" ref="BG121" si="1506">1280000/BG66</f>
        <v>266.66666666666669</v>
      </c>
      <c r="BH121" s="202" t="s">
        <v>114</v>
      </c>
      <c r="BI121" s="204">
        <f t="shared" si="1505"/>
        <v>266.66666666666669</v>
      </c>
      <c r="BJ121" s="202" t="s">
        <v>114</v>
      </c>
      <c r="BK121" s="204">
        <f t="shared" ref="BK121" si="1507">1280000/BK66</f>
        <v>266.66666666666669</v>
      </c>
      <c r="BL121" s="202" t="s">
        <v>114</v>
      </c>
      <c r="BM121" s="204">
        <f>1280000/BM66</f>
        <v>266.66666666666669</v>
      </c>
      <c r="BN121" s="202" t="s">
        <v>114</v>
      </c>
      <c r="BO121" s="204">
        <f>1280000/BO66</f>
        <v>266.66666666666669</v>
      </c>
      <c r="BP121" s="202" t="s">
        <v>114</v>
      </c>
      <c r="BQ121" s="204">
        <f>1280000/BQ66</f>
        <v>266.66666666666669</v>
      </c>
      <c r="BR121" s="202" t="s">
        <v>114</v>
      </c>
      <c r="BS121" s="204">
        <f t="shared" ref="BS121:BU121" si="1508">1280000/BS66</f>
        <v>266.66666666666669</v>
      </c>
      <c r="BT121" s="202" t="s">
        <v>114</v>
      </c>
      <c r="BU121" s="204">
        <f t="shared" si="1508"/>
        <v>266.66666666666669</v>
      </c>
      <c r="BV121" s="202"/>
      <c r="BW121" s="204"/>
      <c r="BX121" s="657"/>
      <c r="BY121" s="657"/>
      <c r="BZ121" s="657"/>
      <c r="CA121" s="657"/>
      <c r="CB121" s="657"/>
      <c r="CC121" s="657"/>
      <c r="CD121" s="657"/>
      <c r="CE121" s="657"/>
      <c r="CF121" s="657"/>
      <c r="CG121" s="657"/>
    </row>
    <row r="122" spans="1:85" s="65" customFormat="1" ht="18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46.875</v>
      </c>
      <c r="H122" s="202" t="s">
        <v>114</v>
      </c>
      <c r="I122" s="204">
        <f t="shared" ref="I122" si="1509">225000/I66</f>
        <v>46.875</v>
      </c>
      <c r="J122" s="202" t="s">
        <v>114</v>
      </c>
      <c r="K122" s="204">
        <f t="shared" ref="K122" si="1510">225000/K66</f>
        <v>46.875</v>
      </c>
      <c r="L122" s="202" t="s">
        <v>114</v>
      </c>
      <c r="M122" s="204">
        <f t="shared" ref="M122" si="1511">225000/M66</f>
        <v>46.875</v>
      </c>
      <c r="N122" s="202" t="s">
        <v>114</v>
      </c>
      <c r="O122" s="204">
        <f t="shared" ref="O122" si="1512">225000/O66</f>
        <v>46.875</v>
      </c>
      <c r="P122" s="202" t="s">
        <v>114</v>
      </c>
      <c r="Q122" s="204">
        <f t="shared" ref="Q122" si="1513">225000/Q66</f>
        <v>46.875</v>
      </c>
      <c r="R122" s="202" t="s">
        <v>114</v>
      </c>
      <c r="S122" s="204">
        <f t="shared" ref="S122" si="1514">225000/S66</f>
        <v>46.875</v>
      </c>
      <c r="T122" s="202" t="s">
        <v>114</v>
      </c>
      <c r="U122" s="204">
        <f t="shared" ref="U122" si="1515">225000/U66</f>
        <v>46.875</v>
      </c>
      <c r="V122" s="202" t="s">
        <v>114</v>
      </c>
      <c r="W122" s="204">
        <f t="shared" ref="W122" si="1516">225000/W66</f>
        <v>46.875</v>
      </c>
      <c r="X122" s="202" t="s">
        <v>114</v>
      </c>
      <c r="Y122" s="204">
        <f t="shared" ref="Y122" si="1517">225000/Y66</f>
        <v>46.875</v>
      </c>
      <c r="Z122" s="202" t="s">
        <v>114</v>
      </c>
      <c r="AA122" s="204">
        <f t="shared" ref="AA122" si="1518">225000/AA66</f>
        <v>46.875</v>
      </c>
      <c r="AB122" s="202" t="s">
        <v>114</v>
      </c>
      <c r="AC122" s="204">
        <f t="shared" ref="AC122:AI122" si="1519">225000/AC66</f>
        <v>46.875</v>
      </c>
      <c r="AD122" s="202" t="s">
        <v>114</v>
      </c>
      <c r="AE122" s="204">
        <f t="shared" si="1519"/>
        <v>46.875</v>
      </c>
      <c r="AF122" s="202" t="s">
        <v>114</v>
      </c>
      <c r="AG122" s="204">
        <f t="shared" si="1519"/>
        <v>46.875</v>
      </c>
      <c r="AH122" s="202" t="s">
        <v>114</v>
      </c>
      <c r="AI122" s="204">
        <f t="shared" si="1519"/>
        <v>46.875</v>
      </c>
      <c r="AJ122" s="202" t="s">
        <v>114</v>
      </c>
      <c r="AK122" s="204">
        <f t="shared" ref="AK122" si="1520">225000/AK66</f>
        <v>46.875</v>
      </c>
      <c r="AL122" s="202" t="s">
        <v>114</v>
      </c>
      <c r="AM122" s="204">
        <f t="shared" ref="AM122" si="1521">225000/AM66</f>
        <v>46.875</v>
      </c>
      <c r="AN122" s="202" t="s">
        <v>114</v>
      </c>
      <c r="AO122" s="204">
        <f t="shared" ref="AO122:AQ122" si="1522">225000/AO66</f>
        <v>46.875</v>
      </c>
      <c r="AP122" s="202" t="s">
        <v>114</v>
      </c>
      <c r="AQ122" s="204">
        <f t="shared" si="1522"/>
        <v>46.875</v>
      </c>
      <c r="AR122" s="202" t="s">
        <v>114</v>
      </c>
      <c r="AS122" s="204">
        <f t="shared" ref="AS122:AU122" si="1523">225000/AS66</f>
        <v>46.875</v>
      </c>
      <c r="AT122" s="202" t="s">
        <v>114</v>
      </c>
      <c r="AU122" s="204">
        <f t="shared" si="1523"/>
        <v>46.875</v>
      </c>
      <c r="AV122" s="202" t="s">
        <v>114</v>
      </c>
      <c r="AW122" s="204">
        <f t="shared" ref="AW122" si="1524">225000/AW66</f>
        <v>46.875</v>
      </c>
      <c r="AX122" s="202" t="s">
        <v>114</v>
      </c>
      <c r="AY122" s="204">
        <f t="shared" ref="AY122" si="1525">225000/AY66</f>
        <v>46.875</v>
      </c>
      <c r="AZ122" s="202" t="s">
        <v>114</v>
      </c>
      <c r="BA122" s="204">
        <f t="shared" ref="BA122:BC122" si="1526">225000/BA66</f>
        <v>46.875</v>
      </c>
      <c r="BB122" s="202" t="s">
        <v>114</v>
      </c>
      <c r="BC122" s="204">
        <f t="shared" si="1526"/>
        <v>46.875</v>
      </c>
      <c r="BD122" s="202" t="s">
        <v>114</v>
      </c>
      <c r="BE122" s="204">
        <f t="shared" ref="BE122:BI122" si="1527">225000/BE66</f>
        <v>46.875</v>
      </c>
      <c r="BF122" s="202" t="s">
        <v>114</v>
      </c>
      <c r="BG122" s="204">
        <f t="shared" ref="BG122" si="1528">225000/BG66</f>
        <v>46.875</v>
      </c>
      <c r="BH122" s="202" t="s">
        <v>114</v>
      </c>
      <c r="BI122" s="204">
        <f t="shared" si="1527"/>
        <v>46.875</v>
      </c>
      <c r="BJ122" s="202" t="s">
        <v>114</v>
      </c>
      <c r="BK122" s="204">
        <f t="shared" ref="BK122" si="1529">225000/BK66</f>
        <v>46.875</v>
      </c>
      <c r="BL122" s="202" t="s">
        <v>114</v>
      </c>
      <c r="BM122" s="204">
        <f>225000/BM66</f>
        <v>46.875</v>
      </c>
      <c r="BN122" s="202" t="s">
        <v>114</v>
      </c>
      <c r="BO122" s="204">
        <f>225000/BO66</f>
        <v>46.875</v>
      </c>
      <c r="BP122" s="202" t="s">
        <v>114</v>
      </c>
      <c r="BQ122" s="204">
        <f>225000/BQ66</f>
        <v>46.875</v>
      </c>
      <c r="BR122" s="202" t="s">
        <v>114</v>
      </c>
      <c r="BS122" s="204">
        <f t="shared" ref="BS122:BU122" si="1530">225000/BS66</f>
        <v>46.875</v>
      </c>
      <c r="BT122" s="202" t="s">
        <v>114</v>
      </c>
      <c r="BU122" s="204">
        <f t="shared" si="1530"/>
        <v>46.875</v>
      </c>
      <c r="BV122" s="202"/>
      <c r="BW122" s="204"/>
      <c r="BX122" s="657"/>
      <c r="BY122" s="657"/>
      <c r="BZ122" s="657"/>
      <c r="CA122" s="657"/>
      <c r="CB122" s="657"/>
      <c r="CC122" s="657"/>
      <c r="CD122" s="657"/>
      <c r="CE122" s="657"/>
      <c r="CF122" s="657"/>
      <c r="CG122" s="657"/>
    </row>
    <row r="123" spans="1:85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522.41145833333337</v>
      </c>
      <c r="H123" s="208" t="s">
        <v>114</v>
      </c>
      <c r="I123" s="209">
        <f t="shared" ref="I123" si="1531">(175*I79)/I66</f>
        <v>523.28645833333337</v>
      </c>
      <c r="J123" s="208" t="s">
        <v>114</v>
      </c>
      <c r="K123" s="209">
        <f t="shared" ref="K123" si="1532">(175*K79)/K66</f>
        <v>523.06770833333337</v>
      </c>
      <c r="L123" s="208" t="s">
        <v>114</v>
      </c>
      <c r="M123" s="209">
        <f t="shared" ref="M123" si="1533">(175*M79)/M66</f>
        <v>523.796875</v>
      </c>
      <c r="N123" s="208" t="s">
        <v>114</v>
      </c>
      <c r="O123" s="209">
        <f t="shared" ref="O123" si="1534">(175*O79)/O66</f>
        <v>532.91145833333337</v>
      </c>
      <c r="P123" s="208" t="s">
        <v>114</v>
      </c>
      <c r="Q123" s="209">
        <f t="shared" ref="Q123" si="1535">(175*Q79)/Q66</f>
        <v>534.953125</v>
      </c>
      <c r="R123" s="208" t="s">
        <v>114</v>
      </c>
      <c r="S123" s="209">
        <f t="shared" ref="S123" si="1536">(175*S79)/S66</f>
        <v>546.109375</v>
      </c>
      <c r="T123" s="208" t="s">
        <v>114</v>
      </c>
      <c r="U123" s="209">
        <f t="shared" ref="U123" si="1537">(175*U79)/U66</f>
        <v>541.515625</v>
      </c>
      <c r="V123" s="208" t="s">
        <v>114</v>
      </c>
      <c r="W123" s="209">
        <f t="shared" ref="W123" si="1538">(175*W79)/W66</f>
        <v>548.22395833333337</v>
      </c>
      <c r="X123" s="208" t="s">
        <v>114</v>
      </c>
      <c r="Y123" s="209">
        <f t="shared" ref="Y123" si="1539">(175*Y79)/Y66</f>
        <v>562.11458333333337</v>
      </c>
      <c r="Z123" s="208" t="s">
        <v>114</v>
      </c>
      <c r="AA123" s="209">
        <f t="shared" ref="AA123" si="1540">(175*AA79)/AA66</f>
        <v>570.390625</v>
      </c>
      <c r="AB123" s="208" t="s">
        <v>114</v>
      </c>
      <c r="AC123" s="209">
        <f t="shared" ref="AC123:AI123" si="1541">(175*AC79)/AC66</f>
        <v>569.58854166666663</v>
      </c>
      <c r="AD123" s="208" t="s">
        <v>114</v>
      </c>
      <c r="AE123" s="209">
        <f t="shared" si="1541"/>
        <v>558.94270833333337</v>
      </c>
      <c r="AF123" s="208" t="s">
        <v>114</v>
      </c>
      <c r="AG123" s="209">
        <f t="shared" si="1541"/>
        <v>550.19270833333337</v>
      </c>
      <c r="AH123" s="208" t="s">
        <v>114</v>
      </c>
      <c r="AI123" s="209">
        <f t="shared" si="1541"/>
        <v>556.90104166666663</v>
      </c>
      <c r="AJ123" s="208" t="s">
        <v>114</v>
      </c>
      <c r="AK123" s="209">
        <f t="shared" ref="AK123" si="1542">(175*AK79)/AK66</f>
        <v>541.66145833333337</v>
      </c>
      <c r="AL123" s="208" t="s">
        <v>114</v>
      </c>
      <c r="AM123" s="209">
        <f t="shared" ref="AM123" si="1543">(175*AM79)/AM66</f>
        <v>538.890625</v>
      </c>
      <c r="AN123" s="208" t="s">
        <v>114</v>
      </c>
      <c r="AO123" s="209">
        <f t="shared" ref="AO123:AQ123" si="1544">(175*AO79)/AO66</f>
        <v>544.359375</v>
      </c>
      <c r="AP123" s="208" t="s">
        <v>114</v>
      </c>
      <c r="AQ123" s="209">
        <f t="shared" si="1544"/>
        <v>547.75</v>
      </c>
      <c r="AR123" s="208" t="s">
        <v>114</v>
      </c>
      <c r="AS123" s="209">
        <f t="shared" ref="AS123:AU123" si="1545">(175*AS79)/AS66</f>
        <v>555.47916666666663</v>
      </c>
      <c r="AT123" s="208" t="s">
        <v>114</v>
      </c>
      <c r="AU123" s="209">
        <f t="shared" si="1545"/>
        <v>555.47916666666663</v>
      </c>
      <c r="AV123" s="208" t="s">
        <v>114</v>
      </c>
      <c r="AW123" s="209">
        <f t="shared" ref="AW123" si="1546">(175*AW79)/AW66</f>
        <v>559.08854166666663</v>
      </c>
      <c r="AX123" s="208" t="s">
        <v>114</v>
      </c>
      <c r="AY123" s="209">
        <f t="shared" ref="AY123" si="1547">(175*AY79)/AY66</f>
        <v>572.86979166666663</v>
      </c>
      <c r="AZ123" s="208" t="s">
        <v>114</v>
      </c>
      <c r="BA123" s="209">
        <f t="shared" ref="BA123:BC123" si="1548">(175*BA79)/BA66</f>
        <v>571.99479166666663</v>
      </c>
      <c r="BB123" s="208" t="s">
        <v>114</v>
      </c>
      <c r="BC123" s="209">
        <f t="shared" si="1548"/>
        <v>565.83333333333337</v>
      </c>
      <c r="BD123" s="208" t="s">
        <v>114</v>
      </c>
      <c r="BE123" s="209">
        <f t="shared" ref="BE123:BI123" si="1549">(175*BE79)/BE66</f>
        <v>568.09375</v>
      </c>
      <c r="BF123" s="208" t="s">
        <v>114</v>
      </c>
      <c r="BG123" s="209">
        <f t="shared" ref="BG123" si="1550">(175*BG79)/BG66</f>
        <v>568.09375</v>
      </c>
      <c r="BH123" s="208" t="s">
        <v>114</v>
      </c>
      <c r="BI123" s="209">
        <f t="shared" si="1549"/>
        <v>572.43229166666663</v>
      </c>
      <c r="BJ123" s="208" t="s">
        <v>114</v>
      </c>
      <c r="BK123" s="209">
        <f t="shared" ref="BK123" si="1551">(175*BK79)/BK66</f>
        <v>571.73958333333337</v>
      </c>
      <c r="BL123" s="208" t="s">
        <v>114</v>
      </c>
      <c r="BM123" s="209">
        <f>(175*BM79)/BM66</f>
        <v>572.43229166666663</v>
      </c>
      <c r="BN123" s="208" t="s">
        <v>114</v>
      </c>
      <c r="BO123" s="209">
        <f>(175*BO79)/BO66</f>
        <v>572.43229166666663</v>
      </c>
      <c r="BP123" s="208" t="s">
        <v>114</v>
      </c>
      <c r="BQ123" s="209">
        <f>(175*BQ79)/BQ66</f>
        <v>572.43229166666663</v>
      </c>
      <c r="BR123" s="208" t="s">
        <v>114</v>
      </c>
      <c r="BS123" s="209">
        <f t="shared" ref="BS123:BU123" si="1552">(175*BS79)/BS66</f>
        <v>571.73958333333337</v>
      </c>
      <c r="BT123" s="208" t="s">
        <v>114</v>
      </c>
      <c r="BU123" s="209">
        <f t="shared" si="1552"/>
        <v>571.73958333333337</v>
      </c>
      <c r="BV123" s="208"/>
      <c r="BW123" s="209"/>
      <c r="BX123" s="721"/>
      <c r="BY123" s="721"/>
      <c r="BZ123" s="721"/>
      <c r="CA123" s="721"/>
      <c r="CB123" s="721"/>
      <c r="CC123" s="721"/>
      <c r="CD123" s="721"/>
      <c r="CE123" s="721"/>
      <c r="CF123" s="721"/>
      <c r="CG123" s="721"/>
    </row>
    <row r="124" spans="1:85" ht="15" customHeight="1" outlineLevel="2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164"/>
      <c r="O124" s="165"/>
      <c r="P124" s="164"/>
      <c r="Q124" s="165"/>
      <c r="R124" s="164"/>
      <c r="S124" s="165"/>
      <c r="T124" s="164"/>
      <c r="U124" s="165"/>
      <c r="V124" s="164"/>
      <c r="W124" s="165"/>
      <c r="X124" s="164"/>
      <c r="Y124" s="165"/>
      <c r="Z124" s="164"/>
      <c r="AA124" s="165"/>
      <c r="AB124" s="164"/>
      <c r="AC124" s="165"/>
      <c r="AD124" s="164"/>
      <c r="AE124" s="165"/>
      <c r="AF124" s="164"/>
      <c r="AG124" s="165"/>
      <c r="AH124" s="164"/>
      <c r="AI124" s="165"/>
      <c r="AJ124" s="164"/>
      <c r="AK124" s="165"/>
      <c r="AL124" s="164"/>
      <c r="AM124" s="165"/>
      <c r="AN124" s="164"/>
      <c r="AO124" s="165"/>
      <c r="AP124" s="164"/>
      <c r="AQ124" s="165"/>
      <c r="AR124" s="164"/>
      <c r="AS124" s="165"/>
      <c r="AT124" s="164"/>
      <c r="AU124" s="165"/>
      <c r="AV124" s="164"/>
      <c r="AW124" s="165"/>
      <c r="AX124" s="164"/>
      <c r="AY124" s="165"/>
      <c r="AZ124" s="164"/>
      <c r="BA124" s="165"/>
      <c r="BB124" s="164"/>
      <c r="BC124" s="165"/>
      <c r="BD124" s="164"/>
      <c r="BE124" s="165"/>
      <c r="BF124" s="164"/>
      <c r="BG124" s="165"/>
      <c r="BH124" s="164"/>
      <c r="BI124" s="165"/>
      <c r="BJ124" s="164"/>
      <c r="BK124" s="165"/>
      <c r="BL124" s="359"/>
      <c r="BM124" s="368"/>
      <c r="BN124" s="359"/>
      <c r="BO124" s="368"/>
      <c r="BP124" s="359"/>
      <c r="BQ124" s="368"/>
      <c r="BR124" s="359"/>
      <c r="BS124" s="368"/>
      <c r="BT124" s="359"/>
      <c r="BU124" s="368"/>
      <c r="BV124" s="359"/>
      <c r="BW124" s="368"/>
      <c r="BX124" s="166"/>
      <c r="BY124" s="166"/>
      <c r="BZ124" s="166"/>
      <c r="CA124" s="166"/>
      <c r="CB124" s="166"/>
      <c r="CC124" s="166"/>
      <c r="CD124" s="166"/>
      <c r="CE124" s="166"/>
      <c r="CF124" s="166"/>
      <c r="CG124" s="166"/>
    </row>
    <row r="125" spans="1:85" ht="15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291156</v>
      </c>
      <c r="H125" s="214"/>
      <c r="I125" s="215">
        <v>291156</v>
      </c>
      <c r="J125" s="214"/>
      <c r="K125" s="215">
        <v>291156</v>
      </c>
      <c r="L125" s="214"/>
      <c r="M125" s="215">
        <v>291156</v>
      </c>
      <c r="N125" s="214"/>
      <c r="O125" s="215">
        <v>291156</v>
      </c>
      <c r="P125" s="214"/>
      <c r="Q125" s="215">
        <v>291156</v>
      </c>
      <c r="R125" s="214"/>
      <c r="S125" s="215">
        <v>291156</v>
      </c>
      <c r="T125" s="214"/>
      <c r="U125" s="215">
        <v>291156</v>
      </c>
      <c r="V125" s="214"/>
      <c r="W125" s="215">
        <v>291156</v>
      </c>
      <c r="X125" s="214"/>
      <c r="Y125" s="215">
        <v>291156</v>
      </c>
      <c r="Z125" s="214"/>
      <c r="AA125" s="215">
        <v>291156</v>
      </c>
      <c r="AB125" s="214"/>
      <c r="AC125" s="215">
        <v>291156</v>
      </c>
      <c r="AD125" s="214"/>
      <c r="AE125" s="215">
        <v>291156</v>
      </c>
      <c r="AF125" s="214"/>
      <c r="AG125" s="215">
        <v>291156</v>
      </c>
      <c r="AH125" s="214"/>
      <c r="AI125" s="215">
        <v>291156</v>
      </c>
      <c r="AJ125" s="214"/>
      <c r="AK125" s="215">
        <v>291156</v>
      </c>
      <c r="AL125" s="214"/>
      <c r="AM125" s="215">
        <v>291156</v>
      </c>
      <c r="AN125" s="214"/>
      <c r="AO125" s="215">
        <v>291156</v>
      </c>
      <c r="AP125" s="214"/>
      <c r="AQ125" s="215">
        <v>291156</v>
      </c>
      <c r="AR125" s="214"/>
      <c r="AS125" s="215">
        <v>291156</v>
      </c>
      <c r="AT125" s="214"/>
      <c r="AU125" s="215">
        <v>291156</v>
      </c>
      <c r="AV125" s="214"/>
      <c r="AW125" s="215">
        <v>291156</v>
      </c>
      <c r="AX125" s="214"/>
      <c r="AY125" s="215">
        <v>291156</v>
      </c>
      <c r="AZ125" s="214"/>
      <c r="BA125" s="215">
        <v>291156</v>
      </c>
      <c r="BB125" s="214"/>
      <c r="BC125" s="215">
        <v>291156</v>
      </c>
      <c r="BD125" s="214"/>
      <c r="BE125" s="215">
        <v>291156</v>
      </c>
      <c r="BF125" s="214"/>
      <c r="BG125" s="215">
        <v>291156</v>
      </c>
      <c r="BH125" s="214"/>
      <c r="BI125" s="215">
        <v>291156</v>
      </c>
      <c r="BJ125" s="214"/>
      <c r="BK125" s="215">
        <v>291156</v>
      </c>
      <c r="BL125" s="214"/>
      <c r="BM125" s="215">
        <v>0</v>
      </c>
      <c r="BN125" s="214"/>
      <c r="BO125" s="215">
        <v>0</v>
      </c>
      <c r="BP125" s="214"/>
      <c r="BQ125" s="215">
        <v>0</v>
      </c>
      <c r="BR125" s="214"/>
      <c r="BS125" s="215">
        <v>154272</v>
      </c>
      <c r="BT125" s="214"/>
      <c r="BU125" s="215">
        <v>154272</v>
      </c>
      <c r="BV125" s="214"/>
      <c r="BW125" s="215"/>
      <c r="BX125" s="659"/>
      <c r="BY125" s="659"/>
      <c r="BZ125" s="659"/>
      <c r="CA125" s="659"/>
      <c r="CB125" s="659"/>
      <c r="CC125" s="659"/>
      <c r="CD125" s="659"/>
      <c r="CE125" s="659"/>
      <c r="CF125" s="659"/>
      <c r="CG125" s="659"/>
    </row>
    <row r="126" spans="1:85" ht="15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/>
      <c r="P126" s="214"/>
      <c r="Q126" s="215"/>
      <c r="R126" s="214"/>
      <c r="S126" s="215"/>
      <c r="T126" s="214"/>
      <c r="U126" s="215"/>
      <c r="V126" s="214"/>
      <c r="W126" s="215"/>
      <c r="X126" s="214"/>
      <c r="Y126" s="215"/>
      <c r="Z126" s="214"/>
      <c r="AA126" s="215"/>
      <c r="AB126" s="214"/>
      <c r="AC126" s="215"/>
      <c r="AD126" s="214"/>
      <c r="AE126" s="215"/>
      <c r="AF126" s="214"/>
      <c r="AG126" s="215"/>
      <c r="AH126" s="214"/>
      <c r="AI126" s="215"/>
      <c r="AJ126" s="214"/>
      <c r="AK126" s="215"/>
      <c r="AL126" s="214"/>
      <c r="AM126" s="215"/>
      <c r="AN126" s="214"/>
      <c r="AO126" s="215"/>
      <c r="AP126" s="214"/>
      <c r="AQ126" s="215"/>
      <c r="AR126" s="214"/>
      <c r="AS126" s="215"/>
      <c r="AT126" s="214"/>
      <c r="AU126" s="215"/>
      <c r="AV126" s="214"/>
      <c r="AW126" s="215"/>
      <c r="AX126" s="214"/>
      <c r="AY126" s="215"/>
      <c r="AZ126" s="214"/>
      <c r="BA126" s="215"/>
      <c r="BB126" s="214"/>
      <c r="BC126" s="215"/>
      <c r="BD126" s="214"/>
      <c r="BE126" s="215"/>
      <c r="BF126" s="214"/>
      <c r="BG126" s="215"/>
      <c r="BH126" s="214"/>
      <c r="BI126" s="215"/>
      <c r="BJ126" s="214"/>
      <c r="BK126" s="215"/>
      <c r="BL126" s="214"/>
      <c r="BM126" s="215"/>
      <c r="BN126" s="214"/>
      <c r="BO126" s="215"/>
      <c r="BP126" s="214"/>
      <c r="BQ126" s="215"/>
      <c r="BR126" s="214"/>
      <c r="BS126" s="215">
        <f t="shared" ref="BS126:BU126" si="1553">BS125/BS10</f>
        <v>12856</v>
      </c>
      <c r="BT126" s="214"/>
      <c r="BU126" s="215">
        <f t="shared" si="1553"/>
        <v>12856</v>
      </c>
      <c r="BV126" s="214"/>
      <c r="BW126" s="215"/>
      <c r="BX126" s="659"/>
      <c r="BY126" s="659"/>
      <c r="BZ126" s="659"/>
      <c r="CA126" s="659"/>
      <c r="CB126" s="659"/>
      <c r="CC126" s="659"/>
      <c r="CD126" s="659"/>
      <c r="CE126" s="659"/>
      <c r="CF126" s="659"/>
      <c r="CG126" s="659"/>
    </row>
    <row r="127" spans="1:85" ht="15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/>
      <c r="P127" s="214"/>
      <c r="Q127" s="215"/>
      <c r="R127" s="214"/>
      <c r="S127" s="215"/>
      <c r="T127" s="214"/>
      <c r="U127" s="215"/>
      <c r="V127" s="214"/>
      <c r="W127" s="215"/>
      <c r="X127" s="214"/>
      <c r="Y127" s="215"/>
      <c r="Z127" s="214"/>
      <c r="AA127" s="215"/>
      <c r="AB127" s="214"/>
      <c r="AC127" s="215"/>
      <c r="AD127" s="214"/>
      <c r="AE127" s="215"/>
      <c r="AF127" s="214"/>
      <c r="AG127" s="215"/>
      <c r="AH127" s="214"/>
      <c r="AI127" s="215"/>
      <c r="AJ127" s="214"/>
      <c r="AK127" s="215"/>
      <c r="AL127" s="214"/>
      <c r="AM127" s="215"/>
      <c r="AN127" s="214"/>
      <c r="AO127" s="215"/>
      <c r="AP127" s="214"/>
      <c r="AQ127" s="215"/>
      <c r="AR127" s="214"/>
      <c r="AS127" s="215"/>
      <c r="AT127" s="214"/>
      <c r="AU127" s="215"/>
      <c r="AV127" s="214"/>
      <c r="AW127" s="215"/>
      <c r="AX127" s="214"/>
      <c r="AY127" s="215"/>
      <c r="AZ127" s="214"/>
      <c r="BA127" s="215"/>
      <c r="BB127" s="214"/>
      <c r="BC127" s="215"/>
      <c r="BD127" s="214"/>
      <c r="BE127" s="215"/>
      <c r="BF127" s="214"/>
      <c r="BG127" s="215"/>
      <c r="BH127" s="214"/>
      <c r="BI127" s="215"/>
      <c r="BJ127" s="214"/>
      <c r="BK127" s="215"/>
      <c r="BL127" s="214"/>
      <c r="BM127" s="215"/>
      <c r="BN127" s="214"/>
      <c r="BO127" s="215"/>
      <c r="BP127" s="214"/>
      <c r="BQ127" s="215"/>
      <c r="BR127" s="214"/>
      <c r="BS127" s="215">
        <f t="shared" ref="BS127:BU127" si="1554">BS126/BS66</f>
        <v>2.6783333333333332</v>
      </c>
      <c r="BT127" s="214"/>
      <c r="BU127" s="215">
        <f t="shared" si="1554"/>
        <v>2.6783333333333332</v>
      </c>
      <c r="BV127" s="214"/>
      <c r="BW127" s="215"/>
      <c r="BX127" s="659"/>
      <c r="BY127" s="659"/>
      <c r="BZ127" s="659"/>
      <c r="CA127" s="659"/>
      <c r="CB127" s="659"/>
      <c r="CC127" s="659"/>
      <c r="CD127" s="659"/>
      <c r="CE127" s="659"/>
      <c r="CF127" s="659"/>
      <c r="CG127" s="659"/>
    </row>
    <row r="128" spans="1:85" ht="15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413556</v>
      </c>
      <c r="H128" s="219"/>
      <c r="I128" s="220">
        <v>413556</v>
      </c>
      <c r="J128" s="219"/>
      <c r="K128" s="220">
        <v>413556</v>
      </c>
      <c r="L128" s="219"/>
      <c r="M128" s="220">
        <v>413556</v>
      </c>
      <c r="N128" s="219"/>
      <c r="O128" s="220">
        <v>413556</v>
      </c>
      <c r="P128" s="219"/>
      <c r="Q128" s="220">
        <v>413556</v>
      </c>
      <c r="R128" s="219"/>
      <c r="S128" s="220">
        <v>413556</v>
      </c>
      <c r="T128" s="219"/>
      <c r="U128" s="220">
        <v>413556</v>
      </c>
      <c r="V128" s="219"/>
      <c r="W128" s="220">
        <v>413556</v>
      </c>
      <c r="X128" s="219"/>
      <c r="Y128" s="220">
        <v>413556</v>
      </c>
      <c r="Z128" s="219"/>
      <c r="AA128" s="220">
        <v>413556</v>
      </c>
      <c r="AB128" s="219"/>
      <c r="AC128" s="220">
        <v>413556</v>
      </c>
      <c r="AD128" s="219"/>
      <c r="AE128" s="220">
        <v>413556</v>
      </c>
      <c r="AF128" s="219"/>
      <c r="AG128" s="220">
        <v>413556</v>
      </c>
      <c r="AH128" s="219"/>
      <c r="AI128" s="220">
        <v>413556</v>
      </c>
      <c r="AJ128" s="219"/>
      <c r="AK128" s="220">
        <v>413556</v>
      </c>
      <c r="AL128" s="219"/>
      <c r="AM128" s="220">
        <v>413556</v>
      </c>
      <c r="AN128" s="219"/>
      <c r="AO128" s="220">
        <v>413556</v>
      </c>
      <c r="AP128" s="219"/>
      <c r="AQ128" s="220">
        <v>413556</v>
      </c>
      <c r="AR128" s="219"/>
      <c r="AS128" s="220">
        <v>413556</v>
      </c>
      <c r="AT128" s="219"/>
      <c r="AU128" s="220">
        <v>413556</v>
      </c>
      <c r="AV128" s="219"/>
      <c r="AW128" s="220">
        <v>413556</v>
      </c>
      <c r="AX128" s="219"/>
      <c r="AY128" s="220">
        <v>413556</v>
      </c>
      <c r="AZ128" s="219"/>
      <c r="BA128" s="220">
        <v>413556</v>
      </c>
      <c r="BB128" s="219"/>
      <c r="BC128" s="220">
        <v>413556</v>
      </c>
      <c r="BD128" s="219"/>
      <c r="BE128" s="220">
        <v>413556</v>
      </c>
      <c r="BF128" s="219"/>
      <c r="BG128" s="220">
        <v>413556</v>
      </c>
      <c r="BH128" s="219"/>
      <c r="BI128" s="220">
        <v>413556</v>
      </c>
      <c r="BJ128" s="219"/>
      <c r="BK128" s="220">
        <v>413556</v>
      </c>
      <c r="BL128" s="219"/>
      <c r="BM128" s="220">
        <v>0</v>
      </c>
      <c r="BN128" s="219"/>
      <c r="BO128" s="220">
        <v>0</v>
      </c>
      <c r="BP128" s="219"/>
      <c r="BQ128" s="220">
        <v>0</v>
      </c>
      <c r="BR128" s="219"/>
      <c r="BS128" s="220">
        <v>192132</v>
      </c>
      <c r="BT128" s="219"/>
      <c r="BU128" s="220">
        <v>192132</v>
      </c>
      <c r="BV128" s="219"/>
      <c r="BW128" s="220"/>
      <c r="BX128" s="660"/>
      <c r="BY128" s="660"/>
      <c r="BZ128" s="660"/>
      <c r="CA128" s="660"/>
      <c r="CB128" s="660"/>
      <c r="CC128" s="660"/>
      <c r="CD128" s="660"/>
      <c r="CE128" s="660"/>
      <c r="CF128" s="660"/>
      <c r="CG128" s="660"/>
    </row>
    <row r="129" spans="1:85" ht="15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34463</v>
      </c>
      <c r="H129" s="219"/>
      <c r="I129" s="221">
        <f t="shared" ref="I129" si="1555">I128/I10</f>
        <v>34463</v>
      </c>
      <c r="J129" s="219"/>
      <c r="K129" s="221">
        <f t="shared" ref="K129" si="1556">K128/K10</f>
        <v>34463</v>
      </c>
      <c r="L129" s="219"/>
      <c r="M129" s="221">
        <f t="shared" ref="M129" si="1557">M128/M10</f>
        <v>34463</v>
      </c>
      <c r="N129" s="219"/>
      <c r="O129" s="221">
        <f t="shared" ref="O129" si="1558">O128/O10</f>
        <v>34463</v>
      </c>
      <c r="P129" s="219"/>
      <c r="Q129" s="221">
        <f t="shared" ref="Q129" si="1559">Q128/Q10</f>
        <v>34463</v>
      </c>
      <c r="R129" s="219"/>
      <c r="S129" s="221">
        <f t="shared" ref="S129" si="1560">S128/S10</f>
        <v>34463</v>
      </c>
      <c r="T129" s="219"/>
      <c r="U129" s="221">
        <f t="shared" ref="U129" si="1561">U128/U10</f>
        <v>34463</v>
      </c>
      <c r="V129" s="219"/>
      <c r="W129" s="221">
        <f t="shared" ref="W129" si="1562">W128/W10</f>
        <v>34463</v>
      </c>
      <c r="X129" s="219"/>
      <c r="Y129" s="221">
        <f t="shared" ref="Y129" si="1563">Y128/Y10</f>
        <v>34463</v>
      </c>
      <c r="Z129" s="219"/>
      <c r="AA129" s="221">
        <f t="shared" ref="AA129" si="1564">AA128/AA10</f>
        <v>34463</v>
      </c>
      <c r="AB129" s="219"/>
      <c r="AC129" s="221">
        <f t="shared" ref="AC129" si="1565">AC128/AC10</f>
        <v>34463</v>
      </c>
      <c r="AD129" s="219"/>
      <c r="AE129" s="221">
        <f t="shared" ref="AE129" si="1566">AE128/AE10</f>
        <v>34463</v>
      </c>
      <c r="AF129" s="219"/>
      <c r="AG129" s="221">
        <f t="shared" ref="AG129" si="1567">AG128/AG10</f>
        <v>34463</v>
      </c>
      <c r="AH129" s="219"/>
      <c r="AI129" s="221">
        <f t="shared" ref="AI129" si="1568">AI128/AI10</f>
        <v>34463</v>
      </c>
      <c r="AJ129" s="219"/>
      <c r="AK129" s="221">
        <f t="shared" ref="AK129" si="1569">AK128/AK10</f>
        <v>34463</v>
      </c>
      <c r="AL129" s="219"/>
      <c r="AM129" s="221">
        <f t="shared" ref="AM129" si="1570">AM128/AM10</f>
        <v>34463</v>
      </c>
      <c r="AN129" s="219"/>
      <c r="AO129" s="221">
        <f t="shared" ref="AO129:AQ129" si="1571">AO128/AO10</f>
        <v>34463</v>
      </c>
      <c r="AP129" s="219"/>
      <c r="AQ129" s="221">
        <f t="shared" si="1571"/>
        <v>34463</v>
      </c>
      <c r="AR129" s="219"/>
      <c r="AS129" s="221">
        <f t="shared" ref="AS129:AU129" si="1572">AS128/AS10</f>
        <v>34463</v>
      </c>
      <c r="AT129" s="219"/>
      <c r="AU129" s="221">
        <f t="shared" si="1572"/>
        <v>34463</v>
      </c>
      <c r="AV129" s="219"/>
      <c r="AW129" s="221">
        <f t="shared" ref="AW129" si="1573">AW128/AW10</f>
        <v>34463</v>
      </c>
      <c r="AX129" s="219"/>
      <c r="AY129" s="221">
        <f t="shared" ref="AY129" si="1574">AY128/AY10</f>
        <v>34463</v>
      </c>
      <c r="AZ129" s="219"/>
      <c r="BA129" s="221">
        <f t="shared" ref="BA129:BC129" si="1575">BA128/BA10</f>
        <v>34463</v>
      </c>
      <c r="BB129" s="219"/>
      <c r="BC129" s="221">
        <f t="shared" si="1575"/>
        <v>34463</v>
      </c>
      <c r="BD129" s="219"/>
      <c r="BE129" s="221">
        <f t="shared" ref="BE129:BI129" si="1576">BE128/BE10</f>
        <v>34463</v>
      </c>
      <c r="BF129" s="219"/>
      <c r="BG129" s="221">
        <f t="shared" ref="BG129" si="1577">BG128/BG10</f>
        <v>34463</v>
      </c>
      <c r="BH129" s="219"/>
      <c r="BI129" s="221">
        <f t="shared" si="1576"/>
        <v>34463</v>
      </c>
      <c r="BJ129" s="219"/>
      <c r="BK129" s="221">
        <f t="shared" ref="BK129" si="1578">BK128/BK10</f>
        <v>34463</v>
      </c>
      <c r="BL129" s="219"/>
      <c r="BM129" s="221">
        <f>BM128/BM10</f>
        <v>0</v>
      </c>
      <c r="BN129" s="219"/>
      <c r="BO129" s="221">
        <f>BO128/BO10</f>
        <v>0</v>
      </c>
      <c r="BP129" s="219"/>
      <c r="BQ129" s="221">
        <f>BQ128/BQ10</f>
        <v>0</v>
      </c>
      <c r="BR129" s="219"/>
      <c r="BS129" s="221">
        <f t="shared" ref="BS129:BU129" si="1579">BS128/BS10</f>
        <v>16011</v>
      </c>
      <c r="BT129" s="219"/>
      <c r="BU129" s="221">
        <f t="shared" si="1579"/>
        <v>16011</v>
      </c>
      <c r="BV129" s="219"/>
      <c r="BW129" s="221"/>
      <c r="BX129" s="282"/>
      <c r="BY129" s="282"/>
      <c r="BZ129" s="282"/>
      <c r="CA129" s="282"/>
      <c r="CB129" s="282"/>
      <c r="CC129" s="282"/>
      <c r="CD129" s="282"/>
      <c r="CE129" s="282"/>
      <c r="CF129" s="282"/>
      <c r="CG129" s="282"/>
    </row>
    <row r="130" spans="1:85" ht="15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7.1797916666666666</v>
      </c>
      <c r="H130" s="222"/>
      <c r="I130" s="220">
        <f t="shared" ref="I130" si="1580">I129/I66</f>
        <v>7.1797916666666666</v>
      </c>
      <c r="J130" s="222"/>
      <c r="K130" s="220">
        <f t="shared" ref="K130" si="1581">K129/K66</f>
        <v>7.1797916666666666</v>
      </c>
      <c r="L130" s="222"/>
      <c r="M130" s="220">
        <f t="shared" ref="M130" si="1582">M129/M66</f>
        <v>7.1797916666666666</v>
      </c>
      <c r="N130" s="222"/>
      <c r="O130" s="220">
        <f t="shared" ref="O130" si="1583">O129/O66</f>
        <v>7.1797916666666666</v>
      </c>
      <c r="P130" s="222"/>
      <c r="Q130" s="220">
        <f t="shared" ref="Q130" si="1584">Q129/Q66</f>
        <v>7.1797916666666666</v>
      </c>
      <c r="R130" s="222"/>
      <c r="S130" s="220">
        <f t="shared" ref="S130" si="1585">S129/S66</f>
        <v>7.1797916666666666</v>
      </c>
      <c r="T130" s="222"/>
      <c r="U130" s="220">
        <f t="shared" ref="U130" si="1586">U129/U66</f>
        <v>7.1797916666666666</v>
      </c>
      <c r="V130" s="222"/>
      <c r="W130" s="220">
        <f t="shared" ref="W130" si="1587">W129/W66</f>
        <v>7.1797916666666666</v>
      </c>
      <c r="X130" s="222"/>
      <c r="Y130" s="220">
        <f t="shared" ref="Y130" si="1588">Y129/Y66</f>
        <v>7.1797916666666666</v>
      </c>
      <c r="Z130" s="222"/>
      <c r="AA130" s="220">
        <f t="shared" ref="AA130" si="1589">AA129/AA66</f>
        <v>7.1797916666666666</v>
      </c>
      <c r="AB130" s="222"/>
      <c r="AC130" s="220">
        <f t="shared" ref="AC130" si="1590">AC129/AC66</f>
        <v>7.1797916666666666</v>
      </c>
      <c r="AD130" s="222"/>
      <c r="AE130" s="220">
        <f t="shared" ref="AE130" si="1591">AE129/AE66</f>
        <v>7.1797916666666666</v>
      </c>
      <c r="AF130" s="222"/>
      <c r="AG130" s="220">
        <f t="shared" ref="AG130" si="1592">AG129/AG66</f>
        <v>7.1797916666666666</v>
      </c>
      <c r="AH130" s="222"/>
      <c r="AI130" s="220">
        <f t="shared" ref="AI130" si="1593">AI129/AI66</f>
        <v>7.1797916666666666</v>
      </c>
      <c r="AJ130" s="222"/>
      <c r="AK130" s="220">
        <f t="shared" ref="AK130" si="1594">AK129/AK66</f>
        <v>7.1797916666666666</v>
      </c>
      <c r="AL130" s="222"/>
      <c r="AM130" s="220">
        <f t="shared" ref="AM130" si="1595">AM129/AM66</f>
        <v>7.1797916666666666</v>
      </c>
      <c r="AN130" s="222"/>
      <c r="AO130" s="220">
        <f t="shared" ref="AO130:AQ130" si="1596">AO129/AO66</f>
        <v>7.1797916666666666</v>
      </c>
      <c r="AP130" s="222"/>
      <c r="AQ130" s="220">
        <f t="shared" si="1596"/>
        <v>7.1797916666666666</v>
      </c>
      <c r="AR130" s="222"/>
      <c r="AS130" s="220">
        <f t="shared" ref="AS130:AU130" si="1597">AS129/AS66</f>
        <v>7.1797916666666666</v>
      </c>
      <c r="AT130" s="222"/>
      <c r="AU130" s="220">
        <f t="shared" si="1597"/>
        <v>7.1797916666666666</v>
      </c>
      <c r="AV130" s="222"/>
      <c r="AW130" s="220">
        <f t="shared" ref="AW130" si="1598">AW129/AW66</f>
        <v>7.1797916666666666</v>
      </c>
      <c r="AX130" s="222"/>
      <c r="AY130" s="220">
        <f t="shared" ref="AY130" si="1599">AY129/AY66</f>
        <v>7.1797916666666666</v>
      </c>
      <c r="AZ130" s="222"/>
      <c r="BA130" s="220">
        <f t="shared" ref="BA130:BC130" si="1600">BA129/BA66</f>
        <v>7.1797916666666666</v>
      </c>
      <c r="BB130" s="222"/>
      <c r="BC130" s="220">
        <f t="shared" si="1600"/>
        <v>7.1797916666666666</v>
      </c>
      <c r="BD130" s="222"/>
      <c r="BE130" s="220">
        <f t="shared" ref="BE130:BI130" si="1601">BE129/BE66</f>
        <v>7.1797916666666666</v>
      </c>
      <c r="BF130" s="222"/>
      <c r="BG130" s="220">
        <f t="shared" ref="BG130" si="1602">BG129/BG66</f>
        <v>7.1797916666666666</v>
      </c>
      <c r="BH130" s="222"/>
      <c r="BI130" s="220">
        <f t="shared" si="1601"/>
        <v>7.1797916666666666</v>
      </c>
      <c r="BJ130" s="222"/>
      <c r="BK130" s="220">
        <f t="shared" ref="BK130" si="1603">BK129/BK66</f>
        <v>7.1797916666666666</v>
      </c>
      <c r="BL130" s="222"/>
      <c r="BM130" s="220">
        <f>BM129/BM66</f>
        <v>0</v>
      </c>
      <c r="BN130" s="222"/>
      <c r="BO130" s="220">
        <f>BO129/BO66</f>
        <v>0</v>
      </c>
      <c r="BP130" s="222"/>
      <c r="BQ130" s="220">
        <f>BQ129/BQ66</f>
        <v>0</v>
      </c>
      <c r="BR130" s="222"/>
      <c r="BS130" s="220">
        <f t="shared" ref="BS130:BU130" si="1604">BS129/BS66</f>
        <v>3.3356249999999998</v>
      </c>
      <c r="BT130" s="222"/>
      <c r="BU130" s="220">
        <f t="shared" si="1604"/>
        <v>3.3356249999999998</v>
      </c>
      <c r="BV130" s="222"/>
      <c r="BW130" s="220"/>
      <c r="BX130" s="660"/>
      <c r="BY130" s="660"/>
      <c r="BZ130" s="660"/>
      <c r="CA130" s="660"/>
      <c r="CB130" s="660"/>
      <c r="CC130" s="660"/>
      <c r="CD130" s="660"/>
      <c r="CE130" s="660"/>
      <c r="CF130" s="660"/>
      <c r="CG130" s="660"/>
    </row>
    <row r="131" spans="1:85" ht="15" customHeight="1" outlineLevel="3" x14ac:dyDescent="0.45">
      <c r="A131" s="561"/>
      <c r="B131" s="1187"/>
      <c r="C131" s="582" t="s">
        <v>387</v>
      </c>
      <c r="D131" s="583"/>
      <c r="E131" s="584" t="s">
        <v>123</v>
      </c>
      <c r="F131" s="585"/>
      <c r="G131" s="586">
        <f>INDEX(Table5[#All],MATCH(F$4,Table5[[#All],[SKU]],0),MATCH(LEFT(F$3,3),Table5[#Headers],0))</f>
        <v>28800</v>
      </c>
      <c r="H131" s="585"/>
      <c r="I131" s="586">
        <f>INDEX(Table5[#All],MATCH(H$4,Table5[[#All],[SKU]],0),MATCH(LEFT(H$3,3),Table5[#Headers],0))</f>
        <v>28500</v>
      </c>
      <c r="J131" s="585"/>
      <c r="K131" s="586">
        <f>INDEX(Table5[#All],MATCH(J$4,Table5[[#All],[SKU]],0),MATCH(LEFT(J$3,3),Table5[#Headers],0))</f>
        <v>28800</v>
      </c>
      <c r="L131" s="585"/>
      <c r="M131" s="586">
        <f>INDEX(Table5[#All],MATCH(L$4,Table5[[#All],[SKU]],0),MATCH(LEFT(L$3,3),Table5[#Headers],0))</f>
        <v>55716</v>
      </c>
      <c r="N131" s="585"/>
      <c r="O131" s="586">
        <f>INDEX(Table5[#All],MATCH(N$4,Table5[[#All],[SKU]],0),MATCH(LEFT(N$3,3),Table5[#Headers],0))</f>
        <v>55452</v>
      </c>
      <c r="P131" s="585"/>
      <c r="Q131" s="586">
        <f>INDEX(Table5[#All],MATCH(P$4,Table5[[#All],[SKU]],0),MATCH(LEFT(P$3,3),Table5[#Headers],0))</f>
        <v>54540</v>
      </c>
      <c r="R131" s="585"/>
      <c r="S131" s="586">
        <f>INDEX(Table5[#All],MATCH(R$4,Table5[[#All],[SKU]],0),MATCH(LEFT(R$3,3),Table5[#Headers],0))</f>
        <v>115500</v>
      </c>
      <c r="T131" s="585"/>
      <c r="U131" s="586">
        <f>INDEX(Table5[#All],MATCH(T$4,Table5[[#All],[SKU]],0),MATCH(LEFT(T$3,3),Table5[#Headers],0))</f>
        <v>28620</v>
      </c>
      <c r="V131" s="585"/>
      <c r="W131" s="586">
        <f>INDEX(Table5[#All],MATCH(V$4,Table5[[#All],[SKU]],0),MATCH(LEFT(V$3,3),Table5[#Headers],0))</f>
        <v>28800</v>
      </c>
      <c r="X131" s="585"/>
      <c r="Y131" s="586">
        <f>INDEX(Table5[#All],MATCH(X$4,Table5[[#All],[SKU]],0),MATCH(LEFT(X$3,3),Table5[#Headers],0))</f>
        <v>27900</v>
      </c>
      <c r="Z131" s="585"/>
      <c r="AA131" s="586">
        <f>INDEX(Table5[#All],MATCH(Z$4,Table5[[#All],[SKU]],0),MATCH(LEFT(Z$3,3),Table5[#Headers],0))</f>
        <v>103644</v>
      </c>
      <c r="AB131" s="585"/>
      <c r="AC131" s="586">
        <f>INDEX(Table5[#All],MATCH(AB$4,Table5[[#All],[SKU]],0),MATCH(LEFT(AB$3,3),Table5[#Headers],0))</f>
        <v>205392</v>
      </c>
      <c r="AD131" s="585"/>
      <c r="AE131" s="586">
        <f>'Sales Volume'!P10</f>
        <v>56424</v>
      </c>
      <c r="AF131" s="585"/>
      <c r="AG131" s="586">
        <f>'Sales Volume'!Q10</f>
        <v>28800</v>
      </c>
      <c r="AH131" s="585"/>
      <c r="AI131" s="586">
        <f>'Sales Volume'!R10</f>
        <v>112212</v>
      </c>
      <c r="AJ131" s="585"/>
      <c r="AK131" s="586">
        <f>'Sales Volume'!S10</f>
        <v>4944</v>
      </c>
      <c r="AL131" s="585"/>
      <c r="AM131" s="586">
        <f>'Sales Volume'!T10</f>
        <v>113400</v>
      </c>
      <c r="AN131" s="585"/>
      <c r="AO131" s="586">
        <f>'Sales Volume'!U10</f>
        <v>139344</v>
      </c>
      <c r="AP131" s="585"/>
      <c r="AQ131" s="586">
        <f>'Sales Volume'!V10</f>
        <v>110028</v>
      </c>
      <c r="AR131" s="585"/>
      <c r="AS131" s="586">
        <f>'Sales Volume'!V10</f>
        <v>110028</v>
      </c>
      <c r="AT131" s="585"/>
      <c r="AU131" s="586">
        <f>'Sales Volume'!X10</f>
        <v>277500</v>
      </c>
      <c r="AV131" s="585"/>
      <c r="AW131" s="586">
        <f>'Sales Volume'!Z10</f>
        <v>0</v>
      </c>
      <c r="AX131" s="585"/>
      <c r="AY131" s="586">
        <f>'Sales Volume'!AB10</f>
        <v>0</v>
      </c>
      <c r="AZ131" s="585"/>
      <c r="BA131" s="586">
        <f>'Sales Volume'!AD10</f>
        <v>0</v>
      </c>
      <c r="BB131" s="585"/>
      <c r="BC131" s="586">
        <f>'Sales Volume'!AF10</f>
        <v>0</v>
      </c>
      <c r="BD131" s="585"/>
      <c r="BE131" s="586">
        <f>'Sales Volume'!AH10</f>
        <v>0</v>
      </c>
      <c r="BF131" s="585"/>
      <c r="BG131" s="586">
        <f>'Sales Volume'!AH10</f>
        <v>0</v>
      </c>
      <c r="BH131" s="585"/>
      <c r="BI131" s="586">
        <f>'Sales Volume'!AJ10</f>
        <v>0</v>
      </c>
      <c r="BJ131" s="585"/>
      <c r="BK131" s="586">
        <f>'Sales Volume'!AL10</f>
        <v>0</v>
      </c>
      <c r="BL131" s="585"/>
      <c r="BM131" s="586">
        <v>0</v>
      </c>
      <c r="BN131" s="585"/>
      <c r="BO131" s="586">
        <v>0</v>
      </c>
      <c r="BP131" s="585"/>
      <c r="BQ131" s="586">
        <v>0</v>
      </c>
      <c r="BR131" s="585"/>
      <c r="BS131" s="586">
        <v>0</v>
      </c>
      <c r="BT131" s="585"/>
      <c r="BU131" s="586">
        <v>0</v>
      </c>
      <c r="BV131" s="585"/>
      <c r="BW131" s="586"/>
      <c r="BX131" s="661"/>
      <c r="BY131" s="661"/>
      <c r="BZ131" s="661"/>
      <c r="CA131" s="661"/>
      <c r="CB131" s="661"/>
      <c r="CC131" s="661"/>
      <c r="CD131" s="661"/>
      <c r="CE131" s="661"/>
      <c r="CF131" s="661"/>
      <c r="CG131" s="661"/>
    </row>
    <row r="132" spans="1:85" ht="15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2400</v>
      </c>
      <c r="H132" s="585"/>
      <c r="I132" s="586">
        <f t="shared" ref="I132" si="1605">I131/I10</f>
        <v>2375</v>
      </c>
      <c r="J132" s="585"/>
      <c r="K132" s="586">
        <f t="shared" ref="K132" si="1606">K131/K10</f>
        <v>2400</v>
      </c>
      <c r="L132" s="585"/>
      <c r="M132" s="586">
        <f t="shared" ref="M132" si="1607">M131/M10</f>
        <v>4643</v>
      </c>
      <c r="N132" s="585"/>
      <c r="O132" s="586">
        <f t="shared" ref="O132" si="1608">O131/O10</f>
        <v>4621</v>
      </c>
      <c r="P132" s="585"/>
      <c r="Q132" s="586">
        <f t="shared" ref="Q132" si="1609">Q131/Q10</f>
        <v>4545</v>
      </c>
      <c r="R132" s="585"/>
      <c r="S132" s="586">
        <f t="shared" ref="S132" si="1610">S131/S10</f>
        <v>9625</v>
      </c>
      <c r="T132" s="585"/>
      <c r="U132" s="586">
        <f t="shared" ref="U132" si="1611">U131/U10</f>
        <v>2385</v>
      </c>
      <c r="V132" s="585"/>
      <c r="W132" s="586">
        <f t="shared" ref="W132" si="1612">W131/W10</f>
        <v>2400</v>
      </c>
      <c r="X132" s="585"/>
      <c r="Y132" s="586">
        <f t="shared" ref="Y132" si="1613">Y131/Y10</f>
        <v>2325</v>
      </c>
      <c r="Z132" s="585"/>
      <c r="AA132" s="586">
        <f t="shared" ref="AA132" si="1614">AA131/AA10</f>
        <v>8637</v>
      </c>
      <c r="AB132" s="585"/>
      <c r="AC132" s="586">
        <f t="shared" ref="AC132" si="1615">AC131/AC10</f>
        <v>17116</v>
      </c>
      <c r="AD132" s="585"/>
      <c r="AE132" s="586">
        <f t="shared" ref="AE132" si="1616">AE131/AE10</f>
        <v>4702</v>
      </c>
      <c r="AF132" s="585"/>
      <c r="AG132" s="586">
        <f t="shared" ref="AG132" si="1617">AG131/AG10</f>
        <v>2400</v>
      </c>
      <c r="AH132" s="585"/>
      <c r="AI132" s="586">
        <f t="shared" ref="AI132" si="1618">AI131/AI10</f>
        <v>9351</v>
      </c>
      <c r="AJ132" s="585"/>
      <c r="AK132" s="586">
        <f t="shared" ref="AK132" si="1619">AK131/AK10</f>
        <v>412</v>
      </c>
      <c r="AL132" s="585"/>
      <c r="AM132" s="586">
        <f t="shared" ref="AM132" si="1620">AM131/AM10</f>
        <v>9450</v>
      </c>
      <c r="AN132" s="585"/>
      <c r="AO132" s="586">
        <f t="shared" ref="AO132:AQ132" si="1621">AO131/AO10</f>
        <v>11612</v>
      </c>
      <c r="AP132" s="585"/>
      <c r="AQ132" s="586">
        <f t="shared" si="1621"/>
        <v>9169</v>
      </c>
      <c r="AR132" s="585"/>
      <c r="AS132" s="586">
        <f t="shared" ref="AS132:AU132" si="1622">AS131/AS10</f>
        <v>9169</v>
      </c>
      <c r="AT132" s="585"/>
      <c r="AU132" s="586">
        <f t="shared" si="1622"/>
        <v>23125</v>
      </c>
      <c r="AV132" s="585"/>
      <c r="AW132" s="586">
        <f t="shared" ref="AW132" si="1623">AW131/AW10</f>
        <v>0</v>
      </c>
      <c r="AX132" s="585"/>
      <c r="AY132" s="586">
        <f t="shared" ref="AY132" si="1624">AY131/AY10</f>
        <v>0</v>
      </c>
      <c r="AZ132" s="585"/>
      <c r="BA132" s="586">
        <f t="shared" ref="BA132:BC132" si="1625">BA131/BA10</f>
        <v>0</v>
      </c>
      <c r="BB132" s="585"/>
      <c r="BC132" s="586">
        <f t="shared" si="1625"/>
        <v>0</v>
      </c>
      <c r="BD132" s="585"/>
      <c r="BE132" s="586">
        <f t="shared" ref="BE132:BI132" si="1626">BE131/BE10</f>
        <v>0</v>
      </c>
      <c r="BF132" s="585"/>
      <c r="BG132" s="586">
        <f t="shared" ref="BG132" si="1627">BG131/BG10</f>
        <v>0</v>
      </c>
      <c r="BH132" s="585"/>
      <c r="BI132" s="586">
        <f t="shared" si="1626"/>
        <v>0</v>
      </c>
      <c r="BJ132" s="585"/>
      <c r="BK132" s="586">
        <f t="shared" ref="BK132" si="1628">BK131/BK10</f>
        <v>0</v>
      </c>
      <c r="BL132" s="585"/>
      <c r="BM132" s="586">
        <f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 t="shared" ref="BS132:BU132" si="1629">BS131/BS10</f>
        <v>0</v>
      </c>
      <c r="BT132" s="585"/>
      <c r="BU132" s="586">
        <f t="shared" si="1629"/>
        <v>0</v>
      </c>
      <c r="BV132" s="585"/>
      <c r="BW132" s="586"/>
      <c r="BX132" s="661"/>
      <c r="BY132" s="661"/>
      <c r="BZ132" s="661"/>
      <c r="CA132" s="661"/>
      <c r="CB132" s="661"/>
      <c r="CC132" s="661"/>
      <c r="CD132" s="661"/>
      <c r="CE132" s="661"/>
      <c r="CF132" s="661"/>
      <c r="CG132" s="661"/>
    </row>
    <row r="133" spans="1:85" ht="15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0.5</v>
      </c>
      <c r="H133" s="585"/>
      <c r="I133" s="586">
        <f t="shared" ref="I133" si="1630">I132/I66</f>
        <v>0.49479166666666669</v>
      </c>
      <c r="J133" s="585"/>
      <c r="K133" s="586">
        <f t="shared" ref="K133" si="1631">K132/K66</f>
        <v>0.5</v>
      </c>
      <c r="L133" s="585"/>
      <c r="M133" s="586">
        <f t="shared" ref="M133" si="1632">M132/M66</f>
        <v>0.96729166666666666</v>
      </c>
      <c r="N133" s="585"/>
      <c r="O133" s="586">
        <f t="shared" ref="O133" si="1633">O132/O66</f>
        <v>0.96270833333333339</v>
      </c>
      <c r="P133" s="585"/>
      <c r="Q133" s="586">
        <f t="shared" ref="Q133" si="1634">Q132/Q66</f>
        <v>0.94687500000000002</v>
      </c>
      <c r="R133" s="585"/>
      <c r="S133" s="586">
        <f t="shared" ref="S133" si="1635">S132/S66</f>
        <v>2.0052083333333335</v>
      </c>
      <c r="T133" s="585"/>
      <c r="U133" s="586">
        <f t="shared" ref="U133" si="1636">U132/U66</f>
        <v>0.49687500000000001</v>
      </c>
      <c r="V133" s="585"/>
      <c r="W133" s="586">
        <f t="shared" ref="W133" si="1637">W132/W66</f>
        <v>0.5</v>
      </c>
      <c r="X133" s="585"/>
      <c r="Y133" s="586">
        <f t="shared" ref="Y133" si="1638">Y132/Y66</f>
        <v>0.484375</v>
      </c>
      <c r="Z133" s="585"/>
      <c r="AA133" s="586">
        <f t="shared" ref="AA133" si="1639">AA132/AA66</f>
        <v>1.7993749999999999</v>
      </c>
      <c r="AB133" s="585"/>
      <c r="AC133" s="586">
        <f t="shared" ref="AC133" si="1640">AC132/AC66</f>
        <v>3.5658333333333334</v>
      </c>
      <c r="AD133" s="585"/>
      <c r="AE133" s="586">
        <f t="shared" ref="AE133" si="1641">AE132/AE66</f>
        <v>0.97958333333333336</v>
      </c>
      <c r="AF133" s="585"/>
      <c r="AG133" s="586">
        <f t="shared" ref="AG133" si="1642">AG132/AG66</f>
        <v>0.5</v>
      </c>
      <c r="AH133" s="585"/>
      <c r="AI133" s="586">
        <f t="shared" ref="AI133" si="1643">AI132/AI66</f>
        <v>1.9481250000000001</v>
      </c>
      <c r="AJ133" s="585"/>
      <c r="AK133" s="586">
        <f t="shared" ref="AK133" si="1644">AK132/AK66</f>
        <v>8.5833333333333331E-2</v>
      </c>
      <c r="AL133" s="585"/>
      <c r="AM133" s="586">
        <f t="shared" ref="AM133" si="1645">AM132/AM66</f>
        <v>1.96875</v>
      </c>
      <c r="AN133" s="585"/>
      <c r="AO133" s="586">
        <f t="shared" ref="AO133:AQ133" si="1646">AO132/AO66</f>
        <v>2.4191666666666665</v>
      </c>
      <c r="AP133" s="585"/>
      <c r="AQ133" s="586">
        <f t="shared" si="1646"/>
        <v>1.9102083333333333</v>
      </c>
      <c r="AR133" s="585"/>
      <c r="AS133" s="586">
        <f t="shared" ref="AS133:AU133" si="1647">AS132/AS66</f>
        <v>1.9102083333333333</v>
      </c>
      <c r="AT133" s="585"/>
      <c r="AU133" s="586">
        <f t="shared" si="1647"/>
        <v>4.817708333333333</v>
      </c>
      <c r="AV133" s="585"/>
      <c r="AW133" s="586">
        <f t="shared" ref="AW133" si="1648">AW132/AW66</f>
        <v>0</v>
      </c>
      <c r="AX133" s="585"/>
      <c r="AY133" s="586">
        <f t="shared" ref="AY133" si="1649">AY132/AY66</f>
        <v>0</v>
      </c>
      <c r="AZ133" s="585"/>
      <c r="BA133" s="586">
        <f t="shared" ref="BA133:BC133" si="1650">BA132/BA66</f>
        <v>0</v>
      </c>
      <c r="BB133" s="585"/>
      <c r="BC133" s="586">
        <f t="shared" si="1650"/>
        <v>0</v>
      </c>
      <c r="BD133" s="585"/>
      <c r="BE133" s="586">
        <f t="shared" ref="BE133:BI133" si="1651">BE132/BE66</f>
        <v>0</v>
      </c>
      <c r="BF133" s="585"/>
      <c r="BG133" s="586">
        <f t="shared" ref="BG133" si="1652">BG132/BG66</f>
        <v>0</v>
      </c>
      <c r="BH133" s="585"/>
      <c r="BI133" s="586">
        <f t="shared" si="1651"/>
        <v>0</v>
      </c>
      <c r="BJ133" s="585"/>
      <c r="BK133" s="586">
        <f t="shared" ref="BK133" si="1653">BK132/BK66</f>
        <v>0</v>
      </c>
      <c r="BL133" s="585"/>
      <c r="BM133" s="586">
        <f>BM132/BM66</f>
        <v>0</v>
      </c>
      <c r="BN133" s="585"/>
      <c r="BO133" s="586">
        <f>BO132/BO66</f>
        <v>0</v>
      </c>
      <c r="BP133" s="585"/>
      <c r="BQ133" s="586">
        <f>BQ132/BQ66</f>
        <v>0</v>
      </c>
      <c r="BR133" s="585"/>
      <c r="BS133" s="586">
        <f t="shared" ref="BS133:BU133" si="1654">BS132/BS66</f>
        <v>0</v>
      </c>
      <c r="BT133" s="585"/>
      <c r="BU133" s="586">
        <f t="shared" si="1654"/>
        <v>0</v>
      </c>
      <c r="BV133" s="585"/>
      <c r="BW133" s="586"/>
      <c r="BX133" s="661"/>
      <c r="BY133" s="661"/>
      <c r="BZ133" s="661"/>
      <c r="CA133" s="661"/>
      <c r="CB133" s="661"/>
      <c r="CC133" s="661"/>
      <c r="CD133" s="661"/>
      <c r="CE133" s="661"/>
      <c r="CF133" s="661"/>
      <c r="CG133" s="661"/>
    </row>
    <row r="134" spans="1:85" outlineLevel="2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177"/>
      <c r="O134" s="178"/>
      <c r="P134" s="177"/>
      <c r="Q134" s="178"/>
      <c r="R134" s="177"/>
      <c r="S134" s="178"/>
      <c r="T134" s="177"/>
      <c r="U134" s="178"/>
      <c r="V134" s="177"/>
      <c r="W134" s="178"/>
      <c r="X134" s="177"/>
      <c r="Y134" s="178"/>
      <c r="Z134" s="177"/>
      <c r="AA134" s="178"/>
      <c r="AB134" s="177"/>
      <c r="AC134" s="178"/>
      <c r="AD134" s="177"/>
      <c r="AE134" s="178"/>
      <c r="AF134" s="177"/>
      <c r="AG134" s="178"/>
      <c r="AH134" s="177"/>
      <c r="AI134" s="178"/>
      <c r="AJ134" s="177"/>
      <c r="AK134" s="178"/>
      <c r="AL134" s="177"/>
      <c r="AM134" s="178"/>
      <c r="AN134" s="177"/>
      <c r="AO134" s="178"/>
      <c r="AP134" s="177"/>
      <c r="AQ134" s="178"/>
      <c r="AR134" s="177"/>
      <c r="AS134" s="178"/>
      <c r="AT134" s="177"/>
      <c r="AU134" s="178"/>
      <c r="AV134" s="177"/>
      <c r="AW134" s="178"/>
      <c r="AX134" s="177"/>
      <c r="AY134" s="178"/>
      <c r="AZ134" s="177"/>
      <c r="BA134" s="178"/>
      <c r="BB134" s="177"/>
      <c r="BC134" s="178"/>
      <c r="BD134" s="177"/>
      <c r="BE134" s="178"/>
      <c r="BF134" s="177"/>
      <c r="BG134" s="178"/>
      <c r="BH134" s="177"/>
      <c r="BI134" s="178"/>
      <c r="BJ134" s="177"/>
      <c r="BK134" s="178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175"/>
      <c r="BY134" s="175"/>
      <c r="BZ134" s="175"/>
      <c r="CA134" s="175"/>
      <c r="CB134" s="175"/>
      <c r="CC134" s="175"/>
      <c r="CD134" s="175"/>
      <c r="CE134" s="175"/>
      <c r="CF134" s="175"/>
      <c r="CG134" s="175"/>
    </row>
    <row r="135" spans="1:85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180"/>
      <c r="I135" s="384">
        <f t="shared" ref="I135" si="1655">I64</f>
        <v>1200</v>
      </c>
      <c r="J135" s="180"/>
      <c r="K135" s="384">
        <f t="shared" ref="K135" si="1656">K64</f>
        <v>1200</v>
      </c>
      <c r="L135" s="180"/>
      <c r="M135" s="384">
        <f t="shared" ref="M135" si="1657">M64</f>
        <v>1200</v>
      </c>
      <c r="N135" s="180"/>
      <c r="O135" s="384">
        <f t="shared" ref="O135" si="1658">O64</f>
        <v>1200</v>
      </c>
      <c r="P135" s="180"/>
      <c r="Q135" s="384">
        <f t="shared" ref="Q135" si="1659">Q64</f>
        <v>1200</v>
      </c>
      <c r="R135" s="180"/>
      <c r="S135" s="384">
        <f t="shared" ref="S135" si="1660">S64</f>
        <v>1200</v>
      </c>
      <c r="T135" s="180"/>
      <c r="U135" s="384">
        <f t="shared" ref="U135" si="1661">U64</f>
        <v>1200</v>
      </c>
      <c r="V135" s="180"/>
      <c r="W135" s="384">
        <f t="shared" ref="W135" si="1662">W64</f>
        <v>1200</v>
      </c>
      <c r="X135" s="180"/>
      <c r="Y135" s="384">
        <f t="shared" ref="Y135" si="1663">Y64</f>
        <v>1200</v>
      </c>
      <c r="Z135" s="180"/>
      <c r="AA135" s="384">
        <f t="shared" ref="AA135" si="1664">AA64</f>
        <v>1200</v>
      </c>
      <c r="AB135" s="180"/>
      <c r="AC135" s="384">
        <f t="shared" ref="AC135:AI135" si="1665">AC64</f>
        <v>1200</v>
      </c>
      <c r="AD135" s="180"/>
      <c r="AE135" s="384">
        <f t="shared" si="1665"/>
        <v>1200</v>
      </c>
      <c r="AF135" s="180"/>
      <c r="AG135" s="384">
        <f t="shared" si="1665"/>
        <v>1200</v>
      </c>
      <c r="AH135" s="180"/>
      <c r="AI135" s="384">
        <f t="shared" si="1665"/>
        <v>1200</v>
      </c>
      <c r="AJ135" s="180"/>
      <c r="AK135" s="384">
        <f t="shared" ref="AK135" si="1666">AK64</f>
        <v>1200</v>
      </c>
      <c r="AL135" s="180"/>
      <c r="AM135" s="384">
        <f t="shared" ref="AM135" si="1667">AM64</f>
        <v>1200</v>
      </c>
      <c r="AN135" s="180"/>
      <c r="AO135" s="384">
        <f t="shared" ref="AO135:AQ135" si="1668">AO64</f>
        <v>1200</v>
      </c>
      <c r="AP135" s="180"/>
      <c r="AQ135" s="384">
        <f t="shared" si="1668"/>
        <v>1200</v>
      </c>
      <c r="AR135" s="180"/>
      <c r="AS135" s="384">
        <f t="shared" ref="AS135:AU135" si="1669">AS64</f>
        <v>1200</v>
      </c>
      <c r="AT135" s="180"/>
      <c r="AU135" s="384">
        <f t="shared" si="1669"/>
        <v>1200</v>
      </c>
      <c r="AV135" s="180"/>
      <c r="AW135" s="384">
        <f t="shared" ref="AW135" si="1670">AW64</f>
        <v>1200</v>
      </c>
      <c r="AX135" s="180"/>
      <c r="AY135" s="384">
        <f t="shared" ref="AY135" si="1671">AY64</f>
        <v>1200</v>
      </c>
      <c r="AZ135" s="180"/>
      <c r="BA135" s="384">
        <f t="shared" ref="BA135:BC135" si="1672">BA64</f>
        <v>750</v>
      </c>
      <c r="BB135" s="180"/>
      <c r="BC135" s="384">
        <f t="shared" si="1672"/>
        <v>750</v>
      </c>
      <c r="BD135" s="180"/>
      <c r="BE135" s="384">
        <f t="shared" ref="BE135:BI135" si="1673">BE64</f>
        <v>750</v>
      </c>
      <c r="BF135" s="180"/>
      <c r="BG135" s="384">
        <f t="shared" ref="BG135" si="1674">BG64</f>
        <v>750</v>
      </c>
      <c r="BH135" s="180"/>
      <c r="BI135" s="384">
        <f t="shared" si="1673"/>
        <v>750</v>
      </c>
      <c r="BJ135" s="180"/>
      <c r="BK135" s="384">
        <f t="shared" ref="BK135" si="1675">BK64</f>
        <v>750</v>
      </c>
      <c r="BL135" s="380"/>
      <c r="BM135" s="384">
        <v>1200</v>
      </c>
      <c r="BN135" s="380"/>
      <c r="BO135" s="384">
        <v>1200</v>
      </c>
      <c r="BP135" s="380"/>
      <c r="BQ135" s="384">
        <v>1200</v>
      </c>
      <c r="BR135" s="380"/>
      <c r="BS135" s="384">
        <f t="shared" ref="BS135:BU135" si="1676">BS64</f>
        <v>750</v>
      </c>
      <c r="BT135" s="380"/>
      <c r="BU135" s="384">
        <f t="shared" si="1676"/>
        <v>750</v>
      </c>
      <c r="BV135" s="380"/>
      <c r="BW135" s="384"/>
      <c r="BX135" s="628"/>
      <c r="BY135" s="628"/>
      <c r="BZ135" s="628"/>
      <c r="CA135" s="628"/>
      <c r="CB135" s="628"/>
      <c r="CC135" s="628"/>
      <c r="CD135" s="628"/>
      <c r="CE135" s="628"/>
      <c r="CF135" s="628"/>
      <c r="CG135" s="628"/>
    </row>
    <row r="136" spans="1:85" outlineLevel="3" x14ac:dyDescent="0.45">
      <c r="A136" s="561"/>
      <c r="B136" s="1187"/>
      <c r="C136" s="161" t="s">
        <v>388</v>
      </c>
      <c r="D136" s="162"/>
      <c r="E136" s="179"/>
      <c r="F136" s="180"/>
      <c r="G136" s="224">
        <v>1280.5463664496854</v>
      </c>
      <c r="H136" s="180"/>
      <c r="I136" s="224">
        <v>1783.969667577815</v>
      </c>
      <c r="J136" s="180"/>
      <c r="K136" s="224">
        <v>1477.5570272259015</v>
      </c>
      <c r="L136" s="180"/>
      <c r="M136" s="224">
        <v>1132.0267068705577</v>
      </c>
      <c r="N136" s="180"/>
      <c r="O136" s="224">
        <v>1579.2622133599205</v>
      </c>
      <c r="P136" s="180"/>
      <c r="Q136" s="224">
        <v>1294.8165025632682</v>
      </c>
      <c r="R136" s="180"/>
      <c r="S136" s="224">
        <v>1298.7807773541904</v>
      </c>
      <c r="T136" s="180"/>
      <c r="U136" s="224">
        <v>1231.375358166189</v>
      </c>
      <c r="V136" s="180"/>
      <c r="W136" s="224">
        <v>1009.3987923339458</v>
      </c>
      <c r="X136" s="180"/>
      <c r="Y136" s="224">
        <v>716.94064122923726</v>
      </c>
      <c r="Z136" s="180"/>
      <c r="AA136" s="224">
        <v>599.98768545076211</v>
      </c>
      <c r="AB136" s="180"/>
      <c r="AC136" s="224">
        <v>572.57742509936509</v>
      </c>
      <c r="AD136" s="180"/>
      <c r="AE136" s="384">
        <v>402.3877665544332</v>
      </c>
      <c r="AF136" s="380"/>
      <c r="AG136" s="384">
        <v>157.57857974388824</v>
      </c>
      <c r="AH136" s="380"/>
      <c r="AI136" s="384">
        <v>671.53977758768178</v>
      </c>
      <c r="AJ136" s="380"/>
      <c r="AK136" s="384">
        <v>23.339901477832512</v>
      </c>
      <c r="AL136" s="380"/>
      <c r="AM136" s="384">
        <v>460</v>
      </c>
      <c r="AN136" s="380"/>
      <c r="AO136" s="384">
        <v>150</v>
      </c>
      <c r="AP136" s="380"/>
      <c r="AQ136" s="384">
        <v>105</v>
      </c>
      <c r="AR136" s="380"/>
      <c r="AS136" s="384">
        <v>105</v>
      </c>
      <c r="AT136" s="380"/>
      <c r="AU136" s="384">
        <v>105</v>
      </c>
      <c r="AV136" s="380"/>
      <c r="AW136" s="384">
        <v>93</v>
      </c>
      <c r="AX136" s="380"/>
      <c r="AY136" s="384">
        <v>60</v>
      </c>
      <c r="AZ136" s="380"/>
      <c r="BA136" s="384">
        <v>60</v>
      </c>
      <c r="BB136" s="380"/>
      <c r="BC136" s="384">
        <v>55</v>
      </c>
      <c r="BD136" s="380"/>
      <c r="BE136" s="384">
        <v>76</v>
      </c>
      <c r="BF136" s="380"/>
      <c r="BG136" s="384">
        <v>49</v>
      </c>
      <c r="BH136" s="380"/>
      <c r="BI136" s="384">
        <v>49</v>
      </c>
      <c r="BJ136" s="380"/>
      <c r="BK136" s="384">
        <v>100</v>
      </c>
      <c r="BL136" s="380"/>
      <c r="BM136" s="384">
        <v>49</v>
      </c>
      <c r="BN136" s="380"/>
      <c r="BO136" s="384">
        <v>49</v>
      </c>
      <c r="BP136" s="380"/>
      <c r="BQ136" s="384">
        <v>100</v>
      </c>
      <c r="BR136" s="380"/>
      <c r="BS136" s="384">
        <v>35</v>
      </c>
      <c r="BT136" s="380"/>
      <c r="BU136" s="384">
        <v>100</v>
      </c>
      <c r="BV136" s="380"/>
      <c r="BW136" s="384"/>
      <c r="BX136" s="628"/>
      <c r="BY136" s="628"/>
      <c r="BZ136" s="628"/>
      <c r="CA136" s="628"/>
      <c r="CB136" s="628"/>
      <c r="CC136" s="628"/>
      <c r="CD136" s="628"/>
      <c r="CE136" s="628"/>
      <c r="CF136" s="628"/>
      <c r="CG136" s="628"/>
    </row>
    <row r="137" spans="1:85" ht="14.45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180"/>
      <c r="I137" s="224" t="e">
        <f>#REF!</f>
        <v>#REF!</v>
      </c>
      <c r="J137" s="180"/>
      <c r="K137" s="224" t="e">
        <f>#REF!</f>
        <v>#REF!</v>
      </c>
      <c r="L137" s="180"/>
      <c r="M137" s="224" t="e">
        <f>#REF!</f>
        <v>#REF!</v>
      </c>
      <c r="N137" s="180"/>
      <c r="O137" s="224" t="e">
        <f>#REF!</f>
        <v>#REF!</v>
      </c>
      <c r="P137" s="180"/>
      <c r="Q137" s="224" t="e">
        <f>#REF!</f>
        <v>#REF!</v>
      </c>
      <c r="R137" s="180"/>
      <c r="S137" s="224" t="e">
        <f>#REF!</f>
        <v>#REF!</v>
      </c>
      <c r="T137" s="180"/>
      <c r="U137" s="224" t="e">
        <f>#REF!</f>
        <v>#REF!</v>
      </c>
      <c r="V137" s="180"/>
      <c r="W137" s="224" t="e">
        <f>#REF!</f>
        <v>#REF!</v>
      </c>
      <c r="X137" s="180"/>
      <c r="Y137" s="224" t="e">
        <f>#REF!</f>
        <v>#REF!</v>
      </c>
      <c r="Z137" s="180"/>
      <c r="AA137" s="224" t="e">
        <f>#REF!</f>
        <v>#REF!</v>
      </c>
      <c r="AB137" s="180"/>
      <c r="AC137" s="224" t="e">
        <f>#REF!</f>
        <v>#REF!</v>
      </c>
      <c r="AD137" s="180"/>
      <c r="AE137" s="224" t="e">
        <f>#REF!</f>
        <v>#REF!</v>
      </c>
      <c r="AF137" s="180"/>
      <c r="AG137" s="224" t="e">
        <f>#REF!</f>
        <v>#REF!</v>
      </c>
      <c r="AH137" s="180"/>
      <c r="AI137" s="224" t="e">
        <f>#REF!</f>
        <v>#REF!</v>
      </c>
      <c r="AJ137" s="180"/>
      <c r="AK137" s="224" t="e">
        <f>#REF!</f>
        <v>#REF!</v>
      </c>
      <c r="AL137" s="180"/>
      <c r="AM137" s="224" t="e">
        <f>#REF!</f>
        <v>#REF!</v>
      </c>
      <c r="AN137" s="180"/>
      <c r="AO137" s="224" t="e">
        <f>#REF!</f>
        <v>#REF!</v>
      </c>
      <c r="AP137" s="180"/>
      <c r="AQ137" s="224" t="e">
        <f>#REF!</f>
        <v>#REF!</v>
      </c>
      <c r="AR137" s="180"/>
      <c r="AS137" s="224" t="e">
        <f>#REF!</f>
        <v>#REF!</v>
      </c>
      <c r="AT137" s="180"/>
      <c r="AU137" s="224" t="e">
        <f>#REF!</f>
        <v>#REF!</v>
      </c>
      <c r="AV137" s="180"/>
      <c r="AW137" s="224" t="e">
        <f>#REF!</f>
        <v>#REF!</v>
      </c>
      <c r="AX137" s="180"/>
      <c r="AY137" s="224" t="e">
        <f>#REF!</f>
        <v>#REF!</v>
      </c>
      <c r="AZ137" s="180"/>
      <c r="BA137" s="224" t="e">
        <f>#REF!</f>
        <v>#REF!</v>
      </c>
      <c r="BB137" s="180"/>
      <c r="BC137" s="224" t="e">
        <f>#REF!</f>
        <v>#REF!</v>
      </c>
      <c r="BD137" s="180"/>
      <c r="BE137" s="224" t="e">
        <f>#REF!</f>
        <v>#REF!</v>
      </c>
      <c r="BF137" s="180"/>
      <c r="BG137" s="224" t="e">
        <f>#REF!</f>
        <v>#REF!</v>
      </c>
      <c r="BH137" s="180"/>
      <c r="BI137" s="224" t="e">
        <f>#REF!</f>
        <v>#REF!</v>
      </c>
      <c r="BJ137" s="180"/>
      <c r="BK137" s="224" t="e">
        <f>#REF!</f>
        <v>#REF!</v>
      </c>
      <c r="BL137" s="380"/>
      <c r="BM137" s="384" t="e">
        <f>AS137</f>
        <v>#REF!</v>
      </c>
      <c r="BN137" s="380"/>
      <c r="BO137" s="384" t="e">
        <f>AU137</f>
        <v>#REF!</v>
      </c>
      <c r="BP137" s="380"/>
      <c r="BQ137" s="384" t="e">
        <f>AW137</f>
        <v>#REF!</v>
      </c>
      <c r="BR137" s="380"/>
      <c r="BS137" s="384" t="e">
        <f t="shared" ref="BS137" si="1677">BI137</f>
        <v>#REF!</v>
      </c>
      <c r="BT137" s="380"/>
      <c r="BU137" s="384" t="e">
        <f t="shared" ref="BU137" si="1678">BK137</f>
        <v>#REF!</v>
      </c>
      <c r="BV137" s="380"/>
      <c r="BW137" s="384"/>
      <c r="BX137" s="676"/>
      <c r="BY137" s="676"/>
      <c r="BZ137" s="676"/>
      <c r="CA137" s="676"/>
      <c r="CB137" s="676"/>
      <c r="CC137" s="676"/>
      <c r="CD137" s="676"/>
      <c r="CE137" s="676"/>
      <c r="CF137" s="676"/>
      <c r="CG137" s="676"/>
    </row>
    <row r="138" spans="1:85" ht="14.45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180"/>
      <c r="I138" s="224">
        <v>750</v>
      </c>
      <c r="J138" s="180"/>
      <c r="K138" s="224">
        <v>750</v>
      </c>
      <c r="L138" s="180"/>
      <c r="M138" s="224">
        <v>750</v>
      </c>
      <c r="N138" s="180"/>
      <c r="O138" s="224">
        <v>750</v>
      </c>
      <c r="P138" s="180"/>
      <c r="Q138" s="224">
        <v>750</v>
      </c>
      <c r="R138" s="180"/>
      <c r="S138" s="224">
        <v>750</v>
      </c>
      <c r="T138" s="180"/>
      <c r="U138" s="224">
        <v>750</v>
      </c>
      <c r="V138" s="180"/>
      <c r="W138" s="224">
        <v>750</v>
      </c>
      <c r="X138" s="180"/>
      <c r="Y138" s="224">
        <v>750</v>
      </c>
      <c r="Z138" s="180"/>
      <c r="AA138" s="224">
        <v>750</v>
      </c>
      <c r="AB138" s="180"/>
      <c r="AC138" s="224">
        <v>750</v>
      </c>
      <c r="AD138" s="180"/>
      <c r="AE138" s="224">
        <v>750</v>
      </c>
      <c r="AF138" s="180"/>
      <c r="AG138" s="224">
        <v>750</v>
      </c>
      <c r="AH138" s="180"/>
      <c r="AI138" s="224">
        <v>750</v>
      </c>
      <c r="AJ138" s="180"/>
      <c r="AK138" s="224">
        <v>750</v>
      </c>
      <c r="AL138" s="180"/>
      <c r="AM138" s="224">
        <v>750</v>
      </c>
      <c r="AN138" s="180"/>
      <c r="AO138" s="224">
        <v>750</v>
      </c>
      <c r="AP138" s="180"/>
      <c r="AQ138" s="224">
        <v>750</v>
      </c>
      <c r="AR138" s="180"/>
      <c r="AS138" s="224">
        <v>750</v>
      </c>
      <c r="AT138" s="180"/>
      <c r="AU138" s="224">
        <v>750</v>
      </c>
      <c r="AV138" s="180"/>
      <c r="AW138" s="224">
        <v>750</v>
      </c>
      <c r="AX138" s="180"/>
      <c r="AY138" s="224">
        <v>750</v>
      </c>
      <c r="AZ138" s="180"/>
      <c r="BA138" s="224">
        <v>750</v>
      </c>
      <c r="BB138" s="180"/>
      <c r="BC138" s="224">
        <v>750</v>
      </c>
      <c r="BD138" s="180"/>
      <c r="BE138" s="224">
        <v>750</v>
      </c>
      <c r="BF138" s="180"/>
      <c r="BG138" s="224">
        <v>750</v>
      </c>
      <c r="BH138" s="180"/>
      <c r="BI138" s="224">
        <v>750</v>
      </c>
      <c r="BJ138" s="180"/>
      <c r="BK138" s="224">
        <v>750</v>
      </c>
      <c r="BL138" s="380"/>
      <c r="BM138" s="384">
        <v>750</v>
      </c>
      <c r="BN138" s="380"/>
      <c r="BO138" s="384">
        <v>750</v>
      </c>
      <c r="BP138" s="380"/>
      <c r="BQ138" s="384">
        <v>750</v>
      </c>
      <c r="BR138" s="380"/>
      <c r="BS138" s="384">
        <v>750</v>
      </c>
      <c r="BT138" s="380"/>
      <c r="BU138" s="384">
        <v>750</v>
      </c>
      <c r="BV138" s="380"/>
      <c r="BW138" s="384"/>
      <c r="BX138" s="676"/>
      <c r="BY138" s="676"/>
      <c r="BZ138" s="676"/>
      <c r="CA138" s="676"/>
      <c r="CB138" s="676"/>
      <c r="CC138" s="676"/>
      <c r="CD138" s="676"/>
      <c r="CE138" s="676"/>
      <c r="CF138" s="676"/>
      <c r="CG138" s="676"/>
    </row>
    <row r="139" spans="1:85" ht="14.45" customHeight="1" outlineLevel="4" x14ac:dyDescent="0.45">
      <c r="A139" s="561"/>
      <c r="B139" s="1187"/>
      <c r="C139" s="225" t="s">
        <v>130</v>
      </c>
      <c r="D139" s="162"/>
      <c r="E139" s="179"/>
      <c r="F139" s="164"/>
      <c r="G139" s="171"/>
      <c r="H139" s="164"/>
      <c r="I139" s="171"/>
      <c r="J139" s="164"/>
      <c r="K139" s="171"/>
      <c r="L139" s="164"/>
      <c r="M139" s="171"/>
      <c r="N139" s="164"/>
      <c r="O139" s="171"/>
      <c r="P139" s="164"/>
      <c r="Q139" s="171"/>
      <c r="R139" s="164"/>
      <c r="S139" s="171"/>
      <c r="T139" s="164"/>
      <c r="U139" s="171"/>
      <c r="V139" s="164"/>
      <c r="W139" s="171"/>
      <c r="X139" s="164"/>
      <c r="Y139" s="171"/>
      <c r="Z139" s="164"/>
      <c r="AA139" s="171"/>
      <c r="AB139" s="164"/>
      <c r="AC139" s="171"/>
      <c r="AD139" s="164"/>
      <c r="AE139" s="171"/>
      <c r="AF139" s="164"/>
      <c r="AG139" s="171"/>
      <c r="AH139" s="164"/>
      <c r="AI139" s="171"/>
      <c r="AJ139" s="164"/>
      <c r="AK139" s="171"/>
      <c r="AL139" s="164"/>
      <c r="AM139" s="171"/>
      <c r="AN139" s="164"/>
      <c r="AO139" s="171"/>
      <c r="AP139" s="164"/>
      <c r="AQ139" s="171"/>
      <c r="AR139" s="164"/>
      <c r="AS139" s="171"/>
      <c r="AT139" s="164"/>
      <c r="AU139" s="171"/>
      <c r="AV139" s="164"/>
      <c r="AW139" s="171"/>
      <c r="AX139" s="164"/>
      <c r="AY139" s="171"/>
      <c r="AZ139" s="164"/>
      <c r="BA139" s="171"/>
      <c r="BB139" s="164"/>
      <c r="BC139" s="171"/>
      <c r="BD139" s="164"/>
      <c r="BE139" s="171"/>
      <c r="BF139" s="164"/>
      <c r="BG139" s="171"/>
      <c r="BH139" s="164"/>
      <c r="BI139" s="171"/>
      <c r="BJ139" s="164"/>
      <c r="BK139" s="171"/>
      <c r="BL139" s="359"/>
      <c r="BM139" s="372"/>
      <c r="BN139" s="359"/>
      <c r="BO139" s="372"/>
      <c r="BP139" s="359"/>
      <c r="BQ139" s="372"/>
      <c r="BR139" s="359"/>
      <c r="BS139" s="372"/>
      <c r="BT139" s="359"/>
      <c r="BU139" s="372"/>
      <c r="BV139" s="359"/>
      <c r="BW139" s="3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</row>
    <row r="140" spans="1:85" outlineLevel="3" x14ac:dyDescent="0.45">
      <c r="A140" s="561"/>
      <c r="B140" s="1187"/>
      <c r="C140" s="170"/>
      <c r="D140" s="162"/>
      <c r="E140" s="176"/>
      <c r="F140" s="177"/>
      <c r="G140" s="178"/>
      <c r="H140" s="177"/>
      <c r="I140" s="178"/>
      <c r="J140" s="177"/>
      <c r="K140" s="178"/>
      <c r="L140" s="177"/>
      <c r="M140" s="178"/>
      <c r="N140" s="177"/>
      <c r="O140" s="178"/>
      <c r="P140" s="177"/>
      <c r="Q140" s="178"/>
      <c r="R140" s="177"/>
      <c r="S140" s="178"/>
      <c r="T140" s="177"/>
      <c r="U140" s="178"/>
      <c r="V140" s="177"/>
      <c r="W140" s="178"/>
      <c r="X140" s="177"/>
      <c r="Y140" s="178"/>
      <c r="Z140" s="177"/>
      <c r="AA140" s="178"/>
      <c r="AB140" s="177"/>
      <c r="AC140" s="178"/>
      <c r="AD140" s="177"/>
      <c r="AE140" s="178"/>
      <c r="AF140" s="177"/>
      <c r="AG140" s="178"/>
      <c r="AH140" s="177"/>
      <c r="AI140" s="178"/>
      <c r="AJ140" s="177"/>
      <c r="AK140" s="178"/>
      <c r="AL140" s="177"/>
      <c r="AM140" s="178"/>
      <c r="AN140" s="177"/>
      <c r="AO140" s="178"/>
      <c r="AP140" s="177"/>
      <c r="AQ140" s="178"/>
      <c r="AR140" s="177"/>
      <c r="AS140" s="178"/>
      <c r="AT140" s="177"/>
      <c r="AU140" s="178"/>
      <c r="AV140" s="177"/>
      <c r="AW140" s="178"/>
      <c r="AX140" s="177"/>
      <c r="AY140" s="178"/>
      <c r="AZ140" s="177"/>
      <c r="BA140" s="178"/>
      <c r="BB140" s="177"/>
      <c r="BC140" s="178"/>
      <c r="BD140" s="177"/>
      <c r="BE140" s="178"/>
      <c r="BF140" s="177"/>
      <c r="BG140" s="178"/>
      <c r="BH140" s="177"/>
      <c r="BI140" s="178"/>
      <c r="BJ140" s="177"/>
      <c r="BK140" s="178"/>
      <c r="BL140" s="229"/>
      <c r="BM140" s="230" t="e">
        <f>BM137-BM135</f>
        <v>#REF!</v>
      </c>
      <c r="BN140" s="229"/>
      <c r="BO140" s="230" t="e">
        <f>BO137-BO135</f>
        <v>#REF!</v>
      </c>
      <c r="BP140" s="229"/>
      <c r="BQ140" s="230" t="e">
        <f>BQ137-BQ135</f>
        <v>#REF!</v>
      </c>
      <c r="BR140" s="375"/>
      <c r="BS140" s="376"/>
      <c r="BT140" s="375"/>
      <c r="BU140" s="376"/>
      <c r="BV140" s="375"/>
      <c r="BW140" s="376"/>
      <c r="BX140" s="175"/>
      <c r="BY140" s="175"/>
      <c r="BZ140" s="175"/>
      <c r="CA140" s="175"/>
      <c r="CB140" s="175"/>
      <c r="CC140" s="175"/>
      <c r="CD140" s="175"/>
      <c r="CE140" s="175"/>
      <c r="CF140" s="175"/>
      <c r="CG140" s="175"/>
    </row>
    <row r="141" spans="1:85" outlineLevel="3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80.546366449685365</v>
      </c>
      <c r="H141" s="229"/>
      <c r="I141" s="230">
        <f t="shared" ref="I141" si="1679">I136-I135</f>
        <v>583.96966757781502</v>
      </c>
      <c r="J141" s="229"/>
      <c r="K141" s="230">
        <f t="shared" ref="K141" si="1680">K136-K135</f>
        <v>277.55702722590149</v>
      </c>
      <c r="L141" s="229"/>
      <c r="M141" s="230">
        <f t="shared" ref="M141" si="1681">M136-M135</f>
        <v>-67.973293129442254</v>
      </c>
      <c r="N141" s="229"/>
      <c r="O141" s="230">
        <f t="shared" ref="O141" si="1682">O136-O135</f>
        <v>379.26221335992045</v>
      </c>
      <c r="P141" s="229"/>
      <c r="Q141" s="230">
        <f t="shared" ref="Q141" si="1683">Q136-Q135</f>
        <v>94.816502563268159</v>
      </c>
      <c r="R141" s="229"/>
      <c r="S141" s="230">
        <f t="shared" ref="S141" si="1684">S136-S135</f>
        <v>98.780777354190377</v>
      </c>
      <c r="T141" s="229"/>
      <c r="U141" s="230">
        <f t="shared" ref="U141" si="1685">U136-U135</f>
        <v>31.375358166189017</v>
      </c>
      <c r="V141" s="229"/>
      <c r="W141" s="230">
        <f t="shared" ref="W141" si="1686">W136-W135</f>
        <v>-190.60120766605417</v>
      </c>
      <c r="X141" s="229"/>
      <c r="Y141" s="230">
        <f t="shared" ref="Y141" si="1687">Y136-Y135</f>
        <v>-483.05935877076274</v>
      </c>
      <c r="Z141" s="229"/>
      <c r="AA141" s="230">
        <f t="shared" ref="AA141" si="1688">AA136-AA135</f>
        <v>-600.01231454923789</v>
      </c>
      <c r="AB141" s="229"/>
      <c r="AC141" s="230">
        <f t="shared" ref="AC141:AI141" si="1689">AC136-AC135</f>
        <v>-627.42257490063491</v>
      </c>
      <c r="AD141" s="229"/>
      <c r="AE141" s="230">
        <f t="shared" si="1689"/>
        <v>-797.61223344556674</v>
      </c>
      <c r="AF141" s="229"/>
      <c r="AG141" s="230">
        <f t="shared" si="1689"/>
        <v>-1042.4214202561118</v>
      </c>
      <c r="AH141" s="229"/>
      <c r="AI141" s="230">
        <f t="shared" si="1689"/>
        <v>-528.46022241231822</v>
      </c>
      <c r="AJ141" s="229"/>
      <c r="AK141" s="230">
        <f t="shared" ref="AK141" si="1690">AK136-AK135</f>
        <v>-1176.6600985221676</v>
      </c>
      <c r="AL141" s="229"/>
      <c r="AM141" s="230">
        <f t="shared" ref="AM141" si="1691">AM136-AM135</f>
        <v>-740</v>
      </c>
      <c r="AN141" s="229"/>
      <c r="AO141" s="230">
        <f t="shared" ref="AO141:AQ141" si="1692">AO136-AO135</f>
        <v>-1050</v>
      </c>
      <c r="AP141" s="229"/>
      <c r="AQ141" s="230">
        <f t="shared" si="1692"/>
        <v>-1095</v>
      </c>
      <c r="AR141" s="229"/>
      <c r="AS141" s="230">
        <f t="shared" ref="AS141:AU141" si="1693">AS136-AS135</f>
        <v>-1095</v>
      </c>
      <c r="AT141" s="229"/>
      <c r="AU141" s="230">
        <f t="shared" si="1693"/>
        <v>-1095</v>
      </c>
      <c r="AV141" s="229"/>
      <c r="AW141" s="230">
        <f t="shared" ref="AW141" si="1694">AW136-AW135</f>
        <v>-1107</v>
      </c>
      <c r="AX141" s="229"/>
      <c r="AY141" s="230">
        <f t="shared" ref="AY141" si="1695">AY136-AY135</f>
        <v>-1140</v>
      </c>
      <c r="AZ141" s="229"/>
      <c r="BA141" s="230">
        <f t="shared" ref="BA141:BC141" si="1696">BA136-BA135</f>
        <v>-690</v>
      </c>
      <c r="BB141" s="229"/>
      <c r="BC141" s="230">
        <f t="shared" si="1696"/>
        <v>-695</v>
      </c>
      <c r="BD141" s="229"/>
      <c r="BE141" s="230">
        <f t="shared" ref="BE141:BI141" si="1697">BE136-BE135</f>
        <v>-674</v>
      </c>
      <c r="BF141" s="229"/>
      <c r="BG141" s="230">
        <f t="shared" ref="BG141" si="1698">BG136-BG135</f>
        <v>-701</v>
      </c>
      <c r="BH141" s="229"/>
      <c r="BI141" s="230">
        <f t="shared" si="1697"/>
        <v>-701</v>
      </c>
      <c r="BJ141" s="229"/>
      <c r="BK141" s="230">
        <f t="shared" ref="BK141" si="1699">BK136-BK135</f>
        <v>-650</v>
      </c>
      <c r="BL141" s="229"/>
      <c r="BM141" s="588" t="e">
        <f>BM140*BM133</f>
        <v>#REF!</v>
      </c>
      <c r="BN141" s="229"/>
      <c r="BO141" s="588" t="e">
        <f>BO140*BO133</f>
        <v>#REF!</v>
      </c>
      <c r="BP141" s="229"/>
      <c r="BQ141" s="588" t="e">
        <f>BQ140*BQ133</f>
        <v>#REF!</v>
      </c>
      <c r="BR141" s="229"/>
      <c r="BS141" s="230">
        <f t="shared" ref="BS141:BU141" si="1700">BS136-BS135</f>
        <v>-715</v>
      </c>
      <c r="BT141" s="229"/>
      <c r="BU141" s="230">
        <f t="shared" si="1700"/>
        <v>-650</v>
      </c>
      <c r="BV141" s="229"/>
      <c r="BW141" s="230"/>
      <c r="BX141" s="663"/>
      <c r="BY141" s="663"/>
      <c r="BZ141" s="663"/>
      <c r="CA141" s="663"/>
      <c r="CB141" s="663"/>
      <c r="CC141" s="663"/>
      <c r="CD141" s="663"/>
      <c r="CE141" s="663"/>
      <c r="CF141" s="663"/>
      <c r="CG141" s="663"/>
    </row>
    <row r="142" spans="1:85" outlineLevel="3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578.30613061573058</v>
      </c>
      <c r="H142" s="229"/>
      <c r="I142" s="230">
        <f t="shared" ref="I142" si="1701">I141*I130</f>
        <v>4192.7805528612998</v>
      </c>
      <c r="J142" s="229"/>
      <c r="K142" s="230">
        <f t="shared" ref="K142" si="1702">K141*K130</f>
        <v>1992.8016311013007</v>
      </c>
      <c r="L142" s="229"/>
      <c r="M142" s="230">
        <f t="shared" ref="M142" si="1703">M141*M130</f>
        <v>-488.03408356666006</v>
      </c>
      <c r="N142" s="229"/>
      <c r="O142" s="230">
        <f t="shared" ref="O142" si="1704">O141*O130</f>
        <v>2723.0236789631122</v>
      </c>
      <c r="P142" s="229"/>
      <c r="Q142" s="230">
        <f t="shared" ref="Q142" si="1705">Q141*Q130</f>
        <v>680.76273496623139</v>
      </c>
      <c r="R142" s="229"/>
      <c r="S142" s="230">
        <f t="shared" ref="S142" si="1706">S141*S130</f>
        <v>709.22540207447139</v>
      </c>
      <c r="T142" s="229"/>
      <c r="U142" s="230">
        <f t="shared" ref="U142" si="1707">U141*U130</f>
        <v>225.26853510028585</v>
      </c>
      <c r="V142" s="229"/>
      <c r="W142" s="230">
        <f t="shared" ref="W142" si="1708">W141*W130</f>
        <v>-1368.4769624573385</v>
      </c>
      <c r="X142" s="229"/>
      <c r="Y142" s="230">
        <f t="shared" ref="Y142" si="1709">Y141*Y130</f>
        <v>-3468.2655586076658</v>
      </c>
      <c r="Z142" s="229"/>
      <c r="AA142" s="230">
        <f t="shared" ref="AA142" si="1710">AA141*AA130</f>
        <v>-4307.963415897997</v>
      </c>
      <c r="AB142" s="229"/>
      <c r="AC142" s="230">
        <f t="shared" ref="AC142" si="1711">AC141*AC130</f>
        <v>-4504.7633747501213</v>
      </c>
      <c r="AD142" s="229"/>
      <c r="AE142" s="230">
        <f t="shared" ref="AE142" si="1712">AE141*AE130</f>
        <v>-5726.6896669238677</v>
      </c>
      <c r="AF142" s="229"/>
      <c r="AG142" s="230">
        <f t="shared" ref="AG142" si="1713">AG141*AG130</f>
        <v>-7484.3686263096624</v>
      </c>
      <c r="AH142" s="229"/>
      <c r="AI142" s="230">
        <f t="shared" ref="AI142" si="1714">AI141*AI130</f>
        <v>-3794.2343010407753</v>
      </c>
      <c r="AJ142" s="229"/>
      <c r="AK142" s="230">
        <f t="shared" ref="AK142" si="1715">AK141*AK130</f>
        <v>-8448.1743698686369</v>
      </c>
      <c r="AL142" s="229"/>
      <c r="AM142" s="230">
        <f t="shared" ref="AM142" si="1716">AM141*AM130</f>
        <v>-5313.0458333333336</v>
      </c>
      <c r="AN142" s="229"/>
      <c r="AO142" s="230">
        <f t="shared" ref="AO142:AQ142" si="1717">AO141*AO130</f>
        <v>-7538.78125</v>
      </c>
      <c r="AP142" s="229"/>
      <c r="AQ142" s="230">
        <f t="shared" si="1717"/>
        <v>-7861.8718749999998</v>
      </c>
      <c r="AR142" s="229"/>
      <c r="AS142" s="230">
        <f t="shared" ref="AS142:AU142" si="1718">AS141*AS130</f>
        <v>-7861.8718749999998</v>
      </c>
      <c r="AT142" s="229"/>
      <c r="AU142" s="230">
        <f t="shared" si="1718"/>
        <v>-7861.8718749999998</v>
      </c>
      <c r="AV142" s="229"/>
      <c r="AW142" s="230">
        <f t="shared" ref="AW142" si="1719">AW141*AW130</f>
        <v>-7948.0293750000001</v>
      </c>
      <c r="AX142" s="229"/>
      <c r="AY142" s="230">
        <f t="shared" ref="AY142" si="1720">AY141*AY130</f>
        <v>-8184.9624999999996</v>
      </c>
      <c r="AZ142" s="229"/>
      <c r="BA142" s="230">
        <f t="shared" ref="BA142:BC142" si="1721">BA141*BA130</f>
        <v>-4954.0562499999996</v>
      </c>
      <c r="BB142" s="229"/>
      <c r="BC142" s="230">
        <f t="shared" si="1721"/>
        <v>-4989.9552083333328</v>
      </c>
      <c r="BD142" s="229"/>
      <c r="BE142" s="230">
        <f t="shared" ref="BE142:BI142" si="1722">BE141*BE130</f>
        <v>-4839.1795833333335</v>
      </c>
      <c r="BF142" s="229"/>
      <c r="BG142" s="230">
        <f t="shared" ref="BG142" si="1723">BG141*BG130</f>
        <v>-5033.0339583333334</v>
      </c>
      <c r="BH142" s="229"/>
      <c r="BI142" s="230">
        <f t="shared" si="1722"/>
        <v>-5033.0339583333334</v>
      </c>
      <c r="BJ142" s="229"/>
      <c r="BK142" s="230">
        <f t="shared" ref="BK142" si="1724">BK141*BK130</f>
        <v>-4666.864583333333</v>
      </c>
      <c r="BL142" s="381"/>
      <c r="BM142" s="385"/>
      <c r="BN142" s="381"/>
      <c r="BO142" s="385"/>
      <c r="BP142" s="381"/>
      <c r="BQ142" s="385"/>
      <c r="BR142" s="229"/>
      <c r="BS142" s="588">
        <f t="shared" ref="BS142:BU142" si="1725">BS141*BS133</f>
        <v>0</v>
      </c>
      <c r="BT142" s="229"/>
      <c r="BU142" s="588">
        <f t="shared" si="1725"/>
        <v>0</v>
      </c>
      <c r="BV142" s="229"/>
      <c r="BW142" s="588"/>
      <c r="BX142" s="663"/>
      <c r="BY142" s="663"/>
      <c r="BZ142" s="663"/>
      <c r="CA142" s="663"/>
      <c r="CB142" s="663"/>
      <c r="CC142" s="663"/>
      <c r="CD142" s="663"/>
      <c r="CE142" s="663"/>
      <c r="CF142" s="663"/>
      <c r="CG142" s="663"/>
    </row>
    <row r="143" spans="1:85" ht="14.65" outlineLevel="2" thickBot="1" x14ac:dyDescent="0.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235"/>
      <c r="O143" s="236"/>
      <c r="P143" s="235"/>
      <c r="Q143" s="236"/>
      <c r="R143" s="235"/>
      <c r="S143" s="236"/>
      <c r="T143" s="235"/>
      <c r="U143" s="236"/>
      <c r="V143" s="235"/>
      <c r="W143" s="236"/>
      <c r="X143" s="235"/>
      <c r="Y143" s="236"/>
      <c r="Z143" s="235"/>
      <c r="AA143" s="236"/>
      <c r="AB143" s="235"/>
      <c r="AC143" s="236"/>
      <c r="AD143" s="235"/>
      <c r="AE143" s="236"/>
      <c r="AF143" s="235"/>
      <c r="AG143" s="236"/>
      <c r="AH143" s="235"/>
      <c r="AI143" s="236"/>
      <c r="AJ143" s="235"/>
      <c r="AK143" s="236"/>
      <c r="AL143" s="235"/>
      <c r="AM143" s="236"/>
      <c r="AN143" s="235"/>
      <c r="AO143" s="236"/>
      <c r="AP143" s="235"/>
      <c r="AQ143" s="236"/>
      <c r="AR143" s="235"/>
      <c r="AS143" s="236"/>
      <c r="AT143" s="235"/>
      <c r="AU143" s="236"/>
      <c r="AV143" s="235"/>
      <c r="AW143" s="236"/>
      <c r="AX143" s="235"/>
      <c r="AY143" s="236"/>
      <c r="AZ143" s="235"/>
      <c r="BA143" s="236"/>
      <c r="BB143" s="235"/>
      <c r="BC143" s="236"/>
      <c r="BD143" s="235"/>
      <c r="BE143" s="236"/>
      <c r="BF143" s="235"/>
      <c r="BG143" s="236"/>
      <c r="BH143" s="235"/>
      <c r="BI143" s="236"/>
      <c r="BJ143" s="235"/>
      <c r="BK143" s="236"/>
      <c r="BL143" s="304"/>
      <c r="BM143" s="305">
        <f>BM98*BM132</f>
        <v>0</v>
      </c>
      <c r="BN143" s="304"/>
      <c r="BO143" s="305">
        <f>BO98*BO132</f>
        <v>0</v>
      </c>
      <c r="BP143" s="304"/>
      <c r="BQ143" s="305">
        <f>BQ98*BQ132</f>
        <v>0</v>
      </c>
      <c r="BR143" s="381"/>
      <c r="BS143" s="385"/>
      <c r="BT143" s="381"/>
      <c r="BU143" s="385"/>
      <c r="BV143" s="381"/>
      <c r="BW143" s="385"/>
      <c r="BX143" s="1154"/>
      <c r="BY143" s="1154"/>
      <c r="BZ143" s="1154"/>
      <c r="CA143" s="1154"/>
      <c r="CB143" s="1154"/>
      <c r="CC143" s="1154"/>
      <c r="CD143" s="1154"/>
      <c r="CE143" s="1154"/>
      <c r="CF143" s="1154"/>
      <c r="CG143" s="1154"/>
    </row>
    <row r="144" spans="1:85" ht="15.75" customHeight="1" outlineLevel="3" thickTop="1" thickBot="1" x14ac:dyDescent="0.5">
      <c r="A144" s="561"/>
      <c r="B144" s="1188"/>
      <c r="C144" s="301" t="s">
        <v>391</v>
      </c>
      <c r="D144" s="302"/>
      <c r="E144" s="303"/>
      <c r="F144" s="304"/>
      <c r="G144" s="305">
        <f>G98*G129</f>
        <v>15544.736495425006</v>
      </c>
      <c r="H144" s="304"/>
      <c r="I144" s="305">
        <f t="shared" ref="I144" si="1726">I98*I129</f>
        <v>7071.8665135969259</v>
      </c>
      <c r="J144" s="304"/>
      <c r="K144" s="305">
        <f t="shared" ref="K144" si="1727">K98*K129</f>
        <v>8729.5692153503642</v>
      </c>
      <c r="L144" s="304"/>
      <c r="M144" s="305">
        <f t="shared" ref="M144" si="1728">M98*M129</f>
        <v>11403.550995929938</v>
      </c>
      <c r="N144" s="304"/>
      <c r="O144" s="305">
        <f t="shared" ref="O144" si="1729">O98*O129</f>
        <v>-1435.5592061569776</v>
      </c>
      <c r="P144" s="304"/>
      <c r="Q144" s="305">
        <f t="shared" ref="Q144" si="1730">Q98*Q129</f>
        <v>7990.7927196287665</v>
      </c>
      <c r="R144" s="304"/>
      <c r="S144" s="305">
        <f t="shared" ref="S144" si="1731">S98*S129</f>
        <v>4460.7776247114552</v>
      </c>
      <c r="T144" s="304"/>
      <c r="U144" s="305">
        <f t="shared" ref="U144" si="1732">U98*U129</f>
        <v>8696.5075114286592</v>
      </c>
      <c r="V144" s="304"/>
      <c r="W144" s="305">
        <f t="shared" ref="W144" si="1733">W98*W129</f>
        <v>15794.619717700751</v>
      </c>
      <c r="X144" s="304"/>
      <c r="Y144" s="305">
        <f t="shared" ref="Y144" si="1734">Y98*Y129</f>
        <v>18496.674731150582</v>
      </c>
      <c r="Z144" s="304"/>
      <c r="AA144" s="305">
        <f t="shared" ref="AA144" si="1735">AA98*AA129</f>
        <v>20278.307940245857</v>
      </c>
      <c r="AB144" s="304"/>
      <c r="AC144" s="305">
        <f t="shared" ref="AC144" si="1736">AC98*AC129</f>
        <v>31052.81170312563</v>
      </c>
      <c r="AD144" s="304"/>
      <c r="AE144" s="305">
        <f>AE98*AE132</f>
        <v>3747.0048483898977</v>
      </c>
      <c r="AF144" s="304"/>
      <c r="AG144" s="305">
        <f>AG98*AG132</f>
        <v>1527.4526403091313</v>
      </c>
      <c r="AH144" s="304"/>
      <c r="AI144" s="305">
        <f>AI98*AI132</f>
        <v>7230.4090578966561</v>
      </c>
      <c r="AJ144" s="304"/>
      <c r="AK144" s="305">
        <f>AK98*AK132</f>
        <v>171.64423288364273</v>
      </c>
      <c r="AL144" s="304"/>
      <c r="AM144" s="305">
        <f>AM98*AM132</f>
        <v>6058.7002842279217</v>
      </c>
      <c r="AN144" s="304"/>
      <c r="AO144" s="305">
        <f>AO98*AO132</f>
        <v>10286.340397630802</v>
      </c>
      <c r="AP144" s="304"/>
      <c r="AQ144" s="305">
        <f>AQ98*AQ132</f>
        <v>8478.1606351735736</v>
      </c>
      <c r="AR144" s="304"/>
      <c r="AS144" s="305">
        <f>AS98*AS132</f>
        <v>8993.1683096675897</v>
      </c>
      <c r="AT144" s="304"/>
      <c r="AU144" s="305">
        <f>AU98*AU132</f>
        <v>15708.987734326478</v>
      </c>
      <c r="AV144" s="304"/>
      <c r="AW144" s="305">
        <f>AW98*AW132</f>
        <v>0</v>
      </c>
      <c r="AX144" s="304"/>
      <c r="AY144" s="305">
        <f>AY98*AY132</f>
        <v>0</v>
      </c>
      <c r="AZ144" s="304"/>
      <c r="BA144" s="305">
        <f>BA98*BA132</f>
        <v>0</v>
      </c>
      <c r="BB144" s="304"/>
      <c r="BC144" s="305">
        <f>BC98*BC132</f>
        <v>0</v>
      </c>
      <c r="BD144" s="304"/>
      <c r="BE144" s="305">
        <f>BE98*BE132</f>
        <v>0</v>
      </c>
      <c r="BF144" s="304"/>
      <c r="BG144" s="305">
        <f>BG98*BG132</f>
        <v>0</v>
      </c>
      <c r="BH144" s="304"/>
      <c r="BI144" s="305">
        <f>BI98*BI132</f>
        <v>0</v>
      </c>
      <c r="BJ144" s="304"/>
      <c r="BK144" s="305">
        <f>BK98*BK132</f>
        <v>0</v>
      </c>
      <c r="BR144" s="304"/>
      <c r="BS144" s="305">
        <f t="shared" ref="BS144:BU144" si="1737">BS98*BS132</f>
        <v>0</v>
      </c>
      <c r="BT144" s="304"/>
      <c r="BU144" s="305">
        <f t="shared" si="1737"/>
        <v>0</v>
      </c>
      <c r="BV144" s="304"/>
      <c r="BW144" s="305"/>
      <c r="BX144" s="722"/>
      <c r="BY144" s="722"/>
      <c r="BZ144" s="722"/>
      <c r="CA144" s="722"/>
      <c r="CB144" s="722"/>
      <c r="CC144" s="722"/>
      <c r="CD144" s="722"/>
      <c r="CE144" s="722"/>
      <c r="CF144" s="722"/>
      <c r="CG144" s="722"/>
    </row>
    <row r="145" spans="11:11" ht="14.65" outlineLevel="2" thickTop="1" x14ac:dyDescent="0.45"/>
    <row r="146" spans="11:11" outlineLevel="2" x14ac:dyDescent="0.45"/>
    <row r="147" spans="11:11" outlineLevel="1" x14ac:dyDescent="0.45">
      <c r="K147" s="1105"/>
    </row>
    <row r="148" spans="11:11" x14ac:dyDescent="0.45">
      <c r="K148" s="1105"/>
    </row>
    <row r="149" spans="11:11" x14ac:dyDescent="0.45">
      <c r="K149" s="1017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262">
    <mergeCell ref="BJ9:BK9"/>
    <mergeCell ref="BT2:BU2"/>
    <mergeCell ref="BT3:BU3"/>
    <mergeCell ref="BT4:BU5"/>
    <mergeCell ref="BT6:BU6"/>
    <mergeCell ref="BT7:BU7"/>
    <mergeCell ref="BT8:BU8"/>
    <mergeCell ref="BT9:BU9"/>
    <mergeCell ref="BJ2:BK2"/>
    <mergeCell ref="BJ3:BK3"/>
    <mergeCell ref="BJ4:BK5"/>
    <mergeCell ref="BJ6:BK6"/>
    <mergeCell ref="BJ7:BK7"/>
    <mergeCell ref="BJ8:BK8"/>
    <mergeCell ref="BN8:BO8"/>
    <mergeCell ref="BN9:BO9"/>
    <mergeCell ref="BV2:BW2"/>
    <mergeCell ref="BV3:BW3"/>
    <mergeCell ref="BV4:BW5"/>
    <mergeCell ref="BV6:BW6"/>
    <mergeCell ref="BV7:BW7"/>
    <mergeCell ref="BV8:BW8"/>
    <mergeCell ref="BV9:BW9"/>
    <mergeCell ref="BN1:BO1"/>
    <mergeCell ref="BN2:BO2"/>
    <mergeCell ref="BN3:BO3"/>
    <mergeCell ref="BN4:BO5"/>
    <mergeCell ref="BN6:BO6"/>
    <mergeCell ref="BN7:BO7"/>
    <mergeCell ref="BR9:BS9"/>
    <mergeCell ref="BR2:BS2"/>
    <mergeCell ref="BR3:BS3"/>
    <mergeCell ref="BR4:BS5"/>
    <mergeCell ref="BR6:BS6"/>
    <mergeCell ref="BR7:BS7"/>
    <mergeCell ref="BR8:BS8"/>
    <mergeCell ref="B100:B113"/>
    <mergeCell ref="B124:B144"/>
    <mergeCell ref="B34:B39"/>
    <mergeCell ref="B40:B46"/>
    <mergeCell ref="B47:B70"/>
    <mergeCell ref="CI60:CJ63"/>
    <mergeCell ref="CI64:CJ67"/>
    <mergeCell ref="B71:B84"/>
    <mergeCell ref="BD9:BE9"/>
    <mergeCell ref="BH9:BI9"/>
    <mergeCell ref="D12:E12"/>
    <mergeCell ref="B15:B21"/>
    <mergeCell ref="B22:B27"/>
    <mergeCell ref="B28:B33"/>
    <mergeCell ref="AR9:AS9"/>
    <mergeCell ref="AT9:AU9"/>
    <mergeCell ref="AV9:AW9"/>
    <mergeCell ref="AX9:AY9"/>
    <mergeCell ref="AZ9:BA9"/>
    <mergeCell ref="BB9:BC9"/>
    <mergeCell ref="AF9:AG9"/>
    <mergeCell ref="AH9:AI9"/>
    <mergeCell ref="AJ9:AK9"/>
    <mergeCell ref="AL9:AM9"/>
    <mergeCell ref="AN9:AO9"/>
    <mergeCell ref="AP9:AQ9"/>
    <mergeCell ref="T9:U9"/>
    <mergeCell ref="V9:W9"/>
    <mergeCell ref="X9:Y9"/>
    <mergeCell ref="Z9:AA9"/>
    <mergeCell ref="AB9:AC9"/>
    <mergeCell ref="AD9:AE9"/>
    <mergeCell ref="BB8:BC8"/>
    <mergeCell ref="X8:Y8"/>
    <mergeCell ref="Z8:AA8"/>
    <mergeCell ref="AB8:AC8"/>
    <mergeCell ref="BD8:BE8"/>
    <mergeCell ref="BH8:BI8"/>
    <mergeCell ref="F9:G9"/>
    <mergeCell ref="H9:I9"/>
    <mergeCell ref="J9:K9"/>
    <mergeCell ref="L9:M9"/>
    <mergeCell ref="N9:O9"/>
    <mergeCell ref="P9:Q9"/>
    <mergeCell ref="R9:S9"/>
    <mergeCell ref="AP8:AQ8"/>
    <mergeCell ref="AR8:AS8"/>
    <mergeCell ref="AT8:AU8"/>
    <mergeCell ref="AV8:AW8"/>
    <mergeCell ref="AX8:AY8"/>
    <mergeCell ref="AZ8:BA8"/>
    <mergeCell ref="AD8:AE8"/>
    <mergeCell ref="AF8:AG8"/>
    <mergeCell ref="AH8:AI8"/>
    <mergeCell ref="AJ8:AK8"/>
    <mergeCell ref="AL8:AM8"/>
    <mergeCell ref="AN8:AO8"/>
    <mergeCell ref="R8:S8"/>
    <mergeCell ref="T8:U8"/>
    <mergeCell ref="V8:W8"/>
    <mergeCell ref="F8:G8"/>
    <mergeCell ref="H8:I8"/>
    <mergeCell ref="J8:K8"/>
    <mergeCell ref="L8:M8"/>
    <mergeCell ref="N8:O8"/>
    <mergeCell ref="P8:Q8"/>
    <mergeCell ref="AV7:AW7"/>
    <mergeCell ref="AX7:AY7"/>
    <mergeCell ref="AZ7:BA7"/>
    <mergeCell ref="X7:Y7"/>
    <mergeCell ref="Z7:AA7"/>
    <mergeCell ref="AB7:AC7"/>
    <mergeCell ref="AD7:AE7"/>
    <mergeCell ref="AF7:AG7"/>
    <mergeCell ref="AH7:AI7"/>
    <mergeCell ref="BB7:BC7"/>
    <mergeCell ref="BD7:BE7"/>
    <mergeCell ref="BH7:BI7"/>
    <mergeCell ref="AJ7:AK7"/>
    <mergeCell ref="AL7:AM7"/>
    <mergeCell ref="AN7:AO7"/>
    <mergeCell ref="AP7:AQ7"/>
    <mergeCell ref="AR7:AS7"/>
    <mergeCell ref="AT7:AU7"/>
    <mergeCell ref="BH6:BI6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AT6:AU6"/>
    <mergeCell ref="AV6:AW6"/>
    <mergeCell ref="AX6:AY6"/>
    <mergeCell ref="AZ6:BA6"/>
    <mergeCell ref="BB6:BC6"/>
    <mergeCell ref="BD6:BE6"/>
    <mergeCell ref="AH6:AI6"/>
    <mergeCell ref="AJ6:AK6"/>
    <mergeCell ref="AL6:AM6"/>
    <mergeCell ref="AN6:AO6"/>
    <mergeCell ref="AP6:AQ6"/>
    <mergeCell ref="AR6:AS6"/>
    <mergeCell ref="V6:W6"/>
    <mergeCell ref="X6:Y6"/>
    <mergeCell ref="Z6:AA6"/>
    <mergeCell ref="AB6:AC6"/>
    <mergeCell ref="AD6:AE6"/>
    <mergeCell ref="AF6:AG6"/>
    <mergeCell ref="BH4:BI5"/>
    <mergeCell ref="B6:B13"/>
    <mergeCell ref="F6:G6"/>
    <mergeCell ref="H6:I6"/>
    <mergeCell ref="J6:K6"/>
    <mergeCell ref="L6:M6"/>
    <mergeCell ref="N6:O6"/>
    <mergeCell ref="P6:Q6"/>
    <mergeCell ref="R6:S6"/>
    <mergeCell ref="T6:U6"/>
    <mergeCell ref="AT4:AU5"/>
    <mergeCell ref="AV4:AW5"/>
    <mergeCell ref="AX4:AY5"/>
    <mergeCell ref="AZ4:BA5"/>
    <mergeCell ref="BB4:BC5"/>
    <mergeCell ref="BD4:BE5"/>
    <mergeCell ref="AH4:AI5"/>
    <mergeCell ref="AJ4:AK5"/>
    <mergeCell ref="AL4:AM5"/>
    <mergeCell ref="AN4:AO5"/>
    <mergeCell ref="AP4:AQ5"/>
    <mergeCell ref="AR4:AS5"/>
    <mergeCell ref="V4:W5"/>
    <mergeCell ref="X4:Y5"/>
    <mergeCell ref="Z4:AA5"/>
    <mergeCell ref="AB4:AC5"/>
    <mergeCell ref="AD4:AE5"/>
    <mergeCell ref="AF4:AG5"/>
    <mergeCell ref="BD3:BE3"/>
    <mergeCell ref="Z3:AA3"/>
    <mergeCell ref="AB3:AC3"/>
    <mergeCell ref="AD3:AE3"/>
    <mergeCell ref="BH3:BI3"/>
    <mergeCell ref="F4:G5"/>
    <mergeCell ref="H4:I5"/>
    <mergeCell ref="J4:K5"/>
    <mergeCell ref="L4:M5"/>
    <mergeCell ref="N4:O5"/>
    <mergeCell ref="P4:Q5"/>
    <mergeCell ref="R4:S5"/>
    <mergeCell ref="T4:U5"/>
    <mergeCell ref="AR3:AS3"/>
    <mergeCell ref="AT3:AU3"/>
    <mergeCell ref="AV3:AW3"/>
    <mergeCell ref="AX3:AY3"/>
    <mergeCell ref="AZ3:BA3"/>
    <mergeCell ref="BB3:BC3"/>
    <mergeCell ref="AF3:AG3"/>
    <mergeCell ref="AH3:AI3"/>
    <mergeCell ref="AJ3:AK3"/>
    <mergeCell ref="AL3:AM3"/>
    <mergeCell ref="AN3:AO3"/>
    <mergeCell ref="AP3:AQ3"/>
    <mergeCell ref="T3:U3"/>
    <mergeCell ref="V3:W3"/>
    <mergeCell ref="X3:Y3"/>
    <mergeCell ref="BB2:BC2"/>
    <mergeCell ref="BD2:BE2"/>
    <mergeCell ref="BH2:BI2"/>
    <mergeCell ref="F3:G3"/>
    <mergeCell ref="H3:I3"/>
    <mergeCell ref="J3:K3"/>
    <mergeCell ref="L3:M3"/>
    <mergeCell ref="N3:O3"/>
    <mergeCell ref="P3:Q3"/>
    <mergeCell ref="R3:S3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F2:G2"/>
    <mergeCell ref="H2:I2"/>
    <mergeCell ref="J2:K2"/>
    <mergeCell ref="L2:M2"/>
    <mergeCell ref="N2:O2"/>
    <mergeCell ref="P2:Q2"/>
    <mergeCell ref="CB22:CC22"/>
    <mergeCell ref="BF2:BG2"/>
    <mergeCell ref="BF3:BG3"/>
    <mergeCell ref="BF4:BG5"/>
    <mergeCell ref="BF6:BG6"/>
    <mergeCell ref="BF7:BG7"/>
    <mergeCell ref="BF8:BG8"/>
    <mergeCell ref="BF9:BG9"/>
    <mergeCell ref="BP1:BQ1"/>
    <mergeCell ref="BP2:BQ2"/>
    <mergeCell ref="BP3:BQ3"/>
    <mergeCell ref="BP4:BQ5"/>
    <mergeCell ref="BP6:BQ6"/>
    <mergeCell ref="BP7:BQ7"/>
    <mergeCell ref="BP8:BQ8"/>
    <mergeCell ref="BP9:BQ9"/>
    <mergeCell ref="BL1:BM1"/>
    <mergeCell ref="BL2:BM2"/>
    <mergeCell ref="BL3:BM3"/>
    <mergeCell ref="BL4:BM5"/>
    <mergeCell ref="BL6:BM6"/>
    <mergeCell ref="BL7:BM7"/>
    <mergeCell ref="BL8:BM8"/>
    <mergeCell ref="BL9:BM9"/>
  </mergeCells>
  <pageMargins left="0.7" right="0.7" top="0.75" bottom="0.75" header="0.3" footer="0.3"/>
  <pageSetup paperSize="8" scale="62" fitToWidth="0" orientation="portrait" verticalDpi="598" r:id="rId1"/>
  <customProperties>
    <customPr name="_pios_i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BE37-C00F-44A2-9E95-359D2A748A57}">
  <sheetPr>
    <pageSetUpPr fitToPage="1"/>
  </sheetPr>
  <dimension ref="A1:CS181"/>
  <sheetViews>
    <sheetView showGridLines="0" tabSelected="1" view="pageBreakPreview" zoomScale="80" zoomScaleNormal="85" zoomScaleSheetLayoutView="80" workbookViewId="0">
      <pane xSplit="5" ySplit="6" topLeftCell="BN22" activePane="bottomRight" state="frozen"/>
      <selection activeCell="CG143" sqref="CG143"/>
      <selection pane="topRight" activeCell="CG143" sqref="CG143"/>
      <selection pane="bottomLeft" activeCell="CG143" sqref="CG143"/>
      <selection pane="bottomRight" activeCell="A73" sqref="A73:XFD73"/>
    </sheetView>
  </sheetViews>
  <sheetFormatPr defaultRowHeight="14.25" outlineLevelRow="4" outlineLevelCol="1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29" width="12.86328125" hidden="1" customWidth="1" outlineLevel="1"/>
    <col min="30" max="30" width="12.86328125" hidden="1" customWidth="1" collapsed="1"/>
    <col min="31" max="65" width="12.86328125" hidden="1" customWidth="1"/>
    <col min="66" max="66" width="12.73046875" customWidth="1" collapsed="1"/>
    <col min="67" max="67" width="13.3984375" customWidth="1"/>
    <col min="68" max="68" width="11.59765625" customWidth="1" collapsed="1"/>
    <col min="69" max="69" width="13.73046875" customWidth="1"/>
    <col min="70" max="70" width="12.73046875" customWidth="1"/>
    <col min="71" max="71" width="13.73046875" customWidth="1"/>
    <col min="72" max="72" width="11.59765625" customWidth="1" collapsed="1"/>
    <col min="73" max="73" width="13.73046875" customWidth="1"/>
    <col min="74" max="74" width="11.59765625" hidden="1" customWidth="1" collapsed="1"/>
    <col min="75" max="75" width="13.73046875" hidden="1" customWidth="1"/>
    <col min="76" max="77" width="12.59765625" customWidth="1"/>
    <col min="78" max="78" width="12.59765625" customWidth="1" collapsed="1"/>
    <col min="79" max="79" width="12.59765625" customWidth="1"/>
    <col min="80" max="83" width="14.1328125" customWidth="1" outlineLevel="1"/>
    <col min="84" max="85" width="12.86328125" customWidth="1"/>
    <col min="86" max="87" width="12.59765625" customWidth="1"/>
    <col min="88" max="93" width="12.86328125" customWidth="1"/>
    <col min="96" max="97" width="12.86328125" hidden="1" customWidth="1"/>
  </cols>
  <sheetData>
    <row r="1" spans="1:97" x14ac:dyDescent="0.45">
      <c r="CN1" s="1280"/>
      <c r="CO1" s="1280"/>
    </row>
    <row r="2" spans="1:97" ht="14.65" thickBot="1" x14ac:dyDescent="0.5">
      <c r="F2" s="1281" t="str">
        <f>F4</f>
        <v>CGSS 12</v>
      </c>
      <c r="G2" s="1231"/>
      <c r="H2" s="1231" t="str">
        <f>H4</f>
        <v>CGSS 12</v>
      </c>
      <c r="I2" s="1231"/>
      <c r="J2" s="1231" t="str">
        <f>J4</f>
        <v>CGSS 12</v>
      </c>
      <c r="K2" s="1231"/>
      <c r="L2" s="1231" t="str">
        <f>L4</f>
        <v>CGSS 12</v>
      </c>
      <c r="M2" s="1231"/>
      <c r="N2" s="1231" t="str">
        <f>N4</f>
        <v>CGSS 12</v>
      </c>
      <c r="O2" s="1231"/>
      <c r="P2" s="1231" t="str">
        <f>P4</f>
        <v>CGSS 12</v>
      </c>
      <c r="Q2" s="1231"/>
      <c r="R2" s="1231" t="str">
        <f>R4</f>
        <v>CGSS 12</v>
      </c>
      <c r="S2" s="1231"/>
      <c r="T2" s="1231" t="str">
        <f>T4</f>
        <v>CGSS 12</v>
      </c>
      <c r="U2" s="1231"/>
      <c r="V2" s="1231" t="str">
        <f>V4</f>
        <v>CGSS 12</v>
      </c>
      <c r="W2" s="1231"/>
      <c r="X2" s="1231" t="str">
        <f>X4</f>
        <v>CGSS 12</v>
      </c>
      <c r="Y2" s="1231"/>
      <c r="Z2" s="1231" t="str">
        <f>Z4</f>
        <v>CGSS 12</v>
      </c>
      <c r="AA2" s="1231"/>
      <c r="AB2" s="1231" t="str">
        <f>AB4</f>
        <v>CGSS 12</v>
      </c>
      <c r="AC2" s="1231"/>
      <c r="AD2" s="1231" t="str">
        <f t="shared" ref="AD2" si="0">AD4</f>
        <v>CGSS 12</v>
      </c>
      <c r="AE2" s="1231"/>
      <c r="AF2" s="1231" t="str">
        <f t="shared" ref="AF2" si="1">AF4</f>
        <v>CGSS 12</v>
      </c>
      <c r="AG2" s="1231"/>
      <c r="AH2" s="1231" t="str">
        <f t="shared" ref="AH2" si="2">AH4</f>
        <v>CGSS 12</v>
      </c>
      <c r="AI2" s="1231"/>
      <c r="AJ2" s="1231" t="str">
        <f t="shared" ref="AJ2" si="3">AJ4</f>
        <v>CGSS 12</v>
      </c>
      <c r="AK2" s="1231"/>
      <c r="AL2" s="1231" t="str">
        <f t="shared" ref="AL2" si="4">AL4</f>
        <v>CGSS 12</v>
      </c>
      <c r="AM2" s="1231"/>
      <c r="AN2" s="1231" t="str">
        <f t="shared" ref="AN2" si="5">AN4</f>
        <v>CGSS 12</v>
      </c>
      <c r="AO2" s="1231"/>
      <c r="AP2" s="1231" t="str">
        <f t="shared" ref="AP2" si="6">AP4</f>
        <v>CGSS 12</v>
      </c>
      <c r="AQ2" s="1231"/>
      <c r="AR2" s="1231" t="str">
        <f t="shared" ref="AR2:AX2" si="7">AR4</f>
        <v>CGSS 12</v>
      </c>
      <c r="AS2" s="1231"/>
      <c r="AT2" s="1231" t="str">
        <f t="shared" si="7"/>
        <v>CGSS 12</v>
      </c>
      <c r="AU2" s="1231"/>
      <c r="AV2" s="1231" t="str">
        <f t="shared" si="7"/>
        <v>CGSS 12</v>
      </c>
      <c r="AW2" s="1231"/>
      <c r="AX2" s="1231" t="str">
        <f t="shared" si="7"/>
        <v>CGSS 12</v>
      </c>
      <c r="AY2" s="1231"/>
      <c r="AZ2" s="1231" t="str">
        <f t="shared" ref="AZ2:BB2" si="8">AZ4</f>
        <v>CGSS 12</v>
      </c>
      <c r="BA2" s="1231"/>
      <c r="BB2" s="1231" t="str">
        <f t="shared" si="8"/>
        <v>CGSS 12</v>
      </c>
      <c r="BC2" s="1231"/>
      <c r="BD2" s="1231" t="str">
        <f t="shared" ref="BD2:BF2" si="9">BD4</f>
        <v>CGSS 12</v>
      </c>
      <c r="BE2" s="1231"/>
      <c r="BF2" s="1231" t="str">
        <f t="shared" si="9"/>
        <v>CGSS 12</v>
      </c>
      <c r="BG2" s="1231"/>
      <c r="BH2" s="1231" t="str">
        <f t="shared" ref="BH2:BJ2" si="10">BH4</f>
        <v>CGSS 12</v>
      </c>
      <c r="BI2" s="1231"/>
      <c r="BJ2" s="1231" t="str">
        <f t="shared" si="10"/>
        <v>CGSS 12</v>
      </c>
      <c r="BK2" s="1231"/>
      <c r="BL2" s="1231" t="str">
        <f t="shared" ref="BL2" si="11">BL4</f>
        <v>CGSS 12</v>
      </c>
      <c r="BM2" s="1231"/>
      <c r="BN2" s="1273" t="str">
        <f t="shared" ref="BN2" si="12">BN4</f>
        <v>IHAG VLOK 40</v>
      </c>
      <c r="BO2" s="1273"/>
      <c r="BP2" s="1273" t="str">
        <f t="shared" ref="BP2" si="13">BP4</f>
        <v>GSS VLOK 40</v>
      </c>
      <c r="BQ2" s="1273"/>
      <c r="BR2" s="1273" t="str">
        <f t="shared" ref="BR2" si="14">BR4</f>
        <v>IIP VLOK 40</v>
      </c>
      <c r="BS2" s="1273"/>
      <c r="BT2" s="1273" t="str">
        <f>BT4</f>
        <v>GRS VLOK 40</v>
      </c>
      <c r="BU2" s="1273"/>
      <c r="BV2" s="1273" t="str">
        <f>BV4</f>
        <v>GPD VLOK 40</v>
      </c>
      <c r="BW2" s="1273"/>
      <c r="BX2" s="1273" t="str">
        <f>BX4</f>
        <v>SM VLOK 40</v>
      </c>
      <c r="BY2" s="1273"/>
      <c r="BZ2" s="1273" t="str">
        <f>BZ4</f>
        <v>KBGN VLOK 40</v>
      </c>
      <c r="CA2" s="1273"/>
      <c r="CF2" s="1231" t="str">
        <f>CF4</f>
        <v>PMAD Cambodia 12</v>
      </c>
      <c r="CG2" s="1231"/>
      <c r="CH2" s="1273" t="str">
        <f>CH4</f>
        <v>PGAG Cambodia 12</v>
      </c>
      <c r="CI2" s="1273"/>
      <c r="CJ2" s="1231" t="str">
        <f>CJ4</f>
        <v>PMKS VLOK 12</v>
      </c>
      <c r="CK2" s="1231"/>
      <c r="CL2" s="1231" t="str">
        <f>CL4</f>
        <v>PMKF VLOK 12</v>
      </c>
      <c r="CM2" s="1231"/>
      <c r="CN2" s="1231" t="str">
        <f>CN4</f>
        <v>PGSS Vlok 12</v>
      </c>
      <c r="CO2" s="1231"/>
      <c r="CR2" s="1231" t="str">
        <f t="shared" ref="CR2" si="15">CR4</f>
        <v>PMAL Vlok 24</v>
      </c>
      <c r="CS2" s="1231"/>
    </row>
    <row r="3" spans="1:97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397</v>
      </c>
      <c r="AS3" s="1257"/>
      <c r="AT3" s="1256" t="s">
        <v>398</v>
      </c>
      <c r="AU3" s="1257"/>
      <c r="AV3" s="1256" t="s">
        <v>399</v>
      </c>
      <c r="AW3" s="1257"/>
      <c r="AX3" s="1256" t="s">
        <v>400</v>
      </c>
      <c r="AY3" s="1257"/>
      <c r="AZ3" s="1256" t="s">
        <v>401</v>
      </c>
      <c r="BA3" s="1257"/>
      <c r="BB3" s="1256" t="s">
        <v>351</v>
      </c>
      <c r="BC3" s="1257"/>
      <c r="BD3" s="1256" t="s">
        <v>403</v>
      </c>
      <c r="BE3" s="1257"/>
      <c r="BF3" s="1256" t="s">
        <v>701</v>
      </c>
      <c r="BG3" s="1257"/>
      <c r="BH3" s="1256" t="s">
        <v>708</v>
      </c>
      <c r="BI3" s="1257"/>
      <c r="BJ3" s="1256" t="s">
        <v>708</v>
      </c>
      <c r="BK3" s="1257"/>
      <c r="BL3" s="1256" t="s">
        <v>713</v>
      </c>
      <c r="BM3" s="1257"/>
      <c r="BN3" s="1256" t="s">
        <v>754</v>
      </c>
      <c r="BO3" s="1257"/>
      <c r="BP3" s="1256" t="s">
        <v>754</v>
      </c>
      <c r="BQ3" s="1257"/>
      <c r="BR3" s="1256" t="s">
        <v>754</v>
      </c>
      <c r="BS3" s="1257"/>
      <c r="BT3" s="1256" t="s">
        <v>754</v>
      </c>
      <c r="BU3" s="1257"/>
      <c r="BV3" s="1256" t="s">
        <v>754</v>
      </c>
      <c r="BW3" s="1257"/>
      <c r="BX3" s="1256" t="s">
        <v>754</v>
      </c>
      <c r="BY3" s="1257"/>
      <c r="BZ3" s="1256" t="s">
        <v>754</v>
      </c>
      <c r="CA3" s="1257"/>
      <c r="CB3" s="1256" t="s">
        <v>754</v>
      </c>
      <c r="CC3" s="1257"/>
      <c r="CD3" s="1256" t="s">
        <v>754</v>
      </c>
      <c r="CE3" s="1257"/>
      <c r="CF3" s="1256" t="s">
        <v>754</v>
      </c>
      <c r="CG3" s="1257"/>
      <c r="CH3" s="1256" t="s">
        <v>754</v>
      </c>
      <c r="CI3" s="1257"/>
      <c r="CJ3" s="1256" t="s">
        <v>754</v>
      </c>
      <c r="CK3" s="1257"/>
      <c r="CL3" s="1256" t="s">
        <v>754</v>
      </c>
      <c r="CM3" s="1257"/>
      <c r="CN3" s="1256" t="s">
        <v>754</v>
      </c>
      <c r="CO3" s="1257"/>
      <c r="CR3" s="1256" t="s">
        <v>754</v>
      </c>
      <c r="CS3" s="1257"/>
    </row>
    <row r="4" spans="1:97" s="4" customFormat="1" ht="21.75" thickTop="1" thickBot="1" x14ac:dyDescent="0.5">
      <c r="A4" s="561"/>
      <c r="B4" s="2"/>
      <c r="C4" s="3"/>
      <c r="D4" s="6"/>
      <c r="E4" s="245"/>
      <c r="F4" s="1275" t="s">
        <v>354</v>
      </c>
      <c r="G4" s="1276"/>
      <c r="H4" s="1275" t="s">
        <v>354</v>
      </c>
      <c r="I4" s="1276"/>
      <c r="J4" s="1275" t="s">
        <v>354</v>
      </c>
      <c r="K4" s="1276"/>
      <c r="L4" s="1275" t="s">
        <v>354</v>
      </c>
      <c r="M4" s="1276"/>
      <c r="N4" s="1275" t="s">
        <v>354</v>
      </c>
      <c r="O4" s="1276"/>
      <c r="P4" s="1275" t="s">
        <v>354</v>
      </c>
      <c r="Q4" s="1276"/>
      <c r="R4" s="1275" t="s">
        <v>354</v>
      </c>
      <c r="S4" s="1276"/>
      <c r="T4" s="1275" t="s">
        <v>354</v>
      </c>
      <c r="U4" s="1276"/>
      <c r="V4" s="1275" t="s">
        <v>354</v>
      </c>
      <c r="W4" s="1276"/>
      <c r="X4" s="1275" t="s">
        <v>354</v>
      </c>
      <c r="Y4" s="1276"/>
      <c r="Z4" s="1275" t="s">
        <v>354</v>
      </c>
      <c r="AA4" s="1276"/>
      <c r="AB4" s="1275" t="s">
        <v>354</v>
      </c>
      <c r="AC4" s="1276"/>
      <c r="AD4" s="1275" t="s">
        <v>354</v>
      </c>
      <c r="AE4" s="1276"/>
      <c r="AF4" s="1275" t="s">
        <v>354</v>
      </c>
      <c r="AG4" s="1276"/>
      <c r="AH4" s="1275" t="s">
        <v>354</v>
      </c>
      <c r="AI4" s="1276"/>
      <c r="AJ4" s="1275" t="s">
        <v>354</v>
      </c>
      <c r="AK4" s="1276"/>
      <c r="AL4" s="1275" t="s">
        <v>354</v>
      </c>
      <c r="AM4" s="1276"/>
      <c r="AN4" s="1275" t="s">
        <v>354</v>
      </c>
      <c r="AO4" s="1276"/>
      <c r="AP4" s="1275" t="s">
        <v>354</v>
      </c>
      <c r="AQ4" s="1276"/>
      <c r="AR4" s="1275" t="s">
        <v>354</v>
      </c>
      <c r="AS4" s="1276"/>
      <c r="AT4" s="1275" t="s">
        <v>354</v>
      </c>
      <c r="AU4" s="1276"/>
      <c r="AV4" s="1275" t="s">
        <v>354</v>
      </c>
      <c r="AW4" s="1276"/>
      <c r="AX4" s="1275" t="s">
        <v>354</v>
      </c>
      <c r="AY4" s="1276"/>
      <c r="AZ4" s="1275" t="s">
        <v>354</v>
      </c>
      <c r="BA4" s="1276"/>
      <c r="BB4" s="1275" t="s">
        <v>354</v>
      </c>
      <c r="BC4" s="1276"/>
      <c r="BD4" s="1275" t="s">
        <v>354</v>
      </c>
      <c r="BE4" s="1276"/>
      <c r="BF4" s="1275" t="s">
        <v>354</v>
      </c>
      <c r="BG4" s="1276"/>
      <c r="BH4" s="1275" t="s">
        <v>354</v>
      </c>
      <c r="BI4" s="1276"/>
      <c r="BJ4" s="1275" t="s">
        <v>354</v>
      </c>
      <c r="BK4" s="1276"/>
      <c r="BL4" s="1275" t="s">
        <v>354</v>
      </c>
      <c r="BM4" s="1276"/>
      <c r="BN4" s="1275" t="s">
        <v>715</v>
      </c>
      <c r="BO4" s="1276"/>
      <c r="BP4" s="1275" t="s">
        <v>714</v>
      </c>
      <c r="BQ4" s="1276"/>
      <c r="BR4" s="1275" t="s">
        <v>716</v>
      </c>
      <c r="BS4" s="1276"/>
      <c r="BT4" s="1275" t="s">
        <v>757</v>
      </c>
      <c r="BU4" s="1276"/>
      <c r="BV4" s="1275" t="s">
        <v>756</v>
      </c>
      <c r="BW4" s="1276"/>
      <c r="BX4" s="1275" t="s">
        <v>740</v>
      </c>
      <c r="BY4" s="1276"/>
      <c r="BZ4" s="1275" t="s">
        <v>758</v>
      </c>
      <c r="CA4" s="1276"/>
      <c r="CB4" s="1275" t="s">
        <v>759</v>
      </c>
      <c r="CC4" s="1276"/>
      <c r="CD4" s="1275" t="s">
        <v>760</v>
      </c>
      <c r="CE4" s="1276"/>
      <c r="CF4" s="1275" t="s">
        <v>703</v>
      </c>
      <c r="CG4" s="1276"/>
      <c r="CH4" s="1275" t="s">
        <v>763</v>
      </c>
      <c r="CI4" s="1276"/>
      <c r="CJ4" s="1275" t="s">
        <v>762</v>
      </c>
      <c r="CK4" s="1276"/>
      <c r="CL4" s="1275" t="s">
        <v>761</v>
      </c>
      <c r="CM4" s="1276"/>
      <c r="CN4" s="1275" t="s">
        <v>755</v>
      </c>
      <c r="CO4" s="1276"/>
      <c r="CR4" s="1274" t="s">
        <v>753</v>
      </c>
      <c r="CS4" s="1274"/>
    </row>
    <row r="5" spans="1:97" s="4" customFormat="1" ht="15" thickTop="1" thickBot="1" x14ac:dyDescent="0.5">
      <c r="A5" s="561"/>
      <c r="B5" s="7"/>
      <c r="E5" s="245"/>
      <c r="F5" s="1238"/>
      <c r="G5" s="1239"/>
      <c r="H5" s="1238"/>
      <c r="I5" s="1239"/>
      <c r="J5" s="1238"/>
      <c r="K5" s="1239"/>
      <c r="L5" s="1238"/>
      <c r="M5" s="1239"/>
      <c r="N5" s="1238"/>
      <c r="O5" s="1239"/>
      <c r="P5" s="1238"/>
      <c r="Q5" s="1239"/>
      <c r="R5" s="1238"/>
      <c r="S5" s="1239"/>
      <c r="T5" s="1238"/>
      <c r="U5" s="1239"/>
      <c r="V5" s="1238"/>
      <c r="W5" s="1239"/>
      <c r="X5" s="1238"/>
      <c r="Y5" s="1239"/>
      <c r="Z5" s="1238"/>
      <c r="AA5" s="1239"/>
      <c r="AB5" s="1238"/>
      <c r="AC5" s="1239"/>
      <c r="AD5" s="1238"/>
      <c r="AE5" s="1239"/>
      <c r="AF5" s="1238"/>
      <c r="AG5" s="1239"/>
      <c r="AH5" s="1238"/>
      <c r="AI5" s="1239"/>
      <c r="AJ5" s="1238"/>
      <c r="AK5" s="1239"/>
      <c r="AL5" s="1238"/>
      <c r="AM5" s="1239"/>
      <c r="AN5" s="1238"/>
      <c r="AO5" s="1239"/>
      <c r="AP5" s="1238"/>
      <c r="AQ5" s="1239"/>
      <c r="AR5" s="1238"/>
      <c r="AS5" s="1239"/>
      <c r="AT5" s="1238"/>
      <c r="AU5" s="1239"/>
      <c r="AV5" s="1238"/>
      <c r="AW5" s="1239"/>
      <c r="AX5" s="1238"/>
      <c r="AY5" s="1239"/>
      <c r="AZ5" s="1238"/>
      <c r="BA5" s="1239"/>
      <c r="BB5" s="1238"/>
      <c r="BC5" s="1239"/>
      <c r="BD5" s="1238"/>
      <c r="BE5" s="1239"/>
      <c r="BF5" s="1238"/>
      <c r="BG5" s="1239"/>
      <c r="BH5" s="1238"/>
      <c r="BI5" s="1239"/>
      <c r="BJ5" s="1238"/>
      <c r="BK5" s="1239"/>
      <c r="BL5" s="1238"/>
      <c r="BM5" s="1239"/>
      <c r="BN5" s="1238"/>
      <c r="BO5" s="1239"/>
      <c r="BP5" s="1238"/>
      <c r="BQ5" s="1239"/>
      <c r="BR5" s="1238"/>
      <c r="BS5" s="1239"/>
      <c r="BT5" s="1238"/>
      <c r="BU5" s="1239"/>
      <c r="BV5" s="1238"/>
      <c r="BW5" s="1239"/>
      <c r="BX5" s="1238"/>
      <c r="BY5" s="1239"/>
      <c r="BZ5" s="1238"/>
      <c r="CA5" s="1239"/>
      <c r="CB5" s="1238"/>
      <c r="CC5" s="1239"/>
      <c r="CD5" s="1238"/>
      <c r="CE5" s="1239"/>
      <c r="CF5" s="1238"/>
      <c r="CG5" s="1239"/>
      <c r="CH5" s="1238"/>
      <c r="CI5" s="1239"/>
      <c r="CJ5" s="1238"/>
      <c r="CK5" s="1239"/>
      <c r="CL5" s="1238"/>
      <c r="CM5" s="1239"/>
      <c r="CN5" s="1238"/>
      <c r="CO5" s="1239"/>
      <c r="CR5" s="1274"/>
      <c r="CS5" s="1274"/>
    </row>
    <row r="6" spans="1:97" s="7" customFormat="1" ht="14.65" thickTop="1" x14ac:dyDescent="0.45">
      <c r="A6" s="561"/>
      <c r="B6" s="1202" t="s">
        <v>5</v>
      </c>
      <c r="C6" s="8" t="s">
        <v>6</v>
      </c>
      <c r="D6" s="9"/>
      <c r="E6" s="246"/>
      <c r="F6" s="1277"/>
      <c r="G6" s="1206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05"/>
      <c r="AY6" s="1206"/>
      <c r="AZ6" s="1205"/>
      <c r="BA6" s="1206"/>
      <c r="BB6" s="1205"/>
      <c r="BC6" s="1206"/>
      <c r="BD6" s="1205"/>
      <c r="BE6" s="1206"/>
      <c r="BF6" s="1205"/>
      <c r="BG6" s="1206"/>
      <c r="BH6" s="1205"/>
      <c r="BI6" s="1206"/>
      <c r="BJ6" s="1205"/>
      <c r="BK6" s="1206"/>
      <c r="BL6" s="1205"/>
      <c r="BM6" s="1206"/>
      <c r="BN6" s="1234"/>
      <c r="BO6" s="1206"/>
      <c r="BP6" s="1234"/>
      <c r="BQ6" s="1206"/>
      <c r="BR6" s="1234"/>
      <c r="BS6" s="1206"/>
      <c r="BT6" s="1234"/>
      <c r="BU6" s="1206"/>
      <c r="BV6" s="1234"/>
      <c r="BW6" s="1206"/>
      <c r="BX6" s="1234"/>
      <c r="BY6" s="1206"/>
      <c r="BZ6" s="1234"/>
      <c r="CA6" s="1206"/>
      <c r="CB6" s="1205"/>
      <c r="CC6" s="1206"/>
      <c r="CD6" s="1205"/>
      <c r="CE6" s="1206"/>
      <c r="CF6" s="1205"/>
      <c r="CG6" s="1206"/>
      <c r="CH6" s="1234"/>
      <c r="CI6" s="1206"/>
      <c r="CJ6" s="1205"/>
      <c r="CK6" s="1206"/>
      <c r="CL6" s="1205"/>
      <c r="CM6" s="1206"/>
      <c r="CN6" s="1205"/>
      <c r="CO6" s="1206"/>
      <c r="CR6" s="1205"/>
      <c r="CS6" s="1206"/>
    </row>
    <row r="7" spans="1:97" s="7" customFormat="1" ht="28.5" x14ac:dyDescent="0.45">
      <c r="A7" s="561"/>
      <c r="B7" s="1203"/>
      <c r="C7" s="10" t="s">
        <v>11</v>
      </c>
      <c r="D7" s="11"/>
      <c r="E7" s="247"/>
      <c r="F7" s="1200">
        <v>123630</v>
      </c>
      <c r="G7" s="1201"/>
      <c r="H7" s="1267">
        <v>123630</v>
      </c>
      <c r="I7" s="1268"/>
      <c r="J7" s="1267">
        <v>123630</v>
      </c>
      <c r="K7" s="1268"/>
      <c r="L7" s="1200">
        <v>123630</v>
      </c>
      <c r="M7" s="1201"/>
      <c r="N7" s="1267">
        <v>123630</v>
      </c>
      <c r="O7" s="1268"/>
      <c r="P7" s="1267">
        <v>123630</v>
      </c>
      <c r="Q7" s="1268"/>
      <c r="R7" s="1200">
        <v>123630</v>
      </c>
      <c r="S7" s="1201"/>
      <c r="T7" s="1267">
        <v>123630</v>
      </c>
      <c r="U7" s="1268"/>
      <c r="V7" s="1267">
        <v>123630</v>
      </c>
      <c r="W7" s="1268"/>
      <c r="X7" s="1200">
        <v>123630</v>
      </c>
      <c r="Y7" s="1201"/>
      <c r="Z7" s="1267">
        <v>123630</v>
      </c>
      <c r="AA7" s="1268"/>
      <c r="AB7" s="1267">
        <v>123630</v>
      </c>
      <c r="AC7" s="1268"/>
      <c r="AD7" s="1267">
        <v>123630</v>
      </c>
      <c r="AE7" s="1268"/>
      <c r="AF7" s="1267">
        <v>123630</v>
      </c>
      <c r="AG7" s="1268"/>
      <c r="AH7" s="1267">
        <v>123630</v>
      </c>
      <c r="AI7" s="1268"/>
      <c r="AJ7" s="1267">
        <v>123630</v>
      </c>
      <c r="AK7" s="1268"/>
      <c r="AL7" s="1267">
        <v>123630</v>
      </c>
      <c r="AM7" s="1268"/>
      <c r="AN7" s="1267">
        <v>123630</v>
      </c>
      <c r="AO7" s="1268"/>
      <c r="AP7" s="1267">
        <v>123630</v>
      </c>
      <c r="AQ7" s="1268"/>
      <c r="AR7" s="1267">
        <v>123630</v>
      </c>
      <c r="AS7" s="1268"/>
      <c r="AT7" s="1267">
        <v>123630</v>
      </c>
      <c r="AU7" s="1268"/>
      <c r="AV7" s="1267">
        <v>123630</v>
      </c>
      <c r="AW7" s="1268"/>
      <c r="AX7" s="1267">
        <v>123630</v>
      </c>
      <c r="AY7" s="1268"/>
      <c r="AZ7" s="1267">
        <v>123630</v>
      </c>
      <c r="BA7" s="1268"/>
      <c r="BB7" s="1267">
        <v>123630</v>
      </c>
      <c r="BC7" s="1268"/>
      <c r="BD7" s="1267">
        <v>123630</v>
      </c>
      <c r="BE7" s="1268"/>
      <c r="BF7" s="1267">
        <v>123630</v>
      </c>
      <c r="BG7" s="1268"/>
      <c r="BH7" s="1267">
        <v>123630</v>
      </c>
      <c r="BI7" s="1268"/>
      <c r="BJ7" s="1267">
        <v>123630</v>
      </c>
      <c r="BK7" s="1268"/>
      <c r="BL7" s="1267">
        <v>123630</v>
      </c>
      <c r="BM7" s="1268"/>
      <c r="BN7" s="1267">
        <v>435560</v>
      </c>
      <c r="BO7" s="1268"/>
      <c r="BP7" s="1267">
        <v>435550</v>
      </c>
      <c r="BQ7" s="1268"/>
      <c r="BR7" s="1267">
        <v>435557</v>
      </c>
      <c r="BS7" s="1268"/>
      <c r="BT7" s="1267">
        <v>436677</v>
      </c>
      <c r="BU7" s="1268"/>
      <c r="BV7" s="1267">
        <v>435569</v>
      </c>
      <c r="BW7" s="1268"/>
      <c r="BX7" s="1267">
        <v>435563</v>
      </c>
      <c r="BY7" s="1268"/>
      <c r="BZ7" s="1267">
        <v>435562</v>
      </c>
      <c r="CA7" s="1268"/>
      <c r="CB7" s="1279">
        <v>437319</v>
      </c>
      <c r="CC7" s="1201"/>
      <c r="CD7" s="1279">
        <v>437318</v>
      </c>
      <c r="CE7" s="1201"/>
      <c r="CF7" s="1200">
        <v>435317</v>
      </c>
      <c r="CG7" s="1201"/>
      <c r="CH7" s="1267">
        <v>437108</v>
      </c>
      <c r="CI7" s="1268"/>
      <c r="CJ7" s="1267">
        <v>437902</v>
      </c>
      <c r="CK7" s="1268"/>
      <c r="CL7" s="1267">
        <v>437842</v>
      </c>
      <c r="CM7" s="1268"/>
      <c r="CN7" s="1267">
        <v>438009</v>
      </c>
      <c r="CO7" s="1268"/>
      <c r="CR7" s="1200">
        <v>438412</v>
      </c>
      <c r="CS7" s="1201"/>
    </row>
    <row r="8" spans="1:97" s="7" customFormat="1" x14ac:dyDescent="0.45">
      <c r="A8" s="561"/>
      <c r="B8" s="1203"/>
      <c r="C8" s="12" t="s">
        <v>12</v>
      </c>
      <c r="D8" s="11"/>
      <c r="E8" s="11"/>
      <c r="F8" s="1232">
        <f>G60</f>
        <v>4.7229149797570855</v>
      </c>
      <c r="G8" s="1233"/>
      <c r="H8" s="1269">
        <f>I60</f>
        <v>4.7229149797570855</v>
      </c>
      <c r="I8" s="1270"/>
      <c r="J8" s="1269">
        <f>K60</f>
        <v>4.7229149797570855</v>
      </c>
      <c r="K8" s="1270"/>
      <c r="L8" s="1232">
        <f>M60</f>
        <v>4.7229149797570855</v>
      </c>
      <c r="M8" s="1233"/>
      <c r="N8" s="1269">
        <f>O60</f>
        <v>4.7229149797570855</v>
      </c>
      <c r="O8" s="1270"/>
      <c r="P8" s="1269">
        <f>Q60</f>
        <v>4.7229149797570855</v>
      </c>
      <c r="Q8" s="1270"/>
      <c r="R8" s="1232">
        <f>S60</f>
        <v>4.7229149797570855</v>
      </c>
      <c r="S8" s="1233"/>
      <c r="T8" s="1269">
        <f>U60</f>
        <v>4.7229149797570855</v>
      </c>
      <c r="U8" s="1270"/>
      <c r="V8" s="1269">
        <f>W60</f>
        <v>4.7229149797570855</v>
      </c>
      <c r="W8" s="1270"/>
      <c r="X8" s="1232">
        <f>Y60</f>
        <v>4.7229149797570855</v>
      </c>
      <c r="Y8" s="1233"/>
      <c r="Z8" s="1269">
        <f>AA60</f>
        <v>4.7229149797570855</v>
      </c>
      <c r="AA8" s="1270"/>
      <c r="AB8" s="1269">
        <f>AC60</f>
        <v>4.7229149797570855</v>
      </c>
      <c r="AC8" s="1270"/>
      <c r="AD8" s="1269">
        <f t="shared" ref="AD8" si="16">AE60</f>
        <v>4.8529149797570845</v>
      </c>
      <c r="AE8" s="1270"/>
      <c r="AF8" s="1269">
        <f t="shared" ref="AF8" si="17">AG60</f>
        <v>4.8529149797570845</v>
      </c>
      <c r="AG8" s="1270"/>
      <c r="AH8" s="1269">
        <f t="shared" ref="AH8" si="18">AI60</f>
        <v>4.8529149797570845</v>
      </c>
      <c r="AI8" s="1270"/>
      <c r="AJ8" s="1269">
        <f t="shared" ref="AJ8" si="19">AK60</f>
        <v>4.8529149797570845</v>
      </c>
      <c r="AK8" s="1270"/>
      <c r="AL8" s="1269">
        <f t="shared" ref="AL8" si="20">AM60</f>
        <v>4.8529149797570845</v>
      </c>
      <c r="AM8" s="1270"/>
      <c r="AN8" s="1269">
        <f t="shared" ref="AN8" si="21">AO60</f>
        <v>4.8529149797570845</v>
      </c>
      <c r="AO8" s="1270"/>
      <c r="AP8" s="1269">
        <f t="shared" ref="AP8" si="22">AQ60</f>
        <v>4.8529149797570845</v>
      </c>
      <c r="AQ8" s="1270"/>
      <c r="AR8" s="1269">
        <f t="shared" ref="AR8" si="23">AS60</f>
        <v>4.8529149797570845</v>
      </c>
      <c r="AS8" s="1270"/>
      <c r="AT8" s="1269">
        <f t="shared" ref="AT8" si="24">AU60</f>
        <v>4.8529149797570845</v>
      </c>
      <c r="AU8" s="1270"/>
      <c r="AV8" s="1269">
        <f t="shared" ref="AV8" si="25">AW60</f>
        <v>4.8529149797570845</v>
      </c>
      <c r="AW8" s="1270"/>
      <c r="AX8" s="1269">
        <f t="shared" ref="AX8" si="26">AY60</f>
        <v>4.8541940789473683</v>
      </c>
      <c r="AY8" s="1270"/>
      <c r="AZ8" s="1269">
        <f t="shared" ref="AZ8" si="27">BA60</f>
        <v>4.8541940789473683</v>
      </c>
      <c r="BA8" s="1270"/>
      <c r="BB8" s="1269">
        <f t="shared" ref="BB8" si="28">BC60</f>
        <v>4.8541940789473683</v>
      </c>
      <c r="BC8" s="1270"/>
      <c r="BD8" s="1269">
        <f t="shared" ref="BD8" si="29">BE60</f>
        <v>4.8541940789473683</v>
      </c>
      <c r="BE8" s="1270"/>
      <c r="BF8" s="1269">
        <f t="shared" ref="BF8" si="30">BG60</f>
        <v>4.8541940789473683</v>
      </c>
      <c r="BG8" s="1270"/>
      <c r="BH8" s="1269">
        <f t="shared" ref="BH8" si="31">BI60</f>
        <v>4.8541940789473683</v>
      </c>
      <c r="BI8" s="1270"/>
      <c r="BJ8" s="1269">
        <f t="shared" ref="BJ8" si="32">BK60</f>
        <v>4.8541940789473683</v>
      </c>
      <c r="BK8" s="1270"/>
      <c r="BL8" s="1269">
        <f t="shared" ref="BL8" si="33">BM60</f>
        <v>4.8541940789473683</v>
      </c>
      <c r="BM8" s="1270"/>
      <c r="BN8" s="1269">
        <f t="shared" ref="BN8" si="34">BO60</f>
        <v>6.054359673024523</v>
      </c>
      <c r="BO8" s="1270"/>
      <c r="BP8" s="1269">
        <f t="shared" ref="BP8" si="35">BQ60</f>
        <v>6.0475000000000003</v>
      </c>
      <c r="BQ8" s="1270"/>
      <c r="BR8" s="1269">
        <f t="shared" ref="BR8" si="36">BS60</f>
        <v>6.0475000000000003</v>
      </c>
      <c r="BS8" s="1270"/>
      <c r="BT8" s="1269">
        <f>BU60</f>
        <v>6.0536983471074377</v>
      </c>
      <c r="BU8" s="1270"/>
      <c r="BV8" s="1269">
        <f>BW60</f>
        <v>6.0536983471074377</v>
      </c>
      <c r="BW8" s="1270"/>
      <c r="BX8" s="1269">
        <f>BY60</f>
        <v>6.0515712786944045</v>
      </c>
      <c r="BY8" s="1270"/>
      <c r="BZ8" s="1269">
        <f>CA60</f>
        <v>6.0481731619222536</v>
      </c>
      <c r="CA8" s="1270"/>
      <c r="CB8" s="1269">
        <f t="shared" ref="CB8" si="37">CC59</f>
        <v>6.3954035024372633</v>
      </c>
      <c r="CC8" s="1270"/>
      <c r="CD8" s="1269">
        <f t="shared" ref="CD8" si="38">CE59</f>
        <v>6.3954035024372633</v>
      </c>
      <c r="CE8" s="1270"/>
      <c r="CF8" s="1232">
        <f>CG60</f>
        <v>4.4023025319194984</v>
      </c>
      <c r="CG8" s="1233"/>
      <c r="CH8" s="1269">
        <f>CI60</f>
        <v>4.3971587819194982</v>
      </c>
      <c r="CI8" s="1270"/>
      <c r="CJ8" s="1269">
        <f>CK60</f>
        <v>4.8523025319194986</v>
      </c>
      <c r="CK8" s="1270"/>
      <c r="CL8" s="1269">
        <f>CM60</f>
        <v>4.8523025319194986</v>
      </c>
      <c r="CM8" s="1270"/>
      <c r="CN8" s="1269">
        <f t="shared" ref="CN8" si="39">CO60</f>
        <v>4.4023025319194984</v>
      </c>
      <c r="CO8" s="1270"/>
      <c r="CR8" s="1232">
        <f t="shared" ref="CR8" si="40">CS60</f>
        <v>6.55</v>
      </c>
      <c r="CS8" s="1233"/>
    </row>
    <row r="9" spans="1:97" s="7" customFormat="1" ht="14.45" customHeigh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$1.02/ctn</v>
      </c>
      <c r="G9" s="1191"/>
      <c r="H9" s="1271" t="str">
        <f>CONCATENATE("TP $",TEXT(I57,"#,##0.00"),"/ctn")</f>
        <v>TP $1.02/ctn</v>
      </c>
      <c r="I9" s="1272"/>
      <c r="J9" s="1271" t="str">
        <f>CONCATENATE("TP $",TEXT(K57,"#,##0.00"),"/ctn")</f>
        <v>TP $1.02/ctn</v>
      </c>
      <c r="K9" s="1272"/>
      <c r="L9" s="1190" t="str">
        <f>CONCATENATE("TP $",TEXT(M57,"#,##0.00"),"/ctn")</f>
        <v>TP $1.02/ctn</v>
      </c>
      <c r="M9" s="1191"/>
      <c r="N9" s="1271" t="str">
        <f>CONCATENATE("TP $",TEXT(O57,"#,##0.00"),"/ctn")</f>
        <v>TP $1.02/ctn</v>
      </c>
      <c r="O9" s="1272"/>
      <c r="P9" s="1271" t="str">
        <f>CONCATENATE("TP $",TEXT(Q57,"#,##0.00"),"/ctn")</f>
        <v>TP $1.02/ctn</v>
      </c>
      <c r="Q9" s="1272"/>
      <c r="R9" s="1190" t="str">
        <f>CONCATENATE("TP $",TEXT(S57,"#,##0.00"),"/ctn")</f>
        <v>TP $1.02/ctn</v>
      </c>
      <c r="S9" s="1191"/>
      <c r="T9" s="1271" t="str">
        <f>CONCATENATE("TP $",TEXT(U57,"#,##0.00"),"/ctn")</f>
        <v>TP $1.02/ctn</v>
      </c>
      <c r="U9" s="1272"/>
      <c r="V9" s="1271" t="str">
        <f>CONCATENATE("TP $",TEXT(W57,"#,##0.00"),"/ctn")</f>
        <v>TP $1.02/ctn</v>
      </c>
      <c r="W9" s="1272"/>
      <c r="X9" s="1190" t="str">
        <f>CONCATENATE("TP $",TEXT(Y57,"#,##0.00"),"/ctn")</f>
        <v>TP $1.02/ctn</v>
      </c>
      <c r="Y9" s="1191"/>
      <c r="Z9" s="1271" t="str">
        <f>CONCATENATE("TP $",TEXT(AA57,"#,##0.00"),"/ctn")</f>
        <v>TP $1.02/ctn</v>
      </c>
      <c r="AA9" s="1272"/>
      <c r="AB9" s="1271" t="str">
        <f>CONCATENATE("TP $",TEXT(AC57,"#,##0.00"),"/ctn")</f>
        <v>TP $1.02/ctn</v>
      </c>
      <c r="AC9" s="1272"/>
      <c r="AD9" s="1271" t="str">
        <f t="shared" ref="AD9" si="41">CONCATENATE("TP $",TEXT(AE57,"#,##0.00"),"/ctn")</f>
        <v>TP $0.62/ctn</v>
      </c>
      <c r="AE9" s="1272"/>
      <c r="AF9" s="1271" t="str">
        <f t="shared" ref="AF9" si="42">CONCATENATE("TP $",TEXT(AG57,"#,##0.00"),"/ctn")</f>
        <v>TP $0.55/ctn</v>
      </c>
      <c r="AG9" s="1272"/>
      <c r="AH9" s="1271" t="str">
        <f t="shared" ref="AH9" si="43">CONCATENATE("TP $",TEXT(AI57,"#,##0.00"),"/ctn")</f>
        <v>TP $1.15/ctn</v>
      </c>
      <c r="AI9" s="1272"/>
      <c r="AJ9" s="1271" t="str">
        <f t="shared" ref="AJ9" si="44">CONCATENATE("TP $",TEXT(AK57,"#,##0.00"),"/ctn")</f>
        <v>TP $1.15/ctn</v>
      </c>
      <c r="AK9" s="1272"/>
      <c r="AL9" s="1271" t="str">
        <f t="shared" ref="AL9" si="45">CONCATENATE("TP $",TEXT(AM57,"#,##0.00"),"/ctn")</f>
        <v>TP $1.15/ctn</v>
      </c>
      <c r="AM9" s="1272"/>
      <c r="AN9" s="1271" t="str">
        <f t="shared" ref="AN9" si="46">CONCATENATE("TP $",TEXT(AO57,"#,##0.00"),"/ctn")</f>
        <v>TP $1.15/ctn</v>
      </c>
      <c r="AO9" s="1272"/>
      <c r="AP9" s="1271" t="str">
        <f t="shared" ref="AP9" si="47">CONCATENATE("TP $",TEXT(AQ57,"#,##0.00"),"/ctn")</f>
        <v>TP $1.15/ctn</v>
      </c>
      <c r="AQ9" s="1272"/>
      <c r="AR9" s="1271" t="str">
        <f t="shared" ref="AR9" si="48">CONCATENATE("TP $",TEXT(AS57,"#,##0.00"),"/ctn")</f>
        <v>TP $1.15/ctn</v>
      </c>
      <c r="AS9" s="1272"/>
      <c r="AT9" s="1271" t="str">
        <f t="shared" ref="AT9" si="49">CONCATENATE("TP $",TEXT(AU57,"#,##0.00"),"/ctn")</f>
        <v>TP $1.15/ctn</v>
      </c>
      <c r="AU9" s="1272"/>
      <c r="AV9" s="1271" t="str">
        <f t="shared" ref="AV9" si="50">CONCATENATE("TP $",TEXT(AW57,"#,##0.00"),"/ctn")</f>
        <v>TP $1.15/ctn</v>
      </c>
      <c r="AW9" s="1272"/>
      <c r="AX9" s="1271" t="str">
        <f t="shared" ref="AX9" si="51">CONCATENATE("TP $",TEXT(AY57,"#,##0.00"),"/ctn")</f>
        <v>TP $1.15/ctn</v>
      </c>
      <c r="AY9" s="1272"/>
      <c r="AZ9" s="1271" t="str">
        <f t="shared" ref="AZ9" si="52">CONCATENATE("TP $",TEXT(BA57,"#,##0.00"),"/ctn")</f>
        <v>TP $1.15/ctn</v>
      </c>
      <c r="BA9" s="1272"/>
      <c r="BB9" s="1271" t="str">
        <f t="shared" ref="BB9" si="53">CONCATENATE("TP $",TEXT(BC57,"#,##0.00"),"/ctn")</f>
        <v>TP $1.15/ctn</v>
      </c>
      <c r="BC9" s="1272"/>
      <c r="BD9" s="1271" t="str">
        <f t="shared" ref="BD9" si="54">CONCATENATE("TP $",TEXT(BE57,"#,##0.00"),"/ctn")</f>
        <v>TP $1.15/ctn</v>
      </c>
      <c r="BE9" s="1272"/>
      <c r="BF9" s="1271" t="str">
        <f t="shared" ref="BF9" si="55">CONCATENATE("TP $",TEXT(BG57,"#,##0.00"),"/ctn")</f>
        <v>TP $1.15/ctn</v>
      </c>
      <c r="BG9" s="1272"/>
      <c r="BH9" s="1271" t="str">
        <f t="shared" ref="BH9" si="56">CONCATENATE("TP $",TEXT(BI57,"#,##0.00"),"/ctn")</f>
        <v>TP $1.15/ctn</v>
      </c>
      <c r="BI9" s="1272"/>
      <c r="BJ9" s="1271" t="str">
        <f t="shared" ref="BJ9" si="57">CONCATENATE("TP $",TEXT(BK57,"#,##0.00"),"/ctn")</f>
        <v>TP $1.15/ctn</v>
      </c>
      <c r="BK9" s="1272"/>
      <c r="BL9" s="1271" t="str">
        <f t="shared" ref="BL9" si="58">CONCATENATE("TP $",TEXT(BM57,"#,##0.00"),"/ctn")</f>
        <v>TP $1.15/ctn</v>
      </c>
      <c r="BM9" s="1272"/>
      <c r="BN9" s="1271" t="str">
        <f t="shared" ref="BN9" si="59">CONCATENATE("TP $",TEXT(BO57,"#,##0.00"),"/ctn")</f>
        <v>TP $0.65/ctn</v>
      </c>
      <c r="BO9" s="1272"/>
      <c r="BP9" s="1271" t="str">
        <f t="shared" ref="BP9" si="60">CONCATENATE("TP $",TEXT(BQ57,"#,##0.00"),"/ctn")</f>
        <v>TP $0.80/ctn</v>
      </c>
      <c r="BQ9" s="1272"/>
      <c r="BR9" s="1271" t="str">
        <f t="shared" ref="BR9" si="61">CONCATENATE("TP $",TEXT(BS57,"#,##0.00"),"/ctn")</f>
        <v>TP $0.80/ctn</v>
      </c>
      <c r="BS9" s="1272"/>
      <c r="BT9" s="1271" t="str">
        <f>CONCATENATE("TP $",TEXT(BU57,"#,##0.00"),"/ctn")</f>
        <v>TP $0.80/ctn</v>
      </c>
      <c r="BU9" s="1272"/>
      <c r="BV9" s="1271" t="str">
        <f>CONCATENATE("TP $",TEXT(BW57,"#,##0.00"),"/ctn")</f>
        <v>TP $0.80/ctn</v>
      </c>
      <c r="BW9" s="1272"/>
      <c r="BX9" s="1271" t="str">
        <f>CONCATENATE("TP $",TEXT(BY57,"#,##0.00"),"/ctn")</f>
        <v>TP $0.80/ctn</v>
      </c>
      <c r="BY9" s="1272"/>
      <c r="BZ9" s="1271" t="str">
        <f>CONCATENATE("TP $",TEXT(CA57,"#,##0.00"),"/ctn")</f>
        <v>TP $0.80/ctn</v>
      </c>
      <c r="CA9" s="1272"/>
      <c r="CB9" s="1271" t="str">
        <f>CONCATENATE("TP $",TEXT(CC57,"#,##0.00"),"/ctn")</f>
        <v>TP $1.00/ctn</v>
      </c>
      <c r="CC9" s="1272"/>
      <c r="CD9" s="1271" t="str">
        <f>CONCATENATE("TP $",TEXT(CE57,"#,##0.00"),"/ctn")</f>
        <v>TP $1.00/ctn</v>
      </c>
      <c r="CE9" s="1272"/>
      <c r="CF9" s="1190" t="str">
        <f>CONCATENATE("TP $",TEXT(CG57,"#,##0.00"),"/ctn")</f>
        <v>TP $1.05/ctn</v>
      </c>
      <c r="CG9" s="1191"/>
      <c r="CH9" s="1271" t="str">
        <f>CONCATENATE("TP $",TEXT(CI57,"#,##0.00"),"/ctn")</f>
        <v>TP $1.05/ctn</v>
      </c>
      <c r="CI9" s="1272"/>
      <c r="CJ9" s="1271" t="str">
        <f>CONCATENATE("TP $",TEXT(CK57,"#,##0.00"),"/ctn")</f>
        <v>TP $1.30/ctn</v>
      </c>
      <c r="CK9" s="1272"/>
      <c r="CL9" s="1271" t="str">
        <f>CONCATENATE("TP $",TEXT(CM57,"#,##0.00"),"/ctn")</f>
        <v>TP $1.30/ctn</v>
      </c>
      <c r="CM9" s="1272"/>
      <c r="CN9" s="1271" t="str">
        <f t="shared" ref="CN9" si="62">CONCATENATE("TP $",TEXT(CO57,"#,##0.00"),"/ctn")</f>
        <v>TP $1.05/ctn</v>
      </c>
      <c r="CO9" s="1272"/>
      <c r="CR9" s="1190" t="str">
        <f t="shared" ref="CR9" si="63">CONCATENATE("TP $",TEXT(CS57,"#,##0.00"),"/ctn")</f>
        <v>TP $1.30/ctn</v>
      </c>
      <c r="CS9" s="1191"/>
    </row>
    <row r="10" spans="1:97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12</v>
      </c>
      <c r="G10" s="253" t="str">
        <f>+F10</f>
        <v>12</v>
      </c>
      <c r="H10" s="348" t="str">
        <f>RIGHT(H2,2)</f>
        <v>12</v>
      </c>
      <c r="I10" s="349" t="str">
        <f>+H10</f>
        <v>12</v>
      </c>
      <c r="J10" s="348" t="str">
        <f>RIGHT(J2,2)</f>
        <v>12</v>
      </c>
      <c r="K10" s="349" t="str">
        <f>+J10</f>
        <v>12</v>
      </c>
      <c r="L10" s="348" t="str">
        <f>RIGHT(L2,2)</f>
        <v>12</v>
      </c>
      <c r="M10" s="349" t="str">
        <f>+L10</f>
        <v>12</v>
      </c>
      <c r="N10" s="348" t="str">
        <f>RIGHT(N2,2)</f>
        <v>12</v>
      </c>
      <c r="O10" s="349" t="str">
        <f>+N10</f>
        <v>12</v>
      </c>
      <c r="P10" s="348" t="str">
        <f>RIGHT(P2,2)</f>
        <v>12</v>
      </c>
      <c r="Q10" s="349" t="str">
        <f>+P10</f>
        <v>12</v>
      </c>
      <c r="R10" s="252" t="str">
        <f>RIGHT(R2,2)</f>
        <v>12</v>
      </c>
      <c r="S10" s="253" t="str">
        <f>+R10</f>
        <v>12</v>
      </c>
      <c r="T10" s="348" t="str">
        <f>RIGHT(T2,2)</f>
        <v>12</v>
      </c>
      <c r="U10" s="349" t="str">
        <f>+T10</f>
        <v>12</v>
      </c>
      <c r="V10" s="348" t="str">
        <f>RIGHT(V2,2)</f>
        <v>12</v>
      </c>
      <c r="W10" s="349" t="str">
        <f>+V10</f>
        <v>12</v>
      </c>
      <c r="X10" s="252" t="str">
        <f>RIGHT(X2,2)</f>
        <v>12</v>
      </c>
      <c r="Y10" s="253" t="str">
        <f>+X10</f>
        <v>12</v>
      </c>
      <c r="Z10" s="348" t="str">
        <f>RIGHT(Z2,2)</f>
        <v>12</v>
      </c>
      <c r="AA10" s="349" t="str">
        <f>+Z10</f>
        <v>12</v>
      </c>
      <c r="AB10" s="348" t="str">
        <f>RIGHT(AB2,2)</f>
        <v>12</v>
      </c>
      <c r="AC10" s="349" t="str">
        <f>+AB10</f>
        <v>12</v>
      </c>
      <c r="AD10" s="348" t="str">
        <f t="shared" ref="AD10" si="64">RIGHT(AD2,2)</f>
        <v>12</v>
      </c>
      <c r="AE10" s="349" t="str">
        <f t="shared" ref="AE10" si="65">+AD10</f>
        <v>12</v>
      </c>
      <c r="AF10" s="348" t="str">
        <f t="shared" ref="AF10" si="66">RIGHT(AF2,2)</f>
        <v>12</v>
      </c>
      <c r="AG10" s="349" t="str">
        <f t="shared" ref="AG10" si="67">+AF10</f>
        <v>12</v>
      </c>
      <c r="AH10" s="348" t="str">
        <f t="shared" ref="AH10" si="68">RIGHT(AH2,2)</f>
        <v>12</v>
      </c>
      <c r="AI10" s="349" t="str">
        <f t="shared" ref="AI10" si="69">+AH10</f>
        <v>12</v>
      </c>
      <c r="AJ10" s="348" t="str">
        <f t="shared" ref="AJ10" si="70">RIGHT(AJ2,2)</f>
        <v>12</v>
      </c>
      <c r="AK10" s="349" t="str">
        <f t="shared" ref="AK10" si="71">+AJ10</f>
        <v>12</v>
      </c>
      <c r="AL10" s="348" t="str">
        <f t="shared" ref="AL10" si="72">RIGHT(AL2,2)</f>
        <v>12</v>
      </c>
      <c r="AM10" s="349" t="str">
        <f t="shared" ref="AM10" si="73">+AL10</f>
        <v>12</v>
      </c>
      <c r="AN10" s="348" t="str">
        <f t="shared" ref="AN10" si="74">RIGHT(AN2,2)</f>
        <v>12</v>
      </c>
      <c r="AO10" s="349" t="str">
        <f t="shared" ref="AO10" si="75">+AN10</f>
        <v>12</v>
      </c>
      <c r="AP10" s="348" t="str">
        <f t="shared" ref="AP10" si="76">RIGHT(AP2,2)</f>
        <v>12</v>
      </c>
      <c r="AQ10" s="349" t="str">
        <f t="shared" ref="AQ10" si="77">+AP10</f>
        <v>12</v>
      </c>
      <c r="AR10" s="348" t="str">
        <f t="shared" ref="AR10:AX10" si="78">RIGHT(AR2,2)</f>
        <v>12</v>
      </c>
      <c r="AS10" s="349" t="str">
        <f t="shared" ref="AS10" si="79">+AR10</f>
        <v>12</v>
      </c>
      <c r="AT10" s="348" t="str">
        <f t="shared" si="78"/>
        <v>12</v>
      </c>
      <c r="AU10" s="349" t="str">
        <f t="shared" ref="AU10" si="80">+AT10</f>
        <v>12</v>
      </c>
      <c r="AV10" s="348" t="str">
        <f t="shared" si="78"/>
        <v>12</v>
      </c>
      <c r="AW10" s="349" t="str">
        <f t="shared" ref="AW10" si="81">+AV10</f>
        <v>12</v>
      </c>
      <c r="AX10" s="348" t="str">
        <f t="shared" si="78"/>
        <v>12</v>
      </c>
      <c r="AY10" s="349" t="str">
        <f t="shared" ref="AY10" si="82">+AX10</f>
        <v>12</v>
      </c>
      <c r="AZ10" s="348" t="str">
        <f t="shared" ref="AZ10:BB10" si="83">RIGHT(AZ2,2)</f>
        <v>12</v>
      </c>
      <c r="BA10" s="349" t="str">
        <f t="shared" ref="BA10" si="84">+AZ10</f>
        <v>12</v>
      </c>
      <c r="BB10" s="348" t="str">
        <f t="shared" si="83"/>
        <v>12</v>
      </c>
      <c r="BC10" s="349" t="str">
        <f t="shared" ref="BC10" si="85">+BB10</f>
        <v>12</v>
      </c>
      <c r="BD10" s="348" t="str">
        <f t="shared" ref="BD10:BF10" si="86">RIGHT(BD2,2)</f>
        <v>12</v>
      </c>
      <c r="BE10" s="349" t="str">
        <f t="shared" ref="BE10" si="87">+BD10</f>
        <v>12</v>
      </c>
      <c r="BF10" s="348" t="str">
        <f t="shared" si="86"/>
        <v>12</v>
      </c>
      <c r="BG10" s="349" t="str">
        <f t="shared" ref="BG10" si="88">+BF10</f>
        <v>12</v>
      </c>
      <c r="BH10" s="348" t="str">
        <f t="shared" ref="BH10:BJ10" si="89">RIGHT(BH2,2)</f>
        <v>12</v>
      </c>
      <c r="BI10" s="349" t="str">
        <f t="shared" ref="BI10" si="90">+BH10</f>
        <v>12</v>
      </c>
      <c r="BJ10" s="348" t="str">
        <f t="shared" si="89"/>
        <v>12</v>
      </c>
      <c r="BK10" s="349" t="str">
        <f t="shared" ref="BK10" si="91">+BJ10</f>
        <v>12</v>
      </c>
      <c r="BL10" s="348" t="str">
        <f t="shared" ref="BL10" si="92">RIGHT(BL2,2)</f>
        <v>12</v>
      </c>
      <c r="BM10" s="349" t="str">
        <f t="shared" ref="BM10" si="93">+BL10</f>
        <v>12</v>
      </c>
      <c r="BN10" s="348" t="str">
        <f t="shared" ref="BN10" si="94">RIGHT(BN2,2)</f>
        <v>40</v>
      </c>
      <c r="BO10" s="349" t="str">
        <f t="shared" ref="BO10" si="95">+BN10</f>
        <v>40</v>
      </c>
      <c r="BP10" s="348" t="str">
        <f t="shared" ref="BP10" si="96">RIGHT(BP2,2)</f>
        <v>40</v>
      </c>
      <c r="BQ10" s="349" t="str">
        <f t="shared" ref="BQ10" si="97">+BP10</f>
        <v>40</v>
      </c>
      <c r="BR10" s="348" t="str">
        <f t="shared" ref="BR10" si="98">RIGHT(BR2,2)</f>
        <v>40</v>
      </c>
      <c r="BS10" s="349" t="str">
        <f t="shared" ref="BS10" si="99">+BR10</f>
        <v>40</v>
      </c>
      <c r="BT10" s="348" t="str">
        <f>RIGHT(BT2,2)</f>
        <v>40</v>
      </c>
      <c r="BU10" s="349" t="str">
        <f>+BT10</f>
        <v>40</v>
      </c>
      <c r="BV10" s="348" t="str">
        <f>RIGHT(BV2,2)</f>
        <v>40</v>
      </c>
      <c r="BW10" s="349" t="str">
        <f>+BV10</f>
        <v>40</v>
      </c>
      <c r="BX10" s="348" t="str">
        <f>RIGHT(BX2,2)</f>
        <v>40</v>
      </c>
      <c r="BY10" s="349" t="str">
        <f>+BX10</f>
        <v>40</v>
      </c>
      <c r="BZ10" s="348" t="str">
        <f>RIGHT(BZ2,2)</f>
        <v>40</v>
      </c>
      <c r="CA10" s="349" t="str">
        <f>+BZ10</f>
        <v>40</v>
      </c>
      <c r="CB10" s="252">
        <v>20</v>
      </c>
      <c r="CC10" s="253">
        <f t="shared" ref="CC10" si="100">+CB10</f>
        <v>20</v>
      </c>
      <c r="CD10" s="252">
        <v>20</v>
      </c>
      <c r="CE10" s="253">
        <f t="shared" ref="CE10" si="101">+CD10</f>
        <v>20</v>
      </c>
      <c r="CF10" s="252" t="str">
        <f>RIGHT(CF2,2)</f>
        <v>12</v>
      </c>
      <c r="CG10" s="253" t="str">
        <f>+CF10</f>
        <v>12</v>
      </c>
      <c r="CH10" s="348" t="str">
        <f>RIGHT(CH2,2)</f>
        <v>12</v>
      </c>
      <c r="CI10" s="349" t="str">
        <f>+CH10</f>
        <v>12</v>
      </c>
      <c r="CJ10" s="348" t="str">
        <f>RIGHT(CJ2,2)</f>
        <v>12</v>
      </c>
      <c r="CK10" s="349" t="str">
        <f>+CJ10</f>
        <v>12</v>
      </c>
      <c r="CL10" s="348" t="str">
        <f>RIGHT(CL2,2)</f>
        <v>12</v>
      </c>
      <c r="CM10" s="349" t="str">
        <f>+CL10</f>
        <v>12</v>
      </c>
      <c r="CN10" s="348" t="str">
        <f>RIGHT(CN2,2)</f>
        <v>12</v>
      </c>
      <c r="CO10" s="349" t="str">
        <f t="shared" ref="CO10" si="102">+CN10</f>
        <v>12</v>
      </c>
      <c r="CR10" s="252" t="str">
        <f t="shared" ref="CR10" si="103">RIGHT(CR2,2)</f>
        <v>24</v>
      </c>
      <c r="CS10" s="253" t="str">
        <f t="shared" ref="CS10" si="104">+CR10</f>
        <v>24</v>
      </c>
    </row>
    <row r="11" spans="1:97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21" t="s">
        <v>25</v>
      </c>
      <c r="BY11" s="22" t="s">
        <v>26</v>
      </c>
      <c r="BZ11" s="21" t="s">
        <v>25</v>
      </c>
      <c r="CA11" s="22" t="s">
        <v>26</v>
      </c>
      <c r="CB11" s="21" t="s">
        <v>25</v>
      </c>
      <c r="CC11" s="22" t="s">
        <v>26</v>
      </c>
      <c r="CD11" s="21" t="s">
        <v>25</v>
      </c>
      <c r="CE11" s="22" t="s">
        <v>26</v>
      </c>
      <c r="CF11" s="21" t="s">
        <v>25</v>
      </c>
      <c r="CG11" s="22" t="s">
        <v>26</v>
      </c>
      <c r="CH11" s="21" t="s">
        <v>25</v>
      </c>
      <c r="CI11" s="22" t="s">
        <v>26</v>
      </c>
      <c r="CJ11" s="21" t="s">
        <v>25</v>
      </c>
      <c r="CK11" s="22" t="s">
        <v>26</v>
      </c>
      <c r="CL11" s="21" t="s">
        <v>25</v>
      </c>
      <c r="CM11" s="22" t="s">
        <v>26</v>
      </c>
      <c r="CN11" s="21" t="s">
        <v>25</v>
      </c>
      <c r="CO11" s="22" t="s">
        <v>26</v>
      </c>
      <c r="CR11" s="21" t="s">
        <v>25</v>
      </c>
      <c r="CS11" s="22" t="s">
        <v>26</v>
      </c>
    </row>
    <row r="12" spans="1:97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350">
        <v>4068.66</v>
      </c>
      <c r="I12" s="351"/>
      <c r="J12" s="350">
        <v>4068.66</v>
      </c>
      <c r="K12" s="351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23">
        <v>4068.66</v>
      </c>
      <c r="S12" s="24"/>
      <c r="T12" s="350">
        <v>4068.66</v>
      </c>
      <c r="U12" s="351"/>
      <c r="V12" s="350">
        <v>4068.66</v>
      </c>
      <c r="W12" s="351"/>
      <c r="X12" s="23">
        <v>4068.66</v>
      </c>
      <c r="Y12" s="24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350">
        <v>4068.66</v>
      </c>
      <c r="AG12" s="351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350">
        <v>4068.66</v>
      </c>
      <c r="BY12" s="351"/>
      <c r="BZ12" s="350">
        <v>4068.66</v>
      </c>
      <c r="CA12" s="351"/>
      <c r="CB12" s="23">
        <v>4068.66</v>
      </c>
      <c r="CC12" s="24"/>
      <c r="CD12" s="23">
        <v>4068.66</v>
      </c>
      <c r="CE12" s="24"/>
      <c r="CF12" s="23">
        <v>4068.66</v>
      </c>
      <c r="CG12" s="24"/>
      <c r="CH12" s="350">
        <v>4068.66</v>
      </c>
      <c r="CI12" s="351"/>
      <c r="CJ12" s="350">
        <v>4068.66</v>
      </c>
      <c r="CK12" s="351"/>
      <c r="CL12" s="350">
        <v>4068.66</v>
      </c>
      <c r="CM12" s="351"/>
      <c r="CN12" s="350">
        <v>4068.66</v>
      </c>
      <c r="CO12" s="351"/>
      <c r="CR12" s="17">
        <v>4068.66</v>
      </c>
      <c r="CS12" s="24"/>
    </row>
    <row r="13" spans="1:97" s="4" customFormat="1" ht="1.05" customHeight="1" x14ac:dyDescent="0.45">
      <c r="A13" s="561"/>
      <c r="B13" s="1204"/>
      <c r="C13" s="25"/>
      <c r="D13" s="26"/>
      <c r="E13" s="26"/>
      <c r="F13" s="27"/>
      <c r="G13" s="28"/>
      <c r="H13" s="352"/>
      <c r="I13" s="353"/>
      <c r="J13" s="352"/>
      <c r="K13" s="353"/>
      <c r="L13" s="27"/>
      <c r="M13" s="28"/>
      <c r="N13" s="352"/>
      <c r="O13" s="353"/>
      <c r="P13" s="352"/>
      <c r="Q13" s="353"/>
      <c r="R13" s="27"/>
      <c r="S13" s="28"/>
      <c r="T13" s="352"/>
      <c r="U13" s="353"/>
      <c r="V13" s="352"/>
      <c r="W13" s="353"/>
      <c r="X13" s="27"/>
      <c r="Y13" s="28"/>
      <c r="Z13" s="352"/>
      <c r="AA13" s="353"/>
      <c r="AB13" s="352"/>
      <c r="AC13" s="353"/>
      <c r="AD13" s="352"/>
      <c r="AE13" s="353"/>
      <c r="AF13" s="352"/>
      <c r="AG13" s="353"/>
      <c r="AH13" s="352"/>
      <c r="AI13" s="353"/>
      <c r="AJ13" s="352"/>
      <c r="AK13" s="353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352"/>
      <c r="BY13" s="353"/>
      <c r="BZ13" s="352"/>
      <c r="CA13" s="353"/>
      <c r="CB13" s="27"/>
      <c r="CC13" s="28"/>
      <c r="CD13" s="27"/>
      <c r="CE13" s="28"/>
      <c r="CF13" s="27"/>
      <c r="CG13" s="28"/>
      <c r="CH13" s="352"/>
      <c r="CI13" s="353"/>
      <c r="CJ13" s="352"/>
      <c r="CK13" s="353"/>
      <c r="CL13" s="352"/>
      <c r="CM13" s="353"/>
      <c r="CN13" s="352"/>
      <c r="CO13" s="353"/>
      <c r="CR13" s="27"/>
      <c r="CS13" s="28"/>
    </row>
    <row r="14" spans="1:97" s="4" customFormat="1" ht="1.05" customHeight="1" x14ac:dyDescent="0.45">
      <c r="A14" s="561"/>
      <c r="B14" s="29"/>
      <c r="C14" s="15"/>
      <c r="D14" s="16"/>
      <c r="E14" s="16"/>
      <c r="F14" s="17"/>
      <c r="G14" s="18"/>
      <c r="H14" s="354"/>
      <c r="I14" s="355"/>
      <c r="J14" s="354"/>
      <c r="K14" s="355"/>
      <c r="L14" s="17"/>
      <c r="M14" s="18"/>
      <c r="N14" s="354"/>
      <c r="O14" s="355"/>
      <c r="P14" s="354"/>
      <c r="Q14" s="355"/>
      <c r="R14" s="17"/>
      <c r="S14" s="18"/>
      <c r="T14" s="354"/>
      <c r="U14" s="355"/>
      <c r="V14" s="354"/>
      <c r="W14" s="355"/>
      <c r="X14" s="17"/>
      <c r="Y14" s="18"/>
      <c r="Z14" s="354"/>
      <c r="AA14" s="355"/>
      <c r="AB14" s="354"/>
      <c r="AC14" s="355"/>
      <c r="AD14" s="354"/>
      <c r="AE14" s="355"/>
      <c r="AF14" s="354"/>
      <c r="AG14" s="355"/>
      <c r="AH14" s="354"/>
      <c r="AI14" s="355"/>
      <c r="AJ14" s="354"/>
      <c r="AK14" s="355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354"/>
      <c r="BY14" s="355"/>
      <c r="BZ14" s="354"/>
      <c r="CA14" s="355"/>
      <c r="CB14" s="17"/>
      <c r="CC14" s="18"/>
      <c r="CD14" s="17"/>
      <c r="CE14" s="18"/>
      <c r="CF14" s="17"/>
      <c r="CG14" s="18"/>
      <c r="CH14" s="354"/>
      <c r="CI14" s="355"/>
      <c r="CJ14" s="354"/>
      <c r="CK14" s="355"/>
      <c r="CL14" s="354"/>
      <c r="CM14" s="355"/>
      <c r="CN14" s="354"/>
      <c r="CO14" s="355"/>
      <c r="CR14" s="17"/>
      <c r="CS14" s="18"/>
    </row>
    <row r="15" spans="1:97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3250</v>
      </c>
      <c r="G15" s="32">
        <f>+F15/F12</f>
        <v>0.79878879041256834</v>
      </c>
      <c r="H15" s="31">
        <v>3250</v>
      </c>
      <c r="I15" s="32">
        <f>+H15/H12</f>
        <v>0.79878879041256834</v>
      </c>
      <c r="J15" s="31">
        <v>3250</v>
      </c>
      <c r="K15" s="32">
        <f>+J15/J12</f>
        <v>0.79878879041256834</v>
      </c>
      <c r="L15" s="31">
        <v>3250</v>
      </c>
      <c r="M15" s="32">
        <f>+L15/L12</f>
        <v>0.79878879041256834</v>
      </c>
      <c r="N15" s="31">
        <v>3250</v>
      </c>
      <c r="O15" s="32">
        <f>+N15/N12</f>
        <v>0.79878879041256834</v>
      </c>
      <c r="P15" s="31">
        <v>3250</v>
      </c>
      <c r="Q15" s="32">
        <f>+P15/P12</f>
        <v>0.79878879041256834</v>
      </c>
      <c r="R15" s="31">
        <v>3250</v>
      </c>
      <c r="S15" s="32">
        <f>+R15/R12</f>
        <v>0.79878879041256834</v>
      </c>
      <c r="T15" s="31">
        <v>3250</v>
      </c>
      <c r="U15" s="32">
        <f>+T15/T12</f>
        <v>0.79878879041256834</v>
      </c>
      <c r="V15" s="31">
        <v>3250</v>
      </c>
      <c r="W15" s="32">
        <f>+V15/V12</f>
        <v>0.79878879041256834</v>
      </c>
      <c r="X15" s="31">
        <v>3250</v>
      </c>
      <c r="Y15" s="32">
        <f>+X15/X12</f>
        <v>0.79878879041256834</v>
      </c>
      <c r="Z15" s="31">
        <v>3250</v>
      </c>
      <c r="AA15" s="32">
        <f>+Z15/Z12</f>
        <v>0.79878879041256834</v>
      </c>
      <c r="AB15" s="31">
        <v>3250</v>
      </c>
      <c r="AC15" s="32">
        <f>+AB15/AB12</f>
        <v>0.79878879041256834</v>
      </c>
      <c r="AD15" s="31">
        <v>3250</v>
      </c>
      <c r="AE15" s="32">
        <f t="shared" ref="AE15" si="105">+AD15/AD12</f>
        <v>0.79878879041256834</v>
      </c>
      <c r="AF15" s="31">
        <v>3250</v>
      </c>
      <c r="AG15" s="32">
        <f t="shared" ref="AG15" si="106">+AF15/AF12</f>
        <v>0.79878879041256834</v>
      </c>
      <c r="AH15" s="31">
        <v>3250</v>
      </c>
      <c r="AI15" s="32">
        <f t="shared" ref="AI15" si="107">+AH15/AH12</f>
        <v>0.79878879041256834</v>
      </c>
      <c r="AJ15" s="31">
        <v>3250</v>
      </c>
      <c r="AK15" s="32">
        <f t="shared" ref="AK15" si="108">+AJ15/AJ12</f>
        <v>0.79878879041256834</v>
      </c>
      <c r="AL15" s="31">
        <v>3250</v>
      </c>
      <c r="AM15" s="32">
        <f t="shared" ref="AM15" si="109">+AL15/AL12</f>
        <v>0.79878879041256834</v>
      </c>
      <c r="AN15" s="31">
        <v>3250</v>
      </c>
      <c r="AO15" s="32">
        <f t="shared" ref="AO15" si="110">+AN15/AN12</f>
        <v>0.79878879041256834</v>
      </c>
      <c r="AP15" s="31">
        <v>3250</v>
      </c>
      <c r="AQ15" s="32">
        <f t="shared" ref="AQ15" si="111">+AP15/AP12</f>
        <v>0.79878879041256834</v>
      </c>
      <c r="AR15" s="31">
        <v>3250</v>
      </c>
      <c r="AS15" s="32">
        <f t="shared" ref="AS15" si="112">+AR15/AR12</f>
        <v>0.79878879041256834</v>
      </c>
      <c r="AT15" s="31">
        <v>3250</v>
      </c>
      <c r="AU15" s="32">
        <f t="shared" ref="AU15" si="113">+AT15/AT12</f>
        <v>0.79878879041256834</v>
      </c>
      <c r="AV15" s="31">
        <v>3250</v>
      </c>
      <c r="AW15" s="32">
        <f t="shared" ref="AW15" si="114">+AV15/AV12</f>
        <v>0.79878879041256834</v>
      </c>
      <c r="AX15" s="31">
        <v>3250</v>
      </c>
      <c r="AY15" s="32">
        <f t="shared" ref="AY15" si="115">+AX15/AX12</f>
        <v>0.79878879041256834</v>
      </c>
      <c r="AZ15" s="31">
        <v>3250</v>
      </c>
      <c r="BA15" s="32">
        <f t="shared" ref="BA15" si="116">+AZ15/AZ12</f>
        <v>0.79878879041256834</v>
      </c>
      <c r="BB15" s="31">
        <v>3250</v>
      </c>
      <c r="BC15" s="32">
        <f t="shared" ref="BC15" si="117">+BB15/BB12</f>
        <v>0.79878879041256834</v>
      </c>
      <c r="BD15" s="31">
        <v>3250</v>
      </c>
      <c r="BE15" s="32">
        <f t="shared" ref="BE15" si="118">+BD15/BD12</f>
        <v>0.79878879041256834</v>
      </c>
      <c r="BF15" s="31">
        <v>3250</v>
      </c>
      <c r="BG15" s="32">
        <f t="shared" ref="BG15" si="119">+BF15/BF12</f>
        <v>0.79878879041256834</v>
      </c>
      <c r="BH15" s="31">
        <v>3250</v>
      </c>
      <c r="BI15" s="32">
        <f t="shared" ref="BI15" si="120">+BH15/BH12</f>
        <v>0.79878879041256834</v>
      </c>
      <c r="BJ15" s="31">
        <v>3250</v>
      </c>
      <c r="BK15" s="32">
        <f t="shared" ref="BK15" si="121">+BJ15/BJ12</f>
        <v>0.79878879041256834</v>
      </c>
      <c r="BL15" s="31">
        <v>2500</v>
      </c>
      <c r="BM15" s="32">
        <f t="shared" ref="BM15" si="122">+BL15/BL12</f>
        <v>0.61445291570197558</v>
      </c>
      <c r="BN15" s="31">
        <v>1000</v>
      </c>
      <c r="BO15" s="32">
        <f t="shared" ref="BO15" si="123">+BN15/BN12</f>
        <v>0.24578116628079025</v>
      </c>
      <c r="BP15" s="31">
        <v>1000</v>
      </c>
      <c r="BQ15" s="32">
        <f t="shared" ref="BQ15" si="124">+BP15/BP12</f>
        <v>0.24578116628079025</v>
      </c>
      <c r="BR15" s="31">
        <v>1000</v>
      </c>
      <c r="BS15" s="32">
        <f t="shared" ref="BS15" si="125">+BR15/BR12</f>
        <v>0.24578116628079025</v>
      </c>
      <c r="BT15" s="31">
        <v>1000</v>
      </c>
      <c r="BU15" s="32">
        <f>+BT15/BT12</f>
        <v>0.24578116628079025</v>
      </c>
      <c r="BV15" s="31">
        <v>1000</v>
      </c>
      <c r="BW15" s="32">
        <f>+BV15/BV12</f>
        <v>0.24578116628079025</v>
      </c>
      <c r="BX15" s="31">
        <v>1000</v>
      </c>
      <c r="BY15" s="32">
        <f>+BX15/BX12</f>
        <v>0.24578116628079025</v>
      </c>
      <c r="BZ15" s="31">
        <v>1000</v>
      </c>
      <c r="CA15" s="32">
        <f>+BZ15/BZ12</f>
        <v>0.24578116628079025</v>
      </c>
      <c r="CB15" s="31">
        <v>2000</v>
      </c>
      <c r="CC15" s="32">
        <f t="shared" ref="CC15" si="126">+CB15/CB12</f>
        <v>0.4915623325615805</v>
      </c>
      <c r="CD15" s="31">
        <v>2000</v>
      </c>
      <c r="CE15" s="32">
        <f t="shared" ref="CE15" si="127">+CD15/CD12</f>
        <v>0.4915623325615805</v>
      </c>
      <c r="CF15" s="31">
        <v>2000</v>
      </c>
      <c r="CG15" s="32">
        <f>+CF15/CF12</f>
        <v>0.4915623325615805</v>
      </c>
      <c r="CH15" s="31">
        <v>2000</v>
      </c>
      <c r="CI15" s="32">
        <f>+CH15/CH12</f>
        <v>0.4915623325615805</v>
      </c>
      <c r="CJ15" s="31">
        <v>2400</v>
      </c>
      <c r="CK15" s="32">
        <f>+CJ15/CJ12</f>
        <v>0.58987479907389662</v>
      </c>
      <c r="CL15" s="31">
        <v>2400</v>
      </c>
      <c r="CM15" s="32">
        <f>+CL15/CL12</f>
        <v>0.58987479907389662</v>
      </c>
      <c r="CN15" s="31">
        <v>2000</v>
      </c>
      <c r="CO15" s="32">
        <f t="shared" ref="CO15" si="128">+CN15/CN12</f>
        <v>0.4915623325615805</v>
      </c>
      <c r="CR15" s="1176">
        <v>2000</v>
      </c>
      <c r="CS15" s="32">
        <f t="shared" ref="CS15" si="129">+CR15/CR12</f>
        <v>0.4915623325615805</v>
      </c>
    </row>
    <row r="16" spans="1:97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BM16" si="130">+F15*F10</f>
        <v>39000</v>
      </c>
      <c r="G16" s="32">
        <f t="shared" si="130"/>
        <v>9.5854654849508201</v>
      </c>
      <c r="H16" s="31">
        <f t="shared" si="130"/>
        <v>39000</v>
      </c>
      <c r="I16" s="32">
        <f t="shared" si="130"/>
        <v>9.5854654849508201</v>
      </c>
      <c r="J16" s="31">
        <f t="shared" si="130"/>
        <v>39000</v>
      </c>
      <c r="K16" s="32">
        <f t="shared" si="130"/>
        <v>9.5854654849508201</v>
      </c>
      <c r="L16" s="31">
        <f t="shared" si="130"/>
        <v>39000</v>
      </c>
      <c r="M16" s="32">
        <f t="shared" si="130"/>
        <v>9.5854654849508201</v>
      </c>
      <c r="N16" s="31">
        <f t="shared" si="130"/>
        <v>39000</v>
      </c>
      <c r="O16" s="32">
        <f t="shared" si="130"/>
        <v>9.5854654849508201</v>
      </c>
      <c r="P16" s="31">
        <f t="shared" si="130"/>
        <v>39000</v>
      </c>
      <c r="Q16" s="32">
        <f t="shared" si="130"/>
        <v>9.5854654849508201</v>
      </c>
      <c r="R16" s="31">
        <f t="shared" si="130"/>
        <v>39000</v>
      </c>
      <c r="S16" s="32">
        <f t="shared" si="130"/>
        <v>9.5854654849508201</v>
      </c>
      <c r="T16" s="31">
        <f t="shared" si="130"/>
        <v>39000</v>
      </c>
      <c r="U16" s="32">
        <f t="shared" si="130"/>
        <v>9.5854654849508201</v>
      </c>
      <c r="V16" s="31">
        <f t="shared" si="130"/>
        <v>39000</v>
      </c>
      <c r="W16" s="32">
        <f t="shared" si="130"/>
        <v>9.5854654849508201</v>
      </c>
      <c r="X16" s="31">
        <f t="shared" si="130"/>
        <v>39000</v>
      </c>
      <c r="Y16" s="32">
        <f t="shared" si="130"/>
        <v>9.5854654849508201</v>
      </c>
      <c r="Z16" s="31">
        <f t="shared" si="130"/>
        <v>39000</v>
      </c>
      <c r="AA16" s="32">
        <f t="shared" si="130"/>
        <v>9.5854654849508201</v>
      </c>
      <c r="AB16" s="31">
        <f t="shared" si="130"/>
        <v>39000</v>
      </c>
      <c r="AC16" s="32">
        <f t="shared" si="130"/>
        <v>9.5854654849508201</v>
      </c>
      <c r="AD16" s="31">
        <f t="shared" si="130"/>
        <v>39000</v>
      </c>
      <c r="AE16" s="32">
        <f t="shared" si="130"/>
        <v>9.5854654849508201</v>
      </c>
      <c r="AF16" s="31">
        <f t="shared" si="130"/>
        <v>39000</v>
      </c>
      <c r="AG16" s="32">
        <f t="shared" si="130"/>
        <v>9.5854654849508201</v>
      </c>
      <c r="AH16" s="31">
        <f t="shared" si="130"/>
        <v>39000</v>
      </c>
      <c r="AI16" s="32">
        <f t="shared" si="130"/>
        <v>9.5854654849508201</v>
      </c>
      <c r="AJ16" s="31">
        <f t="shared" si="130"/>
        <v>39000</v>
      </c>
      <c r="AK16" s="32">
        <f t="shared" si="130"/>
        <v>9.5854654849508201</v>
      </c>
      <c r="AL16" s="31">
        <f t="shared" si="130"/>
        <v>39000</v>
      </c>
      <c r="AM16" s="32">
        <f t="shared" si="130"/>
        <v>9.5854654849508201</v>
      </c>
      <c r="AN16" s="31">
        <f t="shared" si="130"/>
        <v>39000</v>
      </c>
      <c r="AO16" s="32">
        <f t="shared" si="130"/>
        <v>9.5854654849508201</v>
      </c>
      <c r="AP16" s="31">
        <f t="shared" si="130"/>
        <v>39000</v>
      </c>
      <c r="AQ16" s="32">
        <f t="shared" si="130"/>
        <v>9.5854654849508201</v>
      </c>
      <c r="AR16" s="31">
        <f t="shared" si="130"/>
        <v>39000</v>
      </c>
      <c r="AS16" s="32">
        <f t="shared" si="130"/>
        <v>9.5854654849508201</v>
      </c>
      <c r="AT16" s="31">
        <f t="shared" si="130"/>
        <v>39000</v>
      </c>
      <c r="AU16" s="32">
        <f t="shared" si="130"/>
        <v>9.5854654849508201</v>
      </c>
      <c r="AV16" s="31">
        <f t="shared" si="130"/>
        <v>39000</v>
      </c>
      <c r="AW16" s="32">
        <f t="shared" si="130"/>
        <v>9.5854654849508201</v>
      </c>
      <c r="AX16" s="31">
        <f t="shared" si="130"/>
        <v>39000</v>
      </c>
      <c r="AY16" s="32">
        <f t="shared" si="130"/>
        <v>9.5854654849508201</v>
      </c>
      <c r="AZ16" s="31">
        <f t="shared" si="130"/>
        <v>39000</v>
      </c>
      <c r="BA16" s="32">
        <f t="shared" si="130"/>
        <v>9.5854654849508201</v>
      </c>
      <c r="BB16" s="31">
        <f t="shared" si="130"/>
        <v>39000</v>
      </c>
      <c r="BC16" s="32">
        <f t="shared" si="130"/>
        <v>9.5854654849508201</v>
      </c>
      <c r="BD16" s="31">
        <f t="shared" si="130"/>
        <v>39000</v>
      </c>
      <c r="BE16" s="32">
        <f t="shared" si="130"/>
        <v>9.5854654849508201</v>
      </c>
      <c r="BF16" s="31">
        <f t="shared" si="130"/>
        <v>39000</v>
      </c>
      <c r="BG16" s="32">
        <f t="shared" si="130"/>
        <v>9.5854654849508201</v>
      </c>
      <c r="BH16" s="31">
        <f t="shared" si="130"/>
        <v>39000</v>
      </c>
      <c r="BI16" s="32">
        <f t="shared" si="130"/>
        <v>9.5854654849508201</v>
      </c>
      <c r="BJ16" s="31">
        <f t="shared" si="130"/>
        <v>39000</v>
      </c>
      <c r="BK16" s="32">
        <f t="shared" si="130"/>
        <v>9.5854654849508201</v>
      </c>
      <c r="BL16" s="31">
        <f t="shared" si="130"/>
        <v>30000</v>
      </c>
      <c r="BM16" s="32">
        <f t="shared" si="130"/>
        <v>7.3734349884237069</v>
      </c>
      <c r="BN16" s="31">
        <f>BO16*BN12</f>
        <v>40000</v>
      </c>
      <c r="BO16" s="32">
        <f t="shared" ref="BO16" si="131">+BO15*BO10</f>
        <v>9.8312466512316092</v>
      </c>
      <c r="BP16" s="31">
        <f>BQ16*BP12</f>
        <v>40000</v>
      </c>
      <c r="BQ16" s="32">
        <f t="shared" ref="BQ16" si="132">+BQ15*BQ10</f>
        <v>9.8312466512316092</v>
      </c>
      <c r="BR16" s="31">
        <f>BS16*BR12</f>
        <v>40000</v>
      </c>
      <c r="BS16" s="32">
        <f t="shared" ref="BS16" si="133">+BS15*BS10</f>
        <v>9.8312466512316092</v>
      </c>
      <c r="BT16" s="31">
        <f>BU16*BT12</f>
        <v>40000</v>
      </c>
      <c r="BU16" s="32">
        <f t="shared" ref="BU16" si="134">+BU15*BU10</f>
        <v>9.8312466512316092</v>
      </c>
      <c r="BV16" s="31">
        <f>BW16*BV12</f>
        <v>40000</v>
      </c>
      <c r="BW16" s="32">
        <f t="shared" ref="BW16" si="135">+BW15*BW10</f>
        <v>9.8312466512316092</v>
      </c>
      <c r="BX16" s="31">
        <f>BY16*BX12</f>
        <v>40000</v>
      </c>
      <c r="BY16" s="32">
        <f t="shared" ref="BY16" si="136">+BY15*BY10</f>
        <v>9.8312466512316092</v>
      </c>
      <c r="BZ16" s="31">
        <f>CA16*BZ12</f>
        <v>40000</v>
      </c>
      <c r="CA16" s="32">
        <f t="shared" ref="CA16" si="137">+CA15*CA10</f>
        <v>9.8312466512316092</v>
      </c>
      <c r="CB16" s="31">
        <f>CC16*CB12</f>
        <v>40000</v>
      </c>
      <c r="CC16" s="32">
        <f t="shared" ref="CC16" si="138">+CC15*CC10</f>
        <v>9.8312466512316092</v>
      </c>
      <c r="CD16" s="31">
        <f>CE16*CD12</f>
        <v>40000</v>
      </c>
      <c r="CE16" s="32">
        <f t="shared" ref="CE16" si="139">+CE15*CE10</f>
        <v>9.8312466512316092</v>
      </c>
      <c r="CF16" s="31">
        <f>CG16*CF12</f>
        <v>24000</v>
      </c>
      <c r="CG16" s="32">
        <f>+CG15*CG10</f>
        <v>5.8987479907389657</v>
      </c>
      <c r="CH16" s="31">
        <f>CI16*CH12</f>
        <v>24000</v>
      </c>
      <c r="CI16" s="32">
        <f>+CI15*CI10</f>
        <v>5.8987479907389657</v>
      </c>
      <c r="CJ16" s="31">
        <f>CK16*CJ12</f>
        <v>28800</v>
      </c>
      <c r="CK16" s="32">
        <f t="shared" ref="CK16:CM16" si="140">+CK15*CK10</f>
        <v>7.0784975888867594</v>
      </c>
      <c r="CL16" s="31">
        <f>CM16*CL12</f>
        <v>28800</v>
      </c>
      <c r="CM16" s="32">
        <f t="shared" si="140"/>
        <v>7.0784975888867594</v>
      </c>
      <c r="CN16" s="31">
        <f>CO16*CN12</f>
        <v>24000</v>
      </c>
      <c r="CO16" s="32">
        <f>+CO15*CO10</f>
        <v>5.8987479907389657</v>
      </c>
      <c r="CR16" s="1176">
        <f t="shared" ref="CR16:CS16" si="141">+CR15*CR10</f>
        <v>48000</v>
      </c>
      <c r="CS16" s="32">
        <f t="shared" si="141"/>
        <v>11.797495981477931</v>
      </c>
    </row>
    <row r="17" spans="1:97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350">
        <v>0</v>
      </c>
      <c r="I17" s="351">
        <v>0</v>
      </c>
      <c r="J17" s="350">
        <v>0</v>
      </c>
      <c r="K17" s="351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23">
        <v>0</v>
      </c>
      <c r="S17" s="24">
        <v>0</v>
      </c>
      <c r="T17" s="350">
        <v>0</v>
      </c>
      <c r="U17" s="351">
        <v>0</v>
      </c>
      <c r="V17" s="350">
        <v>0</v>
      </c>
      <c r="W17" s="351">
        <v>0</v>
      </c>
      <c r="X17" s="23">
        <v>0</v>
      </c>
      <c r="Y17" s="24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350">
        <v>0</v>
      </c>
      <c r="AG17" s="351">
        <v>0</v>
      </c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350">
        <v>0</v>
      </c>
      <c r="BY17" s="351">
        <v>0</v>
      </c>
      <c r="BZ17" s="350">
        <v>0</v>
      </c>
      <c r="CA17" s="351">
        <v>0</v>
      </c>
      <c r="CB17" s="23">
        <v>0</v>
      </c>
      <c r="CC17" s="24">
        <v>0</v>
      </c>
      <c r="CD17" s="23">
        <v>0</v>
      </c>
      <c r="CE17" s="24">
        <v>0</v>
      </c>
      <c r="CF17" s="23">
        <v>0</v>
      </c>
      <c r="CG17" s="24">
        <v>0</v>
      </c>
      <c r="CH17" s="350">
        <v>0</v>
      </c>
      <c r="CI17" s="351">
        <v>0</v>
      </c>
      <c r="CJ17" s="350">
        <v>0</v>
      </c>
      <c r="CK17" s="351">
        <v>0</v>
      </c>
      <c r="CL17" s="350">
        <v>0</v>
      </c>
      <c r="CM17" s="351">
        <v>0</v>
      </c>
      <c r="CN17" s="350">
        <v>0</v>
      </c>
      <c r="CO17" s="351">
        <v>0</v>
      </c>
      <c r="CR17" s="23">
        <v>0</v>
      </c>
      <c r="CS17" s="24">
        <v>0</v>
      </c>
    </row>
    <row r="18" spans="1:97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56">
        <v>0</v>
      </c>
      <c r="I18" s="357">
        <v>0</v>
      </c>
      <c r="J18" s="356">
        <v>0</v>
      </c>
      <c r="K18" s="35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6">
        <v>0</v>
      </c>
      <c r="S18" s="37">
        <v>0</v>
      </c>
      <c r="T18" s="356">
        <v>0</v>
      </c>
      <c r="U18" s="357">
        <v>0</v>
      </c>
      <c r="V18" s="356">
        <v>0</v>
      </c>
      <c r="W18" s="357">
        <v>0</v>
      </c>
      <c r="X18" s="36">
        <v>0</v>
      </c>
      <c r="Y18" s="3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56">
        <v>0</v>
      </c>
      <c r="AG18" s="357">
        <v>0</v>
      </c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356">
        <v>0</v>
      </c>
      <c r="BY18" s="357">
        <v>0</v>
      </c>
      <c r="BZ18" s="356">
        <v>0</v>
      </c>
      <c r="CA18" s="357">
        <v>0</v>
      </c>
      <c r="CB18" s="36">
        <v>0</v>
      </c>
      <c r="CC18" s="37">
        <v>0</v>
      </c>
      <c r="CD18" s="36">
        <v>0</v>
      </c>
      <c r="CE18" s="37">
        <v>0</v>
      </c>
      <c r="CF18" s="36">
        <v>0</v>
      </c>
      <c r="CG18" s="37">
        <v>0</v>
      </c>
      <c r="CH18" s="356">
        <v>0</v>
      </c>
      <c r="CI18" s="357">
        <v>0</v>
      </c>
      <c r="CJ18" s="356">
        <v>0</v>
      </c>
      <c r="CK18" s="357">
        <v>0</v>
      </c>
      <c r="CL18" s="356">
        <v>0</v>
      </c>
      <c r="CM18" s="357">
        <v>0</v>
      </c>
      <c r="CN18" s="356">
        <v>0</v>
      </c>
      <c r="CO18" s="357">
        <v>0</v>
      </c>
      <c r="CR18" s="36">
        <v>0</v>
      </c>
      <c r="CS18" s="37">
        <v>0</v>
      </c>
    </row>
    <row r="19" spans="1:97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BM19" si="142">F15-F17</f>
        <v>3250</v>
      </c>
      <c r="G19" s="32">
        <f t="shared" si="142"/>
        <v>0.79878879041256834</v>
      </c>
      <c r="H19" s="38">
        <f t="shared" si="142"/>
        <v>3250</v>
      </c>
      <c r="I19" s="32">
        <f t="shared" si="142"/>
        <v>0.79878879041256834</v>
      </c>
      <c r="J19" s="38">
        <f t="shared" si="142"/>
        <v>3250</v>
      </c>
      <c r="K19" s="32">
        <f t="shared" si="142"/>
        <v>0.79878879041256834</v>
      </c>
      <c r="L19" s="38">
        <f t="shared" si="142"/>
        <v>3250</v>
      </c>
      <c r="M19" s="32">
        <f t="shared" si="142"/>
        <v>0.79878879041256834</v>
      </c>
      <c r="N19" s="38">
        <f t="shared" si="142"/>
        <v>3250</v>
      </c>
      <c r="O19" s="32">
        <f t="shared" si="142"/>
        <v>0.79878879041256834</v>
      </c>
      <c r="P19" s="38">
        <f t="shared" si="142"/>
        <v>3250</v>
      </c>
      <c r="Q19" s="32">
        <f t="shared" si="142"/>
        <v>0.79878879041256834</v>
      </c>
      <c r="R19" s="38">
        <f t="shared" si="142"/>
        <v>3250</v>
      </c>
      <c r="S19" s="32">
        <f t="shared" si="142"/>
        <v>0.79878879041256834</v>
      </c>
      <c r="T19" s="38">
        <f t="shared" si="142"/>
        <v>3250</v>
      </c>
      <c r="U19" s="32">
        <f t="shared" si="142"/>
        <v>0.79878879041256834</v>
      </c>
      <c r="V19" s="38">
        <f t="shared" si="142"/>
        <v>3250</v>
      </c>
      <c r="W19" s="32">
        <f t="shared" si="142"/>
        <v>0.79878879041256834</v>
      </c>
      <c r="X19" s="38">
        <f t="shared" si="142"/>
        <v>3250</v>
      </c>
      <c r="Y19" s="32">
        <f t="shared" si="142"/>
        <v>0.79878879041256834</v>
      </c>
      <c r="Z19" s="38">
        <f t="shared" si="142"/>
        <v>3250</v>
      </c>
      <c r="AA19" s="32">
        <f t="shared" si="142"/>
        <v>0.79878879041256834</v>
      </c>
      <c r="AB19" s="38">
        <f t="shared" si="142"/>
        <v>3250</v>
      </c>
      <c r="AC19" s="32">
        <f t="shared" si="142"/>
        <v>0.79878879041256834</v>
      </c>
      <c r="AD19" s="38">
        <f t="shared" si="142"/>
        <v>3250</v>
      </c>
      <c r="AE19" s="32">
        <f t="shared" si="142"/>
        <v>0.79878879041256834</v>
      </c>
      <c r="AF19" s="38">
        <f t="shared" si="142"/>
        <v>3250</v>
      </c>
      <c r="AG19" s="32">
        <f t="shared" si="142"/>
        <v>0.79878879041256834</v>
      </c>
      <c r="AH19" s="38">
        <f t="shared" si="142"/>
        <v>3250</v>
      </c>
      <c r="AI19" s="32">
        <f t="shared" si="142"/>
        <v>0.79878879041256834</v>
      </c>
      <c r="AJ19" s="38">
        <f t="shared" si="142"/>
        <v>3250</v>
      </c>
      <c r="AK19" s="32">
        <f t="shared" si="142"/>
        <v>0.79878879041256834</v>
      </c>
      <c r="AL19" s="38">
        <f t="shared" si="142"/>
        <v>3250</v>
      </c>
      <c r="AM19" s="32">
        <f t="shared" si="142"/>
        <v>0.79878879041256834</v>
      </c>
      <c r="AN19" s="38">
        <f t="shared" si="142"/>
        <v>3250</v>
      </c>
      <c r="AO19" s="32">
        <f t="shared" si="142"/>
        <v>0.79878879041256834</v>
      </c>
      <c r="AP19" s="38">
        <f t="shared" si="142"/>
        <v>3250</v>
      </c>
      <c r="AQ19" s="32">
        <f t="shared" si="142"/>
        <v>0.79878879041256834</v>
      </c>
      <c r="AR19" s="38">
        <f t="shared" si="142"/>
        <v>3250</v>
      </c>
      <c r="AS19" s="32">
        <f t="shared" si="142"/>
        <v>0.79878879041256834</v>
      </c>
      <c r="AT19" s="38">
        <f t="shared" si="142"/>
        <v>3250</v>
      </c>
      <c r="AU19" s="32">
        <f t="shared" si="142"/>
        <v>0.79878879041256834</v>
      </c>
      <c r="AV19" s="38">
        <f t="shared" si="142"/>
        <v>3250</v>
      </c>
      <c r="AW19" s="32">
        <f t="shared" si="142"/>
        <v>0.79878879041256834</v>
      </c>
      <c r="AX19" s="38">
        <f t="shared" si="142"/>
        <v>3250</v>
      </c>
      <c r="AY19" s="32">
        <f t="shared" si="142"/>
        <v>0.79878879041256834</v>
      </c>
      <c r="AZ19" s="38">
        <f t="shared" si="142"/>
        <v>3250</v>
      </c>
      <c r="BA19" s="32">
        <f t="shared" si="142"/>
        <v>0.79878879041256834</v>
      </c>
      <c r="BB19" s="38">
        <f t="shared" si="142"/>
        <v>3250</v>
      </c>
      <c r="BC19" s="32">
        <f t="shared" si="142"/>
        <v>0.79878879041256834</v>
      </c>
      <c r="BD19" s="38">
        <f t="shared" si="142"/>
        <v>3250</v>
      </c>
      <c r="BE19" s="32">
        <f t="shared" si="142"/>
        <v>0.79878879041256834</v>
      </c>
      <c r="BF19" s="38">
        <f t="shared" si="142"/>
        <v>3250</v>
      </c>
      <c r="BG19" s="32">
        <f t="shared" si="142"/>
        <v>0.79878879041256834</v>
      </c>
      <c r="BH19" s="38">
        <f t="shared" si="142"/>
        <v>3250</v>
      </c>
      <c r="BI19" s="32">
        <f t="shared" si="142"/>
        <v>0.79878879041256834</v>
      </c>
      <c r="BJ19" s="38">
        <f t="shared" si="142"/>
        <v>3250</v>
      </c>
      <c r="BK19" s="32">
        <f t="shared" si="142"/>
        <v>0.79878879041256834</v>
      </c>
      <c r="BL19" s="38">
        <f t="shared" si="142"/>
        <v>2500</v>
      </c>
      <c r="BM19" s="32">
        <f t="shared" si="142"/>
        <v>0.61445291570197558</v>
      </c>
      <c r="BN19" s="38">
        <f t="shared" ref="BN19:CI19" si="143">BN15-BN17</f>
        <v>1000</v>
      </c>
      <c r="BO19" s="32">
        <f t="shared" si="143"/>
        <v>0.24578116628079025</v>
      </c>
      <c r="BP19" s="38">
        <f t="shared" si="143"/>
        <v>1000</v>
      </c>
      <c r="BQ19" s="32">
        <f t="shared" si="143"/>
        <v>0.24578116628079025</v>
      </c>
      <c r="BR19" s="38">
        <f t="shared" si="143"/>
        <v>1000</v>
      </c>
      <c r="BS19" s="32">
        <f t="shared" si="143"/>
        <v>0.24578116628079025</v>
      </c>
      <c r="BT19" s="38">
        <f t="shared" si="143"/>
        <v>1000</v>
      </c>
      <c r="BU19" s="32">
        <f t="shared" si="143"/>
        <v>0.24578116628079025</v>
      </c>
      <c r="BV19" s="38">
        <f t="shared" si="143"/>
        <v>1000</v>
      </c>
      <c r="BW19" s="32">
        <f t="shared" si="143"/>
        <v>0.24578116628079025</v>
      </c>
      <c r="BX19" s="38">
        <f t="shared" si="143"/>
        <v>1000</v>
      </c>
      <c r="BY19" s="32">
        <f t="shared" si="143"/>
        <v>0.24578116628079025</v>
      </c>
      <c r="BZ19" s="38">
        <f t="shared" si="143"/>
        <v>1000</v>
      </c>
      <c r="CA19" s="32">
        <f t="shared" si="143"/>
        <v>0.24578116628079025</v>
      </c>
      <c r="CB19" s="38">
        <f t="shared" si="143"/>
        <v>2000</v>
      </c>
      <c r="CC19" s="32">
        <f t="shared" si="143"/>
        <v>0.4915623325615805</v>
      </c>
      <c r="CD19" s="38">
        <f t="shared" si="143"/>
        <v>2000</v>
      </c>
      <c r="CE19" s="32">
        <f t="shared" si="143"/>
        <v>0.4915623325615805</v>
      </c>
      <c r="CF19" s="38">
        <f t="shared" si="143"/>
        <v>2000</v>
      </c>
      <c r="CG19" s="32">
        <f t="shared" si="143"/>
        <v>0.4915623325615805</v>
      </c>
      <c r="CH19" s="38">
        <f t="shared" si="143"/>
        <v>2000</v>
      </c>
      <c r="CI19" s="32">
        <f t="shared" si="143"/>
        <v>0.4915623325615805</v>
      </c>
      <c r="CJ19" s="38">
        <f t="shared" ref="CJ19:CS19" si="144">CJ15-CJ17</f>
        <v>2400</v>
      </c>
      <c r="CK19" s="32">
        <f t="shared" si="144"/>
        <v>0.58987479907389662</v>
      </c>
      <c r="CL19" s="38">
        <f t="shared" si="144"/>
        <v>2400</v>
      </c>
      <c r="CM19" s="32">
        <f t="shared" si="144"/>
        <v>0.58987479907389662</v>
      </c>
      <c r="CN19" s="38">
        <f>CN15-CN17</f>
        <v>2000</v>
      </c>
      <c r="CO19" s="32">
        <f>CO15-CO17</f>
        <v>0.4915623325615805</v>
      </c>
      <c r="CR19" s="1177">
        <f t="shared" si="144"/>
        <v>2000</v>
      </c>
      <c r="CS19" s="32">
        <f t="shared" si="144"/>
        <v>0.4915623325615805</v>
      </c>
    </row>
    <row r="20" spans="1:97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BM20" si="145">1/(1+F18)*F16</f>
        <v>39000</v>
      </c>
      <c r="G20" s="40">
        <f t="shared" si="145"/>
        <v>9.5854654849508201</v>
      </c>
      <c r="H20" s="39">
        <f t="shared" si="145"/>
        <v>39000</v>
      </c>
      <c r="I20" s="40">
        <f t="shared" si="145"/>
        <v>9.5854654849508201</v>
      </c>
      <c r="J20" s="39">
        <f t="shared" si="145"/>
        <v>39000</v>
      </c>
      <c r="K20" s="40">
        <f t="shared" si="145"/>
        <v>9.5854654849508201</v>
      </c>
      <c r="L20" s="39">
        <f t="shared" si="145"/>
        <v>39000</v>
      </c>
      <c r="M20" s="40">
        <f t="shared" si="145"/>
        <v>9.5854654849508201</v>
      </c>
      <c r="N20" s="39">
        <f t="shared" si="145"/>
        <v>39000</v>
      </c>
      <c r="O20" s="40">
        <f t="shared" si="145"/>
        <v>9.5854654849508201</v>
      </c>
      <c r="P20" s="39">
        <f t="shared" si="145"/>
        <v>39000</v>
      </c>
      <c r="Q20" s="40">
        <f t="shared" si="145"/>
        <v>9.5854654849508201</v>
      </c>
      <c r="R20" s="39">
        <f t="shared" si="145"/>
        <v>39000</v>
      </c>
      <c r="S20" s="40">
        <f t="shared" si="145"/>
        <v>9.5854654849508201</v>
      </c>
      <c r="T20" s="39">
        <f t="shared" si="145"/>
        <v>39000</v>
      </c>
      <c r="U20" s="40">
        <f t="shared" si="145"/>
        <v>9.5854654849508201</v>
      </c>
      <c r="V20" s="39">
        <f t="shared" si="145"/>
        <v>39000</v>
      </c>
      <c r="W20" s="40">
        <f t="shared" si="145"/>
        <v>9.5854654849508201</v>
      </c>
      <c r="X20" s="39">
        <f t="shared" si="145"/>
        <v>39000</v>
      </c>
      <c r="Y20" s="40">
        <f t="shared" si="145"/>
        <v>9.5854654849508201</v>
      </c>
      <c r="Z20" s="39">
        <f t="shared" si="145"/>
        <v>39000</v>
      </c>
      <c r="AA20" s="40">
        <f t="shared" si="145"/>
        <v>9.5854654849508201</v>
      </c>
      <c r="AB20" s="39">
        <f t="shared" si="145"/>
        <v>39000</v>
      </c>
      <c r="AC20" s="40">
        <f t="shared" si="145"/>
        <v>9.5854654849508201</v>
      </c>
      <c r="AD20" s="39">
        <f t="shared" si="145"/>
        <v>39000</v>
      </c>
      <c r="AE20" s="40">
        <f t="shared" si="145"/>
        <v>9.5854654849508201</v>
      </c>
      <c r="AF20" s="39">
        <f t="shared" si="145"/>
        <v>39000</v>
      </c>
      <c r="AG20" s="40">
        <f t="shared" si="145"/>
        <v>9.5854654849508201</v>
      </c>
      <c r="AH20" s="39">
        <f t="shared" si="145"/>
        <v>39000</v>
      </c>
      <c r="AI20" s="40">
        <f t="shared" si="145"/>
        <v>9.5854654849508201</v>
      </c>
      <c r="AJ20" s="39">
        <f t="shared" si="145"/>
        <v>39000</v>
      </c>
      <c r="AK20" s="40">
        <f t="shared" si="145"/>
        <v>9.5854654849508201</v>
      </c>
      <c r="AL20" s="39">
        <f t="shared" si="145"/>
        <v>39000</v>
      </c>
      <c r="AM20" s="40">
        <f t="shared" si="145"/>
        <v>9.5854654849508201</v>
      </c>
      <c r="AN20" s="39">
        <f t="shared" si="145"/>
        <v>39000</v>
      </c>
      <c r="AO20" s="40">
        <f t="shared" si="145"/>
        <v>9.5854654849508201</v>
      </c>
      <c r="AP20" s="39">
        <f t="shared" si="145"/>
        <v>39000</v>
      </c>
      <c r="AQ20" s="40">
        <f t="shared" si="145"/>
        <v>9.5854654849508201</v>
      </c>
      <c r="AR20" s="39">
        <f t="shared" si="145"/>
        <v>39000</v>
      </c>
      <c r="AS20" s="40">
        <f t="shared" si="145"/>
        <v>9.5854654849508201</v>
      </c>
      <c r="AT20" s="39">
        <f t="shared" si="145"/>
        <v>39000</v>
      </c>
      <c r="AU20" s="40">
        <f t="shared" si="145"/>
        <v>9.5854654849508201</v>
      </c>
      <c r="AV20" s="39">
        <f t="shared" si="145"/>
        <v>39000</v>
      </c>
      <c r="AW20" s="40">
        <f t="shared" si="145"/>
        <v>9.5854654849508201</v>
      </c>
      <c r="AX20" s="39">
        <f t="shared" si="145"/>
        <v>39000</v>
      </c>
      <c r="AY20" s="40">
        <f t="shared" si="145"/>
        <v>9.5854654849508201</v>
      </c>
      <c r="AZ20" s="39">
        <f t="shared" si="145"/>
        <v>39000</v>
      </c>
      <c r="BA20" s="40">
        <f t="shared" si="145"/>
        <v>9.5854654849508201</v>
      </c>
      <c r="BB20" s="39">
        <f t="shared" si="145"/>
        <v>39000</v>
      </c>
      <c r="BC20" s="40">
        <f t="shared" si="145"/>
        <v>9.5854654849508201</v>
      </c>
      <c r="BD20" s="39">
        <f t="shared" si="145"/>
        <v>39000</v>
      </c>
      <c r="BE20" s="40">
        <f t="shared" si="145"/>
        <v>9.5854654849508201</v>
      </c>
      <c r="BF20" s="39">
        <f t="shared" si="145"/>
        <v>39000</v>
      </c>
      <c r="BG20" s="40">
        <f t="shared" si="145"/>
        <v>9.5854654849508201</v>
      </c>
      <c r="BH20" s="39">
        <f t="shared" si="145"/>
        <v>39000</v>
      </c>
      <c r="BI20" s="40">
        <f t="shared" si="145"/>
        <v>9.5854654849508201</v>
      </c>
      <c r="BJ20" s="39">
        <f t="shared" si="145"/>
        <v>39000</v>
      </c>
      <c r="BK20" s="40">
        <f t="shared" si="145"/>
        <v>9.5854654849508201</v>
      </c>
      <c r="BL20" s="39">
        <f t="shared" si="145"/>
        <v>30000</v>
      </c>
      <c r="BM20" s="40">
        <f t="shared" si="145"/>
        <v>7.3734349884237069</v>
      </c>
      <c r="BN20" s="39">
        <f t="shared" ref="BN20:CI20" si="146">1/(1+BN18)*BN16</f>
        <v>40000</v>
      </c>
      <c r="BO20" s="40">
        <f t="shared" si="146"/>
        <v>9.8312466512316092</v>
      </c>
      <c r="BP20" s="39">
        <f t="shared" si="146"/>
        <v>40000</v>
      </c>
      <c r="BQ20" s="40">
        <f t="shared" si="146"/>
        <v>9.8312466512316092</v>
      </c>
      <c r="BR20" s="39">
        <f t="shared" si="146"/>
        <v>40000</v>
      </c>
      <c r="BS20" s="40">
        <f t="shared" si="146"/>
        <v>9.8312466512316092</v>
      </c>
      <c r="BT20" s="39">
        <f t="shared" si="146"/>
        <v>40000</v>
      </c>
      <c r="BU20" s="40">
        <f t="shared" si="146"/>
        <v>9.8312466512316092</v>
      </c>
      <c r="BV20" s="39">
        <f t="shared" si="146"/>
        <v>40000</v>
      </c>
      <c r="BW20" s="40">
        <f t="shared" si="146"/>
        <v>9.8312466512316092</v>
      </c>
      <c r="BX20" s="39">
        <f t="shared" si="146"/>
        <v>40000</v>
      </c>
      <c r="BY20" s="40">
        <f t="shared" si="146"/>
        <v>9.8312466512316092</v>
      </c>
      <c r="BZ20" s="39">
        <f t="shared" si="146"/>
        <v>40000</v>
      </c>
      <c r="CA20" s="40">
        <f t="shared" si="146"/>
        <v>9.8312466512316092</v>
      </c>
      <c r="CB20" s="39">
        <f t="shared" si="146"/>
        <v>40000</v>
      </c>
      <c r="CC20" s="40">
        <f t="shared" si="146"/>
        <v>9.8312466512316092</v>
      </c>
      <c r="CD20" s="39">
        <f t="shared" si="146"/>
        <v>40000</v>
      </c>
      <c r="CE20" s="40">
        <f t="shared" si="146"/>
        <v>9.8312466512316092</v>
      </c>
      <c r="CF20" s="39">
        <f t="shared" si="146"/>
        <v>24000</v>
      </c>
      <c r="CG20" s="40">
        <f t="shared" si="146"/>
        <v>5.8987479907389657</v>
      </c>
      <c r="CH20" s="39">
        <f t="shared" si="146"/>
        <v>24000</v>
      </c>
      <c r="CI20" s="40">
        <f t="shared" si="146"/>
        <v>5.8987479907389657</v>
      </c>
      <c r="CJ20" s="39">
        <f t="shared" ref="CJ20:CM20" si="147">1/(1+CJ18)*CJ16</f>
        <v>28800</v>
      </c>
      <c r="CK20" s="40">
        <f t="shared" si="147"/>
        <v>7.0784975888867594</v>
      </c>
      <c r="CL20" s="39">
        <f t="shared" si="147"/>
        <v>28800</v>
      </c>
      <c r="CM20" s="40">
        <f t="shared" si="147"/>
        <v>7.0784975888867594</v>
      </c>
      <c r="CN20" s="39">
        <f>1/(1+CN18)*CN16</f>
        <v>24000</v>
      </c>
      <c r="CO20" s="40">
        <f>1/(1+CO18)*CO16</f>
        <v>5.8987479907389657</v>
      </c>
      <c r="CR20" s="1178">
        <f t="shared" ref="CR20:CS20" si="148">1/(1+CR18)*CR16</f>
        <v>48000</v>
      </c>
      <c r="CS20" s="40">
        <f t="shared" si="148"/>
        <v>11.797495981477931</v>
      </c>
    </row>
    <row r="21" spans="1:97" s="4" customFormat="1" ht="1.05" customHeight="1" x14ac:dyDescent="0.45">
      <c r="A21" s="561"/>
      <c r="B21" s="1195"/>
      <c r="C21" s="25"/>
      <c r="D21" s="26"/>
      <c r="E21" s="26"/>
      <c r="F21" s="27"/>
      <c r="G21" s="41"/>
      <c r="H21" s="352"/>
      <c r="I21" s="358"/>
      <c r="J21" s="352"/>
      <c r="K21" s="358"/>
      <c r="L21" s="27"/>
      <c r="M21" s="41"/>
      <c r="N21" s="352"/>
      <c r="O21" s="358"/>
      <c r="P21" s="352"/>
      <c r="Q21" s="358"/>
      <c r="R21" s="27"/>
      <c r="S21" s="41"/>
      <c r="T21" s="352"/>
      <c r="U21" s="358"/>
      <c r="V21" s="352"/>
      <c r="W21" s="358"/>
      <c r="X21" s="27"/>
      <c r="Y21" s="41"/>
      <c r="Z21" s="352"/>
      <c r="AA21" s="358"/>
      <c r="AB21" s="352"/>
      <c r="AC21" s="358"/>
      <c r="AD21" s="352"/>
      <c r="AE21" s="358"/>
      <c r="AF21" s="352"/>
      <c r="AG21" s="358"/>
      <c r="AH21" s="352"/>
      <c r="AI21" s="358"/>
      <c r="AJ21" s="352"/>
      <c r="AK21" s="358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352"/>
      <c r="BY21" s="358"/>
      <c r="BZ21" s="352"/>
      <c r="CA21" s="358"/>
      <c r="CB21" s="27"/>
      <c r="CC21" s="41"/>
      <c r="CD21" s="27"/>
      <c r="CE21" s="41"/>
      <c r="CF21" s="27"/>
      <c r="CG21" s="41"/>
      <c r="CH21" s="352"/>
      <c r="CI21" s="358"/>
      <c r="CJ21" s="352"/>
      <c r="CK21" s="358"/>
      <c r="CL21" s="352"/>
      <c r="CM21" s="358"/>
      <c r="CN21" s="352"/>
      <c r="CO21" s="358"/>
      <c r="CR21" s="27"/>
      <c r="CS21" s="41"/>
    </row>
    <row r="22" spans="1:97" s="4" customFormat="1" ht="1.05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359"/>
      <c r="I22" s="360"/>
      <c r="J22" s="359"/>
      <c r="K22" s="360"/>
      <c r="L22" s="42"/>
      <c r="M22" s="43"/>
      <c r="N22" s="359"/>
      <c r="O22" s="360"/>
      <c r="P22" s="359"/>
      <c r="Q22" s="360"/>
      <c r="R22" s="42"/>
      <c r="S22" s="43"/>
      <c r="T22" s="359"/>
      <c r="U22" s="360"/>
      <c r="V22" s="359"/>
      <c r="W22" s="360"/>
      <c r="X22" s="42"/>
      <c r="Y22" s="43"/>
      <c r="Z22" s="359"/>
      <c r="AA22" s="360"/>
      <c r="AB22" s="359"/>
      <c r="AC22" s="360"/>
      <c r="AD22" s="359"/>
      <c r="AE22" s="360"/>
      <c r="AF22" s="359"/>
      <c r="AG22" s="360"/>
      <c r="AH22" s="359"/>
      <c r="AI22" s="360"/>
      <c r="AJ22" s="359"/>
      <c r="AK22" s="360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359"/>
      <c r="BY22" s="360"/>
      <c r="BZ22" s="359"/>
      <c r="CA22" s="360"/>
      <c r="CB22" s="42"/>
      <c r="CC22" s="43"/>
      <c r="CD22" s="42"/>
      <c r="CE22" s="43"/>
      <c r="CF22" s="42"/>
      <c r="CG22" s="43"/>
      <c r="CH22" s="359"/>
      <c r="CI22" s="360"/>
      <c r="CJ22" s="359"/>
      <c r="CK22" s="360"/>
      <c r="CL22" s="359"/>
      <c r="CM22" s="360"/>
      <c r="CN22" s="359"/>
      <c r="CO22" s="360"/>
      <c r="CR22" s="42"/>
      <c r="CS22" s="43"/>
    </row>
    <row r="23" spans="1:97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BM23" si="149">F24/F20</f>
        <v>0.35615384615384604</v>
      </c>
      <c r="G23" s="48">
        <f t="shared" si="149"/>
        <v>0.3561538461538461</v>
      </c>
      <c r="H23" s="361">
        <f t="shared" si="149"/>
        <v>0.35615384615384604</v>
      </c>
      <c r="I23" s="362">
        <f t="shared" si="149"/>
        <v>0.3561538461538461</v>
      </c>
      <c r="J23" s="361">
        <f t="shared" si="149"/>
        <v>0.35615384615384604</v>
      </c>
      <c r="K23" s="362">
        <f t="shared" si="149"/>
        <v>0.3561538461538461</v>
      </c>
      <c r="L23" s="47">
        <f t="shared" si="149"/>
        <v>0.35615384615384604</v>
      </c>
      <c r="M23" s="48">
        <f t="shared" si="149"/>
        <v>0.3561538461538461</v>
      </c>
      <c r="N23" s="361">
        <f t="shared" si="149"/>
        <v>0.35615384615384604</v>
      </c>
      <c r="O23" s="362">
        <f t="shared" si="149"/>
        <v>0.3561538461538461</v>
      </c>
      <c r="P23" s="361">
        <f t="shared" si="149"/>
        <v>0.35615384615384604</v>
      </c>
      <c r="Q23" s="362">
        <f t="shared" si="149"/>
        <v>0.3561538461538461</v>
      </c>
      <c r="R23" s="47">
        <f t="shared" si="149"/>
        <v>0.35615384615384604</v>
      </c>
      <c r="S23" s="48">
        <f t="shared" si="149"/>
        <v>0.3561538461538461</v>
      </c>
      <c r="T23" s="361">
        <f t="shared" si="149"/>
        <v>0.35615384615384604</v>
      </c>
      <c r="U23" s="362">
        <f t="shared" si="149"/>
        <v>0.3561538461538461</v>
      </c>
      <c r="V23" s="361">
        <f t="shared" si="149"/>
        <v>0.35615384615384604</v>
      </c>
      <c r="W23" s="362">
        <f t="shared" si="149"/>
        <v>0.3561538461538461</v>
      </c>
      <c r="X23" s="47">
        <f t="shared" si="149"/>
        <v>0.35615384615384604</v>
      </c>
      <c r="Y23" s="48">
        <f t="shared" si="149"/>
        <v>0.3561538461538461</v>
      </c>
      <c r="Z23" s="361">
        <f t="shared" si="149"/>
        <v>0.35615384615384604</v>
      </c>
      <c r="AA23" s="362">
        <f t="shared" si="149"/>
        <v>0.3561538461538461</v>
      </c>
      <c r="AB23" s="361">
        <f t="shared" si="149"/>
        <v>0.35615384615384604</v>
      </c>
      <c r="AC23" s="362">
        <f t="shared" si="149"/>
        <v>0.3561538461538461</v>
      </c>
      <c r="AD23" s="361">
        <f t="shared" si="149"/>
        <v>0.35615384615384604</v>
      </c>
      <c r="AE23" s="362">
        <f t="shared" si="149"/>
        <v>0.3561538461538461</v>
      </c>
      <c r="AF23" s="361">
        <f t="shared" si="149"/>
        <v>0.35615384615384604</v>
      </c>
      <c r="AG23" s="362">
        <f t="shared" si="149"/>
        <v>0.3561538461538461</v>
      </c>
      <c r="AH23" s="361">
        <f t="shared" si="149"/>
        <v>0.35615384615384604</v>
      </c>
      <c r="AI23" s="362">
        <f t="shared" si="149"/>
        <v>0.3561538461538461</v>
      </c>
      <c r="AJ23" s="361">
        <f t="shared" si="149"/>
        <v>0.35615384615384604</v>
      </c>
      <c r="AK23" s="362">
        <f t="shared" si="149"/>
        <v>0.3561538461538461</v>
      </c>
      <c r="AL23" s="361">
        <f t="shared" si="149"/>
        <v>0.35615384615384604</v>
      </c>
      <c r="AM23" s="362">
        <f t="shared" si="149"/>
        <v>0.3561538461538461</v>
      </c>
      <c r="AN23" s="361">
        <f t="shared" si="149"/>
        <v>0.35615384615384604</v>
      </c>
      <c r="AO23" s="362">
        <f t="shared" si="149"/>
        <v>0.3561538461538461</v>
      </c>
      <c r="AP23" s="361">
        <f t="shared" si="149"/>
        <v>0.35615384615384604</v>
      </c>
      <c r="AQ23" s="362">
        <f t="shared" si="149"/>
        <v>0.3561538461538461</v>
      </c>
      <c r="AR23" s="361">
        <f t="shared" si="149"/>
        <v>0.35615384615384604</v>
      </c>
      <c r="AS23" s="362">
        <f t="shared" si="149"/>
        <v>0.3561538461538461</v>
      </c>
      <c r="AT23" s="361">
        <f t="shared" si="149"/>
        <v>0.35615384615384604</v>
      </c>
      <c r="AU23" s="362">
        <f t="shared" si="149"/>
        <v>0.3561538461538461</v>
      </c>
      <c r="AV23" s="361">
        <f t="shared" si="149"/>
        <v>0.35615384615384604</v>
      </c>
      <c r="AW23" s="362">
        <f t="shared" si="149"/>
        <v>0.3561538461538461</v>
      </c>
      <c r="AX23" s="361">
        <f t="shared" si="149"/>
        <v>0.35615384615384604</v>
      </c>
      <c r="AY23" s="362">
        <f t="shared" si="149"/>
        <v>0.3561538461538461</v>
      </c>
      <c r="AZ23" s="361">
        <f t="shared" si="149"/>
        <v>0.35615384615384604</v>
      </c>
      <c r="BA23" s="362">
        <f t="shared" si="149"/>
        <v>0.3561538461538461</v>
      </c>
      <c r="BB23" s="361">
        <f t="shared" si="149"/>
        <v>0.35615384615384604</v>
      </c>
      <c r="BC23" s="362">
        <f t="shared" si="149"/>
        <v>0.3561538461538461</v>
      </c>
      <c r="BD23" s="361">
        <f t="shared" si="149"/>
        <v>0.35615384615384604</v>
      </c>
      <c r="BE23" s="362">
        <f t="shared" si="149"/>
        <v>0.3561538461538461</v>
      </c>
      <c r="BF23" s="361">
        <f t="shared" si="149"/>
        <v>0.35615384615384604</v>
      </c>
      <c r="BG23" s="362">
        <f t="shared" si="149"/>
        <v>0.3561538461538461</v>
      </c>
      <c r="BH23" s="361">
        <f t="shared" si="149"/>
        <v>0.35615384615384604</v>
      </c>
      <c r="BI23" s="362">
        <f t="shared" si="149"/>
        <v>0.3561538461538461</v>
      </c>
      <c r="BJ23" s="361">
        <f t="shared" si="149"/>
        <v>0.35615384615384604</v>
      </c>
      <c r="BK23" s="362">
        <f t="shared" si="149"/>
        <v>0.3561538461538461</v>
      </c>
      <c r="BL23" s="361">
        <f t="shared" si="149"/>
        <v>0.13201920000000003</v>
      </c>
      <c r="BM23" s="362">
        <f t="shared" si="149"/>
        <v>0.13201919999999995</v>
      </c>
      <c r="BN23" s="361">
        <f t="shared" ref="BN23:CI23" si="150">BN24/BN20</f>
        <v>0.18626800000000002</v>
      </c>
      <c r="BO23" s="362">
        <f t="shared" si="150"/>
        <v>0.18626799999999999</v>
      </c>
      <c r="BP23" s="361">
        <f t="shared" si="150"/>
        <v>0.18626800000000002</v>
      </c>
      <c r="BQ23" s="362">
        <f t="shared" si="150"/>
        <v>0.18626799999999999</v>
      </c>
      <c r="BR23" s="361">
        <f t="shared" si="150"/>
        <v>0.18626800000000002</v>
      </c>
      <c r="BS23" s="362">
        <f t="shared" si="150"/>
        <v>0.18626799999999999</v>
      </c>
      <c r="BT23" s="361">
        <f t="shared" si="150"/>
        <v>0.18626800000000002</v>
      </c>
      <c r="BU23" s="362">
        <f t="shared" si="150"/>
        <v>0.18626799999999999</v>
      </c>
      <c r="BV23" s="361">
        <f t="shared" si="150"/>
        <v>0.18626800000000002</v>
      </c>
      <c r="BW23" s="362">
        <f t="shared" si="150"/>
        <v>0.18626799999999999</v>
      </c>
      <c r="BX23" s="361">
        <f t="shared" si="150"/>
        <v>0.18626800000000002</v>
      </c>
      <c r="BY23" s="362">
        <f t="shared" si="150"/>
        <v>0.18626799999999999</v>
      </c>
      <c r="BZ23" s="361">
        <f t="shared" si="150"/>
        <v>0.18626800000000002</v>
      </c>
      <c r="CA23" s="362">
        <f t="shared" si="150"/>
        <v>0.18626799999999999</v>
      </c>
      <c r="CB23" s="47">
        <f t="shared" si="150"/>
        <v>0.18626800000000002</v>
      </c>
      <c r="CC23" s="48">
        <f t="shared" si="150"/>
        <v>0.18626799999999999</v>
      </c>
      <c r="CD23" s="47">
        <f t="shared" si="150"/>
        <v>0.18626800000000002</v>
      </c>
      <c r="CE23" s="48">
        <f t="shared" si="150"/>
        <v>0.18626799999999999</v>
      </c>
      <c r="CF23" s="47">
        <f t="shared" si="150"/>
        <v>0.13540975000000011</v>
      </c>
      <c r="CG23" s="48">
        <f t="shared" si="150"/>
        <v>0.13540975000000008</v>
      </c>
      <c r="CH23" s="361">
        <f t="shared" si="150"/>
        <v>0.13540975000000011</v>
      </c>
      <c r="CI23" s="362">
        <f t="shared" si="150"/>
        <v>0.13540975000000008</v>
      </c>
      <c r="CJ23" s="361">
        <f t="shared" ref="CJ23:CS23" si="151">CJ24/CJ20</f>
        <v>0.15236250000000004</v>
      </c>
      <c r="CK23" s="362">
        <f t="shared" si="151"/>
        <v>0.15236250000000007</v>
      </c>
      <c r="CL23" s="361">
        <f t="shared" si="151"/>
        <v>0.15236250000000004</v>
      </c>
      <c r="CM23" s="362">
        <f t="shared" si="151"/>
        <v>0.15236250000000007</v>
      </c>
      <c r="CN23" s="361">
        <f>CN24/CN20</f>
        <v>0.13540975000000011</v>
      </c>
      <c r="CO23" s="362">
        <f>CO24/CO20</f>
        <v>0.13540975000000008</v>
      </c>
      <c r="CR23" s="47">
        <f t="shared" si="151"/>
        <v>0.23712624999999996</v>
      </c>
      <c r="CS23" s="48">
        <f t="shared" si="151"/>
        <v>0.23712625000000001</v>
      </c>
    </row>
    <row r="24" spans="1:97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BM24" si="152">F20-F26</f>
        <v>13889.999999999996</v>
      </c>
      <c r="G24" s="24">
        <f t="shared" si="152"/>
        <v>3.413900399640176</v>
      </c>
      <c r="H24" s="363">
        <f t="shared" si="152"/>
        <v>13889.999999999996</v>
      </c>
      <c r="I24" s="351">
        <f t="shared" si="152"/>
        <v>3.413900399640176</v>
      </c>
      <c r="J24" s="363">
        <f t="shared" si="152"/>
        <v>13889.999999999996</v>
      </c>
      <c r="K24" s="351">
        <f t="shared" si="152"/>
        <v>3.413900399640176</v>
      </c>
      <c r="L24" s="50">
        <f t="shared" si="152"/>
        <v>13889.999999999996</v>
      </c>
      <c r="M24" s="24">
        <f t="shared" si="152"/>
        <v>3.413900399640176</v>
      </c>
      <c r="N24" s="363">
        <f t="shared" si="152"/>
        <v>13889.999999999996</v>
      </c>
      <c r="O24" s="351">
        <f t="shared" si="152"/>
        <v>3.413900399640176</v>
      </c>
      <c r="P24" s="363">
        <f t="shared" si="152"/>
        <v>13889.999999999996</v>
      </c>
      <c r="Q24" s="351">
        <f t="shared" si="152"/>
        <v>3.413900399640176</v>
      </c>
      <c r="R24" s="50">
        <f t="shared" si="152"/>
        <v>13889.999999999996</v>
      </c>
      <c r="S24" s="24">
        <f t="shared" si="152"/>
        <v>3.413900399640176</v>
      </c>
      <c r="T24" s="363">
        <f t="shared" si="152"/>
        <v>13889.999999999996</v>
      </c>
      <c r="U24" s="351">
        <f t="shared" si="152"/>
        <v>3.413900399640176</v>
      </c>
      <c r="V24" s="363">
        <f t="shared" si="152"/>
        <v>13889.999999999996</v>
      </c>
      <c r="W24" s="351">
        <f t="shared" si="152"/>
        <v>3.413900399640176</v>
      </c>
      <c r="X24" s="50">
        <f t="shared" si="152"/>
        <v>13889.999999999996</v>
      </c>
      <c r="Y24" s="24">
        <f t="shared" si="152"/>
        <v>3.413900399640176</v>
      </c>
      <c r="Z24" s="363">
        <f t="shared" si="152"/>
        <v>13889.999999999996</v>
      </c>
      <c r="AA24" s="351">
        <f t="shared" si="152"/>
        <v>3.413900399640176</v>
      </c>
      <c r="AB24" s="363">
        <f t="shared" si="152"/>
        <v>13889.999999999996</v>
      </c>
      <c r="AC24" s="351">
        <f t="shared" si="152"/>
        <v>3.413900399640176</v>
      </c>
      <c r="AD24" s="363">
        <f t="shared" si="152"/>
        <v>13889.999999999996</v>
      </c>
      <c r="AE24" s="351">
        <f t="shared" si="152"/>
        <v>3.413900399640176</v>
      </c>
      <c r="AF24" s="363">
        <f t="shared" si="152"/>
        <v>13889.999999999996</v>
      </c>
      <c r="AG24" s="351">
        <f t="shared" si="152"/>
        <v>3.413900399640176</v>
      </c>
      <c r="AH24" s="363">
        <f t="shared" si="152"/>
        <v>13889.999999999996</v>
      </c>
      <c r="AI24" s="351">
        <f t="shared" si="152"/>
        <v>3.413900399640176</v>
      </c>
      <c r="AJ24" s="363">
        <f t="shared" si="152"/>
        <v>13889.999999999996</v>
      </c>
      <c r="AK24" s="351">
        <f t="shared" si="152"/>
        <v>3.413900399640176</v>
      </c>
      <c r="AL24" s="363">
        <f t="shared" si="152"/>
        <v>13889.999999999996</v>
      </c>
      <c r="AM24" s="351">
        <f t="shared" si="152"/>
        <v>3.413900399640176</v>
      </c>
      <c r="AN24" s="363">
        <f t="shared" si="152"/>
        <v>13889.999999999996</v>
      </c>
      <c r="AO24" s="351">
        <f t="shared" si="152"/>
        <v>3.413900399640176</v>
      </c>
      <c r="AP24" s="363">
        <f t="shared" si="152"/>
        <v>13889.999999999996</v>
      </c>
      <c r="AQ24" s="351">
        <f t="shared" si="152"/>
        <v>3.413900399640176</v>
      </c>
      <c r="AR24" s="363">
        <f t="shared" si="152"/>
        <v>13889.999999999996</v>
      </c>
      <c r="AS24" s="351">
        <f t="shared" si="152"/>
        <v>3.413900399640176</v>
      </c>
      <c r="AT24" s="363">
        <f t="shared" si="152"/>
        <v>13889.999999999996</v>
      </c>
      <c r="AU24" s="351">
        <f t="shared" si="152"/>
        <v>3.413900399640176</v>
      </c>
      <c r="AV24" s="363">
        <f t="shared" si="152"/>
        <v>13889.999999999996</v>
      </c>
      <c r="AW24" s="351">
        <f t="shared" si="152"/>
        <v>3.413900399640176</v>
      </c>
      <c r="AX24" s="363">
        <f t="shared" si="152"/>
        <v>13889.999999999996</v>
      </c>
      <c r="AY24" s="351">
        <f t="shared" si="152"/>
        <v>3.413900399640176</v>
      </c>
      <c r="AZ24" s="363">
        <f t="shared" si="152"/>
        <v>13889.999999999996</v>
      </c>
      <c r="BA24" s="351">
        <f t="shared" si="152"/>
        <v>3.413900399640176</v>
      </c>
      <c r="BB24" s="363">
        <f t="shared" si="152"/>
        <v>13889.999999999996</v>
      </c>
      <c r="BC24" s="351">
        <f t="shared" si="152"/>
        <v>3.413900399640176</v>
      </c>
      <c r="BD24" s="363">
        <f t="shared" si="152"/>
        <v>13889.999999999996</v>
      </c>
      <c r="BE24" s="351">
        <f t="shared" si="152"/>
        <v>3.413900399640176</v>
      </c>
      <c r="BF24" s="363">
        <f t="shared" si="152"/>
        <v>13889.999999999996</v>
      </c>
      <c r="BG24" s="351">
        <f t="shared" si="152"/>
        <v>3.413900399640176</v>
      </c>
      <c r="BH24" s="363">
        <f t="shared" si="152"/>
        <v>13889.999999999996</v>
      </c>
      <c r="BI24" s="351">
        <f t="shared" si="152"/>
        <v>3.413900399640176</v>
      </c>
      <c r="BJ24" s="363">
        <f t="shared" si="152"/>
        <v>13889.999999999996</v>
      </c>
      <c r="BK24" s="351">
        <f t="shared" si="152"/>
        <v>3.413900399640176</v>
      </c>
      <c r="BL24" s="363">
        <f t="shared" si="152"/>
        <v>3960.5760000000009</v>
      </c>
      <c r="BM24" s="351">
        <f t="shared" si="152"/>
        <v>0.97343498842370657</v>
      </c>
      <c r="BN24" s="363">
        <f t="shared" ref="BN24:CI24" si="153">BN20-BN26</f>
        <v>7450.7200000000012</v>
      </c>
      <c r="BO24" s="351">
        <f t="shared" si="153"/>
        <v>1.8312466512316092</v>
      </c>
      <c r="BP24" s="363">
        <f t="shared" si="153"/>
        <v>7450.7200000000012</v>
      </c>
      <c r="BQ24" s="351">
        <f t="shared" si="153"/>
        <v>1.8312466512316092</v>
      </c>
      <c r="BR24" s="363">
        <f t="shared" si="153"/>
        <v>7450.7200000000012</v>
      </c>
      <c r="BS24" s="351">
        <f t="shared" si="153"/>
        <v>1.8312466512316092</v>
      </c>
      <c r="BT24" s="363">
        <f t="shared" si="153"/>
        <v>7450.7200000000012</v>
      </c>
      <c r="BU24" s="351">
        <f t="shared" si="153"/>
        <v>1.8312466512316092</v>
      </c>
      <c r="BV24" s="363">
        <f t="shared" si="153"/>
        <v>7450.7200000000012</v>
      </c>
      <c r="BW24" s="351">
        <f t="shared" si="153"/>
        <v>1.8312466512316092</v>
      </c>
      <c r="BX24" s="363">
        <f t="shared" si="153"/>
        <v>7450.7200000000012</v>
      </c>
      <c r="BY24" s="351">
        <f t="shared" si="153"/>
        <v>1.8312466512316092</v>
      </c>
      <c r="BZ24" s="363">
        <f t="shared" si="153"/>
        <v>7450.7200000000012</v>
      </c>
      <c r="CA24" s="351">
        <f t="shared" si="153"/>
        <v>1.8312466512316092</v>
      </c>
      <c r="CB24" s="50">
        <f t="shared" si="153"/>
        <v>7450.7200000000012</v>
      </c>
      <c r="CC24" s="24">
        <f t="shared" si="153"/>
        <v>1.8312466512316092</v>
      </c>
      <c r="CD24" s="50">
        <f t="shared" si="153"/>
        <v>7450.7200000000012</v>
      </c>
      <c r="CE24" s="24">
        <f t="shared" si="153"/>
        <v>1.8312466512316092</v>
      </c>
      <c r="CF24" s="50">
        <f t="shared" si="153"/>
        <v>3249.8340000000026</v>
      </c>
      <c r="CG24" s="24">
        <f t="shared" si="153"/>
        <v>0.79874799073896607</v>
      </c>
      <c r="CH24" s="363">
        <f t="shared" si="153"/>
        <v>3249.8340000000026</v>
      </c>
      <c r="CI24" s="351">
        <f t="shared" si="153"/>
        <v>0.79874799073896607</v>
      </c>
      <c r="CJ24" s="363">
        <f t="shared" ref="CJ24:CS24" si="154">CJ20-CJ26</f>
        <v>4388.0400000000009</v>
      </c>
      <c r="CK24" s="351">
        <f t="shared" si="154"/>
        <v>1.0784975888867594</v>
      </c>
      <c r="CL24" s="363">
        <f t="shared" si="154"/>
        <v>4388.0400000000009</v>
      </c>
      <c r="CM24" s="351">
        <f t="shared" si="154"/>
        <v>1.0784975888867594</v>
      </c>
      <c r="CN24" s="363">
        <f>CN20-CN26</f>
        <v>3249.8340000000026</v>
      </c>
      <c r="CO24" s="351">
        <f>CO20-CO26</f>
        <v>0.79874799073896607</v>
      </c>
      <c r="CR24" s="42">
        <f t="shared" si="154"/>
        <v>11382.059999999998</v>
      </c>
      <c r="CS24" s="24">
        <f t="shared" si="154"/>
        <v>2.7974959814779314</v>
      </c>
    </row>
    <row r="25" spans="1:97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BM25" si="155">F26</f>
        <v>25110.000000000004</v>
      </c>
      <c r="G25" s="55">
        <f t="shared" si="155"/>
        <v>6.1715650853106441</v>
      </c>
      <c r="H25" s="54">
        <f t="shared" si="155"/>
        <v>25110.000000000004</v>
      </c>
      <c r="I25" s="55">
        <f t="shared" si="155"/>
        <v>6.1715650853106441</v>
      </c>
      <c r="J25" s="54">
        <f t="shared" si="155"/>
        <v>25110.000000000004</v>
      </c>
      <c r="K25" s="55">
        <f t="shared" si="155"/>
        <v>6.1715650853106441</v>
      </c>
      <c r="L25" s="54">
        <f t="shared" si="155"/>
        <v>25110.000000000004</v>
      </c>
      <c r="M25" s="55">
        <f t="shared" si="155"/>
        <v>6.1715650853106441</v>
      </c>
      <c r="N25" s="54">
        <f t="shared" si="155"/>
        <v>25110.000000000004</v>
      </c>
      <c r="O25" s="55">
        <f t="shared" si="155"/>
        <v>6.1715650853106441</v>
      </c>
      <c r="P25" s="54">
        <f t="shared" si="155"/>
        <v>25110.000000000004</v>
      </c>
      <c r="Q25" s="55">
        <f t="shared" si="155"/>
        <v>6.1715650853106441</v>
      </c>
      <c r="R25" s="54">
        <f t="shared" si="155"/>
        <v>25110.000000000004</v>
      </c>
      <c r="S25" s="55">
        <f t="shared" si="155"/>
        <v>6.1715650853106441</v>
      </c>
      <c r="T25" s="54">
        <f t="shared" si="155"/>
        <v>25110.000000000004</v>
      </c>
      <c r="U25" s="55">
        <f t="shared" si="155"/>
        <v>6.1715650853106441</v>
      </c>
      <c r="V25" s="54">
        <f t="shared" si="155"/>
        <v>25110.000000000004</v>
      </c>
      <c r="W25" s="55">
        <f t="shared" si="155"/>
        <v>6.1715650853106441</v>
      </c>
      <c r="X25" s="54">
        <f t="shared" si="155"/>
        <v>25110.000000000004</v>
      </c>
      <c r="Y25" s="55">
        <f t="shared" si="155"/>
        <v>6.1715650853106441</v>
      </c>
      <c r="Z25" s="54">
        <f t="shared" si="155"/>
        <v>25110.000000000004</v>
      </c>
      <c r="AA25" s="55">
        <f t="shared" si="155"/>
        <v>6.1715650853106441</v>
      </c>
      <c r="AB25" s="54">
        <f t="shared" si="155"/>
        <v>25110.000000000004</v>
      </c>
      <c r="AC25" s="55">
        <f t="shared" si="155"/>
        <v>6.1715650853106441</v>
      </c>
      <c r="AD25" s="54">
        <f t="shared" si="155"/>
        <v>25110.000000000004</v>
      </c>
      <c r="AE25" s="55">
        <f t="shared" si="155"/>
        <v>6.1715650853106441</v>
      </c>
      <c r="AF25" s="54">
        <f t="shared" si="155"/>
        <v>25110.000000000004</v>
      </c>
      <c r="AG25" s="55">
        <f t="shared" si="155"/>
        <v>6.1715650853106441</v>
      </c>
      <c r="AH25" s="54">
        <f t="shared" si="155"/>
        <v>25110.000000000004</v>
      </c>
      <c r="AI25" s="55">
        <f t="shared" si="155"/>
        <v>6.1715650853106441</v>
      </c>
      <c r="AJ25" s="54">
        <f t="shared" si="155"/>
        <v>25110.000000000004</v>
      </c>
      <c r="AK25" s="55">
        <f t="shared" si="155"/>
        <v>6.1715650853106441</v>
      </c>
      <c r="AL25" s="54">
        <f t="shared" si="155"/>
        <v>25110.000000000004</v>
      </c>
      <c r="AM25" s="55">
        <f t="shared" si="155"/>
        <v>6.1715650853106441</v>
      </c>
      <c r="AN25" s="54">
        <f t="shared" si="155"/>
        <v>25110.000000000004</v>
      </c>
      <c r="AO25" s="55">
        <f t="shared" si="155"/>
        <v>6.1715650853106441</v>
      </c>
      <c r="AP25" s="54">
        <f t="shared" si="155"/>
        <v>25110.000000000004</v>
      </c>
      <c r="AQ25" s="55">
        <f t="shared" si="155"/>
        <v>6.1715650853106441</v>
      </c>
      <c r="AR25" s="54">
        <f t="shared" si="155"/>
        <v>25110.000000000004</v>
      </c>
      <c r="AS25" s="55">
        <f t="shared" si="155"/>
        <v>6.1715650853106441</v>
      </c>
      <c r="AT25" s="54">
        <f t="shared" si="155"/>
        <v>25110.000000000004</v>
      </c>
      <c r="AU25" s="55">
        <f t="shared" si="155"/>
        <v>6.1715650853106441</v>
      </c>
      <c r="AV25" s="54">
        <f t="shared" si="155"/>
        <v>25110.000000000004</v>
      </c>
      <c r="AW25" s="55">
        <f t="shared" si="155"/>
        <v>6.1715650853106441</v>
      </c>
      <c r="AX25" s="54">
        <f t="shared" si="155"/>
        <v>25110.000000000004</v>
      </c>
      <c r="AY25" s="55">
        <f t="shared" si="155"/>
        <v>6.1715650853106441</v>
      </c>
      <c r="AZ25" s="54">
        <f t="shared" si="155"/>
        <v>25110.000000000004</v>
      </c>
      <c r="BA25" s="55">
        <f t="shared" si="155"/>
        <v>6.1715650853106441</v>
      </c>
      <c r="BB25" s="54">
        <f t="shared" si="155"/>
        <v>25110.000000000004</v>
      </c>
      <c r="BC25" s="55">
        <f t="shared" si="155"/>
        <v>6.1715650853106441</v>
      </c>
      <c r="BD25" s="54">
        <f t="shared" si="155"/>
        <v>25110.000000000004</v>
      </c>
      <c r="BE25" s="55">
        <f t="shared" si="155"/>
        <v>6.1715650853106441</v>
      </c>
      <c r="BF25" s="54">
        <f t="shared" si="155"/>
        <v>25110.000000000004</v>
      </c>
      <c r="BG25" s="55">
        <f t="shared" si="155"/>
        <v>6.1715650853106441</v>
      </c>
      <c r="BH25" s="54">
        <f t="shared" si="155"/>
        <v>25110.000000000004</v>
      </c>
      <c r="BI25" s="55">
        <f t="shared" si="155"/>
        <v>6.1715650853106441</v>
      </c>
      <c r="BJ25" s="54">
        <f t="shared" si="155"/>
        <v>25110.000000000004</v>
      </c>
      <c r="BK25" s="55">
        <f t="shared" si="155"/>
        <v>6.1715650853106441</v>
      </c>
      <c r="BL25" s="54">
        <f t="shared" si="155"/>
        <v>26039.423999999999</v>
      </c>
      <c r="BM25" s="55">
        <f t="shared" si="155"/>
        <v>6.4</v>
      </c>
      <c r="BN25" s="54">
        <f t="shared" ref="BN25:CI25" si="156">BN26</f>
        <v>32549.279999999999</v>
      </c>
      <c r="BO25" s="55">
        <f t="shared" si="156"/>
        <v>8</v>
      </c>
      <c r="BP25" s="54">
        <f t="shared" si="156"/>
        <v>32549.279999999999</v>
      </c>
      <c r="BQ25" s="55">
        <f t="shared" si="156"/>
        <v>8</v>
      </c>
      <c r="BR25" s="54">
        <f t="shared" si="156"/>
        <v>32549.279999999999</v>
      </c>
      <c r="BS25" s="55">
        <f t="shared" si="156"/>
        <v>8</v>
      </c>
      <c r="BT25" s="54">
        <f t="shared" si="156"/>
        <v>32549.279999999999</v>
      </c>
      <c r="BU25" s="55">
        <f t="shared" si="156"/>
        <v>8</v>
      </c>
      <c r="BV25" s="54">
        <f t="shared" si="156"/>
        <v>32549.279999999999</v>
      </c>
      <c r="BW25" s="55">
        <f t="shared" si="156"/>
        <v>8</v>
      </c>
      <c r="BX25" s="54">
        <f t="shared" si="156"/>
        <v>32549.279999999999</v>
      </c>
      <c r="BY25" s="55">
        <f t="shared" si="156"/>
        <v>8</v>
      </c>
      <c r="BZ25" s="54">
        <f t="shared" si="156"/>
        <v>32549.279999999999</v>
      </c>
      <c r="CA25" s="55">
        <f t="shared" si="156"/>
        <v>8</v>
      </c>
      <c r="CB25" s="54">
        <f t="shared" si="156"/>
        <v>32549.279999999999</v>
      </c>
      <c r="CC25" s="55">
        <f t="shared" si="156"/>
        <v>8</v>
      </c>
      <c r="CD25" s="54">
        <f t="shared" si="156"/>
        <v>32549.279999999999</v>
      </c>
      <c r="CE25" s="55">
        <f t="shared" si="156"/>
        <v>8</v>
      </c>
      <c r="CF25" s="54">
        <f t="shared" si="156"/>
        <v>20750.165999999997</v>
      </c>
      <c r="CG25" s="55">
        <f t="shared" si="156"/>
        <v>5.0999999999999996</v>
      </c>
      <c r="CH25" s="54">
        <f t="shared" si="156"/>
        <v>20750.165999999997</v>
      </c>
      <c r="CI25" s="55">
        <f t="shared" si="156"/>
        <v>5.0999999999999996</v>
      </c>
      <c r="CJ25" s="54">
        <f t="shared" ref="CJ25:CM25" si="157">CJ26</f>
        <v>24411.96</v>
      </c>
      <c r="CK25" s="55">
        <f t="shared" si="157"/>
        <v>6</v>
      </c>
      <c r="CL25" s="54">
        <f t="shared" si="157"/>
        <v>24411.96</v>
      </c>
      <c r="CM25" s="55">
        <f t="shared" si="157"/>
        <v>6</v>
      </c>
      <c r="CN25" s="54">
        <f>CN26</f>
        <v>20750.165999999997</v>
      </c>
      <c r="CO25" s="55">
        <f>CO26</f>
        <v>5.0999999999999996</v>
      </c>
      <c r="CR25" s="1179">
        <f t="shared" ref="CR25:CS25" si="158">CR26</f>
        <v>36617.94</v>
      </c>
      <c r="CS25" s="55">
        <f t="shared" si="158"/>
        <v>9</v>
      </c>
    </row>
    <row r="26" spans="1:97" s="4" customFormat="1" ht="18" customHeight="1" x14ac:dyDescent="0.45">
      <c r="A26" s="561"/>
      <c r="B26" s="1187"/>
      <c r="C26" s="56" t="s">
        <v>40</v>
      </c>
      <c r="D26" s="52"/>
      <c r="E26" s="53"/>
      <c r="F26" s="54">
        <v>25110.000000000004</v>
      </c>
      <c r="G26" s="57">
        <f>+F26/F12</f>
        <v>6.1715650853106441</v>
      </c>
      <c r="H26" s="54">
        <v>25110.000000000004</v>
      </c>
      <c r="I26" s="57">
        <f>+H26/H12</f>
        <v>6.1715650853106441</v>
      </c>
      <c r="J26" s="54">
        <v>25110.000000000004</v>
      </c>
      <c r="K26" s="57">
        <f>+J26/J12</f>
        <v>6.1715650853106441</v>
      </c>
      <c r="L26" s="54">
        <v>25110.000000000004</v>
      </c>
      <c r="M26" s="57">
        <f>+L26/L12</f>
        <v>6.1715650853106441</v>
      </c>
      <c r="N26" s="54">
        <v>25110.000000000004</v>
      </c>
      <c r="O26" s="57">
        <f>+N26/N12</f>
        <v>6.1715650853106441</v>
      </c>
      <c r="P26" s="54">
        <v>25110.000000000004</v>
      </c>
      <c r="Q26" s="57">
        <f>+P26/P12</f>
        <v>6.1715650853106441</v>
      </c>
      <c r="R26" s="54">
        <v>25110.000000000004</v>
      </c>
      <c r="S26" s="57">
        <f>+R26/R12</f>
        <v>6.1715650853106441</v>
      </c>
      <c r="T26" s="54">
        <v>25110.000000000004</v>
      </c>
      <c r="U26" s="57">
        <f>+T26/T12</f>
        <v>6.1715650853106441</v>
      </c>
      <c r="V26" s="54">
        <v>25110.000000000004</v>
      </c>
      <c r="W26" s="57">
        <f>+V26/V12</f>
        <v>6.1715650853106441</v>
      </c>
      <c r="X26" s="54">
        <v>25110.000000000004</v>
      </c>
      <c r="Y26" s="57">
        <f>+X26/X12</f>
        <v>6.1715650853106441</v>
      </c>
      <c r="Z26" s="54">
        <v>25110.000000000004</v>
      </c>
      <c r="AA26" s="57">
        <f>+Z26/Z12</f>
        <v>6.1715650853106441</v>
      </c>
      <c r="AB26" s="54">
        <v>25110.000000000004</v>
      </c>
      <c r="AC26" s="57">
        <f>+AB26/AB12</f>
        <v>6.1715650853106441</v>
      </c>
      <c r="AD26" s="54">
        <v>25110.000000000004</v>
      </c>
      <c r="AE26" s="57">
        <f t="shared" ref="AE26" si="159">+AD26/AD12</f>
        <v>6.1715650853106441</v>
      </c>
      <c r="AF26" s="54">
        <v>25110.000000000004</v>
      </c>
      <c r="AG26" s="57">
        <f t="shared" ref="AG26" si="160">+AF26/AF12</f>
        <v>6.1715650853106441</v>
      </c>
      <c r="AH26" s="54">
        <v>25110.000000000004</v>
      </c>
      <c r="AI26" s="57">
        <f t="shared" ref="AI26" si="161">+AH26/AH12</f>
        <v>6.1715650853106441</v>
      </c>
      <c r="AJ26" s="54">
        <v>25110.000000000004</v>
      </c>
      <c r="AK26" s="57">
        <f t="shared" ref="AK26" si="162">+AJ26/AJ12</f>
        <v>6.1715650853106441</v>
      </c>
      <c r="AL26" s="54">
        <v>25110.000000000004</v>
      </c>
      <c r="AM26" s="57">
        <f t="shared" ref="AM26" si="163">+AL26/AL12</f>
        <v>6.1715650853106441</v>
      </c>
      <c r="AN26" s="54">
        <v>25110.000000000004</v>
      </c>
      <c r="AO26" s="57">
        <f t="shared" ref="AO26" si="164">+AN26/AN12</f>
        <v>6.1715650853106441</v>
      </c>
      <c r="AP26" s="54">
        <v>25110.000000000004</v>
      </c>
      <c r="AQ26" s="57">
        <f t="shared" ref="AQ26" si="165">+AP26/AP12</f>
        <v>6.1715650853106441</v>
      </c>
      <c r="AR26" s="54">
        <v>25110.000000000004</v>
      </c>
      <c r="AS26" s="57">
        <f t="shared" ref="AS26" si="166">+AR26/AR12</f>
        <v>6.1715650853106441</v>
      </c>
      <c r="AT26" s="54">
        <v>25110.000000000004</v>
      </c>
      <c r="AU26" s="57">
        <f t="shared" ref="AU26" si="167">+AT26/AT12</f>
        <v>6.1715650853106441</v>
      </c>
      <c r="AV26" s="54">
        <v>25110.000000000004</v>
      </c>
      <c r="AW26" s="57">
        <f t="shared" ref="AW26" si="168">+AV26/AV12</f>
        <v>6.1715650853106441</v>
      </c>
      <c r="AX26" s="54">
        <v>25110.000000000004</v>
      </c>
      <c r="AY26" s="57">
        <f t="shared" ref="AY26" si="169">+AX26/AX12</f>
        <v>6.1715650853106441</v>
      </c>
      <c r="AZ26" s="54">
        <v>25110.000000000004</v>
      </c>
      <c r="BA26" s="57">
        <f t="shared" ref="BA26" si="170">+AZ26/AZ12</f>
        <v>6.1715650853106441</v>
      </c>
      <c r="BB26" s="54">
        <v>25110.000000000004</v>
      </c>
      <c r="BC26" s="57">
        <f t="shared" ref="BC26" si="171">+BB26/BB12</f>
        <v>6.1715650853106441</v>
      </c>
      <c r="BD26" s="54">
        <v>25110.000000000004</v>
      </c>
      <c r="BE26" s="57">
        <f t="shared" ref="BE26" si="172">+BD26/BD12</f>
        <v>6.1715650853106441</v>
      </c>
      <c r="BF26" s="54">
        <v>25110.000000000004</v>
      </c>
      <c r="BG26" s="57">
        <f t="shared" ref="BG26" si="173">+BF26/BF12</f>
        <v>6.1715650853106441</v>
      </c>
      <c r="BH26" s="54">
        <v>25110.000000000004</v>
      </c>
      <c r="BI26" s="57">
        <f t="shared" ref="BI26" si="174">+BH26/BH12</f>
        <v>6.1715650853106441</v>
      </c>
      <c r="BJ26" s="54">
        <v>25110.000000000004</v>
      </c>
      <c r="BK26" s="57">
        <f t="shared" ref="BK26" si="175">+BJ26/BJ12</f>
        <v>6.1715650853106441</v>
      </c>
      <c r="BL26" s="54">
        <f>BM26*BL12</f>
        <v>26039.423999999999</v>
      </c>
      <c r="BM26" s="57">
        <v>6.4</v>
      </c>
      <c r="BN26" s="54">
        <f>BO26*BN12</f>
        <v>32549.279999999999</v>
      </c>
      <c r="BO26" s="57">
        <v>8</v>
      </c>
      <c r="BP26" s="54">
        <f>BR26</f>
        <v>32549.279999999999</v>
      </c>
      <c r="BQ26" s="57">
        <f>BS26</f>
        <v>8</v>
      </c>
      <c r="BR26" s="54">
        <f>CD26</f>
        <v>32549.279999999999</v>
      </c>
      <c r="BS26" s="57">
        <f>CE26</f>
        <v>8</v>
      </c>
      <c r="BT26" s="54">
        <f>BN26</f>
        <v>32549.279999999999</v>
      </c>
      <c r="BU26" s="57">
        <v>8</v>
      </c>
      <c r="BV26" s="54">
        <f>BP26</f>
        <v>32549.279999999999</v>
      </c>
      <c r="BW26" s="57">
        <v>8</v>
      </c>
      <c r="BX26" s="54">
        <f>BR26</f>
        <v>32549.279999999999</v>
      </c>
      <c r="BY26" s="57">
        <v>8</v>
      </c>
      <c r="BZ26" s="54">
        <f>BT26</f>
        <v>32549.279999999999</v>
      </c>
      <c r="CA26" s="57">
        <v>8</v>
      </c>
      <c r="CB26" s="54">
        <f>CC26*CB12</f>
        <v>32549.279999999999</v>
      </c>
      <c r="CC26" s="57">
        <v>8</v>
      </c>
      <c r="CD26" s="54">
        <f>CE26*CD12</f>
        <v>32549.279999999999</v>
      </c>
      <c r="CE26" s="57">
        <v>8</v>
      </c>
      <c r="CF26" s="54">
        <f>CG26*CF12</f>
        <v>20750.165999999997</v>
      </c>
      <c r="CG26" s="57">
        <v>5.0999999999999996</v>
      </c>
      <c r="CH26" s="54">
        <f>CI26*CH12</f>
        <v>20750.165999999997</v>
      </c>
      <c r="CI26" s="57">
        <v>5.0999999999999996</v>
      </c>
      <c r="CJ26" s="54">
        <f>CK26*CJ12</f>
        <v>24411.96</v>
      </c>
      <c r="CK26" s="57">
        <v>6</v>
      </c>
      <c r="CL26" s="54">
        <f>CM26*CL12</f>
        <v>24411.96</v>
      </c>
      <c r="CM26" s="57">
        <v>6</v>
      </c>
      <c r="CN26" s="54">
        <f>CO26*CN12</f>
        <v>20750.165999999997</v>
      </c>
      <c r="CO26" s="57">
        <v>5.0999999999999996</v>
      </c>
      <c r="CR26" s="1179">
        <f>CS26*CR12</f>
        <v>36617.94</v>
      </c>
      <c r="CS26" s="57">
        <v>9</v>
      </c>
    </row>
    <row r="27" spans="1:97" s="4" customFormat="1" ht="1.05" customHeight="1" x14ac:dyDescent="0.45">
      <c r="A27" s="561"/>
      <c r="B27" s="1189"/>
      <c r="C27" s="15"/>
      <c r="D27" s="16"/>
      <c r="E27" s="16"/>
      <c r="F27" s="42"/>
      <c r="G27" s="18"/>
      <c r="H27" s="359"/>
      <c r="I27" s="355"/>
      <c r="J27" s="359"/>
      <c r="K27" s="355"/>
      <c r="L27" s="42"/>
      <c r="M27" s="18"/>
      <c r="N27" s="359"/>
      <c r="O27" s="355"/>
      <c r="P27" s="359"/>
      <c r="Q27" s="355"/>
      <c r="R27" s="42"/>
      <c r="S27" s="18"/>
      <c r="T27" s="359"/>
      <c r="U27" s="355"/>
      <c r="V27" s="359"/>
      <c r="W27" s="355"/>
      <c r="X27" s="42"/>
      <c r="Y27" s="18"/>
      <c r="Z27" s="359"/>
      <c r="AA27" s="355"/>
      <c r="AB27" s="359"/>
      <c r="AC27" s="355"/>
      <c r="AD27" s="359"/>
      <c r="AE27" s="355"/>
      <c r="AF27" s="359"/>
      <c r="AG27" s="355"/>
      <c r="AH27" s="359"/>
      <c r="AI27" s="355"/>
      <c r="AJ27" s="359"/>
      <c r="AK27" s="355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359"/>
      <c r="BY27" s="355"/>
      <c r="BZ27" s="359"/>
      <c r="CA27" s="355"/>
      <c r="CB27" s="42"/>
      <c r="CC27" s="18"/>
      <c r="CD27" s="42"/>
      <c r="CE27" s="18"/>
      <c r="CF27" s="42"/>
      <c r="CG27" s="18"/>
      <c r="CH27" s="359"/>
      <c r="CI27" s="355"/>
      <c r="CJ27" s="359"/>
      <c r="CK27" s="355"/>
      <c r="CL27" s="359"/>
      <c r="CM27" s="355"/>
      <c r="CN27" s="359"/>
      <c r="CO27" s="355"/>
      <c r="CR27" s="42"/>
      <c r="CS27" s="18"/>
    </row>
    <row r="28" spans="1:97" s="4" customFormat="1" ht="1.05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364"/>
      <c r="I28" s="360"/>
      <c r="J28" s="364"/>
      <c r="K28" s="360"/>
      <c r="L28" s="60"/>
      <c r="M28" s="43"/>
      <c r="N28" s="364"/>
      <c r="O28" s="360"/>
      <c r="P28" s="364"/>
      <c r="Q28" s="360"/>
      <c r="R28" s="60"/>
      <c r="S28" s="43"/>
      <c r="T28" s="364"/>
      <c r="U28" s="360"/>
      <c r="V28" s="364"/>
      <c r="W28" s="360"/>
      <c r="X28" s="60"/>
      <c r="Y28" s="43"/>
      <c r="Z28" s="364"/>
      <c r="AA28" s="360"/>
      <c r="AB28" s="364"/>
      <c r="AC28" s="360"/>
      <c r="AD28" s="364"/>
      <c r="AE28" s="360"/>
      <c r="AF28" s="364"/>
      <c r="AG28" s="360"/>
      <c r="AH28" s="364"/>
      <c r="AI28" s="360"/>
      <c r="AJ28" s="364"/>
      <c r="AK28" s="360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364"/>
      <c r="BY28" s="360"/>
      <c r="BZ28" s="364"/>
      <c r="CA28" s="360"/>
      <c r="CB28" s="60"/>
      <c r="CC28" s="43"/>
      <c r="CD28" s="60"/>
      <c r="CE28" s="43"/>
      <c r="CF28" s="60"/>
      <c r="CG28" s="43"/>
      <c r="CH28" s="364"/>
      <c r="CI28" s="360"/>
      <c r="CJ28" s="364"/>
      <c r="CK28" s="360"/>
      <c r="CL28" s="364"/>
      <c r="CM28" s="360"/>
      <c r="CN28" s="364"/>
      <c r="CO28" s="360"/>
      <c r="CR28" s="60"/>
      <c r="CS28" s="43"/>
    </row>
    <row r="29" spans="1:97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BM29" si="176">F30/F26</f>
        <v>2.5089605734767165E-2</v>
      </c>
      <c r="G29" s="48">
        <f t="shared" si="176"/>
        <v>2.508960573476712E-2</v>
      </c>
      <c r="H29" s="361">
        <f t="shared" si="176"/>
        <v>2.7799283154122039E-2</v>
      </c>
      <c r="I29" s="362">
        <f t="shared" si="176"/>
        <v>2.7799283154122063E-2</v>
      </c>
      <c r="J29" s="361">
        <f t="shared" si="176"/>
        <v>2.7799283154122039E-2</v>
      </c>
      <c r="K29" s="362">
        <f t="shared" si="176"/>
        <v>2.7799283154122063E-2</v>
      </c>
      <c r="L29" s="47">
        <f t="shared" si="176"/>
        <v>2.5089605734767165E-2</v>
      </c>
      <c r="M29" s="48">
        <f t="shared" si="176"/>
        <v>2.508960573476712E-2</v>
      </c>
      <c r="N29" s="361">
        <f t="shared" si="176"/>
        <v>2.7799283154122039E-2</v>
      </c>
      <c r="O29" s="362">
        <f t="shared" si="176"/>
        <v>2.7799283154122063E-2</v>
      </c>
      <c r="P29" s="361">
        <f t="shared" si="176"/>
        <v>2.7799283154122039E-2</v>
      </c>
      <c r="Q29" s="362">
        <f t="shared" si="176"/>
        <v>2.7799283154122063E-2</v>
      </c>
      <c r="R29" s="47">
        <f t="shared" si="176"/>
        <v>2.5089605734767165E-2</v>
      </c>
      <c r="S29" s="48">
        <f t="shared" si="176"/>
        <v>2.508960573476712E-2</v>
      </c>
      <c r="T29" s="361">
        <f t="shared" si="176"/>
        <v>2.7799283154122039E-2</v>
      </c>
      <c r="U29" s="362">
        <f t="shared" si="176"/>
        <v>2.7799283154122063E-2</v>
      </c>
      <c r="V29" s="361">
        <f t="shared" si="176"/>
        <v>2.7799283154122039E-2</v>
      </c>
      <c r="W29" s="362">
        <f t="shared" si="176"/>
        <v>2.7799283154122063E-2</v>
      </c>
      <c r="X29" s="47">
        <f t="shared" si="176"/>
        <v>2.5089605734767165E-2</v>
      </c>
      <c r="Y29" s="48">
        <f t="shared" si="176"/>
        <v>2.508960573476712E-2</v>
      </c>
      <c r="Z29" s="361">
        <f t="shared" si="176"/>
        <v>2.7799283154122039E-2</v>
      </c>
      <c r="AA29" s="362">
        <f t="shared" si="176"/>
        <v>2.7799283154122063E-2</v>
      </c>
      <c r="AB29" s="361">
        <f t="shared" si="176"/>
        <v>2.7799283154122039E-2</v>
      </c>
      <c r="AC29" s="362">
        <f t="shared" si="176"/>
        <v>2.7799283154122063E-2</v>
      </c>
      <c r="AD29" s="361">
        <f t="shared" si="176"/>
        <v>2.7799283154122039E-2</v>
      </c>
      <c r="AE29" s="362">
        <f t="shared" si="176"/>
        <v>2.7799283154122063E-2</v>
      </c>
      <c r="AF29" s="361">
        <f t="shared" si="176"/>
        <v>2.7799283154122039E-2</v>
      </c>
      <c r="AG29" s="362">
        <f t="shared" si="176"/>
        <v>2.7799283154122063E-2</v>
      </c>
      <c r="AH29" s="361">
        <f t="shared" si="176"/>
        <v>2.7799283154122039E-2</v>
      </c>
      <c r="AI29" s="362">
        <f t="shared" si="176"/>
        <v>2.7799283154122063E-2</v>
      </c>
      <c r="AJ29" s="361">
        <f t="shared" si="176"/>
        <v>2.7799283154122039E-2</v>
      </c>
      <c r="AK29" s="362">
        <f t="shared" si="176"/>
        <v>2.7799283154122063E-2</v>
      </c>
      <c r="AL29" s="361">
        <f t="shared" si="176"/>
        <v>2.7799283154122039E-2</v>
      </c>
      <c r="AM29" s="362">
        <f t="shared" si="176"/>
        <v>2.7799283154122063E-2</v>
      </c>
      <c r="AN29" s="361">
        <f t="shared" si="176"/>
        <v>2.7799283154122039E-2</v>
      </c>
      <c r="AO29" s="362">
        <f t="shared" si="176"/>
        <v>2.7799283154122063E-2</v>
      </c>
      <c r="AP29" s="361">
        <f t="shared" si="176"/>
        <v>2.7799283154122039E-2</v>
      </c>
      <c r="AQ29" s="362">
        <f t="shared" si="176"/>
        <v>2.7799283154122063E-2</v>
      </c>
      <c r="AR29" s="361">
        <f t="shared" si="176"/>
        <v>2.7799283154122039E-2</v>
      </c>
      <c r="AS29" s="362">
        <f t="shared" si="176"/>
        <v>2.7799283154122063E-2</v>
      </c>
      <c r="AT29" s="361">
        <f t="shared" si="176"/>
        <v>2.7799283154122039E-2</v>
      </c>
      <c r="AU29" s="362">
        <f t="shared" si="176"/>
        <v>2.7799283154122063E-2</v>
      </c>
      <c r="AV29" s="361">
        <f t="shared" si="176"/>
        <v>2.7799283154122039E-2</v>
      </c>
      <c r="AW29" s="362">
        <f t="shared" si="176"/>
        <v>2.7799283154122063E-2</v>
      </c>
      <c r="AX29" s="361">
        <f t="shared" si="176"/>
        <v>2.7799283154122039E-2</v>
      </c>
      <c r="AY29" s="362">
        <f t="shared" si="176"/>
        <v>2.7799283154122063E-2</v>
      </c>
      <c r="AZ29" s="361">
        <f t="shared" si="176"/>
        <v>2.7799283154122039E-2</v>
      </c>
      <c r="BA29" s="362">
        <f t="shared" si="176"/>
        <v>2.7799283154122063E-2</v>
      </c>
      <c r="BB29" s="361">
        <f t="shared" si="176"/>
        <v>2.7799283154122039E-2</v>
      </c>
      <c r="BC29" s="362">
        <f t="shared" si="176"/>
        <v>2.7799283154122063E-2</v>
      </c>
      <c r="BD29" s="361">
        <f t="shared" si="176"/>
        <v>2.7799283154122039E-2</v>
      </c>
      <c r="BE29" s="362">
        <f t="shared" si="176"/>
        <v>2.7799283154122063E-2</v>
      </c>
      <c r="BF29" s="361">
        <f t="shared" si="176"/>
        <v>2.7799283154122039E-2</v>
      </c>
      <c r="BG29" s="362">
        <f t="shared" si="176"/>
        <v>2.7799283154122063E-2</v>
      </c>
      <c r="BH29" s="361">
        <f t="shared" si="176"/>
        <v>2.7799283154122039E-2</v>
      </c>
      <c r="BI29" s="362">
        <f t="shared" si="176"/>
        <v>2.7799283154122063E-2</v>
      </c>
      <c r="BJ29" s="361">
        <f t="shared" si="176"/>
        <v>2.7799283154122039E-2</v>
      </c>
      <c r="BK29" s="362">
        <f t="shared" si="176"/>
        <v>2.7799283154122063E-2</v>
      </c>
      <c r="BL29" s="361">
        <f t="shared" si="176"/>
        <v>6.25E-2</v>
      </c>
      <c r="BM29" s="362">
        <f t="shared" si="176"/>
        <v>6.2500000000000056E-2</v>
      </c>
      <c r="BN29" s="361">
        <f t="shared" ref="BN29:CI29" si="177">BN30/BN26</f>
        <v>2.5000000000000001E-2</v>
      </c>
      <c r="BO29" s="362">
        <f t="shared" si="177"/>
        <v>2.5000000000000022E-2</v>
      </c>
      <c r="BP29" s="361">
        <f t="shared" si="177"/>
        <v>2.5000000000000001E-2</v>
      </c>
      <c r="BQ29" s="362">
        <f t="shared" si="177"/>
        <v>2.5000000000000022E-2</v>
      </c>
      <c r="BR29" s="361">
        <f t="shared" si="177"/>
        <v>2.5000000000000001E-2</v>
      </c>
      <c r="BS29" s="362">
        <f t="shared" si="177"/>
        <v>2.5000000000000022E-2</v>
      </c>
      <c r="BT29" s="361">
        <f t="shared" si="177"/>
        <v>2.5000000000000001E-2</v>
      </c>
      <c r="BU29" s="362">
        <f t="shared" si="177"/>
        <v>2.5000000000000022E-2</v>
      </c>
      <c r="BV29" s="361">
        <f t="shared" si="177"/>
        <v>2.5000000000000001E-2</v>
      </c>
      <c r="BW29" s="362">
        <f t="shared" si="177"/>
        <v>2.5000000000000022E-2</v>
      </c>
      <c r="BX29" s="361">
        <f t="shared" si="177"/>
        <v>2.5000000000000001E-2</v>
      </c>
      <c r="BY29" s="362">
        <f t="shared" si="177"/>
        <v>2.5000000000000022E-2</v>
      </c>
      <c r="BZ29" s="361">
        <f t="shared" si="177"/>
        <v>2.5000000000000001E-2</v>
      </c>
      <c r="CA29" s="362">
        <f t="shared" si="177"/>
        <v>2.5000000000000022E-2</v>
      </c>
      <c r="CB29" s="47">
        <f t="shared" si="177"/>
        <v>2.5000000000000001E-2</v>
      </c>
      <c r="CC29" s="48">
        <f t="shared" si="177"/>
        <v>2.5000000000000022E-2</v>
      </c>
      <c r="CD29" s="47">
        <f t="shared" si="177"/>
        <v>2.5000000000000001E-2</v>
      </c>
      <c r="CE29" s="48">
        <f t="shared" si="177"/>
        <v>2.5000000000000022E-2</v>
      </c>
      <c r="CF29" s="47">
        <f t="shared" si="177"/>
        <v>6.8627450980392121E-2</v>
      </c>
      <c r="CG29" s="48">
        <f t="shared" si="177"/>
        <v>6.8627450980392093E-2</v>
      </c>
      <c r="CH29" s="361">
        <f t="shared" si="177"/>
        <v>6.8627450980392121E-2</v>
      </c>
      <c r="CI29" s="362">
        <f t="shared" si="177"/>
        <v>6.8627450980392093E-2</v>
      </c>
      <c r="CJ29" s="361">
        <f t="shared" ref="CJ29:CS29" si="178">CJ30/CJ26</f>
        <v>8.3333333333333412E-2</v>
      </c>
      <c r="CK29" s="362">
        <f t="shared" si="178"/>
        <v>8.3333333333333329E-2</v>
      </c>
      <c r="CL29" s="361">
        <f t="shared" si="178"/>
        <v>8.3333333333333412E-2</v>
      </c>
      <c r="CM29" s="362">
        <f t="shared" si="178"/>
        <v>8.3333333333333329E-2</v>
      </c>
      <c r="CN29" s="361">
        <f>CN30/CN26</f>
        <v>6.8627450980392121E-2</v>
      </c>
      <c r="CO29" s="362">
        <f>CO30/CO26</f>
        <v>6.8627450980392093E-2</v>
      </c>
      <c r="CR29" s="47">
        <f t="shared" si="178"/>
        <v>8.8888888888889073E-2</v>
      </c>
      <c r="CS29" s="48">
        <f t="shared" si="178"/>
        <v>8.8888888888888962E-2</v>
      </c>
    </row>
    <row r="30" spans="1:97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BM30" si="179">F26-F32</f>
        <v>630.00000000000364</v>
      </c>
      <c r="G30" s="24">
        <f t="shared" si="179"/>
        <v>0.15484213475689845</v>
      </c>
      <c r="H30" s="363">
        <f t="shared" si="179"/>
        <v>698.04000000000451</v>
      </c>
      <c r="I30" s="351">
        <f t="shared" si="179"/>
        <v>0.17156508531064407</v>
      </c>
      <c r="J30" s="363">
        <f t="shared" si="179"/>
        <v>698.04000000000451</v>
      </c>
      <c r="K30" s="351">
        <f t="shared" si="179"/>
        <v>0.17156508531064407</v>
      </c>
      <c r="L30" s="50">
        <f t="shared" si="179"/>
        <v>630.00000000000364</v>
      </c>
      <c r="M30" s="24">
        <f t="shared" si="179"/>
        <v>0.15484213475689845</v>
      </c>
      <c r="N30" s="363">
        <f t="shared" si="179"/>
        <v>698.04000000000451</v>
      </c>
      <c r="O30" s="351">
        <f t="shared" si="179"/>
        <v>0.17156508531064407</v>
      </c>
      <c r="P30" s="363">
        <f t="shared" si="179"/>
        <v>698.04000000000451</v>
      </c>
      <c r="Q30" s="351">
        <f t="shared" si="179"/>
        <v>0.17156508531064407</v>
      </c>
      <c r="R30" s="50">
        <f t="shared" si="179"/>
        <v>630.00000000000364</v>
      </c>
      <c r="S30" s="24">
        <f t="shared" si="179"/>
        <v>0.15484213475689845</v>
      </c>
      <c r="T30" s="363">
        <f t="shared" si="179"/>
        <v>698.04000000000451</v>
      </c>
      <c r="U30" s="351">
        <f t="shared" si="179"/>
        <v>0.17156508531064407</v>
      </c>
      <c r="V30" s="363">
        <f t="shared" si="179"/>
        <v>698.04000000000451</v>
      </c>
      <c r="W30" s="351">
        <f t="shared" si="179"/>
        <v>0.17156508531064407</v>
      </c>
      <c r="X30" s="50">
        <f t="shared" si="179"/>
        <v>630.00000000000364</v>
      </c>
      <c r="Y30" s="24">
        <f t="shared" si="179"/>
        <v>0.15484213475689845</v>
      </c>
      <c r="Z30" s="363">
        <f t="shared" si="179"/>
        <v>698.04000000000451</v>
      </c>
      <c r="AA30" s="351">
        <f t="shared" si="179"/>
        <v>0.17156508531064407</v>
      </c>
      <c r="AB30" s="363">
        <f t="shared" si="179"/>
        <v>698.04000000000451</v>
      </c>
      <c r="AC30" s="351">
        <f t="shared" si="179"/>
        <v>0.17156508531064407</v>
      </c>
      <c r="AD30" s="363">
        <f t="shared" si="179"/>
        <v>698.04000000000451</v>
      </c>
      <c r="AE30" s="351">
        <f t="shared" si="179"/>
        <v>0.17156508531064407</v>
      </c>
      <c r="AF30" s="363">
        <f t="shared" si="179"/>
        <v>698.04000000000451</v>
      </c>
      <c r="AG30" s="351">
        <f t="shared" si="179"/>
        <v>0.17156508531064407</v>
      </c>
      <c r="AH30" s="363">
        <f t="shared" si="179"/>
        <v>698.04000000000451</v>
      </c>
      <c r="AI30" s="351">
        <f t="shared" si="179"/>
        <v>0.17156508531064407</v>
      </c>
      <c r="AJ30" s="363">
        <f t="shared" si="179"/>
        <v>698.04000000000451</v>
      </c>
      <c r="AK30" s="351">
        <f t="shared" si="179"/>
        <v>0.17156508531064407</v>
      </c>
      <c r="AL30" s="363">
        <f t="shared" si="179"/>
        <v>698.04000000000451</v>
      </c>
      <c r="AM30" s="351">
        <f t="shared" si="179"/>
        <v>0.17156508531064407</v>
      </c>
      <c r="AN30" s="363">
        <f t="shared" si="179"/>
        <v>698.04000000000451</v>
      </c>
      <c r="AO30" s="351">
        <f t="shared" si="179"/>
        <v>0.17156508531064407</v>
      </c>
      <c r="AP30" s="363">
        <f t="shared" si="179"/>
        <v>698.04000000000451</v>
      </c>
      <c r="AQ30" s="351">
        <f t="shared" si="179"/>
        <v>0.17156508531064407</v>
      </c>
      <c r="AR30" s="363">
        <f t="shared" si="179"/>
        <v>698.04000000000451</v>
      </c>
      <c r="AS30" s="351">
        <f t="shared" si="179"/>
        <v>0.17156508531064407</v>
      </c>
      <c r="AT30" s="363">
        <f t="shared" si="179"/>
        <v>698.04000000000451</v>
      </c>
      <c r="AU30" s="351">
        <f t="shared" si="179"/>
        <v>0.17156508531064407</v>
      </c>
      <c r="AV30" s="363">
        <f t="shared" si="179"/>
        <v>698.04000000000451</v>
      </c>
      <c r="AW30" s="351">
        <f t="shared" si="179"/>
        <v>0.17156508531064407</v>
      </c>
      <c r="AX30" s="363">
        <f t="shared" si="179"/>
        <v>698.04000000000451</v>
      </c>
      <c r="AY30" s="351">
        <f t="shared" si="179"/>
        <v>0.17156508531064407</v>
      </c>
      <c r="AZ30" s="363">
        <f t="shared" si="179"/>
        <v>698.04000000000451</v>
      </c>
      <c r="BA30" s="351">
        <f t="shared" si="179"/>
        <v>0.17156508531064407</v>
      </c>
      <c r="BB30" s="363">
        <f t="shared" si="179"/>
        <v>698.04000000000451</v>
      </c>
      <c r="BC30" s="351">
        <f t="shared" si="179"/>
        <v>0.17156508531064407</v>
      </c>
      <c r="BD30" s="363">
        <f t="shared" si="179"/>
        <v>698.04000000000451</v>
      </c>
      <c r="BE30" s="351">
        <f t="shared" si="179"/>
        <v>0.17156508531064407</v>
      </c>
      <c r="BF30" s="363">
        <f t="shared" si="179"/>
        <v>698.04000000000451</v>
      </c>
      <c r="BG30" s="351">
        <f t="shared" si="179"/>
        <v>0.17156508531064407</v>
      </c>
      <c r="BH30" s="363">
        <f t="shared" si="179"/>
        <v>698.04000000000451</v>
      </c>
      <c r="BI30" s="351">
        <f t="shared" si="179"/>
        <v>0.17156508531064407</v>
      </c>
      <c r="BJ30" s="363">
        <f t="shared" si="179"/>
        <v>698.04000000000451</v>
      </c>
      <c r="BK30" s="351">
        <f t="shared" si="179"/>
        <v>0.17156508531064407</v>
      </c>
      <c r="BL30" s="363">
        <f t="shared" si="179"/>
        <v>1627.4639999999999</v>
      </c>
      <c r="BM30" s="351">
        <f t="shared" si="179"/>
        <v>0.40000000000000036</v>
      </c>
      <c r="BN30" s="363">
        <f t="shared" ref="BN30:CI30" si="180">BN26-BN32</f>
        <v>813.73199999999997</v>
      </c>
      <c r="BO30" s="351">
        <f t="shared" si="180"/>
        <v>0.20000000000000018</v>
      </c>
      <c r="BP30" s="363">
        <f t="shared" si="180"/>
        <v>813.73199999999997</v>
      </c>
      <c r="BQ30" s="351">
        <f t="shared" si="180"/>
        <v>0.20000000000000018</v>
      </c>
      <c r="BR30" s="363">
        <f t="shared" si="180"/>
        <v>813.73199999999997</v>
      </c>
      <c r="BS30" s="351">
        <f t="shared" si="180"/>
        <v>0.20000000000000018</v>
      </c>
      <c r="BT30" s="363">
        <f t="shared" si="180"/>
        <v>813.73199999999997</v>
      </c>
      <c r="BU30" s="351">
        <f t="shared" si="180"/>
        <v>0.20000000000000018</v>
      </c>
      <c r="BV30" s="363">
        <f t="shared" si="180"/>
        <v>813.73199999999997</v>
      </c>
      <c r="BW30" s="351">
        <f t="shared" si="180"/>
        <v>0.20000000000000018</v>
      </c>
      <c r="BX30" s="363">
        <f t="shared" si="180"/>
        <v>813.73199999999997</v>
      </c>
      <c r="BY30" s="351">
        <f t="shared" si="180"/>
        <v>0.20000000000000018</v>
      </c>
      <c r="BZ30" s="363">
        <f t="shared" si="180"/>
        <v>813.73199999999997</v>
      </c>
      <c r="CA30" s="351">
        <f t="shared" si="180"/>
        <v>0.20000000000000018</v>
      </c>
      <c r="CB30" s="50">
        <f t="shared" si="180"/>
        <v>813.73199999999997</v>
      </c>
      <c r="CC30" s="24">
        <f t="shared" si="180"/>
        <v>0.20000000000000018</v>
      </c>
      <c r="CD30" s="50">
        <f t="shared" si="180"/>
        <v>813.73199999999997</v>
      </c>
      <c r="CE30" s="24">
        <f t="shared" si="180"/>
        <v>0.20000000000000018</v>
      </c>
      <c r="CF30" s="50">
        <f t="shared" si="180"/>
        <v>1424.030999999999</v>
      </c>
      <c r="CG30" s="24">
        <f t="shared" si="180"/>
        <v>0.34999999999999964</v>
      </c>
      <c r="CH30" s="363">
        <f t="shared" si="180"/>
        <v>1424.030999999999</v>
      </c>
      <c r="CI30" s="351">
        <f t="shared" si="180"/>
        <v>0.34999999999999964</v>
      </c>
      <c r="CJ30" s="363">
        <f t="shared" ref="CJ30:CS30" si="181">CJ26-CJ32</f>
        <v>2034.3300000000017</v>
      </c>
      <c r="CK30" s="351">
        <f t="shared" si="181"/>
        <v>0.5</v>
      </c>
      <c r="CL30" s="363">
        <f t="shared" si="181"/>
        <v>2034.3300000000017</v>
      </c>
      <c r="CM30" s="351">
        <f t="shared" si="181"/>
        <v>0.5</v>
      </c>
      <c r="CN30" s="363">
        <f>CN26-CN32</f>
        <v>1424.030999999999</v>
      </c>
      <c r="CO30" s="351">
        <f>CO26-CO32</f>
        <v>0.34999999999999964</v>
      </c>
      <c r="CR30" s="42">
        <f t="shared" si="181"/>
        <v>3254.9280000000072</v>
      </c>
      <c r="CS30" s="24">
        <f t="shared" si="181"/>
        <v>0.80000000000000071</v>
      </c>
    </row>
    <row r="31" spans="1:97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24480</v>
      </c>
      <c r="G31" s="55">
        <f>G32</f>
        <v>6.0167229505537456</v>
      </c>
      <c r="H31" s="54">
        <f>+H32</f>
        <v>24411.96</v>
      </c>
      <c r="I31" s="55">
        <f>I32</f>
        <v>6</v>
      </c>
      <c r="J31" s="54">
        <f>+J32</f>
        <v>24411.96</v>
      </c>
      <c r="K31" s="55">
        <f>K32</f>
        <v>6</v>
      </c>
      <c r="L31" s="54">
        <f>+L32</f>
        <v>24480</v>
      </c>
      <c r="M31" s="55">
        <f>M32</f>
        <v>6.0167229505537456</v>
      </c>
      <c r="N31" s="54">
        <f>+N32</f>
        <v>24411.96</v>
      </c>
      <c r="O31" s="55">
        <f>O32</f>
        <v>6</v>
      </c>
      <c r="P31" s="54">
        <f>+P32</f>
        <v>24411.96</v>
      </c>
      <c r="Q31" s="55">
        <f>Q32</f>
        <v>6</v>
      </c>
      <c r="R31" s="54">
        <f>+R32</f>
        <v>24480</v>
      </c>
      <c r="S31" s="55">
        <f>S32</f>
        <v>6.0167229505537456</v>
      </c>
      <c r="T31" s="54">
        <f>+T32</f>
        <v>24411.96</v>
      </c>
      <c r="U31" s="55">
        <f>U32</f>
        <v>6</v>
      </c>
      <c r="V31" s="54">
        <f>+V32</f>
        <v>24411.96</v>
      </c>
      <c r="W31" s="55">
        <f>W32</f>
        <v>6</v>
      </c>
      <c r="X31" s="54">
        <f>+X32</f>
        <v>24480</v>
      </c>
      <c r="Y31" s="55">
        <f>Y32</f>
        <v>6.0167229505537456</v>
      </c>
      <c r="Z31" s="54">
        <f>+Z32</f>
        <v>24411.96</v>
      </c>
      <c r="AA31" s="55">
        <f>AA32</f>
        <v>6</v>
      </c>
      <c r="AB31" s="54">
        <f>+AB32</f>
        <v>24411.96</v>
      </c>
      <c r="AC31" s="55">
        <f>AC32</f>
        <v>6</v>
      </c>
      <c r="AD31" s="54">
        <f t="shared" ref="AD31" si="182">+AD32</f>
        <v>24411.96</v>
      </c>
      <c r="AE31" s="55">
        <f t="shared" ref="AE31" si="183">AE32</f>
        <v>6</v>
      </c>
      <c r="AF31" s="54">
        <f t="shared" ref="AF31" si="184">+AF32</f>
        <v>24411.96</v>
      </c>
      <c r="AG31" s="55">
        <f t="shared" ref="AG31" si="185">AG32</f>
        <v>6</v>
      </c>
      <c r="AH31" s="54">
        <f t="shared" ref="AH31" si="186">+AH32</f>
        <v>24411.96</v>
      </c>
      <c r="AI31" s="55">
        <f t="shared" ref="AI31" si="187">AI32</f>
        <v>6</v>
      </c>
      <c r="AJ31" s="54">
        <f t="shared" ref="AJ31" si="188">+AJ32</f>
        <v>24411.96</v>
      </c>
      <c r="AK31" s="55">
        <f t="shared" ref="AK31" si="189">AK32</f>
        <v>6</v>
      </c>
      <c r="AL31" s="54">
        <f t="shared" ref="AL31" si="190">+AL32</f>
        <v>24411.96</v>
      </c>
      <c r="AM31" s="55">
        <f t="shared" ref="AM31" si="191">AM32</f>
        <v>6</v>
      </c>
      <c r="AN31" s="54">
        <f t="shared" ref="AN31" si="192">+AN32</f>
        <v>24411.96</v>
      </c>
      <c r="AO31" s="55">
        <f t="shared" ref="AO31" si="193">AO32</f>
        <v>6</v>
      </c>
      <c r="AP31" s="54">
        <f t="shared" ref="AP31" si="194">+AP32</f>
        <v>24411.96</v>
      </c>
      <c r="AQ31" s="55">
        <f t="shared" ref="AQ31" si="195">AQ32</f>
        <v>6</v>
      </c>
      <c r="AR31" s="54">
        <f t="shared" ref="AR31:BL31" si="196">+AR32</f>
        <v>24411.96</v>
      </c>
      <c r="AS31" s="55">
        <f t="shared" ref="AS31:BM31" si="197">AS32</f>
        <v>6</v>
      </c>
      <c r="AT31" s="54">
        <f t="shared" si="196"/>
        <v>24411.96</v>
      </c>
      <c r="AU31" s="55">
        <f t="shared" si="197"/>
        <v>6</v>
      </c>
      <c r="AV31" s="54">
        <f t="shared" si="196"/>
        <v>24411.96</v>
      </c>
      <c r="AW31" s="55">
        <f t="shared" si="197"/>
        <v>6</v>
      </c>
      <c r="AX31" s="54">
        <f t="shared" si="196"/>
        <v>24411.96</v>
      </c>
      <c r="AY31" s="55">
        <f t="shared" si="197"/>
        <v>6</v>
      </c>
      <c r="AZ31" s="54">
        <f t="shared" si="196"/>
        <v>24411.96</v>
      </c>
      <c r="BA31" s="55">
        <f t="shared" si="197"/>
        <v>6</v>
      </c>
      <c r="BB31" s="54">
        <f t="shared" si="196"/>
        <v>24411.96</v>
      </c>
      <c r="BC31" s="55">
        <f t="shared" si="197"/>
        <v>6</v>
      </c>
      <c r="BD31" s="54">
        <f t="shared" si="196"/>
        <v>24411.96</v>
      </c>
      <c r="BE31" s="55">
        <f t="shared" si="197"/>
        <v>6</v>
      </c>
      <c r="BF31" s="54">
        <f t="shared" si="196"/>
        <v>24411.96</v>
      </c>
      <c r="BG31" s="55">
        <f t="shared" si="197"/>
        <v>6</v>
      </c>
      <c r="BH31" s="54">
        <f t="shared" si="196"/>
        <v>24411.96</v>
      </c>
      <c r="BI31" s="55">
        <f t="shared" si="197"/>
        <v>6</v>
      </c>
      <c r="BJ31" s="54">
        <f t="shared" si="196"/>
        <v>24411.96</v>
      </c>
      <c r="BK31" s="55">
        <f t="shared" si="197"/>
        <v>6</v>
      </c>
      <c r="BL31" s="54">
        <f t="shared" si="196"/>
        <v>24411.96</v>
      </c>
      <c r="BM31" s="55">
        <f t="shared" si="197"/>
        <v>6</v>
      </c>
      <c r="BN31" s="54">
        <f t="shared" ref="BN31" si="198">+BN32</f>
        <v>31735.547999999999</v>
      </c>
      <c r="BO31" s="55">
        <f t="shared" ref="BO31" si="199">BO32</f>
        <v>7.8</v>
      </c>
      <c r="BP31" s="54">
        <f t="shared" ref="BP31" si="200">+BP32</f>
        <v>31735.547999999999</v>
      </c>
      <c r="BQ31" s="55">
        <f>BQ32</f>
        <v>7.8</v>
      </c>
      <c r="BR31" s="54">
        <f t="shared" ref="BR31" si="201">+BR32</f>
        <v>31735.547999999999</v>
      </c>
      <c r="BS31" s="55">
        <f t="shared" ref="BS31" si="202">BS32</f>
        <v>7.8</v>
      </c>
      <c r="BT31" s="54">
        <f>+BT32</f>
        <v>31735.547999999999</v>
      </c>
      <c r="BU31" s="55">
        <f>BU32</f>
        <v>7.8</v>
      </c>
      <c r="BV31" s="54">
        <f>+BV32</f>
        <v>31735.547999999999</v>
      </c>
      <c r="BW31" s="55">
        <f>BW32</f>
        <v>7.8</v>
      </c>
      <c r="BX31" s="54">
        <f t="shared" ref="BX31:CA31" si="203">BX32</f>
        <v>31735.547999999999</v>
      </c>
      <c r="BY31" s="55">
        <f t="shared" si="203"/>
        <v>7.8</v>
      </c>
      <c r="BZ31" s="54">
        <f t="shared" si="203"/>
        <v>31735.547999999999</v>
      </c>
      <c r="CA31" s="55">
        <f t="shared" si="203"/>
        <v>7.8</v>
      </c>
      <c r="CB31" s="54">
        <f t="shared" ref="CB31" si="204">+CB32</f>
        <v>31735.547999999999</v>
      </c>
      <c r="CC31" s="55">
        <f t="shared" ref="CC31" si="205">CC32</f>
        <v>7.8</v>
      </c>
      <c r="CD31" s="54">
        <f t="shared" ref="CD31" si="206">+CD32</f>
        <v>31735.547999999999</v>
      </c>
      <c r="CE31" s="55">
        <f t="shared" ref="CE31" si="207">CE32</f>
        <v>7.8</v>
      </c>
      <c r="CF31" s="54">
        <f>+CF32</f>
        <v>19326.134999999998</v>
      </c>
      <c r="CG31" s="55">
        <f>CG32</f>
        <v>4.75</v>
      </c>
      <c r="CH31" s="54">
        <f>+CH32</f>
        <v>19326.134999999998</v>
      </c>
      <c r="CI31" s="55">
        <f>CI32</f>
        <v>4.75</v>
      </c>
      <c r="CJ31" s="54">
        <f>+CJ32</f>
        <v>22377.629999999997</v>
      </c>
      <c r="CK31" s="55">
        <f>CK32</f>
        <v>5.5</v>
      </c>
      <c r="CL31" s="54">
        <f>+CL32</f>
        <v>22377.629999999997</v>
      </c>
      <c r="CM31" s="55">
        <f>CM32</f>
        <v>5.5</v>
      </c>
      <c r="CN31" s="54">
        <f>+CN32</f>
        <v>19326.134999999998</v>
      </c>
      <c r="CO31" s="55">
        <f>CO32</f>
        <v>4.75</v>
      </c>
      <c r="CR31" s="1179">
        <f t="shared" ref="CR31" si="208">+CR32</f>
        <v>33363.011999999995</v>
      </c>
      <c r="CS31" s="55">
        <f t="shared" ref="CS31" si="209">CS32</f>
        <v>8.1999999999999993</v>
      </c>
    </row>
    <row r="32" spans="1:97" s="4" customFormat="1" ht="18" customHeight="1" x14ac:dyDescent="0.45">
      <c r="A32" s="561"/>
      <c r="B32" s="1194"/>
      <c r="C32" s="56" t="s">
        <v>45</v>
      </c>
      <c r="D32" s="52"/>
      <c r="E32" s="53"/>
      <c r="F32" s="54">
        <v>24480</v>
      </c>
      <c r="G32" s="55">
        <f>+F32/F12</f>
        <v>6.0167229505537456</v>
      </c>
      <c r="H32" s="54">
        <f>I32*H12</f>
        <v>24411.96</v>
      </c>
      <c r="I32" s="55">
        <v>6</v>
      </c>
      <c r="J32" s="54">
        <f>K32*J12</f>
        <v>24411.96</v>
      </c>
      <c r="K32" s="55">
        <v>6</v>
      </c>
      <c r="L32" s="54">
        <v>24480</v>
      </c>
      <c r="M32" s="55">
        <f>+L32/L12</f>
        <v>6.0167229505537456</v>
      </c>
      <c r="N32" s="54">
        <f>O32*N12</f>
        <v>24411.96</v>
      </c>
      <c r="O32" s="55">
        <v>6</v>
      </c>
      <c r="P32" s="54">
        <f>Q32*P12</f>
        <v>24411.96</v>
      </c>
      <c r="Q32" s="55">
        <v>6</v>
      </c>
      <c r="R32" s="54">
        <v>24480</v>
      </c>
      <c r="S32" s="55">
        <f>+R32/R12</f>
        <v>6.0167229505537456</v>
      </c>
      <c r="T32" s="54">
        <f>U32*T12</f>
        <v>24411.96</v>
      </c>
      <c r="U32" s="55">
        <v>6</v>
      </c>
      <c r="V32" s="54">
        <f>W32*V12</f>
        <v>24411.96</v>
      </c>
      <c r="W32" s="55">
        <v>6</v>
      </c>
      <c r="X32" s="54">
        <v>24480</v>
      </c>
      <c r="Y32" s="55">
        <f>+X32/X12</f>
        <v>6.0167229505537456</v>
      </c>
      <c r="Z32" s="54">
        <f>AA32*Z12</f>
        <v>24411.96</v>
      </c>
      <c r="AA32" s="55">
        <v>6</v>
      </c>
      <c r="AB32" s="54">
        <f>AC32*AB12</f>
        <v>24411.96</v>
      </c>
      <c r="AC32" s="55">
        <v>6</v>
      </c>
      <c r="AD32" s="54">
        <f t="shared" ref="AD32" si="210">AE32*AD12</f>
        <v>24411.96</v>
      </c>
      <c r="AE32" s="55">
        <v>6</v>
      </c>
      <c r="AF32" s="54">
        <f t="shared" ref="AF32" si="211">AG32*AF12</f>
        <v>24411.96</v>
      </c>
      <c r="AG32" s="55">
        <v>6</v>
      </c>
      <c r="AH32" s="54">
        <f t="shared" ref="AH32" si="212">AI32*AH12</f>
        <v>24411.96</v>
      </c>
      <c r="AI32" s="55">
        <v>6</v>
      </c>
      <c r="AJ32" s="54">
        <f t="shared" ref="AJ32" si="213">AK32*AJ12</f>
        <v>24411.96</v>
      </c>
      <c r="AK32" s="55">
        <v>6</v>
      </c>
      <c r="AL32" s="54">
        <f t="shared" ref="AL32" si="214">AM32*AL12</f>
        <v>24411.96</v>
      </c>
      <c r="AM32" s="55">
        <v>6</v>
      </c>
      <c r="AN32" s="54">
        <f t="shared" ref="AN32" si="215">AO32*AN12</f>
        <v>24411.96</v>
      </c>
      <c r="AO32" s="55">
        <v>6</v>
      </c>
      <c r="AP32" s="54">
        <f t="shared" ref="AP32" si="216">AQ32*AP12</f>
        <v>24411.96</v>
      </c>
      <c r="AQ32" s="55">
        <v>6</v>
      </c>
      <c r="AR32" s="54">
        <f t="shared" ref="AR32" si="217">AS32*AR12</f>
        <v>24411.96</v>
      </c>
      <c r="AS32" s="55">
        <v>6</v>
      </c>
      <c r="AT32" s="54">
        <f t="shared" ref="AT32" si="218">AU32*AT12</f>
        <v>24411.96</v>
      </c>
      <c r="AU32" s="55">
        <v>6</v>
      </c>
      <c r="AV32" s="54">
        <f t="shared" ref="AV32" si="219">AW32*AV12</f>
        <v>24411.96</v>
      </c>
      <c r="AW32" s="55">
        <v>6</v>
      </c>
      <c r="AX32" s="54">
        <f t="shared" ref="AX32" si="220">AY32*AX12</f>
        <v>24411.96</v>
      </c>
      <c r="AY32" s="55">
        <v>6</v>
      </c>
      <c r="AZ32" s="54">
        <f t="shared" ref="AZ32" si="221">BA32*AZ12</f>
        <v>24411.96</v>
      </c>
      <c r="BA32" s="55">
        <v>6</v>
      </c>
      <c r="BB32" s="54">
        <f t="shared" ref="BB32" si="222">BC32*BB12</f>
        <v>24411.96</v>
      </c>
      <c r="BC32" s="55">
        <v>6</v>
      </c>
      <c r="BD32" s="54">
        <f t="shared" ref="BD32" si="223">BE32*BD12</f>
        <v>24411.96</v>
      </c>
      <c r="BE32" s="55">
        <v>6</v>
      </c>
      <c r="BF32" s="54">
        <f t="shared" ref="BF32" si="224">BG32*BF12</f>
        <v>24411.96</v>
      </c>
      <c r="BG32" s="55">
        <v>6</v>
      </c>
      <c r="BH32" s="54">
        <f t="shared" ref="BH32" si="225">BI32*BH12</f>
        <v>24411.96</v>
      </c>
      <c r="BI32" s="55">
        <v>6</v>
      </c>
      <c r="BJ32" s="54">
        <f t="shared" ref="BJ32" si="226">BK32*BJ12</f>
        <v>24411.96</v>
      </c>
      <c r="BK32" s="55">
        <v>6</v>
      </c>
      <c r="BL32" s="54">
        <f t="shared" ref="BL32" si="227">BM32*BL12</f>
        <v>24411.96</v>
      </c>
      <c r="BM32" s="55">
        <v>6</v>
      </c>
      <c r="BN32" s="54">
        <f t="shared" ref="BN32" si="228">BO32*BN12</f>
        <v>31735.547999999999</v>
      </c>
      <c r="BO32" s="55">
        <v>7.8</v>
      </c>
      <c r="BP32" s="54">
        <f t="shared" ref="BP32" si="229">BQ32*BP12</f>
        <v>31735.547999999999</v>
      </c>
      <c r="BQ32" s="55">
        <v>7.8</v>
      </c>
      <c r="BR32" s="54">
        <f>CD32</f>
        <v>31735.547999999999</v>
      </c>
      <c r="BS32" s="55">
        <f>CE32</f>
        <v>7.8</v>
      </c>
      <c r="BT32" s="54">
        <f>BU32*BT12</f>
        <v>31735.547999999999</v>
      </c>
      <c r="BU32" s="55">
        <v>7.8</v>
      </c>
      <c r="BV32" s="54">
        <f>BW32*BV12</f>
        <v>31735.547999999999</v>
      </c>
      <c r="BW32" s="55">
        <v>7.8</v>
      </c>
      <c r="BX32" s="54">
        <f>BY32*BX12</f>
        <v>31735.547999999999</v>
      </c>
      <c r="BY32" s="55">
        <v>7.8</v>
      </c>
      <c r="BZ32" s="54">
        <f>CA32*BZ12</f>
        <v>31735.547999999999</v>
      </c>
      <c r="CA32" s="55">
        <v>7.8</v>
      </c>
      <c r="CB32" s="54">
        <f t="shared" ref="CB32" si="230">CC32*CB12</f>
        <v>31735.547999999999</v>
      </c>
      <c r="CC32" s="55">
        <v>7.8</v>
      </c>
      <c r="CD32" s="54">
        <f t="shared" ref="CD32" si="231">CE32*CD12</f>
        <v>31735.547999999999</v>
      </c>
      <c r="CE32" s="55">
        <v>7.8</v>
      </c>
      <c r="CF32" s="54">
        <f>CG32*CF12</f>
        <v>19326.134999999998</v>
      </c>
      <c r="CG32" s="55">
        <v>4.75</v>
      </c>
      <c r="CH32" s="54">
        <f>CI32*CH12</f>
        <v>19326.134999999998</v>
      </c>
      <c r="CI32" s="55">
        <v>4.75</v>
      </c>
      <c r="CJ32" s="54">
        <f>CK32*CJ12</f>
        <v>22377.629999999997</v>
      </c>
      <c r="CK32" s="55">
        <v>5.5</v>
      </c>
      <c r="CL32" s="54">
        <f>CM32*CL12</f>
        <v>22377.629999999997</v>
      </c>
      <c r="CM32" s="55">
        <v>5.5</v>
      </c>
      <c r="CN32" s="54">
        <f t="shared" ref="CN32" si="232">CO32*CN12</f>
        <v>19326.134999999998</v>
      </c>
      <c r="CO32" s="55">
        <v>4.75</v>
      </c>
      <c r="CR32" s="1179">
        <f>CS32*CR12</f>
        <v>33363.011999999995</v>
      </c>
      <c r="CS32" s="55">
        <v>8.1999999999999993</v>
      </c>
    </row>
    <row r="33" spans="1:97" s="4" customFormat="1" ht="1.05" customHeight="1" x14ac:dyDescent="0.45">
      <c r="A33" s="561"/>
      <c r="B33" s="1195"/>
      <c r="C33" s="25"/>
      <c r="D33" s="26"/>
      <c r="E33" s="26"/>
      <c r="F33" s="61"/>
      <c r="G33" s="41"/>
      <c r="H33" s="365"/>
      <c r="I33" s="358"/>
      <c r="J33" s="365"/>
      <c r="K33" s="358"/>
      <c r="L33" s="61"/>
      <c r="M33" s="41"/>
      <c r="N33" s="365"/>
      <c r="O33" s="358"/>
      <c r="P33" s="365"/>
      <c r="Q33" s="358"/>
      <c r="R33" s="61"/>
      <c r="S33" s="41"/>
      <c r="T33" s="365"/>
      <c r="U33" s="358"/>
      <c r="V33" s="365"/>
      <c r="W33" s="358"/>
      <c r="X33" s="61"/>
      <c r="Y33" s="41"/>
      <c r="Z33" s="365"/>
      <c r="AA33" s="358"/>
      <c r="AB33" s="365"/>
      <c r="AC33" s="358"/>
      <c r="AD33" s="365"/>
      <c r="AE33" s="358"/>
      <c r="AF33" s="365"/>
      <c r="AG33" s="358"/>
      <c r="AH33" s="365"/>
      <c r="AI33" s="358"/>
      <c r="AJ33" s="365"/>
      <c r="AK33" s="358"/>
      <c r="AL33" s="365"/>
      <c r="AM33" s="358"/>
      <c r="AN33" s="365"/>
      <c r="AO33" s="358"/>
      <c r="AP33" s="365"/>
      <c r="AQ33" s="358"/>
      <c r="AR33" s="365"/>
      <c r="AS33" s="358"/>
      <c r="AT33" s="365"/>
      <c r="AU33" s="358"/>
      <c r="AV33" s="365"/>
      <c r="AW33" s="358"/>
      <c r="AX33" s="365"/>
      <c r="AY33" s="358"/>
      <c r="AZ33" s="365"/>
      <c r="BA33" s="358"/>
      <c r="BB33" s="365"/>
      <c r="BC33" s="358"/>
      <c r="BD33" s="365"/>
      <c r="BE33" s="358"/>
      <c r="BF33" s="365"/>
      <c r="BG33" s="358"/>
      <c r="BH33" s="365"/>
      <c r="BI33" s="358"/>
      <c r="BJ33" s="365"/>
      <c r="BK33" s="358"/>
      <c r="BL33" s="365"/>
      <c r="BM33" s="358"/>
      <c r="BN33" s="553"/>
      <c r="BO33" s="358"/>
      <c r="BP33" s="365"/>
      <c r="BQ33" s="358"/>
      <c r="BR33" s="365"/>
      <c r="BS33" s="358"/>
      <c r="BT33" s="365"/>
      <c r="BU33" s="358"/>
      <c r="BV33" s="365"/>
      <c r="BW33" s="358"/>
      <c r="BX33" s="365"/>
      <c r="BY33" s="358"/>
      <c r="BZ33" s="365"/>
      <c r="CA33" s="358"/>
      <c r="CB33" s="61"/>
      <c r="CC33" s="41"/>
      <c r="CD33" s="61"/>
      <c r="CE33" s="41"/>
      <c r="CF33" s="61"/>
      <c r="CG33" s="41"/>
      <c r="CH33" s="365"/>
      <c r="CI33" s="358"/>
      <c r="CJ33" s="365"/>
      <c r="CK33" s="358"/>
      <c r="CL33" s="365"/>
      <c r="CM33" s="358"/>
      <c r="CN33" s="365"/>
      <c r="CO33" s="358"/>
      <c r="CR33" s="61"/>
      <c r="CS33" s="41"/>
    </row>
    <row r="34" spans="1:97" s="4" customFormat="1" ht="1.05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364"/>
      <c r="I34" s="360"/>
      <c r="J34" s="364"/>
      <c r="K34" s="360"/>
      <c r="L34" s="60"/>
      <c r="M34" s="43"/>
      <c r="N34" s="364"/>
      <c r="O34" s="360"/>
      <c r="P34" s="364"/>
      <c r="Q34" s="360"/>
      <c r="R34" s="60"/>
      <c r="S34" s="43"/>
      <c r="T34" s="364"/>
      <c r="U34" s="360"/>
      <c r="V34" s="364"/>
      <c r="W34" s="360"/>
      <c r="X34" s="60"/>
      <c r="Y34" s="43"/>
      <c r="Z34" s="364"/>
      <c r="AA34" s="360"/>
      <c r="AB34" s="364"/>
      <c r="AC34" s="360"/>
      <c r="AD34" s="364"/>
      <c r="AE34" s="360"/>
      <c r="AF34" s="364"/>
      <c r="AG34" s="360"/>
      <c r="AH34" s="364"/>
      <c r="AI34" s="360"/>
      <c r="AJ34" s="364"/>
      <c r="AK34" s="360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364"/>
      <c r="AW34" s="360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364"/>
      <c r="BO34" s="360"/>
      <c r="BP34" s="364"/>
      <c r="BQ34" s="360"/>
      <c r="BR34" s="364"/>
      <c r="BS34" s="360"/>
      <c r="BT34" s="364"/>
      <c r="BU34" s="360"/>
      <c r="BV34" s="364"/>
      <c r="BW34" s="360"/>
      <c r="BX34" s="364"/>
      <c r="BY34" s="360"/>
      <c r="BZ34" s="364"/>
      <c r="CA34" s="360"/>
      <c r="CB34" s="42"/>
      <c r="CC34" s="18"/>
      <c r="CD34" s="42"/>
      <c r="CE34" s="18"/>
      <c r="CF34" s="60"/>
      <c r="CG34" s="43"/>
      <c r="CH34" s="364"/>
      <c r="CI34" s="360"/>
      <c r="CJ34" s="364"/>
      <c r="CK34" s="360"/>
      <c r="CL34" s="364"/>
      <c r="CM34" s="360"/>
      <c r="CN34" s="364"/>
      <c r="CO34" s="360"/>
      <c r="CR34" s="60"/>
      <c r="CS34" s="43"/>
    </row>
    <row r="35" spans="1:97" s="49" customFormat="1" ht="1.05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361"/>
      <c r="I35" s="362"/>
      <c r="J35" s="361"/>
      <c r="K35" s="362"/>
      <c r="L35" s="47"/>
      <c r="M35" s="48"/>
      <c r="N35" s="361"/>
      <c r="O35" s="362"/>
      <c r="P35" s="361"/>
      <c r="Q35" s="362"/>
      <c r="R35" s="47"/>
      <c r="S35" s="48"/>
      <c r="T35" s="361"/>
      <c r="U35" s="362"/>
      <c r="V35" s="361"/>
      <c r="W35" s="362"/>
      <c r="X35" s="47"/>
      <c r="Y35" s="48"/>
      <c r="Z35" s="361"/>
      <c r="AA35" s="362"/>
      <c r="AB35" s="361"/>
      <c r="AC35" s="362"/>
      <c r="AD35" s="361"/>
      <c r="AE35" s="362"/>
      <c r="AF35" s="361"/>
      <c r="AG35" s="362"/>
      <c r="AH35" s="361"/>
      <c r="AI35" s="362"/>
      <c r="AJ35" s="361"/>
      <c r="AK35" s="362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361"/>
      <c r="AW35" s="362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361"/>
      <c r="BY35" s="362"/>
      <c r="BZ35" s="361"/>
      <c r="CA35" s="362"/>
      <c r="CB35" s="42"/>
      <c r="CC35" s="18"/>
      <c r="CD35" s="42"/>
      <c r="CE35" s="18"/>
      <c r="CF35" s="47"/>
      <c r="CG35" s="1144"/>
      <c r="CH35" s="361"/>
      <c r="CI35" s="362"/>
      <c r="CJ35" s="361"/>
      <c r="CK35" s="362"/>
      <c r="CL35" s="361"/>
      <c r="CM35" s="362"/>
      <c r="CN35" s="361"/>
      <c r="CO35" s="362"/>
      <c r="CR35" s="47"/>
      <c r="CS35" s="48"/>
    </row>
    <row r="36" spans="1:97" s="4" customFormat="1" ht="1.05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363"/>
      <c r="I36" s="351"/>
      <c r="J36" s="363"/>
      <c r="K36" s="351"/>
      <c r="L36" s="50"/>
      <c r="M36" s="24"/>
      <c r="N36" s="363"/>
      <c r="O36" s="351"/>
      <c r="P36" s="363"/>
      <c r="Q36" s="351"/>
      <c r="R36" s="50"/>
      <c r="S36" s="24"/>
      <c r="T36" s="363"/>
      <c r="U36" s="351"/>
      <c r="V36" s="363"/>
      <c r="W36" s="351"/>
      <c r="X36" s="50"/>
      <c r="Y36" s="24"/>
      <c r="Z36" s="363"/>
      <c r="AA36" s="351"/>
      <c r="AB36" s="363"/>
      <c r="AC36" s="351"/>
      <c r="AD36" s="363"/>
      <c r="AE36" s="351"/>
      <c r="AF36" s="363"/>
      <c r="AG36" s="351"/>
      <c r="AH36" s="363"/>
      <c r="AI36" s="351"/>
      <c r="AJ36" s="363"/>
      <c r="AK36" s="351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363"/>
      <c r="AW36" s="351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363"/>
      <c r="BY36" s="351"/>
      <c r="BZ36" s="363"/>
      <c r="CA36" s="351"/>
      <c r="CB36" s="42"/>
      <c r="CC36" s="18"/>
      <c r="CD36" s="42"/>
      <c r="CE36" s="18"/>
      <c r="CF36" s="50"/>
      <c r="CG36" s="24"/>
      <c r="CH36" s="363"/>
      <c r="CI36" s="351"/>
      <c r="CJ36" s="363"/>
      <c r="CK36" s="351"/>
      <c r="CL36" s="363"/>
      <c r="CM36" s="351"/>
      <c r="CN36" s="363"/>
      <c r="CO36" s="351"/>
      <c r="CR36" s="50"/>
      <c r="CS36" s="24"/>
    </row>
    <row r="37" spans="1:97" s="4" customFormat="1" ht="1.05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54"/>
      <c r="BY37" s="55"/>
      <c r="BZ37" s="54"/>
      <c r="CA37" s="55"/>
      <c r="CB37" s="42"/>
      <c r="CC37" s="18"/>
      <c r="CD37" s="42"/>
      <c r="CE37" s="18"/>
      <c r="CF37" s="54"/>
      <c r="CG37" s="55"/>
      <c r="CH37" s="54"/>
      <c r="CI37" s="55"/>
      <c r="CJ37" s="54"/>
      <c r="CK37" s="55"/>
      <c r="CL37" s="54"/>
      <c r="CM37" s="55"/>
      <c r="CN37" s="54"/>
      <c r="CO37" s="55"/>
      <c r="CR37" s="54"/>
      <c r="CS37" s="55"/>
    </row>
    <row r="38" spans="1:97" s="4" customFormat="1" ht="1.05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54"/>
      <c r="BY38" s="55"/>
      <c r="BZ38" s="54"/>
      <c r="CA38" s="55"/>
      <c r="CB38" s="42"/>
      <c r="CC38" s="18"/>
      <c r="CD38" s="42"/>
      <c r="CE38" s="18"/>
      <c r="CF38" s="54"/>
      <c r="CG38" s="55"/>
      <c r="CH38" s="54"/>
      <c r="CI38" s="55"/>
      <c r="CJ38" s="54"/>
      <c r="CK38" s="55"/>
      <c r="CL38" s="54"/>
      <c r="CM38" s="55"/>
      <c r="CN38" s="54"/>
      <c r="CO38" s="55"/>
      <c r="CR38" s="54"/>
      <c r="CS38" s="55"/>
    </row>
    <row r="39" spans="1:97" s="4" customFormat="1" ht="1.05" customHeight="1" x14ac:dyDescent="0.45">
      <c r="A39" s="561"/>
      <c r="B39" s="1195"/>
      <c r="C39" s="25"/>
      <c r="D39" s="26"/>
      <c r="E39" s="26"/>
      <c r="F39" s="61"/>
      <c r="G39" s="41"/>
      <c r="H39" s="365"/>
      <c r="I39" s="358"/>
      <c r="J39" s="365"/>
      <c r="K39" s="358"/>
      <c r="L39" s="61"/>
      <c r="M39" s="41"/>
      <c r="N39" s="365"/>
      <c r="O39" s="358"/>
      <c r="P39" s="365"/>
      <c r="Q39" s="358"/>
      <c r="R39" s="61"/>
      <c r="S39" s="41"/>
      <c r="T39" s="365"/>
      <c r="U39" s="358"/>
      <c r="V39" s="365"/>
      <c r="W39" s="358"/>
      <c r="X39" s="61"/>
      <c r="Y39" s="41"/>
      <c r="Z39" s="365"/>
      <c r="AA39" s="358"/>
      <c r="AB39" s="365"/>
      <c r="AC39" s="358"/>
      <c r="AD39" s="365"/>
      <c r="AE39" s="358"/>
      <c r="AF39" s="365"/>
      <c r="AG39" s="358"/>
      <c r="AH39" s="365"/>
      <c r="AI39" s="358"/>
      <c r="AJ39" s="365"/>
      <c r="AK39" s="358"/>
      <c r="AL39" s="365"/>
      <c r="AM39" s="358"/>
      <c r="AN39" s="365"/>
      <c r="AO39" s="358"/>
      <c r="AP39" s="365"/>
      <c r="AQ39" s="358"/>
      <c r="AR39" s="365"/>
      <c r="AS39" s="358"/>
      <c r="AT39" s="365"/>
      <c r="AU39" s="358"/>
      <c r="AV39" s="365"/>
      <c r="AW39" s="358"/>
      <c r="AX39" s="365"/>
      <c r="AY39" s="358"/>
      <c r="AZ39" s="365"/>
      <c r="BA39" s="358"/>
      <c r="BB39" s="365"/>
      <c r="BC39" s="358"/>
      <c r="BD39" s="365"/>
      <c r="BE39" s="358"/>
      <c r="BF39" s="365"/>
      <c r="BG39" s="358"/>
      <c r="BH39" s="365"/>
      <c r="BI39" s="358"/>
      <c r="BJ39" s="365"/>
      <c r="BK39" s="358"/>
      <c r="BL39" s="365"/>
      <c r="BM39" s="358"/>
      <c r="BN39" s="553"/>
      <c r="BO39" s="358"/>
      <c r="BP39" s="858"/>
      <c r="BQ39" s="859">
        <f t="shared" ref="BQ39" si="233">500/(7.34*3850)</f>
        <v>1.7693478183941399E-2</v>
      </c>
      <c r="BR39" s="365"/>
      <c r="BS39" s="358"/>
      <c r="BT39" s="858"/>
      <c r="BU39" s="859"/>
      <c r="BV39" s="858"/>
      <c r="BW39" s="859"/>
      <c r="BX39" s="365"/>
      <c r="BY39" s="358"/>
      <c r="BZ39" s="365"/>
      <c r="CA39" s="358"/>
      <c r="CB39" s="42"/>
      <c r="CC39" s="18"/>
      <c r="CD39" s="42"/>
      <c r="CE39" s="18"/>
      <c r="CF39" s="61"/>
      <c r="CG39" s="41"/>
      <c r="CH39" s="365"/>
      <c r="CI39" s="358"/>
      <c r="CJ39" s="365"/>
      <c r="CK39" s="358"/>
      <c r="CL39" s="365"/>
      <c r="CM39" s="358"/>
      <c r="CN39" s="365"/>
      <c r="CO39" s="358"/>
      <c r="CR39" s="61"/>
      <c r="CS39" s="41"/>
    </row>
    <row r="40" spans="1:97" s="4" customFormat="1" ht="1.05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364"/>
      <c r="I40" s="360"/>
      <c r="J40" s="364"/>
      <c r="K40" s="360"/>
      <c r="L40" s="60"/>
      <c r="M40" s="43"/>
      <c r="N40" s="364"/>
      <c r="O40" s="360"/>
      <c r="P40" s="364"/>
      <c r="Q40" s="360"/>
      <c r="R40" s="60"/>
      <c r="S40" s="43"/>
      <c r="T40" s="364"/>
      <c r="U40" s="360"/>
      <c r="V40" s="364"/>
      <c r="W40" s="360"/>
      <c r="X40" s="60"/>
      <c r="Y40" s="43"/>
      <c r="Z40" s="364"/>
      <c r="AA40" s="360"/>
      <c r="AB40" s="364"/>
      <c r="AC40" s="360"/>
      <c r="AD40" s="364"/>
      <c r="AE40" s="360"/>
      <c r="AF40" s="364"/>
      <c r="AG40" s="360"/>
      <c r="AH40" s="364"/>
      <c r="AI40" s="360"/>
      <c r="AJ40" s="364"/>
      <c r="AK40" s="360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364"/>
      <c r="BY40" s="360"/>
      <c r="BZ40" s="364"/>
      <c r="CA40" s="360"/>
      <c r="CB40" s="60"/>
      <c r="CC40" s="43"/>
      <c r="CD40" s="60"/>
      <c r="CE40" s="43"/>
      <c r="CF40" s="60"/>
      <c r="CG40" s="43"/>
      <c r="CH40" s="364"/>
      <c r="CI40" s="360"/>
      <c r="CJ40" s="364"/>
      <c r="CK40" s="360"/>
      <c r="CL40" s="364"/>
      <c r="CM40" s="360"/>
      <c r="CN40" s="364"/>
      <c r="CO40" s="360"/>
      <c r="CR40" s="60"/>
      <c r="CS40" s="43"/>
    </row>
    <row r="41" spans="1:97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643.53482899300911</v>
      </c>
      <c r="G41" s="24">
        <f>G42-G54</f>
        <v>0.15816874081221033</v>
      </c>
      <c r="H41" s="430">
        <f>H42-I54*H12</f>
        <v>637.34937444755383</v>
      </c>
      <c r="I41" s="24">
        <f>I42-I54</f>
        <v>0.15664847258005188</v>
      </c>
      <c r="J41" s="430">
        <f>J42-K54*J12</f>
        <v>637.34937444755383</v>
      </c>
      <c r="K41" s="24">
        <f>K42-K54</f>
        <v>0.15664847258005188</v>
      </c>
      <c r="L41" s="430">
        <f>L42-M54*L12</f>
        <v>643.53482899300911</v>
      </c>
      <c r="M41" s="24">
        <f>M42-M54</f>
        <v>0.15816874081221033</v>
      </c>
      <c r="N41" s="430">
        <f>N42-O54*N12</f>
        <v>637.34937444755383</v>
      </c>
      <c r="O41" s="24">
        <f>O42-O54</f>
        <v>0.15664847258005188</v>
      </c>
      <c r="P41" s="430">
        <f>P42-Q54*P12</f>
        <v>637.34937444755383</v>
      </c>
      <c r="Q41" s="24">
        <f>Q42-Q54</f>
        <v>0.15664847258005188</v>
      </c>
      <c r="R41" s="430">
        <f>R42-S54*R12</f>
        <v>643.53482899300911</v>
      </c>
      <c r="S41" s="24">
        <f>S42-S54</f>
        <v>0.15816874081221033</v>
      </c>
      <c r="T41" s="430">
        <f>T42-U54*T12</f>
        <v>637.34937444755383</v>
      </c>
      <c r="U41" s="24">
        <f>U42-U54</f>
        <v>0.15664847258005188</v>
      </c>
      <c r="V41" s="430">
        <f>V42-W54*V12</f>
        <v>637.34937444755383</v>
      </c>
      <c r="W41" s="24">
        <f>W42-W54</f>
        <v>0.15664847258005188</v>
      </c>
      <c r="X41" s="430">
        <f>X42-Y54*X12</f>
        <v>643.53482899300911</v>
      </c>
      <c r="Y41" s="24">
        <f>Y42-Y54</f>
        <v>0.15816874081221033</v>
      </c>
      <c r="Z41" s="430">
        <f>Z42-AA54*Z12</f>
        <v>637.34937444755383</v>
      </c>
      <c r="AA41" s="24">
        <f>AA42-AA54</f>
        <v>0.15664847258005188</v>
      </c>
      <c r="AB41" s="430">
        <f>AB42-AC54*AB12</f>
        <v>637.34937444755383</v>
      </c>
      <c r="AC41" s="24">
        <f>AC42-AC54</f>
        <v>0.15664847258005188</v>
      </c>
      <c r="AD41" s="430">
        <f t="shared" ref="AD41" si="234">AD42-AE54*AD12</f>
        <v>412.63073537858872</v>
      </c>
      <c r="AE41" s="24">
        <f t="shared" ref="AE41" si="235">AE42-AE54</f>
        <v>0.10141686338464967</v>
      </c>
      <c r="AF41" s="430">
        <f t="shared" ref="AF41" si="236">AF42-AG54*AF12</f>
        <v>378.99646263105933</v>
      </c>
      <c r="AG41" s="24">
        <f t="shared" ref="AG41" si="237">AG42-AG54</f>
        <v>9.3150192601755721E-2</v>
      </c>
      <c r="AH41" s="430">
        <f t="shared" ref="AH41" si="238">AH42-AI54*AH12</f>
        <v>637.34937444755406</v>
      </c>
      <c r="AI41" s="24">
        <f t="shared" ref="AI41" si="239">AI42-AI54</f>
        <v>0.15664847258005193</v>
      </c>
      <c r="AJ41" s="430">
        <f t="shared" ref="AJ41" si="240">AJ42-AK54*AJ12</f>
        <v>637.34937444755406</v>
      </c>
      <c r="AK41" s="24">
        <f t="shared" ref="AK41" si="241">AK42-AK54</f>
        <v>0.15664847258005193</v>
      </c>
      <c r="AL41" s="430">
        <f t="shared" ref="AL41" si="242">AL42-AM54*AL12</f>
        <v>637.34937444755406</v>
      </c>
      <c r="AM41" s="24">
        <f t="shared" ref="AM41" si="243">AM42-AM54</f>
        <v>0.15664847258005193</v>
      </c>
      <c r="AN41" s="430">
        <f t="shared" ref="AN41" si="244">AN42-AO54*AN12</f>
        <v>637.34937444755406</v>
      </c>
      <c r="AO41" s="24">
        <f t="shared" ref="AO41" si="245">AO42-AO54</f>
        <v>0.15664847258005193</v>
      </c>
      <c r="AP41" s="430">
        <f t="shared" ref="AP41" si="246">AP42-AQ54*AP12</f>
        <v>637.34937444755406</v>
      </c>
      <c r="AQ41" s="24">
        <f t="shared" ref="AQ41" si="247">AQ42-AQ54</f>
        <v>0.15664847258005193</v>
      </c>
      <c r="AR41" s="430">
        <f t="shared" ref="AR41" si="248">AR42-AS54*AR12</f>
        <v>637.34937444755406</v>
      </c>
      <c r="AS41" s="24">
        <f t="shared" ref="AS41:AY41" si="249">AS42-AS54</f>
        <v>0.15664847258005193</v>
      </c>
      <c r="AT41" s="430">
        <f t="shared" ref="AT41" si="250">AT42-AU54*AT12</f>
        <v>637.34937444755406</v>
      </c>
      <c r="AU41" s="24">
        <f t="shared" si="249"/>
        <v>0.15664847258005193</v>
      </c>
      <c r="AV41" s="430">
        <f t="shared" ref="AV41" si="251">AV42-AW54*AV12</f>
        <v>637.34937444755406</v>
      </c>
      <c r="AW41" s="24">
        <f t="shared" si="249"/>
        <v>0.15664847258005193</v>
      </c>
      <c r="AX41" s="430">
        <f t="shared" ref="AX41" si="252">AX42-AY54*AX12</f>
        <v>636.80293137784247</v>
      </c>
      <c r="AY41" s="24">
        <f t="shared" si="249"/>
        <v>0.15651416716507216</v>
      </c>
      <c r="AZ41" s="430">
        <f t="shared" ref="AZ41" si="253">AZ42-BA54*AZ12</f>
        <v>636.80293137784247</v>
      </c>
      <c r="BA41" s="24">
        <f t="shared" ref="BA41:BC41" si="254">BA42-BA54</f>
        <v>0.15651416716507216</v>
      </c>
      <c r="BB41" s="430">
        <f t="shared" ref="BB41" si="255">BB42-BC54*BB12</f>
        <v>636.80293137784247</v>
      </c>
      <c r="BC41" s="24">
        <f t="shared" si="254"/>
        <v>0.15651416716507216</v>
      </c>
      <c r="BD41" s="430">
        <f t="shared" ref="BD41" si="256">BD42-BE54*BD12</f>
        <v>636.80293137784247</v>
      </c>
      <c r="BE41" s="24">
        <f t="shared" ref="BE41:BG41" si="257">BE42-BE54</f>
        <v>0.15651416716507216</v>
      </c>
      <c r="BF41" s="430">
        <f t="shared" ref="BF41" si="258">BF42-BG54*BF12</f>
        <v>636.80293137784247</v>
      </c>
      <c r="BG41" s="24">
        <f t="shared" si="257"/>
        <v>0.15651416716507216</v>
      </c>
      <c r="BH41" s="430">
        <f t="shared" ref="BH41" si="259">BH42-BI54*BH12</f>
        <v>636.80293137784247</v>
      </c>
      <c r="BI41" s="24">
        <f t="shared" ref="BI41:BK41" si="260">BI42-BI54</f>
        <v>0.15651416716507216</v>
      </c>
      <c r="BJ41" s="430">
        <f t="shared" ref="BJ41" si="261">BJ42-BK54*BJ12</f>
        <v>636.80293137784247</v>
      </c>
      <c r="BK41" s="24">
        <f t="shared" si="260"/>
        <v>0.15651416716507216</v>
      </c>
      <c r="BL41" s="430">
        <f t="shared" ref="BL41" si="262">BL42-BM54*BL12</f>
        <v>636.80293137784247</v>
      </c>
      <c r="BM41" s="24">
        <f t="shared" ref="BM41" si="263">BM42-BM54</f>
        <v>0.15651416716507216</v>
      </c>
      <c r="BN41" s="430">
        <f>BN42-BO54*BN12</f>
        <v>576.2571053207871</v>
      </c>
      <c r="BO41" s="24">
        <f t="shared" ref="BO41" si="264">BO42-BO54</f>
        <v>0.141633143423335</v>
      </c>
      <c r="BP41" s="430">
        <f>BP42-BQ54*BP12</f>
        <v>643.26901643182191</v>
      </c>
      <c r="BQ41" s="24">
        <f>BQ42-BQ54</f>
        <v>0.15810340909090981</v>
      </c>
      <c r="BR41" s="430">
        <f t="shared" ref="BR41" si="265">BR42-BS54*BR12</f>
        <v>643.26901643182191</v>
      </c>
      <c r="BS41" s="24">
        <f t="shared" ref="BS41" si="266">BS42-BS54</f>
        <v>0.15810340909090981</v>
      </c>
      <c r="BT41" s="430">
        <f>BT42-BU54*BT12</f>
        <v>640.62102490289635</v>
      </c>
      <c r="BU41" s="24">
        <f>BU42-BU54</f>
        <v>0.1574525826446288</v>
      </c>
      <c r="BV41" s="430">
        <f>BV42-BW54*BV12</f>
        <v>640.62102490289635</v>
      </c>
      <c r="BW41" s="24">
        <f>BW42-BW54</f>
        <v>0.1574525826446288</v>
      </c>
      <c r="BX41" s="430">
        <f>BX42-BY54*BX12</f>
        <v>641.52972831068018</v>
      </c>
      <c r="BY41" s="24">
        <f>BY42-BY54</f>
        <v>0.1576759248279973</v>
      </c>
      <c r="BZ41" s="430">
        <f>BZ42-CA54*BZ12</f>
        <v>642.98143539822922</v>
      </c>
      <c r="CA41" s="24">
        <f>CA42-CA54</f>
        <v>0.15803272708907323</v>
      </c>
      <c r="CB41" s="430">
        <f>CB42-CC54*CB12</f>
        <v>578.11959818182186</v>
      </c>
      <c r="CC41" s="24">
        <f>CC42-CC54</f>
        <v>0.14209090909090982</v>
      </c>
      <c r="CD41" s="430">
        <f>CD42-CE54*CD12</f>
        <v>578.11959818182186</v>
      </c>
      <c r="CE41" s="24">
        <f>CE42-CE54</f>
        <v>0.14209090909090982</v>
      </c>
      <c r="CF41" s="430">
        <f>CF42-CG54*CF12</f>
        <v>324.78654558680705</v>
      </c>
      <c r="CG41" s="24">
        <f>CG42-CG54</f>
        <v>7.9826415966635145E-2</v>
      </c>
      <c r="CH41" s="430">
        <f>CH42-CI54*CH12</f>
        <v>326.98400342368245</v>
      </c>
      <c r="CI41" s="24">
        <f>CI42-CI54</f>
        <v>8.0366509716635226E-2</v>
      </c>
      <c r="CJ41" s="430">
        <f>CJ42-CK54*CJ12</f>
        <v>516.75332195044507</v>
      </c>
      <c r="CK41" s="24">
        <f>CK42-CK54</f>
        <v>0.12700823414845264</v>
      </c>
      <c r="CL41" s="430">
        <f>CL42-CM54*CL12</f>
        <v>516.75332195044507</v>
      </c>
      <c r="CM41" s="24">
        <f>CM42-CM54</f>
        <v>0.12700823414845264</v>
      </c>
      <c r="CN41" s="430">
        <f t="shared" ref="CN41" si="267">CN42-CO54*CN12</f>
        <v>324.78654558680705</v>
      </c>
      <c r="CO41" s="24">
        <f>CO42-CO54</f>
        <v>7.9826415966635145E-2</v>
      </c>
      <c r="CR41" s="430">
        <f t="shared" ref="CR41" si="268">CR42-CS54*CR12</f>
        <v>790.15226590909242</v>
      </c>
      <c r="CS41" s="24">
        <f t="shared" ref="CS41" si="269">CS42-CS54</f>
        <v>0.19420454545454602</v>
      </c>
    </row>
    <row r="42" spans="1:97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BM42" si="270">F32-F32/1.1</f>
        <v>2225.4545454545478</v>
      </c>
      <c r="G42" s="24">
        <f t="shared" si="270"/>
        <v>0.54697481368670431</v>
      </c>
      <c r="H42" s="42">
        <f t="shared" si="270"/>
        <v>2219.2690909090925</v>
      </c>
      <c r="I42" s="24">
        <f t="shared" si="270"/>
        <v>0.54545454545454586</v>
      </c>
      <c r="J42" s="42">
        <f t="shared" si="270"/>
        <v>2219.2690909090925</v>
      </c>
      <c r="K42" s="24">
        <f t="shared" si="270"/>
        <v>0.54545454545454586</v>
      </c>
      <c r="L42" s="42">
        <f t="shared" si="270"/>
        <v>2225.4545454545478</v>
      </c>
      <c r="M42" s="24">
        <f t="shared" si="270"/>
        <v>0.54697481368670431</v>
      </c>
      <c r="N42" s="42">
        <f t="shared" si="270"/>
        <v>2219.2690909090925</v>
      </c>
      <c r="O42" s="24">
        <f t="shared" si="270"/>
        <v>0.54545454545454586</v>
      </c>
      <c r="P42" s="42">
        <f t="shared" si="270"/>
        <v>2219.2690909090925</v>
      </c>
      <c r="Q42" s="24">
        <f t="shared" si="270"/>
        <v>0.54545454545454586</v>
      </c>
      <c r="R42" s="42">
        <f t="shared" si="270"/>
        <v>2225.4545454545478</v>
      </c>
      <c r="S42" s="24">
        <f t="shared" si="270"/>
        <v>0.54697481368670431</v>
      </c>
      <c r="T42" s="42">
        <f t="shared" si="270"/>
        <v>2219.2690909090925</v>
      </c>
      <c r="U42" s="24">
        <f t="shared" si="270"/>
        <v>0.54545454545454586</v>
      </c>
      <c r="V42" s="42">
        <f t="shared" si="270"/>
        <v>2219.2690909090925</v>
      </c>
      <c r="W42" s="24">
        <f t="shared" si="270"/>
        <v>0.54545454545454586</v>
      </c>
      <c r="X42" s="42">
        <f t="shared" si="270"/>
        <v>2225.4545454545478</v>
      </c>
      <c r="Y42" s="24">
        <f t="shared" si="270"/>
        <v>0.54697481368670431</v>
      </c>
      <c r="Z42" s="42">
        <f t="shared" si="270"/>
        <v>2219.2690909090925</v>
      </c>
      <c r="AA42" s="24">
        <f t="shared" si="270"/>
        <v>0.54545454545454586</v>
      </c>
      <c r="AB42" s="42">
        <f t="shared" si="270"/>
        <v>2219.2690909090925</v>
      </c>
      <c r="AC42" s="24">
        <f t="shared" si="270"/>
        <v>0.54545454545454586</v>
      </c>
      <c r="AD42" s="42">
        <f t="shared" si="270"/>
        <v>2219.2690909090925</v>
      </c>
      <c r="AE42" s="24">
        <f t="shared" si="270"/>
        <v>0.54545454545454586</v>
      </c>
      <c r="AF42" s="42">
        <f t="shared" si="270"/>
        <v>2219.2690909090925</v>
      </c>
      <c r="AG42" s="24">
        <f t="shared" si="270"/>
        <v>0.54545454545454586</v>
      </c>
      <c r="AH42" s="42">
        <f t="shared" si="270"/>
        <v>2219.2690909090925</v>
      </c>
      <c r="AI42" s="24">
        <f t="shared" si="270"/>
        <v>0.54545454545454586</v>
      </c>
      <c r="AJ42" s="42">
        <f t="shared" si="270"/>
        <v>2219.2690909090925</v>
      </c>
      <c r="AK42" s="24">
        <f t="shared" si="270"/>
        <v>0.54545454545454586</v>
      </c>
      <c r="AL42" s="42">
        <f t="shared" si="270"/>
        <v>2219.2690909090925</v>
      </c>
      <c r="AM42" s="24">
        <f t="shared" si="270"/>
        <v>0.54545454545454586</v>
      </c>
      <c r="AN42" s="42">
        <f t="shared" si="270"/>
        <v>2219.2690909090925</v>
      </c>
      <c r="AO42" s="24">
        <f t="shared" si="270"/>
        <v>0.54545454545454586</v>
      </c>
      <c r="AP42" s="42">
        <f t="shared" si="270"/>
        <v>2219.2690909090925</v>
      </c>
      <c r="AQ42" s="24">
        <f t="shared" si="270"/>
        <v>0.54545454545454586</v>
      </c>
      <c r="AR42" s="42">
        <f t="shared" si="270"/>
        <v>2219.2690909090925</v>
      </c>
      <c r="AS42" s="24">
        <f t="shared" si="270"/>
        <v>0.54545454545454586</v>
      </c>
      <c r="AT42" s="42">
        <f t="shared" si="270"/>
        <v>2219.2690909090925</v>
      </c>
      <c r="AU42" s="24">
        <f t="shared" si="270"/>
        <v>0.54545454545454586</v>
      </c>
      <c r="AV42" s="42">
        <f t="shared" si="270"/>
        <v>2219.2690909090925</v>
      </c>
      <c r="AW42" s="24">
        <f t="shared" si="270"/>
        <v>0.54545454545454586</v>
      </c>
      <c r="AX42" s="42">
        <f t="shared" si="270"/>
        <v>2219.2690909090925</v>
      </c>
      <c r="AY42" s="24">
        <f t="shared" si="270"/>
        <v>0.54545454545454586</v>
      </c>
      <c r="AZ42" s="42">
        <f t="shared" si="270"/>
        <v>2219.2690909090925</v>
      </c>
      <c r="BA42" s="24">
        <f t="shared" si="270"/>
        <v>0.54545454545454586</v>
      </c>
      <c r="BB42" s="42">
        <f t="shared" si="270"/>
        <v>2219.2690909090925</v>
      </c>
      <c r="BC42" s="24">
        <f t="shared" si="270"/>
        <v>0.54545454545454586</v>
      </c>
      <c r="BD42" s="42">
        <f t="shared" si="270"/>
        <v>2219.2690909090925</v>
      </c>
      <c r="BE42" s="24">
        <f t="shared" si="270"/>
        <v>0.54545454545454586</v>
      </c>
      <c r="BF42" s="42">
        <f t="shared" si="270"/>
        <v>2219.2690909090925</v>
      </c>
      <c r="BG42" s="24">
        <f t="shared" si="270"/>
        <v>0.54545454545454586</v>
      </c>
      <c r="BH42" s="42">
        <f t="shared" si="270"/>
        <v>2219.2690909090925</v>
      </c>
      <c r="BI42" s="24">
        <f t="shared" si="270"/>
        <v>0.54545454545454586</v>
      </c>
      <c r="BJ42" s="42">
        <f t="shared" si="270"/>
        <v>2219.2690909090925</v>
      </c>
      <c r="BK42" s="24">
        <f t="shared" si="270"/>
        <v>0.54545454545454586</v>
      </c>
      <c r="BL42" s="42">
        <f t="shared" si="270"/>
        <v>2219.2690909090925</v>
      </c>
      <c r="BM42" s="24">
        <f t="shared" si="270"/>
        <v>0.54545454545454586</v>
      </c>
      <c r="BN42" s="42">
        <f t="shared" ref="BN42:BW42" si="271">BN32-BN32/1.1</f>
        <v>2885.049818181822</v>
      </c>
      <c r="BO42" s="24">
        <f t="shared" si="271"/>
        <v>0.70909090909090988</v>
      </c>
      <c r="BP42" s="42">
        <f t="shared" si="271"/>
        <v>2885.049818181822</v>
      </c>
      <c r="BQ42" s="24">
        <f t="shared" si="271"/>
        <v>0.70909090909090988</v>
      </c>
      <c r="BR42" s="710">
        <f t="shared" si="271"/>
        <v>2885.049818181822</v>
      </c>
      <c r="BS42" s="24">
        <f t="shared" si="271"/>
        <v>0.70909090909090988</v>
      </c>
      <c r="BT42" s="42">
        <f t="shared" si="271"/>
        <v>2885.049818181822</v>
      </c>
      <c r="BU42" s="24">
        <f t="shared" si="271"/>
        <v>0.70909090909090988</v>
      </c>
      <c r="BV42" s="42">
        <f t="shared" si="271"/>
        <v>2885.049818181822</v>
      </c>
      <c r="BW42" s="24">
        <f t="shared" si="271"/>
        <v>0.70909090909090988</v>
      </c>
      <c r="BX42" s="42">
        <f t="shared" ref="BX42:CA42" si="272">BX32-BX32/1.1</f>
        <v>2885.049818181822</v>
      </c>
      <c r="BY42" s="24">
        <f t="shared" si="272"/>
        <v>0.70909090909090988</v>
      </c>
      <c r="BZ42" s="42">
        <f t="shared" si="272"/>
        <v>2885.049818181822</v>
      </c>
      <c r="CA42" s="24">
        <f t="shared" si="272"/>
        <v>0.70909090909090988</v>
      </c>
      <c r="CB42" s="42">
        <f>CB32-CB32/1.1</f>
        <v>2885.049818181822</v>
      </c>
      <c r="CC42" s="24">
        <f>CC32-CC32/1.1</f>
        <v>0.70909090909090988</v>
      </c>
      <c r="CD42" s="42">
        <f t="shared" ref="CD42" si="273">CD32-CD32/1.1</f>
        <v>2885.049818181822</v>
      </c>
      <c r="CE42" s="24">
        <f>CE32-CE32/1.1</f>
        <v>0.70909090909090988</v>
      </c>
      <c r="CF42" s="42">
        <f>CF32-CF32/1.1</f>
        <v>1756.9213636363638</v>
      </c>
      <c r="CG42" s="24">
        <f>CG32-CG32/1.1</f>
        <v>0.43181818181818254</v>
      </c>
      <c r="CH42" s="42">
        <f>CH32-CH32/1.1</f>
        <v>1756.9213636363638</v>
      </c>
      <c r="CI42" s="24">
        <f>CI32-CI32/1.1</f>
        <v>0.43181818181818254</v>
      </c>
      <c r="CJ42" s="42">
        <f t="shared" ref="CJ42:CM42" si="274">CJ32-CJ32/1.1</f>
        <v>2034.3300000000017</v>
      </c>
      <c r="CK42" s="24">
        <f t="shared" si="274"/>
        <v>0.5</v>
      </c>
      <c r="CL42" s="42">
        <f t="shared" si="274"/>
        <v>2034.3300000000017</v>
      </c>
      <c r="CM42" s="24">
        <f t="shared" si="274"/>
        <v>0.5</v>
      </c>
      <c r="CN42" s="42">
        <f>CN32-CN32/1.1</f>
        <v>1756.9213636363638</v>
      </c>
      <c r="CO42" s="24">
        <f>CO32-CO32/1.1</f>
        <v>0.43181818181818254</v>
      </c>
      <c r="CR42" s="42">
        <f t="shared" ref="CR42:CS42" si="275">CR32-CR32/1.1</f>
        <v>3033.0010909090925</v>
      </c>
      <c r="CS42" s="24">
        <f t="shared" si="275"/>
        <v>0.74545454545454604</v>
      </c>
    </row>
    <row r="43" spans="1:97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BM43" si="276">+F44/F32</f>
        <v>0.20232191983751535</v>
      </c>
      <c r="G43" s="48">
        <f t="shared" si="276"/>
        <v>0.20232191983751549</v>
      </c>
      <c r="H43" s="361">
        <f t="shared" si="276"/>
        <v>0.20035204269414789</v>
      </c>
      <c r="I43" s="362">
        <f t="shared" si="276"/>
        <v>0.20035204269414789</v>
      </c>
      <c r="J43" s="361">
        <f t="shared" si="276"/>
        <v>0.20035204269414789</v>
      </c>
      <c r="K43" s="362">
        <f t="shared" si="276"/>
        <v>0.20035204269414789</v>
      </c>
      <c r="L43" s="47">
        <f t="shared" si="276"/>
        <v>0.20232191983751535</v>
      </c>
      <c r="M43" s="48">
        <f t="shared" si="276"/>
        <v>0.20232191983751549</v>
      </c>
      <c r="N43" s="361">
        <f t="shared" si="276"/>
        <v>0.20035204269414789</v>
      </c>
      <c r="O43" s="362">
        <f t="shared" si="276"/>
        <v>0.20035204269414789</v>
      </c>
      <c r="P43" s="361">
        <f t="shared" si="276"/>
        <v>0.20035204269414789</v>
      </c>
      <c r="Q43" s="362">
        <f t="shared" si="276"/>
        <v>0.20035204269414789</v>
      </c>
      <c r="R43" s="47">
        <f t="shared" si="276"/>
        <v>0.20232191983751535</v>
      </c>
      <c r="S43" s="48">
        <f t="shared" si="276"/>
        <v>0.20232191983751549</v>
      </c>
      <c r="T43" s="361">
        <f t="shared" si="276"/>
        <v>0.20035204269414789</v>
      </c>
      <c r="U43" s="362">
        <f t="shared" si="276"/>
        <v>0.20035204269414789</v>
      </c>
      <c r="V43" s="361">
        <f t="shared" si="276"/>
        <v>0.20035204269414789</v>
      </c>
      <c r="W43" s="362">
        <f t="shared" si="276"/>
        <v>0.20035204269414789</v>
      </c>
      <c r="X43" s="47">
        <f t="shared" si="276"/>
        <v>0.20232191983751535</v>
      </c>
      <c r="Y43" s="48">
        <f t="shared" si="276"/>
        <v>0.20232191983751549</v>
      </c>
      <c r="Z43" s="361">
        <f t="shared" si="276"/>
        <v>0.20035204269414789</v>
      </c>
      <c r="AA43" s="362">
        <f t="shared" si="276"/>
        <v>0.20035204269414789</v>
      </c>
      <c r="AB43" s="361">
        <f t="shared" si="276"/>
        <v>0.20035204269414789</v>
      </c>
      <c r="AC43" s="362">
        <f t="shared" si="276"/>
        <v>0.20035204269414789</v>
      </c>
      <c r="AD43" s="361">
        <f t="shared" si="276"/>
        <v>0.10829936070181079</v>
      </c>
      <c r="AE43" s="362">
        <f t="shared" si="276"/>
        <v>0.10829936070181075</v>
      </c>
      <c r="AF43" s="361">
        <f t="shared" si="276"/>
        <v>9.4521576063654245E-2</v>
      </c>
      <c r="AG43" s="362">
        <f t="shared" si="276"/>
        <v>9.4521576063654231E-2</v>
      </c>
      <c r="AH43" s="361">
        <f t="shared" si="276"/>
        <v>0.200352042694148</v>
      </c>
      <c r="AI43" s="362">
        <f t="shared" si="276"/>
        <v>0.20035204269414805</v>
      </c>
      <c r="AJ43" s="361">
        <f t="shared" si="276"/>
        <v>0.200352042694148</v>
      </c>
      <c r="AK43" s="362">
        <f t="shared" si="276"/>
        <v>0.20035204269414805</v>
      </c>
      <c r="AL43" s="361">
        <f t="shared" si="276"/>
        <v>0.200352042694148</v>
      </c>
      <c r="AM43" s="362">
        <f t="shared" si="276"/>
        <v>0.20035204269414805</v>
      </c>
      <c r="AN43" s="361">
        <f t="shared" si="276"/>
        <v>0.200352042694148</v>
      </c>
      <c r="AO43" s="362">
        <f t="shared" si="276"/>
        <v>0.20035204269414805</v>
      </c>
      <c r="AP43" s="361">
        <f t="shared" si="276"/>
        <v>0.200352042694148</v>
      </c>
      <c r="AQ43" s="362">
        <f t="shared" si="276"/>
        <v>0.20035204269414805</v>
      </c>
      <c r="AR43" s="361">
        <f t="shared" si="276"/>
        <v>0.200352042694148</v>
      </c>
      <c r="AS43" s="362">
        <f t="shared" si="276"/>
        <v>0.20035204269414805</v>
      </c>
      <c r="AT43" s="361">
        <f t="shared" si="276"/>
        <v>0.200352042694148</v>
      </c>
      <c r="AU43" s="362">
        <f t="shared" si="276"/>
        <v>0.20035204269414805</v>
      </c>
      <c r="AV43" s="361">
        <f t="shared" si="276"/>
        <v>0.200352042694148</v>
      </c>
      <c r="AW43" s="362">
        <f t="shared" si="276"/>
        <v>0.20035204269414805</v>
      </c>
      <c r="AX43" s="361">
        <f t="shared" si="276"/>
        <v>0.19917931369617214</v>
      </c>
      <c r="AY43" s="362">
        <f t="shared" si="276"/>
        <v>0.19917931369617223</v>
      </c>
      <c r="AZ43" s="361">
        <f t="shared" si="276"/>
        <v>0.19917931369617214</v>
      </c>
      <c r="BA43" s="362">
        <f t="shared" si="276"/>
        <v>0.19917931369617223</v>
      </c>
      <c r="BB43" s="361">
        <f t="shared" si="276"/>
        <v>0.19917931369617214</v>
      </c>
      <c r="BC43" s="362">
        <f t="shared" si="276"/>
        <v>0.19917931369617223</v>
      </c>
      <c r="BD43" s="361">
        <f t="shared" si="276"/>
        <v>0.19917931369617214</v>
      </c>
      <c r="BE43" s="362">
        <f t="shared" si="276"/>
        <v>0.19917931369617223</v>
      </c>
      <c r="BF43" s="361">
        <f t="shared" si="276"/>
        <v>0.19917931369617214</v>
      </c>
      <c r="BG43" s="362">
        <f t="shared" si="276"/>
        <v>0.19917931369617223</v>
      </c>
      <c r="BH43" s="361">
        <f t="shared" si="276"/>
        <v>0.19917931369617214</v>
      </c>
      <c r="BI43" s="362">
        <f t="shared" si="276"/>
        <v>0.19917931369617223</v>
      </c>
      <c r="BJ43" s="361">
        <f t="shared" si="276"/>
        <v>0.19917931369617214</v>
      </c>
      <c r="BK43" s="362">
        <f t="shared" si="276"/>
        <v>0.19917931369617223</v>
      </c>
      <c r="BL43" s="361">
        <f t="shared" si="276"/>
        <v>0.19917931369617214</v>
      </c>
      <c r="BM43" s="362">
        <f t="shared" si="276"/>
        <v>0.19917931369617223</v>
      </c>
      <c r="BN43" s="361">
        <f t="shared" ref="BN43:CI43" si="277">+BN44/BN32</f>
        <v>0.11870105371467769</v>
      </c>
      <c r="BO43" s="362">
        <f t="shared" si="277"/>
        <v>0.11870105371467771</v>
      </c>
      <c r="BP43" s="361">
        <f t="shared" si="277"/>
        <v>0.14500437062937049</v>
      </c>
      <c r="BQ43" s="362">
        <f t="shared" si="277"/>
        <v>0.14500437062937052</v>
      </c>
      <c r="BR43" s="361">
        <f t="shared" si="277"/>
        <v>0.14500437062937049</v>
      </c>
      <c r="BS43" s="362">
        <f t="shared" si="277"/>
        <v>0.14500437062937052</v>
      </c>
      <c r="BT43" s="361">
        <f t="shared" si="277"/>
        <v>0.14226279402415756</v>
      </c>
      <c r="BU43" s="362">
        <f t="shared" si="277"/>
        <v>0.14226279402415754</v>
      </c>
      <c r="BV43" s="361">
        <f t="shared" si="277"/>
        <v>0.14226279402415756</v>
      </c>
      <c r="BW43" s="362">
        <f t="shared" si="277"/>
        <v>0.14226279402415754</v>
      </c>
      <c r="BX43" s="361">
        <f t="shared" si="277"/>
        <v>0.14696707428376857</v>
      </c>
      <c r="BY43" s="362">
        <f t="shared" si="277"/>
        <v>0.14696707428376854</v>
      </c>
      <c r="BZ43" s="361">
        <f t="shared" si="277"/>
        <v>0.14300656895293221</v>
      </c>
      <c r="CA43" s="362">
        <f t="shared" si="277"/>
        <v>0.14300656895293223</v>
      </c>
      <c r="CB43" s="47">
        <f t="shared" si="277"/>
        <v>0.14050521603328953</v>
      </c>
      <c r="CC43" s="48">
        <f t="shared" si="277"/>
        <v>0.14050521603328955</v>
      </c>
      <c r="CD43" s="47">
        <f t="shared" si="277"/>
        <v>0.14050521603328953</v>
      </c>
      <c r="CE43" s="48">
        <f t="shared" si="277"/>
        <v>0.14050521603328955</v>
      </c>
      <c r="CF43" s="47">
        <f t="shared" si="277"/>
        <v>8.6050122749378746E-2</v>
      </c>
      <c r="CG43" s="48">
        <f t="shared" si="277"/>
        <v>8.6050122749378732E-2</v>
      </c>
      <c r="CH43" s="361">
        <f t="shared" si="277"/>
        <v>8.7187162223062983E-2</v>
      </c>
      <c r="CI43" s="362">
        <f t="shared" si="277"/>
        <v>8.7187162223062914E-2</v>
      </c>
      <c r="CJ43" s="361">
        <f t="shared" ref="CJ43:CM43" si="278">+CJ44/CJ32</f>
        <v>0.16010113906867826</v>
      </c>
      <c r="CK43" s="362">
        <f t="shared" si="278"/>
        <v>0.16010113906867832</v>
      </c>
      <c r="CL43" s="361">
        <f t="shared" si="278"/>
        <v>0.16010113906867826</v>
      </c>
      <c r="CM43" s="362">
        <f t="shared" si="278"/>
        <v>0.16010113906867832</v>
      </c>
      <c r="CN43" s="361">
        <f>+CN44/CN32</f>
        <v>8.6050122749378746E-2</v>
      </c>
      <c r="CO43" s="362">
        <f>+CO44/CO32</f>
        <v>8.6050122749378732E-2</v>
      </c>
      <c r="CR43" s="47">
        <f t="shared" ref="CR43:CS43" si="279">+CR44/CR32</f>
        <v>0.1453713968957869</v>
      </c>
      <c r="CS43" s="48">
        <f t="shared" si="279"/>
        <v>0.14537139689578693</v>
      </c>
    </row>
    <row r="44" spans="1:97" s="4" customFormat="1" ht="18" customHeight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BM44" si="280">+F32-F45-F41</f>
        <v>4952.8405976223758</v>
      </c>
      <c r="G44" s="24">
        <f t="shared" si="280"/>
        <v>1.2173149384864745</v>
      </c>
      <c r="H44" s="42">
        <f t="shared" si="280"/>
        <v>4890.9860521678302</v>
      </c>
      <c r="I44" s="24">
        <f t="shared" si="280"/>
        <v>1.2021122561648874</v>
      </c>
      <c r="J44" s="42">
        <f t="shared" si="280"/>
        <v>4890.9860521678302</v>
      </c>
      <c r="K44" s="24">
        <f t="shared" si="280"/>
        <v>1.2021122561648874</v>
      </c>
      <c r="L44" s="42">
        <f t="shared" si="280"/>
        <v>4952.8405976223758</v>
      </c>
      <c r="M44" s="24">
        <f t="shared" si="280"/>
        <v>1.2173149384864745</v>
      </c>
      <c r="N44" s="42">
        <f t="shared" si="280"/>
        <v>4890.9860521678302</v>
      </c>
      <c r="O44" s="24">
        <f t="shared" si="280"/>
        <v>1.2021122561648874</v>
      </c>
      <c r="P44" s="42">
        <f t="shared" si="280"/>
        <v>4890.9860521678302</v>
      </c>
      <c r="Q44" s="24">
        <f t="shared" si="280"/>
        <v>1.2021122561648874</v>
      </c>
      <c r="R44" s="42">
        <f t="shared" si="280"/>
        <v>4952.8405976223758</v>
      </c>
      <c r="S44" s="24">
        <f t="shared" si="280"/>
        <v>1.2173149384864745</v>
      </c>
      <c r="T44" s="42">
        <f t="shared" si="280"/>
        <v>4890.9860521678302</v>
      </c>
      <c r="U44" s="24">
        <f t="shared" si="280"/>
        <v>1.2021122561648874</v>
      </c>
      <c r="V44" s="42">
        <f t="shared" si="280"/>
        <v>4890.9860521678302</v>
      </c>
      <c r="W44" s="24">
        <f t="shared" si="280"/>
        <v>1.2021122561648874</v>
      </c>
      <c r="X44" s="42">
        <f t="shared" si="280"/>
        <v>4952.8405976223758</v>
      </c>
      <c r="Y44" s="24">
        <f t="shared" si="280"/>
        <v>1.2173149384864745</v>
      </c>
      <c r="Z44" s="42">
        <f t="shared" si="280"/>
        <v>4890.9860521678302</v>
      </c>
      <c r="AA44" s="24">
        <f t="shared" si="280"/>
        <v>1.2021122561648874</v>
      </c>
      <c r="AB44" s="42">
        <f t="shared" si="280"/>
        <v>4890.9860521678302</v>
      </c>
      <c r="AC44" s="24">
        <f t="shared" si="280"/>
        <v>1.2021122561648874</v>
      </c>
      <c r="AD44" s="42">
        <f t="shared" si="280"/>
        <v>2643.7996614781769</v>
      </c>
      <c r="AE44" s="24">
        <f t="shared" si="280"/>
        <v>0.6497961642108645</v>
      </c>
      <c r="AF44" s="42">
        <f t="shared" si="280"/>
        <v>2307.4569340028847</v>
      </c>
      <c r="AG44" s="24">
        <f t="shared" si="280"/>
        <v>0.56712945638192536</v>
      </c>
      <c r="AH44" s="42">
        <f t="shared" si="280"/>
        <v>4890.9860521678329</v>
      </c>
      <c r="AI44" s="24">
        <f t="shared" si="280"/>
        <v>1.2021122561648883</v>
      </c>
      <c r="AJ44" s="42">
        <f t="shared" si="280"/>
        <v>4890.9860521678329</v>
      </c>
      <c r="AK44" s="24">
        <f t="shared" si="280"/>
        <v>1.2021122561648883</v>
      </c>
      <c r="AL44" s="42">
        <f t="shared" si="280"/>
        <v>4890.9860521678329</v>
      </c>
      <c r="AM44" s="24">
        <f t="shared" si="280"/>
        <v>1.2021122561648883</v>
      </c>
      <c r="AN44" s="42">
        <f t="shared" si="280"/>
        <v>4890.9860521678329</v>
      </c>
      <c r="AO44" s="24">
        <f t="shared" si="280"/>
        <v>1.2021122561648883</v>
      </c>
      <c r="AP44" s="42">
        <f t="shared" si="280"/>
        <v>4890.9860521678329</v>
      </c>
      <c r="AQ44" s="24">
        <f t="shared" si="280"/>
        <v>1.2021122561648883</v>
      </c>
      <c r="AR44" s="42">
        <f t="shared" si="280"/>
        <v>4890.9860521678329</v>
      </c>
      <c r="AS44" s="24">
        <f t="shared" si="280"/>
        <v>1.2021122561648883</v>
      </c>
      <c r="AT44" s="42">
        <f t="shared" si="280"/>
        <v>4890.9860521678329</v>
      </c>
      <c r="AU44" s="24">
        <f t="shared" si="280"/>
        <v>1.2021122561648883</v>
      </c>
      <c r="AV44" s="42">
        <f t="shared" si="280"/>
        <v>4890.9860521678329</v>
      </c>
      <c r="AW44" s="24">
        <f t="shared" si="280"/>
        <v>1.2021122561648883</v>
      </c>
      <c r="AX44" s="42">
        <f t="shared" si="280"/>
        <v>4862.3574387784065</v>
      </c>
      <c r="AY44" s="24">
        <f t="shared" si="280"/>
        <v>1.1950758821770333</v>
      </c>
      <c r="AZ44" s="42">
        <f t="shared" si="280"/>
        <v>4862.3574387784065</v>
      </c>
      <c r="BA44" s="24">
        <f t="shared" si="280"/>
        <v>1.1950758821770333</v>
      </c>
      <c r="BB44" s="42">
        <f t="shared" si="280"/>
        <v>4862.3574387784065</v>
      </c>
      <c r="BC44" s="24">
        <f t="shared" si="280"/>
        <v>1.1950758821770333</v>
      </c>
      <c r="BD44" s="42">
        <f t="shared" si="280"/>
        <v>4862.3574387784065</v>
      </c>
      <c r="BE44" s="24">
        <f t="shared" si="280"/>
        <v>1.1950758821770333</v>
      </c>
      <c r="BF44" s="42">
        <f t="shared" si="280"/>
        <v>4862.3574387784065</v>
      </c>
      <c r="BG44" s="24">
        <f t="shared" si="280"/>
        <v>1.1950758821770333</v>
      </c>
      <c r="BH44" s="42">
        <f t="shared" si="280"/>
        <v>4862.3574387784065</v>
      </c>
      <c r="BI44" s="24">
        <f t="shared" si="280"/>
        <v>1.1950758821770333</v>
      </c>
      <c r="BJ44" s="42">
        <f t="shared" si="280"/>
        <v>4862.3574387784065</v>
      </c>
      <c r="BK44" s="24">
        <f t="shared" si="280"/>
        <v>1.1950758821770333</v>
      </c>
      <c r="BL44" s="42">
        <f t="shared" si="280"/>
        <v>4862.3574387784065</v>
      </c>
      <c r="BM44" s="24">
        <f t="shared" si="280"/>
        <v>1.1950758821770333</v>
      </c>
      <c r="BN44" s="42">
        <f t="shared" ref="BN44:CI44" si="281">+BN32-BN45-BN41</f>
        <v>3767.042987812732</v>
      </c>
      <c r="BO44" s="24">
        <f t="shared" si="281"/>
        <v>0.92586821897448612</v>
      </c>
      <c r="BP44" s="42">
        <f t="shared" si="281"/>
        <v>4601.7931643181773</v>
      </c>
      <c r="BQ44" s="24">
        <f t="shared" si="281"/>
        <v>1.1310340909090901</v>
      </c>
      <c r="BR44" s="710">
        <f t="shared" si="281"/>
        <v>4601.7931643181773</v>
      </c>
      <c r="BS44" s="24">
        <f t="shared" si="281"/>
        <v>1.1310340909090901</v>
      </c>
      <c r="BT44" s="42">
        <f t="shared" si="281"/>
        <v>4514.7877283677653</v>
      </c>
      <c r="BU44" s="24">
        <f t="shared" si="281"/>
        <v>1.1096497933884288</v>
      </c>
      <c r="BV44" s="42">
        <f t="shared" si="281"/>
        <v>4514.7877283677653</v>
      </c>
      <c r="BW44" s="24">
        <f t="shared" si="281"/>
        <v>1.1096497933884288</v>
      </c>
      <c r="BX44" s="24">
        <f t="shared" si="281"/>
        <v>4664.0806403521028</v>
      </c>
      <c r="BY44" s="24">
        <f t="shared" si="281"/>
        <v>1.1463431794133945</v>
      </c>
      <c r="BZ44" s="24">
        <f t="shared" si="281"/>
        <v>4538.3918333210895</v>
      </c>
      <c r="CA44" s="24">
        <f t="shared" si="281"/>
        <v>1.1154512378328714</v>
      </c>
      <c r="CB44" s="42">
        <f t="shared" si="281"/>
        <v>4459.010027674829</v>
      </c>
      <c r="CC44" s="24">
        <f t="shared" si="281"/>
        <v>1.0959406850596585</v>
      </c>
      <c r="CD44" s="42">
        <f t="shared" si="281"/>
        <v>4459.010027674829</v>
      </c>
      <c r="CE44" s="24">
        <f t="shared" si="281"/>
        <v>1.0959406850596585</v>
      </c>
      <c r="CF44" s="42">
        <f t="shared" si="281"/>
        <v>1663.0162890210647</v>
      </c>
      <c r="CG44" s="24">
        <f t="shared" si="281"/>
        <v>0.40873808305954901</v>
      </c>
      <c r="CH44" s="42">
        <f t="shared" si="281"/>
        <v>1684.9908673898151</v>
      </c>
      <c r="CI44" s="24">
        <f t="shared" si="281"/>
        <v>0.41413902055954882</v>
      </c>
      <c r="CJ44" s="42">
        <f t="shared" ref="CJ44:CM44" si="282">+CJ32-CJ45-CJ41</f>
        <v>3582.684052657426</v>
      </c>
      <c r="CK44" s="24">
        <f t="shared" si="282"/>
        <v>0.88055626487773075</v>
      </c>
      <c r="CL44" s="42">
        <f t="shared" si="282"/>
        <v>3582.684052657426</v>
      </c>
      <c r="CM44" s="24">
        <f t="shared" si="282"/>
        <v>0.88055626487773075</v>
      </c>
      <c r="CN44" s="42">
        <f>+CN32-CN45-CN41</f>
        <v>1663.0162890210647</v>
      </c>
      <c r="CO44" s="24">
        <f>+CO32-CO45-CO41</f>
        <v>0.40873808305954901</v>
      </c>
      <c r="CR44" s="42">
        <f t="shared" ref="CR44:CS44" si="283">+CR32-CR45-CR41</f>
        <v>4850.0276590909007</v>
      </c>
      <c r="CS44" s="24">
        <f t="shared" si="283"/>
        <v>1.1920454545454526</v>
      </c>
    </row>
    <row r="45" spans="1:97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18883.624573384615</v>
      </c>
      <c r="G45" s="32">
        <f>+G49</f>
        <v>4.6412392712550607</v>
      </c>
      <c r="H45" s="66">
        <f>+I49*H12</f>
        <v>18883.624573384615</v>
      </c>
      <c r="I45" s="32">
        <f>+I49</f>
        <v>4.6412392712550607</v>
      </c>
      <c r="J45" s="66">
        <f>+K49*J12</f>
        <v>18883.624573384615</v>
      </c>
      <c r="K45" s="32">
        <f>+K49</f>
        <v>4.6412392712550607</v>
      </c>
      <c r="L45" s="66">
        <f>+M49*L12</f>
        <v>18883.624573384615</v>
      </c>
      <c r="M45" s="32">
        <f>+M49</f>
        <v>4.6412392712550607</v>
      </c>
      <c r="N45" s="66">
        <f>+O49*N12</f>
        <v>18883.624573384615</v>
      </c>
      <c r="O45" s="32">
        <f>+O49</f>
        <v>4.6412392712550607</v>
      </c>
      <c r="P45" s="66">
        <f>+Q49*P12</f>
        <v>18883.624573384615</v>
      </c>
      <c r="Q45" s="32">
        <f>+Q49</f>
        <v>4.6412392712550607</v>
      </c>
      <c r="R45" s="66">
        <f>+S49*R12</f>
        <v>18883.624573384615</v>
      </c>
      <c r="S45" s="32">
        <f>+S49</f>
        <v>4.6412392712550607</v>
      </c>
      <c r="T45" s="66">
        <f>+U49*T12</f>
        <v>18883.624573384615</v>
      </c>
      <c r="U45" s="32">
        <f>+U49</f>
        <v>4.6412392712550607</v>
      </c>
      <c r="V45" s="66">
        <f>+W49*V12</f>
        <v>18883.624573384615</v>
      </c>
      <c r="W45" s="32">
        <f>+W49</f>
        <v>4.6412392712550607</v>
      </c>
      <c r="X45" s="66">
        <f>+Y49*X12</f>
        <v>18883.624573384615</v>
      </c>
      <c r="Y45" s="32">
        <f>+Y49</f>
        <v>4.6412392712550607</v>
      </c>
      <c r="Z45" s="66">
        <f>+AA49*Z12</f>
        <v>18883.624573384615</v>
      </c>
      <c r="AA45" s="32">
        <f>+AA49</f>
        <v>4.6412392712550607</v>
      </c>
      <c r="AB45" s="66">
        <f>+AC49*AB12</f>
        <v>18883.624573384615</v>
      </c>
      <c r="AC45" s="32">
        <f>+AC49</f>
        <v>4.6412392712550607</v>
      </c>
      <c r="AD45" s="66">
        <f t="shared" ref="AD45" si="284">+AE49*AD12</f>
        <v>21355.529603143234</v>
      </c>
      <c r="AE45" s="32">
        <f t="shared" ref="AE45" si="285">+AE49</f>
        <v>5.2487869724044858</v>
      </c>
      <c r="AF45" s="66">
        <f t="shared" ref="AF45" si="286">+AG49*AF12</f>
        <v>21725.506603366055</v>
      </c>
      <c r="AG45" s="32">
        <f t="shared" ref="AG45" si="287">+AG49</f>
        <v>5.3397203510163189</v>
      </c>
      <c r="AH45" s="66">
        <f t="shared" ref="AH45" si="288">+AI49*AH12</f>
        <v>18883.624573384612</v>
      </c>
      <c r="AI45" s="32">
        <f t="shared" ref="AI45" si="289">+AI49</f>
        <v>4.6412392712550599</v>
      </c>
      <c r="AJ45" s="66">
        <f t="shared" ref="AJ45" si="290">+AK49*AJ12</f>
        <v>18883.624573384612</v>
      </c>
      <c r="AK45" s="32">
        <f t="shared" ref="AK45" si="291">+AK49</f>
        <v>4.6412392712550599</v>
      </c>
      <c r="AL45" s="66">
        <f t="shared" ref="AL45" si="292">+AM49*AL12</f>
        <v>18883.624573384612</v>
      </c>
      <c r="AM45" s="32">
        <f t="shared" ref="AM45" si="293">+AM49</f>
        <v>4.6412392712550599</v>
      </c>
      <c r="AN45" s="66">
        <f t="shared" ref="AN45" si="294">+AO49*AN12</f>
        <v>18883.624573384612</v>
      </c>
      <c r="AO45" s="32">
        <f t="shared" ref="AO45" si="295">+AO49</f>
        <v>4.6412392712550599</v>
      </c>
      <c r="AP45" s="66">
        <f t="shared" ref="AP45" si="296">+AQ49*AP12</f>
        <v>18883.624573384612</v>
      </c>
      <c r="AQ45" s="32">
        <f t="shared" ref="AQ45" si="297">+AQ49</f>
        <v>4.6412392712550599</v>
      </c>
      <c r="AR45" s="66">
        <f t="shared" ref="AR45" si="298">+AS49*AR12</f>
        <v>18883.624573384612</v>
      </c>
      <c r="AS45" s="32">
        <f t="shared" ref="AS45:AY45" si="299">+AS49</f>
        <v>4.6412392712550599</v>
      </c>
      <c r="AT45" s="66">
        <f t="shared" ref="AT45" si="300">+AU49*AT12</f>
        <v>18883.624573384612</v>
      </c>
      <c r="AU45" s="32">
        <f t="shared" si="299"/>
        <v>4.6412392712550599</v>
      </c>
      <c r="AV45" s="66">
        <f t="shared" ref="AV45" si="301">+AW49*AV12</f>
        <v>18883.624573384612</v>
      </c>
      <c r="AW45" s="32">
        <f t="shared" si="299"/>
        <v>4.6412392712550599</v>
      </c>
      <c r="AX45" s="66">
        <f t="shared" ref="AX45" si="302">+AY49*AX12</f>
        <v>18912.79962984375</v>
      </c>
      <c r="AY45" s="32">
        <f t="shared" si="299"/>
        <v>4.6484099506578946</v>
      </c>
      <c r="AZ45" s="66">
        <f t="shared" ref="AZ45" si="303">+BA49*AZ12</f>
        <v>18912.79962984375</v>
      </c>
      <c r="BA45" s="32">
        <f t="shared" ref="BA45:BC45" si="304">+BA49</f>
        <v>4.6484099506578946</v>
      </c>
      <c r="BB45" s="66">
        <f t="shared" ref="BB45" si="305">+BC49*BB12</f>
        <v>18912.79962984375</v>
      </c>
      <c r="BC45" s="32">
        <f t="shared" si="304"/>
        <v>4.6484099506578946</v>
      </c>
      <c r="BD45" s="66">
        <f t="shared" ref="BD45" si="306">+BE49*BD12</f>
        <v>18912.79962984375</v>
      </c>
      <c r="BE45" s="32">
        <f t="shared" ref="BE45:BG45" si="307">+BE49</f>
        <v>4.6484099506578946</v>
      </c>
      <c r="BF45" s="66">
        <f t="shared" ref="BF45" si="308">+BG49*BF12</f>
        <v>18912.79962984375</v>
      </c>
      <c r="BG45" s="32">
        <f t="shared" si="307"/>
        <v>4.6484099506578946</v>
      </c>
      <c r="BH45" s="66">
        <f t="shared" ref="BH45" si="309">+BI49*BH12</f>
        <v>18912.79962984375</v>
      </c>
      <c r="BI45" s="32">
        <f t="shared" ref="BI45:BK45" si="310">+BI49</f>
        <v>4.6484099506578946</v>
      </c>
      <c r="BJ45" s="66">
        <f t="shared" ref="BJ45" si="311">+BK49*BJ12</f>
        <v>18912.79962984375</v>
      </c>
      <c r="BK45" s="32">
        <f t="shared" si="310"/>
        <v>4.6484099506578946</v>
      </c>
      <c r="BL45" s="66">
        <f t="shared" ref="BL45" si="312">+BM49*BL12</f>
        <v>18912.79962984375</v>
      </c>
      <c r="BM45" s="32">
        <f t="shared" ref="BM45" si="313">+BM49</f>
        <v>4.6484099506578946</v>
      </c>
      <c r="BN45" s="66">
        <f>+BO49*BN12</f>
        <v>27392.24790686648</v>
      </c>
      <c r="BO45" s="32">
        <f t="shared" ref="BO45" si="314">+BO49</f>
        <v>6.7324986376021787</v>
      </c>
      <c r="BP45" s="66">
        <f>+BQ49*BP12</f>
        <v>26490.48581925</v>
      </c>
      <c r="BQ45" s="32">
        <f t="shared" ref="BQ45" si="315">+BQ49</f>
        <v>6.5108625</v>
      </c>
      <c r="BR45" s="66">
        <f t="shared" ref="BR45" si="316">+BS49*BR12</f>
        <v>26490.48581925</v>
      </c>
      <c r="BS45" s="32">
        <f t="shared" ref="BS45" si="317">+BS49</f>
        <v>6.5108625</v>
      </c>
      <c r="BT45" s="66">
        <f>+BU49*BT12</f>
        <v>26580.139246729337</v>
      </c>
      <c r="BU45" s="32">
        <f>+BU49</f>
        <v>6.5328976239669423</v>
      </c>
      <c r="BV45" s="66">
        <f>+BW49*BV12</f>
        <v>26580.139246729337</v>
      </c>
      <c r="BW45" s="32">
        <f>+BW49</f>
        <v>6.5328976239669423</v>
      </c>
      <c r="BX45" s="66">
        <f>+BY49*BX12</f>
        <v>26429.937631337216</v>
      </c>
      <c r="BY45" s="32">
        <f>+BY49</f>
        <v>6.495980895758608</v>
      </c>
      <c r="BZ45" s="66">
        <f>+CA49*BZ12</f>
        <v>26554.17473128068</v>
      </c>
      <c r="CA45" s="32">
        <f>+CA49</f>
        <v>6.5265160350780551</v>
      </c>
      <c r="CB45" s="66">
        <f>+CC45*CB12</f>
        <v>26698.418374143348</v>
      </c>
      <c r="CC45" s="32">
        <f>CC49</f>
        <v>6.5619684058494316</v>
      </c>
      <c r="CD45" s="66">
        <f>+CE45*CD12</f>
        <v>26698.418374143348</v>
      </c>
      <c r="CE45" s="32">
        <f>CE49</f>
        <v>6.5619684058494316</v>
      </c>
      <c r="CF45" s="66">
        <f>+CG49*CF12</f>
        <v>17338.332165392127</v>
      </c>
      <c r="CG45" s="32">
        <f>+CG49</f>
        <v>4.2614355009738158</v>
      </c>
      <c r="CH45" s="66">
        <f>+CI49*CH12</f>
        <v>17314.160129186501</v>
      </c>
      <c r="CI45" s="32">
        <f>+CI49</f>
        <v>4.255494469723816</v>
      </c>
      <c r="CJ45" s="66">
        <f>+CK49*CJ12</f>
        <v>18278.192625392127</v>
      </c>
      <c r="CK45" s="32">
        <f>+CK49</f>
        <v>4.4924355009738166</v>
      </c>
      <c r="CL45" s="66">
        <f>+CM49*CL12</f>
        <v>18278.192625392127</v>
      </c>
      <c r="CM45" s="32">
        <f>+CM49</f>
        <v>4.4924355009738166</v>
      </c>
      <c r="CN45" s="66">
        <f t="shared" ref="CN45" si="318">+CO49*CN12</f>
        <v>17338.332165392127</v>
      </c>
      <c r="CO45" s="32">
        <f>+CO49</f>
        <v>4.2614355009738158</v>
      </c>
      <c r="CR45" s="1180">
        <f t="shared" ref="CR45" si="319">+CS49*CR12</f>
        <v>27722.832075000002</v>
      </c>
      <c r="CS45" s="32">
        <f t="shared" ref="CS45" si="320">+CS49</f>
        <v>6.8137500000000006</v>
      </c>
    </row>
    <row r="46" spans="1:97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352">
        <v>0</v>
      </c>
      <c r="I46" s="358"/>
      <c r="J46" s="352">
        <v>0</v>
      </c>
      <c r="K46" s="358"/>
      <c r="L46" s="27">
        <v>0</v>
      </c>
      <c r="M46" s="41"/>
      <c r="N46" s="352">
        <v>0</v>
      </c>
      <c r="O46" s="358"/>
      <c r="P46" s="352">
        <v>0</v>
      </c>
      <c r="Q46" s="358"/>
      <c r="R46" s="27">
        <v>0</v>
      </c>
      <c r="S46" s="41"/>
      <c r="T46" s="352">
        <v>0</v>
      </c>
      <c r="U46" s="358"/>
      <c r="V46" s="352">
        <v>0</v>
      </c>
      <c r="W46" s="358"/>
      <c r="X46" s="27">
        <v>0</v>
      </c>
      <c r="Y46" s="41"/>
      <c r="Z46" s="352">
        <v>0</v>
      </c>
      <c r="AA46" s="358"/>
      <c r="AB46" s="352">
        <v>0</v>
      </c>
      <c r="AC46" s="358"/>
      <c r="AD46" s="352">
        <v>0</v>
      </c>
      <c r="AE46" s="358"/>
      <c r="AF46" s="352">
        <v>0</v>
      </c>
      <c r="AG46" s="358"/>
      <c r="AH46" s="352">
        <v>0</v>
      </c>
      <c r="AI46" s="358"/>
      <c r="AJ46" s="352">
        <v>0</v>
      </c>
      <c r="AK46" s="358"/>
      <c r="AL46" s="352">
        <v>0</v>
      </c>
      <c r="AM46" s="358"/>
      <c r="AN46" s="352">
        <v>0</v>
      </c>
      <c r="AO46" s="358"/>
      <c r="AP46" s="352">
        <v>0</v>
      </c>
      <c r="AQ46" s="358"/>
      <c r="AR46" s="352">
        <v>0</v>
      </c>
      <c r="AS46" s="358"/>
      <c r="AT46" s="352">
        <v>0</v>
      </c>
      <c r="AU46" s="358"/>
      <c r="AV46" s="352">
        <v>0</v>
      </c>
      <c r="AW46" s="358"/>
      <c r="AX46" s="352">
        <v>0</v>
      </c>
      <c r="AY46" s="358"/>
      <c r="AZ46" s="352">
        <v>0</v>
      </c>
      <c r="BA46" s="358"/>
      <c r="BB46" s="352">
        <v>0</v>
      </c>
      <c r="BC46" s="358"/>
      <c r="BD46" s="352">
        <v>0</v>
      </c>
      <c r="BE46" s="358"/>
      <c r="BF46" s="352">
        <v>0</v>
      </c>
      <c r="BG46" s="358"/>
      <c r="BH46" s="352">
        <v>0</v>
      </c>
      <c r="BI46" s="358"/>
      <c r="BJ46" s="352">
        <v>0</v>
      </c>
      <c r="BK46" s="358"/>
      <c r="BL46" s="352">
        <v>0</v>
      </c>
      <c r="BM46" s="358"/>
      <c r="BN46" s="352">
        <v>0</v>
      </c>
      <c r="BO46" s="358"/>
      <c r="BP46" s="352">
        <v>0</v>
      </c>
      <c r="BQ46" s="358"/>
      <c r="BR46" s="27">
        <v>0</v>
      </c>
      <c r="BS46" s="41"/>
      <c r="BT46" s="352">
        <v>0</v>
      </c>
      <c r="BU46" s="358"/>
      <c r="BV46" s="352">
        <v>0</v>
      </c>
      <c r="BW46" s="358"/>
      <c r="BX46" s="352">
        <v>0</v>
      </c>
      <c r="BY46" s="358"/>
      <c r="BZ46" s="352">
        <v>0</v>
      </c>
      <c r="CA46" s="358"/>
      <c r="CB46" s="27">
        <v>0</v>
      </c>
      <c r="CC46" s="41"/>
      <c r="CD46" s="27">
        <v>0</v>
      </c>
      <c r="CE46" s="41"/>
      <c r="CF46" s="27">
        <v>0</v>
      </c>
      <c r="CG46" s="41"/>
      <c r="CH46" s="352">
        <v>0</v>
      </c>
      <c r="CI46" s="358"/>
      <c r="CJ46" s="352">
        <v>0</v>
      </c>
      <c r="CK46" s="358"/>
      <c r="CL46" s="352">
        <v>0</v>
      </c>
      <c r="CM46" s="358"/>
      <c r="CN46" s="352">
        <v>0</v>
      </c>
      <c r="CO46" s="358"/>
      <c r="CR46" s="27">
        <v>0</v>
      </c>
      <c r="CS46" s="41"/>
    </row>
    <row r="47" spans="1:97" s="4" customFormat="1" ht="1.05" customHeight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364"/>
      <c r="I47" s="366"/>
      <c r="J47" s="364"/>
      <c r="K47" s="366"/>
      <c r="L47" s="60"/>
      <c r="M47" s="68"/>
      <c r="N47" s="364"/>
      <c r="O47" s="366"/>
      <c r="P47" s="364"/>
      <c r="Q47" s="366"/>
      <c r="R47" s="60"/>
      <c r="S47" s="68"/>
      <c r="T47" s="364"/>
      <c r="U47" s="366"/>
      <c r="V47" s="364"/>
      <c r="W47" s="366"/>
      <c r="X47" s="60"/>
      <c r="Y47" s="68"/>
      <c r="Z47" s="364"/>
      <c r="AA47" s="366"/>
      <c r="AB47" s="364"/>
      <c r="AC47" s="366"/>
      <c r="AD47" s="364"/>
      <c r="AE47" s="366"/>
      <c r="AF47" s="364"/>
      <c r="AG47" s="366"/>
      <c r="AH47" s="364"/>
      <c r="AI47" s="366"/>
      <c r="AJ47" s="364"/>
      <c r="AK47" s="366"/>
      <c r="AL47" s="364"/>
      <c r="AM47" s="366"/>
      <c r="AN47" s="364"/>
      <c r="AO47" s="366"/>
      <c r="AP47" s="364"/>
      <c r="AQ47" s="366"/>
      <c r="AR47" s="364"/>
      <c r="AS47" s="366"/>
      <c r="AT47" s="364"/>
      <c r="AU47" s="366"/>
      <c r="AV47" s="364"/>
      <c r="AW47" s="366"/>
      <c r="AX47" s="364"/>
      <c r="AY47" s="366"/>
      <c r="AZ47" s="364"/>
      <c r="BA47" s="366"/>
      <c r="BB47" s="364"/>
      <c r="BC47" s="366"/>
      <c r="BD47" s="364"/>
      <c r="BE47" s="366"/>
      <c r="BF47" s="364"/>
      <c r="BG47" s="366"/>
      <c r="BH47" s="364"/>
      <c r="BI47" s="366"/>
      <c r="BJ47" s="364"/>
      <c r="BK47" s="366"/>
      <c r="BL47" s="364"/>
      <c r="BM47" s="366"/>
      <c r="BN47" s="364"/>
      <c r="BO47" s="366"/>
      <c r="BP47" s="558"/>
      <c r="BQ47" s="557">
        <f>120000000/40*BQ44</f>
        <v>3393102.2727272706</v>
      </c>
      <c r="BR47" s="364"/>
      <c r="BS47" s="366"/>
      <c r="BT47" s="558"/>
      <c r="BU47" s="557">
        <f>120000000/40*BU44</f>
        <v>3328949.3801652864</v>
      </c>
      <c r="BV47" s="558"/>
      <c r="BW47" s="557">
        <f>120000000/40*BW44</f>
        <v>3328949.3801652864</v>
      </c>
      <c r="BX47" s="558"/>
      <c r="BY47" s="557">
        <f>120000000/40*BY44</f>
        <v>3439029.5382401836</v>
      </c>
      <c r="BZ47" s="558"/>
      <c r="CA47" s="557">
        <f>120000000/40*CA44</f>
        <v>3346353.7134986143</v>
      </c>
      <c r="CB47" s="60"/>
      <c r="CC47" s="68"/>
      <c r="CD47" s="60"/>
      <c r="CE47" s="68"/>
      <c r="CF47" s="60"/>
      <c r="CG47" s="68"/>
      <c r="CH47" s="364"/>
      <c r="CI47" s="366"/>
      <c r="CJ47" s="364"/>
      <c r="CK47" s="366"/>
      <c r="CL47" s="364"/>
      <c r="CM47" s="366"/>
      <c r="CN47" s="364"/>
      <c r="CO47" s="366"/>
      <c r="CR47" s="60"/>
      <c r="CS47" s="68"/>
    </row>
    <row r="48" spans="1:97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BM48" si="321">+F49/F10</f>
        <v>1573.6353811153847</v>
      </c>
      <c r="G48" s="70">
        <f t="shared" si="321"/>
        <v>0.38676993927125508</v>
      </c>
      <c r="H48" s="69">
        <f t="shared" si="321"/>
        <v>1573.6353811153847</v>
      </c>
      <c r="I48" s="70">
        <f t="shared" si="321"/>
        <v>0.38676993927125508</v>
      </c>
      <c r="J48" s="69">
        <f t="shared" si="321"/>
        <v>1573.6353811153847</v>
      </c>
      <c r="K48" s="70">
        <f t="shared" si="321"/>
        <v>0.38676993927125508</v>
      </c>
      <c r="L48" s="69">
        <f t="shared" si="321"/>
        <v>1573.6353811153847</v>
      </c>
      <c r="M48" s="70">
        <f t="shared" si="321"/>
        <v>0.38676993927125508</v>
      </c>
      <c r="N48" s="69">
        <f t="shared" si="321"/>
        <v>1573.6353811153847</v>
      </c>
      <c r="O48" s="70">
        <f t="shared" si="321"/>
        <v>0.38676993927125508</v>
      </c>
      <c r="P48" s="69">
        <f t="shared" si="321"/>
        <v>1573.6353811153847</v>
      </c>
      <c r="Q48" s="70">
        <f t="shared" si="321"/>
        <v>0.38676993927125508</v>
      </c>
      <c r="R48" s="69">
        <f t="shared" si="321"/>
        <v>1573.6353811153847</v>
      </c>
      <c r="S48" s="70">
        <f t="shared" si="321"/>
        <v>0.38676993927125508</v>
      </c>
      <c r="T48" s="69">
        <f t="shared" si="321"/>
        <v>1573.6353811153847</v>
      </c>
      <c r="U48" s="70">
        <f t="shared" si="321"/>
        <v>0.38676993927125508</v>
      </c>
      <c r="V48" s="69">
        <f t="shared" si="321"/>
        <v>1573.6353811153847</v>
      </c>
      <c r="W48" s="70">
        <f t="shared" si="321"/>
        <v>0.38676993927125508</v>
      </c>
      <c r="X48" s="69">
        <f t="shared" si="321"/>
        <v>1573.6353811153847</v>
      </c>
      <c r="Y48" s="70">
        <f t="shared" si="321"/>
        <v>0.38676993927125508</v>
      </c>
      <c r="Z48" s="69">
        <f t="shared" si="321"/>
        <v>1573.6353811153847</v>
      </c>
      <c r="AA48" s="70">
        <f t="shared" si="321"/>
        <v>0.38676993927125508</v>
      </c>
      <c r="AB48" s="69">
        <f t="shared" si="321"/>
        <v>1573.6353811153847</v>
      </c>
      <c r="AC48" s="70">
        <f t="shared" si="321"/>
        <v>0.38676993927125508</v>
      </c>
      <c r="AD48" s="69">
        <f t="shared" si="321"/>
        <v>1779.6274669286029</v>
      </c>
      <c r="AE48" s="70">
        <f t="shared" si="321"/>
        <v>0.43739891436704048</v>
      </c>
      <c r="AF48" s="69">
        <f t="shared" si="321"/>
        <v>1810.458883613838</v>
      </c>
      <c r="AG48" s="70">
        <f t="shared" si="321"/>
        <v>0.44497669591802658</v>
      </c>
      <c r="AH48" s="69">
        <f t="shared" si="321"/>
        <v>1573.6353811153842</v>
      </c>
      <c r="AI48" s="70">
        <f t="shared" si="321"/>
        <v>0.38676993927125497</v>
      </c>
      <c r="AJ48" s="69">
        <f t="shared" si="321"/>
        <v>1573.6353811153842</v>
      </c>
      <c r="AK48" s="70">
        <f t="shared" si="321"/>
        <v>0.38676993927125497</v>
      </c>
      <c r="AL48" s="69">
        <f t="shared" si="321"/>
        <v>1573.6353811153842</v>
      </c>
      <c r="AM48" s="70">
        <f t="shared" si="321"/>
        <v>0.38676993927125497</v>
      </c>
      <c r="AN48" s="69">
        <f t="shared" si="321"/>
        <v>1573.6353811153842</v>
      </c>
      <c r="AO48" s="70">
        <f t="shared" si="321"/>
        <v>0.38676993927125497</v>
      </c>
      <c r="AP48" s="69">
        <f t="shared" si="321"/>
        <v>1573.6353811153842</v>
      </c>
      <c r="AQ48" s="70">
        <f t="shared" si="321"/>
        <v>0.38676993927125497</v>
      </c>
      <c r="AR48" s="69">
        <f t="shared" si="321"/>
        <v>1573.6353811153842</v>
      </c>
      <c r="AS48" s="70">
        <f t="shared" si="321"/>
        <v>0.38676993927125497</v>
      </c>
      <c r="AT48" s="69">
        <f t="shared" si="321"/>
        <v>1573.6353811153842</v>
      </c>
      <c r="AU48" s="70">
        <f t="shared" si="321"/>
        <v>0.38676993927125497</v>
      </c>
      <c r="AV48" s="69">
        <f t="shared" si="321"/>
        <v>1573.6353811153842</v>
      </c>
      <c r="AW48" s="70">
        <f t="shared" si="321"/>
        <v>0.38676993927125497</v>
      </c>
      <c r="AX48" s="69">
        <f t="shared" si="321"/>
        <v>1576.0666358203125</v>
      </c>
      <c r="AY48" s="70">
        <f t="shared" si="321"/>
        <v>0.38736749588815789</v>
      </c>
      <c r="AZ48" s="69">
        <f t="shared" si="321"/>
        <v>1576.0666358203125</v>
      </c>
      <c r="BA48" s="70">
        <f t="shared" si="321"/>
        <v>0.38736749588815789</v>
      </c>
      <c r="BB48" s="69">
        <f t="shared" si="321"/>
        <v>1576.0666358203125</v>
      </c>
      <c r="BC48" s="70">
        <f t="shared" si="321"/>
        <v>0.38736749588815789</v>
      </c>
      <c r="BD48" s="69">
        <f t="shared" si="321"/>
        <v>1576.0666358203125</v>
      </c>
      <c r="BE48" s="70">
        <f t="shared" si="321"/>
        <v>0.38736749588815789</v>
      </c>
      <c r="BF48" s="69">
        <f t="shared" si="321"/>
        <v>1576.0666358203125</v>
      </c>
      <c r="BG48" s="70">
        <f t="shared" si="321"/>
        <v>0.38736749588815789</v>
      </c>
      <c r="BH48" s="69">
        <f t="shared" si="321"/>
        <v>1576.0666358203125</v>
      </c>
      <c r="BI48" s="70">
        <f t="shared" si="321"/>
        <v>0.38736749588815789</v>
      </c>
      <c r="BJ48" s="69">
        <f t="shared" si="321"/>
        <v>1576.0666358203125</v>
      </c>
      <c r="BK48" s="70">
        <f t="shared" si="321"/>
        <v>0.38736749588815789</v>
      </c>
      <c r="BL48" s="69">
        <f t="shared" si="321"/>
        <v>1576.0666358203125</v>
      </c>
      <c r="BM48" s="70">
        <f t="shared" si="321"/>
        <v>0.38736749588815789</v>
      </c>
      <c r="BN48" s="69">
        <f t="shared" ref="BN48:BW48" si="322">+BN49/BN10</f>
        <v>684.80619767166195</v>
      </c>
      <c r="BO48" s="70">
        <f t="shared" si="322"/>
        <v>0.16831246594005447</v>
      </c>
      <c r="BP48" s="69">
        <f t="shared" si="322"/>
        <v>662.26214548124995</v>
      </c>
      <c r="BQ48" s="70">
        <f t="shared" si="322"/>
        <v>0.16277156249999999</v>
      </c>
      <c r="BR48" s="69">
        <f t="shared" si="322"/>
        <v>662.26214548124995</v>
      </c>
      <c r="BS48" s="70">
        <f t="shared" si="322"/>
        <v>0.16277156249999999</v>
      </c>
      <c r="BT48" s="69">
        <f t="shared" si="322"/>
        <v>664.50348116823341</v>
      </c>
      <c r="BU48" s="70">
        <f t="shared" si="322"/>
        <v>0.16332244059917356</v>
      </c>
      <c r="BV48" s="69">
        <f t="shared" si="322"/>
        <v>664.50348116823341</v>
      </c>
      <c r="BW48" s="70">
        <f t="shared" si="322"/>
        <v>0.16332244059917356</v>
      </c>
      <c r="BX48" s="69">
        <f t="shared" ref="BX48:CA48" si="323">+BX49/BX10</f>
        <v>660.7484407834304</v>
      </c>
      <c r="BY48" s="70">
        <f t="shared" si="323"/>
        <v>0.16239952239396521</v>
      </c>
      <c r="BZ48" s="69">
        <f t="shared" si="323"/>
        <v>663.85436828201705</v>
      </c>
      <c r="CA48" s="70">
        <f t="shared" si="323"/>
        <v>0.16316290087695137</v>
      </c>
      <c r="CB48" s="69">
        <f t="shared" ref="CB48:CI48" si="324">+CB49/CB10</f>
        <v>1334.9209187071674</v>
      </c>
      <c r="CC48" s="70">
        <f t="shared" si="324"/>
        <v>0.3280984202924716</v>
      </c>
      <c r="CD48" s="69">
        <f t="shared" si="324"/>
        <v>1334.9209187071674</v>
      </c>
      <c r="CE48" s="70">
        <f t="shared" si="324"/>
        <v>0.3280984202924716</v>
      </c>
      <c r="CF48" s="69">
        <f t="shared" si="324"/>
        <v>1444.8610137826772</v>
      </c>
      <c r="CG48" s="70">
        <f t="shared" si="324"/>
        <v>0.3551196250811513</v>
      </c>
      <c r="CH48" s="69">
        <f t="shared" si="324"/>
        <v>1442.8466774322085</v>
      </c>
      <c r="CI48" s="70">
        <f t="shared" si="324"/>
        <v>0.35462453914365133</v>
      </c>
      <c r="CJ48" s="69">
        <f t="shared" ref="CJ48:CM48" si="325">+CJ49/CJ10</f>
        <v>1523.1827187826773</v>
      </c>
      <c r="CK48" s="70">
        <f t="shared" si="325"/>
        <v>0.3743696250811514</v>
      </c>
      <c r="CL48" s="69">
        <f t="shared" si="325"/>
        <v>1523.1827187826773</v>
      </c>
      <c r="CM48" s="70">
        <f t="shared" si="325"/>
        <v>0.3743696250811514</v>
      </c>
      <c r="CN48" s="69">
        <f>+CN49/CN10</f>
        <v>1444.8610137826772</v>
      </c>
      <c r="CO48" s="70">
        <f>+CO49/CO10</f>
        <v>0.3551196250811513</v>
      </c>
      <c r="CR48" s="1181">
        <f t="shared" ref="CR48:CS48" si="326">+CR49/CR10</f>
        <v>1155.1180031250001</v>
      </c>
      <c r="CS48" s="70">
        <f t="shared" si="326"/>
        <v>0.28390625000000003</v>
      </c>
    </row>
    <row r="49" spans="1:97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18883.624573384615</v>
      </c>
      <c r="G49" s="70">
        <f>+G50+G52+G56+G54</f>
        <v>4.6412392712550607</v>
      </c>
      <c r="H49" s="69">
        <f>+I49*H12</f>
        <v>18883.624573384615</v>
      </c>
      <c r="I49" s="70">
        <f>+I50+I52+I56+I54</f>
        <v>4.6412392712550607</v>
      </c>
      <c r="J49" s="69">
        <f>+K49*J12</f>
        <v>18883.624573384615</v>
      </c>
      <c r="K49" s="70">
        <f>+K50+K52+K56+K54</f>
        <v>4.6412392712550607</v>
      </c>
      <c r="L49" s="69">
        <f>+M49*L12</f>
        <v>18883.624573384615</v>
      </c>
      <c r="M49" s="70">
        <f>+M50+M52+M56+M54</f>
        <v>4.6412392712550607</v>
      </c>
      <c r="N49" s="69">
        <f>+O49*N12</f>
        <v>18883.624573384615</v>
      </c>
      <c r="O49" s="70">
        <f>+O50+O52+O56+O54</f>
        <v>4.6412392712550607</v>
      </c>
      <c r="P49" s="69">
        <f>+Q49*P12</f>
        <v>18883.624573384615</v>
      </c>
      <c r="Q49" s="70">
        <f>+Q50+Q52+Q56+Q54</f>
        <v>4.6412392712550607</v>
      </c>
      <c r="R49" s="69">
        <f>+S49*R12</f>
        <v>18883.624573384615</v>
      </c>
      <c r="S49" s="70">
        <f>+S50+S52+S56+S54</f>
        <v>4.6412392712550607</v>
      </c>
      <c r="T49" s="69">
        <f>+U49*T12</f>
        <v>18883.624573384615</v>
      </c>
      <c r="U49" s="70">
        <f>+U50+U52+U56+U54</f>
        <v>4.6412392712550607</v>
      </c>
      <c r="V49" s="69">
        <f>+W49*V12</f>
        <v>18883.624573384615</v>
      </c>
      <c r="W49" s="70">
        <f>+W50+W52+W56+W54</f>
        <v>4.6412392712550607</v>
      </c>
      <c r="X49" s="69">
        <f>+Y49*X12</f>
        <v>18883.624573384615</v>
      </c>
      <c r="Y49" s="70">
        <f>+Y50+Y52+Y56+Y54</f>
        <v>4.6412392712550607</v>
      </c>
      <c r="Z49" s="69">
        <f>+AA49*Z12</f>
        <v>18883.624573384615</v>
      </c>
      <c r="AA49" s="70">
        <f>+AA50+AA52+AA56+AA54</f>
        <v>4.6412392712550607</v>
      </c>
      <c r="AB49" s="69">
        <f>+AC49*AB12</f>
        <v>18883.624573384615</v>
      </c>
      <c r="AC49" s="70">
        <f>+AC50+AC52+AC56+AC54</f>
        <v>4.6412392712550607</v>
      </c>
      <c r="AD49" s="69">
        <f t="shared" ref="AD49" si="327">+AE49*AD12</f>
        <v>21355.529603143234</v>
      </c>
      <c r="AE49" s="70">
        <f t="shared" ref="AE49" si="328">+AE50+AE52+AE56+AE54</f>
        <v>5.2487869724044858</v>
      </c>
      <c r="AF49" s="69">
        <f t="shared" ref="AF49" si="329">+AG49*AF12</f>
        <v>21725.506603366055</v>
      </c>
      <c r="AG49" s="70">
        <f t="shared" ref="AG49" si="330">+AG50+AG52+AG56+AG54</f>
        <v>5.3397203510163189</v>
      </c>
      <c r="AH49" s="69">
        <f t="shared" ref="AH49" si="331">+AI49*AH12</f>
        <v>18883.624573384612</v>
      </c>
      <c r="AI49" s="70">
        <f t="shared" ref="AI49" si="332">+AI50+AI52+AI56+AI54</f>
        <v>4.6412392712550599</v>
      </c>
      <c r="AJ49" s="69">
        <f t="shared" ref="AJ49" si="333">+AK49*AJ12</f>
        <v>18883.624573384612</v>
      </c>
      <c r="AK49" s="70">
        <f t="shared" ref="AK49" si="334">+AK50+AK52+AK56+AK54</f>
        <v>4.6412392712550599</v>
      </c>
      <c r="AL49" s="69">
        <f t="shared" ref="AL49" si="335">+AM49*AL12</f>
        <v>18883.624573384612</v>
      </c>
      <c r="AM49" s="70">
        <f t="shared" ref="AM49" si="336">+AM50+AM52+AM56+AM54</f>
        <v>4.6412392712550599</v>
      </c>
      <c r="AN49" s="69">
        <f t="shared" ref="AN49" si="337">+AO49*AN12</f>
        <v>18883.624573384612</v>
      </c>
      <c r="AO49" s="70">
        <f t="shared" ref="AO49" si="338">+AO50+AO52+AO56+AO54</f>
        <v>4.6412392712550599</v>
      </c>
      <c r="AP49" s="69">
        <f t="shared" ref="AP49" si="339">+AQ49*AP12</f>
        <v>18883.624573384612</v>
      </c>
      <c r="AQ49" s="70">
        <f t="shared" ref="AQ49" si="340">+AQ50+AQ52+AQ56+AQ54</f>
        <v>4.6412392712550599</v>
      </c>
      <c r="AR49" s="69">
        <f t="shared" ref="AR49" si="341">+AS49*AR12</f>
        <v>18883.624573384612</v>
      </c>
      <c r="AS49" s="70">
        <f t="shared" ref="AS49:AY49" si="342">+AS50+AS52+AS56+AS54</f>
        <v>4.6412392712550599</v>
      </c>
      <c r="AT49" s="69">
        <f t="shared" ref="AT49" si="343">+AU49*AT12</f>
        <v>18883.624573384612</v>
      </c>
      <c r="AU49" s="70">
        <f t="shared" si="342"/>
        <v>4.6412392712550599</v>
      </c>
      <c r="AV49" s="69">
        <f t="shared" ref="AV49" si="344">+AW49*AV12</f>
        <v>18883.624573384612</v>
      </c>
      <c r="AW49" s="70">
        <f t="shared" si="342"/>
        <v>4.6412392712550599</v>
      </c>
      <c r="AX49" s="69">
        <f t="shared" ref="AX49" si="345">+AY49*AX12</f>
        <v>18912.79962984375</v>
      </c>
      <c r="AY49" s="70">
        <f t="shared" si="342"/>
        <v>4.6484099506578946</v>
      </c>
      <c r="AZ49" s="69">
        <f t="shared" ref="AZ49" si="346">+BA49*AZ12</f>
        <v>18912.79962984375</v>
      </c>
      <c r="BA49" s="70">
        <f t="shared" ref="BA49:BC49" si="347">+BA50+BA52+BA56+BA54</f>
        <v>4.6484099506578946</v>
      </c>
      <c r="BB49" s="69">
        <f t="shared" ref="BB49" si="348">+BC49*BB12</f>
        <v>18912.79962984375</v>
      </c>
      <c r="BC49" s="70">
        <f t="shared" si="347"/>
        <v>4.6484099506578946</v>
      </c>
      <c r="BD49" s="69">
        <f t="shared" ref="BD49" si="349">+BE49*BD12</f>
        <v>18912.79962984375</v>
      </c>
      <c r="BE49" s="70">
        <f t="shared" ref="BE49:BG49" si="350">+BE50+BE52+BE56+BE54</f>
        <v>4.6484099506578946</v>
      </c>
      <c r="BF49" s="69">
        <f t="shared" ref="BF49" si="351">+BG49*BF12</f>
        <v>18912.79962984375</v>
      </c>
      <c r="BG49" s="70">
        <f t="shared" si="350"/>
        <v>4.6484099506578946</v>
      </c>
      <c r="BH49" s="69">
        <f t="shared" ref="BH49" si="352">+BI49*BH12</f>
        <v>18912.79962984375</v>
      </c>
      <c r="BI49" s="70">
        <f t="shared" ref="BI49:BK49" si="353">+BI50+BI52+BI56+BI54</f>
        <v>4.6484099506578946</v>
      </c>
      <c r="BJ49" s="69">
        <f t="shared" ref="BJ49" si="354">+BK49*BJ12</f>
        <v>18912.79962984375</v>
      </c>
      <c r="BK49" s="70">
        <f t="shared" si="353"/>
        <v>4.6484099506578946</v>
      </c>
      <c r="BL49" s="69">
        <f t="shared" ref="BL49" si="355">+BM49*BL12</f>
        <v>18912.79962984375</v>
      </c>
      <c r="BM49" s="70">
        <f t="shared" ref="BM49" si="356">+BM50+BM52+BM56+BM54</f>
        <v>4.6484099506578946</v>
      </c>
      <c r="BN49" s="69">
        <f>+BO49*BN12</f>
        <v>27392.24790686648</v>
      </c>
      <c r="BO49" s="70">
        <f t="shared" ref="BO49" si="357">+BO50+BO52+BO56+BO54</f>
        <v>6.7324986376021787</v>
      </c>
      <c r="BP49" s="69">
        <f>+BQ49*BP12</f>
        <v>26490.48581925</v>
      </c>
      <c r="BQ49" s="70">
        <f t="shared" ref="BQ49" si="358">+BQ50+BQ52+BQ56+BQ54</f>
        <v>6.5108625</v>
      </c>
      <c r="BR49" s="69">
        <f t="shared" ref="BR49" si="359">+BS49*BR12</f>
        <v>26490.48581925</v>
      </c>
      <c r="BS49" s="70">
        <f t="shared" ref="BS49" si="360">+BS50+BS52+BS56+BS54</f>
        <v>6.5108625</v>
      </c>
      <c r="BT49" s="69">
        <f>+BU49*BT12</f>
        <v>26580.139246729337</v>
      </c>
      <c r="BU49" s="70">
        <f>+BU50+BU52+BU56+BU54</f>
        <v>6.5328976239669423</v>
      </c>
      <c r="BV49" s="69">
        <f>+BW49*BV12</f>
        <v>26580.139246729337</v>
      </c>
      <c r="BW49" s="70">
        <f>+BW50+BW52+BW56+BW54</f>
        <v>6.5328976239669423</v>
      </c>
      <c r="BX49" s="69">
        <f>+BY49*BX12</f>
        <v>26429.937631337216</v>
      </c>
      <c r="BY49" s="70">
        <f>+BY50+BY52+BY56+BY54</f>
        <v>6.495980895758608</v>
      </c>
      <c r="BZ49" s="69">
        <f>+CA49*BZ12</f>
        <v>26554.17473128068</v>
      </c>
      <c r="CA49" s="70">
        <f>+CA50+CA52+CA56+CA54</f>
        <v>6.5265160350780551</v>
      </c>
      <c r="CB49" s="69">
        <f>+CC49*CB12</f>
        <v>26698.418374143348</v>
      </c>
      <c r="CC49" s="70">
        <f t="shared" ref="CC49" si="361">+CC50+CC52+CC56+CC54</f>
        <v>6.5619684058494316</v>
      </c>
      <c r="CD49" s="69">
        <f>+CE49*CD12</f>
        <v>26698.418374143348</v>
      </c>
      <c r="CE49" s="70">
        <f t="shared" ref="CE49" si="362">+CE50+CE52+CE56+CE54</f>
        <v>6.5619684058494316</v>
      </c>
      <c r="CF49" s="69">
        <f>+CG49*CF12</f>
        <v>17338.332165392127</v>
      </c>
      <c r="CG49" s="70">
        <f>+CG50+CG52+CG56+CG54</f>
        <v>4.2614355009738158</v>
      </c>
      <c r="CH49" s="69">
        <f>+CI49*CH12</f>
        <v>17314.160129186501</v>
      </c>
      <c r="CI49" s="70">
        <f>+CI50+CI52+CI56+CI54</f>
        <v>4.255494469723816</v>
      </c>
      <c r="CJ49" s="69">
        <f>+CK49*CJ12</f>
        <v>18278.192625392127</v>
      </c>
      <c r="CK49" s="70">
        <f>+CK50+CK52+CK56+CK54</f>
        <v>4.4924355009738166</v>
      </c>
      <c r="CL49" s="69">
        <f>+CM49*CL12</f>
        <v>18278.192625392127</v>
      </c>
      <c r="CM49" s="70">
        <f>+CM50+CM52+CM56+CM54</f>
        <v>4.4924355009738166</v>
      </c>
      <c r="CN49" s="69">
        <f t="shared" ref="CN49" si="363">+CO49*CN12</f>
        <v>17338.332165392127</v>
      </c>
      <c r="CO49" s="70">
        <f>+CO50+CO52+CO56+CO54</f>
        <v>4.2614355009738158</v>
      </c>
      <c r="CR49" s="1181">
        <f t="shared" ref="CR49" si="364">+CS49*CR12</f>
        <v>27722.832075000002</v>
      </c>
      <c r="CS49" s="70">
        <f t="shared" ref="CS49" si="365">+CS50+CS52+CS56+CS54</f>
        <v>6.8137500000000006</v>
      </c>
    </row>
    <row r="50" spans="1:97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0.1851457489878543</v>
      </c>
      <c r="H50" s="367"/>
      <c r="I50" s="368">
        <f>+I51*I56</f>
        <v>0.1851457489878543</v>
      </c>
      <c r="J50" s="367"/>
      <c r="K50" s="368">
        <f>+K51*K56</f>
        <v>0.1851457489878543</v>
      </c>
      <c r="L50" s="50"/>
      <c r="M50" s="72">
        <f>+M51*M56</f>
        <v>0.1851457489878543</v>
      </c>
      <c r="N50" s="367"/>
      <c r="O50" s="368">
        <f>+O51*O56</f>
        <v>0.1851457489878543</v>
      </c>
      <c r="P50" s="367"/>
      <c r="Q50" s="368">
        <f>+Q51*Q56</f>
        <v>0.1851457489878543</v>
      </c>
      <c r="R50" s="50"/>
      <c r="S50" s="72">
        <f>+S51*S56</f>
        <v>0.1851457489878543</v>
      </c>
      <c r="T50" s="367"/>
      <c r="U50" s="368">
        <f>+U51*U56</f>
        <v>0.1851457489878543</v>
      </c>
      <c r="V50" s="367"/>
      <c r="W50" s="368">
        <f>+W51*W56</f>
        <v>0.1851457489878543</v>
      </c>
      <c r="X50" s="50"/>
      <c r="Y50" s="72">
        <f>+Y51*Y56</f>
        <v>0.1851457489878543</v>
      </c>
      <c r="Z50" s="367"/>
      <c r="AA50" s="368">
        <f>+AA51*AA56</f>
        <v>0.1851457489878543</v>
      </c>
      <c r="AB50" s="367"/>
      <c r="AC50" s="368">
        <f>+AC51*AC56</f>
        <v>0.1851457489878543</v>
      </c>
      <c r="AD50" s="367"/>
      <c r="AE50" s="368">
        <f t="shared" ref="AE50" si="366">+AE51*AE56</f>
        <v>0.21144651527137914</v>
      </c>
      <c r="AF50" s="367"/>
      <c r="AG50" s="368">
        <f t="shared" ref="AG50" si="367">+AG51*AG56</f>
        <v>0.21538302516799532</v>
      </c>
      <c r="AH50" s="367"/>
      <c r="AI50" s="368">
        <f t="shared" ref="AI50" si="368">+AI51*AI56</f>
        <v>0.18514574898785424</v>
      </c>
      <c r="AJ50" s="367"/>
      <c r="AK50" s="368">
        <f t="shared" ref="AK50" si="369">+AK51*AK56</f>
        <v>0.18514574898785424</v>
      </c>
      <c r="AL50" s="367"/>
      <c r="AM50" s="368">
        <f t="shared" ref="AM50" si="370">+AM51*AM56</f>
        <v>0.18514574898785424</v>
      </c>
      <c r="AN50" s="367"/>
      <c r="AO50" s="368">
        <f t="shared" ref="AO50" si="371">+AO51*AO56</f>
        <v>0.18514574898785424</v>
      </c>
      <c r="AP50" s="367"/>
      <c r="AQ50" s="368">
        <f t="shared" ref="AQ50" si="372">+AQ51*AQ56</f>
        <v>0.18514574898785424</v>
      </c>
      <c r="AR50" s="367"/>
      <c r="AS50" s="368">
        <f t="shared" ref="AS50:AY50" si="373">+AS51*AS56</f>
        <v>0.18514574898785424</v>
      </c>
      <c r="AT50" s="367"/>
      <c r="AU50" s="368">
        <f t="shared" si="373"/>
        <v>0.18514574898785424</v>
      </c>
      <c r="AV50" s="367"/>
      <c r="AW50" s="368">
        <f t="shared" si="373"/>
        <v>0.18514574898785424</v>
      </c>
      <c r="AX50" s="367"/>
      <c r="AY50" s="368">
        <f t="shared" si="373"/>
        <v>0.18520970394736844</v>
      </c>
      <c r="AZ50" s="367"/>
      <c r="BA50" s="368">
        <f t="shared" ref="BA50:BC50" si="374">+BA51*BA56</f>
        <v>0.18520970394736844</v>
      </c>
      <c r="BB50" s="367"/>
      <c r="BC50" s="368">
        <f t="shared" si="374"/>
        <v>0.18520970394736844</v>
      </c>
      <c r="BD50" s="367"/>
      <c r="BE50" s="368">
        <f t="shared" ref="BE50:BG50" si="375">+BE51*BE56</f>
        <v>0.18520970394736844</v>
      </c>
      <c r="BF50" s="367"/>
      <c r="BG50" s="368">
        <f t="shared" si="375"/>
        <v>0.18520970394736844</v>
      </c>
      <c r="BH50" s="367"/>
      <c r="BI50" s="368">
        <f t="shared" ref="BI50:BK50" si="376">+BI51*BI56</f>
        <v>0.18520970394736844</v>
      </c>
      <c r="BJ50" s="367"/>
      <c r="BK50" s="368">
        <f t="shared" si="376"/>
        <v>0.18520970394736844</v>
      </c>
      <c r="BL50" s="367"/>
      <c r="BM50" s="368">
        <f t="shared" ref="BM50" si="377">+BM51*BM56</f>
        <v>0.18520970394736844</v>
      </c>
      <c r="BN50" s="367"/>
      <c r="BO50" s="368">
        <f t="shared" ref="BO50" si="378">+BO51*BO56</f>
        <v>0.27021798365122612</v>
      </c>
      <c r="BP50" s="367"/>
      <c r="BQ50" s="368">
        <f t="shared" ref="BQ50" si="379">+BQ51*BQ56</f>
        <v>0.26237500000000002</v>
      </c>
      <c r="BR50" s="367"/>
      <c r="BS50" s="368">
        <f t="shared" ref="BS50" si="380">+BS51*BS56</f>
        <v>0.26237500000000002</v>
      </c>
      <c r="BT50" s="367"/>
      <c r="BU50" s="368">
        <f>+BU51*BU56</f>
        <v>0.26268491735537192</v>
      </c>
      <c r="BV50" s="367"/>
      <c r="BW50" s="368">
        <f>+BW51*BW56</f>
        <v>0.26268491735537192</v>
      </c>
      <c r="BX50" s="367"/>
      <c r="BY50" s="368">
        <f>+BY51*BY56</f>
        <v>0.26257856393472023</v>
      </c>
      <c r="BZ50" s="367"/>
      <c r="CA50" s="368">
        <f>+CA51*CA56</f>
        <v>0.26240865809611269</v>
      </c>
      <c r="CB50" s="50"/>
      <c r="CC50" s="72">
        <f t="shared" ref="CC50" si="381">+CC51*CC56</f>
        <v>0.27</v>
      </c>
      <c r="CD50" s="50"/>
      <c r="CE50" s="72">
        <f t="shared" ref="CE50" si="382">+CE51*CE56</f>
        <v>0.27</v>
      </c>
      <c r="CF50" s="50"/>
      <c r="CG50" s="72">
        <f>+CG51*CG56</f>
        <v>0.16761512659597494</v>
      </c>
      <c r="CH50" s="367"/>
      <c r="CI50" s="368">
        <f>+CI51*CI56</f>
        <v>0.16735793909597493</v>
      </c>
      <c r="CJ50" s="367"/>
      <c r="CK50" s="368">
        <f>+CK51*CK56</f>
        <v>0.17761512659597495</v>
      </c>
      <c r="CL50" s="367"/>
      <c r="CM50" s="368">
        <f>+CM51*CM56</f>
        <v>0.17761512659597495</v>
      </c>
      <c r="CN50" s="367"/>
      <c r="CO50" s="368">
        <f>+CO51*CO56</f>
        <v>0.16761512659597494</v>
      </c>
      <c r="CR50" s="50"/>
      <c r="CS50" s="72">
        <f t="shared" ref="CS50" si="383">+CS51*CS56</f>
        <v>0.26250000000000001</v>
      </c>
    </row>
    <row r="51" spans="1:97" s="4" customFormat="1" ht="18" customHeight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361"/>
      <c r="I51" s="1081">
        <v>0.05</v>
      </c>
      <c r="J51" s="361"/>
      <c r="K51" s="1081">
        <v>0.05</v>
      </c>
      <c r="L51" s="47"/>
      <c r="M51" s="1082">
        <v>0.05</v>
      </c>
      <c r="N51" s="361"/>
      <c r="O51" s="1081">
        <v>0.05</v>
      </c>
      <c r="P51" s="361"/>
      <c r="Q51" s="1081">
        <v>0.05</v>
      </c>
      <c r="R51" s="47"/>
      <c r="S51" s="1082">
        <v>0.05</v>
      </c>
      <c r="T51" s="361"/>
      <c r="U51" s="1081">
        <v>0.05</v>
      </c>
      <c r="V51" s="361"/>
      <c r="W51" s="1081">
        <v>0.05</v>
      </c>
      <c r="X51" s="47"/>
      <c r="Y51" s="1082">
        <v>0.05</v>
      </c>
      <c r="Z51" s="361"/>
      <c r="AA51" s="1081">
        <v>0.05</v>
      </c>
      <c r="AB51" s="361"/>
      <c r="AC51" s="1081">
        <v>0.05</v>
      </c>
      <c r="AD51" s="361"/>
      <c r="AE51" s="1081">
        <v>0.05</v>
      </c>
      <c r="AF51" s="361"/>
      <c r="AG51" s="1081">
        <v>0.05</v>
      </c>
      <c r="AH51" s="361"/>
      <c r="AI51" s="1081">
        <v>0.05</v>
      </c>
      <c r="AJ51" s="361"/>
      <c r="AK51" s="1081">
        <v>0.05</v>
      </c>
      <c r="AL51" s="361"/>
      <c r="AM51" s="1081">
        <v>0.05</v>
      </c>
      <c r="AN51" s="361"/>
      <c r="AO51" s="1081">
        <v>0.05</v>
      </c>
      <c r="AP51" s="361"/>
      <c r="AQ51" s="1081">
        <v>0.05</v>
      </c>
      <c r="AR51" s="361"/>
      <c r="AS51" s="1081">
        <v>0.05</v>
      </c>
      <c r="AT51" s="361"/>
      <c r="AU51" s="1081">
        <v>0.05</v>
      </c>
      <c r="AV51" s="361"/>
      <c r="AW51" s="1081">
        <v>0.05</v>
      </c>
      <c r="AX51" s="361"/>
      <c r="AY51" s="1081">
        <v>0.05</v>
      </c>
      <c r="AZ51" s="361"/>
      <c r="BA51" s="1081">
        <v>0.05</v>
      </c>
      <c r="BB51" s="361"/>
      <c r="BC51" s="1081">
        <v>0.05</v>
      </c>
      <c r="BD51" s="361"/>
      <c r="BE51" s="1081">
        <v>0.05</v>
      </c>
      <c r="BF51" s="361"/>
      <c r="BG51" s="1081">
        <v>0.05</v>
      </c>
      <c r="BH51" s="361"/>
      <c r="BI51" s="1081">
        <v>0.05</v>
      </c>
      <c r="BJ51" s="361"/>
      <c r="BK51" s="1081">
        <v>0.05</v>
      </c>
      <c r="BL51" s="361"/>
      <c r="BM51" s="1081">
        <v>0.05</v>
      </c>
      <c r="BN51" s="369"/>
      <c r="BO51" s="370">
        <v>0.05</v>
      </c>
      <c r="BP51" s="369"/>
      <c r="BQ51" s="370">
        <v>0.05</v>
      </c>
      <c r="BR51" s="369"/>
      <c r="BS51" s="370">
        <v>0.05</v>
      </c>
      <c r="BT51" s="369"/>
      <c r="BU51" s="370">
        <v>0.05</v>
      </c>
      <c r="BV51" s="369"/>
      <c r="BW51" s="370">
        <v>0.05</v>
      </c>
      <c r="BX51" s="369"/>
      <c r="BY51" s="370">
        <v>0.05</v>
      </c>
      <c r="BZ51" s="369"/>
      <c r="CA51" s="370">
        <v>0.05</v>
      </c>
      <c r="CB51" s="47"/>
      <c r="CC51" s="1082">
        <v>0.05</v>
      </c>
      <c r="CD51" s="47"/>
      <c r="CE51" s="1082">
        <v>0.05</v>
      </c>
      <c r="CF51" s="47"/>
      <c r="CG51" s="1082">
        <v>0.05</v>
      </c>
      <c r="CH51" s="369"/>
      <c r="CI51" s="370">
        <v>0.05</v>
      </c>
      <c r="CJ51" s="361"/>
      <c r="CK51" s="1081">
        <v>0.05</v>
      </c>
      <c r="CL51" s="361"/>
      <c r="CM51" s="1081">
        <v>0.05</v>
      </c>
      <c r="CN51" s="361"/>
      <c r="CO51" s="1081">
        <v>0.05</v>
      </c>
      <c r="CR51" s="47"/>
      <c r="CS51" s="1082">
        <v>0.05</v>
      </c>
    </row>
    <row r="52" spans="1:97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0.36437246963562753</v>
      </c>
      <c r="H52" s="367"/>
      <c r="I52" s="368">
        <f>$D$53/I66</f>
        <v>0.36437246963562753</v>
      </c>
      <c r="J52" s="367"/>
      <c r="K52" s="368">
        <f>$D$53/K66</f>
        <v>0.36437246963562753</v>
      </c>
      <c r="L52" s="50"/>
      <c r="M52" s="72">
        <f>$D$53/M66</f>
        <v>0.36437246963562753</v>
      </c>
      <c r="N52" s="367"/>
      <c r="O52" s="368">
        <f>$D$53/O66</f>
        <v>0.36437246963562753</v>
      </c>
      <c r="P52" s="367"/>
      <c r="Q52" s="368">
        <f>$D$53/Q66</f>
        <v>0.36437246963562753</v>
      </c>
      <c r="R52" s="50"/>
      <c r="S52" s="72">
        <f>$D$53/S66</f>
        <v>0.36437246963562753</v>
      </c>
      <c r="T52" s="367"/>
      <c r="U52" s="368">
        <f>$D$53/U66</f>
        <v>0.36437246963562753</v>
      </c>
      <c r="V52" s="367"/>
      <c r="W52" s="368">
        <f>$D$53/W66</f>
        <v>0.36437246963562753</v>
      </c>
      <c r="X52" s="50"/>
      <c r="Y52" s="72">
        <f>$D$53/Y66</f>
        <v>0.36437246963562753</v>
      </c>
      <c r="Z52" s="367"/>
      <c r="AA52" s="368">
        <f>$D$53/AA66</f>
        <v>0.36437246963562753</v>
      </c>
      <c r="AB52" s="367"/>
      <c r="AC52" s="368">
        <f>$D$53/AC66</f>
        <v>0.36437246963562753</v>
      </c>
      <c r="AD52" s="367"/>
      <c r="AE52" s="368">
        <f t="shared" ref="AE52" si="384">$D$53/AE66</f>
        <v>0.36437246963562753</v>
      </c>
      <c r="AF52" s="367"/>
      <c r="AG52" s="368">
        <f t="shared" ref="AG52" si="385">$D$53/AG66</f>
        <v>0.36437246963562753</v>
      </c>
      <c r="AH52" s="367"/>
      <c r="AI52" s="368">
        <f t="shared" ref="AI52" si="386">$D$53/AI66</f>
        <v>0.36437246963562753</v>
      </c>
      <c r="AJ52" s="367"/>
      <c r="AK52" s="368">
        <f t="shared" ref="AK52" si="387">$D$53/AK66</f>
        <v>0.36437246963562753</v>
      </c>
      <c r="AL52" s="367"/>
      <c r="AM52" s="368">
        <f t="shared" ref="AM52" si="388">$D$53/AM66</f>
        <v>0.36437246963562753</v>
      </c>
      <c r="AN52" s="367"/>
      <c r="AO52" s="368">
        <f t="shared" ref="AO52" si="389">$D$53/AO66</f>
        <v>0.36437246963562753</v>
      </c>
      <c r="AP52" s="367"/>
      <c r="AQ52" s="368">
        <f t="shared" ref="AQ52" si="390">$D$53/AQ66</f>
        <v>0.36437246963562753</v>
      </c>
      <c r="AR52" s="367"/>
      <c r="AS52" s="368">
        <f t="shared" ref="AS52:AY52" si="391">$D$53/AS66</f>
        <v>0.36437246963562753</v>
      </c>
      <c r="AT52" s="367"/>
      <c r="AU52" s="368">
        <f t="shared" si="391"/>
        <v>0.36437246963562753</v>
      </c>
      <c r="AV52" s="367"/>
      <c r="AW52" s="368">
        <f t="shared" si="391"/>
        <v>0.36437246963562753</v>
      </c>
      <c r="AX52" s="367"/>
      <c r="AY52" s="368">
        <f t="shared" si="391"/>
        <v>0.37006578947368424</v>
      </c>
      <c r="AZ52" s="367"/>
      <c r="BA52" s="368">
        <f t="shared" ref="BA52:BC52" si="392">$D$53/BA66</f>
        <v>0.37006578947368424</v>
      </c>
      <c r="BB52" s="367"/>
      <c r="BC52" s="368">
        <f t="shared" si="392"/>
        <v>0.37006578947368424</v>
      </c>
      <c r="BD52" s="367"/>
      <c r="BE52" s="368">
        <f t="shared" ref="BE52:BG52" si="393">$D$53/BE66</f>
        <v>0.37006578947368424</v>
      </c>
      <c r="BF52" s="367"/>
      <c r="BG52" s="368">
        <f t="shared" si="393"/>
        <v>0.37006578947368424</v>
      </c>
      <c r="BH52" s="367"/>
      <c r="BI52" s="368">
        <f t="shared" ref="BI52:BK52" si="394">$D$53/BI66</f>
        <v>0.37006578947368424</v>
      </c>
      <c r="BJ52" s="367"/>
      <c r="BK52" s="368">
        <f t="shared" si="394"/>
        <v>0.37006578947368424</v>
      </c>
      <c r="BL52" s="367"/>
      <c r="BM52" s="368">
        <f t="shared" ref="BM52" si="395">$D$53/BM66</f>
        <v>0.37006578947368424</v>
      </c>
      <c r="BN52" s="367"/>
      <c r="BO52" s="368">
        <f t="shared" ref="BO52" si="396">$D$53/BO66</f>
        <v>0.49046321525885561</v>
      </c>
      <c r="BP52" s="367"/>
      <c r="BQ52" s="368">
        <f t="shared" ref="BQ52" si="397">$D$53/BQ66</f>
        <v>0.45</v>
      </c>
      <c r="BR52" s="367"/>
      <c r="BS52" s="368">
        <f t="shared" ref="BS52" si="398">$D$53/BS66</f>
        <v>0.45</v>
      </c>
      <c r="BT52" s="367"/>
      <c r="BU52" s="368">
        <f>$D$53/BU66</f>
        <v>0.46487603305785125</v>
      </c>
      <c r="BV52" s="367"/>
      <c r="BW52" s="368">
        <f>$D$53/BW66</f>
        <v>0.46487603305785125</v>
      </c>
      <c r="BX52" s="367"/>
      <c r="BY52" s="368">
        <f>$D$53/BY66</f>
        <v>0.43041606886657102</v>
      </c>
      <c r="BZ52" s="367"/>
      <c r="CA52" s="368">
        <f>$D$53/CA66</f>
        <v>0.46487603305785125</v>
      </c>
      <c r="CB52" s="50"/>
      <c r="CC52" s="72">
        <f>$D$53/CC66</f>
        <v>0.32496840584943132</v>
      </c>
      <c r="CD52" s="50"/>
      <c r="CE52" s="72">
        <f>$D$53/CE66</f>
        <v>0.32496840584943132</v>
      </c>
      <c r="CF52" s="50"/>
      <c r="CG52" s="72">
        <f>'Pricing Structure - PMAD'!$D$53/CG66</f>
        <v>0.38952607660679506</v>
      </c>
      <c r="CH52" s="367"/>
      <c r="CI52" s="368">
        <f>$D$53/CI66</f>
        <v>0.38952607660679506</v>
      </c>
      <c r="CJ52" s="367"/>
      <c r="CK52" s="368">
        <f>$D$53/CK66</f>
        <v>0.38952607660679506</v>
      </c>
      <c r="CL52" s="367"/>
      <c r="CM52" s="368">
        <f>$D$53/CM66</f>
        <v>0.38952607660679506</v>
      </c>
      <c r="CN52" s="367"/>
      <c r="CO52" s="368">
        <f>$D$53/CO66</f>
        <v>0.38952607660679506</v>
      </c>
      <c r="CR52" s="50"/>
      <c r="CS52" s="72">
        <f t="shared" ref="CS52" si="399">$D$53/CS66</f>
        <v>0.75</v>
      </c>
    </row>
    <row r="53" spans="1:97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9.8401521943539377E-2</v>
      </c>
      <c r="H53" s="361"/>
      <c r="I53" s="1081">
        <f>I52/I56</f>
        <v>9.8401521943539377E-2</v>
      </c>
      <c r="J53" s="361"/>
      <c r="K53" s="1081">
        <f>K52/K56</f>
        <v>9.8401521943539377E-2</v>
      </c>
      <c r="L53" s="47"/>
      <c r="M53" s="1082">
        <f>M52/M56</f>
        <v>9.8401521943539377E-2</v>
      </c>
      <c r="N53" s="361"/>
      <c r="O53" s="1081">
        <f>O52/O56</f>
        <v>9.8401521943539377E-2</v>
      </c>
      <c r="P53" s="361"/>
      <c r="Q53" s="1081">
        <f>Q52/Q56</f>
        <v>9.8401521943539377E-2</v>
      </c>
      <c r="R53" s="47"/>
      <c r="S53" s="1082">
        <f>S52/S56</f>
        <v>9.8401521943539377E-2</v>
      </c>
      <c r="T53" s="361"/>
      <c r="U53" s="1081">
        <f>U52/U56</f>
        <v>9.8401521943539377E-2</v>
      </c>
      <c r="V53" s="361"/>
      <c r="W53" s="1081">
        <f>W52/W56</f>
        <v>9.8401521943539377E-2</v>
      </c>
      <c r="X53" s="47"/>
      <c r="Y53" s="1082">
        <f>Y52/Y56</f>
        <v>9.8401521943539377E-2</v>
      </c>
      <c r="Z53" s="361"/>
      <c r="AA53" s="1081">
        <f>AA52/AA56</f>
        <v>9.8401521943539377E-2</v>
      </c>
      <c r="AB53" s="361"/>
      <c r="AC53" s="1081">
        <f>AC52/AC56</f>
        <v>9.8401521943539377E-2</v>
      </c>
      <c r="AD53" s="361"/>
      <c r="AE53" s="1081">
        <f t="shared" ref="AE53" si="400">AE52/AE56</f>
        <v>8.6161852600875666E-2</v>
      </c>
      <c r="AF53" s="361"/>
      <c r="AG53" s="1081">
        <f t="shared" ref="AG53" si="401">AG52/AG56</f>
        <v>8.4587090684473121E-2</v>
      </c>
      <c r="AH53" s="361"/>
      <c r="AI53" s="1081">
        <f t="shared" ref="AI53" si="402">AI52/AI56</f>
        <v>9.8401521943539405E-2</v>
      </c>
      <c r="AJ53" s="361"/>
      <c r="AK53" s="1081">
        <f t="shared" ref="AK53" si="403">AK52/AK56</f>
        <v>9.8401521943539405E-2</v>
      </c>
      <c r="AL53" s="361"/>
      <c r="AM53" s="1081">
        <f t="shared" ref="AM53" si="404">AM52/AM56</f>
        <v>9.8401521943539405E-2</v>
      </c>
      <c r="AN53" s="361"/>
      <c r="AO53" s="1081">
        <f t="shared" ref="AO53" si="405">AO52/AO56</f>
        <v>9.8401521943539405E-2</v>
      </c>
      <c r="AP53" s="361"/>
      <c r="AQ53" s="1081">
        <f t="shared" ref="AQ53" si="406">AQ52/AQ56</f>
        <v>9.8401521943539405E-2</v>
      </c>
      <c r="AR53" s="361"/>
      <c r="AS53" s="1081">
        <f t="shared" ref="AS53:AY53" si="407">AS52/AS56</f>
        <v>9.8401521943539405E-2</v>
      </c>
      <c r="AT53" s="361"/>
      <c r="AU53" s="1081">
        <f t="shared" si="407"/>
        <v>9.8401521943539405E-2</v>
      </c>
      <c r="AV53" s="361"/>
      <c r="AW53" s="1081">
        <f t="shared" si="407"/>
        <v>9.8401521943539405E-2</v>
      </c>
      <c r="AX53" s="361"/>
      <c r="AY53" s="1081">
        <f t="shared" si="407"/>
        <v>9.9904535665919239E-2</v>
      </c>
      <c r="AZ53" s="361"/>
      <c r="BA53" s="1081">
        <f t="shared" ref="BA53:BC53" si="408">BA52/BA56</f>
        <v>9.9904535665919239E-2</v>
      </c>
      <c r="BB53" s="361"/>
      <c r="BC53" s="1081">
        <f t="shared" si="408"/>
        <v>9.9904535665919239E-2</v>
      </c>
      <c r="BD53" s="361"/>
      <c r="BE53" s="1081">
        <f t="shared" ref="BE53:BG53" si="409">BE52/BE56</f>
        <v>9.9904535665919239E-2</v>
      </c>
      <c r="BF53" s="361"/>
      <c r="BG53" s="1081">
        <f t="shared" si="409"/>
        <v>9.9904535665919239E-2</v>
      </c>
      <c r="BH53" s="361"/>
      <c r="BI53" s="1081">
        <f t="shared" ref="BI53:BK53" si="410">BI52/BI56</f>
        <v>9.9904535665919239E-2</v>
      </c>
      <c r="BJ53" s="361"/>
      <c r="BK53" s="1081">
        <f t="shared" si="410"/>
        <v>9.9904535665919239E-2</v>
      </c>
      <c r="BL53" s="361"/>
      <c r="BM53" s="1081">
        <f t="shared" ref="BM53" si="411">BM52/BM56</f>
        <v>9.9904535665919239E-2</v>
      </c>
      <c r="BN53" s="369"/>
      <c r="BO53" s="370">
        <f t="shared" ref="BO53" si="412">BO52/BO56</f>
        <v>9.0753251991529713E-2</v>
      </c>
      <c r="BP53" s="369"/>
      <c r="BQ53" s="370">
        <f t="shared" ref="BQ53" si="413">BQ52/BQ56</f>
        <v>8.5755121486422101E-2</v>
      </c>
      <c r="BR53" s="369"/>
      <c r="BS53" s="370">
        <f t="shared" ref="BS53" si="414">BS52/BS56</f>
        <v>8.5755121486422101E-2</v>
      </c>
      <c r="BT53" s="369"/>
      <c r="BU53" s="370">
        <f>BU52/BU56</f>
        <v>8.8485482481840821E-2</v>
      </c>
      <c r="BV53" s="369"/>
      <c r="BW53" s="370">
        <f>BW52/BW56</f>
        <v>8.8485482481840821E-2</v>
      </c>
      <c r="BX53" s="369"/>
      <c r="BY53" s="370">
        <f>BY52/BY56</f>
        <v>8.1959483366962307E-2</v>
      </c>
      <c r="BZ53" s="369"/>
      <c r="CA53" s="370">
        <f>CA52/CA56</f>
        <v>8.8578638454753389E-2</v>
      </c>
      <c r="CB53" s="47"/>
      <c r="CC53" s="1082">
        <f t="shared" ref="CC53" si="415">CC52/CC56</f>
        <v>6.0179334416561349E-2</v>
      </c>
      <c r="CD53" s="47"/>
      <c r="CE53" s="1082">
        <f t="shared" ref="CE53" si="416">CE52/CE56</f>
        <v>6.0179334416561349E-2</v>
      </c>
      <c r="CF53" s="47"/>
      <c r="CG53" s="1082">
        <f>CG52/CG56</f>
        <v>0.11619657620332849</v>
      </c>
      <c r="CH53" s="369"/>
      <c r="CI53" s="370">
        <f>CI52/CI56</f>
        <v>0.11637514142170846</v>
      </c>
      <c r="CJ53" s="361"/>
      <c r="CK53" s="1081">
        <f>CK52/CK56</f>
        <v>0.10965453339254676</v>
      </c>
      <c r="CL53" s="361"/>
      <c r="CM53" s="1081">
        <f>CM52/CM56</f>
        <v>0.10965453339254676</v>
      </c>
      <c r="CN53" s="361"/>
      <c r="CO53" s="1081">
        <f>CO52/CO56</f>
        <v>0.11619657620332849</v>
      </c>
      <c r="CR53" s="47"/>
      <c r="CS53" s="1082">
        <f t="shared" ref="CS53" si="417">CS52/CS56</f>
        <v>0.14285714285714285</v>
      </c>
    </row>
    <row r="54" spans="1:97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0.38880607287449398</v>
      </c>
      <c r="H54" s="371"/>
      <c r="I54" s="368">
        <f>(I55*(I56+I50))</f>
        <v>0.38880607287449398</v>
      </c>
      <c r="J54" s="371"/>
      <c r="K54" s="368">
        <f>(K55*(K56+K50))</f>
        <v>0.38880607287449398</v>
      </c>
      <c r="L54" s="73"/>
      <c r="M54" s="72">
        <f>(M55*(M56+M50))</f>
        <v>0.38880607287449398</v>
      </c>
      <c r="N54" s="371"/>
      <c r="O54" s="368">
        <f>(O55*(O56+O50))</f>
        <v>0.38880607287449398</v>
      </c>
      <c r="P54" s="371"/>
      <c r="Q54" s="368">
        <f>(Q55*(Q56+Q50))</f>
        <v>0.38880607287449398</v>
      </c>
      <c r="R54" s="73"/>
      <c r="S54" s="72">
        <f>(S55*(S56+S50))</f>
        <v>0.38880607287449398</v>
      </c>
      <c r="T54" s="371"/>
      <c r="U54" s="368">
        <f>(U55*(U56+U50))</f>
        <v>0.38880607287449398</v>
      </c>
      <c r="V54" s="371"/>
      <c r="W54" s="368">
        <f>(W55*(W56+W50))</f>
        <v>0.38880607287449398</v>
      </c>
      <c r="X54" s="73"/>
      <c r="Y54" s="72">
        <f>(Y55*(Y56+Y50))</f>
        <v>0.38880607287449398</v>
      </c>
      <c r="Z54" s="371"/>
      <c r="AA54" s="368">
        <f>(AA55*(AA56+AA50))</f>
        <v>0.38880607287449398</v>
      </c>
      <c r="AB54" s="371"/>
      <c r="AC54" s="368">
        <f>(AC55*(AC56+AC50))</f>
        <v>0.38880607287449398</v>
      </c>
      <c r="AD54" s="371"/>
      <c r="AE54" s="368">
        <f t="shared" ref="AE54" si="418">(AE55*(AE56+AE50))</f>
        <v>0.44403768206989619</v>
      </c>
      <c r="AF54" s="371"/>
      <c r="AG54" s="368">
        <f t="shared" ref="AG54" si="419">(AG55*(AG56+AG50))</f>
        <v>0.45230435285279014</v>
      </c>
      <c r="AH54" s="371"/>
      <c r="AI54" s="368">
        <f t="shared" ref="AI54" si="420">(AI55*(AI56+AI50))</f>
        <v>0.38880607287449392</v>
      </c>
      <c r="AJ54" s="371"/>
      <c r="AK54" s="368">
        <f t="shared" ref="AK54" si="421">(AK55*(AK56+AK50))</f>
        <v>0.38880607287449392</v>
      </c>
      <c r="AL54" s="371"/>
      <c r="AM54" s="368">
        <f t="shared" ref="AM54" si="422">(AM55*(AM56+AM50))</f>
        <v>0.38880607287449392</v>
      </c>
      <c r="AN54" s="371"/>
      <c r="AO54" s="368">
        <f t="shared" ref="AO54" si="423">(AO55*(AO56+AO50))</f>
        <v>0.38880607287449392</v>
      </c>
      <c r="AP54" s="371"/>
      <c r="AQ54" s="368">
        <f t="shared" ref="AQ54" si="424">(AQ55*(AQ56+AQ50))</f>
        <v>0.38880607287449392</v>
      </c>
      <c r="AR54" s="371"/>
      <c r="AS54" s="368">
        <f t="shared" ref="AS54:AY54" si="425">(AS55*(AS56+AS50))</f>
        <v>0.38880607287449392</v>
      </c>
      <c r="AT54" s="371"/>
      <c r="AU54" s="368">
        <f t="shared" si="425"/>
        <v>0.38880607287449392</v>
      </c>
      <c r="AV54" s="371"/>
      <c r="AW54" s="368">
        <f t="shared" si="425"/>
        <v>0.38880607287449392</v>
      </c>
      <c r="AX54" s="371"/>
      <c r="AY54" s="368">
        <f t="shared" si="425"/>
        <v>0.3889403782894737</v>
      </c>
      <c r="AZ54" s="371"/>
      <c r="BA54" s="368">
        <f t="shared" ref="BA54:BC54" si="426">(BA55*(BA56+BA50))</f>
        <v>0.3889403782894737</v>
      </c>
      <c r="BB54" s="371"/>
      <c r="BC54" s="368">
        <f t="shared" si="426"/>
        <v>0.3889403782894737</v>
      </c>
      <c r="BD54" s="371"/>
      <c r="BE54" s="368">
        <f t="shared" ref="BE54:BG54" si="427">(BE55*(BE56+BE50))</f>
        <v>0.3889403782894737</v>
      </c>
      <c r="BF54" s="371"/>
      <c r="BG54" s="368">
        <f t="shared" si="427"/>
        <v>0.3889403782894737</v>
      </c>
      <c r="BH54" s="371"/>
      <c r="BI54" s="368">
        <f t="shared" ref="BI54:BK54" si="428">(BI55*(BI56+BI50))</f>
        <v>0.3889403782894737</v>
      </c>
      <c r="BJ54" s="371"/>
      <c r="BK54" s="368">
        <f t="shared" si="428"/>
        <v>0.3889403782894737</v>
      </c>
      <c r="BL54" s="371"/>
      <c r="BM54" s="368">
        <f t="shared" ref="BM54" si="429">(BM55*(BM56+BM50))</f>
        <v>0.3889403782894737</v>
      </c>
      <c r="BN54" s="371"/>
      <c r="BO54" s="368">
        <f t="shared" ref="BO54" si="430">(BO55*(BO56+BO50))</f>
        <v>0.56745776566757489</v>
      </c>
      <c r="BP54" s="371"/>
      <c r="BQ54" s="368">
        <f t="shared" ref="BQ54" si="431">(BQ55*(BQ56+BQ50))</f>
        <v>0.55098750000000007</v>
      </c>
      <c r="BR54" s="371"/>
      <c r="BS54" s="368">
        <f t="shared" ref="BS54" si="432">(BS55*(BS56+BS50))</f>
        <v>0.55098750000000007</v>
      </c>
      <c r="BT54" s="371"/>
      <c r="BU54" s="368">
        <f>(BU55*(BU56+BU50))</f>
        <v>0.55163832644628108</v>
      </c>
      <c r="BV54" s="371"/>
      <c r="BW54" s="368">
        <f>(BW55*(BW56+BW50))</f>
        <v>0.55163832644628108</v>
      </c>
      <c r="BX54" s="371"/>
      <c r="BY54" s="368">
        <f>(BY55*(BY56+BY50))</f>
        <v>0.55141498426291258</v>
      </c>
      <c r="BZ54" s="371"/>
      <c r="CA54" s="368">
        <f>(CA55*(CA56+CA50))</f>
        <v>0.55105818200183665</v>
      </c>
      <c r="CB54" s="73"/>
      <c r="CC54" s="72">
        <f t="shared" ref="CC54" si="433">(CC55*(CC56+CC50))</f>
        <v>0.56700000000000006</v>
      </c>
      <c r="CD54" s="73"/>
      <c r="CE54" s="72">
        <f t="shared" ref="CE54" si="434">(CE55*(CE56+CE50))</f>
        <v>0.56700000000000006</v>
      </c>
      <c r="CF54" s="73"/>
      <c r="CG54" s="72">
        <f>(CG55*(CG56+CG50))</f>
        <v>0.3519917658515474</v>
      </c>
      <c r="CH54" s="371"/>
      <c r="CI54" s="368">
        <f>(CI55*(CI56+CI50))</f>
        <v>0.35145167210154732</v>
      </c>
      <c r="CJ54" s="371"/>
      <c r="CK54" s="368">
        <f>(CK55*(CK56+CK50))</f>
        <v>0.37299176585154736</v>
      </c>
      <c r="CL54" s="371"/>
      <c r="CM54" s="368">
        <f>(CM55*(CM56+CM50))</f>
        <v>0.37299176585154736</v>
      </c>
      <c r="CN54" s="371"/>
      <c r="CO54" s="368">
        <f>(CO55*(CO56+CO50))</f>
        <v>0.3519917658515474</v>
      </c>
      <c r="CR54" s="73"/>
      <c r="CS54" s="72">
        <f t="shared" ref="CS54" si="435">(CS55*(CS56+CS50))</f>
        <v>0.55125000000000002</v>
      </c>
    </row>
    <row r="55" spans="1:97" s="4" customFormat="1" ht="18" customHeight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361"/>
      <c r="I55" s="1081">
        <v>0.1</v>
      </c>
      <c r="J55" s="361"/>
      <c r="K55" s="1081">
        <v>0.1</v>
      </c>
      <c r="L55" s="47"/>
      <c r="M55" s="1082">
        <v>0.1</v>
      </c>
      <c r="N55" s="361"/>
      <c r="O55" s="1081">
        <v>0.1</v>
      </c>
      <c r="P55" s="361"/>
      <c r="Q55" s="1081">
        <v>0.1</v>
      </c>
      <c r="R55" s="47"/>
      <c r="S55" s="1082">
        <v>0.1</v>
      </c>
      <c r="T55" s="361"/>
      <c r="U55" s="1081">
        <v>0.1</v>
      </c>
      <c r="V55" s="361"/>
      <c r="W55" s="1081">
        <v>0.1</v>
      </c>
      <c r="X55" s="47"/>
      <c r="Y55" s="1082">
        <v>0.1</v>
      </c>
      <c r="Z55" s="361"/>
      <c r="AA55" s="1081">
        <v>0.1</v>
      </c>
      <c r="AB55" s="361"/>
      <c r="AC55" s="1081">
        <v>0.1</v>
      </c>
      <c r="AD55" s="361"/>
      <c r="AE55" s="1081">
        <v>0.1</v>
      </c>
      <c r="AF55" s="361"/>
      <c r="AG55" s="1081">
        <v>0.1</v>
      </c>
      <c r="AH55" s="361"/>
      <c r="AI55" s="1081">
        <v>0.1</v>
      </c>
      <c r="AJ55" s="361"/>
      <c r="AK55" s="1081">
        <v>0.1</v>
      </c>
      <c r="AL55" s="361"/>
      <c r="AM55" s="1081">
        <v>0.1</v>
      </c>
      <c r="AN55" s="361"/>
      <c r="AO55" s="1081">
        <v>0.1</v>
      </c>
      <c r="AP55" s="361"/>
      <c r="AQ55" s="1081">
        <v>0.1</v>
      </c>
      <c r="AR55" s="361"/>
      <c r="AS55" s="1081">
        <v>0.1</v>
      </c>
      <c r="AT55" s="361"/>
      <c r="AU55" s="1081">
        <v>0.1</v>
      </c>
      <c r="AV55" s="361"/>
      <c r="AW55" s="1081">
        <v>0.1</v>
      </c>
      <c r="AX55" s="361"/>
      <c r="AY55" s="1081">
        <v>0.1</v>
      </c>
      <c r="AZ55" s="361"/>
      <c r="BA55" s="1081">
        <v>0.1</v>
      </c>
      <c r="BB55" s="361"/>
      <c r="BC55" s="1081">
        <v>0.1</v>
      </c>
      <c r="BD55" s="361"/>
      <c r="BE55" s="1081">
        <v>0.1</v>
      </c>
      <c r="BF55" s="361"/>
      <c r="BG55" s="1081">
        <v>0.1</v>
      </c>
      <c r="BH55" s="361"/>
      <c r="BI55" s="1081">
        <v>0.1</v>
      </c>
      <c r="BJ55" s="361"/>
      <c r="BK55" s="1081">
        <v>0.1</v>
      </c>
      <c r="BL55" s="361"/>
      <c r="BM55" s="1081">
        <v>0.1</v>
      </c>
      <c r="BN55" s="369"/>
      <c r="BO55" s="370">
        <v>0.1</v>
      </c>
      <c r="BP55" s="369"/>
      <c r="BQ55" s="370">
        <v>0.1</v>
      </c>
      <c r="BR55" s="369"/>
      <c r="BS55" s="370">
        <v>0.1</v>
      </c>
      <c r="BT55" s="369"/>
      <c r="BU55" s="370">
        <v>0.1</v>
      </c>
      <c r="BV55" s="369"/>
      <c r="BW55" s="370">
        <v>0.1</v>
      </c>
      <c r="BX55" s="369"/>
      <c r="BY55" s="370">
        <v>0.1</v>
      </c>
      <c r="BZ55" s="369"/>
      <c r="CA55" s="370">
        <v>0.1</v>
      </c>
      <c r="CB55" s="47"/>
      <c r="CC55" s="1082">
        <v>0.1</v>
      </c>
      <c r="CD55" s="47"/>
      <c r="CE55" s="1082">
        <v>0.1</v>
      </c>
      <c r="CF55" s="47"/>
      <c r="CG55" s="1082">
        <v>0.1</v>
      </c>
      <c r="CH55" s="369"/>
      <c r="CI55" s="370">
        <v>0.1</v>
      </c>
      <c r="CJ55" s="361"/>
      <c r="CK55" s="1081">
        <v>0.1</v>
      </c>
      <c r="CL55" s="361"/>
      <c r="CM55" s="1081">
        <v>0.1</v>
      </c>
      <c r="CN55" s="361"/>
      <c r="CO55" s="1081">
        <v>0.1</v>
      </c>
      <c r="CR55" s="47"/>
      <c r="CS55" s="1082">
        <v>0.1</v>
      </c>
    </row>
    <row r="56" spans="1:97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3.7029149797570855</v>
      </c>
      <c r="H56" s="81"/>
      <c r="I56" s="82">
        <f>I60-I57+I58</f>
        <v>3.7029149797570855</v>
      </c>
      <c r="J56" s="81"/>
      <c r="K56" s="82">
        <f>K60-K57+K58</f>
        <v>3.7029149797570855</v>
      </c>
      <c r="L56" s="81"/>
      <c r="M56" s="82">
        <f>M60-M57+M58</f>
        <v>3.7029149797570855</v>
      </c>
      <c r="N56" s="81"/>
      <c r="O56" s="82">
        <f>O60-O57+O58</f>
        <v>3.7029149797570855</v>
      </c>
      <c r="P56" s="81"/>
      <c r="Q56" s="82">
        <f>Q60-Q57+Q58</f>
        <v>3.7029149797570855</v>
      </c>
      <c r="R56" s="81"/>
      <c r="S56" s="82">
        <f>S60-S57+S58</f>
        <v>3.7029149797570855</v>
      </c>
      <c r="T56" s="81"/>
      <c r="U56" s="82">
        <f>U60-U57+U58</f>
        <v>3.7029149797570855</v>
      </c>
      <c r="V56" s="81"/>
      <c r="W56" s="82">
        <f>W60-W57+W58</f>
        <v>3.7029149797570855</v>
      </c>
      <c r="X56" s="81"/>
      <c r="Y56" s="82">
        <f>Y60-Y57+Y58</f>
        <v>3.7029149797570855</v>
      </c>
      <c r="Z56" s="81"/>
      <c r="AA56" s="82">
        <f>AA60-AA57+AA58</f>
        <v>3.7029149797570855</v>
      </c>
      <c r="AB56" s="81"/>
      <c r="AC56" s="82">
        <f>AC60-AC57+AC58</f>
        <v>3.7029149797570855</v>
      </c>
      <c r="AD56" s="81"/>
      <c r="AE56" s="82">
        <f t="shared" ref="AE56" si="436">AE60-AE57+AE58</f>
        <v>4.2289303054275829</v>
      </c>
      <c r="AF56" s="81"/>
      <c r="AG56" s="82">
        <f t="shared" ref="AG56" si="437">AG60-AG57+AG58</f>
        <v>4.307660503359906</v>
      </c>
      <c r="AH56" s="81"/>
      <c r="AI56" s="82">
        <f t="shared" ref="AI56" si="438">AI60-AI57+AI58</f>
        <v>3.7029149797570846</v>
      </c>
      <c r="AJ56" s="81"/>
      <c r="AK56" s="82">
        <f t="shared" ref="AK56" si="439">AK60-AK57+AK58</f>
        <v>3.7029149797570846</v>
      </c>
      <c r="AL56" s="81"/>
      <c r="AM56" s="82">
        <f t="shared" ref="AM56" si="440">AM60-AM57+AM58</f>
        <v>3.7029149797570846</v>
      </c>
      <c r="AN56" s="81"/>
      <c r="AO56" s="82">
        <f t="shared" ref="AO56" si="441">AO60-AO57+AO58</f>
        <v>3.7029149797570846</v>
      </c>
      <c r="AP56" s="81"/>
      <c r="AQ56" s="82">
        <f t="shared" ref="AQ56" si="442">AQ60-AQ57+AQ58</f>
        <v>3.7029149797570846</v>
      </c>
      <c r="AR56" s="81"/>
      <c r="AS56" s="82">
        <f t="shared" ref="AS56:AY56" si="443">AS60-AS57+AS58</f>
        <v>3.7029149797570846</v>
      </c>
      <c r="AT56" s="81"/>
      <c r="AU56" s="82">
        <f t="shared" si="443"/>
        <v>3.7029149797570846</v>
      </c>
      <c r="AV56" s="81"/>
      <c r="AW56" s="82">
        <f t="shared" si="443"/>
        <v>3.7029149797570846</v>
      </c>
      <c r="AX56" s="81"/>
      <c r="AY56" s="82">
        <f t="shared" si="443"/>
        <v>3.7041940789473684</v>
      </c>
      <c r="AZ56" s="81"/>
      <c r="BA56" s="82">
        <f t="shared" ref="BA56:BC56" si="444">BA60-BA57+BA58</f>
        <v>3.7041940789473684</v>
      </c>
      <c r="BB56" s="81"/>
      <c r="BC56" s="82">
        <f t="shared" si="444"/>
        <v>3.7041940789473684</v>
      </c>
      <c r="BD56" s="81"/>
      <c r="BE56" s="82">
        <f t="shared" ref="BE56:BG56" si="445">BE60-BE57+BE58</f>
        <v>3.7041940789473684</v>
      </c>
      <c r="BF56" s="81"/>
      <c r="BG56" s="82">
        <f t="shared" si="445"/>
        <v>3.7041940789473684</v>
      </c>
      <c r="BH56" s="81"/>
      <c r="BI56" s="82">
        <f t="shared" ref="BI56:BK56" si="446">BI60-BI57+BI58</f>
        <v>3.7041940789473684</v>
      </c>
      <c r="BJ56" s="81"/>
      <c r="BK56" s="82">
        <f t="shared" si="446"/>
        <v>3.7041940789473684</v>
      </c>
      <c r="BL56" s="81"/>
      <c r="BM56" s="82">
        <f t="shared" ref="BM56" si="447">BM60-BM57+BM58</f>
        <v>3.7041940789473684</v>
      </c>
      <c r="BN56" s="550"/>
      <c r="BO56" s="82">
        <f t="shared" ref="BO56" si="448">BO60-BO57+BO58</f>
        <v>5.4043596730245227</v>
      </c>
      <c r="BP56" s="550"/>
      <c r="BQ56" s="82">
        <f t="shared" ref="BQ56" si="449">BQ60-BQ57+BQ58</f>
        <v>5.2475000000000005</v>
      </c>
      <c r="BR56" s="81"/>
      <c r="BS56" s="82">
        <f t="shared" ref="BS56" si="450">BS60-BS57+BS58</f>
        <v>5.2475000000000005</v>
      </c>
      <c r="BT56" s="550"/>
      <c r="BU56" s="82">
        <f>BU60-BU57+BU58</f>
        <v>5.2536983471074379</v>
      </c>
      <c r="BV56" s="550"/>
      <c r="BW56" s="82">
        <f>BW60-BW57+BW58</f>
        <v>5.2536983471074379</v>
      </c>
      <c r="BX56" s="550"/>
      <c r="BY56" s="82">
        <f>BY60-BY57+BY58</f>
        <v>5.2515712786944047</v>
      </c>
      <c r="BZ56" s="550"/>
      <c r="CA56" s="82">
        <f>CA60-CA57+CA58</f>
        <v>5.2481731619222538</v>
      </c>
      <c r="CB56" s="81"/>
      <c r="CC56" s="82">
        <f t="shared" ref="CC56" si="451">CC60-CC57+CC58</f>
        <v>5.4</v>
      </c>
      <c r="CD56" s="81"/>
      <c r="CE56" s="82">
        <f t="shared" ref="CE56" si="452">CE60-CE57+CE58</f>
        <v>5.4</v>
      </c>
      <c r="CF56" s="81"/>
      <c r="CG56" s="82">
        <f>CG60-CG57+CG58</f>
        <v>3.3523025319194986</v>
      </c>
      <c r="CH56" s="81"/>
      <c r="CI56" s="82">
        <f>CI60-CI57+CI58</f>
        <v>3.3471587819194983</v>
      </c>
      <c r="CJ56" s="81"/>
      <c r="CK56" s="82">
        <f>CK60-CK57+CK58</f>
        <v>3.5523025319194987</v>
      </c>
      <c r="CL56" s="81"/>
      <c r="CM56" s="82">
        <f>CM60-CM57+CM58</f>
        <v>3.5523025319194987</v>
      </c>
      <c r="CN56" s="81"/>
      <c r="CO56" s="82">
        <f>CO60-CO57+CO58</f>
        <v>3.3523025319194986</v>
      </c>
      <c r="CR56" s="81"/>
      <c r="CS56" s="82">
        <f t="shared" ref="CS56" si="453">CS60-CS57+CS58</f>
        <v>5.25</v>
      </c>
    </row>
    <row r="57" spans="1:97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1.02</v>
      </c>
      <c r="H57" s="85"/>
      <c r="I57" s="86">
        <f>0.54+0.48</f>
        <v>1.02</v>
      </c>
      <c r="J57" s="85"/>
      <c r="K57" s="86">
        <f>0.54+0.48</f>
        <v>1.02</v>
      </c>
      <c r="L57" s="85"/>
      <c r="M57" s="86">
        <v>1.02</v>
      </c>
      <c r="N57" s="85"/>
      <c r="O57" s="86">
        <f>0.54+0.48</f>
        <v>1.02</v>
      </c>
      <c r="P57" s="85"/>
      <c r="Q57" s="86">
        <f>0.54+0.48</f>
        <v>1.02</v>
      </c>
      <c r="R57" s="85"/>
      <c r="S57" s="86">
        <v>1.02</v>
      </c>
      <c r="T57" s="85"/>
      <c r="U57" s="86">
        <f>0.54+0.48</f>
        <v>1.02</v>
      </c>
      <c r="V57" s="85"/>
      <c r="W57" s="86">
        <f>0.54+0.48</f>
        <v>1.02</v>
      </c>
      <c r="X57" s="85"/>
      <c r="Y57" s="86">
        <v>1.02</v>
      </c>
      <c r="Z57" s="85"/>
      <c r="AA57" s="86">
        <f>0.54+0.48</f>
        <v>1.02</v>
      </c>
      <c r="AB57" s="85"/>
      <c r="AC57" s="86">
        <f>0.54+0.48</f>
        <v>1.02</v>
      </c>
      <c r="AD57" s="85"/>
      <c r="AE57" s="86">
        <v>0.623984674329502</v>
      </c>
      <c r="AF57" s="85"/>
      <c r="AG57" s="86">
        <v>0.54525447639717861</v>
      </c>
      <c r="AH57" s="85"/>
      <c r="AI57" s="86">
        <v>1.1499999999999999</v>
      </c>
      <c r="AJ57" s="85"/>
      <c r="AK57" s="86">
        <v>1.1499999999999999</v>
      </c>
      <c r="AL57" s="85"/>
      <c r="AM57" s="86">
        <v>1.1499999999999999</v>
      </c>
      <c r="AN57" s="85"/>
      <c r="AO57" s="86">
        <v>1.1499999999999999</v>
      </c>
      <c r="AP57" s="85"/>
      <c r="AQ57" s="86">
        <v>1.1499999999999999</v>
      </c>
      <c r="AR57" s="85"/>
      <c r="AS57" s="86">
        <v>1.1499999999999999</v>
      </c>
      <c r="AT57" s="85"/>
      <c r="AU57" s="86">
        <v>1.1499999999999999</v>
      </c>
      <c r="AV57" s="85"/>
      <c r="AW57" s="86">
        <v>1.1499999999999999</v>
      </c>
      <c r="AX57" s="85"/>
      <c r="AY57" s="86">
        <v>1.1499999999999999</v>
      </c>
      <c r="AZ57" s="85"/>
      <c r="BA57" s="86">
        <v>1.1499999999999999</v>
      </c>
      <c r="BB57" s="85"/>
      <c r="BC57" s="86">
        <v>1.1499999999999999</v>
      </c>
      <c r="BD57" s="85"/>
      <c r="BE57" s="86">
        <v>1.1499999999999999</v>
      </c>
      <c r="BF57" s="85"/>
      <c r="BG57" s="86">
        <v>1.1499999999999999</v>
      </c>
      <c r="BH57" s="85"/>
      <c r="BI57" s="86">
        <v>1.1499999999999999</v>
      </c>
      <c r="BJ57" s="85"/>
      <c r="BK57" s="86">
        <v>1.1499999999999999</v>
      </c>
      <c r="BL57" s="85"/>
      <c r="BM57" s="86">
        <v>1.1499999999999999</v>
      </c>
      <c r="BN57" s="551"/>
      <c r="BO57" s="86">
        <f t="shared" ref="BO57" si="454">0.34+0.26+0.05</f>
        <v>0.65000000000000013</v>
      </c>
      <c r="BP57" s="551"/>
      <c r="BQ57" s="86">
        <f t="shared" ref="BQ57" si="455">0.5+0.35-0.05</f>
        <v>0.79999999999999993</v>
      </c>
      <c r="BR57" s="85"/>
      <c r="BS57" s="86">
        <f t="shared" ref="BS57" si="456">0.5+0.35-0.05</f>
        <v>0.79999999999999993</v>
      </c>
      <c r="BT57" s="551"/>
      <c r="BU57" s="86">
        <f>0.5+0.35-0.05</f>
        <v>0.79999999999999993</v>
      </c>
      <c r="BV57" s="551"/>
      <c r="BW57" s="86">
        <f>0.5+0.35-0.05</f>
        <v>0.79999999999999993</v>
      </c>
      <c r="BX57" s="551"/>
      <c r="BY57" s="86">
        <v>0.8</v>
      </c>
      <c r="BZ57" s="551"/>
      <c r="CA57" s="86">
        <v>0.8</v>
      </c>
      <c r="CB57" s="85"/>
      <c r="CC57" s="86">
        <v>1</v>
      </c>
      <c r="CD57" s="85"/>
      <c r="CE57" s="86">
        <v>1</v>
      </c>
      <c r="CF57" s="85"/>
      <c r="CG57" s="86">
        <v>1.05</v>
      </c>
      <c r="CH57" s="85"/>
      <c r="CI57" s="86">
        <v>1.05</v>
      </c>
      <c r="CJ57" s="85"/>
      <c r="CK57" s="86">
        <v>1.3</v>
      </c>
      <c r="CL57" s="85"/>
      <c r="CM57" s="86">
        <v>1.3</v>
      </c>
      <c r="CN57" s="85"/>
      <c r="CO57" s="86">
        <v>1.05</v>
      </c>
      <c r="CR57" s="85"/>
      <c r="CS57" s="86">
        <v>1.3</v>
      </c>
    </row>
    <row r="58" spans="1:97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>
        <v>0</v>
      </c>
      <c r="BX58" s="85"/>
      <c r="BY58" s="86">
        <v>0</v>
      </c>
      <c r="BZ58" s="85"/>
      <c r="CA58" s="86">
        <v>0</v>
      </c>
      <c r="CB58" s="85"/>
      <c r="CC58" s="86">
        <v>0</v>
      </c>
      <c r="CD58" s="85"/>
      <c r="CE58" s="86">
        <v>0</v>
      </c>
      <c r="CF58" s="85"/>
      <c r="CG58" s="86">
        <v>0</v>
      </c>
      <c r="CH58" s="85"/>
      <c r="CI58" s="86">
        <v>0</v>
      </c>
      <c r="CJ58" s="85"/>
      <c r="CK58" s="86">
        <v>0</v>
      </c>
      <c r="CL58" s="85"/>
      <c r="CM58" s="86">
        <v>0</v>
      </c>
      <c r="CN58" s="85"/>
      <c r="CO58" s="86">
        <v>0</v>
      </c>
      <c r="CR58" s="85"/>
      <c r="CS58" s="86">
        <v>0</v>
      </c>
    </row>
    <row r="59" spans="1:97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4.7255125829959521</v>
      </c>
      <c r="H59" s="85"/>
      <c r="I59" s="86">
        <f>+I62+I65+I67</f>
        <v>4.7255125829959521</v>
      </c>
      <c r="J59" s="85"/>
      <c r="K59" s="86">
        <f>+K62+K65+K67</f>
        <v>4.7255125829959521</v>
      </c>
      <c r="L59" s="85"/>
      <c r="M59" s="86">
        <f>+M62+M65+M67</f>
        <v>4.7255125829959521</v>
      </c>
      <c r="N59" s="85"/>
      <c r="O59" s="86">
        <f>+O62+O65+O67</f>
        <v>4.7255125829959521</v>
      </c>
      <c r="P59" s="85"/>
      <c r="Q59" s="86">
        <f>+Q62+Q65+Q67</f>
        <v>4.7255125829959521</v>
      </c>
      <c r="R59" s="85"/>
      <c r="S59" s="86">
        <f>+S62+S65+S67</f>
        <v>4.7255125829959521</v>
      </c>
      <c r="T59" s="85"/>
      <c r="U59" s="86">
        <f>+U62+U65+U67</f>
        <v>4.7255125829959521</v>
      </c>
      <c r="V59" s="85"/>
      <c r="W59" s="86">
        <f>+W62+W65+W67</f>
        <v>4.7255125829959521</v>
      </c>
      <c r="X59" s="85"/>
      <c r="Y59" s="86">
        <f>+Y62+Y65+Y67</f>
        <v>4.7255125829959521</v>
      </c>
      <c r="Z59" s="85"/>
      <c r="AA59" s="86">
        <f>+AA62+AA65+AA67</f>
        <v>4.7255125829959521</v>
      </c>
      <c r="AB59" s="85"/>
      <c r="AC59" s="86">
        <f>+AC62+AC65+AC67</f>
        <v>4.7255125829959521</v>
      </c>
      <c r="AD59" s="85"/>
      <c r="AE59" s="86">
        <f t="shared" ref="AE59" si="457">+AE62+AE65+AE67</f>
        <v>4.8529149797570845</v>
      </c>
      <c r="AF59" s="85"/>
      <c r="AG59" s="86">
        <f t="shared" ref="AG59" si="458">+AG62+AG65+AG67</f>
        <v>4.8529149797570845</v>
      </c>
      <c r="AH59" s="85"/>
      <c r="AI59" s="86">
        <f t="shared" ref="AI59" si="459">+AI62+AI65+AI67</f>
        <v>4.8529149797570845</v>
      </c>
      <c r="AJ59" s="85"/>
      <c r="AK59" s="86">
        <f t="shared" ref="AK59" si="460">+AK62+AK65+AK67</f>
        <v>4.8529149797570845</v>
      </c>
      <c r="AL59" s="85"/>
      <c r="AM59" s="86">
        <f t="shared" ref="AM59" si="461">+AM62+AM65+AM67</f>
        <v>4.8529149797570845</v>
      </c>
      <c r="AN59" s="85"/>
      <c r="AO59" s="86">
        <f t="shared" ref="AO59" si="462">+AO62+AO65+AO67</f>
        <v>4.8529149797570845</v>
      </c>
      <c r="AP59" s="85"/>
      <c r="AQ59" s="86">
        <f t="shared" ref="AQ59" si="463">+AQ62+AQ65+AQ67</f>
        <v>4.8529149797570845</v>
      </c>
      <c r="AR59" s="85"/>
      <c r="AS59" s="86">
        <f t="shared" ref="AS59:AY59" si="464">+AS62+AS65+AS67</f>
        <v>4.8529149797570845</v>
      </c>
      <c r="AT59" s="85"/>
      <c r="AU59" s="86">
        <f t="shared" si="464"/>
        <v>4.8529149797570845</v>
      </c>
      <c r="AV59" s="85"/>
      <c r="AW59" s="86">
        <f t="shared" si="464"/>
        <v>4.8529149797570845</v>
      </c>
      <c r="AX59" s="85"/>
      <c r="AY59" s="86">
        <f t="shared" si="464"/>
        <v>4.8541940789473683</v>
      </c>
      <c r="AZ59" s="85"/>
      <c r="BA59" s="86">
        <f t="shared" ref="BA59:BC59" si="465">+BA62+BA65+BA67</f>
        <v>4.8541940789473683</v>
      </c>
      <c r="BB59" s="85"/>
      <c r="BC59" s="86">
        <f t="shared" si="465"/>
        <v>4.8541940789473683</v>
      </c>
      <c r="BD59" s="85"/>
      <c r="BE59" s="86">
        <f t="shared" ref="BE59:BG59" si="466">+BE62+BE65+BE67</f>
        <v>4.8541940789473683</v>
      </c>
      <c r="BF59" s="85"/>
      <c r="BG59" s="86">
        <f t="shared" si="466"/>
        <v>4.8541940789473683</v>
      </c>
      <c r="BH59" s="85"/>
      <c r="BI59" s="86">
        <f t="shared" ref="BI59:BK59" si="467">+BI62+BI65+BI67</f>
        <v>4.8541940789473683</v>
      </c>
      <c r="BJ59" s="85"/>
      <c r="BK59" s="86">
        <f t="shared" si="467"/>
        <v>4.8541940789473683</v>
      </c>
      <c r="BL59" s="85"/>
      <c r="BM59" s="86">
        <f t="shared" ref="BM59" si="468">+BM62+BM65+BM67</f>
        <v>4.8541940789473683</v>
      </c>
      <c r="BN59" s="85"/>
      <c r="BO59" s="86">
        <f t="shared" ref="BO59" si="469">+BO62+BO65+BO67</f>
        <v>6.0443596730245233</v>
      </c>
      <c r="BP59" s="85"/>
      <c r="BQ59" s="86">
        <f t="shared" ref="BQ59" si="470">+BQ62+BQ65+BQ67</f>
        <v>6.0375000000000005</v>
      </c>
      <c r="BR59" s="85"/>
      <c r="BS59" s="86">
        <f t="shared" ref="BS59" si="471">+BS62+BS65+BS67</f>
        <v>6.0475000000000003</v>
      </c>
      <c r="BT59" s="85"/>
      <c r="BU59" s="86">
        <f>+BU62+BU65+BU67</f>
        <v>6.0536983471074377</v>
      </c>
      <c r="BV59" s="85"/>
      <c r="BW59" s="86">
        <f>+BW62+BW65+BW67</f>
        <v>6.0536983471074377</v>
      </c>
      <c r="BX59" s="85"/>
      <c r="BY59" s="86">
        <f>+BY62+BY65+BY67</f>
        <v>6.0493400286944041</v>
      </c>
      <c r="BZ59" s="85"/>
      <c r="CA59" s="86">
        <f>+CA62+CA65+CA67</f>
        <v>6.0459419119222524</v>
      </c>
      <c r="CB59" s="85"/>
      <c r="CC59" s="86">
        <f>+CC62+CC65+CC67</f>
        <v>6.3954035024372633</v>
      </c>
      <c r="CD59" s="85"/>
      <c r="CE59" s="86">
        <f>+CE62+CE65+CE67</f>
        <v>6.3954035024372633</v>
      </c>
      <c r="CF59" s="85"/>
      <c r="CG59" s="86">
        <f>+CG62+CG65+CG67</f>
        <v>4.4023025319194975</v>
      </c>
      <c r="CH59" s="85"/>
      <c r="CI59" s="86">
        <f>+CI62+CI65+CI67</f>
        <v>4.3957435319194982</v>
      </c>
      <c r="CJ59" s="85"/>
      <c r="CK59" s="86">
        <f>+CK62+CK65+CK67</f>
        <v>4.8523025319194986</v>
      </c>
      <c r="CL59" s="85"/>
      <c r="CM59" s="86">
        <f>+CM62+CM65+CM67</f>
        <v>4.8523025319194986</v>
      </c>
      <c r="CN59" s="85"/>
      <c r="CO59" s="86">
        <f>+CO62+CO65+CO67</f>
        <v>4.4023025319194975</v>
      </c>
      <c r="CR59" s="85"/>
      <c r="CS59" s="86">
        <f>+CS63+CS65+CS67</f>
        <v>6.5647312500000004</v>
      </c>
    </row>
    <row r="60" spans="1:97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4.7229149797570855</v>
      </c>
      <c r="H60" s="81"/>
      <c r="I60" s="82">
        <f>I65+I67</f>
        <v>4.7229149797570855</v>
      </c>
      <c r="J60" s="81"/>
      <c r="K60" s="82">
        <f>K65+K67</f>
        <v>4.7229149797570855</v>
      </c>
      <c r="L60" s="81"/>
      <c r="M60" s="82">
        <f>M65+M67</f>
        <v>4.7229149797570855</v>
      </c>
      <c r="N60" s="81"/>
      <c r="O60" s="82">
        <f>O65+O67</f>
        <v>4.7229149797570855</v>
      </c>
      <c r="P60" s="81"/>
      <c r="Q60" s="82">
        <f>Q65+Q67</f>
        <v>4.7229149797570855</v>
      </c>
      <c r="R60" s="81"/>
      <c r="S60" s="82">
        <f>S65+S67</f>
        <v>4.7229149797570855</v>
      </c>
      <c r="T60" s="81"/>
      <c r="U60" s="82">
        <f>U65+U67</f>
        <v>4.7229149797570855</v>
      </c>
      <c r="V60" s="81"/>
      <c r="W60" s="82">
        <f>W65+W67</f>
        <v>4.7229149797570855</v>
      </c>
      <c r="X60" s="81"/>
      <c r="Y60" s="82">
        <f>Y65+Y67</f>
        <v>4.7229149797570855</v>
      </c>
      <c r="Z60" s="81"/>
      <c r="AA60" s="82">
        <f>AA65+AA67</f>
        <v>4.7229149797570855</v>
      </c>
      <c r="AB60" s="81"/>
      <c r="AC60" s="82">
        <f>AC65+AC67</f>
        <v>4.7229149797570855</v>
      </c>
      <c r="AD60" s="81"/>
      <c r="AE60" s="82">
        <f>AE65+AE67+AE62</f>
        <v>4.8529149797570845</v>
      </c>
      <c r="AF60" s="81"/>
      <c r="AG60" s="82">
        <f>AG65+AG67+AG62</f>
        <v>4.8529149797570845</v>
      </c>
      <c r="AH60" s="81"/>
      <c r="AI60" s="82">
        <f>AI65+AI67+AI62</f>
        <v>4.8529149797570845</v>
      </c>
      <c r="AJ60" s="81"/>
      <c r="AK60" s="82">
        <f>AK65+AK67+AK62</f>
        <v>4.8529149797570845</v>
      </c>
      <c r="AL60" s="81"/>
      <c r="AM60" s="82">
        <f>AM65+AM67+AM62</f>
        <v>4.8529149797570845</v>
      </c>
      <c r="AN60" s="81"/>
      <c r="AO60" s="82">
        <f>AO65+AO67+AO62</f>
        <v>4.8529149797570845</v>
      </c>
      <c r="AP60" s="81"/>
      <c r="AQ60" s="82">
        <f>AQ65+AQ67+AQ62</f>
        <v>4.8529149797570845</v>
      </c>
      <c r="AR60" s="81"/>
      <c r="AS60" s="82">
        <f>AS65+AS67+AS62</f>
        <v>4.8529149797570845</v>
      </c>
      <c r="AT60" s="81"/>
      <c r="AU60" s="82">
        <f t="shared" ref="AU60" si="472">AU65+AU67+AU62</f>
        <v>4.8529149797570845</v>
      </c>
      <c r="AV60" s="81"/>
      <c r="AW60" s="82">
        <f t="shared" ref="AW60" si="473">AW65+AW67+AW62</f>
        <v>4.8529149797570845</v>
      </c>
      <c r="AX60" s="81"/>
      <c r="AY60" s="82">
        <f t="shared" ref="AY60:BA60" si="474">AY65+AY67+AY62</f>
        <v>4.8541940789473683</v>
      </c>
      <c r="AZ60" s="81"/>
      <c r="BA60" s="82">
        <f t="shared" si="474"/>
        <v>4.8541940789473683</v>
      </c>
      <c r="BB60" s="81"/>
      <c r="BC60" s="82">
        <f t="shared" ref="BC60:BE60" si="475">BC65+BC67+BC62</f>
        <v>4.8541940789473683</v>
      </c>
      <c r="BD60" s="81"/>
      <c r="BE60" s="82">
        <f t="shared" si="475"/>
        <v>4.8541940789473683</v>
      </c>
      <c r="BF60" s="81"/>
      <c r="BG60" s="82">
        <f t="shared" ref="BG60:BI60" si="476">BG65+BG67+BG62</f>
        <v>4.8541940789473683</v>
      </c>
      <c r="BH60" s="81"/>
      <c r="BI60" s="82">
        <f t="shared" si="476"/>
        <v>4.8541940789473683</v>
      </c>
      <c r="BJ60" s="81"/>
      <c r="BK60" s="82">
        <f t="shared" ref="BK60:BM60" si="477">BK65+BK67+BK62</f>
        <v>4.8541940789473683</v>
      </c>
      <c r="BL60" s="81"/>
      <c r="BM60" s="82">
        <f t="shared" si="477"/>
        <v>4.8541940789473683</v>
      </c>
      <c r="BN60" s="550"/>
      <c r="BO60" s="82">
        <f t="shared" ref="BO60" si="478">BO65+BO67+BO63+BO62</f>
        <v>6.054359673024523</v>
      </c>
      <c r="BP60" s="550"/>
      <c r="BQ60" s="82">
        <f>BQ65+BQ67+BQ63</f>
        <v>6.0475000000000003</v>
      </c>
      <c r="BR60" s="81"/>
      <c r="BS60" s="82">
        <f>BS65+BS67+BS62</f>
        <v>6.0475000000000003</v>
      </c>
      <c r="BT60" s="550"/>
      <c r="BU60" s="82">
        <f>BU65+BU67+BU62</f>
        <v>6.0536983471074377</v>
      </c>
      <c r="BV60" s="550"/>
      <c r="BW60" s="82">
        <f>BW65+BW67+BW62</f>
        <v>6.0536983471074377</v>
      </c>
      <c r="BX60" s="81"/>
      <c r="BY60" s="82">
        <f>BY65+BY67+BY63+BY62</f>
        <v>6.0515712786944045</v>
      </c>
      <c r="BZ60" s="81"/>
      <c r="CA60" s="82">
        <f>CA65+CA67+CA63+CA62</f>
        <v>6.0481731619222536</v>
      </c>
      <c r="CB60" s="81"/>
      <c r="CC60" s="82">
        <v>6.4</v>
      </c>
      <c r="CD60" s="81"/>
      <c r="CE60" s="82">
        <v>6.4</v>
      </c>
      <c r="CF60" s="81"/>
      <c r="CG60" s="82">
        <f>CG65+CG67+CG62</f>
        <v>4.4023025319194984</v>
      </c>
      <c r="CH60" s="81"/>
      <c r="CI60" s="82">
        <f>CI65+CI67+CI63+CI62</f>
        <v>4.3971587819194982</v>
      </c>
      <c r="CJ60" s="81"/>
      <c r="CK60" s="82">
        <f>CK65+CK67+CK62</f>
        <v>4.8523025319194986</v>
      </c>
      <c r="CL60" s="81"/>
      <c r="CM60" s="82">
        <f>CM65+CM67+CM62</f>
        <v>4.8523025319194986</v>
      </c>
      <c r="CN60" s="81"/>
      <c r="CO60" s="82">
        <f t="shared" ref="CO60" si="479">CO65+CO67+CO62</f>
        <v>4.4023025319194984</v>
      </c>
      <c r="CR60" s="81"/>
      <c r="CS60" s="82">
        <v>6.55</v>
      </c>
    </row>
    <row r="61" spans="1:97" s="4" customFormat="1" ht="18" customHeight="1" outlineLevel="1" x14ac:dyDescent="0.45">
      <c r="A61" s="561"/>
      <c r="B61" s="1184"/>
      <c r="C61" s="12" t="s">
        <v>66</v>
      </c>
      <c r="D61" s="11"/>
      <c r="E61" s="16"/>
      <c r="F61" s="42"/>
      <c r="G61" s="88"/>
      <c r="H61" s="359"/>
      <c r="I61" s="372"/>
      <c r="J61" s="359"/>
      <c r="K61" s="372"/>
      <c r="L61" s="42"/>
      <c r="M61" s="88"/>
      <c r="N61" s="359"/>
      <c r="O61" s="372"/>
      <c r="P61" s="359"/>
      <c r="Q61" s="372"/>
      <c r="R61" s="42"/>
      <c r="S61" s="88"/>
      <c r="T61" s="359"/>
      <c r="U61" s="372"/>
      <c r="V61" s="359"/>
      <c r="W61" s="372"/>
      <c r="X61" s="42"/>
      <c r="Y61" s="88"/>
      <c r="Z61" s="359"/>
      <c r="AA61" s="372"/>
      <c r="AB61" s="359"/>
      <c r="AC61" s="372"/>
      <c r="AD61" s="359"/>
      <c r="AE61" s="372"/>
      <c r="AF61" s="359"/>
      <c r="AG61" s="372"/>
      <c r="AH61" s="359"/>
      <c r="AI61" s="372"/>
      <c r="AJ61" s="359"/>
      <c r="AK61" s="372"/>
      <c r="AL61" s="359"/>
      <c r="AM61" s="372"/>
      <c r="AN61" s="359"/>
      <c r="AO61" s="372"/>
      <c r="AP61" s="359"/>
      <c r="AQ61" s="372"/>
      <c r="AR61" s="359"/>
      <c r="AS61" s="372"/>
      <c r="AT61" s="359"/>
      <c r="AU61" s="372"/>
      <c r="AV61" s="359"/>
      <c r="AW61" s="372"/>
      <c r="AX61" s="359"/>
      <c r="AY61" s="372"/>
      <c r="AZ61" s="359"/>
      <c r="BA61" s="372"/>
      <c r="BB61" s="359"/>
      <c r="BC61" s="372"/>
      <c r="BD61" s="359"/>
      <c r="BE61" s="372"/>
      <c r="BF61" s="359"/>
      <c r="BG61" s="372"/>
      <c r="BH61" s="359"/>
      <c r="BI61" s="372"/>
      <c r="BJ61" s="359"/>
      <c r="BK61" s="372"/>
      <c r="BL61" s="359"/>
      <c r="BM61" s="372"/>
      <c r="BN61" s="359"/>
      <c r="BO61" s="372"/>
      <c r="BP61" s="976"/>
      <c r="BQ61" s="368"/>
      <c r="BR61" s="359"/>
      <c r="BS61" s="372"/>
      <c r="BT61" s="976"/>
      <c r="BU61" s="368"/>
      <c r="BV61" s="976"/>
      <c r="BW61" s="368"/>
      <c r="BX61" s="359"/>
      <c r="BY61" s="372"/>
      <c r="BZ61" s="359"/>
      <c r="CA61" s="372"/>
      <c r="CB61" s="42"/>
      <c r="CC61" s="88"/>
      <c r="CD61" s="42"/>
      <c r="CE61" s="88"/>
      <c r="CF61" s="42"/>
      <c r="CG61" s="88"/>
      <c r="CH61" s="359"/>
      <c r="CI61" s="372"/>
      <c r="CJ61" s="359"/>
      <c r="CK61" s="372"/>
      <c r="CL61" s="359"/>
      <c r="CM61" s="372"/>
      <c r="CN61" s="359"/>
      <c r="CO61" s="372"/>
      <c r="CR61" s="42"/>
      <c r="CS61" s="88"/>
    </row>
    <row r="62" spans="1:97" s="4" customFormat="1" ht="18" customHeight="1" outlineLevel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2.5976032388663971E-3</v>
      </c>
      <c r="H62" s="373"/>
      <c r="I62" s="374">
        <f>0.055/100*(I67+(I64/I66))</f>
        <v>2.5976032388663971E-3</v>
      </c>
      <c r="J62" s="373"/>
      <c r="K62" s="374">
        <f>0.055/100*(K67+(K64/K66))</f>
        <v>2.5976032388663971E-3</v>
      </c>
      <c r="L62" s="89"/>
      <c r="M62" s="90">
        <f>0.055/100*(M67+(M64/M66))</f>
        <v>2.5976032388663971E-3</v>
      </c>
      <c r="N62" s="373"/>
      <c r="O62" s="374">
        <f>0.055/100*(O67+(O64/O66))</f>
        <v>2.5976032388663971E-3</v>
      </c>
      <c r="P62" s="373"/>
      <c r="Q62" s="374">
        <f>0.055/100*(Q67+(Q64/Q66))</f>
        <v>2.5976032388663971E-3</v>
      </c>
      <c r="R62" s="89"/>
      <c r="S62" s="90">
        <f>0.055/100*(S67+(S64/S66))</f>
        <v>2.5976032388663971E-3</v>
      </c>
      <c r="T62" s="373"/>
      <c r="U62" s="374">
        <f>0.055/100*(U67+(U64/U66))</f>
        <v>2.5976032388663971E-3</v>
      </c>
      <c r="V62" s="373"/>
      <c r="W62" s="374">
        <f>0.055/100*(W67+(W64/W66))</f>
        <v>2.5976032388663971E-3</v>
      </c>
      <c r="X62" s="89"/>
      <c r="Y62" s="90">
        <f>0.055/100*(Y67+(Y64/Y66))</f>
        <v>2.5976032388663971E-3</v>
      </c>
      <c r="Z62" s="373"/>
      <c r="AA62" s="374">
        <f>0.055/100*(AA67+(AA64/AA66))</f>
        <v>2.5976032388663971E-3</v>
      </c>
      <c r="AB62" s="373"/>
      <c r="AC62" s="374">
        <f>0.055/100*(AC67+(AC64/AC66))</f>
        <v>2.5976032388663971E-3</v>
      </c>
      <c r="AD62" s="373"/>
      <c r="AE62" s="374">
        <v>0.01</v>
      </c>
      <c r="AF62" s="373"/>
      <c r="AG62" s="374">
        <v>0.01</v>
      </c>
      <c r="AH62" s="373"/>
      <c r="AI62" s="374">
        <v>0.01</v>
      </c>
      <c r="AJ62" s="373"/>
      <c r="AK62" s="374">
        <v>0.01</v>
      </c>
      <c r="AL62" s="373"/>
      <c r="AM62" s="374">
        <v>0.01</v>
      </c>
      <c r="AN62" s="373"/>
      <c r="AO62" s="374">
        <v>0.01</v>
      </c>
      <c r="AP62" s="373"/>
      <c r="AQ62" s="374">
        <v>0.01</v>
      </c>
      <c r="AR62" s="373"/>
      <c r="AS62" s="374">
        <v>0.01</v>
      </c>
      <c r="AT62" s="373"/>
      <c r="AU62" s="374">
        <v>0.01</v>
      </c>
      <c r="AV62" s="373"/>
      <c r="AW62" s="374">
        <v>0.01</v>
      </c>
      <c r="AX62" s="373"/>
      <c r="AY62" s="374">
        <v>0</v>
      </c>
      <c r="AZ62" s="373"/>
      <c r="BA62" s="374">
        <v>0</v>
      </c>
      <c r="BB62" s="373"/>
      <c r="BC62" s="374">
        <v>0</v>
      </c>
      <c r="BD62" s="373"/>
      <c r="BE62" s="374">
        <v>0</v>
      </c>
      <c r="BF62" s="373"/>
      <c r="BG62" s="374">
        <v>0</v>
      </c>
      <c r="BH62" s="373"/>
      <c r="BI62" s="374">
        <v>0</v>
      </c>
      <c r="BJ62" s="373"/>
      <c r="BK62" s="374">
        <v>0</v>
      </c>
      <c r="BL62" s="373"/>
      <c r="BM62" s="374">
        <v>0</v>
      </c>
      <c r="BN62" s="373"/>
      <c r="BO62" s="374"/>
      <c r="BP62" s="373"/>
      <c r="BQ62" s="374"/>
      <c r="BR62" s="373">
        <f>6.05-BS60</f>
        <v>2.4999999999995026E-3</v>
      </c>
      <c r="BS62" s="374">
        <f>0.01</f>
        <v>0.01</v>
      </c>
      <c r="BT62" s="373"/>
      <c r="BU62" s="374">
        <v>0.02</v>
      </c>
      <c r="BV62" s="373"/>
      <c r="BW62" s="374">
        <v>0.02</v>
      </c>
      <c r="BX62" s="1145">
        <f>6.05-BY60</f>
        <v>-1.5712786944046542E-3</v>
      </c>
      <c r="BY62" s="374">
        <v>0.02</v>
      </c>
      <c r="BZ62" s="1145">
        <f>6.05-CA60</f>
        <v>1.8268380777461957E-3</v>
      </c>
      <c r="CA62" s="607">
        <v>2.2435648148150999E-3</v>
      </c>
      <c r="CB62" s="89"/>
      <c r="CC62" s="374">
        <v>0.06</v>
      </c>
      <c r="CD62" s="89"/>
      <c r="CE62" s="374">
        <v>0.06</v>
      </c>
      <c r="CF62" s="89">
        <f>4.4-CG60</f>
        <v>-2.3025319194980298E-3</v>
      </c>
      <c r="CG62" s="374">
        <v>-0.01</v>
      </c>
      <c r="CH62" s="1145">
        <f>4.4-CI60</f>
        <v>2.8412180805021947E-3</v>
      </c>
      <c r="CI62" s="607">
        <v>-1.6558999999999598E-2</v>
      </c>
      <c r="CJ62" s="373"/>
      <c r="CK62" s="374">
        <v>-0.01</v>
      </c>
      <c r="CL62" s="373"/>
      <c r="CM62" s="374">
        <v>-0.01</v>
      </c>
      <c r="CN62" s="373"/>
      <c r="CO62" s="374">
        <v>-0.01</v>
      </c>
      <c r="CR62" s="89"/>
      <c r="CS62" s="90">
        <f>CS60-CS59</f>
        <v>-1.4731250000000529E-2</v>
      </c>
    </row>
    <row r="63" spans="1:97" s="4" customFormat="1" ht="18" customHeight="1" outlineLevel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2.2014999999999999E-3</v>
      </c>
      <c r="H63" s="373"/>
      <c r="I63" s="374">
        <f>0.0425/100*(6.2-I57)</f>
        <v>2.2014999999999999E-3</v>
      </c>
      <c r="J63" s="373"/>
      <c r="K63" s="374">
        <f>0.0425/100*(6.2-K57)</f>
        <v>2.2014999999999999E-3</v>
      </c>
      <c r="L63" s="89"/>
      <c r="M63" s="90">
        <f>0.0425/100*(6.2-M57)</f>
        <v>2.2014999999999999E-3</v>
      </c>
      <c r="N63" s="373"/>
      <c r="O63" s="374">
        <f>0.0425/100*(6.2-O57)</f>
        <v>2.2014999999999999E-3</v>
      </c>
      <c r="P63" s="373"/>
      <c r="Q63" s="374">
        <f>0.0425/100*(6.2-Q57)</f>
        <v>2.2014999999999999E-3</v>
      </c>
      <c r="R63" s="89"/>
      <c r="S63" s="90">
        <f>0.0425/100*(6.2-S57)</f>
        <v>2.2014999999999999E-3</v>
      </c>
      <c r="T63" s="373"/>
      <c r="U63" s="374">
        <f>0.0425/100*(6.2-U57)</f>
        <v>2.2014999999999999E-3</v>
      </c>
      <c r="V63" s="373"/>
      <c r="W63" s="374">
        <f>0.0425/100*(6.2-W57)</f>
        <v>2.2014999999999999E-3</v>
      </c>
      <c r="X63" s="89"/>
      <c r="Y63" s="90">
        <f>0.0425/100*(6.2-Y57)</f>
        <v>2.2014999999999999E-3</v>
      </c>
      <c r="Z63" s="373"/>
      <c r="AA63" s="374">
        <f>0.0425/100*(6.2-AA57)</f>
        <v>2.2014999999999999E-3</v>
      </c>
      <c r="AB63" s="373"/>
      <c r="AC63" s="374">
        <f>0.0425/100*(6.2-AC57)</f>
        <v>2.2014999999999999E-3</v>
      </c>
      <c r="AD63" s="373"/>
      <c r="AE63" s="374">
        <f t="shared" ref="AE63" si="480">0.0425/100*(6.2-AE57)</f>
        <v>2.369806513409962E-3</v>
      </c>
      <c r="AF63" s="373"/>
      <c r="AG63" s="374">
        <f t="shared" ref="AG63" si="481">0.0425/100*(6.2-AG57)</f>
        <v>2.4032668475311996E-3</v>
      </c>
      <c r="AH63" s="373"/>
      <c r="AI63" s="374">
        <f t="shared" ref="AI63" si="482">0.0425/100*(6.2-AI57)</f>
        <v>2.1462500000000006E-3</v>
      </c>
      <c r="AJ63" s="373"/>
      <c r="AK63" s="374">
        <f t="shared" ref="AK63" si="483">0.0425/100*(6.2-AK57)</f>
        <v>2.1462500000000006E-3</v>
      </c>
      <c r="AL63" s="373"/>
      <c r="AM63" s="374">
        <f t="shared" ref="AM63" si="484">0.0425/100*(6.2-AM57)</f>
        <v>2.1462500000000006E-3</v>
      </c>
      <c r="AN63" s="373"/>
      <c r="AO63" s="374">
        <f t="shared" ref="AO63" si="485">0.0425/100*(6.2-AO57)</f>
        <v>2.1462500000000006E-3</v>
      </c>
      <c r="AP63" s="373"/>
      <c r="AQ63" s="374">
        <f t="shared" ref="AQ63" si="486">0.0425/100*(6.2-AQ57)</f>
        <v>2.1462500000000006E-3</v>
      </c>
      <c r="AR63" s="373"/>
      <c r="AS63" s="374">
        <f t="shared" ref="AS63:AY63" si="487">0.0425/100*(6.2-AS57)</f>
        <v>2.1462500000000006E-3</v>
      </c>
      <c r="AT63" s="373"/>
      <c r="AU63" s="374">
        <f t="shared" si="487"/>
        <v>2.1462500000000006E-3</v>
      </c>
      <c r="AV63" s="373"/>
      <c r="AW63" s="374">
        <f t="shared" si="487"/>
        <v>2.1462500000000006E-3</v>
      </c>
      <c r="AX63" s="373"/>
      <c r="AY63" s="374">
        <f t="shared" si="487"/>
        <v>2.1462500000000006E-3</v>
      </c>
      <c r="AZ63" s="373"/>
      <c r="BA63" s="374">
        <f t="shared" ref="BA63:BC63" si="488">0.0425/100*(6.2-BA57)</f>
        <v>2.1462500000000006E-3</v>
      </c>
      <c r="BB63" s="373"/>
      <c r="BC63" s="374">
        <f t="shared" si="488"/>
        <v>2.1462500000000006E-3</v>
      </c>
      <c r="BD63" s="373"/>
      <c r="BE63" s="374">
        <f t="shared" ref="BE63:BG63" si="489">0.0425/100*(6.2-BE57)</f>
        <v>2.1462500000000006E-3</v>
      </c>
      <c r="BF63" s="373"/>
      <c r="BG63" s="374">
        <f t="shared" si="489"/>
        <v>2.1462500000000006E-3</v>
      </c>
      <c r="BH63" s="373"/>
      <c r="BI63" s="374">
        <f t="shared" ref="BI63:BK63" si="490">0.0425/100*(6.2-BI57)</f>
        <v>2.1462500000000006E-3</v>
      </c>
      <c r="BJ63" s="373"/>
      <c r="BK63" s="374">
        <f t="shared" si="490"/>
        <v>2.1462500000000006E-3</v>
      </c>
      <c r="BL63" s="373"/>
      <c r="BM63" s="374">
        <f t="shared" ref="BM63" si="491">0.0425/100*(6.2-BM57)</f>
        <v>2.1462500000000006E-3</v>
      </c>
      <c r="BN63" s="373"/>
      <c r="BO63" s="374">
        <v>0.01</v>
      </c>
      <c r="BP63" s="373"/>
      <c r="BQ63" s="374">
        <v>0.01</v>
      </c>
      <c r="BR63" s="373"/>
      <c r="BS63" s="374">
        <f t="shared" ref="BS63" si="492">0.055/100*(BS68+(BS65/BS67))</f>
        <v>2.8006282051282055E-3</v>
      </c>
      <c r="BT63" s="373"/>
      <c r="BU63" s="374">
        <f>0.0425/100*(6.05-BU57)</f>
        <v>2.2312500000000002E-3</v>
      </c>
      <c r="BV63" s="373"/>
      <c r="BW63" s="374">
        <f>0.0425/100*(6.05-BW57)</f>
        <v>2.2312500000000002E-3</v>
      </c>
      <c r="BX63" s="608"/>
      <c r="BY63" s="607">
        <f>0.0425%*(6.05-BY57)</f>
        <v>2.2312500000000002E-3</v>
      </c>
      <c r="BZ63" s="608"/>
      <c r="CA63" s="607">
        <f>0.0425%*(6.05-CA57)</f>
        <v>2.2312500000000002E-3</v>
      </c>
      <c r="CC63" s="90">
        <f t="shared" ref="CC63" si="493">0.0425/100*(6.2-CC57)</f>
        <v>2.2100000000000002E-3</v>
      </c>
      <c r="CE63" s="90">
        <f t="shared" ref="CE63" si="494">0.0425/100*(6.2-CE57)</f>
        <v>2.2100000000000002E-3</v>
      </c>
      <c r="CG63" s="90">
        <f>0.0425/100*(6.2-CG57)</f>
        <v>2.1887500000000002E-3</v>
      </c>
      <c r="CH63" s="373"/>
      <c r="CI63" s="607">
        <f>0.0425%*(4.38-CI57)</f>
        <v>1.4152500000000001E-3</v>
      </c>
      <c r="CJ63" s="373"/>
      <c r="CK63" s="374">
        <f>0.0425/100*(6.2-CK57)</f>
        <v>2.0825000000000001E-3</v>
      </c>
      <c r="CL63" s="373"/>
      <c r="CM63" s="374">
        <f>0.0425/100*(6.2-CM57)</f>
        <v>2.0825000000000001E-3</v>
      </c>
      <c r="CN63" s="373"/>
      <c r="CO63" s="374">
        <f>0.0425/100*(6.2-CO57)</f>
        <v>2.1887500000000002E-3</v>
      </c>
      <c r="CR63" s="89"/>
      <c r="CS63" s="90">
        <f>0.0425/100*(6.55-CS57)</f>
        <v>2.2312500000000002E-3</v>
      </c>
    </row>
    <row r="64" spans="1:97" s="4" customFormat="1" ht="18" customHeight="1" outlineLevel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359"/>
      <c r="I64" s="91">
        <v>1200</v>
      </c>
      <c r="J64" s="359"/>
      <c r="K64" s="91">
        <v>1200</v>
      </c>
      <c r="L64" s="42"/>
      <c r="M64" s="91">
        <v>1200</v>
      </c>
      <c r="N64" s="359"/>
      <c r="O64" s="91">
        <v>1200</v>
      </c>
      <c r="P64" s="359"/>
      <c r="Q64" s="91">
        <v>1200</v>
      </c>
      <c r="R64" s="42"/>
      <c r="S64" s="91">
        <v>1200</v>
      </c>
      <c r="T64" s="359"/>
      <c r="U64" s="91">
        <v>1200</v>
      </c>
      <c r="V64" s="359"/>
      <c r="W64" s="91">
        <v>1200</v>
      </c>
      <c r="X64" s="42"/>
      <c r="Y64" s="91">
        <v>1200</v>
      </c>
      <c r="Z64" s="359"/>
      <c r="AA64" s="91">
        <v>1200</v>
      </c>
      <c r="AB64" s="359"/>
      <c r="AC64" s="91">
        <v>1200</v>
      </c>
      <c r="AD64" s="359"/>
      <c r="AE64" s="91">
        <v>1200</v>
      </c>
      <c r="AF64" s="359"/>
      <c r="AG64" s="91">
        <v>1200</v>
      </c>
      <c r="AH64" s="359"/>
      <c r="AI64" s="91">
        <v>1200</v>
      </c>
      <c r="AJ64" s="359"/>
      <c r="AK64" s="91">
        <v>1200</v>
      </c>
      <c r="AL64" s="359"/>
      <c r="AM64" s="91">
        <v>1200</v>
      </c>
      <c r="AN64" s="359"/>
      <c r="AO64" s="91">
        <v>1200</v>
      </c>
      <c r="AP64" s="359"/>
      <c r="AQ64" s="91">
        <v>1200</v>
      </c>
      <c r="AR64" s="359"/>
      <c r="AS64" s="91">
        <v>1200</v>
      </c>
      <c r="AT64" s="359"/>
      <c r="AU64" s="91">
        <v>1200</v>
      </c>
      <c r="AV64" s="359"/>
      <c r="AW64" s="91">
        <v>1200</v>
      </c>
      <c r="AX64" s="359"/>
      <c r="AY64" s="91">
        <v>750</v>
      </c>
      <c r="AZ64" s="359"/>
      <c r="BA64" s="91">
        <v>750</v>
      </c>
      <c r="BB64" s="359"/>
      <c r="BC64" s="91">
        <v>750</v>
      </c>
      <c r="BD64" s="359"/>
      <c r="BE64" s="91">
        <v>750</v>
      </c>
      <c r="BF64" s="359"/>
      <c r="BG64" s="91">
        <v>750</v>
      </c>
      <c r="BH64" s="359"/>
      <c r="BI64" s="91">
        <v>750</v>
      </c>
      <c r="BJ64" s="359"/>
      <c r="BK64" s="91">
        <v>750</v>
      </c>
      <c r="BL64" s="359"/>
      <c r="BM64" s="91">
        <v>750</v>
      </c>
      <c r="BN64" s="359"/>
      <c r="BO64" s="91">
        <v>750</v>
      </c>
      <c r="BP64" s="359"/>
      <c r="BQ64" s="91">
        <v>750</v>
      </c>
      <c r="BR64" s="359"/>
      <c r="BS64" s="91">
        <v>750</v>
      </c>
      <c r="BT64" s="359"/>
      <c r="BU64" s="91">
        <v>750</v>
      </c>
      <c r="BV64" s="359"/>
      <c r="BW64" s="594">
        <v>750</v>
      </c>
      <c r="BX64" s="359"/>
      <c r="BY64" s="91">
        <v>750</v>
      </c>
      <c r="BZ64" s="359"/>
      <c r="CA64" s="91">
        <v>750</v>
      </c>
      <c r="CB64" s="42"/>
      <c r="CC64" s="91">
        <v>750</v>
      </c>
      <c r="CD64" s="42"/>
      <c r="CE64" s="91">
        <v>750</v>
      </c>
      <c r="CF64" s="42"/>
      <c r="CG64" s="91">
        <v>750</v>
      </c>
      <c r="CH64" s="359"/>
      <c r="CI64" s="91">
        <v>750</v>
      </c>
      <c r="CJ64" s="359"/>
      <c r="CK64" s="91">
        <v>750</v>
      </c>
      <c r="CL64" s="359"/>
      <c r="CM64" s="91">
        <v>750</v>
      </c>
      <c r="CN64" s="359"/>
      <c r="CO64" s="91">
        <v>750</v>
      </c>
      <c r="CR64" s="42"/>
      <c r="CS64" s="91">
        <v>750</v>
      </c>
    </row>
    <row r="65" spans="1:97" s="97" customFormat="1" ht="18" customHeight="1" outlineLevel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0.24291497975708501</v>
      </c>
      <c r="H65" s="375"/>
      <c r="I65" s="376">
        <f>+I64/I66</f>
        <v>0.24291497975708501</v>
      </c>
      <c r="J65" s="375"/>
      <c r="K65" s="376">
        <f>+K64/K66</f>
        <v>0.24291497975708501</v>
      </c>
      <c r="L65" s="95"/>
      <c r="M65" s="96">
        <f>+M64/M66</f>
        <v>0.24291497975708501</v>
      </c>
      <c r="N65" s="375"/>
      <c r="O65" s="376">
        <f>+O64/O66</f>
        <v>0.24291497975708501</v>
      </c>
      <c r="P65" s="375"/>
      <c r="Q65" s="376">
        <f>+Q64/Q66</f>
        <v>0.24291497975708501</v>
      </c>
      <c r="R65" s="95"/>
      <c r="S65" s="96">
        <f>+S64/S66</f>
        <v>0.24291497975708501</v>
      </c>
      <c r="T65" s="375"/>
      <c r="U65" s="376">
        <f>+U64/U66</f>
        <v>0.24291497975708501</v>
      </c>
      <c r="V65" s="375"/>
      <c r="W65" s="376">
        <f>+W64/W66</f>
        <v>0.24291497975708501</v>
      </c>
      <c r="X65" s="95"/>
      <c r="Y65" s="96">
        <f>+Y64/Y66</f>
        <v>0.24291497975708501</v>
      </c>
      <c r="Z65" s="375"/>
      <c r="AA65" s="376">
        <f>+AA64/AA66</f>
        <v>0.24291497975708501</v>
      </c>
      <c r="AB65" s="375"/>
      <c r="AC65" s="376">
        <f>+AC64/AC66</f>
        <v>0.24291497975708501</v>
      </c>
      <c r="AD65" s="375"/>
      <c r="AE65" s="376">
        <f t="shared" ref="AE65" si="495">+AE64/AE66</f>
        <v>0.24291497975708501</v>
      </c>
      <c r="AF65" s="375"/>
      <c r="AG65" s="376">
        <f t="shared" ref="AG65" si="496">+AG64/AG66</f>
        <v>0.24291497975708501</v>
      </c>
      <c r="AH65" s="375"/>
      <c r="AI65" s="376">
        <f t="shared" ref="AI65" si="497">+AI64/AI66</f>
        <v>0.24291497975708501</v>
      </c>
      <c r="AJ65" s="375"/>
      <c r="AK65" s="376">
        <f t="shared" ref="AK65" si="498">+AK64/AK66</f>
        <v>0.24291497975708501</v>
      </c>
      <c r="AL65" s="375"/>
      <c r="AM65" s="376">
        <f t="shared" ref="AM65" si="499">+AM64/AM66</f>
        <v>0.24291497975708501</v>
      </c>
      <c r="AN65" s="375"/>
      <c r="AO65" s="376">
        <f t="shared" ref="AO65" si="500">+AO64/AO66</f>
        <v>0.24291497975708501</v>
      </c>
      <c r="AP65" s="375"/>
      <c r="AQ65" s="376">
        <f t="shared" ref="AQ65" si="501">+AQ64/AQ66</f>
        <v>0.24291497975708501</v>
      </c>
      <c r="AR65" s="375"/>
      <c r="AS65" s="376">
        <f t="shared" ref="AS65:AY65" si="502">+AS64/AS66</f>
        <v>0.24291497975708501</v>
      </c>
      <c r="AT65" s="375"/>
      <c r="AU65" s="376">
        <f t="shared" si="502"/>
        <v>0.24291497975708501</v>
      </c>
      <c r="AV65" s="375"/>
      <c r="AW65" s="376">
        <f t="shared" si="502"/>
        <v>0.24291497975708501</v>
      </c>
      <c r="AX65" s="375"/>
      <c r="AY65" s="376">
        <f t="shared" si="502"/>
        <v>0.15419407894736842</v>
      </c>
      <c r="AZ65" s="375"/>
      <c r="BA65" s="376">
        <f t="shared" ref="BA65:BC65" si="503">+BA64/BA66</f>
        <v>0.15419407894736842</v>
      </c>
      <c r="BB65" s="375"/>
      <c r="BC65" s="376">
        <f t="shared" si="503"/>
        <v>0.15419407894736842</v>
      </c>
      <c r="BD65" s="375"/>
      <c r="BE65" s="376">
        <f t="shared" ref="BE65:BG65" si="504">+BE64/BE66</f>
        <v>0.15419407894736842</v>
      </c>
      <c r="BF65" s="375"/>
      <c r="BG65" s="376">
        <f t="shared" si="504"/>
        <v>0.15419407894736842</v>
      </c>
      <c r="BH65" s="375"/>
      <c r="BI65" s="376">
        <f t="shared" ref="BI65:BK65" si="505">+BI64/BI66</f>
        <v>0.15419407894736842</v>
      </c>
      <c r="BJ65" s="375"/>
      <c r="BK65" s="376">
        <f t="shared" si="505"/>
        <v>0.15419407894736842</v>
      </c>
      <c r="BL65" s="375"/>
      <c r="BM65" s="376">
        <f t="shared" ref="BM65" si="506">+BM64/BM66</f>
        <v>0.15419407894736842</v>
      </c>
      <c r="BN65" s="375"/>
      <c r="BO65" s="376">
        <f t="shared" ref="BO65" si="507">+BO64/BO66</f>
        <v>0.20435967302452315</v>
      </c>
      <c r="BP65" s="375"/>
      <c r="BQ65" s="368">
        <f t="shared" ref="BQ65" si="508">+BQ64/BQ66</f>
        <v>0.1875</v>
      </c>
      <c r="BR65" s="375"/>
      <c r="BS65" s="376">
        <f t="shared" ref="BS65" si="509">+BS64/BS66</f>
        <v>0.1875</v>
      </c>
      <c r="BT65" s="375"/>
      <c r="BU65" s="368">
        <f>+BU64/BU66</f>
        <v>0.19369834710743802</v>
      </c>
      <c r="BV65" s="375"/>
      <c r="BW65" s="368">
        <f>+BW64/BW66</f>
        <v>0.19369834710743802</v>
      </c>
      <c r="BX65" s="375"/>
      <c r="BY65" s="376">
        <f>+BY64/BY66</f>
        <v>0.1793400286944046</v>
      </c>
      <c r="BZ65" s="375"/>
      <c r="CA65" s="376">
        <f>+CA64/CA66</f>
        <v>0.19369834710743802</v>
      </c>
      <c r="CB65" s="95"/>
      <c r="CC65" s="96">
        <f t="shared" ref="CC65" si="510">+CC64/CC66</f>
        <v>0.13540350243726304</v>
      </c>
      <c r="CD65" s="95"/>
      <c r="CE65" s="96">
        <f t="shared" ref="CE65" si="511">+CE64/CE66</f>
        <v>0.13540350243726304</v>
      </c>
      <c r="CF65" s="95"/>
      <c r="CG65" s="96">
        <f>+CG64/CG66</f>
        <v>0.16230253191949795</v>
      </c>
      <c r="CH65" s="375"/>
      <c r="CI65" s="376">
        <f>+CI64/CI66</f>
        <v>0.16230253191949795</v>
      </c>
      <c r="CJ65" s="375"/>
      <c r="CK65" s="376">
        <f>+CK64/CK66</f>
        <v>0.16230253191949795</v>
      </c>
      <c r="CL65" s="375"/>
      <c r="CM65" s="376">
        <f>+CM64/CM66</f>
        <v>0.16230253191949795</v>
      </c>
      <c r="CN65" s="375"/>
      <c r="CO65" s="376">
        <f>+CO64/CO66</f>
        <v>0.16230253191949795</v>
      </c>
      <c r="CR65" s="95"/>
      <c r="CS65" s="96">
        <f t="shared" ref="CS65" si="512">+CS64/CS66</f>
        <v>0.3125</v>
      </c>
    </row>
    <row r="66" spans="1:97" s="4" customFormat="1" ht="18" customHeight="1" outlineLevel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4940</v>
      </c>
      <c r="H66" s="359"/>
      <c r="I66" s="372">
        <f>G66</f>
        <v>4940</v>
      </c>
      <c r="J66" s="359"/>
      <c r="K66" s="372">
        <f>I66</f>
        <v>4940</v>
      </c>
      <c r="L66" s="42"/>
      <c r="M66" s="88">
        <v>4940</v>
      </c>
      <c r="N66" s="359"/>
      <c r="O66" s="372">
        <f>M66</f>
        <v>4940</v>
      </c>
      <c r="P66" s="359"/>
      <c r="Q66" s="372">
        <f>O66</f>
        <v>4940</v>
      </c>
      <c r="R66" s="42"/>
      <c r="S66" s="88">
        <v>4940</v>
      </c>
      <c r="T66" s="359"/>
      <c r="U66" s="372">
        <f>S66</f>
        <v>4940</v>
      </c>
      <c r="V66" s="359"/>
      <c r="W66" s="372">
        <f>U66</f>
        <v>4940</v>
      </c>
      <c r="X66" s="42"/>
      <c r="Y66" s="88">
        <v>4940</v>
      </c>
      <c r="Z66" s="359"/>
      <c r="AA66" s="372">
        <f>Y66</f>
        <v>4940</v>
      </c>
      <c r="AB66" s="359"/>
      <c r="AC66" s="372">
        <f>AA66</f>
        <v>4940</v>
      </c>
      <c r="AD66" s="359"/>
      <c r="AE66" s="372">
        <f t="shared" ref="AE66" si="513">AC66</f>
        <v>4940</v>
      </c>
      <c r="AF66" s="359"/>
      <c r="AG66" s="372">
        <f t="shared" ref="AG66" si="514">AE66</f>
        <v>4940</v>
      </c>
      <c r="AH66" s="359"/>
      <c r="AI66" s="372">
        <f t="shared" ref="AI66" si="515">AG66</f>
        <v>4940</v>
      </c>
      <c r="AJ66" s="359"/>
      <c r="AK66" s="372">
        <f t="shared" ref="AK66" si="516">AI66</f>
        <v>4940</v>
      </c>
      <c r="AL66" s="359"/>
      <c r="AM66" s="372">
        <f t="shared" ref="AM66" si="517">AK66</f>
        <v>4940</v>
      </c>
      <c r="AN66" s="359"/>
      <c r="AO66" s="372">
        <f t="shared" ref="AO66" si="518">AM66</f>
        <v>4940</v>
      </c>
      <c r="AP66" s="359"/>
      <c r="AQ66" s="372">
        <f t="shared" ref="AQ66" si="519">AO66</f>
        <v>4940</v>
      </c>
      <c r="AR66" s="359"/>
      <c r="AS66" s="372">
        <f t="shared" ref="AS66" si="520">AQ66</f>
        <v>4940</v>
      </c>
      <c r="AT66" s="359"/>
      <c r="AU66" s="372">
        <f t="shared" ref="AU66" si="521">AS66</f>
        <v>4940</v>
      </c>
      <c r="AV66" s="359"/>
      <c r="AW66" s="372">
        <f t="shared" ref="AW66" si="522">AU66</f>
        <v>4940</v>
      </c>
      <c r="AX66" s="359"/>
      <c r="AY66" s="372">
        <v>4864</v>
      </c>
      <c r="AZ66" s="359"/>
      <c r="BA66" s="372">
        <f t="shared" ref="BA66" si="523">AY66</f>
        <v>4864</v>
      </c>
      <c r="BB66" s="359"/>
      <c r="BC66" s="372">
        <f t="shared" ref="BC66" si="524">BA66</f>
        <v>4864</v>
      </c>
      <c r="BD66" s="359"/>
      <c r="BE66" s="372">
        <f t="shared" ref="BE66" si="525">BC66</f>
        <v>4864</v>
      </c>
      <c r="BF66" s="359"/>
      <c r="BG66" s="372">
        <f t="shared" ref="BG66" si="526">BE66</f>
        <v>4864</v>
      </c>
      <c r="BH66" s="359"/>
      <c r="BI66" s="372">
        <f t="shared" ref="BI66" si="527">BG66</f>
        <v>4864</v>
      </c>
      <c r="BJ66" s="359"/>
      <c r="BK66" s="372">
        <f t="shared" ref="BK66" si="528">BI66</f>
        <v>4864</v>
      </c>
      <c r="BL66" s="359"/>
      <c r="BM66" s="372">
        <f t="shared" ref="BM66" si="529">BK66</f>
        <v>4864</v>
      </c>
      <c r="BN66" s="359"/>
      <c r="BO66" s="372">
        <v>3670</v>
      </c>
      <c r="BP66" s="359"/>
      <c r="BQ66" s="372">
        <v>4000</v>
      </c>
      <c r="BR66" s="359"/>
      <c r="BS66" s="372">
        <v>4000</v>
      </c>
      <c r="BT66" s="359"/>
      <c r="BU66" s="372">
        <v>3872</v>
      </c>
      <c r="BV66" s="359"/>
      <c r="BW66" s="372">
        <v>3872</v>
      </c>
      <c r="BX66" s="359"/>
      <c r="BY66" s="372">
        <v>4182</v>
      </c>
      <c r="BZ66" s="359"/>
      <c r="CA66" s="372">
        <v>3872</v>
      </c>
      <c r="CB66" s="42"/>
      <c r="CC66" s="88">
        <v>5539</v>
      </c>
      <c r="CD66" s="42"/>
      <c r="CE66" s="88">
        <v>5539</v>
      </c>
      <c r="CF66" s="42"/>
      <c r="CG66" s="88">
        <v>4621</v>
      </c>
      <c r="CH66" s="359"/>
      <c r="CI66" s="372">
        <v>4621</v>
      </c>
      <c r="CJ66" s="359"/>
      <c r="CK66" s="372">
        <v>4621</v>
      </c>
      <c r="CL66" s="359"/>
      <c r="CM66" s="372">
        <v>4621</v>
      </c>
      <c r="CN66" s="359"/>
      <c r="CO66" s="372">
        <v>4621</v>
      </c>
      <c r="CR66" s="42"/>
      <c r="CS66" s="88">
        <v>2400</v>
      </c>
    </row>
    <row r="67" spans="1:97" s="7" customFormat="1" ht="18" customHeight="1" outlineLevel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4.4800000000000004</v>
      </c>
      <c r="H67" s="81"/>
      <c r="I67" s="82">
        <v>4.4800000000000004</v>
      </c>
      <c r="J67" s="81"/>
      <c r="K67" s="82">
        <v>4.4800000000000004</v>
      </c>
      <c r="L67" s="81"/>
      <c r="M67" s="82">
        <v>4.4800000000000004</v>
      </c>
      <c r="N67" s="81"/>
      <c r="O67" s="82">
        <v>4.4800000000000004</v>
      </c>
      <c r="P67" s="81"/>
      <c r="Q67" s="82">
        <v>4.4800000000000004</v>
      </c>
      <c r="R67" s="81"/>
      <c r="S67" s="82">
        <v>4.4800000000000004</v>
      </c>
      <c r="T67" s="81"/>
      <c r="U67" s="82">
        <v>4.4800000000000004</v>
      </c>
      <c r="V67" s="81"/>
      <c r="W67" s="82">
        <v>4.4800000000000004</v>
      </c>
      <c r="X67" s="81"/>
      <c r="Y67" s="82">
        <v>4.4800000000000004</v>
      </c>
      <c r="Z67" s="81"/>
      <c r="AA67" s="82">
        <v>4.4800000000000004</v>
      </c>
      <c r="AB67" s="81"/>
      <c r="AC67" s="82">
        <v>4.4800000000000004</v>
      </c>
      <c r="AD67" s="81"/>
      <c r="AE67" s="82">
        <v>4.5999999999999996</v>
      </c>
      <c r="AF67" s="81"/>
      <c r="AG67" s="82">
        <v>4.5999999999999996</v>
      </c>
      <c r="AH67" s="81"/>
      <c r="AI67" s="82">
        <v>4.5999999999999996</v>
      </c>
      <c r="AJ67" s="81"/>
      <c r="AK67" s="82">
        <v>4.5999999999999996</v>
      </c>
      <c r="AL67" s="81"/>
      <c r="AM67" s="82">
        <v>4.5999999999999996</v>
      </c>
      <c r="AN67" s="81"/>
      <c r="AO67" s="82">
        <v>4.5999999999999996</v>
      </c>
      <c r="AP67" s="81"/>
      <c r="AQ67" s="82">
        <v>4.5999999999999996</v>
      </c>
      <c r="AR67" s="81"/>
      <c r="AS67" s="82">
        <v>4.5999999999999996</v>
      </c>
      <c r="AT67" s="81"/>
      <c r="AU67" s="82">
        <v>4.5999999999999996</v>
      </c>
      <c r="AV67" s="81"/>
      <c r="AW67" s="82">
        <v>4.5999999999999996</v>
      </c>
      <c r="AX67" s="81"/>
      <c r="AY67" s="82">
        <v>4.7</v>
      </c>
      <c r="AZ67" s="81"/>
      <c r="BA67" s="82">
        <v>4.7</v>
      </c>
      <c r="BB67" s="81"/>
      <c r="BC67" s="82">
        <v>4.7</v>
      </c>
      <c r="BD67" s="81"/>
      <c r="BE67" s="82">
        <v>4.7</v>
      </c>
      <c r="BF67" s="81"/>
      <c r="BG67" s="82">
        <v>4.7</v>
      </c>
      <c r="BH67" s="81"/>
      <c r="BI67" s="82">
        <v>4.7</v>
      </c>
      <c r="BJ67" s="81"/>
      <c r="BK67" s="82">
        <v>4.7</v>
      </c>
      <c r="BL67" s="81"/>
      <c r="BM67" s="82">
        <v>4.7</v>
      </c>
      <c r="BN67" s="81"/>
      <c r="BO67" s="82">
        <v>5.84</v>
      </c>
      <c r="BP67" s="935"/>
      <c r="BQ67" s="82">
        <f>5.44+0.41</f>
        <v>5.8500000000000005</v>
      </c>
      <c r="BR67" s="81"/>
      <c r="BS67" s="82">
        <f>5.44+0.41</f>
        <v>5.8500000000000005</v>
      </c>
      <c r="BT67" s="935"/>
      <c r="BU67" s="82">
        <v>5.84</v>
      </c>
      <c r="BV67" s="935"/>
      <c r="BW67" s="82">
        <v>5.84</v>
      </c>
      <c r="BX67" s="81"/>
      <c r="BY67" s="82">
        <f>5.44+0.31+0.1</f>
        <v>5.85</v>
      </c>
      <c r="BZ67" s="81"/>
      <c r="CA67" s="82">
        <f>5.44+0.31+0.1</f>
        <v>5.85</v>
      </c>
      <c r="CB67" s="81"/>
      <c r="CC67" s="82">
        <v>6.2</v>
      </c>
      <c r="CD67" s="81"/>
      <c r="CE67" s="82">
        <v>6.2</v>
      </c>
      <c r="CF67" s="81"/>
      <c r="CG67" s="82">
        <f>4.13+0.12</f>
        <v>4.25</v>
      </c>
      <c r="CH67" s="81"/>
      <c r="CI67" s="82">
        <f>4.1+0.15</f>
        <v>4.25</v>
      </c>
      <c r="CJ67" s="81"/>
      <c r="CK67" s="82">
        <v>4.7</v>
      </c>
      <c r="CL67" s="81"/>
      <c r="CM67" s="82">
        <v>4.7</v>
      </c>
      <c r="CN67" s="81"/>
      <c r="CO67" s="82">
        <v>4.25</v>
      </c>
      <c r="CR67" s="81"/>
      <c r="CS67" s="82">
        <v>6.25</v>
      </c>
    </row>
    <row r="68" spans="1:97" s="7" customFormat="1" ht="18" customHeight="1" outlineLevel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3.4600000000000004</v>
      </c>
      <c r="H68" s="81"/>
      <c r="I68" s="82">
        <f>I56-I65</f>
        <v>3.4600000000000004</v>
      </c>
      <c r="J68" s="81"/>
      <c r="K68" s="82">
        <f>K56-K65</f>
        <v>3.4600000000000004</v>
      </c>
      <c r="L68" s="81"/>
      <c r="M68" s="82">
        <f>M56-M65</f>
        <v>3.4600000000000004</v>
      </c>
      <c r="N68" s="81"/>
      <c r="O68" s="82">
        <f>O56-O65</f>
        <v>3.4600000000000004</v>
      </c>
      <c r="P68" s="81"/>
      <c r="Q68" s="82">
        <f>Q56-Q65</f>
        <v>3.4600000000000004</v>
      </c>
      <c r="R68" s="81"/>
      <c r="S68" s="82">
        <f>S56-S65</f>
        <v>3.4600000000000004</v>
      </c>
      <c r="T68" s="81"/>
      <c r="U68" s="82">
        <f>U56-U65</f>
        <v>3.4600000000000004</v>
      </c>
      <c r="V68" s="81"/>
      <c r="W68" s="82">
        <f>W56-W65</f>
        <v>3.4600000000000004</v>
      </c>
      <c r="X68" s="81"/>
      <c r="Y68" s="82">
        <f>Y56-Y65</f>
        <v>3.4600000000000004</v>
      </c>
      <c r="Z68" s="81"/>
      <c r="AA68" s="82">
        <f>AA56-AA65</f>
        <v>3.4600000000000004</v>
      </c>
      <c r="AB68" s="81"/>
      <c r="AC68" s="82">
        <f>AC56-AC65</f>
        <v>3.4600000000000004</v>
      </c>
      <c r="AD68" s="81"/>
      <c r="AE68" s="82">
        <f t="shared" ref="AE68" si="530">AE56-AE65</f>
        <v>3.9860153256704978</v>
      </c>
      <c r="AF68" s="81"/>
      <c r="AG68" s="82">
        <f t="shared" ref="AG68" si="531">AG56-AG65</f>
        <v>4.0647455236028209</v>
      </c>
      <c r="AH68" s="81"/>
      <c r="AI68" s="82">
        <f t="shared" ref="AI68" si="532">AI56-AI65</f>
        <v>3.4599999999999995</v>
      </c>
      <c r="AJ68" s="81"/>
      <c r="AK68" s="82">
        <f t="shared" ref="AK68" si="533">AK56-AK65</f>
        <v>3.4599999999999995</v>
      </c>
      <c r="AL68" s="81"/>
      <c r="AM68" s="82">
        <f t="shared" ref="AM68" si="534">AM56-AM65</f>
        <v>3.4599999999999995</v>
      </c>
      <c r="AN68" s="81"/>
      <c r="AO68" s="82">
        <f t="shared" ref="AO68" si="535">AO56-AO65</f>
        <v>3.4599999999999995</v>
      </c>
      <c r="AP68" s="81"/>
      <c r="AQ68" s="82">
        <f t="shared" ref="AQ68" si="536">AQ56-AQ65</f>
        <v>3.4599999999999995</v>
      </c>
      <c r="AR68" s="81"/>
      <c r="AS68" s="82">
        <f t="shared" ref="AS68:AY68" si="537">AS56-AS65</f>
        <v>3.4599999999999995</v>
      </c>
      <c r="AT68" s="81"/>
      <c r="AU68" s="82">
        <f t="shared" si="537"/>
        <v>3.4599999999999995</v>
      </c>
      <c r="AV68" s="81"/>
      <c r="AW68" s="82">
        <f t="shared" si="537"/>
        <v>3.4599999999999995</v>
      </c>
      <c r="AX68" s="81"/>
      <c r="AY68" s="82">
        <f t="shared" si="537"/>
        <v>3.55</v>
      </c>
      <c r="AZ68" s="81"/>
      <c r="BA68" s="82">
        <f t="shared" ref="BA68:BC68" si="538">BA56-BA65</f>
        <v>3.55</v>
      </c>
      <c r="BB68" s="81"/>
      <c r="BC68" s="82">
        <f t="shared" si="538"/>
        <v>3.55</v>
      </c>
      <c r="BD68" s="81"/>
      <c r="BE68" s="82">
        <f t="shared" ref="BE68:BG68" si="539">BE56-BE65</f>
        <v>3.55</v>
      </c>
      <c r="BF68" s="81"/>
      <c r="BG68" s="82">
        <f t="shared" si="539"/>
        <v>3.55</v>
      </c>
      <c r="BH68" s="81"/>
      <c r="BI68" s="82">
        <f t="shared" ref="BI68:BK68" si="540">BI56-BI65</f>
        <v>3.55</v>
      </c>
      <c r="BJ68" s="81"/>
      <c r="BK68" s="82">
        <f t="shared" si="540"/>
        <v>3.55</v>
      </c>
      <c r="BL68" s="81"/>
      <c r="BM68" s="82">
        <f t="shared" ref="BM68" si="541">BM56-BM65</f>
        <v>3.55</v>
      </c>
      <c r="BN68" s="81"/>
      <c r="BO68" s="82">
        <f>BO56-BO65</f>
        <v>5.1999999999999993</v>
      </c>
      <c r="BP68" s="81"/>
      <c r="BQ68" s="82">
        <f>BQ56-BQ65</f>
        <v>5.0600000000000005</v>
      </c>
      <c r="BR68" s="81"/>
      <c r="BS68" s="82">
        <f>BS56-BS65</f>
        <v>5.0600000000000005</v>
      </c>
      <c r="BT68" s="81"/>
      <c r="BU68" s="82">
        <f>BU56-BU65</f>
        <v>5.0599999999999996</v>
      </c>
      <c r="BV68" s="81"/>
      <c r="BW68" s="82">
        <f>BW56-BW65</f>
        <v>5.0599999999999996</v>
      </c>
      <c r="BX68" s="81"/>
      <c r="BY68" s="82">
        <f>BY56-BY65</f>
        <v>5.0722312499999997</v>
      </c>
      <c r="BZ68" s="81"/>
      <c r="CA68" s="82">
        <f>CA56-CA65</f>
        <v>5.0544748148148155</v>
      </c>
      <c r="CB68" s="81"/>
      <c r="CC68" s="82">
        <f>CC56-CC65</f>
        <v>5.2645964975627377</v>
      </c>
      <c r="CD68" s="81"/>
      <c r="CE68" s="82">
        <f>CE56-CE65</f>
        <v>5.2645964975627377</v>
      </c>
      <c r="CF68" s="81"/>
      <c r="CG68" s="82">
        <f>CG56-CG65</f>
        <v>3.1900000000000004</v>
      </c>
      <c r="CH68" s="81"/>
      <c r="CI68" s="82">
        <f>CI56-CI65</f>
        <v>3.1848562500000002</v>
      </c>
      <c r="CJ68" s="81"/>
      <c r="CK68" s="82">
        <f>CK56-CK65</f>
        <v>3.3900000000000006</v>
      </c>
      <c r="CL68" s="81"/>
      <c r="CM68" s="82">
        <f>CM56-CM65</f>
        <v>3.3900000000000006</v>
      </c>
      <c r="CN68" s="81"/>
      <c r="CO68" s="82">
        <f>CO56-CO65</f>
        <v>3.1900000000000004</v>
      </c>
      <c r="CR68" s="81"/>
      <c r="CS68" s="82">
        <f>CS56-CS57</f>
        <v>3.95</v>
      </c>
    </row>
    <row r="69" spans="1:97" s="103" customFormat="1" ht="18" hidden="1" customHeight="1" outlineLevel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0.37333333333333335</v>
      </c>
      <c r="H69" s="101"/>
      <c r="I69" s="102">
        <f>+I67/I10</f>
        <v>0.37333333333333335</v>
      </c>
      <c r="J69" s="101"/>
      <c r="K69" s="102">
        <f>+K67/K10</f>
        <v>0.37333333333333335</v>
      </c>
      <c r="L69" s="101"/>
      <c r="M69" s="102">
        <f>+M67/M10</f>
        <v>0.37333333333333335</v>
      </c>
      <c r="N69" s="101"/>
      <c r="O69" s="102">
        <f>+O67/O10</f>
        <v>0.37333333333333335</v>
      </c>
      <c r="P69" s="101"/>
      <c r="Q69" s="102">
        <f>+Q67/Q10</f>
        <v>0.37333333333333335</v>
      </c>
      <c r="R69" s="101"/>
      <c r="S69" s="102">
        <f>+S67/S10</f>
        <v>0.37333333333333335</v>
      </c>
      <c r="T69" s="101"/>
      <c r="U69" s="102">
        <f>+U67/U10</f>
        <v>0.37333333333333335</v>
      </c>
      <c r="V69" s="101"/>
      <c r="W69" s="102">
        <f>+W67/W10</f>
        <v>0.37333333333333335</v>
      </c>
      <c r="X69" s="101"/>
      <c r="Y69" s="102">
        <f>+Y67/Y10</f>
        <v>0.37333333333333335</v>
      </c>
      <c r="Z69" s="101"/>
      <c r="AA69" s="102">
        <f>+AA67/AA10</f>
        <v>0.37333333333333335</v>
      </c>
      <c r="AB69" s="101"/>
      <c r="AC69" s="102">
        <f>+AC67/AC10</f>
        <v>0.37333333333333335</v>
      </c>
      <c r="AD69" s="101"/>
      <c r="AE69" s="102">
        <f t="shared" ref="AE69" si="542">+AE67/AE10</f>
        <v>0.3833333333333333</v>
      </c>
      <c r="AF69" s="101"/>
      <c r="AG69" s="102">
        <f t="shared" ref="AG69" si="543">+AG67/AG10</f>
        <v>0.3833333333333333</v>
      </c>
      <c r="AH69" s="101"/>
      <c r="AI69" s="102">
        <f t="shared" ref="AI69" si="544">+AI67/AI10</f>
        <v>0.3833333333333333</v>
      </c>
      <c r="AJ69" s="101"/>
      <c r="AK69" s="102">
        <f t="shared" ref="AK69" si="545">+AK67/AK10</f>
        <v>0.3833333333333333</v>
      </c>
      <c r="AL69" s="101"/>
      <c r="AM69" s="102">
        <f t="shared" ref="AM69" si="546">+AM67/AM10</f>
        <v>0.3833333333333333</v>
      </c>
      <c r="AN69" s="101"/>
      <c r="AO69" s="102">
        <f t="shared" ref="AO69" si="547">+AO67/AO10</f>
        <v>0.3833333333333333</v>
      </c>
      <c r="AP69" s="101"/>
      <c r="AQ69" s="102">
        <f t="shared" ref="AQ69" si="548">+AQ67/AQ10</f>
        <v>0.3833333333333333</v>
      </c>
      <c r="AR69" s="101"/>
      <c r="AS69" s="102">
        <f t="shared" ref="AS69:AY69" si="549">+AS67/AS10</f>
        <v>0.3833333333333333</v>
      </c>
      <c r="AT69" s="101"/>
      <c r="AU69" s="102">
        <f t="shared" si="549"/>
        <v>0.3833333333333333</v>
      </c>
      <c r="AV69" s="101"/>
      <c r="AW69" s="102">
        <f t="shared" si="549"/>
        <v>0.3833333333333333</v>
      </c>
      <c r="AX69" s="101"/>
      <c r="AY69" s="102">
        <f t="shared" si="549"/>
        <v>0.39166666666666666</v>
      </c>
      <c r="AZ69" s="101"/>
      <c r="BA69" s="102">
        <f t="shared" ref="BA69:BC69" si="550">+BA67/BA10</f>
        <v>0.39166666666666666</v>
      </c>
      <c r="BB69" s="101"/>
      <c r="BC69" s="102">
        <f t="shared" si="550"/>
        <v>0.39166666666666666</v>
      </c>
      <c r="BD69" s="101"/>
      <c r="BE69" s="102">
        <f t="shared" ref="BE69:BG69" si="551">+BE67/BE10</f>
        <v>0.39166666666666666</v>
      </c>
      <c r="BF69" s="101"/>
      <c r="BG69" s="102">
        <f t="shared" si="551"/>
        <v>0.39166666666666666</v>
      </c>
      <c r="BH69" s="101"/>
      <c r="BI69" s="102">
        <f t="shared" ref="BI69:BK69" si="552">+BI67/BI10</f>
        <v>0.39166666666666666</v>
      </c>
      <c r="BJ69" s="101"/>
      <c r="BK69" s="102">
        <f t="shared" si="552"/>
        <v>0.39166666666666666</v>
      </c>
      <c r="BL69" s="101"/>
      <c r="BM69" s="102">
        <f t="shared" ref="BM69" si="553">+BM67/BM10</f>
        <v>0.39166666666666666</v>
      </c>
      <c r="BN69" s="101"/>
      <c r="BO69" s="102">
        <f>+BO67/BO10</f>
        <v>0.14599999999999999</v>
      </c>
      <c r="BP69" s="101"/>
      <c r="BQ69" s="82">
        <f>+BQ67/BQ10</f>
        <v>0.14625000000000002</v>
      </c>
      <c r="BR69" s="101"/>
      <c r="BS69" s="102">
        <f t="shared" ref="BS69" si="554">+BS67/BS10</f>
        <v>0.14625000000000002</v>
      </c>
      <c r="BT69" s="101"/>
      <c r="BU69" s="82">
        <f>+BU67/BU10</f>
        <v>0.14599999999999999</v>
      </c>
      <c r="BV69" s="101"/>
      <c r="BW69" s="82">
        <f>+BW67/BW10</f>
        <v>0.14599999999999999</v>
      </c>
      <c r="BX69" s="101"/>
      <c r="BY69" s="102">
        <f>+BY67/BY10</f>
        <v>0.14624999999999999</v>
      </c>
      <c r="BZ69" s="101"/>
      <c r="CA69" s="102">
        <f>+CA67/CA10</f>
        <v>0.14624999999999999</v>
      </c>
      <c r="CB69" s="101"/>
      <c r="CC69" s="82">
        <f>+CC67/CC10</f>
        <v>0.31</v>
      </c>
      <c r="CD69" s="101"/>
      <c r="CE69" s="82">
        <f>+CE67/CE10</f>
        <v>0.31</v>
      </c>
      <c r="CF69" s="101"/>
      <c r="CG69" s="102">
        <f>+CG67/CG10</f>
        <v>0.35416666666666669</v>
      </c>
      <c r="CH69" s="101"/>
      <c r="CI69" s="102">
        <f>+CI67/CI10</f>
        <v>0.35416666666666669</v>
      </c>
      <c r="CJ69" s="101"/>
      <c r="CK69" s="102">
        <f>+CK67/CK10</f>
        <v>0.39166666666666666</v>
      </c>
      <c r="CL69" s="101"/>
      <c r="CM69" s="102">
        <f>+CM67/CM10</f>
        <v>0.39166666666666666</v>
      </c>
      <c r="CN69" s="101"/>
      <c r="CO69" s="102">
        <f>+CO67/CO10</f>
        <v>0.35416666666666669</v>
      </c>
      <c r="CR69" s="101"/>
      <c r="CS69" s="102">
        <f t="shared" ref="CS69" si="555">+CS67/CS10</f>
        <v>0.26041666666666669</v>
      </c>
    </row>
    <row r="70" spans="1:97" s="4" customFormat="1" ht="1.05" customHeight="1" outlineLevel="1" thickBot="1" x14ac:dyDescent="0.5">
      <c r="A70" s="561"/>
      <c r="B70" s="1184"/>
      <c r="C70" s="104"/>
      <c r="D70" s="105"/>
      <c r="E70" s="105"/>
      <c r="F70" s="106"/>
      <c r="G70" s="107"/>
      <c r="H70" s="377"/>
      <c r="I70" s="378"/>
      <c r="J70" s="377"/>
      <c r="K70" s="378"/>
      <c r="L70" s="106"/>
      <c r="M70" s="107"/>
      <c r="N70" s="377"/>
      <c r="O70" s="378"/>
      <c r="P70" s="377"/>
      <c r="Q70" s="378"/>
      <c r="R70" s="106"/>
      <c r="S70" s="107"/>
      <c r="T70" s="377"/>
      <c r="U70" s="378"/>
      <c r="V70" s="377"/>
      <c r="W70" s="378"/>
      <c r="X70" s="106"/>
      <c r="Y70" s="107"/>
      <c r="Z70" s="377"/>
      <c r="AA70" s="378"/>
      <c r="AB70" s="377"/>
      <c r="AC70" s="378"/>
      <c r="AD70" s="377"/>
      <c r="AE70" s="378"/>
      <c r="AF70" s="377"/>
      <c r="AG70" s="378"/>
      <c r="AH70" s="377"/>
      <c r="AI70" s="378"/>
      <c r="AJ70" s="377"/>
      <c r="AK70" s="378"/>
      <c r="AL70" s="377"/>
      <c r="AM70" s="378"/>
      <c r="AN70" s="377"/>
      <c r="AO70" s="378"/>
      <c r="AP70" s="377"/>
      <c r="AQ70" s="378"/>
      <c r="AR70" s="377"/>
      <c r="AS70" s="378"/>
      <c r="AT70" s="377"/>
      <c r="AU70" s="378"/>
      <c r="AV70" s="377"/>
      <c r="AW70" s="378"/>
      <c r="AX70" s="377"/>
      <c r="AY70" s="378"/>
      <c r="AZ70" s="377"/>
      <c r="BA70" s="378"/>
      <c r="BB70" s="377"/>
      <c r="BC70" s="378"/>
      <c r="BD70" s="377"/>
      <c r="BE70" s="378"/>
      <c r="BF70" s="377"/>
      <c r="BG70" s="378"/>
      <c r="BH70" s="377"/>
      <c r="BI70" s="378"/>
      <c r="BJ70" s="377"/>
      <c r="BK70" s="378"/>
      <c r="BL70" s="377"/>
      <c r="BM70" s="378"/>
      <c r="BN70" s="377"/>
      <c r="BO70" s="378"/>
      <c r="BP70" s="377"/>
      <c r="BQ70" s="595"/>
      <c r="BR70" s="377"/>
      <c r="BS70" s="378"/>
      <c r="BT70" s="377"/>
      <c r="BU70" s="595"/>
      <c r="BV70" s="377"/>
      <c r="BW70" s="595"/>
      <c r="BX70" s="377"/>
      <c r="BY70" s="378"/>
      <c r="BZ70" s="377"/>
      <c r="CA70" s="378"/>
      <c r="CB70" s="106"/>
      <c r="CC70" s="107"/>
      <c r="CD70" s="106"/>
      <c r="CE70" s="107"/>
      <c r="CF70" s="106"/>
      <c r="CG70" s="107"/>
      <c r="CH70" s="377"/>
      <c r="CI70" s="378"/>
      <c r="CJ70" s="377"/>
      <c r="CK70" s="378"/>
      <c r="CL70" s="377"/>
      <c r="CM70" s="378"/>
      <c r="CN70" s="377"/>
      <c r="CO70" s="378"/>
      <c r="CR70" s="377"/>
      <c r="CS70" s="378"/>
    </row>
    <row r="71" spans="1:97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2.3856968416146938</v>
      </c>
      <c r="H71" s="111"/>
      <c r="I71" s="112">
        <f>I74+I72</f>
        <v>2.3856968416146938</v>
      </c>
      <c r="J71" s="111"/>
      <c r="K71" s="112">
        <f>K74+K72</f>
        <v>2.7322007740658072</v>
      </c>
      <c r="L71" s="111"/>
      <c r="M71" s="112">
        <f>M74+M72</f>
        <v>2.5237042260137383</v>
      </c>
      <c r="N71" s="111"/>
      <c r="O71" s="112">
        <f>O74+O72</f>
        <v>2.7168094017393325</v>
      </c>
      <c r="P71" s="111"/>
      <c r="Q71" s="112">
        <f>Q74+Q72</f>
        <v>2.7168094017393325</v>
      </c>
      <c r="R71" s="111"/>
      <c r="S71" s="112">
        <f>S74+S72</f>
        <v>2.6496337303278912</v>
      </c>
      <c r="T71" s="111"/>
      <c r="U71" s="112">
        <f>U74+U72</f>
        <v>2.6496337303278912</v>
      </c>
      <c r="V71" s="111"/>
      <c r="W71" s="112">
        <f>W74+W72</f>
        <v>2.7202214273511771</v>
      </c>
      <c r="X71" s="111"/>
      <c r="Y71" s="112">
        <f>Y74+Y72</f>
        <v>2.6641312213275388</v>
      </c>
      <c r="Z71" s="111"/>
      <c r="AA71" s="112">
        <f>AA74+AA72</f>
        <v>2.5806650881991016</v>
      </c>
      <c r="AB71" s="111"/>
      <c r="AC71" s="112">
        <f>AC74+AC72</f>
        <v>2.4667509355033657</v>
      </c>
      <c r="AD71" s="111"/>
      <c r="AE71" s="112">
        <f t="shared" ref="AE71" si="556">AE74+AE72</f>
        <v>2.5429159912345844</v>
      </c>
      <c r="AF71" s="111"/>
      <c r="AG71" s="112">
        <f t="shared" ref="AG71" si="557">AG74+AG72</f>
        <v>2.5602782819284142</v>
      </c>
      <c r="AH71" s="111"/>
      <c r="AI71" s="112">
        <f t="shared" ref="AI71" si="558">AI74+AI72</f>
        <v>2.5602782819284142</v>
      </c>
      <c r="AJ71" s="111"/>
      <c r="AK71" s="112">
        <f t="shared" ref="AK71" si="559">AK74+AK72</f>
        <v>2.7263123387291772</v>
      </c>
      <c r="AL71" s="111"/>
      <c r="AM71" s="112">
        <f t="shared" ref="AM71" si="560">AM74+AM72</f>
        <v>2.7263123387291772</v>
      </c>
      <c r="AN71" s="111"/>
      <c r="AO71" s="112">
        <f t="shared" ref="AO71" si="561">AO74+AO72</f>
        <v>2.7721426621456424</v>
      </c>
      <c r="AP71" s="111"/>
      <c r="AQ71" s="112">
        <f t="shared" ref="AQ71" si="562">AQ74+AQ72</f>
        <v>2.7721426621456424</v>
      </c>
      <c r="AR71" s="111"/>
      <c r="AS71" s="112">
        <f t="shared" ref="AS71:AY71" si="563">AS74+AS72</f>
        <v>2.7721426621456424</v>
      </c>
      <c r="AT71" s="111"/>
      <c r="AU71" s="112">
        <f t="shared" si="563"/>
        <v>2.3181153069054652</v>
      </c>
      <c r="AV71" s="111"/>
      <c r="AW71" s="112">
        <f t="shared" si="563"/>
        <v>2.2058090445262586</v>
      </c>
      <c r="AX71" s="111"/>
      <c r="AY71" s="112">
        <f t="shared" si="563"/>
        <v>2.2560052699300361</v>
      </c>
      <c r="AZ71" s="111"/>
      <c r="BA71" s="112">
        <f t="shared" ref="BA71:BC71" si="564">BA74+BA72</f>
        <v>2.1629908805499478</v>
      </c>
      <c r="BB71" s="111"/>
      <c r="BC71" s="112">
        <f t="shared" si="564"/>
        <v>2.3317925143081704</v>
      </c>
      <c r="BD71" s="111"/>
      <c r="BE71" s="112">
        <f t="shared" ref="BE71:BG71" si="565">BE74+BE72</f>
        <v>2.1814882230554709</v>
      </c>
      <c r="BF71" s="111"/>
      <c r="BG71" s="112">
        <f t="shared" si="565"/>
        <v>2.6039158298199174</v>
      </c>
      <c r="BH71" s="111"/>
      <c r="BI71" s="112">
        <f t="shared" ref="BI71:BK71" si="566">BI74+BI72</f>
        <v>2.3351859435582556</v>
      </c>
      <c r="BJ71" s="111"/>
      <c r="BK71" s="112">
        <f t="shared" si="566"/>
        <v>2.2687316319794206</v>
      </c>
      <c r="BL71" s="111"/>
      <c r="BM71" s="112">
        <f t="shared" ref="BM71" si="567">BM74+BM72</f>
        <v>2.2518909217693643</v>
      </c>
      <c r="BN71" s="111"/>
      <c r="BO71" s="112">
        <f t="shared" ref="BO71" si="568">BO74+BO72</f>
        <v>4.7566294950718211</v>
      </c>
      <c r="BP71" s="111"/>
      <c r="BQ71" s="112">
        <f t="shared" ref="BQ71" si="569">BQ74+BQ72</f>
        <v>3.4631944444444445</v>
      </c>
      <c r="BR71" s="111"/>
      <c r="BS71" s="112">
        <f t="shared" ref="BS71" si="570">BS74+BS72</f>
        <v>3.9891203703703701</v>
      </c>
      <c r="BT71" s="111"/>
      <c r="BU71" s="112">
        <f>BU74+BU72</f>
        <v>4.1111257779818384</v>
      </c>
      <c r="BV71" s="111"/>
      <c r="BW71" s="112">
        <v>3.43</v>
      </c>
      <c r="BX71" s="111"/>
      <c r="BY71" s="112">
        <f>BY74+BY72</f>
        <v>3.1573694729322019</v>
      </c>
      <c r="BZ71" s="111"/>
      <c r="CA71" s="112">
        <f>CA74+CA72</f>
        <v>4.0666813335373941</v>
      </c>
      <c r="CB71" s="111"/>
      <c r="CC71" s="112">
        <f t="shared" ref="CC71" si="571">CC74+CC72</f>
        <v>3.237591188408123</v>
      </c>
      <c r="CD71" s="111"/>
      <c r="CE71" s="112">
        <f t="shared" ref="CE71" si="572">CE74+CE72</f>
        <v>3.4943813118649132</v>
      </c>
      <c r="CF71" s="111"/>
      <c r="CG71" s="112">
        <f>CG74+CG72</f>
        <v>2.3788961156929851</v>
      </c>
      <c r="CH71" s="111"/>
      <c r="CI71" s="112">
        <f>CI74+CI72</f>
        <v>2.3537109305077997</v>
      </c>
      <c r="CJ71" s="111"/>
      <c r="CK71" s="112">
        <f>CK74+CK72</f>
        <v>2.8218590786559479</v>
      </c>
      <c r="CL71" s="111"/>
      <c r="CM71" s="112">
        <f>CM74+CM72</f>
        <v>2.6300072268040959</v>
      </c>
      <c r="CN71" s="111"/>
      <c r="CO71" s="112">
        <f>CO74+CO72</f>
        <v>2.32408130087817</v>
      </c>
      <c r="CR71" s="111"/>
      <c r="CS71" s="112">
        <f t="shared" ref="CS71" si="573">CS74+CS72</f>
        <v>4.2469000071631777</v>
      </c>
    </row>
    <row r="72" spans="1:97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4.2385511597152363E-2</v>
      </c>
      <c r="H72" s="116"/>
      <c r="I72" s="117">
        <v>4.2385511597152363E-2</v>
      </c>
      <c r="J72" s="116"/>
      <c r="K72" s="117">
        <v>4.7008795934724318E-2</v>
      </c>
      <c r="L72" s="116"/>
      <c r="M72" s="117">
        <v>3.27102564144914E-2</v>
      </c>
      <c r="N72" s="116"/>
      <c r="O72" s="117">
        <v>3.9379634930487621E-2</v>
      </c>
      <c r="P72" s="116"/>
      <c r="Q72" s="117">
        <f>O72</f>
        <v>3.9379634930487621E-2</v>
      </c>
      <c r="R72" s="116"/>
      <c r="S72" s="117">
        <v>3.7026555104111576E-2</v>
      </c>
      <c r="T72" s="116"/>
      <c r="U72" s="117">
        <f>S72</f>
        <v>3.7026555104111576E-2</v>
      </c>
      <c r="V72" s="116"/>
      <c r="W72" s="117">
        <v>3.6437002896041883E-2</v>
      </c>
      <c r="X72" s="116"/>
      <c r="Y72" s="117">
        <f>W72</f>
        <v>3.6437002896041883E-2</v>
      </c>
      <c r="Z72" s="116"/>
      <c r="AA72" s="117">
        <v>3.762920411638352E-2</v>
      </c>
      <c r="AB72" s="116"/>
      <c r="AC72" s="117">
        <v>3.7290225820679868E-2</v>
      </c>
      <c r="AD72" s="116"/>
      <c r="AE72" s="117">
        <v>3.7290225820679868E-2</v>
      </c>
      <c r="AF72" s="116"/>
      <c r="AG72" s="117">
        <v>3.7290225820679868E-2</v>
      </c>
      <c r="AH72" s="116"/>
      <c r="AI72" s="117">
        <v>3.7290225820679868E-2</v>
      </c>
      <c r="AJ72" s="116"/>
      <c r="AK72" s="117">
        <v>3.7290225820679868E-2</v>
      </c>
      <c r="AL72" s="116"/>
      <c r="AM72" s="117">
        <v>3.7290225820679868E-2</v>
      </c>
      <c r="AN72" s="116"/>
      <c r="AO72" s="117">
        <v>3.9421599686285703E-2</v>
      </c>
      <c r="AP72" s="116"/>
      <c r="AQ72" s="117">
        <f>AO72</f>
        <v>3.9421599686285703E-2</v>
      </c>
      <c r="AR72" s="116"/>
      <c r="AS72" s="117">
        <f>AQ72</f>
        <v>3.9421599686285703E-2</v>
      </c>
      <c r="AT72" s="116"/>
      <c r="AU72" s="117">
        <v>3.831660167448718E-2</v>
      </c>
      <c r="AV72" s="116"/>
      <c r="AW72" s="117">
        <v>3.5809044526258701E-2</v>
      </c>
      <c r="AX72" s="116"/>
      <c r="AY72" s="117">
        <v>3.6005269930035902E-2</v>
      </c>
      <c r="AZ72" s="116"/>
      <c r="BA72" s="117">
        <v>3.7697373382267897E-2</v>
      </c>
      <c r="BB72" s="116"/>
      <c r="BC72" s="117">
        <v>3.7697373382267897E-2</v>
      </c>
      <c r="BD72" s="116"/>
      <c r="BE72" s="117">
        <v>3.7697373382267897E-2</v>
      </c>
      <c r="BF72" s="116"/>
      <c r="BG72" s="117">
        <v>3.7697373382267897E-2</v>
      </c>
      <c r="BH72" s="116"/>
      <c r="BI72" s="117">
        <v>3.7697373382267897E-2</v>
      </c>
      <c r="BJ72" s="116"/>
      <c r="BK72" s="117">
        <v>3.7697373382267897E-2</v>
      </c>
      <c r="BL72" s="116"/>
      <c r="BM72" s="117">
        <v>3.7697373382267897E-2</v>
      </c>
      <c r="BN72" s="1024"/>
      <c r="BO72" s="596">
        <f>BO115</f>
        <v>0.1195924580347832</v>
      </c>
      <c r="BP72" s="1024"/>
      <c r="BQ72" s="596">
        <f>BQ115</f>
        <v>0.11010802469135803</v>
      </c>
      <c r="BR72" s="1024"/>
      <c r="BS72" s="596">
        <f>BS115</f>
        <v>0.11010802469135803</v>
      </c>
      <c r="BT72" s="1024"/>
      <c r="BU72" s="596">
        <f>BU115</f>
        <v>0.11359491378430772</v>
      </c>
      <c r="BV72" s="1024"/>
      <c r="BW72" s="596">
        <v>0.119713464369997</v>
      </c>
      <c r="BX72" s="116"/>
      <c r="BY72" s="596">
        <f>BY115</f>
        <v>0.10551762108035025</v>
      </c>
      <c r="BZ72" s="116"/>
      <c r="CA72" s="596">
        <f>CA115</f>
        <v>0.11359491378430772</v>
      </c>
      <c r="CB72" s="116"/>
      <c r="CC72" s="596">
        <f>CC115</f>
        <v>8.0801064951332741E-2</v>
      </c>
      <c r="CD72" s="116"/>
      <c r="CE72" s="596">
        <f>CE115</f>
        <v>8.0801064951332741E-2</v>
      </c>
      <c r="CF72" s="116"/>
      <c r="CG72" s="596">
        <f>CG115</f>
        <v>9.5933152730022092E-2</v>
      </c>
      <c r="CH72" s="116"/>
      <c r="CI72" s="596">
        <f>CI115</f>
        <v>9.5933152730022092E-2</v>
      </c>
      <c r="CJ72" s="116"/>
      <c r="CK72" s="596">
        <f>CK115</f>
        <v>9.5933152730022092E-2</v>
      </c>
      <c r="CL72" s="116"/>
      <c r="CM72" s="596">
        <f>CM115</f>
        <v>9.5933152730022092E-2</v>
      </c>
      <c r="CN72" s="116"/>
      <c r="CO72" s="596">
        <f>CO115</f>
        <v>9.5933152730022092E-2</v>
      </c>
      <c r="CR72" s="116"/>
      <c r="CS72" s="117">
        <f>CS115</f>
        <v>0.17985266879515363</v>
      </c>
    </row>
    <row r="73" spans="1:97" s="4" customFormat="1" ht="1.05" customHeight="1" outlineLevel="1" x14ac:dyDescent="0.45">
      <c r="A73" s="561"/>
      <c r="B73" s="1241"/>
      <c r="C73" s="16"/>
      <c r="D73" s="16"/>
      <c r="E73" s="16"/>
      <c r="F73" s="42"/>
      <c r="G73" s="118"/>
      <c r="H73" s="359"/>
      <c r="I73" s="379"/>
      <c r="J73" s="359"/>
      <c r="K73" s="379"/>
      <c r="L73" s="42"/>
      <c r="M73" s="118"/>
      <c r="N73" s="359"/>
      <c r="O73" s="379"/>
      <c r="P73" s="359"/>
      <c r="Q73" s="379"/>
      <c r="R73" s="42"/>
      <c r="S73" s="118"/>
      <c r="T73" s="359"/>
      <c r="U73" s="379"/>
      <c r="V73" s="359"/>
      <c r="W73" s="379"/>
      <c r="X73" s="42"/>
      <c r="Y73" s="118"/>
      <c r="Z73" s="359"/>
      <c r="AA73" s="379"/>
      <c r="AB73" s="359"/>
      <c r="AC73" s="379"/>
      <c r="AD73" s="359"/>
      <c r="AE73" s="379"/>
      <c r="AF73" s="359"/>
      <c r="AG73" s="379"/>
      <c r="AH73" s="359"/>
      <c r="AI73" s="379"/>
      <c r="AJ73" s="359"/>
      <c r="AK73" s="379"/>
      <c r="AL73" s="359"/>
      <c r="AM73" s="379"/>
      <c r="AN73" s="359"/>
      <c r="AO73" s="379"/>
      <c r="AP73" s="359"/>
      <c r="AQ73" s="379"/>
      <c r="AR73" s="359"/>
      <c r="AS73" s="379"/>
      <c r="AT73" s="359"/>
      <c r="AU73" s="379"/>
      <c r="AV73" s="359"/>
      <c r="AW73" s="379"/>
      <c r="AX73" s="359"/>
      <c r="AY73" s="379"/>
      <c r="AZ73" s="359"/>
      <c r="BA73" s="379"/>
      <c r="BB73" s="359"/>
      <c r="BC73" s="379"/>
      <c r="BD73" s="359"/>
      <c r="BE73" s="379"/>
      <c r="BF73" s="359"/>
      <c r="BG73" s="379"/>
      <c r="BH73" s="359"/>
      <c r="BI73" s="379"/>
      <c r="BJ73" s="359"/>
      <c r="BK73" s="379"/>
      <c r="BL73" s="359"/>
      <c r="BM73" s="379"/>
      <c r="BN73" s="359"/>
      <c r="BO73" s="685"/>
      <c r="BP73" s="359"/>
      <c r="BQ73" s="597"/>
      <c r="BR73" s="359"/>
      <c r="BS73" s="560"/>
      <c r="BT73" s="359"/>
      <c r="BU73" s="597"/>
      <c r="BV73" s="359"/>
      <c r="BW73" s="597"/>
      <c r="BX73" s="359"/>
      <c r="BY73" s="560"/>
      <c r="BZ73" s="359"/>
      <c r="CA73" s="560"/>
      <c r="CB73" s="42"/>
      <c r="CC73" s="118"/>
      <c r="CD73" s="42"/>
      <c r="CE73" s="118"/>
      <c r="CF73" s="42"/>
      <c r="CG73" s="118"/>
      <c r="CH73" s="359"/>
      <c r="CI73" s="379"/>
      <c r="CJ73" s="359"/>
      <c r="CK73" s="379"/>
      <c r="CL73" s="359"/>
      <c r="CM73" s="379"/>
      <c r="CN73" s="359"/>
      <c r="CO73" s="379"/>
      <c r="CR73" s="359"/>
      <c r="CS73" s="379"/>
    </row>
    <row r="74" spans="1:97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2.3433113300175412</v>
      </c>
      <c r="H74" s="66"/>
      <c r="I74" s="70">
        <v>2.3433113300175412</v>
      </c>
      <c r="J74" s="66"/>
      <c r="K74" s="70">
        <v>2.6851919781310829</v>
      </c>
      <c r="L74" s="66"/>
      <c r="M74" s="70">
        <v>2.4909939695992471</v>
      </c>
      <c r="N74" s="66"/>
      <c r="O74" s="70">
        <v>2.6774297668088449</v>
      </c>
      <c r="P74" s="66"/>
      <c r="Q74" s="70">
        <f>O74</f>
        <v>2.6774297668088449</v>
      </c>
      <c r="R74" s="66"/>
      <c r="S74" s="70">
        <v>2.6126071752237796</v>
      </c>
      <c r="T74" s="66"/>
      <c r="U74" s="70">
        <f>S74</f>
        <v>2.6126071752237796</v>
      </c>
      <c r="V74" s="66"/>
      <c r="W74" s="70">
        <v>2.6837844244551352</v>
      </c>
      <c r="X74" s="66"/>
      <c r="Y74" s="70">
        <v>2.6276942184314969</v>
      </c>
      <c r="Z74" s="66"/>
      <c r="AA74" s="70">
        <v>2.5430358840827179</v>
      </c>
      <c r="AB74" s="66"/>
      <c r="AC74" s="70">
        <v>2.4294607096826857</v>
      </c>
      <c r="AD74" s="66"/>
      <c r="AE74" s="70">
        <v>2.5056257654139045</v>
      </c>
      <c r="AF74" s="66"/>
      <c r="AG74" s="70">
        <v>2.5229880561077342</v>
      </c>
      <c r="AH74" s="66"/>
      <c r="AI74" s="70">
        <v>2.5229880561077342</v>
      </c>
      <c r="AJ74" s="66"/>
      <c r="AK74" s="70">
        <v>2.6890221129084972</v>
      </c>
      <c r="AL74" s="66"/>
      <c r="AM74" s="70">
        <v>2.6890221129084972</v>
      </c>
      <c r="AN74" s="66"/>
      <c r="AO74" s="70">
        <v>2.7327210624593565</v>
      </c>
      <c r="AP74" s="66"/>
      <c r="AQ74" s="70">
        <v>2.7327210624593565</v>
      </c>
      <c r="AR74" s="66"/>
      <c r="AS74" s="70">
        <v>2.7327210624593565</v>
      </c>
      <c r="AT74" s="66"/>
      <c r="AU74" s="70">
        <v>2.2797987052309781</v>
      </c>
      <c r="AV74" s="66"/>
      <c r="AW74" s="70">
        <v>2.17</v>
      </c>
      <c r="AX74" s="66"/>
      <c r="AY74" s="70">
        <v>2.2200000000000002</v>
      </c>
      <c r="AZ74" s="66"/>
      <c r="BA74" s="70">
        <v>2.12529350716768</v>
      </c>
      <c r="BB74" s="66"/>
      <c r="BC74" s="70">
        <f>BC77/BC79*BC10</f>
        <v>2.2940951409259025</v>
      </c>
      <c r="BD74" s="66"/>
      <c r="BE74" s="70">
        <f>BE77/BE79*BE10</f>
        <v>2.143790849673203</v>
      </c>
      <c r="BF74" s="66"/>
      <c r="BG74" s="70">
        <f>BG77/BG79*BG10</f>
        <v>2.5662184564376496</v>
      </c>
      <c r="BH74" s="66"/>
      <c r="BI74" s="70">
        <f>BI77/BI79*BI10</f>
        <v>2.2974885701759877</v>
      </c>
      <c r="BJ74" s="66"/>
      <c r="BK74" s="70">
        <f>BK77/BK79*BK10</f>
        <v>2.2310342585971528</v>
      </c>
      <c r="BL74" s="66"/>
      <c r="BM74" s="70">
        <f>BM77/BM79*BM10</f>
        <v>2.2141935483870965</v>
      </c>
      <c r="BN74" s="552"/>
      <c r="BO74" s="70">
        <f>BO77/BO79*BO10</f>
        <v>4.6370370370370377</v>
      </c>
      <c r="BP74" s="552"/>
      <c r="BQ74" s="70">
        <f>BQ77/BQ79*BQ10</f>
        <v>3.3530864197530863</v>
      </c>
      <c r="BR74" s="66"/>
      <c r="BS74" s="70">
        <f>BS77/BS79*BS10</f>
        <v>3.879012345679012</v>
      </c>
      <c r="BT74" s="552"/>
      <c r="BU74" s="70">
        <f>BU77/BU79*BU10</f>
        <v>3.9975308641975311</v>
      </c>
      <c r="BV74" s="552"/>
      <c r="BW74" s="70">
        <f>BW77/BW79*BW10</f>
        <v>3.7821575489654324</v>
      </c>
      <c r="BX74" s="552"/>
      <c r="BY74" s="70">
        <f>BY77/BY79*BY10</f>
        <v>3.0518518518518518</v>
      </c>
      <c r="BZ74" s="552"/>
      <c r="CA74" s="70">
        <f>CA77/CA79*CA10</f>
        <v>3.9530864197530864</v>
      </c>
      <c r="CB74" s="66"/>
      <c r="CC74" s="70">
        <f t="shared" ref="CC74" si="574">CC76/CC79</f>
        <v>3.1567901234567901</v>
      </c>
      <c r="CD74" s="66"/>
      <c r="CE74" s="70">
        <f t="shared" ref="CE74" si="575">CE76/CE79</f>
        <v>3.4135802469135803</v>
      </c>
      <c r="CF74" s="66"/>
      <c r="CG74" s="70">
        <f>CG77/CG79*CG10</f>
        <v>2.2829629629629631</v>
      </c>
      <c r="CH74" s="66"/>
      <c r="CI74" s="70">
        <f>CI77/CI79*CI10</f>
        <v>2.2577777777777777</v>
      </c>
      <c r="CJ74" s="66"/>
      <c r="CK74" s="70">
        <f>CK76/CK79</f>
        <v>2.7259259259259259</v>
      </c>
      <c r="CL74" s="66"/>
      <c r="CM74" s="70">
        <f>CM76/CM79</f>
        <v>2.5340740740740739</v>
      </c>
      <c r="CN74" s="66"/>
      <c r="CO74" s="70">
        <f>CO77/CO79*CO10</f>
        <v>2.228148148148148</v>
      </c>
      <c r="CR74" s="66"/>
      <c r="CS74" s="70">
        <f>CS77/CS79*CS10</f>
        <v>4.0670473383680239</v>
      </c>
    </row>
    <row r="75" spans="1:97" s="97" customFormat="1" ht="18" hidden="1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0.19527594416812843</v>
      </c>
      <c r="H75" s="124"/>
      <c r="I75" s="125">
        <f>+I74/I10</f>
        <v>0.19527594416812843</v>
      </c>
      <c r="J75" s="124"/>
      <c r="K75" s="125">
        <f>+K74/K10</f>
        <v>0.22376599817759024</v>
      </c>
      <c r="L75" s="124"/>
      <c r="M75" s="125">
        <f>+M74/M10</f>
        <v>0.20758283079993725</v>
      </c>
      <c r="N75" s="124"/>
      <c r="O75" s="125">
        <f>+O74/O10</f>
        <v>0.22311914723407042</v>
      </c>
      <c r="P75" s="124"/>
      <c r="Q75" s="125">
        <f>+Q74/Q10</f>
        <v>0.22311914723407042</v>
      </c>
      <c r="R75" s="124"/>
      <c r="S75" s="125">
        <f>+S74/S10</f>
        <v>0.21771726460198162</v>
      </c>
      <c r="T75" s="124"/>
      <c r="U75" s="125">
        <f>+U74/U10</f>
        <v>0.21771726460198162</v>
      </c>
      <c r="V75" s="124"/>
      <c r="W75" s="125">
        <f>+W74/W10</f>
        <v>0.22364870203792794</v>
      </c>
      <c r="X75" s="124"/>
      <c r="Y75" s="125">
        <f>+Y74/Y10</f>
        <v>0.21897451820262473</v>
      </c>
      <c r="Z75" s="124"/>
      <c r="AA75" s="125">
        <f>+AA74/AA10</f>
        <v>0.21191965700689316</v>
      </c>
      <c r="AB75" s="124"/>
      <c r="AC75" s="125">
        <f>+AC74/AC10</f>
        <v>0.2024550591402238</v>
      </c>
      <c r="AD75" s="124"/>
      <c r="AE75" s="125">
        <f t="shared" ref="AE75" si="576">+AE74/AE10</f>
        <v>0.20880214711782538</v>
      </c>
      <c r="AF75" s="124"/>
      <c r="AG75" s="125">
        <f t="shared" ref="AG75" si="577">+AG74/AG10</f>
        <v>0.21024900467564453</v>
      </c>
      <c r="AH75" s="124"/>
      <c r="AI75" s="125">
        <f t="shared" ref="AI75" si="578">+AI74/AI10</f>
        <v>0.21024900467564453</v>
      </c>
      <c r="AJ75" s="124"/>
      <c r="AK75" s="125">
        <f t="shared" ref="AK75" si="579">+AK74/AK10</f>
        <v>0.2240851760757081</v>
      </c>
      <c r="AL75" s="124"/>
      <c r="AM75" s="125">
        <f t="shared" ref="AM75" si="580">+AM74/AM10</f>
        <v>0.2240851760757081</v>
      </c>
      <c r="AN75" s="124"/>
      <c r="AO75" s="125">
        <f t="shared" ref="AO75" si="581">+AO74/AO10</f>
        <v>0.22772675520494637</v>
      </c>
      <c r="AP75" s="124"/>
      <c r="AQ75" s="125">
        <f t="shared" ref="AQ75" si="582">+AQ74/AQ10</f>
        <v>0.22772675520494637</v>
      </c>
      <c r="AR75" s="124"/>
      <c r="AS75" s="125">
        <f t="shared" ref="AS75:AY75" si="583">+AS74/AS10</f>
        <v>0.22772675520494637</v>
      </c>
      <c r="AT75" s="124"/>
      <c r="AU75" s="125">
        <f t="shared" si="583"/>
        <v>0.18998322543591484</v>
      </c>
      <c r="AV75" s="124"/>
      <c r="AW75" s="125">
        <f t="shared" si="583"/>
        <v>0.18083333333333332</v>
      </c>
      <c r="AX75" s="124"/>
      <c r="AY75" s="125">
        <f t="shared" si="583"/>
        <v>0.18500000000000003</v>
      </c>
      <c r="AZ75" s="124"/>
      <c r="BA75" s="125">
        <f t="shared" ref="BA75:BC75" si="584">+BA74/BA10</f>
        <v>0.17710779226397333</v>
      </c>
      <c r="BB75" s="124"/>
      <c r="BC75" s="125">
        <f t="shared" si="584"/>
        <v>0.19117459507715853</v>
      </c>
      <c r="BD75" s="124"/>
      <c r="BE75" s="125">
        <f t="shared" ref="BE75:BG75" si="585">+BE74/BE10</f>
        <v>0.17864923747276693</v>
      </c>
      <c r="BF75" s="124"/>
      <c r="BG75" s="125">
        <f t="shared" si="585"/>
        <v>0.21385153803647081</v>
      </c>
      <c r="BH75" s="124"/>
      <c r="BI75" s="125">
        <f t="shared" ref="BI75:BK75" si="586">+BI74/BI10</f>
        <v>0.19145738084799899</v>
      </c>
      <c r="BJ75" s="124"/>
      <c r="BK75" s="125">
        <f t="shared" si="586"/>
        <v>0.18591952154976274</v>
      </c>
      <c r="BL75" s="124"/>
      <c r="BM75" s="125">
        <f t="shared" ref="BM75" si="587">+BM74/BM10</f>
        <v>0.18451612903225803</v>
      </c>
      <c r="BN75" s="124"/>
      <c r="BO75" s="125">
        <f>+BO74/BO10</f>
        <v>0.11592592592592595</v>
      </c>
      <c r="BP75" s="124"/>
      <c r="BQ75" s="70">
        <f>+BQ74/BQ10</f>
        <v>8.3827160493827158E-2</v>
      </c>
      <c r="BR75" s="124"/>
      <c r="BS75" s="125">
        <f t="shared" ref="BS75" si="588">+BS74/BS10</f>
        <v>9.6975308641975302E-2</v>
      </c>
      <c r="BT75" s="124"/>
      <c r="BU75" s="70">
        <f>+BU74/BU10</f>
        <v>9.9938271604938275E-2</v>
      </c>
      <c r="BV75" s="124"/>
      <c r="BW75" s="70">
        <f>+BW74/BW10</f>
        <v>9.4553938724135811E-2</v>
      </c>
      <c r="BX75" s="124"/>
      <c r="BY75" s="125">
        <f>+BY74/BY10</f>
        <v>7.6296296296296293E-2</v>
      </c>
      <c r="BZ75" s="124"/>
      <c r="CA75" s="125">
        <f>+CA74/CA10</f>
        <v>9.8827160493827157E-2</v>
      </c>
      <c r="CB75" s="124"/>
      <c r="CC75" s="125">
        <f>+CC74/CC10</f>
        <v>0.15783950617283951</v>
      </c>
      <c r="CD75" s="124"/>
      <c r="CE75" s="125">
        <f>+CE74/CE10</f>
        <v>0.170679012345679</v>
      </c>
      <c r="CF75" s="124"/>
      <c r="CG75" s="125">
        <f>+CG74/CG10</f>
        <v>0.19024691358024692</v>
      </c>
      <c r="CH75" s="124"/>
      <c r="CI75" s="125">
        <f>+CI74/CI10</f>
        <v>0.18814814814814815</v>
      </c>
      <c r="CJ75" s="124"/>
      <c r="CK75" s="125">
        <f>+CK74/CK10</f>
        <v>0.2271604938271605</v>
      </c>
      <c r="CL75" s="124"/>
      <c r="CM75" s="125">
        <f>+CM74/CM10</f>
        <v>0.21117283950617283</v>
      </c>
      <c r="CN75" s="124"/>
      <c r="CO75" s="125">
        <f>+CO74/CO10</f>
        <v>0.18567901234567899</v>
      </c>
      <c r="CR75" s="124"/>
      <c r="CS75" s="125">
        <f t="shared" ref="CS75" si="589">+CS74/CS10</f>
        <v>0.16946030576533433</v>
      </c>
    </row>
    <row r="76" spans="1:97" s="4" customFormat="1" ht="18" hidden="1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33577.308047821345</v>
      </c>
      <c r="H76" s="380"/>
      <c r="I76" s="374">
        <f>I77*I10</f>
        <v>33633.547519741769</v>
      </c>
      <c r="J76" s="380"/>
      <c r="K76" s="374">
        <f>K77*K10</f>
        <v>38524.449310246644</v>
      </c>
      <c r="L76" s="127"/>
      <c r="M76" s="374">
        <f>M77*M10</f>
        <v>35788.110361232386</v>
      </c>
      <c r="N76" s="380"/>
      <c r="O76" s="374">
        <f>O77*O10</f>
        <v>39135.990901444886</v>
      </c>
      <c r="P76" s="380"/>
      <c r="Q76" s="374">
        <f>Q77*Q10</f>
        <v>39285.926968386178</v>
      </c>
      <c r="R76" s="127"/>
      <c r="S76" s="374">
        <f>S77*S10</f>
        <v>39134.242877676996</v>
      </c>
      <c r="T76" s="380"/>
      <c r="U76" s="374">
        <f>U77*U10</f>
        <v>38805.054373598796</v>
      </c>
      <c r="V76" s="380"/>
      <c r="W76" s="374">
        <f>W77*W10</f>
        <v>40356.066390531865</v>
      </c>
      <c r="X76" s="127"/>
      <c r="Y76" s="374">
        <f>Y77*Y10</f>
        <v>40513.789459776817</v>
      </c>
      <c r="Z76" s="380"/>
      <c r="AA76" s="374">
        <f>AA77*AA10</f>
        <v>39785.796406474117</v>
      </c>
      <c r="AB76" s="380"/>
      <c r="AC76" s="374">
        <f>AC77*AC10</f>
        <v>37955.464667372602</v>
      </c>
      <c r="AD76" s="380"/>
      <c r="AE76" s="374">
        <f t="shared" ref="AE76" si="590">AE77*AE10</f>
        <v>38413.748609560571</v>
      </c>
      <c r="AF76" s="380"/>
      <c r="AG76" s="374">
        <f t="shared" ref="AG76" si="591">AG77*AG10</f>
        <v>38074.412754721816</v>
      </c>
      <c r="AH76" s="380"/>
      <c r="AI76" s="374">
        <f t="shared" ref="AI76" si="592">AI77*AI10</f>
        <v>38538.642557045641</v>
      </c>
      <c r="AJ76" s="380"/>
      <c r="AK76" s="374">
        <f t="shared" ref="AK76" si="593">AK77*AK10</f>
        <v>39950.801531481542</v>
      </c>
      <c r="AL76" s="380"/>
      <c r="AM76" s="374">
        <f t="shared" ref="AM76" si="594">AM77*AM10</f>
        <v>39746.435850900496</v>
      </c>
      <c r="AN76" s="380"/>
      <c r="AO76" s="374">
        <f t="shared" ref="AO76" si="595">AO77*AO10</f>
        <v>40802.258183580656</v>
      </c>
      <c r="AP76" s="380"/>
      <c r="AQ76" s="374">
        <f t="shared" ref="AQ76" si="596">AQ77*AQ10</f>
        <v>41056.401242389373</v>
      </c>
      <c r="AR76" s="380"/>
      <c r="AS76" s="374">
        <f t="shared" ref="AS76:AY76" si="597">AS77*AS10</f>
        <v>41635.738107630757</v>
      </c>
      <c r="AT76" s="380"/>
      <c r="AU76" s="374">
        <f t="shared" si="597"/>
        <v>34960.713144717047</v>
      </c>
      <c r="AV76" s="380"/>
      <c r="AW76" s="374">
        <f t="shared" si="597"/>
        <v>34097.21</v>
      </c>
      <c r="AX76" s="380"/>
      <c r="AY76" s="374">
        <f t="shared" si="597"/>
        <v>34829.58</v>
      </c>
      <c r="AZ76" s="380"/>
      <c r="BA76" s="374">
        <f t="shared" ref="BA76:BC76" si="598">BA77*BA10</f>
        <v>32984.55523124239</v>
      </c>
      <c r="BB76" s="380"/>
      <c r="BC76" s="374">
        <f t="shared" si="598"/>
        <v>35976</v>
      </c>
      <c r="BD76" s="380"/>
      <c r="BE76" s="374">
        <f t="shared" ref="BE76:BG76" si="599">BE77*BE10</f>
        <v>34440</v>
      </c>
      <c r="BF76" s="380"/>
      <c r="BG76" s="374">
        <f t="shared" si="599"/>
        <v>41796</v>
      </c>
      <c r="BH76" s="380"/>
      <c r="BI76" s="374">
        <f t="shared" ref="BI76:BK76" si="600">BI77*BI10</f>
        <v>36684</v>
      </c>
      <c r="BJ76" s="380"/>
      <c r="BK76" s="374">
        <f t="shared" si="600"/>
        <v>34320</v>
      </c>
      <c r="BL76" s="380"/>
      <c r="BM76" s="374">
        <f t="shared" ref="BM76" si="601">BM77*BM10</f>
        <v>34320</v>
      </c>
      <c r="BN76" s="380"/>
      <c r="BO76" s="374">
        <f>BO77*BO10</f>
        <v>75120</v>
      </c>
      <c r="BP76" s="380"/>
      <c r="BQ76" s="374">
        <f>BQ77*BQ10</f>
        <v>54320</v>
      </c>
      <c r="BR76" s="380"/>
      <c r="BS76" s="374">
        <f t="shared" ref="BS76" si="602">BS77*BS10</f>
        <v>62840</v>
      </c>
      <c r="BT76" s="380"/>
      <c r="BU76" s="374">
        <f>BU77*BU10</f>
        <v>64760</v>
      </c>
      <c r="BV76" s="380"/>
      <c r="BW76" s="374">
        <f>BW77*BW10</f>
        <v>61600</v>
      </c>
      <c r="BX76" s="380"/>
      <c r="BY76" s="374">
        <f>BY77*BY10</f>
        <v>49440</v>
      </c>
      <c r="BZ76" s="380"/>
      <c r="CA76" s="374">
        <f>CA77*CA10</f>
        <v>64040</v>
      </c>
      <c r="CB76" s="127"/>
      <c r="CC76" s="374">
        <f>CC77*CC10</f>
        <v>51140</v>
      </c>
      <c r="CD76" s="127"/>
      <c r="CE76" s="374">
        <f>CE77*CE10</f>
        <v>55300</v>
      </c>
      <c r="CF76" s="127"/>
      <c r="CG76" s="374">
        <f>CG77*CG10</f>
        <v>36984</v>
      </c>
      <c r="CH76" s="380"/>
      <c r="CI76" s="374">
        <f>CI77*CI10</f>
        <v>36576</v>
      </c>
      <c r="CJ76" s="380"/>
      <c r="CK76" s="374">
        <f>CK77*CK10</f>
        <v>44160</v>
      </c>
      <c r="CL76" s="380"/>
      <c r="CM76" s="374">
        <f>CM77*CM10</f>
        <v>41052</v>
      </c>
      <c r="CN76" s="380"/>
      <c r="CO76" s="374">
        <f>CO77*CO10</f>
        <v>36096</v>
      </c>
      <c r="CR76" s="380"/>
      <c r="CS76" s="374">
        <f t="shared" ref="CS76" si="603">CS77*CS10</f>
        <v>66240</v>
      </c>
    </row>
    <row r="77" spans="1:97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G74*G79/G10</f>
        <v>2798.1090039851119</v>
      </c>
      <c r="H77" s="380"/>
      <c r="I77" s="90">
        <f>I74*I79/I10</f>
        <v>2802.7956266451474</v>
      </c>
      <c r="J77" s="380"/>
      <c r="K77" s="90">
        <f>K74*K79/K10</f>
        <v>3210.3707758538872</v>
      </c>
      <c r="L77" s="127"/>
      <c r="M77" s="90">
        <f>M74*M79/M10</f>
        <v>2982.3425301026987</v>
      </c>
      <c r="N77" s="380"/>
      <c r="O77" s="90">
        <f>O74*O79/O10</f>
        <v>3261.332575120407</v>
      </c>
      <c r="P77" s="380"/>
      <c r="Q77" s="90">
        <f>Q74*Q79/Q10</f>
        <v>3273.8272473655147</v>
      </c>
      <c r="R77" s="127"/>
      <c r="S77" s="90">
        <f>S74*S79/S10</f>
        <v>3261.1869064730831</v>
      </c>
      <c r="T77" s="380"/>
      <c r="U77" s="90">
        <f>U74*U79/U10</f>
        <v>3233.7545311332328</v>
      </c>
      <c r="V77" s="380"/>
      <c r="W77" s="90">
        <f>W74*W79/W10</f>
        <v>3363.0055325443223</v>
      </c>
      <c r="X77" s="127"/>
      <c r="Y77" s="90">
        <f>Y74*Y79/Y10</f>
        <v>3376.1491216480681</v>
      </c>
      <c r="Z77" s="380"/>
      <c r="AA77" s="90">
        <f>AA74*AA79/AA10</f>
        <v>3315.483033872843</v>
      </c>
      <c r="AB77" s="380"/>
      <c r="AC77" s="90">
        <f>AC74*AC79/AC10</f>
        <v>3162.955388947717</v>
      </c>
      <c r="AD77" s="380"/>
      <c r="AE77" s="90">
        <f t="shared" ref="AE77" si="604">AE74*AE79/AE10</f>
        <v>3201.1457174633811</v>
      </c>
      <c r="AF77" s="380"/>
      <c r="AG77" s="90">
        <f t="shared" ref="AG77" si="605">AG74*AG79/AG10</f>
        <v>3172.8677295601515</v>
      </c>
      <c r="AH77" s="380"/>
      <c r="AI77" s="90">
        <f t="shared" ref="AI77" si="606">AI74*AI79/AI10</f>
        <v>3211.55354642047</v>
      </c>
      <c r="AJ77" s="380"/>
      <c r="AK77" s="90">
        <f t="shared" ref="AK77" si="607">AK74*AK79/AK10</f>
        <v>3329.2334609567952</v>
      </c>
      <c r="AL77" s="380"/>
      <c r="AM77" s="90">
        <f t="shared" ref="AM77" si="608">AM74*AM79/AM10</f>
        <v>3312.2029875750413</v>
      </c>
      <c r="AN77" s="380"/>
      <c r="AO77" s="90">
        <f t="shared" ref="AO77" si="609">AO74*AO79/AO10</f>
        <v>3400.1881819650548</v>
      </c>
      <c r="AP77" s="380"/>
      <c r="AQ77" s="90">
        <f t="shared" ref="AQ77" si="610">AQ74*AQ79/AQ10</f>
        <v>3421.3667701991144</v>
      </c>
      <c r="AR77" s="380"/>
      <c r="AS77" s="90">
        <f t="shared" ref="AS77:AY77" si="611">AS74*AS79/AS10</f>
        <v>3469.6448423025631</v>
      </c>
      <c r="AT77" s="380"/>
      <c r="AU77" s="90">
        <f t="shared" si="611"/>
        <v>2913.3927620597537</v>
      </c>
      <c r="AV77" s="380"/>
      <c r="AW77" s="90">
        <f t="shared" si="611"/>
        <v>2841.4341666666664</v>
      </c>
      <c r="AX77" s="380"/>
      <c r="AY77" s="90">
        <f t="shared" si="611"/>
        <v>2902.4650000000001</v>
      </c>
      <c r="AZ77" s="380"/>
      <c r="BA77" s="90">
        <f t="shared" ref="BA77" si="612">BA74*BA79/BA10</f>
        <v>2748.712935936866</v>
      </c>
      <c r="BB77" s="380"/>
      <c r="BC77" s="90">
        <v>2998</v>
      </c>
      <c r="BD77" s="380"/>
      <c r="BE77" s="90">
        <v>2870</v>
      </c>
      <c r="BF77" s="380"/>
      <c r="BG77" s="90">
        <v>3483</v>
      </c>
      <c r="BH77" s="380"/>
      <c r="BI77" s="90">
        <v>3057</v>
      </c>
      <c r="BJ77" s="380"/>
      <c r="BK77" s="90">
        <v>2860</v>
      </c>
      <c r="BL77" s="380"/>
      <c r="BM77" s="90">
        <v>2860</v>
      </c>
      <c r="BN77" s="380"/>
      <c r="BO77" s="622">
        <v>1878</v>
      </c>
      <c r="BP77" s="684"/>
      <c r="BQ77" s="622">
        <v>1358</v>
      </c>
      <c r="BR77" s="380"/>
      <c r="BS77" s="622">
        <v>1571</v>
      </c>
      <c r="BT77" s="684"/>
      <c r="BU77" s="622">
        <v>1619</v>
      </c>
      <c r="BV77" s="684"/>
      <c r="BW77" s="622">
        <v>1540</v>
      </c>
      <c r="BX77" s="380"/>
      <c r="BY77" s="622">
        <v>1236</v>
      </c>
      <c r="BZ77" s="380"/>
      <c r="CA77" s="622">
        <v>1601</v>
      </c>
      <c r="CB77" s="127"/>
      <c r="CC77" s="622">
        <v>2557</v>
      </c>
      <c r="CD77" s="127"/>
      <c r="CE77" s="622">
        <v>2765</v>
      </c>
      <c r="CF77" s="127"/>
      <c r="CG77" s="622">
        <v>3082</v>
      </c>
      <c r="CH77" s="380"/>
      <c r="CI77" s="622">
        <v>3048</v>
      </c>
      <c r="CJ77" s="380"/>
      <c r="CK77" s="622">
        <v>3680</v>
      </c>
      <c r="CL77" s="380"/>
      <c r="CM77" s="622">
        <v>3421</v>
      </c>
      <c r="CN77" s="380"/>
      <c r="CO77" s="622">
        <v>3008</v>
      </c>
      <c r="CR77" s="380"/>
      <c r="CS77" s="1182">
        <v>2760</v>
      </c>
    </row>
    <row r="78" spans="1:97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380"/>
      <c r="I78" s="374"/>
      <c r="J78" s="380"/>
      <c r="K78" s="374"/>
      <c r="L78" s="127"/>
      <c r="M78" s="90"/>
      <c r="N78" s="380"/>
      <c r="O78" s="374"/>
      <c r="P78" s="380"/>
      <c r="Q78" s="374"/>
      <c r="R78" s="127"/>
      <c r="S78" s="90"/>
      <c r="T78" s="380"/>
      <c r="U78" s="374"/>
      <c r="V78" s="380"/>
      <c r="W78" s="374"/>
      <c r="X78" s="127"/>
      <c r="Y78" s="90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/>
      <c r="AL78" s="380"/>
      <c r="AM78" s="374"/>
      <c r="AN78" s="380"/>
      <c r="AO78" s="374"/>
      <c r="AP78" s="380"/>
      <c r="AQ78" s="374"/>
      <c r="AR78" s="380"/>
      <c r="AS78" s="374"/>
      <c r="AT78" s="380"/>
      <c r="AU78" s="374"/>
      <c r="AV78" s="380"/>
      <c r="AW78" s="374"/>
      <c r="AX78" s="380"/>
      <c r="AY78" s="374"/>
      <c r="AZ78" s="380"/>
      <c r="BA78" s="374"/>
      <c r="BB78" s="380"/>
      <c r="BC78" s="374"/>
      <c r="BD78" s="380"/>
      <c r="BE78" s="374"/>
      <c r="BF78" s="380"/>
      <c r="BG78" s="374"/>
      <c r="BH78" s="380"/>
      <c r="BI78" s="374"/>
      <c r="BJ78" s="380"/>
      <c r="BK78" s="374"/>
      <c r="BL78" s="380"/>
      <c r="BM78" s="374"/>
      <c r="BN78" s="380"/>
      <c r="BO78" s="374"/>
      <c r="BP78" s="380"/>
      <c r="BQ78" s="374"/>
      <c r="BR78" s="380"/>
      <c r="BS78" s="374"/>
      <c r="BT78" s="380"/>
      <c r="BU78" s="374"/>
      <c r="BV78" s="380"/>
      <c r="BW78" s="374">
        <f>BW74/BW67</f>
        <v>0.64762971728860141</v>
      </c>
      <c r="BX78" s="380"/>
      <c r="BY78" s="374"/>
      <c r="BZ78" s="380"/>
      <c r="CA78" s="374"/>
      <c r="CB78" s="127"/>
      <c r="CC78" s="374">
        <f>CC74/CC67</f>
        <v>0.50915969733174038</v>
      </c>
      <c r="CD78" s="127"/>
      <c r="CE78" s="374">
        <f>CE74/CE67</f>
        <v>0.55057745917960976</v>
      </c>
      <c r="CF78" s="127"/>
      <c r="CG78" s="90"/>
      <c r="CH78" s="380"/>
      <c r="CI78" s="374"/>
      <c r="CJ78" s="380"/>
      <c r="CK78" s="374"/>
      <c r="CL78" s="380"/>
      <c r="CM78" s="374"/>
      <c r="CN78" s="380"/>
      <c r="CO78" s="374"/>
      <c r="CR78" s="380"/>
      <c r="CS78" s="374"/>
    </row>
    <row r="79" spans="1:97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'[12]Pricing Structure - GSS'!O86</f>
        <v>14329</v>
      </c>
      <c r="H79" s="359"/>
      <c r="I79" s="372">
        <f>'[12]Pricing Structure - GSS'!U86</f>
        <v>14353</v>
      </c>
      <c r="J79" s="359"/>
      <c r="K79" s="372">
        <f>'[12]Pricing Structure - GSS'!W86</f>
        <v>14347</v>
      </c>
      <c r="L79" s="42"/>
      <c r="M79" s="372">
        <f>'[12]Pricing Structure - GSS'!Y86</f>
        <v>14367</v>
      </c>
      <c r="N79" s="359"/>
      <c r="O79" s="372">
        <f>'[12]Pricing Structure - GSS'!AA86</f>
        <v>14617</v>
      </c>
      <c r="P79" s="359"/>
      <c r="Q79" s="372">
        <f>'[12]Pricing Structure - GSS'!AC86</f>
        <v>14673</v>
      </c>
      <c r="R79" s="42"/>
      <c r="S79" s="372">
        <f>'[12]Pricing Structure - GSS'!AE86</f>
        <v>14979</v>
      </c>
      <c r="T79" s="359"/>
      <c r="U79" s="372">
        <f>'[12]Pricing Structure - GSS'!AG86</f>
        <v>14853</v>
      </c>
      <c r="V79" s="359"/>
      <c r="W79" s="372">
        <f>'[12]Pricing Structure - GSS'!AI86</f>
        <v>15037</v>
      </c>
      <c r="X79" s="42"/>
      <c r="Y79" s="372">
        <f>'[12]Pricing Structure - GSS'!AK86</f>
        <v>15418</v>
      </c>
      <c r="Z79" s="359"/>
      <c r="AA79" s="372">
        <f>'[12]Pricing Structure - GSS'!AM86</f>
        <v>15645</v>
      </c>
      <c r="AB79" s="359"/>
      <c r="AC79" s="372">
        <f>'[12]Pricing Structure - GSS'!AO86</f>
        <v>15623</v>
      </c>
      <c r="AD79" s="359"/>
      <c r="AE79" s="372">
        <f>'[12]Pricing Structure - GSS'!AQ86</f>
        <v>15331</v>
      </c>
      <c r="AF79" s="359"/>
      <c r="AG79" s="372">
        <f>'[12]Pricing Structure - GSS'!AS86</f>
        <v>15091</v>
      </c>
      <c r="AH79" s="359"/>
      <c r="AI79" s="372">
        <f>'[12]Pricing Structure - GSS'!AU86</f>
        <v>15275</v>
      </c>
      <c r="AJ79" s="359"/>
      <c r="AK79" s="372">
        <f>'[12]Pricing Structure - GSS'!AW86</f>
        <v>14857</v>
      </c>
      <c r="AL79" s="359"/>
      <c r="AM79" s="372">
        <f>'[12]Pricing Structure - GSS'!AY86</f>
        <v>14781</v>
      </c>
      <c r="AN79" s="359"/>
      <c r="AO79" s="372">
        <f>'[12]Pricing Structure - GSS'!BA86</f>
        <v>14931</v>
      </c>
      <c r="AP79" s="359"/>
      <c r="AQ79" s="372">
        <f>'[12]Pricing Structure - GSS'!BC86</f>
        <v>15024</v>
      </c>
      <c r="AR79" s="359"/>
      <c r="AS79" s="372">
        <f>'[12]Pricing Structure - GSS'!BE86</f>
        <v>15236</v>
      </c>
      <c r="AT79" s="359"/>
      <c r="AU79" s="372">
        <v>15335</v>
      </c>
      <c r="AV79" s="359"/>
      <c r="AW79" s="372">
        <v>15713</v>
      </c>
      <c r="AX79" s="359"/>
      <c r="AY79" s="372">
        <v>15689</v>
      </c>
      <c r="AZ79" s="359"/>
      <c r="BA79" s="372">
        <v>15520</v>
      </c>
      <c r="BB79" s="359"/>
      <c r="BC79" s="372">
        <v>15682</v>
      </c>
      <c r="BD79" s="359"/>
      <c r="BE79" s="372">
        <v>16065</v>
      </c>
      <c r="BF79" s="359"/>
      <c r="BG79" s="372">
        <v>16287</v>
      </c>
      <c r="BH79" s="359"/>
      <c r="BI79" s="372">
        <v>15967</v>
      </c>
      <c r="BJ79" s="359"/>
      <c r="BK79" s="372">
        <v>15383</v>
      </c>
      <c r="BL79" s="359"/>
      <c r="BM79" s="372">
        <v>15500</v>
      </c>
      <c r="BN79" s="359"/>
      <c r="BO79" s="372">
        <v>16200</v>
      </c>
      <c r="BP79" s="359"/>
      <c r="BQ79" s="372">
        <v>16200</v>
      </c>
      <c r="BR79" s="359"/>
      <c r="BS79" s="372">
        <v>16200</v>
      </c>
      <c r="BT79" s="359"/>
      <c r="BU79" s="372">
        <v>16200</v>
      </c>
      <c r="BV79" s="359"/>
      <c r="BW79" s="372">
        <v>16287</v>
      </c>
      <c r="BX79" s="359"/>
      <c r="BY79" s="372">
        <v>16200</v>
      </c>
      <c r="BZ79" s="359"/>
      <c r="CA79" s="372">
        <v>16200</v>
      </c>
      <c r="CB79" s="42"/>
      <c r="CC79" s="372">
        <v>16200</v>
      </c>
      <c r="CD79" s="42"/>
      <c r="CE79" s="372">
        <v>16200</v>
      </c>
      <c r="CF79" s="42"/>
      <c r="CG79" s="372">
        <v>16200</v>
      </c>
      <c r="CH79" s="359"/>
      <c r="CI79" s="372">
        <v>16200</v>
      </c>
      <c r="CJ79" s="359"/>
      <c r="CK79" s="372">
        <v>16200</v>
      </c>
      <c r="CL79" s="359"/>
      <c r="CM79" s="372">
        <v>16200</v>
      </c>
      <c r="CN79" s="359"/>
      <c r="CO79" s="372">
        <v>16200</v>
      </c>
      <c r="CR79" s="359"/>
      <c r="CS79" s="88">
        <f>BW79</f>
        <v>16287</v>
      </c>
    </row>
    <row r="80" spans="1:97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2.1366886699824592</v>
      </c>
      <c r="H80" s="363"/>
      <c r="I80" s="368">
        <f>+I67-I74</f>
        <v>2.1366886699824592</v>
      </c>
      <c r="J80" s="363"/>
      <c r="K80" s="368">
        <f>+K67-K74</f>
        <v>1.7948080218689175</v>
      </c>
      <c r="L80" s="50"/>
      <c r="M80" s="72">
        <f>+M67-M74</f>
        <v>1.9890060304007533</v>
      </c>
      <c r="N80" s="363"/>
      <c r="O80" s="368">
        <f>+O67-O74</f>
        <v>1.8025702331911555</v>
      </c>
      <c r="P80" s="363"/>
      <c r="Q80" s="368">
        <f>+Q67-Q74</f>
        <v>1.8025702331911555</v>
      </c>
      <c r="R80" s="50"/>
      <c r="S80" s="72">
        <f>+S67-S74</f>
        <v>1.8673928247762208</v>
      </c>
      <c r="T80" s="363"/>
      <c r="U80" s="368">
        <f>+U67-U74</f>
        <v>1.8673928247762208</v>
      </c>
      <c r="V80" s="363"/>
      <c r="W80" s="368">
        <f>+W67-W74</f>
        <v>1.7962155755448652</v>
      </c>
      <c r="X80" s="50"/>
      <c r="Y80" s="72">
        <f>+Y67-Y74</f>
        <v>1.8523057815685036</v>
      </c>
      <c r="Z80" s="363"/>
      <c r="AA80" s="368">
        <f>+AA67-AA74</f>
        <v>1.9369641159172826</v>
      </c>
      <c r="AB80" s="363"/>
      <c r="AC80" s="368">
        <f>+AC67-AC74</f>
        <v>2.0505392903173147</v>
      </c>
      <c r="AD80" s="363"/>
      <c r="AE80" s="368">
        <f t="shared" ref="AE80" si="613">+AE67-AE74</f>
        <v>2.0943742345860952</v>
      </c>
      <c r="AF80" s="363"/>
      <c r="AG80" s="368">
        <f t="shared" ref="AG80" si="614">+AG67-AG74</f>
        <v>2.0770119438922654</v>
      </c>
      <c r="AH80" s="363"/>
      <c r="AI80" s="368">
        <f t="shared" ref="AI80" si="615">+AI67-AI74</f>
        <v>2.0770119438922654</v>
      </c>
      <c r="AJ80" s="363"/>
      <c r="AK80" s="368">
        <f t="shared" ref="AK80" si="616">+AK67-AK74</f>
        <v>1.9109778870915024</v>
      </c>
      <c r="AL80" s="363"/>
      <c r="AM80" s="368">
        <f t="shared" ref="AM80" si="617">+AM67-AM74</f>
        <v>1.9109778870915024</v>
      </c>
      <c r="AN80" s="363"/>
      <c r="AO80" s="368">
        <f t="shared" ref="AO80" si="618">+AO67-AO74</f>
        <v>1.8672789375406431</v>
      </c>
      <c r="AP80" s="363"/>
      <c r="AQ80" s="368">
        <f t="shared" ref="AQ80" si="619">+AQ67-AQ74</f>
        <v>1.8672789375406431</v>
      </c>
      <c r="AR80" s="363"/>
      <c r="AS80" s="368">
        <f t="shared" ref="AS80:AY80" si="620">+AS67-AS74</f>
        <v>1.8672789375406431</v>
      </c>
      <c r="AT80" s="363"/>
      <c r="AU80" s="368">
        <f t="shared" si="620"/>
        <v>2.3202012947690216</v>
      </c>
      <c r="AV80" s="363"/>
      <c r="AW80" s="368">
        <f t="shared" si="620"/>
        <v>2.4299999999999997</v>
      </c>
      <c r="AX80" s="363"/>
      <c r="AY80" s="368">
        <f t="shared" si="620"/>
        <v>2.48</v>
      </c>
      <c r="AZ80" s="363"/>
      <c r="BA80" s="368">
        <f t="shared" ref="BA80:BC80" si="621">+BA67-BA74</f>
        <v>2.5747064928323202</v>
      </c>
      <c r="BB80" s="363"/>
      <c r="BC80" s="368">
        <f t="shared" si="621"/>
        <v>2.4059048590740977</v>
      </c>
      <c r="BD80" s="363"/>
      <c r="BE80" s="368">
        <f t="shared" ref="BE80:BG80" si="622">+BE67-BE74</f>
        <v>2.5562091503267972</v>
      </c>
      <c r="BF80" s="363"/>
      <c r="BG80" s="368">
        <f t="shared" si="622"/>
        <v>2.1337815435623506</v>
      </c>
      <c r="BH80" s="363"/>
      <c r="BI80" s="368">
        <f t="shared" ref="BI80:BK80" si="623">+BI67-BI74</f>
        <v>2.4025114298240124</v>
      </c>
      <c r="BJ80" s="363"/>
      <c r="BK80" s="368">
        <f t="shared" si="623"/>
        <v>2.4689657414028474</v>
      </c>
      <c r="BL80" s="363"/>
      <c r="BM80" s="368">
        <f t="shared" ref="BM80" si="624">+BM67-BM74</f>
        <v>2.4858064516129037</v>
      </c>
      <c r="BN80" s="363"/>
      <c r="BO80" s="368">
        <f t="shared" ref="BO80" si="625">+BO67-BO74</f>
        <v>1.2029629629629621</v>
      </c>
      <c r="BP80" s="363"/>
      <c r="BQ80" s="368">
        <f t="shared" ref="BQ80" si="626">+BQ67-BQ74</f>
        <v>2.4969135802469142</v>
      </c>
      <c r="BR80" s="363"/>
      <c r="BS80" s="368">
        <f t="shared" ref="BS80" si="627">+BS67-BS74</f>
        <v>1.9709876543209885</v>
      </c>
      <c r="BT80" s="363"/>
      <c r="BU80" s="368">
        <f>+BU67-BU74</f>
        <v>1.8424691358024687</v>
      </c>
      <c r="BV80" s="363"/>
      <c r="BW80" s="368">
        <f>+BW67-BW74</f>
        <v>2.0578424510345674</v>
      </c>
      <c r="BX80" s="363"/>
      <c r="BY80" s="368">
        <f>+BY67-BY74</f>
        <v>2.7981481481481478</v>
      </c>
      <c r="BZ80" s="363"/>
      <c r="CA80" s="368">
        <f>+CA67-CA74</f>
        <v>1.8969135802469133</v>
      </c>
      <c r="CB80" s="50"/>
      <c r="CC80" s="368">
        <f>+CC67-CC74</f>
        <v>3.0432098765432101</v>
      </c>
      <c r="CD80" s="50"/>
      <c r="CE80" s="368">
        <f>+CE67-CE74</f>
        <v>2.7864197530864199</v>
      </c>
      <c r="CF80" s="50"/>
      <c r="CG80" s="72">
        <f>+CG67-CG74</f>
        <v>1.9670370370370369</v>
      </c>
      <c r="CH80" s="363"/>
      <c r="CI80" s="368">
        <f>+CI67-CI74</f>
        <v>1.9922222222222223</v>
      </c>
      <c r="CJ80" s="363"/>
      <c r="CK80" s="368">
        <f>+CK67-CK74</f>
        <v>1.9740740740740743</v>
      </c>
      <c r="CL80" s="363"/>
      <c r="CM80" s="368">
        <f>+CM67-CM74</f>
        <v>2.1659259259259263</v>
      </c>
      <c r="CN80" s="363"/>
      <c r="CO80" s="368">
        <f>+CO67-CO74</f>
        <v>2.021851851851852</v>
      </c>
      <c r="CR80" s="363"/>
      <c r="CS80" s="368">
        <f t="shared" ref="CS80" si="628">+CS67-CS74</f>
        <v>2.1829526616319761</v>
      </c>
    </row>
    <row r="81" spans="1:97" s="4" customFormat="1" ht="18" hidden="1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0.17805738916520494</v>
      </c>
      <c r="H81" s="363"/>
      <c r="I81" s="368">
        <f>+I80/I10</f>
        <v>0.17805738916520494</v>
      </c>
      <c r="J81" s="363"/>
      <c r="K81" s="368">
        <f>+K80/K10</f>
        <v>0.14956733515574314</v>
      </c>
      <c r="L81" s="50"/>
      <c r="M81" s="72">
        <f>+M80/M10</f>
        <v>0.1657505025333961</v>
      </c>
      <c r="N81" s="363"/>
      <c r="O81" s="368">
        <f>+O80/O10</f>
        <v>0.15021418609926296</v>
      </c>
      <c r="P81" s="363"/>
      <c r="Q81" s="368">
        <f>+Q80/Q10</f>
        <v>0.15021418609926296</v>
      </c>
      <c r="R81" s="50"/>
      <c r="S81" s="72">
        <f>+S80/S10</f>
        <v>0.15561606873135173</v>
      </c>
      <c r="T81" s="363"/>
      <c r="U81" s="368">
        <f>+U80/U10</f>
        <v>0.15561606873135173</v>
      </c>
      <c r="V81" s="363"/>
      <c r="W81" s="368">
        <f>+W80/W10</f>
        <v>0.14968463129540543</v>
      </c>
      <c r="X81" s="50"/>
      <c r="Y81" s="72">
        <f>+Y80/Y10</f>
        <v>0.15435881513070862</v>
      </c>
      <c r="Z81" s="363"/>
      <c r="AA81" s="368">
        <f>+AA80/AA10</f>
        <v>0.16141367632644021</v>
      </c>
      <c r="AB81" s="363"/>
      <c r="AC81" s="368">
        <f>+AC80/AC10</f>
        <v>0.17087827419310955</v>
      </c>
      <c r="AD81" s="363"/>
      <c r="AE81" s="368">
        <f t="shared" ref="AE81" si="629">+AE80/AE10</f>
        <v>0.17453118621550792</v>
      </c>
      <c r="AF81" s="363"/>
      <c r="AG81" s="368">
        <f t="shared" ref="AG81" si="630">+AG80/AG10</f>
        <v>0.17308432865768877</v>
      </c>
      <c r="AH81" s="363"/>
      <c r="AI81" s="368">
        <f t="shared" ref="AI81" si="631">+AI80/AI10</f>
        <v>0.17308432865768877</v>
      </c>
      <c r="AJ81" s="363"/>
      <c r="AK81" s="368">
        <f t="shared" ref="AK81" si="632">+AK80/AK10</f>
        <v>0.1592481572576252</v>
      </c>
      <c r="AL81" s="363"/>
      <c r="AM81" s="368">
        <f t="shared" ref="AM81" si="633">+AM80/AM10</f>
        <v>0.1592481572576252</v>
      </c>
      <c r="AN81" s="363"/>
      <c r="AO81" s="368">
        <f t="shared" ref="AO81" si="634">+AO80/AO10</f>
        <v>0.15560657812838694</v>
      </c>
      <c r="AP81" s="363"/>
      <c r="AQ81" s="368">
        <f t="shared" ref="AQ81" si="635">+AQ80/AQ10</f>
        <v>0.15560657812838694</v>
      </c>
      <c r="AR81" s="363"/>
      <c r="AS81" s="368">
        <f t="shared" ref="AS81:AY81" si="636">+AS80/AS10</f>
        <v>0.15560657812838694</v>
      </c>
      <c r="AT81" s="363"/>
      <c r="AU81" s="368">
        <f t="shared" si="636"/>
        <v>0.19335010789741847</v>
      </c>
      <c r="AV81" s="363"/>
      <c r="AW81" s="368">
        <f t="shared" si="636"/>
        <v>0.20249999999999999</v>
      </c>
      <c r="AX81" s="363"/>
      <c r="AY81" s="368">
        <f t="shared" si="636"/>
        <v>0.20666666666666667</v>
      </c>
      <c r="AZ81" s="363"/>
      <c r="BA81" s="368">
        <f t="shared" ref="BA81:BC81" si="637">+BA80/BA10</f>
        <v>0.21455887440269336</v>
      </c>
      <c r="BB81" s="363"/>
      <c r="BC81" s="368">
        <f t="shared" si="637"/>
        <v>0.20049207158950813</v>
      </c>
      <c r="BD81" s="363"/>
      <c r="BE81" s="368">
        <f t="shared" ref="BE81:BG81" si="638">+BE80/BE10</f>
        <v>0.21301742919389977</v>
      </c>
      <c r="BF81" s="363"/>
      <c r="BG81" s="368">
        <f t="shared" si="638"/>
        <v>0.17781512863019588</v>
      </c>
      <c r="BH81" s="363"/>
      <c r="BI81" s="368">
        <f t="shared" ref="BI81:BK81" si="639">+BI80/BI10</f>
        <v>0.2002092858186677</v>
      </c>
      <c r="BJ81" s="363"/>
      <c r="BK81" s="368">
        <f t="shared" si="639"/>
        <v>0.20574714511690395</v>
      </c>
      <c r="BL81" s="363"/>
      <c r="BM81" s="368">
        <f t="shared" ref="BM81" si="640">+BM80/BM10</f>
        <v>0.20715053763440863</v>
      </c>
      <c r="BN81" s="363"/>
      <c r="BO81" s="368">
        <f>+BO80/BO10</f>
        <v>3.0074074074074052E-2</v>
      </c>
      <c r="BP81" s="363"/>
      <c r="BQ81" s="368">
        <f>+BQ80/BQ10</f>
        <v>6.2422839506172854E-2</v>
      </c>
      <c r="BR81" s="363"/>
      <c r="BS81" s="368">
        <f t="shared" ref="BS81" si="641">+BS80/BS10</f>
        <v>4.9274691358024716E-2</v>
      </c>
      <c r="BT81" s="363"/>
      <c r="BU81" s="368">
        <f>+BU80/BU10</f>
        <v>4.6061728395061716E-2</v>
      </c>
      <c r="BV81" s="363"/>
      <c r="BW81" s="368">
        <f>+BW80/BW10</f>
        <v>5.1446061275864187E-2</v>
      </c>
      <c r="BX81" s="363"/>
      <c r="BY81" s="368">
        <f>+BY80/BY10</f>
        <v>6.9953703703703699E-2</v>
      </c>
      <c r="BZ81" s="363"/>
      <c r="CA81" s="368">
        <f>+CA80/CA10</f>
        <v>4.7422839506172834E-2</v>
      </c>
      <c r="CB81" s="50"/>
      <c r="CC81" s="368">
        <f>+CC80/CC10</f>
        <v>0.15216049382716051</v>
      </c>
      <c r="CD81" s="50"/>
      <c r="CE81" s="368">
        <f>+CE80/CE10</f>
        <v>0.13932098765432099</v>
      </c>
      <c r="CF81" s="50"/>
      <c r="CG81" s="72">
        <f>+CG80/CG10</f>
        <v>0.16391975308641973</v>
      </c>
      <c r="CH81" s="363"/>
      <c r="CI81" s="368">
        <f>+CI80/CI10</f>
        <v>0.16601851851851854</v>
      </c>
      <c r="CJ81" s="363"/>
      <c r="CK81" s="368">
        <f>+CK80/CK10</f>
        <v>0.16450617283950619</v>
      </c>
      <c r="CL81" s="363"/>
      <c r="CM81" s="368">
        <f>+CM80/CM10</f>
        <v>0.18049382716049386</v>
      </c>
      <c r="CN81" s="363"/>
      <c r="CO81" s="368">
        <f>+CO80/CO10</f>
        <v>0.16848765432098767</v>
      </c>
      <c r="CR81" s="363"/>
      <c r="CS81" s="368">
        <f t="shared" ref="CS81" si="642">+CS80/CS10</f>
        <v>9.0956360901332342E-2</v>
      </c>
    </row>
    <row r="82" spans="1:97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0.47693943526394172</v>
      </c>
      <c r="H82" s="381"/>
      <c r="I82" s="1096">
        <f>+I80/I67</f>
        <v>0.47693943526394172</v>
      </c>
      <c r="J82" s="381"/>
      <c r="K82" s="1096">
        <f>+K80/K67</f>
        <v>0.40062679059574047</v>
      </c>
      <c r="L82" s="132"/>
      <c r="M82" s="1096">
        <f>+M80/M67</f>
        <v>0.44397456035731098</v>
      </c>
      <c r="N82" s="381"/>
      <c r="O82" s="1096">
        <f>+O80/O67</f>
        <v>0.40235942705159716</v>
      </c>
      <c r="P82" s="381"/>
      <c r="Q82" s="1096">
        <f>+Q80/Q67</f>
        <v>0.40235942705159716</v>
      </c>
      <c r="R82" s="132"/>
      <c r="S82" s="1096">
        <f>+S80/S67</f>
        <v>0.41682875553040638</v>
      </c>
      <c r="T82" s="381"/>
      <c r="U82" s="382">
        <f>+U80/U67</f>
        <v>0.41682875553040638</v>
      </c>
      <c r="V82" s="381"/>
      <c r="W82" s="382">
        <f>+W80/W67</f>
        <v>0.40094097668412165</v>
      </c>
      <c r="X82" s="132"/>
      <c r="Y82" s="133">
        <f>+Y80/Y67</f>
        <v>0.41346111195725521</v>
      </c>
      <c r="Z82" s="381"/>
      <c r="AA82" s="382">
        <f>+AA80/AA67</f>
        <v>0.43235806158867912</v>
      </c>
      <c r="AB82" s="381"/>
      <c r="AC82" s="382">
        <f>+AC80/AC67</f>
        <v>0.45770966301725774</v>
      </c>
      <c r="AD82" s="381"/>
      <c r="AE82" s="382">
        <f t="shared" ref="AE82" si="643">+AE80/AE67</f>
        <v>0.45529874664915115</v>
      </c>
      <c r="AF82" s="381"/>
      <c r="AG82" s="382">
        <f t="shared" ref="AG82" si="644">+AG80/AG67</f>
        <v>0.45152433562875338</v>
      </c>
      <c r="AH82" s="381"/>
      <c r="AI82" s="382">
        <f t="shared" ref="AI82" si="645">+AI80/AI67</f>
        <v>0.45152433562875338</v>
      </c>
      <c r="AJ82" s="381"/>
      <c r="AK82" s="382">
        <f t="shared" ref="AK82" si="646">+AK80/AK67</f>
        <v>0.41542997545467447</v>
      </c>
      <c r="AL82" s="381"/>
      <c r="AM82" s="382">
        <f t="shared" ref="AM82" si="647">+AM80/AM67</f>
        <v>0.41542997545467447</v>
      </c>
      <c r="AN82" s="381"/>
      <c r="AO82" s="382">
        <f t="shared" ref="AO82" si="648">+AO80/AO67</f>
        <v>0.40593020381318334</v>
      </c>
      <c r="AP82" s="381"/>
      <c r="AQ82" s="382">
        <f t="shared" ref="AQ82" si="649">+AQ80/AQ67</f>
        <v>0.40593020381318334</v>
      </c>
      <c r="AR82" s="381"/>
      <c r="AS82" s="382">
        <f t="shared" ref="AS82:AY82" si="650">+AS80/AS67</f>
        <v>0.40593020381318334</v>
      </c>
      <c r="AT82" s="381"/>
      <c r="AU82" s="382">
        <f t="shared" si="650"/>
        <v>0.50439158581935251</v>
      </c>
      <c r="AV82" s="381"/>
      <c r="AW82" s="382">
        <f t="shared" si="650"/>
        <v>0.52826086956521734</v>
      </c>
      <c r="AX82" s="381"/>
      <c r="AY82" s="382">
        <f t="shared" si="650"/>
        <v>0.52765957446808509</v>
      </c>
      <c r="AZ82" s="381"/>
      <c r="BA82" s="382">
        <f t="shared" ref="BA82:BC82" si="651">+BA80/BA67</f>
        <v>0.54780989209198305</v>
      </c>
      <c r="BB82" s="381"/>
      <c r="BC82" s="382">
        <f t="shared" si="651"/>
        <v>0.51189465086682928</v>
      </c>
      <c r="BD82" s="381"/>
      <c r="BE82" s="382">
        <f t="shared" ref="BE82:BG82" si="652">+BE80/BE67</f>
        <v>0.5438742873035739</v>
      </c>
      <c r="BF82" s="381"/>
      <c r="BG82" s="382">
        <f t="shared" si="652"/>
        <v>0.45399607309837248</v>
      </c>
      <c r="BH82" s="381"/>
      <c r="BI82" s="382">
        <f t="shared" ref="BI82:BK82" si="653">+BI80/BI67</f>
        <v>0.51117264464340684</v>
      </c>
      <c r="BJ82" s="381"/>
      <c r="BK82" s="382">
        <f t="shared" si="653"/>
        <v>0.52531185987294626</v>
      </c>
      <c r="BL82" s="381"/>
      <c r="BM82" s="382">
        <f t="shared" ref="BM82" si="654">+BM80/BM67</f>
        <v>0.52889498970487314</v>
      </c>
      <c r="BN82" s="381"/>
      <c r="BO82" s="1096">
        <f t="shared" ref="BO82" si="655">+BO80/BO67</f>
        <v>0.2059868087265346</v>
      </c>
      <c r="BP82" s="381"/>
      <c r="BQ82" s="611">
        <f t="shared" ref="BQ82" si="656">+BQ80/BQ67</f>
        <v>0.4268228342302417</v>
      </c>
      <c r="BR82" s="381"/>
      <c r="BS82" s="1096">
        <f t="shared" ref="BS82" si="657">+BS80/BS67</f>
        <v>0.33692096655059628</v>
      </c>
      <c r="BT82" s="381"/>
      <c r="BU82" s="611">
        <f>+BU80/BU67</f>
        <v>0.31549129037713508</v>
      </c>
      <c r="BV82" s="381"/>
      <c r="BW82" s="611">
        <f>+BW80/BW67</f>
        <v>0.35237028271139853</v>
      </c>
      <c r="BX82" s="612"/>
      <c r="BY82" s="611">
        <f>+BY80/BY67</f>
        <v>0.47831592276036716</v>
      </c>
      <c r="BZ82" s="612"/>
      <c r="CA82" s="611">
        <f>+CA80/CA67</f>
        <v>0.32425873166613906</v>
      </c>
      <c r="CB82" s="132"/>
      <c r="CC82" s="611">
        <f>+CC80/CC67</f>
        <v>0.49084030266825968</v>
      </c>
      <c r="CD82" s="132"/>
      <c r="CE82" s="611">
        <f>+CE80/CE67</f>
        <v>0.44942254082039029</v>
      </c>
      <c r="CF82" s="132"/>
      <c r="CG82" s="133">
        <f>+CG80/CG67</f>
        <v>0.46283224400871459</v>
      </c>
      <c r="CH82" s="381"/>
      <c r="CI82" s="611">
        <f>+CI80/CI67</f>
        <v>0.46875816993464053</v>
      </c>
      <c r="CJ82" s="381"/>
      <c r="CK82" s="382">
        <f>+CK80/CK67</f>
        <v>0.42001576044129241</v>
      </c>
      <c r="CL82" s="381"/>
      <c r="CM82" s="382">
        <f>+CM80/CM67</f>
        <v>0.46083530338849493</v>
      </c>
      <c r="CN82" s="381"/>
      <c r="CO82" s="382">
        <f>+CO80/CO67</f>
        <v>0.47572984749455344</v>
      </c>
      <c r="CR82" s="381"/>
      <c r="CS82" s="382">
        <f t="shared" ref="CS82" si="658">+CS80/CS67</f>
        <v>0.34927242586111618</v>
      </c>
    </row>
    <row r="83" spans="1:97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1.1166886699824592</v>
      </c>
      <c r="H83" s="137"/>
      <c r="I83" s="138">
        <f>I80-I57</f>
        <v>1.1166886699824592</v>
      </c>
      <c r="J83" s="137"/>
      <c r="K83" s="138">
        <f>K80-K57</f>
        <v>0.77480802186891751</v>
      </c>
      <c r="L83" s="137"/>
      <c r="M83" s="138">
        <f>M80-M57</f>
        <v>0.96900603040075328</v>
      </c>
      <c r="N83" s="137"/>
      <c r="O83" s="138">
        <f>O80-O57</f>
        <v>0.78257023319115548</v>
      </c>
      <c r="P83" s="137"/>
      <c r="Q83" s="138">
        <f>Q80-Q57</f>
        <v>0.78257023319115548</v>
      </c>
      <c r="R83" s="137"/>
      <c r="S83" s="138">
        <f>S80-S57</f>
        <v>0.8473928247762208</v>
      </c>
      <c r="T83" s="137"/>
      <c r="U83" s="138">
        <f>U80-U57</f>
        <v>0.8473928247762208</v>
      </c>
      <c r="V83" s="137"/>
      <c r="W83" s="138">
        <f>W80-W57</f>
        <v>0.7762155755448652</v>
      </c>
      <c r="X83" s="137"/>
      <c r="Y83" s="138">
        <f>Y80-Y57</f>
        <v>0.83230578156850354</v>
      </c>
      <c r="Z83" s="137"/>
      <c r="AA83" s="138">
        <f>AA80-AA57</f>
        <v>0.91696411591728255</v>
      </c>
      <c r="AB83" s="137"/>
      <c r="AC83" s="138">
        <f>AC80-AC57</f>
        <v>1.0305392903173147</v>
      </c>
      <c r="AD83" s="137"/>
      <c r="AE83" s="138">
        <f t="shared" ref="AE83" si="659">AE80-AE57</f>
        <v>1.4703895602565931</v>
      </c>
      <c r="AF83" s="137"/>
      <c r="AG83" s="138">
        <f t="shared" ref="AG83" si="660">AG80-AG57</f>
        <v>1.5317574674950869</v>
      </c>
      <c r="AH83" s="137"/>
      <c r="AI83" s="138">
        <f t="shared" ref="AI83" si="661">AI80-AI57</f>
        <v>0.92701194389226549</v>
      </c>
      <c r="AJ83" s="137"/>
      <c r="AK83" s="138">
        <f t="shared" ref="AK83" si="662">AK80-AK57</f>
        <v>0.76097788709150249</v>
      </c>
      <c r="AL83" s="137"/>
      <c r="AM83" s="138">
        <f t="shared" ref="AM83" si="663">AM80-AM57</f>
        <v>0.76097788709150249</v>
      </c>
      <c r="AN83" s="137"/>
      <c r="AO83" s="138">
        <f t="shared" ref="AO83" si="664">AO80-AO57</f>
        <v>0.7172789375406432</v>
      </c>
      <c r="AP83" s="137"/>
      <c r="AQ83" s="138">
        <f t="shared" ref="AQ83" si="665">AQ80-AQ57</f>
        <v>0.7172789375406432</v>
      </c>
      <c r="AR83" s="137"/>
      <c r="AS83" s="138">
        <f t="shared" ref="AS83:AY83" si="666">AS80-AS57</f>
        <v>0.7172789375406432</v>
      </c>
      <c r="AT83" s="137"/>
      <c r="AU83" s="138">
        <f t="shared" si="666"/>
        <v>1.1702012947690217</v>
      </c>
      <c r="AV83" s="137"/>
      <c r="AW83" s="138">
        <f t="shared" si="666"/>
        <v>1.2799999999999998</v>
      </c>
      <c r="AX83" s="137"/>
      <c r="AY83" s="138">
        <f t="shared" si="666"/>
        <v>1.33</v>
      </c>
      <c r="AZ83" s="137"/>
      <c r="BA83" s="138">
        <f t="shared" ref="BA83:BC83" si="667">BA80-BA57</f>
        <v>1.4247064928323203</v>
      </c>
      <c r="BB83" s="137"/>
      <c r="BC83" s="138">
        <f t="shared" si="667"/>
        <v>1.2559048590740978</v>
      </c>
      <c r="BD83" s="137"/>
      <c r="BE83" s="138">
        <f t="shared" ref="BE83:BG83" si="668">BE80-BE57</f>
        <v>1.4062091503267973</v>
      </c>
      <c r="BF83" s="137"/>
      <c r="BG83" s="138">
        <f t="shared" si="668"/>
        <v>0.9837815435623507</v>
      </c>
      <c r="BH83" s="137"/>
      <c r="BI83" s="138">
        <f t="shared" ref="BI83:BK83" si="669">BI80-BI57</f>
        <v>1.2525114298240125</v>
      </c>
      <c r="BJ83" s="137"/>
      <c r="BK83" s="138">
        <f t="shared" si="669"/>
        <v>1.3189657414028475</v>
      </c>
      <c r="BL83" s="137"/>
      <c r="BM83" s="138">
        <f t="shared" ref="BM83" si="670">BM80-BM57</f>
        <v>1.3358064516129038</v>
      </c>
      <c r="BN83" s="137"/>
      <c r="BO83" s="138">
        <f t="shared" ref="BO83" si="671">BO80-BO57</f>
        <v>0.55296296296296199</v>
      </c>
      <c r="BP83" s="137"/>
      <c r="BQ83" s="138">
        <f t="shared" ref="BQ83" si="672">BQ80-BQ57</f>
        <v>1.6969135802469144</v>
      </c>
      <c r="BR83" s="137"/>
      <c r="BS83" s="138">
        <f t="shared" ref="BS83" si="673">BS80-BS57</f>
        <v>1.1709876543209887</v>
      </c>
      <c r="BT83" s="137"/>
      <c r="BU83" s="138">
        <f>BU80-BU57</f>
        <v>1.0424691358024689</v>
      </c>
      <c r="BV83" s="137"/>
      <c r="BW83" s="138">
        <f>BW80-BW57</f>
        <v>1.2578424510345676</v>
      </c>
      <c r="BX83" s="137"/>
      <c r="BY83" s="138">
        <f>BY80-BY57</f>
        <v>1.9981481481481478</v>
      </c>
      <c r="BZ83" s="137"/>
      <c r="CA83" s="138">
        <f>CA80-CA57</f>
        <v>1.0969135802469132</v>
      </c>
      <c r="CB83" s="137"/>
      <c r="CC83" s="138">
        <f>CC80-CC57</f>
        <v>2.0432098765432101</v>
      </c>
      <c r="CD83" s="137"/>
      <c r="CE83" s="138">
        <f>CE80-CE57</f>
        <v>1.7864197530864199</v>
      </c>
      <c r="CF83" s="137"/>
      <c r="CG83" s="138">
        <f>CG80-CG57</f>
        <v>0.91703703703703687</v>
      </c>
      <c r="CH83" s="137"/>
      <c r="CI83" s="138">
        <f>CI80-CI57</f>
        <v>0.94222222222222229</v>
      </c>
      <c r="CJ83" s="137"/>
      <c r="CK83" s="138">
        <f>CK80-CK57</f>
        <v>0.67407407407407427</v>
      </c>
      <c r="CL83" s="137"/>
      <c r="CM83" s="138">
        <f>CM80-CM57</f>
        <v>0.86592592592592621</v>
      </c>
      <c r="CN83" s="137"/>
      <c r="CO83" s="138">
        <f>CO80-CO57</f>
        <v>0.97185185185185197</v>
      </c>
      <c r="CR83" s="137"/>
      <c r="CS83" s="138">
        <f t="shared" ref="CS83" si="674">CS80-CS57</f>
        <v>0.88295266163197605</v>
      </c>
    </row>
    <row r="84" spans="1:97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0.24926086383537033</v>
      </c>
      <c r="H84" s="381"/>
      <c r="I84" s="382">
        <f>I83/I67</f>
        <v>0.24926086383537033</v>
      </c>
      <c r="J84" s="381"/>
      <c r="K84" s="1096">
        <f>K83/K67</f>
        <v>0.17294821916716907</v>
      </c>
      <c r="L84" s="132"/>
      <c r="M84" s="133">
        <f>M83/M67</f>
        <v>0.21629598892873955</v>
      </c>
      <c r="N84" s="381"/>
      <c r="O84" s="382">
        <f>O83/O67</f>
        <v>0.17468085562302577</v>
      </c>
      <c r="P84" s="381"/>
      <c r="Q84" s="382">
        <f>Q83/Q67</f>
        <v>0.17468085562302577</v>
      </c>
      <c r="R84" s="132"/>
      <c r="S84" s="133">
        <f>S83/S67</f>
        <v>0.18915018410183498</v>
      </c>
      <c r="T84" s="381"/>
      <c r="U84" s="382">
        <f>U83/U67</f>
        <v>0.18915018410183498</v>
      </c>
      <c r="V84" s="381"/>
      <c r="W84" s="382">
        <f>W83/W67</f>
        <v>0.17326240525555026</v>
      </c>
      <c r="X84" s="132"/>
      <c r="Y84" s="133">
        <f>Y83/Y67</f>
        <v>0.18578254052868381</v>
      </c>
      <c r="Z84" s="381"/>
      <c r="AA84" s="382">
        <f>AA83/AA67</f>
        <v>0.2046794901601077</v>
      </c>
      <c r="AB84" s="381"/>
      <c r="AC84" s="382">
        <f>AC83/AC67</f>
        <v>0.23003109158868629</v>
      </c>
      <c r="AD84" s="381"/>
      <c r="AE84" s="382">
        <f t="shared" ref="AE84" si="675">AE83/AE67</f>
        <v>0.31964990440360719</v>
      </c>
      <c r="AF84" s="381"/>
      <c r="AG84" s="382">
        <f t="shared" ref="AG84" si="676">AG83/AG67</f>
        <v>0.3329907538032798</v>
      </c>
      <c r="AH84" s="381"/>
      <c r="AI84" s="382">
        <f t="shared" ref="AI84" si="677">AI83/AI67</f>
        <v>0.20152433562875338</v>
      </c>
      <c r="AJ84" s="381"/>
      <c r="AK84" s="382">
        <f t="shared" ref="AK84" si="678">AK83/AK67</f>
        <v>0.16542997545467447</v>
      </c>
      <c r="AL84" s="381"/>
      <c r="AM84" s="382">
        <f t="shared" ref="AM84" si="679">AM83/AM67</f>
        <v>0.16542997545467447</v>
      </c>
      <c r="AN84" s="381"/>
      <c r="AO84" s="382">
        <f t="shared" ref="AO84" si="680">AO83/AO67</f>
        <v>0.15593020381318332</v>
      </c>
      <c r="AP84" s="381"/>
      <c r="AQ84" s="382">
        <f t="shared" ref="AQ84" si="681">AQ83/AQ67</f>
        <v>0.15593020381318332</v>
      </c>
      <c r="AR84" s="381"/>
      <c r="AS84" s="382">
        <f t="shared" ref="AS84:AY84" si="682">AS83/AS67</f>
        <v>0.15593020381318332</v>
      </c>
      <c r="AT84" s="381"/>
      <c r="AU84" s="382">
        <f t="shared" si="682"/>
        <v>0.25439158581935256</v>
      </c>
      <c r="AV84" s="381"/>
      <c r="AW84" s="382">
        <f t="shared" si="682"/>
        <v>0.27826086956521739</v>
      </c>
      <c r="AX84" s="381"/>
      <c r="AY84" s="382">
        <f t="shared" si="682"/>
        <v>0.28297872340425534</v>
      </c>
      <c r="AZ84" s="381"/>
      <c r="BA84" s="382">
        <f t="shared" ref="BA84:BC84" si="683">BA83/BA67</f>
        <v>0.30312904102815325</v>
      </c>
      <c r="BB84" s="381"/>
      <c r="BC84" s="382">
        <f t="shared" si="683"/>
        <v>0.26721379980299953</v>
      </c>
      <c r="BD84" s="381"/>
      <c r="BE84" s="382">
        <f t="shared" ref="BE84:BG84" si="684">BE83/BE67</f>
        <v>0.29919343623974409</v>
      </c>
      <c r="BF84" s="381"/>
      <c r="BG84" s="382">
        <f t="shared" si="684"/>
        <v>0.2093152220345427</v>
      </c>
      <c r="BH84" s="381"/>
      <c r="BI84" s="382">
        <f t="shared" ref="BI84:BK84" si="685">BI83/BI67</f>
        <v>0.26649179357957714</v>
      </c>
      <c r="BJ84" s="381"/>
      <c r="BK84" s="382">
        <f t="shared" si="685"/>
        <v>0.28063100880911646</v>
      </c>
      <c r="BL84" s="381"/>
      <c r="BM84" s="382">
        <f t="shared" ref="BM84" si="686">BM83/BM67</f>
        <v>0.28421413864104333</v>
      </c>
      <c r="BN84" s="381"/>
      <c r="BO84" s="1096">
        <f t="shared" ref="BO84" si="687">BO83/BO67</f>
        <v>9.468543886352089E-2</v>
      </c>
      <c r="BP84" s="381"/>
      <c r="BQ84" s="611">
        <f t="shared" ref="BQ84" si="688">BQ83/BQ67</f>
        <v>0.29007069747810499</v>
      </c>
      <c r="BR84" s="381"/>
      <c r="BS84" s="382">
        <f t="shared" ref="BS84" si="689">BS83/BS67</f>
        <v>0.2001688297984596</v>
      </c>
      <c r="BT84" s="381"/>
      <c r="BU84" s="611">
        <f>BU83/BU67</f>
        <v>0.17850498900727207</v>
      </c>
      <c r="BV84" s="381"/>
      <c r="BW84" s="611">
        <f>BW83/BW67</f>
        <v>0.21538398134153555</v>
      </c>
      <c r="BX84" s="612"/>
      <c r="BY84" s="611">
        <f>BY83/BY67</f>
        <v>0.3415637860082304</v>
      </c>
      <c r="BZ84" s="612"/>
      <c r="CA84" s="611">
        <f>CA83/CA67</f>
        <v>0.18750659491400226</v>
      </c>
      <c r="CB84" s="132"/>
      <c r="CC84" s="611">
        <f>CC83/CC67</f>
        <v>0.32954998008761449</v>
      </c>
      <c r="CD84" s="132"/>
      <c r="CE84" s="611">
        <f>CE83/CE67</f>
        <v>0.28813221823974511</v>
      </c>
      <c r="CF84" s="132"/>
      <c r="CG84" s="133">
        <f>CG83/CG67</f>
        <v>0.21577342047930279</v>
      </c>
      <c r="CH84" s="381"/>
      <c r="CI84" s="611">
        <f>CI83/CI67</f>
        <v>0.22169934640522879</v>
      </c>
      <c r="CJ84" s="381"/>
      <c r="CK84" s="382">
        <f>CK83/CK67</f>
        <v>0.14342001576044133</v>
      </c>
      <c r="CL84" s="381"/>
      <c r="CM84" s="382">
        <f>CM83/CM67</f>
        <v>0.18423955870764386</v>
      </c>
      <c r="CN84" s="381"/>
      <c r="CO84" s="382">
        <f>CO83/CO67</f>
        <v>0.22867102396514163</v>
      </c>
      <c r="CR84" s="381"/>
      <c r="CS84" s="382">
        <f t="shared" ref="CS84" si="690">CS83/CS67</f>
        <v>0.14127242586111616</v>
      </c>
    </row>
    <row r="85" spans="1:97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381"/>
      <c r="I85" s="382"/>
      <c r="J85" s="381"/>
      <c r="K85" s="382"/>
      <c r="L85" s="132"/>
      <c r="M85" s="133"/>
      <c r="N85" s="381"/>
      <c r="O85" s="382"/>
      <c r="P85" s="381"/>
      <c r="Q85" s="382"/>
      <c r="R85" s="132"/>
      <c r="S85" s="133"/>
      <c r="T85" s="381"/>
      <c r="U85" s="382"/>
      <c r="V85" s="381"/>
      <c r="W85" s="382"/>
      <c r="X85" s="132"/>
      <c r="Y85" s="133"/>
      <c r="Z85" s="381"/>
      <c r="AA85" s="382"/>
      <c r="AB85" s="381"/>
      <c r="AC85" s="382"/>
      <c r="AD85" s="381"/>
      <c r="AE85" s="382"/>
      <c r="AF85" s="381"/>
      <c r="AG85" s="382"/>
      <c r="AH85" s="381"/>
      <c r="AI85" s="382"/>
      <c r="AJ85" s="381"/>
      <c r="AK85" s="382"/>
      <c r="AL85" s="381"/>
      <c r="AM85" s="382"/>
      <c r="AN85" s="381"/>
      <c r="AO85" s="382"/>
      <c r="AP85" s="381"/>
      <c r="AQ85" s="382"/>
      <c r="AR85" s="381"/>
      <c r="AS85" s="382"/>
      <c r="AT85" s="381"/>
      <c r="AU85" s="382"/>
      <c r="AV85" s="381"/>
      <c r="AW85" s="382"/>
      <c r="AX85" s="381"/>
      <c r="AY85" s="382"/>
      <c r="AZ85" s="381"/>
      <c r="BA85" s="382"/>
      <c r="BB85" s="381"/>
      <c r="BC85" s="382"/>
      <c r="BD85" s="381"/>
      <c r="BE85" s="382"/>
      <c r="BF85" s="381"/>
      <c r="BG85" s="382"/>
      <c r="BH85" s="381"/>
      <c r="BI85" s="382"/>
      <c r="BJ85" s="381"/>
      <c r="BK85" s="382"/>
      <c r="BL85" s="381"/>
      <c r="BM85" s="382"/>
      <c r="BN85" s="381"/>
      <c r="BO85" s="382"/>
      <c r="BP85" s="381"/>
      <c r="BQ85" s="383"/>
      <c r="BR85" s="381"/>
      <c r="BS85" s="382"/>
      <c r="BT85" s="381"/>
      <c r="BU85" s="383"/>
      <c r="BV85" s="381"/>
      <c r="BW85" s="383"/>
      <c r="BX85" s="614"/>
      <c r="BY85" s="613"/>
      <c r="BZ85" s="614"/>
      <c r="CA85" s="613"/>
      <c r="CB85" s="132"/>
      <c r="CC85" s="133"/>
      <c r="CD85" s="132"/>
      <c r="CE85" s="133"/>
      <c r="CF85" s="132"/>
      <c r="CG85" s="133"/>
      <c r="CH85" s="381"/>
      <c r="CI85" s="613"/>
      <c r="CJ85" s="381"/>
      <c r="CK85" s="382"/>
      <c r="CL85" s="381"/>
      <c r="CM85" s="382"/>
      <c r="CN85" s="381"/>
      <c r="CO85" s="382"/>
      <c r="CR85" s="381"/>
      <c r="CS85" s="382"/>
    </row>
    <row r="86" spans="1:97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1.0743031583853069</v>
      </c>
      <c r="H86" s="141"/>
      <c r="I86" s="142">
        <f>I83-I72</f>
        <v>1.0743031583853069</v>
      </c>
      <c r="J86" s="141"/>
      <c r="K86" s="142">
        <f>K83-K72</f>
        <v>0.72779922593419322</v>
      </c>
      <c r="L86" s="141"/>
      <c r="M86" s="142">
        <f>M83-M72</f>
        <v>0.93629577398626185</v>
      </c>
      <c r="N86" s="141"/>
      <c r="O86" s="142">
        <f>O83-O72</f>
        <v>0.74319059826066791</v>
      </c>
      <c r="P86" s="141"/>
      <c r="Q86" s="142">
        <f>Q83-Q72</f>
        <v>0.74319059826066791</v>
      </c>
      <c r="R86" s="141"/>
      <c r="S86" s="142">
        <f>S83-S72</f>
        <v>0.81036626967210923</v>
      </c>
      <c r="T86" s="141"/>
      <c r="U86" s="142">
        <f>U83-U72</f>
        <v>0.81036626967210923</v>
      </c>
      <c r="V86" s="141"/>
      <c r="W86" s="142">
        <f>W83-W72</f>
        <v>0.7397785726488233</v>
      </c>
      <c r="X86" s="141"/>
      <c r="Y86" s="142">
        <f>Y83-Y72</f>
        <v>0.79586877867246164</v>
      </c>
      <c r="Z86" s="141"/>
      <c r="AA86" s="142">
        <f>AA83-AA72</f>
        <v>0.87933491180089907</v>
      </c>
      <c r="AB86" s="141"/>
      <c r="AC86" s="142">
        <f>AC83-AC72</f>
        <v>0.99324906449663486</v>
      </c>
      <c r="AD86" s="141"/>
      <c r="AE86" s="142">
        <f t="shared" ref="AE86" si="691">AE83-AE72</f>
        <v>1.4330993344359131</v>
      </c>
      <c r="AF86" s="141"/>
      <c r="AG86" s="142">
        <f t="shared" ref="AG86" si="692">AG83-AG72</f>
        <v>1.4944672416744069</v>
      </c>
      <c r="AH86" s="141"/>
      <c r="AI86" s="142">
        <f t="shared" ref="AI86" si="693">AI83-AI72</f>
        <v>0.88972171807158562</v>
      </c>
      <c r="AJ86" s="141"/>
      <c r="AK86" s="142">
        <f t="shared" ref="AK86" si="694">AK83-AK72</f>
        <v>0.72368766127082262</v>
      </c>
      <c r="AL86" s="141"/>
      <c r="AM86" s="142">
        <f t="shared" ref="AM86" si="695">AM83-AM72</f>
        <v>0.72368766127082262</v>
      </c>
      <c r="AN86" s="141"/>
      <c r="AO86" s="142">
        <f t="shared" ref="AO86" si="696">AO83-AO72</f>
        <v>0.67785733785435753</v>
      </c>
      <c r="AP86" s="141"/>
      <c r="AQ86" s="142">
        <f t="shared" ref="AQ86" si="697">AQ83-AQ72</f>
        <v>0.67785733785435753</v>
      </c>
      <c r="AR86" s="141"/>
      <c r="AS86" s="142">
        <f t="shared" ref="AS86:AY86" si="698">AS83-AS72</f>
        <v>0.67785733785435753</v>
      </c>
      <c r="AT86" s="141"/>
      <c r="AU86" s="142">
        <f t="shared" si="698"/>
        <v>1.1318846930945345</v>
      </c>
      <c r="AV86" s="141"/>
      <c r="AW86" s="142">
        <f t="shared" si="698"/>
        <v>1.2441909554737411</v>
      </c>
      <c r="AX86" s="141"/>
      <c r="AY86" s="142">
        <f t="shared" si="698"/>
        <v>1.2939947300699641</v>
      </c>
      <c r="AZ86" s="141"/>
      <c r="BA86" s="142">
        <f t="shared" ref="BA86:BC86" si="699">BA83-BA72</f>
        <v>1.3870091194500525</v>
      </c>
      <c r="BB86" s="141"/>
      <c r="BC86" s="142">
        <f t="shared" si="699"/>
        <v>1.2182074856918299</v>
      </c>
      <c r="BD86" s="141"/>
      <c r="BE86" s="142">
        <f t="shared" ref="BE86:BG86" si="700">BE83-BE72</f>
        <v>1.3685117769445294</v>
      </c>
      <c r="BF86" s="141"/>
      <c r="BG86" s="142">
        <f t="shared" si="700"/>
        <v>0.94608417018008284</v>
      </c>
      <c r="BH86" s="141"/>
      <c r="BI86" s="142">
        <f t="shared" ref="BI86:BK86" si="701">BI83-BI72</f>
        <v>1.2148140564417447</v>
      </c>
      <c r="BJ86" s="141"/>
      <c r="BK86" s="142">
        <f t="shared" si="701"/>
        <v>1.2812683680205796</v>
      </c>
      <c r="BL86" s="141"/>
      <c r="BM86" s="142">
        <f t="shared" ref="BM86" si="702">BM83-BM72</f>
        <v>1.2981090782306359</v>
      </c>
      <c r="BN86" s="141"/>
      <c r="BO86" s="142">
        <f t="shared" ref="BO86" si="703">BO83-BO72</f>
        <v>0.4333705049281788</v>
      </c>
      <c r="BP86" s="141"/>
      <c r="BQ86" s="599">
        <f t="shared" ref="BQ86" si="704">BQ83-BQ72</f>
        <v>1.5868055555555565</v>
      </c>
      <c r="BR86" s="141"/>
      <c r="BS86" s="142">
        <f t="shared" ref="BS86" si="705">BS83-BS72</f>
        <v>1.0608796296296308</v>
      </c>
      <c r="BT86" s="141"/>
      <c r="BU86" s="599">
        <f>BU83-BU72</f>
        <v>0.92887422201816117</v>
      </c>
      <c r="BV86" s="141"/>
      <c r="BW86" s="599">
        <f>BW83-BW72</f>
        <v>1.1381289866645705</v>
      </c>
      <c r="BX86" s="600"/>
      <c r="BY86" s="599">
        <f>BY83-BY72</f>
        <v>1.8926305270677974</v>
      </c>
      <c r="BZ86" s="600"/>
      <c r="CA86" s="599">
        <f>CA83-CA72</f>
        <v>0.98331866646260546</v>
      </c>
      <c r="CB86" s="141"/>
      <c r="CC86" s="142">
        <f t="shared" ref="CC86" si="706">CC83-CC72</f>
        <v>1.9624088115918774</v>
      </c>
      <c r="CD86" s="141"/>
      <c r="CE86" s="142">
        <f t="shared" ref="CE86" si="707">CE83-CE72</f>
        <v>1.7056186881350872</v>
      </c>
      <c r="CF86" s="141"/>
      <c r="CG86" s="142">
        <f>CG83-CG72</f>
        <v>0.82110388430701475</v>
      </c>
      <c r="CH86" s="141"/>
      <c r="CI86" s="599">
        <f>CI83-CI72</f>
        <v>0.84628906949220017</v>
      </c>
      <c r="CJ86" s="141"/>
      <c r="CK86" s="142">
        <f>CK83-CK72</f>
        <v>0.57814092134405215</v>
      </c>
      <c r="CL86" s="141"/>
      <c r="CM86" s="142">
        <f>CM83-CM72</f>
        <v>0.76999277319590409</v>
      </c>
      <c r="CN86" s="141"/>
      <c r="CO86" s="142">
        <f>CO83-CO72</f>
        <v>0.87591869912182985</v>
      </c>
      <c r="CR86" s="141"/>
      <c r="CS86" s="142">
        <f t="shared" ref="CS86" si="708">CS83-CS72</f>
        <v>0.70309999283682245</v>
      </c>
    </row>
    <row r="87" spans="1:97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0.23979981213957741</v>
      </c>
      <c r="H87" s="381"/>
      <c r="I87" s="382">
        <f>I86/I67</f>
        <v>0.23979981213957741</v>
      </c>
      <c r="J87" s="381"/>
      <c r="K87" s="1096">
        <f>K86/K67</f>
        <v>0.16245518436031098</v>
      </c>
      <c r="L87" s="132"/>
      <c r="M87" s="133">
        <f>M86/M67</f>
        <v>0.2089945924076477</v>
      </c>
      <c r="N87" s="381"/>
      <c r="O87" s="382">
        <f>O86/O67</f>
        <v>0.16589075854032764</v>
      </c>
      <c r="P87" s="381"/>
      <c r="Q87" s="382">
        <f>Q86/Q67</f>
        <v>0.16589075854032764</v>
      </c>
      <c r="R87" s="132"/>
      <c r="S87" s="133">
        <f>S86/S67</f>
        <v>0.18088532805181007</v>
      </c>
      <c r="T87" s="381"/>
      <c r="U87" s="382">
        <f>U86/U67</f>
        <v>0.18088532805181007</v>
      </c>
      <c r="V87" s="381"/>
      <c r="W87" s="382">
        <f>W86/W67</f>
        <v>0.16512914568054091</v>
      </c>
      <c r="X87" s="132"/>
      <c r="Y87" s="133">
        <f>Y86/Y67</f>
        <v>0.17764928095367447</v>
      </c>
      <c r="Z87" s="381"/>
      <c r="AA87" s="382">
        <f>AA86/AA67</f>
        <v>0.19628011424127209</v>
      </c>
      <c r="AB87" s="381"/>
      <c r="AC87" s="382">
        <f>AC86/AC67</f>
        <v>0.22170738046799884</v>
      </c>
      <c r="AD87" s="381"/>
      <c r="AE87" s="382">
        <f t="shared" ref="AE87" si="709">AE86/AE67</f>
        <v>0.31154333357302461</v>
      </c>
      <c r="AF87" s="381"/>
      <c r="AG87" s="382">
        <f t="shared" ref="AG87" si="710">AG86/AG67</f>
        <v>0.32488418297269717</v>
      </c>
      <c r="AH87" s="381"/>
      <c r="AI87" s="382">
        <f t="shared" ref="AI87" si="711">AI86/AI67</f>
        <v>0.1934177647981708</v>
      </c>
      <c r="AJ87" s="381"/>
      <c r="AK87" s="382">
        <f t="shared" ref="AK87" si="712">AK86/AK67</f>
        <v>0.15732340462409189</v>
      </c>
      <c r="AL87" s="381"/>
      <c r="AM87" s="382">
        <f t="shared" ref="AM87" si="713">AM86/AM67</f>
        <v>0.15732340462409189</v>
      </c>
      <c r="AN87" s="381"/>
      <c r="AO87" s="382">
        <f t="shared" ref="AO87" si="714">AO86/AO67</f>
        <v>0.14736029083790383</v>
      </c>
      <c r="AP87" s="381"/>
      <c r="AQ87" s="382">
        <f t="shared" ref="AQ87" si="715">AQ86/AQ67</f>
        <v>0.14736029083790383</v>
      </c>
      <c r="AR87" s="381"/>
      <c r="AS87" s="382">
        <f t="shared" ref="AS87:AY87" si="716">AS86/AS67</f>
        <v>0.14736029083790383</v>
      </c>
      <c r="AT87" s="381"/>
      <c r="AU87" s="382">
        <f t="shared" si="716"/>
        <v>0.24606188980315971</v>
      </c>
      <c r="AV87" s="381"/>
      <c r="AW87" s="382">
        <f t="shared" si="716"/>
        <v>0.27047629466820461</v>
      </c>
      <c r="AX87" s="381"/>
      <c r="AY87" s="382">
        <f t="shared" si="716"/>
        <v>0.27531802767446045</v>
      </c>
      <c r="AZ87" s="381"/>
      <c r="BA87" s="382">
        <f t="shared" ref="BA87:BC87" si="717">BA86/BA67</f>
        <v>0.29510832328724518</v>
      </c>
      <c r="BB87" s="381"/>
      <c r="BC87" s="382">
        <f t="shared" si="717"/>
        <v>0.25919308206209146</v>
      </c>
      <c r="BD87" s="381"/>
      <c r="BE87" s="382">
        <f t="shared" ref="BE87:BG87" si="718">BE86/BE67</f>
        <v>0.29117271849883603</v>
      </c>
      <c r="BF87" s="381"/>
      <c r="BG87" s="382">
        <f t="shared" si="718"/>
        <v>0.20129450429363463</v>
      </c>
      <c r="BH87" s="381"/>
      <c r="BI87" s="382">
        <f t="shared" ref="BI87:BK87" si="719">BI86/BI67</f>
        <v>0.25847107583866907</v>
      </c>
      <c r="BJ87" s="381"/>
      <c r="BK87" s="382">
        <f t="shared" si="719"/>
        <v>0.27261029106820844</v>
      </c>
      <c r="BL87" s="381"/>
      <c r="BM87" s="382">
        <f t="shared" ref="BM87" si="720">BM86/BM67</f>
        <v>0.27619342090013527</v>
      </c>
      <c r="BN87" s="381"/>
      <c r="BO87" s="1096">
        <f t="shared" ref="BO87" si="721">BO86/BO67</f>
        <v>7.4207278241126509E-2</v>
      </c>
      <c r="BP87" s="381"/>
      <c r="BQ87" s="611">
        <f t="shared" ref="BQ87" si="722">BQ86/BQ67</f>
        <v>0.2712488129154797</v>
      </c>
      <c r="BR87" s="381"/>
      <c r="BS87" s="382">
        <f t="shared" ref="BS87" si="723">BS86/BS67</f>
        <v>0.18134694523583431</v>
      </c>
      <c r="BT87" s="381"/>
      <c r="BU87" s="611">
        <f>BU86/BU67</f>
        <v>0.15905380514009609</v>
      </c>
      <c r="BV87" s="381"/>
      <c r="BW87" s="611">
        <f>BW86/BW67</f>
        <v>0.19488510045626209</v>
      </c>
      <c r="BX87" s="612"/>
      <c r="BY87" s="611">
        <f>BY86/BY67</f>
        <v>0.32352658582355515</v>
      </c>
      <c r="BZ87" s="612"/>
      <c r="CA87" s="611">
        <f>CA86/CA67</f>
        <v>0.16808866093377872</v>
      </c>
      <c r="CB87" s="132"/>
      <c r="CC87" s="133">
        <f t="shared" ref="CC87" si="724">CC86/CC67</f>
        <v>0.31651755025675443</v>
      </c>
      <c r="CD87" s="132"/>
      <c r="CE87" s="133">
        <f t="shared" ref="CE87" si="725">CE86/CE67</f>
        <v>0.27509978840888505</v>
      </c>
      <c r="CF87" s="132"/>
      <c r="CG87" s="133">
        <f>CG86/CG67</f>
        <v>0.19320091395459171</v>
      </c>
      <c r="CH87" s="381"/>
      <c r="CI87" s="611">
        <f>CI86/CI67</f>
        <v>0.19912683988051769</v>
      </c>
      <c r="CJ87" s="381"/>
      <c r="CK87" s="382">
        <f>CK86/CK67</f>
        <v>0.12300870666894727</v>
      </c>
      <c r="CL87" s="381"/>
      <c r="CM87" s="382">
        <f>CM86/CM67</f>
        <v>0.16382824961614981</v>
      </c>
      <c r="CN87" s="381"/>
      <c r="CO87" s="382">
        <f>CO86/CO67</f>
        <v>0.20609851744043056</v>
      </c>
      <c r="CR87" s="381"/>
      <c r="CS87" s="382">
        <f t="shared" ref="CS87" si="726">CS86/CS67</f>
        <v>0.1124959988538916</v>
      </c>
    </row>
    <row r="88" spans="1:97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381"/>
      <c r="I88" s="382"/>
      <c r="J88" s="381"/>
      <c r="K88" s="382"/>
      <c r="L88" s="132"/>
      <c r="M88" s="133"/>
      <c r="N88" s="381"/>
      <c r="O88" s="382"/>
      <c r="P88" s="381"/>
      <c r="Q88" s="382"/>
      <c r="R88" s="132"/>
      <c r="S88" s="133"/>
      <c r="T88" s="381"/>
      <c r="U88" s="382"/>
      <c r="V88" s="381"/>
      <c r="W88" s="382"/>
      <c r="X88" s="132"/>
      <c r="Y88" s="133"/>
      <c r="Z88" s="381"/>
      <c r="AA88" s="382"/>
      <c r="AB88" s="381"/>
      <c r="AC88" s="382"/>
      <c r="AD88" s="381"/>
      <c r="AE88" s="382"/>
      <c r="AF88" s="381"/>
      <c r="AG88" s="382"/>
      <c r="AH88" s="381"/>
      <c r="AI88" s="382"/>
      <c r="AJ88" s="381"/>
      <c r="AK88" s="382"/>
      <c r="AL88" s="381"/>
      <c r="AM88" s="382"/>
      <c r="AN88" s="381"/>
      <c r="AO88" s="382"/>
      <c r="AP88" s="381"/>
      <c r="AQ88" s="382"/>
      <c r="AR88" s="381"/>
      <c r="AS88" s="382"/>
      <c r="AT88" s="381"/>
      <c r="AU88" s="382"/>
      <c r="AV88" s="381"/>
      <c r="AW88" s="382"/>
      <c r="AX88" s="381"/>
      <c r="AY88" s="382"/>
      <c r="AZ88" s="381"/>
      <c r="BA88" s="382"/>
      <c r="BB88" s="381"/>
      <c r="BC88" s="382"/>
      <c r="BD88" s="381"/>
      <c r="BE88" s="382"/>
      <c r="BF88" s="381"/>
      <c r="BG88" s="382"/>
      <c r="BH88" s="381"/>
      <c r="BI88" s="382"/>
      <c r="BJ88" s="381"/>
      <c r="BK88" s="382"/>
      <c r="BL88" s="381"/>
      <c r="BM88" s="382"/>
      <c r="BN88" s="381"/>
      <c r="BO88" s="382"/>
      <c r="BP88" s="381"/>
      <c r="BQ88" s="383"/>
      <c r="BR88" s="381"/>
      <c r="BS88" s="382"/>
      <c r="BT88" s="381"/>
      <c r="BU88" s="383"/>
      <c r="BV88" s="381"/>
      <c r="BW88" s="383"/>
      <c r="BX88" s="614"/>
      <c r="BY88" s="613"/>
      <c r="BZ88" s="614"/>
      <c r="CA88" s="613"/>
      <c r="CB88" s="132"/>
      <c r="CC88" s="133"/>
      <c r="CD88" s="132"/>
      <c r="CE88" s="133"/>
      <c r="CF88" s="132"/>
      <c r="CG88" s="133"/>
      <c r="CH88" s="381"/>
      <c r="CI88" s="613"/>
      <c r="CJ88" s="381"/>
      <c r="CK88" s="382"/>
      <c r="CL88" s="381"/>
      <c r="CM88" s="382"/>
      <c r="CN88" s="381"/>
      <c r="CO88" s="382"/>
      <c r="CR88" s="381"/>
      <c r="CS88" s="382"/>
    </row>
    <row r="89" spans="1:97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1.0743031583853069</v>
      </c>
      <c r="H89" s="146"/>
      <c r="I89" s="147">
        <f>I86</f>
        <v>1.0743031583853069</v>
      </c>
      <c r="J89" s="146"/>
      <c r="K89" s="147">
        <f>K86</f>
        <v>0.72779922593419322</v>
      </c>
      <c r="L89" s="146"/>
      <c r="M89" s="147">
        <f>M86</f>
        <v>0.93629577398626185</v>
      </c>
      <c r="N89" s="146"/>
      <c r="O89" s="147">
        <f>O86</f>
        <v>0.74319059826066791</v>
      </c>
      <c r="P89" s="146"/>
      <c r="Q89" s="147">
        <f>Q86</f>
        <v>0.74319059826066791</v>
      </c>
      <c r="R89" s="146"/>
      <c r="S89" s="147">
        <f>S86</f>
        <v>0.81036626967210923</v>
      </c>
      <c r="T89" s="146"/>
      <c r="U89" s="147">
        <f>U86</f>
        <v>0.81036626967210923</v>
      </c>
      <c r="V89" s="146"/>
      <c r="W89" s="147">
        <f>W86</f>
        <v>0.7397785726488233</v>
      </c>
      <c r="X89" s="146"/>
      <c r="Y89" s="147">
        <f>Y86</f>
        <v>0.79586877867246164</v>
      </c>
      <c r="Z89" s="146"/>
      <c r="AA89" s="147">
        <f>AA86</f>
        <v>0.87933491180089907</v>
      </c>
      <c r="AB89" s="146"/>
      <c r="AC89" s="147">
        <f>AC86</f>
        <v>0.99324906449663486</v>
      </c>
      <c r="AD89" s="146"/>
      <c r="AE89" s="147">
        <f t="shared" ref="AE89" si="727">AE86</f>
        <v>1.4330993344359131</v>
      </c>
      <c r="AF89" s="146"/>
      <c r="AG89" s="147">
        <f t="shared" ref="AG89" si="728">AG86</f>
        <v>1.4944672416744069</v>
      </c>
      <c r="AH89" s="146"/>
      <c r="AI89" s="147">
        <f t="shared" ref="AI89" si="729">AI86</f>
        <v>0.88972171807158562</v>
      </c>
      <c r="AJ89" s="146"/>
      <c r="AK89" s="147">
        <f t="shared" ref="AK89" si="730">AK86</f>
        <v>0.72368766127082262</v>
      </c>
      <c r="AL89" s="146"/>
      <c r="AM89" s="147">
        <f t="shared" ref="AM89" si="731">AM86</f>
        <v>0.72368766127082262</v>
      </c>
      <c r="AN89" s="146"/>
      <c r="AO89" s="147">
        <f t="shared" ref="AO89" si="732">AO86</f>
        <v>0.67785733785435753</v>
      </c>
      <c r="AP89" s="146"/>
      <c r="AQ89" s="147">
        <f t="shared" ref="AQ89" si="733">AQ86</f>
        <v>0.67785733785435753</v>
      </c>
      <c r="AR89" s="146"/>
      <c r="AS89" s="147">
        <f t="shared" ref="AS89:AY89" si="734">AS86</f>
        <v>0.67785733785435753</v>
      </c>
      <c r="AT89" s="146"/>
      <c r="AU89" s="147">
        <f t="shared" si="734"/>
        <v>1.1318846930945345</v>
      </c>
      <c r="AV89" s="146"/>
      <c r="AW89" s="147">
        <f t="shared" si="734"/>
        <v>1.2441909554737411</v>
      </c>
      <c r="AX89" s="146"/>
      <c r="AY89" s="147">
        <f t="shared" si="734"/>
        <v>1.2939947300699641</v>
      </c>
      <c r="AZ89" s="146"/>
      <c r="BA89" s="147">
        <f t="shared" ref="BA89:BC89" si="735">BA86</f>
        <v>1.3870091194500525</v>
      </c>
      <c r="BB89" s="146"/>
      <c r="BC89" s="147">
        <f t="shared" si="735"/>
        <v>1.2182074856918299</v>
      </c>
      <c r="BD89" s="146"/>
      <c r="BE89" s="147">
        <f t="shared" ref="BE89:BG89" si="736">BE86</f>
        <v>1.3685117769445294</v>
      </c>
      <c r="BF89" s="146"/>
      <c r="BG89" s="147">
        <f t="shared" si="736"/>
        <v>0.94608417018008284</v>
      </c>
      <c r="BH89" s="146"/>
      <c r="BI89" s="147">
        <f t="shared" ref="BI89:BK89" si="737">BI86</f>
        <v>1.2148140564417447</v>
      </c>
      <c r="BJ89" s="146"/>
      <c r="BK89" s="147">
        <f t="shared" si="737"/>
        <v>1.2812683680205796</v>
      </c>
      <c r="BL89" s="146"/>
      <c r="BM89" s="147">
        <f t="shared" ref="BM89" si="738">BM86</f>
        <v>1.2981090782306359</v>
      </c>
      <c r="BN89" s="146"/>
      <c r="BO89" s="147">
        <f t="shared" ref="BO89" si="739">BO86</f>
        <v>0.4333705049281788</v>
      </c>
      <c r="BP89" s="424"/>
      <c r="BQ89" s="601">
        <f t="shared" ref="BQ89" si="740">BQ86</f>
        <v>1.5868055555555565</v>
      </c>
      <c r="BR89" s="146"/>
      <c r="BS89" s="147">
        <f t="shared" ref="BS89" si="741">BS86</f>
        <v>1.0608796296296308</v>
      </c>
      <c r="BT89" s="424"/>
      <c r="BU89" s="601">
        <f>BU86</f>
        <v>0.92887422201816117</v>
      </c>
      <c r="BV89" s="424"/>
      <c r="BW89" s="601">
        <f>BW86</f>
        <v>1.1381289866645705</v>
      </c>
      <c r="BX89" s="603"/>
      <c r="BY89" s="601">
        <f>BY86</f>
        <v>1.8926305270677974</v>
      </c>
      <c r="BZ89" s="603"/>
      <c r="CA89" s="601">
        <f>CA86</f>
        <v>0.98331866646260546</v>
      </c>
      <c r="CB89" s="146"/>
      <c r="CC89" s="147">
        <f t="shared" ref="CC89" si="742">CC86</f>
        <v>1.9624088115918774</v>
      </c>
      <c r="CD89" s="146"/>
      <c r="CE89" s="147">
        <f t="shared" ref="CE89" si="743">CE86</f>
        <v>1.7056186881350872</v>
      </c>
      <c r="CF89" s="146"/>
      <c r="CG89" s="147">
        <f>CG86</f>
        <v>0.82110388430701475</v>
      </c>
      <c r="CH89" s="146"/>
      <c r="CI89" s="601">
        <f>CI86</f>
        <v>0.84628906949220017</v>
      </c>
      <c r="CJ89" s="146"/>
      <c r="CK89" s="147">
        <f>CK86</f>
        <v>0.57814092134405215</v>
      </c>
      <c r="CL89" s="146"/>
      <c r="CM89" s="147">
        <f>CM86</f>
        <v>0.76999277319590409</v>
      </c>
      <c r="CN89" s="146"/>
      <c r="CO89" s="147">
        <f>CO86</f>
        <v>0.87591869912182985</v>
      </c>
      <c r="CR89" s="146"/>
      <c r="CS89" s="147">
        <f t="shared" ref="CS89" si="744">CS86</f>
        <v>0.70309999283682245</v>
      </c>
    </row>
    <row r="90" spans="1:97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0.23979981213957741</v>
      </c>
      <c r="H90" s="381"/>
      <c r="I90" s="382">
        <f>I89/I67</f>
        <v>0.23979981213957741</v>
      </c>
      <c r="J90" s="381"/>
      <c r="K90" s="1096">
        <f>K89/K67</f>
        <v>0.16245518436031098</v>
      </c>
      <c r="L90" s="132"/>
      <c r="M90" s="133">
        <f>M89/M67</f>
        <v>0.2089945924076477</v>
      </c>
      <c r="N90" s="381"/>
      <c r="O90" s="382">
        <f>O89/O67</f>
        <v>0.16589075854032764</v>
      </c>
      <c r="P90" s="381"/>
      <c r="Q90" s="382">
        <f>Q89/Q67</f>
        <v>0.16589075854032764</v>
      </c>
      <c r="R90" s="132"/>
      <c r="S90" s="133">
        <f>S89/S67</f>
        <v>0.18088532805181007</v>
      </c>
      <c r="T90" s="381"/>
      <c r="U90" s="382">
        <f>U89/U67</f>
        <v>0.18088532805181007</v>
      </c>
      <c r="V90" s="381"/>
      <c r="W90" s="382">
        <f>W89/W67</f>
        <v>0.16512914568054091</v>
      </c>
      <c r="X90" s="132"/>
      <c r="Y90" s="133">
        <f>Y89/Y67</f>
        <v>0.17764928095367447</v>
      </c>
      <c r="Z90" s="381"/>
      <c r="AA90" s="382">
        <f>AA89/AA67</f>
        <v>0.19628011424127209</v>
      </c>
      <c r="AB90" s="381"/>
      <c r="AC90" s="382">
        <f>AC89/AC67</f>
        <v>0.22170738046799884</v>
      </c>
      <c r="AD90" s="381"/>
      <c r="AE90" s="382">
        <f t="shared" ref="AE90" si="745">AE89/AE67</f>
        <v>0.31154333357302461</v>
      </c>
      <c r="AF90" s="381"/>
      <c r="AG90" s="382">
        <f t="shared" ref="AG90" si="746">AG89/AG67</f>
        <v>0.32488418297269717</v>
      </c>
      <c r="AH90" s="381"/>
      <c r="AI90" s="382">
        <f t="shared" ref="AI90" si="747">AI89/AI67</f>
        <v>0.1934177647981708</v>
      </c>
      <c r="AJ90" s="381"/>
      <c r="AK90" s="382">
        <f t="shared" ref="AK90" si="748">AK89/AK67</f>
        <v>0.15732340462409189</v>
      </c>
      <c r="AL90" s="381"/>
      <c r="AM90" s="382">
        <f t="shared" ref="AM90" si="749">AM89/AM67</f>
        <v>0.15732340462409189</v>
      </c>
      <c r="AN90" s="381"/>
      <c r="AO90" s="382">
        <f t="shared" ref="AO90" si="750">AO89/AO67</f>
        <v>0.14736029083790383</v>
      </c>
      <c r="AP90" s="381"/>
      <c r="AQ90" s="382">
        <f t="shared" ref="AQ90" si="751">AQ89/AQ67</f>
        <v>0.14736029083790383</v>
      </c>
      <c r="AR90" s="381"/>
      <c r="AS90" s="382">
        <f t="shared" ref="AS90:AY90" si="752">AS89/AS67</f>
        <v>0.14736029083790383</v>
      </c>
      <c r="AT90" s="381"/>
      <c r="AU90" s="382">
        <f t="shared" si="752"/>
        <v>0.24606188980315971</v>
      </c>
      <c r="AV90" s="381"/>
      <c r="AW90" s="382">
        <f t="shared" si="752"/>
        <v>0.27047629466820461</v>
      </c>
      <c r="AX90" s="381"/>
      <c r="AY90" s="382">
        <f t="shared" si="752"/>
        <v>0.27531802767446045</v>
      </c>
      <c r="AZ90" s="381"/>
      <c r="BA90" s="382">
        <f t="shared" ref="BA90:BC90" si="753">BA89/BA67</f>
        <v>0.29510832328724518</v>
      </c>
      <c r="BB90" s="381"/>
      <c r="BC90" s="382">
        <f t="shared" si="753"/>
        <v>0.25919308206209146</v>
      </c>
      <c r="BD90" s="381"/>
      <c r="BE90" s="382">
        <f t="shared" ref="BE90:BG90" si="754">BE89/BE67</f>
        <v>0.29117271849883603</v>
      </c>
      <c r="BF90" s="381"/>
      <c r="BG90" s="382">
        <f t="shared" si="754"/>
        <v>0.20129450429363463</v>
      </c>
      <c r="BH90" s="381"/>
      <c r="BI90" s="382">
        <f t="shared" ref="BI90:BK90" si="755">BI89/BI67</f>
        <v>0.25847107583866907</v>
      </c>
      <c r="BJ90" s="381"/>
      <c r="BK90" s="382">
        <f t="shared" si="755"/>
        <v>0.27261029106820844</v>
      </c>
      <c r="BL90" s="381"/>
      <c r="BM90" s="382">
        <f t="shared" ref="BM90" si="756">BM89/BM67</f>
        <v>0.27619342090013527</v>
      </c>
      <c r="BN90" s="381"/>
      <c r="BO90" s="1096">
        <f t="shared" ref="BO90" si="757">BO89/BO67</f>
        <v>7.4207278241126509E-2</v>
      </c>
      <c r="BP90" s="381"/>
      <c r="BQ90" s="611">
        <f t="shared" ref="BQ90" si="758">BQ89/BQ67</f>
        <v>0.2712488129154797</v>
      </c>
      <c r="BR90" s="381"/>
      <c r="BS90" s="382">
        <f t="shared" ref="BS90" si="759">BS89/BS67</f>
        <v>0.18134694523583431</v>
      </c>
      <c r="BT90" s="381"/>
      <c r="BU90" s="611">
        <f>BU89/BU67</f>
        <v>0.15905380514009609</v>
      </c>
      <c r="BV90" s="381"/>
      <c r="BW90" s="611">
        <f>BW89/BW67</f>
        <v>0.19488510045626209</v>
      </c>
      <c r="BX90" s="612"/>
      <c r="BY90" s="611">
        <f>BY89/BY67</f>
        <v>0.32352658582355515</v>
      </c>
      <c r="BZ90" s="612"/>
      <c r="CA90" s="611">
        <f>CA89/CA67</f>
        <v>0.16808866093377872</v>
      </c>
      <c r="CB90" s="132"/>
      <c r="CC90" s="133">
        <f t="shared" ref="CC90" si="760">CC89/CC67</f>
        <v>0.31651755025675443</v>
      </c>
      <c r="CD90" s="132"/>
      <c r="CE90" s="133">
        <f t="shared" ref="CE90" si="761">CE89/CE67</f>
        <v>0.27509978840888505</v>
      </c>
      <c r="CF90" s="132"/>
      <c r="CG90" s="133">
        <f>CG89/CG67</f>
        <v>0.19320091395459171</v>
      </c>
      <c r="CH90" s="381"/>
      <c r="CI90" s="611">
        <f>CI89/CI67</f>
        <v>0.19912683988051769</v>
      </c>
      <c r="CJ90" s="381"/>
      <c r="CK90" s="382">
        <f>CK89/CK67</f>
        <v>0.12300870666894727</v>
      </c>
      <c r="CL90" s="381"/>
      <c r="CM90" s="382">
        <f>CM89/CM67</f>
        <v>0.16382824961614981</v>
      </c>
      <c r="CN90" s="381"/>
      <c r="CO90" s="382">
        <f>CO89/CO67</f>
        <v>0.20609851744043056</v>
      </c>
      <c r="CR90" s="381"/>
      <c r="CS90" s="382">
        <f t="shared" ref="CS90" si="762">CS89/CS67</f>
        <v>0.1124959988538916</v>
      </c>
    </row>
    <row r="91" spans="1:97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381"/>
      <c r="I91" s="382"/>
      <c r="J91" s="381"/>
      <c r="K91" s="382"/>
      <c r="L91" s="132"/>
      <c r="M91" s="133"/>
      <c r="N91" s="381"/>
      <c r="O91" s="382"/>
      <c r="P91" s="381"/>
      <c r="Q91" s="382"/>
      <c r="R91" s="132"/>
      <c r="S91" s="133"/>
      <c r="T91" s="381"/>
      <c r="U91" s="382"/>
      <c r="V91" s="381"/>
      <c r="W91" s="382"/>
      <c r="X91" s="132"/>
      <c r="Y91" s="133"/>
      <c r="Z91" s="381"/>
      <c r="AA91" s="382"/>
      <c r="AB91" s="381"/>
      <c r="AC91" s="382"/>
      <c r="AD91" s="381"/>
      <c r="AE91" s="382"/>
      <c r="AF91" s="381"/>
      <c r="AG91" s="382"/>
      <c r="AH91" s="381"/>
      <c r="AI91" s="382"/>
      <c r="AJ91" s="381"/>
      <c r="AK91" s="382"/>
      <c r="AL91" s="381"/>
      <c r="AM91" s="382"/>
      <c r="AN91" s="381"/>
      <c r="AO91" s="382"/>
      <c r="AP91" s="381"/>
      <c r="AQ91" s="382"/>
      <c r="AR91" s="381"/>
      <c r="AS91" s="382"/>
      <c r="AT91" s="381"/>
      <c r="AU91" s="382"/>
      <c r="AV91" s="381"/>
      <c r="AW91" s="382"/>
      <c r="AX91" s="381"/>
      <c r="AY91" s="382"/>
      <c r="AZ91" s="381"/>
      <c r="BA91" s="382"/>
      <c r="BB91" s="381"/>
      <c r="BC91" s="382"/>
      <c r="BD91" s="381"/>
      <c r="BE91" s="382"/>
      <c r="BF91" s="381"/>
      <c r="BG91" s="382"/>
      <c r="BH91" s="381"/>
      <c r="BI91" s="382"/>
      <c r="BJ91" s="381"/>
      <c r="BK91" s="382"/>
      <c r="BL91" s="381"/>
      <c r="BM91" s="382"/>
      <c r="BN91" s="381"/>
      <c r="BO91" s="382"/>
      <c r="BP91" s="381"/>
      <c r="BQ91" s="383"/>
      <c r="BR91" s="381"/>
      <c r="BS91" s="382"/>
      <c r="BT91" s="381"/>
      <c r="BU91" s="383"/>
      <c r="BV91" s="381"/>
      <c r="BW91" s="383"/>
      <c r="BX91" s="614"/>
      <c r="BY91" s="613"/>
      <c r="BZ91" s="614"/>
      <c r="CA91" s="613"/>
      <c r="CB91" s="132"/>
      <c r="CC91" s="133"/>
      <c r="CD91" s="132"/>
      <c r="CE91" s="133"/>
      <c r="CF91" s="132"/>
      <c r="CG91" s="133"/>
      <c r="CH91" s="381"/>
      <c r="CI91" s="613"/>
      <c r="CJ91" s="381"/>
      <c r="CK91" s="382"/>
      <c r="CL91" s="381"/>
      <c r="CM91" s="382"/>
      <c r="CN91" s="381"/>
      <c r="CO91" s="382"/>
      <c r="CR91" s="381"/>
      <c r="CS91" s="382"/>
    </row>
    <row r="92" spans="1:97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257">
        <v>0</v>
      </c>
      <c r="AZ92" s="256"/>
      <c r="BA92" s="257">
        <v>0</v>
      </c>
      <c r="BB92" s="256"/>
      <c r="BC92" s="257">
        <v>0</v>
      </c>
      <c r="BD92" s="256"/>
      <c r="BE92" s="257">
        <v>0</v>
      </c>
      <c r="BF92" s="256"/>
      <c r="BG92" s="257">
        <v>0</v>
      </c>
      <c r="BH92" s="256"/>
      <c r="BI92" s="257">
        <v>0</v>
      </c>
      <c r="BJ92" s="256"/>
      <c r="BK92" s="257">
        <v>0</v>
      </c>
      <c r="BL92" s="256"/>
      <c r="BM92" s="257">
        <v>0</v>
      </c>
      <c r="BN92" s="256"/>
      <c r="BO92" s="257">
        <v>0.15</v>
      </c>
      <c r="BP92" s="256"/>
      <c r="BQ92" s="604">
        <v>0.8</v>
      </c>
      <c r="BR92" s="256"/>
      <c r="BS92" s="257">
        <v>0.5</v>
      </c>
      <c r="BT92" s="256"/>
      <c r="BU92" s="604">
        <v>0</v>
      </c>
      <c r="BV92" s="256"/>
      <c r="BW92" s="604">
        <v>0</v>
      </c>
      <c r="BX92" s="616"/>
      <c r="BY92" s="257">
        <v>1.2</v>
      </c>
      <c r="BZ92" s="616"/>
      <c r="CA92" s="257">
        <v>1.2</v>
      </c>
      <c r="CB92" s="256"/>
      <c r="CC92" s="257">
        <v>0.75</v>
      </c>
      <c r="CD92" s="256"/>
      <c r="CE92" s="257">
        <v>0.75</v>
      </c>
      <c r="CF92" s="256"/>
      <c r="CG92" s="257">
        <v>0.85</v>
      </c>
      <c r="CH92" s="256"/>
      <c r="CI92" s="604">
        <v>0.85</v>
      </c>
      <c r="CJ92" s="256"/>
      <c r="CK92" s="257"/>
      <c r="CL92" s="256"/>
      <c r="CM92" s="257"/>
      <c r="CN92" s="256"/>
      <c r="CO92" s="257">
        <v>0.85</v>
      </c>
      <c r="CR92" s="256"/>
      <c r="CS92" s="257"/>
    </row>
    <row r="93" spans="1:97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1.0743031583853069</v>
      </c>
      <c r="H93" s="146"/>
      <c r="I93" s="147">
        <f>I89-I92</f>
        <v>1.0743031583853069</v>
      </c>
      <c r="J93" s="146"/>
      <c r="K93" s="147">
        <f>K89-K92</f>
        <v>0.72779922593419322</v>
      </c>
      <c r="L93" s="146"/>
      <c r="M93" s="147">
        <f>M89-M92</f>
        <v>0.93629577398626185</v>
      </c>
      <c r="N93" s="146"/>
      <c r="O93" s="147">
        <f>O89-O92</f>
        <v>0.74319059826066791</v>
      </c>
      <c r="P93" s="146"/>
      <c r="Q93" s="147">
        <f>Q89-Q92</f>
        <v>0.74319059826066791</v>
      </c>
      <c r="R93" s="146"/>
      <c r="S93" s="147">
        <f>S89-S92</f>
        <v>0.81036626967210923</v>
      </c>
      <c r="T93" s="146"/>
      <c r="U93" s="147">
        <f>U89-U92</f>
        <v>0.81036626967210923</v>
      </c>
      <c r="V93" s="146"/>
      <c r="W93" s="147">
        <f>W89-W92</f>
        <v>0.7397785726488233</v>
      </c>
      <c r="X93" s="146"/>
      <c r="Y93" s="147">
        <f>Y89-Y92</f>
        <v>0.79586877867246164</v>
      </c>
      <c r="Z93" s="146"/>
      <c r="AA93" s="147">
        <f>AA89-AA92</f>
        <v>0.87933491180089907</v>
      </c>
      <c r="AB93" s="146"/>
      <c r="AC93" s="147">
        <f>AC89-AC92</f>
        <v>0.99324906449663486</v>
      </c>
      <c r="AD93" s="146"/>
      <c r="AE93" s="147">
        <f t="shared" ref="AE93" si="763">AE89-AE92</f>
        <v>1.4330993344359131</v>
      </c>
      <c r="AF93" s="146"/>
      <c r="AG93" s="147">
        <f t="shared" ref="AG93" si="764">AG89-AG92</f>
        <v>1.4944672416744069</v>
      </c>
      <c r="AH93" s="146"/>
      <c r="AI93" s="147">
        <f t="shared" ref="AI93" si="765">AI89-AI92</f>
        <v>0.88972171807158562</v>
      </c>
      <c r="AJ93" s="146"/>
      <c r="AK93" s="147">
        <f t="shared" ref="AK93" si="766">AK89-AK92</f>
        <v>0.72368766127082262</v>
      </c>
      <c r="AL93" s="146"/>
      <c r="AM93" s="147">
        <f t="shared" ref="AM93" si="767">AM89-AM92</f>
        <v>0.72368766127082262</v>
      </c>
      <c r="AN93" s="146"/>
      <c r="AO93" s="147">
        <f t="shared" ref="AO93" si="768">AO89-AO92</f>
        <v>0.67785733785435753</v>
      </c>
      <c r="AP93" s="146"/>
      <c r="AQ93" s="147">
        <f t="shared" ref="AQ93" si="769">AQ89-AQ92</f>
        <v>0.67785733785435753</v>
      </c>
      <c r="AR93" s="146"/>
      <c r="AS93" s="147">
        <f t="shared" ref="AS93:AY93" si="770">AS89-AS92</f>
        <v>0.67785733785435753</v>
      </c>
      <c r="AT93" s="146"/>
      <c r="AU93" s="147">
        <f t="shared" si="770"/>
        <v>1.1318846930945345</v>
      </c>
      <c r="AV93" s="146"/>
      <c r="AW93" s="147">
        <f t="shared" si="770"/>
        <v>1.2441909554737411</v>
      </c>
      <c r="AX93" s="146"/>
      <c r="AY93" s="147">
        <f t="shared" si="770"/>
        <v>1.2939947300699641</v>
      </c>
      <c r="AZ93" s="146"/>
      <c r="BA93" s="147">
        <f t="shared" ref="BA93:BC93" si="771">BA89-BA92</f>
        <v>1.3870091194500525</v>
      </c>
      <c r="BB93" s="146"/>
      <c r="BC93" s="147">
        <f t="shared" si="771"/>
        <v>1.2182074856918299</v>
      </c>
      <c r="BD93" s="146"/>
      <c r="BE93" s="147">
        <f t="shared" ref="BE93:BG93" si="772">BE89-BE92</f>
        <v>1.3685117769445294</v>
      </c>
      <c r="BF93" s="146"/>
      <c r="BG93" s="147">
        <f t="shared" si="772"/>
        <v>0.94608417018008284</v>
      </c>
      <c r="BH93" s="146"/>
      <c r="BI93" s="147">
        <f t="shared" ref="BI93:BK93" si="773">BI89-BI92</f>
        <v>1.2148140564417447</v>
      </c>
      <c r="BJ93" s="146"/>
      <c r="BK93" s="147">
        <f t="shared" si="773"/>
        <v>1.2812683680205796</v>
      </c>
      <c r="BL93" s="146"/>
      <c r="BM93" s="147">
        <f t="shared" ref="BM93" si="774">BM89-BM92</f>
        <v>1.2981090782306359</v>
      </c>
      <c r="BN93" s="146"/>
      <c r="BO93" s="147">
        <f t="shared" ref="BO93" si="775">BO89-BO92</f>
        <v>0.28337050492817883</v>
      </c>
      <c r="BP93" s="146"/>
      <c r="BQ93" s="601">
        <f t="shared" ref="BQ93" si="776">BQ89-BQ92</f>
        <v>0.78680555555555642</v>
      </c>
      <c r="BR93" s="146"/>
      <c r="BS93" s="147">
        <f t="shared" ref="BS93" si="777">BS89-BS92</f>
        <v>0.56087962962963078</v>
      </c>
      <c r="BT93" s="146"/>
      <c r="BU93" s="601">
        <f>BU89-BU92</f>
        <v>0.92887422201816117</v>
      </c>
      <c r="BV93" s="146"/>
      <c r="BW93" s="601">
        <f>BW89-BW92</f>
        <v>1.1381289866645705</v>
      </c>
      <c r="BX93" s="602"/>
      <c r="BY93" s="601">
        <f>BY89-BY92</f>
        <v>0.69263052706779749</v>
      </c>
      <c r="BZ93" s="602"/>
      <c r="CA93" s="601">
        <f>CA89-CA92</f>
        <v>-0.21668133353739449</v>
      </c>
      <c r="CB93" s="146"/>
      <c r="CC93" s="147">
        <f t="shared" ref="CC93" si="778">CC89-CC92</f>
        <v>1.2124088115918774</v>
      </c>
      <c r="CD93" s="146"/>
      <c r="CE93" s="147">
        <f t="shared" ref="CE93" si="779">CE89-CE92</f>
        <v>0.95561868813508721</v>
      </c>
      <c r="CF93" s="146"/>
      <c r="CG93" s="147">
        <f>CG89-CG92</f>
        <v>-2.8896115692985225E-2</v>
      </c>
      <c r="CH93" s="146"/>
      <c r="CI93" s="601">
        <f>CI89-CI92</f>
        <v>-3.7109305077998034E-3</v>
      </c>
      <c r="CJ93" s="146"/>
      <c r="CK93" s="147">
        <f>CK89-CK92</f>
        <v>0.57814092134405215</v>
      </c>
      <c r="CL93" s="146"/>
      <c r="CM93" s="147">
        <f>CM89-CM92</f>
        <v>0.76999277319590409</v>
      </c>
      <c r="CN93" s="146"/>
      <c r="CO93" s="147">
        <f>CO89-CO92</f>
        <v>2.5918699121829869E-2</v>
      </c>
      <c r="CR93" s="146"/>
      <c r="CS93" s="147">
        <f t="shared" ref="CS93" si="780">CS89-CS92</f>
        <v>0.70309999283682245</v>
      </c>
    </row>
    <row r="94" spans="1:97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0.23979981213957741</v>
      </c>
      <c r="H94" s="381"/>
      <c r="I94" s="382">
        <f>I93/I67</f>
        <v>0.23979981213957741</v>
      </c>
      <c r="J94" s="381"/>
      <c r="K94" s="382">
        <f>K93/K67</f>
        <v>0.16245518436031098</v>
      </c>
      <c r="L94" s="132"/>
      <c r="M94" s="133">
        <f>M93/M67</f>
        <v>0.2089945924076477</v>
      </c>
      <c r="N94" s="381"/>
      <c r="O94" s="382">
        <f>O93/O67</f>
        <v>0.16589075854032764</v>
      </c>
      <c r="P94" s="381"/>
      <c r="Q94" s="382">
        <f>Q93/Q67</f>
        <v>0.16589075854032764</v>
      </c>
      <c r="R94" s="132"/>
      <c r="S94" s="133">
        <f>S93/S67</f>
        <v>0.18088532805181007</v>
      </c>
      <c r="T94" s="381"/>
      <c r="U94" s="382">
        <f>U93/U67</f>
        <v>0.18088532805181007</v>
      </c>
      <c r="V94" s="381"/>
      <c r="W94" s="382">
        <f>W93/W67</f>
        <v>0.16512914568054091</v>
      </c>
      <c r="X94" s="132"/>
      <c r="Y94" s="133">
        <f>Y93/Y67</f>
        <v>0.17764928095367447</v>
      </c>
      <c r="Z94" s="381"/>
      <c r="AA94" s="382">
        <f>AA93/AA67</f>
        <v>0.19628011424127209</v>
      </c>
      <c r="AB94" s="381"/>
      <c r="AC94" s="382">
        <f>AC93/AC67</f>
        <v>0.22170738046799884</v>
      </c>
      <c r="AD94" s="381"/>
      <c r="AE94" s="382">
        <f t="shared" ref="AE94" si="781">AE93/AE67</f>
        <v>0.31154333357302461</v>
      </c>
      <c r="AF94" s="381"/>
      <c r="AG94" s="382">
        <f t="shared" ref="AG94" si="782">AG93/AG67</f>
        <v>0.32488418297269717</v>
      </c>
      <c r="AH94" s="381"/>
      <c r="AI94" s="382">
        <f t="shared" ref="AI94" si="783">AI93/AI67</f>
        <v>0.1934177647981708</v>
      </c>
      <c r="AJ94" s="381"/>
      <c r="AK94" s="382">
        <f t="shared" ref="AK94" si="784">AK93/AK67</f>
        <v>0.15732340462409189</v>
      </c>
      <c r="AL94" s="381"/>
      <c r="AM94" s="382">
        <f t="shared" ref="AM94" si="785">AM93/AM67</f>
        <v>0.15732340462409189</v>
      </c>
      <c r="AN94" s="381"/>
      <c r="AO94" s="382">
        <f t="shared" ref="AO94" si="786">AO93/AO67</f>
        <v>0.14736029083790383</v>
      </c>
      <c r="AP94" s="381"/>
      <c r="AQ94" s="382">
        <f t="shared" ref="AQ94" si="787">AQ93/AQ67</f>
        <v>0.14736029083790383</v>
      </c>
      <c r="AR94" s="381"/>
      <c r="AS94" s="382">
        <f t="shared" ref="AS94:AY94" si="788">AS93/AS67</f>
        <v>0.14736029083790383</v>
      </c>
      <c r="AT94" s="381"/>
      <c r="AU94" s="382">
        <f t="shared" si="788"/>
        <v>0.24606188980315971</v>
      </c>
      <c r="AV94" s="381"/>
      <c r="AW94" s="382">
        <f t="shared" si="788"/>
        <v>0.27047629466820461</v>
      </c>
      <c r="AX94" s="381"/>
      <c r="AY94" s="382">
        <f t="shared" si="788"/>
        <v>0.27531802767446045</v>
      </c>
      <c r="AZ94" s="381"/>
      <c r="BA94" s="382">
        <f t="shared" ref="BA94:BC94" si="789">BA93/BA67</f>
        <v>0.29510832328724518</v>
      </c>
      <c r="BB94" s="381"/>
      <c r="BC94" s="382">
        <f t="shared" si="789"/>
        <v>0.25919308206209146</v>
      </c>
      <c r="BD94" s="381"/>
      <c r="BE94" s="382">
        <f t="shared" ref="BE94:BG94" si="790">BE93/BE67</f>
        <v>0.29117271849883603</v>
      </c>
      <c r="BF94" s="381"/>
      <c r="BG94" s="382">
        <f t="shared" si="790"/>
        <v>0.20129450429363463</v>
      </c>
      <c r="BH94" s="381"/>
      <c r="BI94" s="382">
        <f t="shared" ref="BI94:BK94" si="791">BI93/BI67</f>
        <v>0.25847107583866907</v>
      </c>
      <c r="BJ94" s="381"/>
      <c r="BK94" s="382">
        <f t="shared" si="791"/>
        <v>0.27261029106820844</v>
      </c>
      <c r="BL94" s="381"/>
      <c r="BM94" s="382">
        <f t="shared" ref="BM94" si="792">BM93/BM67</f>
        <v>0.27619342090013527</v>
      </c>
      <c r="BN94" s="381"/>
      <c r="BO94" s="1096">
        <f t="shared" ref="BO94" si="793">BO93/BO67</f>
        <v>4.8522346734277196E-2</v>
      </c>
      <c r="BP94" s="381"/>
      <c r="BQ94" s="611">
        <f t="shared" ref="BQ94" si="794">BQ93/BQ67</f>
        <v>0.13449667616334296</v>
      </c>
      <c r="BR94" s="381"/>
      <c r="BS94" s="382">
        <f t="shared" ref="BS94" si="795">BS93/BS67</f>
        <v>9.5876859765748848E-2</v>
      </c>
      <c r="BT94" s="381"/>
      <c r="BU94" s="611">
        <f>BU93/BU67</f>
        <v>0.15905380514009609</v>
      </c>
      <c r="BV94" s="381"/>
      <c r="BW94" s="611">
        <f>BW93/BW67</f>
        <v>0.19488510045626209</v>
      </c>
      <c r="BX94" s="612"/>
      <c r="BY94" s="611">
        <f>BY93/BY67</f>
        <v>0.11839838069535001</v>
      </c>
      <c r="BZ94" s="612"/>
      <c r="CA94" s="611">
        <f>CA93/CA67</f>
        <v>-3.7039544194426413E-2</v>
      </c>
      <c r="CB94" s="132"/>
      <c r="CC94" s="133">
        <f t="shared" ref="CC94" si="796">CC93/CC67</f>
        <v>0.19554980832127056</v>
      </c>
      <c r="CD94" s="132"/>
      <c r="CE94" s="133">
        <f t="shared" ref="CE94" si="797">CE93/CE67</f>
        <v>0.15413204647340115</v>
      </c>
      <c r="CF94" s="132"/>
      <c r="CG94" s="133">
        <f>CG93/CG67</f>
        <v>-6.7990860454082884E-3</v>
      </c>
      <c r="CH94" s="381"/>
      <c r="CI94" s="611">
        <f>CI93/CI67</f>
        <v>-8.7316011948230664E-4</v>
      </c>
      <c r="CJ94" s="381"/>
      <c r="CK94" s="382">
        <f>CK93/CK67</f>
        <v>0.12300870666894727</v>
      </c>
      <c r="CL94" s="381"/>
      <c r="CM94" s="382">
        <f>CM93/CM67</f>
        <v>0.16382824961614981</v>
      </c>
      <c r="CN94" s="381"/>
      <c r="CO94" s="382">
        <f>CO93/CO67</f>
        <v>6.0985174404305578E-3</v>
      </c>
      <c r="CR94" s="381"/>
      <c r="CS94" s="382">
        <f t="shared" ref="CS94" si="798">CS93/CS67</f>
        <v>0.1124959988538916</v>
      </c>
    </row>
    <row r="95" spans="1:97" s="65" customFormat="1" ht="6.75" customHeight="1" outlineLevel="1" x14ac:dyDescent="0.45">
      <c r="A95" s="561"/>
      <c r="B95" s="266"/>
      <c r="C95" s="131"/>
      <c r="D95" s="131"/>
      <c r="E95" s="131"/>
      <c r="F95" s="132"/>
      <c r="G95" s="133"/>
      <c r="H95" s="381"/>
      <c r="I95" s="382"/>
      <c r="J95" s="381"/>
      <c r="K95" s="382"/>
      <c r="L95" s="132"/>
      <c r="M95" s="133"/>
      <c r="N95" s="381"/>
      <c r="O95" s="382"/>
      <c r="P95" s="381"/>
      <c r="Q95" s="382"/>
      <c r="R95" s="132"/>
      <c r="S95" s="133"/>
      <c r="T95" s="381"/>
      <c r="U95" s="382"/>
      <c r="V95" s="381"/>
      <c r="W95" s="382"/>
      <c r="X95" s="132"/>
      <c r="Y95" s="133"/>
      <c r="Z95" s="381"/>
      <c r="AA95" s="382"/>
      <c r="AB95" s="381"/>
      <c r="AC95" s="382"/>
      <c r="AD95" s="381"/>
      <c r="AE95" s="382"/>
      <c r="AF95" s="381"/>
      <c r="AG95" s="382"/>
      <c r="AH95" s="381"/>
      <c r="AI95" s="382"/>
      <c r="AJ95" s="381"/>
      <c r="AK95" s="382"/>
      <c r="AL95" s="381"/>
      <c r="AM95" s="382"/>
      <c r="AN95" s="381"/>
      <c r="AO95" s="382"/>
      <c r="AP95" s="381"/>
      <c r="AQ95" s="382"/>
      <c r="AR95" s="381"/>
      <c r="AS95" s="382"/>
      <c r="AT95" s="381"/>
      <c r="AU95" s="382"/>
      <c r="AV95" s="381"/>
      <c r="AW95" s="382"/>
      <c r="AX95" s="381"/>
      <c r="AY95" s="382"/>
      <c r="AZ95" s="381"/>
      <c r="BA95" s="382"/>
      <c r="BB95" s="381"/>
      <c r="BC95" s="382"/>
      <c r="BD95" s="381"/>
      <c r="BE95" s="382"/>
      <c r="BF95" s="381"/>
      <c r="BG95" s="382"/>
      <c r="BH95" s="381"/>
      <c r="BI95" s="382"/>
      <c r="BJ95" s="381"/>
      <c r="BK95" s="382"/>
      <c r="BL95" s="381"/>
      <c r="BM95" s="382"/>
      <c r="BN95" s="381"/>
      <c r="BO95" s="382"/>
      <c r="BP95" s="381"/>
      <c r="BQ95" s="383"/>
      <c r="BR95" s="381"/>
      <c r="BS95" s="382"/>
      <c r="BT95" s="381"/>
      <c r="BU95" s="383"/>
      <c r="BV95" s="381"/>
      <c r="BW95" s="383"/>
      <c r="BX95" s="614"/>
      <c r="BY95" s="613"/>
      <c r="BZ95" s="614"/>
      <c r="CA95" s="613"/>
      <c r="CB95" s="132"/>
      <c r="CC95" s="133"/>
      <c r="CD95" s="132"/>
      <c r="CE95" s="133"/>
      <c r="CF95" s="132"/>
      <c r="CG95" s="133"/>
      <c r="CH95" s="381"/>
      <c r="CI95" s="613"/>
      <c r="CJ95" s="381"/>
      <c r="CK95" s="382"/>
      <c r="CL95" s="381"/>
      <c r="CM95" s="382"/>
      <c r="CN95" s="381"/>
      <c r="CO95" s="382"/>
      <c r="CR95" s="381"/>
      <c r="CS95" s="382"/>
    </row>
    <row r="96" spans="1:97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2.0176661733347992E-2</v>
      </c>
      <c r="H96" s="381"/>
      <c r="I96" s="383">
        <f>(I136-I135)/I66</f>
        <v>2.0176661733347992E-2</v>
      </c>
      <c r="J96" s="381"/>
      <c r="K96" s="383">
        <f>(K136-K135)/K66</f>
        <v>7.8089867189252158E-3</v>
      </c>
      <c r="L96" s="132"/>
      <c r="M96" s="383">
        <f>(M136-M135)/M66</f>
        <v>3.1246262105709199E-2</v>
      </c>
      <c r="N96" s="381"/>
      <c r="O96" s="383">
        <f>(O136-O135)/O66</f>
        <v>5.0083498172899789E-2</v>
      </c>
      <c r="P96" s="381"/>
      <c r="Q96" s="383">
        <f>(Q136-Q135)/Q66</f>
        <v>5.0083498172899789E-2</v>
      </c>
      <c r="R96" s="132"/>
      <c r="S96" s="383">
        <f>(S136-S135)/S66</f>
        <v>5.7908853146301842E-2</v>
      </c>
      <c r="T96" s="381"/>
      <c r="U96" s="383">
        <f>(U136-U135)/U66</f>
        <v>5.7908853146301842E-2</v>
      </c>
      <c r="V96" s="381"/>
      <c r="W96" s="383">
        <f>(W136-W135)/W66</f>
        <v>-7.7519731472926352E-3</v>
      </c>
      <c r="X96" s="132"/>
      <c r="Y96" s="383">
        <f>(Y136-Y135)/Y66</f>
        <v>-7.7519731472926352E-3</v>
      </c>
      <c r="Z96" s="381"/>
      <c r="AA96" s="383">
        <f>(AA136-AA135)/AA66</f>
        <v>-0.14651116693212834</v>
      </c>
      <c r="AB96" s="381"/>
      <c r="AC96" s="383">
        <f>(AC136-AC135)/AC66</f>
        <v>-0.13476190155409004</v>
      </c>
      <c r="AD96" s="381"/>
      <c r="AE96" s="383">
        <f t="shared" ref="AE96" si="799">(AE136-AE135)/AE66</f>
        <v>-0.1674925514436201</v>
      </c>
      <c r="AF96" s="381"/>
      <c r="AG96" s="383">
        <f t="shared" ref="AG96" si="800">(AG136-AG135)/AG66</f>
        <v>-0.16937922821286402</v>
      </c>
      <c r="AH96" s="381"/>
      <c r="AI96" s="383">
        <f t="shared" ref="AI96" si="801">(AI136-AI135)/AI66</f>
        <v>-0.16937922821286402</v>
      </c>
      <c r="AJ96" s="381"/>
      <c r="AK96" s="383">
        <f t="shared" ref="AK96" si="802">(AK136-AK135)/AK66</f>
        <v>-0.16937922821286402</v>
      </c>
      <c r="AL96" s="381"/>
      <c r="AM96" s="383">
        <f t="shared" ref="AM96" si="803">(AM136-AM135)/AM66</f>
        <v>-0.16937922821286402</v>
      </c>
      <c r="AN96" s="381"/>
      <c r="AO96" s="383">
        <f t="shared" ref="AO96" si="804">(AO136-AO135)/AO66</f>
        <v>-0.16937922821286402</v>
      </c>
      <c r="AP96" s="381"/>
      <c r="AQ96" s="383">
        <f t="shared" ref="AQ96" si="805">(AQ136-AQ135)/AQ66</f>
        <v>-0.16937922821286402</v>
      </c>
      <c r="AR96" s="381"/>
      <c r="AS96" s="383">
        <f t="shared" ref="AS96:AY96" si="806">(AS136-AS135)/AS66</f>
        <v>-0.16937922821286402</v>
      </c>
      <c r="AT96" s="381"/>
      <c r="AU96" s="383">
        <f t="shared" si="806"/>
        <v>-0.16937922821286402</v>
      </c>
      <c r="AV96" s="381"/>
      <c r="AW96" s="383">
        <f t="shared" si="806"/>
        <v>-0.23076923076923078</v>
      </c>
      <c r="AX96" s="381"/>
      <c r="AY96" s="383">
        <f t="shared" si="806"/>
        <v>-0.14185855263157895</v>
      </c>
      <c r="AZ96" s="381"/>
      <c r="BA96" s="383">
        <f t="shared" ref="BA96" si="807">(BA136-BA135)/BA66</f>
        <v>-0.14288651315789475</v>
      </c>
      <c r="BB96" s="381"/>
      <c r="BC96" s="383">
        <f>(BC136-BC135)/BC66</f>
        <v>-0.14021381578947367</v>
      </c>
      <c r="BD96" s="381"/>
      <c r="BE96" s="383">
        <f>(BE136-BE135)/BE66</f>
        <v>-0.14185855263157895</v>
      </c>
      <c r="BF96" s="381"/>
      <c r="BG96" s="383">
        <f>(BG136-BG135)/BG66</f>
        <v>-0.13575246710526315</v>
      </c>
      <c r="BH96" s="381"/>
      <c r="BI96" s="383">
        <f>(BI136-BI135)/BI66</f>
        <v>-0.11060855263157894</v>
      </c>
      <c r="BJ96" s="381"/>
      <c r="BK96" s="383">
        <f>(BK136-BK135)/BK66</f>
        <v>-0.14412006578947367</v>
      </c>
      <c r="BL96" s="381"/>
      <c r="BM96" s="383">
        <f>(BM136-BM135)/BM66</f>
        <v>-0.11307565789473684</v>
      </c>
      <c r="BN96" s="381"/>
      <c r="BO96" s="383">
        <f t="shared" ref="BO96" si="808">(BO136-BO135)/BO66</f>
        <v>-0.17711171662125341</v>
      </c>
      <c r="BP96" s="381"/>
      <c r="BQ96" s="383">
        <f t="shared" ref="BQ96" si="809">(BQ136-BQ135)/BQ66-BQ58</f>
        <v>-0.16250000000000001</v>
      </c>
      <c r="BR96" s="381"/>
      <c r="BS96" s="383">
        <f t="shared" ref="BS96" si="810">(BS136-BS135)/BS66</f>
        <v>-0.16250000000000001</v>
      </c>
      <c r="BT96" s="381"/>
      <c r="BU96" s="383">
        <f>(BU136-BU135)/BU66-BU58</f>
        <v>-0.16787190082644629</v>
      </c>
      <c r="BV96" s="381"/>
      <c r="BW96" s="383">
        <f>(BW136-BW135)/BW66-BW58</f>
        <v>-0.11743163196538148</v>
      </c>
      <c r="BX96" s="598"/>
      <c r="BY96" s="383">
        <f>(BY136-BY135)/BY66</f>
        <v>-0.26303204208512676</v>
      </c>
      <c r="BZ96" s="598"/>
      <c r="CA96" s="383">
        <f>(CA136-CA135)/CA66</f>
        <v>-0.28409090909090912</v>
      </c>
      <c r="CB96" s="132"/>
      <c r="CC96" s="383">
        <f>(CC136-CC135)/CC66</f>
        <v>-0.11734970211229463</v>
      </c>
      <c r="CD96" s="132"/>
      <c r="CE96" s="383">
        <f>(CE136-CE135)/CE66</f>
        <v>-0.11734970211229463</v>
      </c>
      <c r="CF96" s="132"/>
      <c r="CG96" s="383">
        <f>(CG136-CG135)/CG66</f>
        <v>-0.14066219433023155</v>
      </c>
      <c r="CH96" s="381"/>
      <c r="CI96" s="383">
        <f>(CI136-CI135)/CI66</f>
        <v>-0.14066219433023155</v>
      </c>
      <c r="CJ96" s="381"/>
      <c r="CK96" s="383">
        <f>(CK136-CK135)/CK66</f>
        <v>-0.14066219433023155</v>
      </c>
      <c r="CL96" s="381"/>
      <c r="CM96" s="383">
        <f>(CM136-CM135)/CM66</f>
        <v>-0.14066219433023155</v>
      </c>
      <c r="CN96" s="381"/>
      <c r="CO96" s="383">
        <f>(CO136-CO135)/CO66</f>
        <v>-0.14066219433023155</v>
      </c>
      <c r="CR96" s="381"/>
      <c r="CS96" s="383">
        <f t="shared" ref="CS96" si="811">(CS136-CS135)/CS66</f>
        <v>-0.22916666666666666</v>
      </c>
    </row>
    <row r="97" spans="1:97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381"/>
      <c r="I97" s="382"/>
      <c r="J97" s="381"/>
      <c r="K97" s="382"/>
      <c r="L97" s="132"/>
      <c r="M97" s="133"/>
      <c r="N97" s="381"/>
      <c r="O97" s="382"/>
      <c r="P97" s="381"/>
      <c r="Q97" s="382"/>
      <c r="R97" s="132"/>
      <c r="S97" s="133"/>
      <c r="T97" s="381"/>
      <c r="U97" s="382"/>
      <c r="V97" s="381"/>
      <c r="W97" s="382"/>
      <c r="X97" s="132"/>
      <c r="Y97" s="133"/>
      <c r="Z97" s="381"/>
      <c r="AA97" s="382"/>
      <c r="AB97" s="381"/>
      <c r="AC97" s="382"/>
      <c r="AD97" s="381"/>
      <c r="AE97" s="382"/>
      <c r="AF97" s="381"/>
      <c r="AG97" s="382"/>
      <c r="AH97" s="381"/>
      <c r="AI97" s="382"/>
      <c r="AJ97" s="381"/>
      <c r="AK97" s="382"/>
      <c r="AL97" s="381"/>
      <c r="AM97" s="382"/>
      <c r="AN97" s="381"/>
      <c r="AO97" s="382"/>
      <c r="AP97" s="381"/>
      <c r="AQ97" s="382"/>
      <c r="AR97" s="381"/>
      <c r="AS97" s="382"/>
      <c r="AT97" s="381"/>
      <c r="AU97" s="382"/>
      <c r="AV97" s="381"/>
      <c r="AW97" s="382"/>
      <c r="AX97" s="381"/>
      <c r="AY97" s="382"/>
      <c r="AZ97" s="381"/>
      <c r="BA97" s="382"/>
      <c r="BB97" s="381"/>
      <c r="BC97" s="382"/>
      <c r="BD97" s="381"/>
      <c r="BE97" s="382"/>
      <c r="BF97" s="381"/>
      <c r="BG97" s="382"/>
      <c r="BH97" s="381"/>
      <c r="BI97" s="382"/>
      <c r="BJ97" s="381"/>
      <c r="BK97" s="382"/>
      <c r="BL97" s="381"/>
      <c r="BM97" s="382"/>
      <c r="BN97" s="381"/>
      <c r="BO97" s="382"/>
      <c r="BP97" s="381"/>
      <c r="BQ97" s="383"/>
      <c r="BR97" s="381"/>
      <c r="BS97" s="382"/>
      <c r="BT97" s="381"/>
      <c r="BU97" s="383"/>
      <c r="BV97" s="381"/>
      <c r="BW97" s="383"/>
      <c r="BX97" s="598"/>
      <c r="BY97" s="383"/>
      <c r="BZ97" s="598"/>
      <c r="CA97" s="383"/>
      <c r="CB97" s="132"/>
      <c r="CC97" s="133"/>
      <c r="CD97" s="132"/>
      <c r="CE97" s="133"/>
      <c r="CF97" s="132"/>
      <c r="CG97" s="133"/>
      <c r="CH97" s="381"/>
      <c r="CI97" s="383"/>
      <c r="CJ97" s="381"/>
      <c r="CK97" s="382"/>
      <c r="CL97" s="381"/>
      <c r="CM97" s="382"/>
      <c r="CN97" s="381"/>
      <c r="CO97" s="382"/>
      <c r="CR97" s="381"/>
      <c r="CS97" s="382"/>
    </row>
    <row r="98" spans="1:97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1.0541264966519588</v>
      </c>
      <c r="H98" s="591"/>
      <c r="I98" s="590">
        <f>I93-I96</f>
        <v>1.0541264966519588</v>
      </c>
      <c r="J98" s="591"/>
      <c r="K98" s="590">
        <f>K93-K96</f>
        <v>0.71999023921526795</v>
      </c>
      <c r="L98" s="591"/>
      <c r="M98" s="590">
        <f>M93-M96</f>
        <v>0.9050495118805526</v>
      </c>
      <c r="N98" s="591"/>
      <c r="O98" s="590">
        <f>O93-O96</f>
        <v>0.6931071000877681</v>
      </c>
      <c r="P98" s="591"/>
      <c r="Q98" s="590">
        <f>Q93-Q96</f>
        <v>0.6931071000877681</v>
      </c>
      <c r="R98" s="591"/>
      <c r="S98" s="590">
        <f>S93-S96</f>
        <v>0.75245741652580733</v>
      </c>
      <c r="T98" s="591"/>
      <c r="U98" s="590">
        <f>U93-U96</f>
        <v>0.75245741652580733</v>
      </c>
      <c r="V98" s="591"/>
      <c r="W98" s="590">
        <f>W93-W96</f>
        <v>0.74753054579611589</v>
      </c>
      <c r="X98" s="591"/>
      <c r="Y98" s="590">
        <f>Y93-Y96</f>
        <v>0.80362075181975423</v>
      </c>
      <c r="Z98" s="591"/>
      <c r="AA98" s="590">
        <f>AA93-AA96</f>
        <v>1.0258460787330275</v>
      </c>
      <c r="AB98" s="591"/>
      <c r="AC98" s="590">
        <f>AC93-AC96</f>
        <v>1.1280109660507249</v>
      </c>
      <c r="AD98" s="591"/>
      <c r="AE98" s="590">
        <f t="shared" ref="AE98" si="812">AE93-AE96</f>
        <v>1.6005918858795332</v>
      </c>
      <c r="AF98" s="591"/>
      <c r="AG98" s="590">
        <f t="shared" ref="AG98" si="813">AG93-AG96</f>
        <v>1.663846469887271</v>
      </c>
      <c r="AH98" s="591"/>
      <c r="AI98" s="590">
        <f t="shared" ref="AI98" si="814">AI93-AI96</f>
        <v>1.0591009462844496</v>
      </c>
      <c r="AJ98" s="591"/>
      <c r="AK98" s="590">
        <f t="shared" ref="AK98" si="815">AK93-AK96</f>
        <v>0.89306688948368662</v>
      </c>
      <c r="AL98" s="591"/>
      <c r="AM98" s="590">
        <f t="shared" ref="AM98" si="816">AM93-AM96</f>
        <v>0.89306688948368662</v>
      </c>
      <c r="AN98" s="591"/>
      <c r="AO98" s="590">
        <f t="shared" ref="AO98" si="817">AO93-AO96</f>
        <v>0.84723656606722153</v>
      </c>
      <c r="AP98" s="591"/>
      <c r="AQ98" s="590">
        <f t="shared" ref="AQ98" si="818">AQ93-AQ96</f>
        <v>0.84723656606722153</v>
      </c>
      <c r="AR98" s="591"/>
      <c r="AS98" s="590">
        <f t="shared" ref="AS98:AY98" si="819">AS93-AS96</f>
        <v>0.84723656606722153</v>
      </c>
      <c r="AT98" s="591"/>
      <c r="AU98" s="590">
        <f t="shared" si="819"/>
        <v>1.3012639213073987</v>
      </c>
      <c r="AV98" s="591"/>
      <c r="AW98" s="590">
        <f t="shared" si="819"/>
        <v>1.474960186242972</v>
      </c>
      <c r="AX98" s="591"/>
      <c r="AY98" s="590">
        <f t="shared" si="819"/>
        <v>1.4358532827015431</v>
      </c>
      <c r="AZ98" s="591"/>
      <c r="BA98" s="590">
        <f t="shared" ref="BA98:BC98" si="820">BA93-BA96</f>
        <v>1.5298956326079471</v>
      </c>
      <c r="BB98" s="591"/>
      <c r="BC98" s="590">
        <f t="shared" si="820"/>
        <v>1.3584213014813036</v>
      </c>
      <c r="BD98" s="591"/>
      <c r="BE98" s="590">
        <f t="shared" ref="BE98:BG98" si="821">BE93-BE96</f>
        <v>1.5103703295761084</v>
      </c>
      <c r="BF98" s="591"/>
      <c r="BG98" s="590">
        <f t="shared" si="821"/>
        <v>1.0818366372853461</v>
      </c>
      <c r="BH98" s="591"/>
      <c r="BI98" s="590">
        <f t="shared" ref="BI98:BK98" si="822">BI93-BI96</f>
        <v>1.3254226090733237</v>
      </c>
      <c r="BJ98" s="591"/>
      <c r="BK98" s="590">
        <f t="shared" si="822"/>
        <v>1.4253884338100533</v>
      </c>
      <c r="BL98" s="591"/>
      <c r="BM98" s="590">
        <f t="shared" ref="BM98" si="823">BM93-BM96</f>
        <v>1.4111847361253727</v>
      </c>
      <c r="BN98" s="591"/>
      <c r="BO98" s="590">
        <f t="shared" ref="BO98" si="824">BO93-BO96</f>
        <v>0.46048222154943225</v>
      </c>
      <c r="BP98" s="155"/>
      <c r="BQ98" s="590">
        <f t="shared" ref="BQ98" si="825">BQ93-BQ96</f>
        <v>0.9493055555555564</v>
      </c>
      <c r="BR98" s="591"/>
      <c r="BS98" s="590">
        <f t="shared" ref="BS98" si="826">BS93-BS96</f>
        <v>0.72337962962963076</v>
      </c>
      <c r="BT98" s="155"/>
      <c r="BU98" s="590">
        <f>BU93-BU96</f>
        <v>1.0967461228446074</v>
      </c>
      <c r="BV98" s="155"/>
      <c r="BW98" s="590">
        <f>BW93-BW96</f>
        <v>1.2555606186299519</v>
      </c>
      <c r="BX98" s="618"/>
      <c r="BY98" s="590">
        <f>BY93-BY96</f>
        <v>0.95566256915292425</v>
      </c>
      <c r="BZ98" s="618"/>
      <c r="CA98" s="590">
        <f>CA93-CA96</f>
        <v>6.7409575553514622E-2</v>
      </c>
      <c r="CB98" s="591"/>
      <c r="CC98" s="590">
        <f t="shared" ref="CC98" si="827">CC93-CC96</f>
        <v>1.3297585137041721</v>
      </c>
      <c r="CD98" s="591"/>
      <c r="CE98" s="590">
        <f t="shared" ref="CE98" si="828">CE93-CE96</f>
        <v>1.0729683902473819</v>
      </c>
      <c r="CF98" s="591"/>
      <c r="CG98" s="590">
        <f>CG93-CG96</f>
        <v>0.11176607863724633</v>
      </c>
      <c r="CH98" s="155"/>
      <c r="CI98" s="590">
        <f>CI93-CI96</f>
        <v>0.13695126382243175</v>
      </c>
      <c r="CJ98" s="591"/>
      <c r="CK98" s="590">
        <f>CK93-CK96</f>
        <v>0.71880311567428368</v>
      </c>
      <c r="CL98" s="591"/>
      <c r="CM98" s="590">
        <f>CM93-CM96</f>
        <v>0.91065496752613562</v>
      </c>
      <c r="CN98" s="591"/>
      <c r="CO98" s="590">
        <f>CO93-CO96</f>
        <v>0.16658089345206142</v>
      </c>
      <c r="CR98" s="591"/>
      <c r="CS98" s="590">
        <f t="shared" ref="CS98" si="829">CS93-CS96</f>
        <v>0.93226665950348908</v>
      </c>
    </row>
    <row r="99" spans="1:97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0.23529609300266935</v>
      </c>
      <c r="H99" s="159"/>
      <c r="I99" s="1097">
        <f>I98/I67</f>
        <v>0.23529609300266935</v>
      </c>
      <c r="J99" s="159"/>
      <c r="K99" s="1097">
        <f>K98/K67</f>
        <v>0.16071210696769372</v>
      </c>
      <c r="L99" s="159"/>
      <c r="M99" s="1097">
        <f>M98/M67</f>
        <v>0.20201998033048046</v>
      </c>
      <c r="N99" s="159"/>
      <c r="O99" s="1097">
        <f>O98/O67</f>
        <v>0.15471140626959107</v>
      </c>
      <c r="P99" s="159"/>
      <c r="Q99" s="1097">
        <f>Q98/Q67</f>
        <v>0.15471140626959107</v>
      </c>
      <c r="R99" s="159"/>
      <c r="S99" s="1097">
        <f>S98/S67</f>
        <v>0.16795924476022484</v>
      </c>
      <c r="T99" s="159"/>
      <c r="U99" s="1097">
        <f>U98/U67</f>
        <v>0.16795924476022484</v>
      </c>
      <c r="V99" s="159"/>
      <c r="W99" s="1097">
        <f>W98/W67</f>
        <v>0.16685949682949014</v>
      </c>
      <c r="X99" s="159"/>
      <c r="Y99" s="1097">
        <f>Y98/Y67</f>
        <v>0.1793796321026237</v>
      </c>
      <c r="Z99" s="159"/>
      <c r="AA99" s="1097">
        <f>AA98/AA67</f>
        <v>0.22898349971719362</v>
      </c>
      <c r="AB99" s="159"/>
      <c r="AC99" s="1097">
        <f>AC98/AC67</f>
        <v>0.25178816206489391</v>
      </c>
      <c r="AD99" s="159"/>
      <c r="AE99" s="1097">
        <f t="shared" ref="AE99" si="830">AE98/AE67</f>
        <v>0.34795475779989854</v>
      </c>
      <c r="AF99" s="159"/>
      <c r="AG99" s="1097">
        <f t="shared" ref="AG99" si="831">AG98/AG67</f>
        <v>0.36170575432331981</v>
      </c>
      <c r="AH99" s="159"/>
      <c r="AI99" s="1097">
        <f t="shared" ref="AI99" si="832">AI98/AI67</f>
        <v>0.23023933614879341</v>
      </c>
      <c r="AJ99" s="159"/>
      <c r="AK99" s="1097">
        <f t="shared" ref="AK99" si="833">AK98/AK67</f>
        <v>0.1941449759747145</v>
      </c>
      <c r="AL99" s="159"/>
      <c r="AM99" s="1097">
        <f t="shared" ref="AM99" si="834">AM98/AM67</f>
        <v>0.1941449759747145</v>
      </c>
      <c r="AN99" s="159"/>
      <c r="AO99" s="1097">
        <f t="shared" ref="AO99" si="835">AO98/AO67</f>
        <v>0.18418186218852645</v>
      </c>
      <c r="AP99" s="159"/>
      <c r="AQ99" s="1097">
        <f t="shared" ref="AQ99" si="836">AQ98/AQ67</f>
        <v>0.18418186218852645</v>
      </c>
      <c r="AR99" s="159"/>
      <c r="AS99" s="1097">
        <f t="shared" ref="AS99:AY99" si="837">AS98/AS67</f>
        <v>0.18418186218852645</v>
      </c>
      <c r="AT99" s="159"/>
      <c r="AU99" s="1097">
        <f t="shared" si="837"/>
        <v>0.28288346115378232</v>
      </c>
      <c r="AV99" s="159"/>
      <c r="AW99" s="1097">
        <f t="shared" si="837"/>
        <v>0.32064351874847219</v>
      </c>
      <c r="AX99" s="159"/>
      <c r="AY99" s="1097">
        <f t="shared" si="837"/>
        <v>0.30550069844713684</v>
      </c>
      <c r="AZ99" s="159"/>
      <c r="BA99" s="1097">
        <f t="shared" ref="BA99:BC99" si="838">BA98/BA67</f>
        <v>0.32550970906552068</v>
      </c>
      <c r="BB99" s="159"/>
      <c r="BC99" s="1097">
        <f t="shared" si="838"/>
        <v>0.28902580882580925</v>
      </c>
      <c r="BD99" s="159"/>
      <c r="BE99" s="1097">
        <f t="shared" ref="BE99:BG99" si="839">BE98/BE67</f>
        <v>0.32135538927151241</v>
      </c>
      <c r="BF99" s="159"/>
      <c r="BG99" s="1097">
        <f t="shared" si="839"/>
        <v>0.23017800793305235</v>
      </c>
      <c r="BH99" s="159"/>
      <c r="BI99" s="1097">
        <f t="shared" ref="BI99:BK99" si="840">BI98/BI67</f>
        <v>0.28200481044113268</v>
      </c>
      <c r="BJ99" s="159"/>
      <c r="BK99" s="1097">
        <f t="shared" si="840"/>
        <v>0.30327413485320281</v>
      </c>
      <c r="BL99" s="159"/>
      <c r="BM99" s="1097">
        <f t="shared" ref="BM99" si="841">BM98/BM67</f>
        <v>0.30025207151603672</v>
      </c>
      <c r="BN99" s="159"/>
      <c r="BO99" s="1097">
        <f t="shared" ref="BO99" si="842">BO98/BO67</f>
        <v>7.8849695470793194E-2</v>
      </c>
      <c r="BP99" s="159"/>
      <c r="BQ99" s="609">
        <f>BQ98/BQ67</f>
        <v>0.16227445394112075</v>
      </c>
      <c r="BR99" s="159"/>
      <c r="BS99" s="1097">
        <f t="shared" ref="BS99" si="843">BS98/BS67</f>
        <v>0.12365463754352661</v>
      </c>
      <c r="BT99" s="159"/>
      <c r="BU99" s="609">
        <f>BU98/BU67</f>
        <v>0.18779899363777525</v>
      </c>
      <c r="BV99" s="159"/>
      <c r="BW99" s="609">
        <f>BW98/BW67</f>
        <v>0.2149932566147178</v>
      </c>
      <c r="BX99" s="610"/>
      <c r="BY99" s="609">
        <f>BY98/BY67</f>
        <v>0.16336112293212382</v>
      </c>
      <c r="BZ99" s="610"/>
      <c r="CA99" s="609">
        <f>CA98/CA67</f>
        <v>1.1523004368122158E-2</v>
      </c>
      <c r="CB99" s="159"/>
      <c r="CC99" s="1097">
        <f t="shared" ref="CC99" si="844">CC98/CC67</f>
        <v>0.21447717962970517</v>
      </c>
      <c r="CD99" s="159"/>
      <c r="CE99" s="1097">
        <f t="shared" ref="CE99" si="845">CE98/CE67</f>
        <v>0.17305941778183578</v>
      </c>
      <c r="CF99" s="159"/>
      <c r="CG99" s="1097">
        <f>CG98/CG67</f>
        <v>2.6297900855822665E-2</v>
      </c>
      <c r="CH99" s="159"/>
      <c r="CI99" s="609">
        <f>CI98/CI67</f>
        <v>3.2223826781748649E-2</v>
      </c>
      <c r="CJ99" s="159"/>
      <c r="CK99" s="1097">
        <f>CK98/CK67</f>
        <v>0.152936833122188</v>
      </c>
      <c r="CL99" s="159"/>
      <c r="CM99" s="1097">
        <f>CM98/CM67</f>
        <v>0.19375637606939056</v>
      </c>
      <c r="CN99" s="159"/>
      <c r="CO99" s="1097">
        <f>CO98/CO67</f>
        <v>3.9195504341661511E-2</v>
      </c>
      <c r="CR99" s="159"/>
      <c r="CS99" s="1097">
        <f t="shared" ref="CS99" si="846">CS98/CS67</f>
        <v>0.14916266552055826</v>
      </c>
    </row>
    <row r="100" spans="1:97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620</v>
      </c>
      <c r="BN100" s="251"/>
      <c r="BO100" s="167">
        <v>620</v>
      </c>
      <c r="BP100" s="251"/>
      <c r="BQ100" s="167">
        <f t="shared" ref="BQ100" si="847">BQ64</f>
        <v>750</v>
      </c>
      <c r="BR100" s="251"/>
      <c r="BS100" s="167">
        <v>620</v>
      </c>
      <c r="BT100" s="251"/>
      <c r="BU100" s="167">
        <f>BU64</f>
        <v>750</v>
      </c>
      <c r="BV100" s="251"/>
      <c r="BW100" s="167">
        <f>BW64</f>
        <v>750</v>
      </c>
      <c r="BX100" s="251"/>
      <c r="BY100" s="167">
        <f>BY64</f>
        <v>750</v>
      </c>
      <c r="BZ100" s="251"/>
      <c r="CA100" s="167">
        <f>CA64</f>
        <v>750</v>
      </c>
      <c r="CB100" s="251"/>
      <c r="CC100" s="167">
        <f>CC64</f>
        <v>750</v>
      </c>
      <c r="CD100" s="251"/>
      <c r="CE100" s="167">
        <f>CE64</f>
        <v>750</v>
      </c>
      <c r="CF100" s="251"/>
      <c r="CG100" s="167">
        <v>620</v>
      </c>
      <c r="CH100" s="251"/>
      <c r="CI100" s="167">
        <v>1200</v>
      </c>
      <c r="CJ100" s="251"/>
      <c r="CK100" s="167">
        <v>620</v>
      </c>
      <c r="CL100" s="251"/>
      <c r="CM100" s="167">
        <v>620</v>
      </c>
      <c r="CN100" s="251"/>
      <c r="CO100" s="167">
        <v>620</v>
      </c>
      <c r="CR100" s="251"/>
      <c r="CS100" s="167">
        <v>620</v>
      </c>
    </row>
    <row r="101" spans="1:97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>
        <v>1150</v>
      </c>
      <c r="BX101" s="164"/>
      <c r="BY101" s="168">
        <v>1150</v>
      </c>
      <c r="BZ101" s="164"/>
      <c r="CA101" s="168">
        <v>1150</v>
      </c>
      <c r="CB101" s="164"/>
      <c r="CC101" s="168">
        <v>1150</v>
      </c>
      <c r="CD101" s="164"/>
      <c r="CE101" s="168">
        <v>1150</v>
      </c>
      <c r="CF101" s="164"/>
      <c r="CG101" s="168">
        <v>1150</v>
      </c>
      <c r="CH101" s="164"/>
      <c r="CI101" s="168">
        <v>1150</v>
      </c>
      <c r="CJ101" s="164"/>
      <c r="CK101" s="168">
        <v>1150</v>
      </c>
      <c r="CL101" s="164"/>
      <c r="CM101" s="168">
        <v>1150</v>
      </c>
      <c r="CN101" s="164"/>
      <c r="CO101" s="168">
        <v>1150</v>
      </c>
      <c r="CR101" s="164"/>
      <c r="CS101" s="168">
        <v>1150</v>
      </c>
    </row>
    <row r="102" spans="1:97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>
        <v>750</v>
      </c>
      <c r="BX102" s="164"/>
      <c r="BY102" s="168">
        <v>750</v>
      </c>
      <c r="BZ102" s="164"/>
      <c r="CA102" s="168">
        <v>750</v>
      </c>
      <c r="CB102" s="164"/>
      <c r="CC102" s="168">
        <v>750</v>
      </c>
      <c r="CD102" s="164"/>
      <c r="CE102" s="168">
        <v>750</v>
      </c>
      <c r="CF102" s="164"/>
      <c r="CG102" s="168">
        <v>750</v>
      </c>
      <c r="CH102" s="164"/>
      <c r="CI102" s="168">
        <v>750</v>
      </c>
      <c r="CJ102" s="164"/>
      <c r="CK102" s="168">
        <v>750</v>
      </c>
      <c r="CL102" s="164"/>
      <c r="CM102" s="168">
        <v>750</v>
      </c>
      <c r="CN102" s="164"/>
      <c r="CO102" s="168">
        <v>750</v>
      </c>
      <c r="CR102" s="164"/>
      <c r="CS102" s="168">
        <v>750</v>
      </c>
    </row>
    <row r="103" spans="1:97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164"/>
      <c r="BY103" s="171"/>
      <c r="BZ103" s="164"/>
      <c r="CA103" s="171"/>
      <c r="CB103" s="164"/>
      <c r="CC103" s="171"/>
      <c r="CD103" s="164"/>
      <c r="CE103" s="171"/>
      <c r="CF103" s="164"/>
      <c r="CG103" s="171"/>
      <c r="CH103" s="164"/>
      <c r="CI103" s="171"/>
      <c r="CJ103" s="164"/>
      <c r="CK103" s="171"/>
      <c r="CL103" s="164"/>
      <c r="CM103" s="171"/>
      <c r="CN103" s="164"/>
      <c r="CO103" s="171"/>
      <c r="CR103" s="164"/>
      <c r="CS103" s="171"/>
    </row>
    <row r="104" spans="1:97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>K101-K100</f>
        <v>530</v>
      </c>
      <c r="L104" s="173"/>
      <c r="M104" s="165">
        <f>M101-M100</f>
        <v>530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530</v>
      </c>
      <c r="T104" s="173"/>
      <c r="U104" s="165">
        <f>U101-U100</f>
        <v>530</v>
      </c>
      <c r="V104" s="173"/>
      <c r="W104" s="165">
        <f>W101-W100</f>
        <v>530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530</v>
      </c>
      <c r="AD104" s="173"/>
      <c r="AE104" s="165">
        <f t="shared" ref="AE104" si="848">AE101-AE100</f>
        <v>530</v>
      </c>
      <c r="AF104" s="173"/>
      <c r="AG104" s="165">
        <f t="shared" ref="AG104" si="849">AG101-AG100</f>
        <v>530</v>
      </c>
      <c r="AH104" s="173"/>
      <c r="AI104" s="165">
        <f t="shared" ref="AI104" si="850">AI101-AI100</f>
        <v>530</v>
      </c>
      <c r="AJ104" s="173"/>
      <c r="AK104" s="165">
        <f t="shared" ref="AK104" si="851">AK101-AK100</f>
        <v>530</v>
      </c>
      <c r="AL104" s="173"/>
      <c r="AM104" s="165">
        <f t="shared" ref="AM104" si="852">AM101-AM100</f>
        <v>530</v>
      </c>
      <c r="AN104" s="173"/>
      <c r="AO104" s="165">
        <f t="shared" ref="AO104" si="853">AO101-AO100</f>
        <v>530</v>
      </c>
      <c r="AP104" s="173"/>
      <c r="AQ104" s="165">
        <f t="shared" ref="AQ104" si="854">AQ101-AQ100</f>
        <v>530</v>
      </c>
      <c r="AR104" s="173"/>
      <c r="AS104" s="165">
        <f t="shared" ref="AS104:AY104" si="855">AS101-AS100</f>
        <v>530</v>
      </c>
      <c r="AT104" s="173"/>
      <c r="AU104" s="165">
        <f t="shared" si="855"/>
        <v>530</v>
      </c>
      <c r="AV104" s="173"/>
      <c r="AW104" s="165">
        <f t="shared" si="855"/>
        <v>530</v>
      </c>
      <c r="AX104" s="173"/>
      <c r="AY104" s="165">
        <f t="shared" si="855"/>
        <v>530</v>
      </c>
      <c r="AZ104" s="173"/>
      <c r="BA104" s="165">
        <f t="shared" ref="BA104:BC104" si="856">BA101-BA100</f>
        <v>530</v>
      </c>
      <c r="BB104" s="173"/>
      <c r="BC104" s="165">
        <f t="shared" si="856"/>
        <v>530</v>
      </c>
      <c r="BD104" s="173"/>
      <c r="BE104" s="165">
        <f t="shared" ref="BE104:BG104" si="857">BE101-BE100</f>
        <v>530</v>
      </c>
      <c r="BF104" s="173"/>
      <c r="BG104" s="165">
        <f t="shared" si="857"/>
        <v>530</v>
      </c>
      <c r="BH104" s="173"/>
      <c r="BI104" s="165">
        <f t="shared" ref="BI104:BK104" si="858">BI101-BI100</f>
        <v>530</v>
      </c>
      <c r="BJ104" s="173"/>
      <c r="BK104" s="165">
        <f t="shared" si="858"/>
        <v>530</v>
      </c>
      <c r="BL104" s="173"/>
      <c r="BM104" s="165">
        <f t="shared" ref="BM104" si="859">BM101-BM100</f>
        <v>530</v>
      </c>
      <c r="BN104" s="173"/>
      <c r="BO104" s="165">
        <f t="shared" ref="BO104" si="860">BO101-BO100</f>
        <v>530</v>
      </c>
      <c r="BP104" s="173"/>
      <c r="BQ104" s="165">
        <f t="shared" ref="BQ104" si="861">BQ101-BQ100</f>
        <v>400</v>
      </c>
      <c r="BR104" s="173"/>
      <c r="BS104" s="165">
        <f t="shared" ref="BS104" si="862">BS101-BS100</f>
        <v>530</v>
      </c>
      <c r="BT104" s="173"/>
      <c r="BU104" s="165">
        <f>BU101-BU100</f>
        <v>400</v>
      </c>
      <c r="BV104" s="173"/>
      <c r="BW104" s="165">
        <f>BW101-BW100</f>
        <v>400</v>
      </c>
      <c r="BX104" s="173"/>
      <c r="BY104" s="165">
        <f>BY101-BY100</f>
        <v>400</v>
      </c>
      <c r="BZ104" s="173"/>
      <c r="CA104" s="165">
        <f>CA101-CA100</f>
        <v>400</v>
      </c>
      <c r="CB104" s="173"/>
      <c r="CC104" s="165">
        <f>CC101-CC100</f>
        <v>400</v>
      </c>
      <c r="CD104" s="173"/>
      <c r="CE104" s="165">
        <f>CE101-CE100</f>
        <v>400</v>
      </c>
      <c r="CF104" s="173"/>
      <c r="CG104" s="165">
        <f>CG101-CG100</f>
        <v>530</v>
      </c>
      <c r="CH104" s="173"/>
      <c r="CI104" s="165">
        <f>CI101-CI100</f>
        <v>-50</v>
      </c>
      <c r="CJ104" s="173"/>
      <c r="CK104" s="165">
        <f>CK101-CK100</f>
        <v>530</v>
      </c>
      <c r="CL104" s="173"/>
      <c r="CM104" s="165">
        <f>CM101-CM100</f>
        <v>530</v>
      </c>
      <c r="CN104" s="173"/>
      <c r="CO104" s="165">
        <f>CO101-CO100</f>
        <v>530</v>
      </c>
      <c r="CR104" s="173"/>
      <c r="CS104" s="165">
        <f t="shared" ref="CS104" si="863">CS101-CS100</f>
        <v>530</v>
      </c>
    </row>
    <row r="105" spans="1:97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0.10728744939271255</v>
      </c>
      <c r="H105" s="177"/>
      <c r="I105" s="178">
        <f>I104/I66</f>
        <v>0.10728744939271255</v>
      </c>
      <c r="J105" s="177"/>
      <c r="K105" s="178">
        <f>K104/K66</f>
        <v>0.10728744939271255</v>
      </c>
      <c r="L105" s="177"/>
      <c r="M105" s="178">
        <f>M104/M66</f>
        <v>0.10728744939271255</v>
      </c>
      <c r="N105" s="177"/>
      <c r="O105" s="178">
        <f>O104/O66</f>
        <v>0.10728744939271255</v>
      </c>
      <c r="P105" s="177"/>
      <c r="Q105" s="178">
        <f>Q104/Q66</f>
        <v>0.10728744939271255</v>
      </c>
      <c r="R105" s="177"/>
      <c r="S105" s="178">
        <f>S104/S66</f>
        <v>0.10728744939271255</v>
      </c>
      <c r="T105" s="177"/>
      <c r="U105" s="178">
        <f>U104/U66</f>
        <v>0.10728744939271255</v>
      </c>
      <c r="V105" s="177"/>
      <c r="W105" s="178">
        <f>W104/W66</f>
        <v>0.10728744939271255</v>
      </c>
      <c r="X105" s="177"/>
      <c r="Y105" s="178">
        <f>Y104/Y66</f>
        <v>0.10728744939271255</v>
      </c>
      <c r="Z105" s="177"/>
      <c r="AA105" s="178">
        <f>AA104/AA66</f>
        <v>0.10728744939271255</v>
      </c>
      <c r="AB105" s="177"/>
      <c r="AC105" s="178">
        <f>AC104/AC66</f>
        <v>0.10728744939271255</v>
      </c>
      <c r="AD105" s="177"/>
      <c r="AE105" s="178">
        <f t="shared" ref="AE105" si="864">AE104/AE66</f>
        <v>0.10728744939271255</v>
      </c>
      <c r="AF105" s="177"/>
      <c r="AG105" s="178">
        <f t="shared" ref="AG105" si="865">AG104/AG66</f>
        <v>0.10728744939271255</v>
      </c>
      <c r="AH105" s="177"/>
      <c r="AI105" s="178">
        <f t="shared" ref="AI105" si="866">AI104/AI66</f>
        <v>0.10728744939271255</v>
      </c>
      <c r="AJ105" s="177"/>
      <c r="AK105" s="178">
        <f t="shared" ref="AK105" si="867">AK104/AK66</f>
        <v>0.10728744939271255</v>
      </c>
      <c r="AL105" s="177"/>
      <c r="AM105" s="178">
        <f t="shared" ref="AM105" si="868">AM104/AM66</f>
        <v>0.10728744939271255</v>
      </c>
      <c r="AN105" s="177"/>
      <c r="AO105" s="178">
        <f t="shared" ref="AO105" si="869">AO104/AO66</f>
        <v>0.10728744939271255</v>
      </c>
      <c r="AP105" s="177"/>
      <c r="AQ105" s="178">
        <f t="shared" ref="AQ105" si="870">AQ104/AQ66</f>
        <v>0.10728744939271255</v>
      </c>
      <c r="AR105" s="177"/>
      <c r="AS105" s="178">
        <f t="shared" ref="AS105:AY105" si="871">AS104/AS66</f>
        <v>0.10728744939271255</v>
      </c>
      <c r="AT105" s="177"/>
      <c r="AU105" s="178">
        <f t="shared" si="871"/>
        <v>0.10728744939271255</v>
      </c>
      <c r="AV105" s="177"/>
      <c r="AW105" s="178">
        <f t="shared" si="871"/>
        <v>0.10728744939271255</v>
      </c>
      <c r="AX105" s="177"/>
      <c r="AY105" s="178">
        <f t="shared" si="871"/>
        <v>0.10896381578947369</v>
      </c>
      <c r="AZ105" s="177"/>
      <c r="BA105" s="178">
        <f t="shared" ref="BA105:BC105" si="872">BA104/BA66</f>
        <v>0.10896381578947369</v>
      </c>
      <c r="BB105" s="177"/>
      <c r="BC105" s="178">
        <f t="shared" si="872"/>
        <v>0.10896381578947369</v>
      </c>
      <c r="BD105" s="177"/>
      <c r="BE105" s="178">
        <f t="shared" ref="BE105:BG105" si="873">BE104/BE66</f>
        <v>0.10896381578947369</v>
      </c>
      <c r="BF105" s="177"/>
      <c r="BG105" s="178">
        <f t="shared" si="873"/>
        <v>0.10896381578947369</v>
      </c>
      <c r="BH105" s="177"/>
      <c r="BI105" s="178">
        <f t="shared" ref="BI105:BK105" si="874">BI104/BI66</f>
        <v>0.10896381578947369</v>
      </c>
      <c r="BJ105" s="177"/>
      <c r="BK105" s="178">
        <f t="shared" si="874"/>
        <v>0.10896381578947369</v>
      </c>
      <c r="BL105" s="177"/>
      <c r="BM105" s="178">
        <f t="shared" ref="BM105" si="875">BM104/BM66</f>
        <v>0.10896381578947369</v>
      </c>
      <c r="BN105" s="177"/>
      <c r="BO105" s="178">
        <f t="shared" ref="BO105" si="876">BO104/BO66</f>
        <v>0.1444141689373297</v>
      </c>
      <c r="BP105" s="177"/>
      <c r="BQ105" s="178">
        <f t="shared" ref="BQ105" si="877">BQ104/BQ66</f>
        <v>0.1</v>
      </c>
      <c r="BR105" s="177"/>
      <c r="BS105" s="178">
        <f t="shared" ref="BS105" si="878">BS104/BS66</f>
        <v>0.13250000000000001</v>
      </c>
      <c r="BT105" s="177"/>
      <c r="BU105" s="178">
        <f>BU104/BU66</f>
        <v>0.10330578512396695</v>
      </c>
      <c r="BV105" s="177"/>
      <c r="BW105" s="178">
        <f>BW104/BW66</f>
        <v>0.10330578512396695</v>
      </c>
      <c r="BX105" s="177"/>
      <c r="BY105" s="178">
        <f>BY104/BY66</f>
        <v>9.5648015303682443E-2</v>
      </c>
      <c r="BZ105" s="177"/>
      <c r="CA105" s="178">
        <f>CA104/CA66</f>
        <v>0.10330578512396695</v>
      </c>
      <c r="CB105" s="177"/>
      <c r="CC105" s="178">
        <f>CC104/CC66</f>
        <v>7.2215201299873619E-2</v>
      </c>
      <c r="CD105" s="177"/>
      <c r="CE105" s="178">
        <f>CE104/CE66</f>
        <v>7.2215201299873619E-2</v>
      </c>
      <c r="CF105" s="177"/>
      <c r="CG105" s="178">
        <f>CG104/CG66</f>
        <v>0.11469378922311188</v>
      </c>
      <c r="CH105" s="177"/>
      <c r="CI105" s="178">
        <f>CI104/CI66</f>
        <v>-1.0820168794633196E-2</v>
      </c>
      <c r="CJ105" s="177"/>
      <c r="CK105" s="178">
        <f>CK104/CK66</f>
        <v>0.11469378922311188</v>
      </c>
      <c r="CL105" s="177"/>
      <c r="CM105" s="178">
        <f>CM104/CM66</f>
        <v>0.11469378922311188</v>
      </c>
      <c r="CN105" s="177"/>
      <c r="CO105" s="178">
        <f>CO104/CO66</f>
        <v>0.11469378922311188</v>
      </c>
      <c r="CR105" s="177"/>
      <c r="CS105" s="178">
        <f t="shared" ref="CS105" si="879">CS104/CS66</f>
        <v>0.22083333333333333</v>
      </c>
    </row>
    <row r="106" spans="1:97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8.0971659919028341E-2</v>
      </c>
      <c r="H106" s="177"/>
      <c r="I106" s="178">
        <f>(I101-I102)/I66</f>
        <v>8.0971659919028341E-2</v>
      </c>
      <c r="J106" s="177"/>
      <c r="K106" s="178">
        <f>(K101-K102)/K66</f>
        <v>8.0971659919028341E-2</v>
      </c>
      <c r="L106" s="177"/>
      <c r="M106" s="178">
        <f>(M101-M102)/M66</f>
        <v>8.0971659919028341E-2</v>
      </c>
      <c r="N106" s="177"/>
      <c r="O106" s="178">
        <f>(O101-O102)/O66</f>
        <v>8.0971659919028341E-2</v>
      </c>
      <c r="P106" s="177"/>
      <c r="Q106" s="178">
        <f>(Q101-Q102)/Q66</f>
        <v>8.0971659919028341E-2</v>
      </c>
      <c r="R106" s="177"/>
      <c r="S106" s="178">
        <f>(S101-S102)/S66</f>
        <v>8.0971659919028341E-2</v>
      </c>
      <c r="T106" s="177"/>
      <c r="U106" s="178">
        <f>(U101-U102)/U66</f>
        <v>8.0971659919028341E-2</v>
      </c>
      <c r="V106" s="177"/>
      <c r="W106" s="178">
        <f>(W101-W102)/W66</f>
        <v>8.0971659919028341E-2</v>
      </c>
      <c r="X106" s="177"/>
      <c r="Y106" s="178">
        <f>(Y101-Y102)/Y66</f>
        <v>8.0971659919028341E-2</v>
      </c>
      <c r="Z106" s="177"/>
      <c r="AA106" s="178">
        <f>(AA101-AA102)/AA66</f>
        <v>8.0971659919028341E-2</v>
      </c>
      <c r="AB106" s="177"/>
      <c r="AC106" s="178">
        <f>(AC101-AC102)/AC66</f>
        <v>8.0971659919028341E-2</v>
      </c>
      <c r="AD106" s="177"/>
      <c r="AE106" s="178">
        <f t="shared" ref="AE106" si="880">(AE101-AE102)/AE66</f>
        <v>8.0971659919028341E-2</v>
      </c>
      <c r="AF106" s="177"/>
      <c r="AG106" s="178">
        <f t="shared" ref="AG106" si="881">(AG101-AG102)/AG66</f>
        <v>8.0971659919028341E-2</v>
      </c>
      <c r="AH106" s="177"/>
      <c r="AI106" s="178">
        <f t="shared" ref="AI106" si="882">(AI101-AI102)/AI66</f>
        <v>8.0971659919028341E-2</v>
      </c>
      <c r="AJ106" s="177"/>
      <c r="AK106" s="178">
        <f t="shared" ref="AK106" si="883">(AK101-AK102)/AK66</f>
        <v>8.0971659919028341E-2</v>
      </c>
      <c r="AL106" s="177"/>
      <c r="AM106" s="178">
        <f t="shared" ref="AM106" si="884">(AM101-AM102)/AM66</f>
        <v>8.0971659919028341E-2</v>
      </c>
      <c r="AN106" s="177"/>
      <c r="AO106" s="178">
        <f t="shared" ref="AO106" si="885">(AO101-AO102)/AO66</f>
        <v>8.0971659919028341E-2</v>
      </c>
      <c r="AP106" s="177"/>
      <c r="AQ106" s="178">
        <f t="shared" ref="AQ106" si="886">(AQ101-AQ102)/AQ66</f>
        <v>8.0971659919028341E-2</v>
      </c>
      <c r="AR106" s="177"/>
      <c r="AS106" s="178">
        <f t="shared" ref="AS106:AY106" si="887">(AS101-AS102)/AS66</f>
        <v>8.0971659919028341E-2</v>
      </c>
      <c r="AT106" s="177"/>
      <c r="AU106" s="178">
        <f t="shared" si="887"/>
        <v>8.0971659919028341E-2</v>
      </c>
      <c r="AV106" s="177"/>
      <c r="AW106" s="178">
        <f t="shared" si="887"/>
        <v>8.0971659919028341E-2</v>
      </c>
      <c r="AX106" s="177"/>
      <c r="AY106" s="178">
        <f t="shared" si="887"/>
        <v>8.2236842105263164E-2</v>
      </c>
      <c r="AZ106" s="177"/>
      <c r="BA106" s="178">
        <f t="shared" ref="BA106:BC106" si="888">(BA101-BA102)/BA66</f>
        <v>8.2236842105263164E-2</v>
      </c>
      <c r="BB106" s="177"/>
      <c r="BC106" s="178">
        <f t="shared" si="888"/>
        <v>8.2236842105263164E-2</v>
      </c>
      <c r="BD106" s="177"/>
      <c r="BE106" s="178">
        <f t="shared" ref="BE106:BG106" si="889">(BE101-BE102)/BE66</f>
        <v>8.2236842105263164E-2</v>
      </c>
      <c r="BF106" s="177"/>
      <c r="BG106" s="178">
        <f t="shared" si="889"/>
        <v>8.2236842105263164E-2</v>
      </c>
      <c r="BH106" s="177"/>
      <c r="BI106" s="178">
        <f t="shared" ref="BI106:BK106" si="890">(BI101-BI102)/BI66</f>
        <v>8.2236842105263164E-2</v>
      </c>
      <c r="BJ106" s="177"/>
      <c r="BK106" s="178">
        <f t="shared" si="890"/>
        <v>8.2236842105263164E-2</v>
      </c>
      <c r="BL106" s="177"/>
      <c r="BM106" s="178">
        <f t="shared" ref="BM106" si="891">(BM101-BM102)/BM66</f>
        <v>8.2236842105263164E-2</v>
      </c>
      <c r="BN106" s="177"/>
      <c r="BO106" s="178">
        <f t="shared" ref="BO106" si="892">(BO101-BO102)/BO66</f>
        <v>0.10899182561307902</v>
      </c>
      <c r="BP106" s="177"/>
      <c r="BQ106" s="178">
        <f t="shared" ref="BQ106" si="893">(BQ101-BQ102)/BQ66</f>
        <v>0.1</v>
      </c>
      <c r="BR106" s="177"/>
      <c r="BS106" s="178">
        <f t="shared" ref="BS106" si="894">(BS101-BS102)/BS66</f>
        <v>0.1</v>
      </c>
      <c r="BT106" s="177"/>
      <c r="BU106" s="178">
        <f>(BU101-BU102)/BU66</f>
        <v>0.10330578512396695</v>
      </c>
      <c r="BV106" s="177"/>
      <c r="BW106" s="178">
        <f>(BW101-BW102)/BW66</f>
        <v>0.10330578512396695</v>
      </c>
      <c r="BX106" s="177"/>
      <c r="BY106" s="178">
        <f>(BY101-BY102)/BY66</f>
        <v>9.5648015303682443E-2</v>
      </c>
      <c r="BZ106" s="177"/>
      <c r="CA106" s="178">
        <f>(CA101-CA102)/CA66</f>
        <v>0.10330578512396695</v>
      </c>
      <c r="CB106" s="177"/>
      <c r="CC106" s="178">
        <f>(CC101-CC102)/CC66</f>
        <v>7.2215201299873619E-2</v>
      </c>
      <c r="CD106" s="177"/>
      <c r="CE106" s="178">
        <f>(CE101-CE102)/CE66</f>
        <v>7.2215201299873619E-2</v>
      </c>
      <c r="CF106" s="177"/>
      <c r="CG106" s="178">
        <f>(CG101-CG102)/CG66</f>
        <v>8.6561350357065567E-2</v>
      </c>
      <c r="CH106" s="177"/>
      <c r="CI106" s="178">
        <f>(CI101-CI102)/CI66</f>
        <v>8.6561350357065567E-2</v>
      </c>
      <c r="CJ106" s="177"/>
      <c r="CK106" s="178">
        <f>(CK101-CK102)/CK66</f>
        <v>8.6561350357065567E-2</v>
      </c>
      <c r="CL106" s="177"/>
      <c r="CM106" s="178">
        <f>(CM101-CM102)/CM66</f>
        <v>8.6561350357065567E-2</v>
      </c>
      <c r="CN106" s="177"/>
      <c r="CO106" s="178">
        <f>(CO101-CO102)/CO66</f>
        <v>8.6561350357065567E-2</v>
      </c>
      <c r="CR106" s="177"/>
      <c r="CS106" s="178">
        <f t="shared" ref="CS106" si="895">(CS101-CS102)/CS66</f>
        <v>0.16666666666666666</v>
      </c>
    </row>
    <row r="107" spans="1:97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180"/>
      <c r="BY107" s="181"/>
      <c r="BZ107" s="180"/>
      <c r="CA107" s="181"/>
      <c r="CB107" s="180"/>
      <c r="CC107" s="181"/>
      <c r="CD107" s="180"/>
      <c r="CE107" s="181"/>
      <c r="CF107" s="180"/>
      <c r="CG107" s="181"/>
      <c r="CH107" s="180"/>
      <c r="CI107" s="181"/>
      <c r="CJ107" s="180"/>
      <c r="CK107" s="181"/>
      <c r="CL107" s="180"/>
      <c r="CM107" s="181"/>
      <c r="CN107" s="180"/>
      <c r="CO107" s="181"/>
      <c r="CR107" s="180"/>
      <c r="CS107" s="181"/>
    </row>
    <row r="108" spans="1:97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2.1468101274723379</v>
      </c>
      <c r="H108" s="186"/>
      <c r="I108" s="187">
        <f>I60-(I101/I66)-I74</f>
        <v>2.1468101274723379</v>
      </c>
      <c r="J108" s="186"/>
      <c r="K108" s="187">
        <f>K60-(K101/K66)-K74</f>
        <v>1.8049294793587962</v>
      </c>
      <c r="L108" s="186"/>
      <c r="M108" s="187">
        <f>M60-(M101/M66)-M74</f>
        <v>1.999127487890632</v>
      </c>
      <c r="N108" s="186"/>
      <c r="O108" s="187">
        <f>O60-(O101/O66)-O74</f>
        <v>1.8126916906810342</v>
      </c>
      <c r="P108" s="186"/>
      <c r="Q108" s="187">
        <f>Q60-(Q101/Q66)-Q74</f>
        <v>1.8126916906810342</v>
      </c>
      <c r="R108" s="186"/>
      <c r="S108" s="187">
        <f>S60-(S101/S66)-S74</f>
        <v>1.8775142822660995</v>
      </c>
      <c r="T108" s="186"/>
      <c r="U108" s="187">
        <f>U60-(U101/U66)-U74</f>
        <v>1.8775142822660995</v>
      </c>
      <c r="V108" s="186"/>
      <c r="W108" s="187">
        <f>W60-(W101/W66)-W74</f>
        <v>1.8063370330347439</v>
      </c>
      <c r="X108" s="186"/>
      <c r="Y108" s="187">
        <f>Y60-(Y101/Y66)-Y74</f>
        <v>1.8624272390583823</v>
      </c>
      <c r="Z108" s="186"/>
      <c r="AA108" s="187">
        <f>AA60-(AA101/AA66)-AA74</f>
        <v>1.9470855734071613</v>
      </c>
      <c r="AB108" s="186"/>
      <c r="AC108" s="187">
        <f>AC60-(AC101/AC66)-AC74</f>
        <v>2.0606607478071934</v>
      </c>
      <c r="AD108" s="186"/>
      <c r="AE108" s="187">
        <f t="shared" ref="AE108" si="896">AE60-(AE101/AE66)-AE74</f>
        <v>2.1144956920759737</v>
      </c>
      <c r="AF108" s="186"/>
      <c r="AG108" s="187">
        <f t="shared" ref="AG108" si="897">AG60-(AG101/AG66)-AG74</f>
        <v>2.0971334013821439</v>
      </c>
      <c r="AH108" s="186"/>
      <c r="AI108" s="187">
        <f t="shared" ref="AI108" si="898">AI60-(AI101/AI66)-AI74</f>
        <v>2.0971334013821439</v>
      </c>
      <c r="AJ108" s="186"/>
      <c r="AK108" s="187">
        <f t="shared" ref="AK108" si="899">AK60-(AK101/AK66)-AK74</f>
        <v>1.9310993445813809</v>
      </c>
      <c r="AL108" s="186"/>
      <c r="AM108" s="187">
        <f t="shared" ref="AM108" si="900">AM60-(AM101/AM66)-AM74</f>
        <v>1.9310993445813809</v>
      </c>
      <c r="AN108" s="186"/>
      <c r="AO108" s="187">
        <f t="shared" ref="AO108" si="901">AO60-(AO101/AO66)-AO74</f>
        <v>1.8874003950305216</v>
      </c>
      <c r="AP108" s="186"/>
      <c r="AQ108" s="187">
        <f t="shared" ref="AQ108" si="902">AQ60-(AQ101/AQ66)-AQ74</f>
        <v>1.8874003950305216</v>
      </c>
      <c r="AR108" s="186"/>
      <c r="AS108" s="187">
        <f t="shared" ref="AS108:AY108" si="903">AS60-(AS101/AS66)-AS74</f>
        <v>1.8874003950305216</v>
      </c>
      <c r="AT108" s="186"/>
      <c r="AU108" s="187">
        <f t="shared" si="903"/>
        <v>2.3403227522589001</v>
      </c>
      <c r="AV108" s="186"/>
      <c r="AW108" s="187">
        <f t="shared" si="903"/>
        <v>2.4501214574898782</v>
      </c>
      <c r="AX108" s="186"/>
      <c r="AY108" s="187">
        <f t="shared" si="903"/>
        <v>2.3977631578947363</v>
      </c>
      <c r="AZ108" s="186"/>
      <c r="BA108" s="187">
        <f t="shared" ref="BA108:BC108" si="904">BA60-(BA101/BA66)-BA74</f>
        <v>2.4924696507270565</v>
      </c>
      <c r="BB108" s="186"/>
      <c r="BC108" s="187">
        <f t="shared" si="904"/>
        <v>2.323668016968834</v>
      </c>
      <c r="BD108" s="186"/>
      <c r="BE108" s="187">
        <f t="shared" ref="BE108:BG108" si="905">BE60-(BE101/BE66)-BE74</f>
        <v>2.4739723082215335</v>
      </c>
      <c r="BF108" s="186"/>
      <c r="BG108" s="187">
        <f t="shared" si="905"/>
        <v>2.0515447014570869</v>
      </c>
      <c r="BH108" s="186"/>
      <c r="BI108" s="187">
        <f t="shared" ref="BI108:BK108" si="906">BI60-(BI101/BI66)-BI74</f>
        <v>2.3202745877187487</v>
      </c>
      <c r="BJ108" s="186"/>
      <c r="BK108" s="187">
        <f t="shared" si="906"/>
        <v>2.3867288992975837</v>
      </c>
      <c r="BL108" s="186"/>
      <c r="BM108" s="187">
        <f t="shared" ref="BM108" si="907">BM60-(BM101/BM66)-BM74</f>
        <v>2.40356960950764</v>
      </c>
      <c r="BN108" s="186"/>
      <c r="BO108" s="187">
        <f t="shared" ref="BO108" si="908">BO60-(BO101/BO66)-BO74</f>
        <v>1.1039711373498831</v>
      </c>
      <c r="BP108" s="186"/>
      <c r="BQ108" s="187">
        <f t="shared" ref="BQ108" si="909">BQ60-(BQ101/BQ66)-BQ74</f>
        <v>2.4069135802469144</v>
      </c>
      <c r="BR108" s="186"/>
      <c r="BS108" s="187">
        <f t="shared" ref="BS108" si="910">BS60-(BS101/BS66)-BS74</f>
        <v>1.8809876543209887</v>
      </c>
      <c r="BT108" s="186"/>
      <c r="BU108" s="187">
        <f>BU60-(BU101/BU66)-BU74</f>
        <v>1.7591633506785018</v>
      </c>
      <c r="BV108" s="186"/>
      <c r="BW108" s="187">
        <f>BW60-(BW101/BW66)-BW74</f>
        <v>1.9745366659106005</v>
      </c>
      <c r="BX108" s="186"/>
      <c r="BY108" s="187">
        <f>BY60-(BY101/BY66)-BY74</f>
        <v>2.7247313828444653</v>
      </c>
      <c r="BZ108" s="186"/>
      <c r="CA108" s="187">
        <f>CA60-(CA101/CA66)-CA74</f>
        <v>1.7980826099377625</v>
      </c>
      <c r="CB108" s="186"/>
      <c r="CC108" s="187">
        <f>CC60-(CC101/CC66)-CC74</f>
        <v>3.0355911728060732</v>
      </c>
      <c r="CD108" s="186"/>
      <c r="CE108" s="187">
        <f>CE60-(CE101/CE66)-CE74</f>
        <v>2.778801049349283</v>
      </c>
      <c r="CF108" s="186"/>
      <c r="CG108" s="187">
        <f>CG60-(CG101/CG66)-CG74</f>
        <v>1.8704756866799714</v>
      </c>
      <c r="CH108" s="186"/>
      <c r="CI108" s="187">
        <f>CI60-(CI101/CI66)-CI74</f>
        <v>1.8905171218651566</v>
      </c>
      <c r="CJ108" s="186"/>
      <c r="CK108" s="187">
        <f>CK60-(CK101/CK66)-CK74</f>
        <v>1.8775127237170088</v>
      </c>
      <c r="CL108" s="186"/>
      <c r="CM108" s="187">
        <f>CM60-(CM101/CM66)-CM74</f>
        <v>2.0693645755688608</v>
      </c>
      <c r="CN108" s="186"/>
      <c r="CO108" s="187">
        <f>CO60-(CO101/CO66)-CO74</f>
        <v>1.9252905014947865</v>
      </c>
      <c r="CR108" s="186"/>
      <c r="CS108" s="187">
        <f t="shared" ref="CS108" si="911">CS60-(CS101/CS66)-CS74</f>
        <v>2.003785994965309</v>
      </c>
    </row>
    <row r="109" spans="1:97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0.47919868916793251</v>
      </c>
      <c r="H109" s="192"/>
      <c r="I109" s="193">
        <f>I108/I67</f>
        <v>0.47919868916793251</v>
      </c>
      <c r="J109" s="192"/>
      <c r="K109" s="193">
        <f>K108/K67</f>
        <v>0.40288604449973126</v>
      </c>
      <c r="L109" s="192"/>
      <c r="M109" s="193">
        <f>M108/M67</f>
        <v>0.44623381426130176</v>
      </c>
      <c r="N109" s="192"/>
      <c r="O109" s="193">
        <f>O108/O67</f>
        <v>0.40461868095558795</v>
      </c>
      <c r="P109" s="192"/>
      <c r="Q109" s="193">
        <f>Q108/Q67</f>
        <v>0.40461868095558795</v>
      </c>
      <c r="R109" s="192"/>
      <c r="S109" s="193">
        <f>S108/S67</f>
        <v>0.41908800943439717</v>
      </c>
      <c r="T109" s="192"/>
      <c r="U109" s="193">
        <f>U108/U67</f>
        <v>0.41908800943439717</v>
      </c>
      <c r="V109" s="192"/>
      <c r="W109" s="193">
        <f>W108/W67</f>
        <v>0.40320023058811244</v>
      </c>
      <c r="X109" s="192"/>
      <c r="Y109" s="193">
        <f>Y108/Y67</f>
        <v>0.415720365861246</v>
      </c>
      <c r="Z109" s="192"/>
      <c r="AA109" s="193">
        <f>AA108/AA67</f>
        <v>0.43461731549266991</v>
      </c>
      <c r="AB109" s="192"/>
      <c r="AC109" s="193">
        <f>AC108/AC67</f>
        <v>0.45996891692124847</v>
      </c>
      <c r="AD109" s="192"/>
      <c r="AE109" s="193">
        <f t="shared" ref="AE109" si="912">AE108/AE67</f>
        <v>0.45967297653825517</v>
      </c>
      <c r="AF109" s="192"/>
      <c r="AG109" s="193">
        <f t="shared" ref="AG109" si="913">AG108/AG67</f>
        <v>0.4558985655178574</v>
      </c>
      <c r="AH109" s="192"/>
      <c r="AI109" s="193">
        <f t="shared" ref="AI109" si="914">AI108/AI67</f>
        <v>0.4558985655178574</v>
      </c>
      <c r="AJ109" s="192"/>
      <c r="AK109" s="193">
        <f t="shared" ref="AK109" si="915">AK108/AK67</f>
        <v>0.41980420534377849</v>
      </c>
      <c r="AL109" s="192"/>
      <c r="AM109" s="193">
        <f t="shared" ref="AM109" si="916">AM108/AM67</f>
        <v>0.41980420534377849</v>
      </c>
      <c r="AN109" s="192"/>
      <c r="AO109" s="193">
        <f t="shared" ref="AO109" si="917">AO108/AO67</f>
        <v>0.41030443370228731</v>
      </c>
      <c r="AP109" s="192"/>
      <c r="AQ109" s="193">
        <f t="shared" ref="AQ109" si="918">AQ108/AQ67</f>
        <v>0.41030443370228731</v>
      </c>
      <c r="AR109" s="192"/>
      <c r="AS109" s="193">
        <f t="shared" ref="AS109:AY109" si="919">AS108/AS67</f>
        <v>0.41030443370228731</v>
      </c>
      <c r="AT109" s="192"/>
      <c r="AU109" s="193">
        <f t="shared" si="919"/>
        <v>0.50876581570845658</v>
      </c>
      <c r="AV109" s="192"/>
      <c r="AW109" s="193">
        <f t="shared" si="919"/>
        <v>0.53263509945432141</v>
      </c>
      <c r="AX109" s="192"/>
      <c r="AY109" s="193">
        <f t="shared" si="919"/>
        <v>0.51016237402015663</v>
      </c>
      <c r="AZ109" s="192"/>
      <c r="BA109" s="193">
        <f t="shared" ref="BA109:BC109" si="920">BA108/BA67</f>
        <v>0.53031269164405459</v>
      </c>
      <c r="BB109" s="192"/>
      <c r="BC109" s="193">
        <f t="shared" si="920"/>
        <v>0.49439745041890082</v>
      </c>
      <c r="BD109" s="192"/>
      <c r="BE109" s="193">
        <f t="shared" ref="BE109:BG109" si="921">BE108/BE67</f>
        <v>0.52637708685564544</v>
      </c>
      <c r="BF109" s="192"/>
      <c r="BG109" s="193">
        <f t="shared" si="921"/>
        <v>0.43649887265044401</v>
      </c>
      <c r="BH109" s="192"/>
      <c r="BI109" s="193">
        <f t="shared" ref="BI109:BK109" si="922">BI108/BI67</f>
        <v>0.49367544419547843</v>
      </c>
      <c r="BJ109" s="192"/>
      <c r="BK109" s="193">
        <f t="shared" si="922"/>
        <v>0.5078146594250178</v>
      </c>
      <c r="BL109" s="192"/>
      <c r="BM109" s="193">
        <f t="shared" ref="BM109" si="923">BM108/BM67</f>
        <v>0.51139778925694468</v>
      </c>
      <c r="BN109" s="192"/>
      <c r="BO109" s="193">
        <f t="shared" ref="BO109" si="924">BO108/BO67</f>
        <v>0.1890361536558019</v>
      </c>
      <c r="BP109" s="192"/>
      <c r="BQ109" s="193">
        <f t="shared" ref="BQ109" si="925">BQ108/BQ67</f>
        <v>0.41143821884562637</v>
      </c>
      <c r="BR109" s="192"/>
      <c r="BS109" s="193">
        <f t="shared" ref="BS109" si="926">BS108/BS67</f>
        <v>0.32153635116598095</v>
      </c>
      <c r="BT109" s="192"/>
      <c r="BU109" s="193">
        <f>BU108/BU67</f>
        <v>0.30122660114357908</v>
      </c>
      <c r="BV109" s="192"/>
      <c r="BW109" s="193">
        <f>BW108/BW67</f>
        <v>0.33810559347784258</v>
      </c>
      <c r="BX109" s="192"/>
      <c r="BY109" s="193">
        <f>BY108/BY67</f>
        <v>0.46576604834948127</v>
      </c>
      <c r="BZ109" s="192"/>
      <c r="CA109" s="193">
        <f>CA108/CA67</f>
        <v>0.30736454870730984</v>
      </c>
      <c r="CB109" s="192"/>
      <c r="CC109" s="193">
        <f>CC108/CC67</f>
        <v>0.48961147948485051</v>
      </c>
      <c r="CD109" s="192"/>
      <c r="CE109" s="193">
        <f>CE108/CE67</f>
        <v>0.44819371763698113</v>
      </c>
      <c r="CF109" s="192"/>
      <c r="CG109" s="193">
        <f>CG108/CG67</f>
        <v>0.44011192627764034</v>
      </c>
      <c r="CH109" s="192"/>
      <c r="CI109" s="193">
        <f>CI108/CI67</f>
        <v>0.44482755808591923</v>
      </c>
      <c r="CJ109" s="192"/>
      <c r="CK109" s="193">
        <f>CK108/CK67</f>
        <v>0.39947079228021465</v>
      </c>
      <c r="CL109" s="192"/>
      <c r="CM109" s="193">
        <f>CM108/CM67</f>
        <v>0.44029033522741717</v>
      </c>
      <c r="CN109" s="192"/>
      <c r="CO109" s="193">
        <f>CO108/CO67</f>
        <v>0.45300952976347919</v>
      </c>
      <c r="CR109" s="192"/>
      <c r="CS109" s="193">
        <f t="shared" ref="CS109" si="927">CS108/CS67</f>
        <v>0.32060575919444945</v>
      </c>
    </row>
    <row r="110" spans="1:97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>
        <v>0.35</v>
      </c>
      <c r="BP110" s="164"/>
      <c r="BQ110" s="198"/>
      <c r="BR110" s="164"/>
      <c r="BS110" s="198"/>
      <c r="BT110" s="164"/>
      <c r="BU110" s="198"/>
      <c r="BV110" s="164"/>
      <c r="BW110" s="198"/>
      <c r="BX110" s="164"/>
      <c r="BY110" s="198"/>
      <c r="BZ110" s="164"/>
      <c r="CA110" s="198"/>
      <c r="CB110" s="164"/>
      <c r="CC110" s="198"/>
      <c r="CD110" s="164"/>
      <c r="CE110" s="198"/>
      <c r="CF110" s="164"/>
      <c r="CG110" s="198"/>
      <c r="CH110" s="164"/>
      <c r="CI110" s="198"/>
      <c r="CJ110" s="164"/>
      <c r="CK110" s="198"/>
      <c r="CL110" s="164"/>
      <c r="CM110" s="198"/>
      <c r="CN110" s="164"/>
      <c r="CO110" s="198"/>
      <c r="CR110" s="164"/>
      <c r="CS110" s="198"/>
    </row>
    <row r="111" spans="1:97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2.2277817873913666</v>
      </c>
      <c r="H111" s="186"/>
      <c r="I111" s="187">
        <f>I60-(I102/I66)-I74</f>
        <v>2.2277817873913666</v>
      </c>
      <c r="J111" s="186"/>
      <c r="K111" s="187">
        <f>K60-(K102/K66)-K74</f>
        <v>1.8859011392778249</v>
      </c>
      <c r="L111" s="186"/>
      <c r="M111" s="187">
        <f>M60-(M102/M66)-M74</f>
        <v>2.0800991478096607</v>
      </c>
      <c r="N111" s="186"/>
      <c r="O111" s="187">
        <f>O60-(O102/O66)-O74</f>
        <v>1.8936633506000629</v>
      </c>
      <c r="P111" s="186"/>
      <c r="Q111" s="187">
        <f>Q60-(Q102/Q66)-Q74</f>
        <v>1.8936633506000629</v>
      </c>
      <c r="R111" s="186"/>
      <c r="S111" s="187">
        <f>S60-(S102/S66)-S74</f>
        <v>1.9584859421851282</v>
      </c>
      <c r="T111" s="186"/>
      <c r="U111" s="187">
        <f>U60-(U102/U66)-U74</f>
        <v>1.9584859421851282</v>
      </c>
      <c r="V111" s="186"/>
      <c r="W111" s="187">
        <f>W60-(W102/W66)-W74</f>
        <v>1.8873086929537726</v>
      </c>
      <c r="X111" s="186"/>
      <c r="Y111" s="187">
        <f>Y60-(Y102/Y66)-Y74</f>
        <v>1.9433988989774109</v>
      </c>
      <c r="Z111" s="186"/>
      <c r="AA111" s="187">
        <f>AA60-(AA102/AA66)-AA74</f>
        <v>2.0280572333261899</v>
      </c>
      <c r="AB111" s="186"/>
      <c r="AC111" s="187">
        <f>AC60-(AC102/AC66)-AC74</f>
        <v>2.1416324077262221</v>
      </c>
      <c r="AD111" s="186"/>
      <c r="AE111" s="187">
        <f t="shared" ref="AE111" si="928">AE60-(AE102/AE66)-AE74</f>
        <v>2.1954673519950023</v>
      </c>
      <c r="AF111" s="186"/>
      <c r="AG111" s="187">
        <f t="shared" ref="AG111" si="929">AG60-(AG102/AG66)-AG74</f>
        <v>2.1781050613011725</v>
      </c>
      <c r="AH111" s="186"/>
      <c r="AI111" s="187">
        <f t="shared" ref="AI111" si="930">AI60-(AI102/AI66)-AI74</f>
        <v>2.1781050613011725</v>
      </c>
      <c r="AJ111" s="186"/>
      <c r="AK111" s="187">
        <f t="shared" ref="AK111" si="931">AK60-(AK102/AK66)-AK74</f>
        <v>2.0120710045004095</v>
      </c>
      <c r="AL111" s="186"/>
      <c r="AM111" s="187">
        <f t="shared" ref="AM111" si="932">AM60-(AM102/AM66)-AM74</f>
        <v>2.0120710045004095</v>
      </c>
      <c r="AN111" s="186"/>
      <c r="AO111" s="187">
        <f t="shared" ref="AO111" si="933">AO60-(AO102/AO66)-AO74</f>
        <v>1.9683720549495503</v>
      </c>
      <c r="AP111" s="186"/>
      <c r="AQ111" s="187">
        <f t="shared" ref="AQ111" si="934">AQ60-(AQ102/AQ66)-AQ74</f>
        <v>1.9683720549495503</v>
      </c>
      <c r="AR111" s="186"/>
      <c r="AS111" s="187">
        <f t="shared" ref="AS111:AY111" si="935">AS60-(AS102/AS66)-AS74</f>
        <v>1.9683720549495503</v>
      </c>
      <c r="AT111" s="186"/>
      <c r="AU111" s="187">
        <f t="shared" si="935"/>
        <v>2.4212944121779287</v>
      </c>
      <c r="AV111" s="186"/>
      <c r="AW111" s="187">
        <f t="shared" si="935"/>
        <v>2.5310931174089069</v>
      </c>
      <c r="AX111" s="186"/>
      <c r="AY111" s="187">
        <f t="shared" si="935"/>
        <v>2.48</v>
      </c>
      <c r="AZ111" s="186"/>
      <c r="BA111" s="187">
        <f t="shared" ref="BA111:BC111" si="936">BA60-(BA102/BA66)-BA74</f>
        <v>2.5747064928323202</v>
      </c>
      <c r="BB111" s="186"/>
      <c r="BC111" s="187">
        <f t="shared" si="936"/>
        <v>2.4059048590740977</v>
      </c>
      <c r="BD111" s="186"/>
      <c r="BE111" s="187">
        <f t="shared" ref="BE111:BG111" si="937">BE60-(BE102/BE66)-BE74</f>
        <v>2.5562091503267972</v>
      </c>
      <c r="BF111" s="186"/>
      <c r="BG111" s="187">
        <f t="shared" si="937"/>
        <v>2.1337815435623506</v>
      </c>
      <c r="BH111" s="186"/>
      <c r="BI111" s="187">
        <f t="shared" ref="BI111:BK111" si="938">BI60-(BI102/BI66)-BI74</f>
        <v>2.4025114298240124</v>
      </c>
      <c r="BJ111" s="186"/>
      <c r="BK111" s="187">
        <f t="shared" si="938"/>
        <v>2.4689657414028474</v>
      </c>
      <c r="BL111" s="186"/>
      <c r="BM111" s="187">
        <f t="shared" ref="BM111" si="939">BM60-(BM102/BM66)-BM74</f>
        <v>2.4858064516129037</v>
      </c>
      <c r="BN111" s="186"/>
      <c r="BO111" s="187">
        <f t="shared" ref="BO111" si="940">BO60-(BO102/BO66)-BO74</f>
        <v>1.2129629629629619</v>
      </c>
      <c r="BP111" s="186"/>
      <c r="BQ111" s="1418">
        <f t="shared" ref="BQ111" si="941">BQ60-(BQ102/BQ66)-BQ74</f>
        <v>2.506913580246914</v>
      </c>
      <c r="BR111" s="186"/>
      <c r="BS111" s="187">
        <f t="shared" ref="BS111" si="942">BS60-(BS102/BS66)-BS74</f>
        <v>1.9809876543209883</v>
      </c>
      <c r="BT111" s="186"/>
      <c r="BU111" s="187">
        <f>BU60-(BU102/BU66)-BU74</f>
        <v>1.8624691358024683</v>
      </c>
      <c r="BV111" s="186"/>
      <c r="BW111" s="187">
        <f>BW60-(BW102/BW66)-BW74</f>
        <v>2.077842451034567</v>
      </c>
      <c r="BX111" s="186"/>
      <c r="BY111" s="187">
        <f>BY60-(BY102/BY66)-BY74</f>
        <v>2.8203793981481478</v>
      </c>
      <c r="BZ111" s="186"/>
      <c r="CA111" s="187">
        <f>CA60-(CA102/CA66)-CA74</f>
        <v>1.901388395061729</v>
      </c>
      <c r="CB111" s="186"/>
      <c r="CC111" s="187">
        <f>CC60-(CC102/CC66)-CC74</f>
        <v>3.1078063741059476</v>
      </c>
      <c r="CD111" s="186"/>
      <c r="CE111" s="187">
        <f>CE60-(CE102/CE66)-CE74</f>
        <v>2.8510162506491574</v>
      </c>
      <c r="CF111" s="186"/>
      <c r="CG111" s="187">
        <f>CG60-(CG102/CG66)-CG74</f>
        <v>1.9570370370370371</v>
      </c>
      <c r="CH111" s="186"/>
      <c r="CI111" s="187">
        <f>CI60-(CI102/CI66)-CI74</f>
        <v>1.9770784722222223</v>
      </c>
      <c r="CJ111" s="186"/>
      <c r="CK111" s="187">
        <f>CK60-(CK102/CK66)-CK74</f>
        <v>1.9640740740740745</v>
      </c>
      <c r="CL111" s="186"/>
      <c r="CM111" s="187">
        <f>CM60-(CM102/CM66)-CM74</f>
        <v>2.1559259259259265</v>
      </c>
      <c r="CN111" s="186"/>
      <c r="CO111" s="187">
        <f>CO60-(CO102/CO66)-CO74</f>
        <v>2.0118518518518522</v>
      </c>
      <c r="CR111" s="186"/>
      <c r="CS111" s="187">
        <f t="shared" ref="CS111" si="943">CS60-(CS102/CS66)-CS74</f>
        <v>2.1704526616319759</v>
      </c>
    </row>
    <row r="112" spans="1:97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0.49727272039985854</v>
      </c>
      <c r="H112" s="192"/>
      <c r="I112" s="193">
        <f>I111/I67</f>
        <v>0.49727272039985854</v>
      </c>
      <c r="J112" s="192"/>
      <c r="K112" s="193">
        <f>K111/K67</f>
        <v>0.42096007573165728</v>
      </c>
      <c r="L112" s="192"/>
      <c r="M112" s="193">
        <f>M111/M67</f>
        <v>0.46430784549322779</v>
      </c>
      <c r="N112" s="192"/>
      <c r="O112" s="193">
        <f>O111/O67</f>
        <v>0.42269271218751397</v>
      </c>
      <c r="P112" s="192"/>
      <c r="Q112" s="193">
        <f>Q111/Q67</f>
        <v>0.42269271218751397</v>
      </c>
      <c r="R112" s="192"/>
      <c r="S112" s="193">
        <f>S111/S67</f>
        <v>0.43716204066632319</v>
      </c>
      <c r="T112" s="192"/>
      <c r="U112" s="193">
        <f>U111/U67</f>
        <v>0.43716204066632319</v>
      </c>
      <c r="V112" s="192"/>
      <c r="W112" s="193">
        <f>W111/W67</f>
        <v>0.42127426182003846</v>
      </c>
      <c r="X112" s="192"/>
      <c r="Y112" s="193">
        <f>Y111/Y67</f>
        <v>0.43379439709317202</v>
      </c>
      <c r="Z112" s="192"/>
      <c r="AA112" s="193">
        <f>AA111/AA67</f>
        <v>0.45269134672459593</v>
      </c>
      <c r="AB112" s="192"/>
      <c r="AC112" s="193">
        <f>AC111/AC67</f>
        <v>0.47804294815317455</v>
      </c>
      <c r="AD112" s="192"/>
      <c r="AE112" s="193">
        <f t="shared" ref="AE112" si="944">AE111/AE67</f>
        <v>0.4772755113032614</v>
      </c>
      <c r="AF112" s="192"/>
      <c r="AG112" s="193">
        <f t="shared" ref="AG112" si="945">AG111/AG67</f>
        <v>0.47350110028286363</v>
      </c>
      <c r="AH112" s="192"/>
      <c r="AI112" s="193">
        <f t="shared" ref="AI112" si="946">AI111/AI67</f>
        <v>0.47350110028286363</v>
      </c>
      <c r="AJ112" s="192"/>
      <c r="AK112" s="193">
        <f t="shared" ref="AK112" si="947">AK111/AK67</f>
        <v>0.43740674010878472</v>
      </c>
      <c r="AL112" s="192"/>
      <c r="AM112" s="193">
        <f t="shared" ref="AM112" si="948">AM111/AM67</f>
        <v>0.43740674010878472</v>
      </c>
      <c r="AN112" s="192"/>
      <c r="AO112" s="193">
        <f t="shared" ref="AO112" si="949">AO111/AO67</f>
        <v>0.42790696846729359</v>
      </c>
      <c r="AP112" s="192"/>
      <c r="AQ112" s="193">
        <f t="shared" ref="AQ112" si="950">AQ111/AQ67</f>
        <v>0.42790696846729359</v>
      </c>
      <c r="AR112" s="192"/>
      <c r="AS112" s="193">
        <f t="shared" ref="AS112:AY112" si="951">AS111/AS67</f>
        <v>0.42790696846729359</v>
      </c>
      <c r="AT112" s="192"/>
      <c r="AU112" s="193">
        <f t="shared" si="951"/>
        <v>0.52636835047346275</v>
      </c>
      <c r="AV112" s="192"/>
      <c r="AW112" s="193">
        <f t="shared" si="951"/>
        <v>0.55023763421932759</v>
      </c>
      <c r="AX112" s="192"/>
      <c r="AY112" s="193">
        <f t="shared" si="951"/>
        <v>0.52765957446808509</v>
      </c>
      <c r="AZ112" s="192"/>
      <c r="BA112" s="193">
        <f t="shared" ref="BA112:BC112" si="952">BA111/BA67</f>
        <v>0.54780989209198305</v>
      </c>
      <c r="BB112" s="192"/>
      <c r="BC112" s="193">
        <f t="shared" si="952"/>
        <v>0.51189465086682928</v>
      </c>
      <c r="BD112" s="192"/>
      <c r="BE112" s="193">
        <f t="shared" ref="BE112:BG112" si="953">BE111/BE67</f>
        <v>0.5438742873035739</v>
      </c>
      <c r="BF112" s="192"/>
      <c r="BG112" s="193">
        <f t="shared" si="953"/>
        <v>0.45399607309837248</v>
      </c>
      <c r="BH112" s="192"/>
      <c r="BI112" s="193">
        <f t="shared" ref="BI112:BK112" si="954">BI111/BI67</f>
        <v>0.51117264464340684</v>
      </c>
      <c r="BJ112" s="192"/>
      <c r="BK112" s="193">
        <f t="shared" si="954"/>
        <v>0.52531185987294626</v>
      </c>
      <c r="BL112" s="192"/>
      <c r="BM112" s="193">
        <f t="shared" ref="BM112" si="955">BM111/BM67</f>
        <v>0.52889498970487314</v>
      </c>
      <c r="BN112" s="192"/>
      <c r="BO112" s="193">
        <f t="shared" ref="BO112" si="956">BO111/BO67</f>
        <v>0.20769913749365787</v>
      </c>
      <c r="BP112" s="192"/>
      <c r="BQ112" s="193">
        <f t="shared" ref="BQ112" si="957">BQ111/BQ67</f>
        <v>0.4285322359396434</v>
      </c>
      <c r="BR112" s="192"/>
      <c r="BS112" s="193">
        <f t="shared" ref="BS112" si="958">BS111/BS67</f>
        <v>0.33863036825999798</v>
      </c>
      <c r="BT112" s="192"/>
      <c r="BU112" s="193">
        <f>BU111/BU67</f>
        <v>0.31891594791138156</v>
      </c>
      <c r="BV112" s="192"/>
      <c r="BW112" s="193">
        <f>BW111/BW67</f>
        <v>0.35579494024564506</v>
      </c>
      <c r="BX112" s="192"/>
      <c r="BY112" s="193">
        <f>BY111/BY67</f>
        <v>0.48211613643558082</v>
      </c>
      <c r="BZ112" s="192"/>
      <c r="CA112" s="193">
        <f>CA111/CA67</f>
        <v>0.32502365727550925</v>
      </c>
      <c r="CB112" s="192"/>
      <c r="CC112" s="193">
        <f>CC111/CC67</f>
        <v>0.50125909259773349</v>
      </c>
      <c r="CD112" s="192"/>
      <c r="CE112" s="193">
        <f>CE111/CE67</f>
        <v>0.45984133074986411</v>
      </c>
      <c r="CF112" s="192"/>
      <c r="CG112" s="193">
        <f>CG111/CG67</f>
        <v>0.46047930283224403</v>
      </c>
      <c r="CH112" s="192"/>
      <c r="CI112" s="193">
        <f>CI111/CI67</f>
        <v>0.46519493464052292</v>
      </c>
      <c r="CJ112" s="192"/>
      <c r="CK112" s="193">
        <f>CK111/CK67</f>
        <v>0.41788810086682437</v>
      </c>
      <c r="CL112" s="192"/>
      <c r="CM112" s="193">
        <f>CM111/CM67</f>
        <v>0.4587076438140269</v>
      </c>
      <c r="CN112" s="192"/>
      <c r="CO112" s="193">
        <f>CO111/CO67</f>
        <v>0.47337690631808288</v>
      </c>
      <c r="CR112" s="192"/>
      <c r="CS112" s="193">
        <f t="shared" ref="CS112" si="959">CS111/CS67</f>
        <v>0.34727242586111617</v>
      </c>
    </row>
    <row r="113" spans="1:97" s="4" customFormat="1" ht="18" hidden="1" customHeight="1" outlineLevel="2" collapsed="1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173"/>
      <c r="BY113" s="165"/>
      <c r="BZ113" s="173"/>
      <c r="CA113" s="165"/>
      <c r="CB113" s="173"/>
      <c r="CC113" s="165"/>
      <c r="CD113" s="173"/>
      <c r="CE113" s="165"/>
      <c r="CF113" s="173"/>
      <c r="CG113" s="165"/>
      <c r="CH113" s="173"/>
      <c r="CI113" s="165"/>
      <c r="CJ113" s="173"/>
      <c r="CK113" s="165"/>
      <c r="CL113" s="173"/>
      <c r="CM113" s="165"/>
      <c r="CN113" s="173"/>
      <c r="CO113" s="165"/>
      <c r="CR113" s="173"/>
      <c r="CS113" s="165"/>
    </row>
    <row r="114" spans="1:97" s="65" customFormat="1" ht="18" hidden="1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460.47002582176009</v>
      </c>
      <c r="H114" s="202" t="s">
        <v>111</v>
      </c>
      <c r="I114" s="203">
        <f>I116/I79</f>
        <v>459.99268445621118</v>
      </c>
      <c r="J114" s="202" t="s">
        <v>111</v>
      </c>
      <c r="K114" s="203">
        <f>K116/K79</f>
        <v>460.11187007736811</v>
      </c>
      <c r="L114" s="202" t="s">
        <v>111</v>
      </c>
      <c r="M114" s="203">
        <f>M116/M79</f>
        <v>459.71497181039882</v>
      </c>
      <c r="N114" s="202" t="s">
        <v>111</v>
      </c>
      <c r="O114" s="203">
        <f>O116/O79</f>
        <v>454.8453855100226</v>
      </c>
      <c r="P114" s="202" t="s">
        <v>111</v>
      </c>
      <c r="Q114" s="203">
        <f>Q116/Q79</f>
        <v>453.77734614598234</v>
      </c>
      <c r="R114" s="202" t="s">
        <v>111</v>
      </c>
      <c r="S114" s="203">
        <f>S116/S79</f>
        <v>448.08231524133782</v>
      </c>
      <c r="T114" s="202" t="s">
        <v>111</v>
      </c>
      <c r="U114" s="203">
        <f>U116/U79</f>
        <v>450.39890931125024</v>
      </c>
      <c r="V114" s="202" t="s">
        <v>111</v>
      </c>
      <c r="W114" s="203">
        <f>W116/W79</f>
        <v>447.02899514530822</v>
      </c>
      <c r="X114" s="202" t="s">
        <v>111</v>
      </c>
      <c r="Y114" s="203">
        <f>Y116/Y79</f>
        <v>440.30678427811648</v>
      </c>
      <c r="Z114" s="202" t="s">
        <v>111</v>
      </c>
      <c r="AA114" s="203">
        <f>AA116/AA79</f>
        <v>436.45733461169698</v>
      </c>
      <c r="AB114" s="202" t="s">
        <v>111</v>
      </c>
      <c r="AC114" s="203">
        <f>AC116/AC79</f>
        <v>436.82551366574916</v>
      </c>
      <c r="AD114" s="202" t="s">
        <v>111</v>
      </c>
      <c r="AE114" s="203">
        <f t="shared" ref="AE114" si="960">AE116/AE79</f>
        <v>441.81234100841425</v>
      </c>
      <c r="AF114" s="202" t="s">
        <v>111</v>
      </c>
      <c r="AG114" s="203">
        <f t="shared" ref="AG114" si="961">AG116/AG79</f>
        <v>446.05559605062615</v>
      </c>
      <c r="AH114" s="202" t="s">
        <v>111</v>
      </c>
      <c r="AI114" s="203">
        <f t="shared" ref="AI114" si="962">AI116/AI79</f>
        <v>442.79050736497544</v>
      </c>
      <c r="AJ114" s="202" t="s">
        <v>111</v>
      </c>
      <c r="AK114" s="203">
        <f t="shared" ref="AK114" si="963">AK116/AK79</f>
        <v>450.32476273810323</v>
      </c>
      <c r="AL114" s="202" t="s">
        <v>111</v>
      </c>
      <c r="AM114" s="203">
        <f t="shared" ref="AM114" si="964">AM116/AM79</f>
        <v>451.74040998579255</v>
      </c>
      <c r="AN114" s="202" t="s">
        <v>111</v>
      </c>
      <c r="AO114" s="203">
        <f t="shared" ref="AO114" si="965">AO116/AO79</f>
        <v>448.9602169981917</v>
      </c>
      <c r="AP114" s="202" t="s">
        <v>111</v>
      </c>
      <c r="AQ114" s="203">
        <f t="shared" ref="AQ114" si="966">AQ116/AQ79</f>
        <v>447.26437699680503</v>
      </c>
      <c r="AR114" s="202" t="s">
        <v>111</v>
      </c>
      <c r="AS114" s="203">
        <f t="shared" ref="AS114:AY114" si="967">AS116/AS79</f>
        <v>443.47597794696765</v>
      </c>
      <c r="AT114" s="202" t="s">
        <v>111</v>
      </c>
      <c r="AU114" s="203">
        <f t="shared" si="967"/>
        <v>441.74274535376588</v>
      </c>
      <c r="AV114" s="202" t="s">
        <v>111</v>
      </c>
      <c r="AW114" s="203">
        <f t="shared" si="967"/>
        <v>435.32584484185065</v>
      </c>
      <c r="AX114" s="202" t="s">
        <v>111</v>
      </c>
      <c r="AY114" s="203">
        <f t="shared" si="967"/>
        <v>435.36076231754731</v>
      </c>
      <c r="AZ114" s="202" t="s">
        <v>111</v>
      </c>
      <c r="BA114" s="203">
        <f t="shared" ref="BA114:BC114" si="968">BA116/BA79</f>
        <v>438.1958762886598</v>
      </c>
      <c r="BB114" s="202" t="s">
        <v>111</v>
      </c>
      <c r="BC114" s="203">
        <f t="shared" si="968"/>
        <v>435.4769799770437</v>
      </c>
      <c r="BD114" s="202" t="s">
        <v>111</v>
      </c>
      <c r="BE114" s="203">
        <f t="shared" ref="BE114:BG114" si="969">BE116/BE79</f>
        <v>429.2670401493931</v>
      </c>
      <c r="BF114" s="202" t="s">
        <v>111</v>
      </c>
      <c r="BG114" s="203">
        <f t="shared" si="969"/>
        <v>425.80125253269472</v>
      </c>
      <c r="BH114" s="202" t="s">
        <v>111</v>
      </c>
      <c r="BI114" s="203">
        <f t="shared" ref="BI114:BK114" si="970">BI116/BI79</f>
        <v>430.82764451681589</v>
      </c>
      <c r="BJ114" s="202" t="s">
        <v>111</v>
      </c>
      <c r="BK114" s="203">
        <f t="shared" si="970"/>
        <v>440.53988168757718</v>
      </c>
      <c r="BL114" s="202" t="s">
        <v>111</v>
      </c>
      <c r="BM114" s="203">
        <f t="shared" ref="BM114" si="971">BM116/BM79</f>
        <v>438.53548387096777</v>
      </c>
      <c r="BN114" s="202" t="s">
        <v>111</v>
      </c>
      <c r="BO114" s="203">
        <f t="shared" ref="BO114" si="972">BO116/BO79</f>
        <v>438.90432098765433</v>
      </c>
      <c r="BP114" s="202" t="s">
        <v>111</v>
      </c>
      <c r="BQ114" s="203">
        <f t="shared" ref="BQ114" si="973">BQ116/BQ79</f>
        <v>440.4320987654321</v>
      </c>
      <c r="BR114" s="202" t="s">
        <v>111</v>
      </c>
      <c r="BS114" s="203">
        <f t="shared" ref="BS114" si="974">BS116/BS79</f>
        <v>440.4320987654321</v>
      </c>
      <c r="BT114" s="202" t="s">
        <v>111</v>
      </c>
      <c r="BU114" s="203">
        <f t="shared" ref="BU114" si="975">BU116/BU79</f>
        <v>439.83950617283949</v>
      </c>
      <c r="BV114" s="202" t="s">
        <v>111</v>
      </c>
      <c r="BW114" s="203">
        <f>BW116/BW79</f>
        <v>421.23319211641183</v>
      </c>
      <c r="BX114" s="202" t="s">
        <v>111</v>
      </c>
      <c r="BY114" s="203">
        <f t="shared" ref="BY114" si="976">BY116/BY79</f>
        <v>441.27469135802471</v>
      </c>
      <c r="BZ114" s="202" t="s">
        <v>111</v>
      </c>
      <c r="CA114" s="203">
        <f t="shared" ref="CA114" si="977">CA116/CA79</f>
        <v>439.83950617283949</v>
      </c>
      <c r="CB114" s="202" t="s">
        <v>111</v>
      </c>
      <c r="CC114" s="203">
        <f t="shared" ref="CC114" si="978">CC116/CC79</f>
        <v>447.55709876543204</v>
      </c>
      <c r="CD114" s="202" t="s">
        <v>111</v>
      </c>
      <c r="CE114" s="203">
        <f t="shared" ref="CE114" si="979">CE116/CE79</f>
        <v>447.55709876543204</v>
      </c>
      <c r="CF114" s="202" t="s">
        <v>111</v>
      </c>
      <c r="CG114" s="203">
        <f t="shared" ref="CG114" si="980">CG116/CG79</f>
        <v>443.3070987654321</v>
      </c>
      <c r="CH114" s="202" t="s">
        <v>111</v>
      </c>
      <c r="CI114" s="203">
        <f t="shared" ref="CI114" si="981">CI116/CI79</f>
        <v>443.3070987654321</v>
      </c>
      <c r="CJ114" s="202" t="s">
        <v>111</v>
      </c>
      <c r="CK114" s="203">
        <f t="shared" ref="CK114" si="982">CK116/CK79</f>
        <v>443.3070987654321</v>
      </c>
      <c r="CL114" s="202" t="s">
        <v>111</v>
      </c>
      <c r="CM114" s="203">
        <f t="shared" ref="CM114" si="983">CM116/CM79</f>
        <v>443.3070987654321</v>
      </c>
      <c r="CN114" s="202" t="s">
        <v>111</v>
      </c>
      <c r="CO114" s="203">
        <f t="shared" ref="CO114" si="984">CO116/CO79</f>
        <v>443.3070987654321</v>
      </c>
      <c r="CR114" s="202" t="s">
        <v>111</v>
      </c>
      <c r="CS114" s="203">
        <f t="shared" ref="CS114" si="985">CS116/CS79</f>
        <v>431.6464051083687</v>
      </c>
    </row>
    <row r="115" spans="1:97" s="65" customFormat="1" ht="18" hidden="1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9.3212555834364386E-2</v>
      </c>
      <c r="H115" s="202" t="s">
        <v>111</v>
      </c>
      <c r="I115" s="203">
        <f>I114/I66</f>
        <v>9.3115928027573111E-2</v>
      </c>
      <c r="J115" s="202" t="s">
        <v>111</v>
      </c>
      <c r="K115" s="203">
        <f>K114/K66</f>
        <v>9.314005467153201E-2</v>
      </c>
      <c r="L115" s="202" t="s">
        <v>111</v>
      </c>
      <c r="M115" s="203">
        <f>M114/M66</f>
        <v>9.3059710892793288E-2</v>
      </c>
      <c r="N115" s="202" t="s">
        <v>111</v>
      </c>
      <c r="O115" s="203">
        <f>O114/O66</f>
        <v>9.2073964678142231E-2</v>
      </c>
      <c r="P115" s="202" t="s">
        <v>111</v>
      </c>
      <c r="Q115" s="203">
        <f>Q114/Q66</f>
        <v>9.1857762377729218E-2</v>
      </c>
      <c r="R115" s="202" t="s">
        <v>111</v>
      </c>
      <c r="S115" s="203">
        <f>S114/S66</f>
        <v>9.070492211363114E-2</v>
      </c>
      <c r="T115" s="202" t="s">
        <v>111</v>
      </c>
      <c r="U115" s="203">
        <f>U114/U66</f>
        <v>9.11738682816296E-2</v>
      </c>
      <c r="V115" s="202" t="s">
        <v>111</v>
      </c>
      <c r="W115" s="203">
        <f>W114/W66</f>
        <v>9.0491699422127175E-2</v>
      </c>
      <c r="X115" s="202" t="s">
        <v>111</v>
      </c>
      <c r="Y115" s="203">
        <f>Y114/Y66</f>
        <v>8.9130927991521558E-2</v>
      </c>
      <c r="Z115" s="202" t="s">
        <v>111</v>
      </c>
      <c r="AA115" s="203">
        <f>AA114/AA66</f>
        <v>8.8351687168359713E-2</v>
      </c>
      <c r="AB115" s="202" t="s">
        <v>111</v>
      </c>
      <c r="AC115" s="203">
        <f>AC114/AC66</f>
        <v>8.842621734124477E-2</v>
      </c>
      <c r="AD115" s="202" t="s">
        <v>111</v>
      </c>
      <c r="AE115" s="203">
        <f t="shared" ref="AE115" si="986">AE114/AE66</f>
        <v>8.9435696560407743E-2</v>
      </c>
      <c r="AF115" s="202" t="s">
        <v>111</v>
      </c>
      <c r="AG115" s="203">
        <f t="shared" ref="AG115" si="987">AG114/AG66</f>
        <v>9.0294655070976948E-2</v>
      </c>
      <c r="AH115" s="202" t="s">
        <v>111</v>
      </c>
      <c r="AI115" s="203">
        <f t="shared" ref="AI115" si="988">AI114/AI66</f>
        <v>8.9633705944327013E-2</v>
      </c>
      <c r="AJ115" s="202" t="s">
        <v>111</v>
      </c>
      <c r="AK115" s="203">
        <f t="shared" ref="AK115" si="989">AK114/AK66</f>
        <v>9.1158858853867056E-2</v>
      </c>
      <c r="AL115" s="202" t="s">
        <v>111</v>
      </c>
      <c r="AM115" s="203">
        <f t="shared" ref="AM115" si="990">AM114/AM66</f>
        <v>9.1445427122630069E-2</v>
      </c>
      <c r="AN115" s="202" t="s">
        <v>111</v>
      </c>
      <c r="AO115" s="203">
        <f t="shared" ref="AO115" si="991">AO114/AO66</f>
        <v>9.0882635019876867E-2</v>
      </c>
      <c r="AP115" s="202" t="s">
        <v>111</v>
      </c>
      <c r="AQ115" s="203">
        <f t="shared" ref="AQ115" si="992">AQ114/AQ66</f>
        <v>9.0539347570203446E-2</v>
      </c>
      <c r="AR115" s="202" t="s">
        <v>111</v>
      </c>
      <c r="AS115" s="203">
        <f t="shared" ref="AS115:AY115" si="993">AS114/AS66</f>
        <v>8.9772465171450946E-2</v>
      </c>
      <c r="AT115" s="202" t="s">
        <v>111</v>
      </c>
      <c r="AU115" s="203">
        <f t="shared" si="993"/>
        <v>8.9421608371207675E-2</v>
      </c>
      <c r="AV115" s="202" t="s">
        <v>111</v>
      </c>
      <c r="AW115" s="203">
        <f t="shared" si="993"/>
        <v>8.8122640656245074E-2</v>
      </c>
      <c r="AX115" s="202" t="s">
        <v>111</v>
      </c>
      <c r="AY115" s="203">
        <f t="shared" si="993"/>
        <v>8.9506735673837851E-2</v>
      </c>
      <c r="AZ115" s="202" t="s">
        <v>111</v>
      </c>
      <c r="BA115" s="203">
        <f t="shared" ref="BA115:BC115" si="994">BA114/BA66</f>
        <v>9.0089612723819865E-2</v>
      </c>
      <c r="BB115" s="202" t="s">
        <v>111</v>
      </c>
      <c r="BC115" s="203">
        <f t="shared" si="994"/>
        <v>8.9530629107122464E-2</v>
      </c>
      <c r="BD115" s="202" t="s">
        <v>111</v>
      </c>
      <c r="BE115" s="203">
        <f t="shared" ref="BE115:BG115" si="995">BE114/BE66</f>
        <v>8.8253914504398248E-2</v>
      </c>
      <c r="BF115" s="202" t="s">
        <v>111</v>
      </c>
      <c r="BG115" s="203">
        <f t="shared" si="995"/>
        <v>8.7541375931886253E-2</v>
      </c>
      <c r="BH115" s="202" t="s">
        <v>111</v>
      </c>
      <c r="BI115" s="203">
        <f t="shared" ref="BI115:BK115" si="996">BI114/BI66</f>
        <v>8.8574762441779586E-2</v>
      </c>
      <c r="BJ115" s="202" t="s">
        <v>111</v>
      </c>
      <c r="BK115" s="203">
        <f t="shared" si="996"/>
        <v>9.0571521728531487E-2</v>
      </c>
      <c r="BL115" s="202" t="s">
        <v>111</v>
      </c>
      <c r="BM115" s="203">
        <f t="shared" ref="BM115" si="997">BM114/BM66</f>
        <v>9.015943336162989E-2</v>
      </c>
      <c r="BN115" s="202" t="s">
        <v>111</v>
      </c>
      <c r="BO115" s="203">
        <f t="shared" ref="BO115" si="998">BO114/BO66</f>
        <v>0.1195924580347832</v>
      </c>
      <c r="BP115" s="202" t="s">
        <v>111</v>
      </c>
      <c r="BQ115" s="203">
        <f t="shared" ref="BQ115" si="999">BQ114/BQ66</f>
        <v>0.11010802469135803</v>
      </c>
      <c r="BR115" s="202" t="s">
        <v>111</v>
      </c>
      <c r="BS115" s="203">
        <f t="shared" ref="BS115" si="1000">BS114/BS66</f>
        <v>0.11010802469135803</v>
      </c>
      <c r="BT115" s="202" t="s">
        <v>111</v>
      </c>
      <c r="BU115" s="203">
        <f t="shared" ref="BU115" si="1001">BU114/BU66</f>
        <v>0.11359491378430772</v>
      </c>
      <c r="BV115" s="202" t="s">
        <v>111</v>
      </c>
      <c r="BW115" s="203">
        <f>BW114/BW66</f>
        <v>0.10878956407965182</v>
      </c>
      <c r="BX115" s="202" t="s">
        <v>111</v>
      </c>
      <c r="BY115" s="203">
        <f t="shared" ref="BY115" si="1002">BY114/BY66</f>
        <v>0.10551762108035025</v>
      </c>
      <c r="BZ115" s="202" t="s">
        <v>111</v>
      </c>
      <c r="CA115" s="203">
        <f t="shared" ref="CA115" si="1003">CA114/CA66</f>
        <v>0.11359491378430772</v>
      </c>
      <c r="CB115" s="202" t="s">
        <v>111</v>
      </c>
      <c r="CC115" s="203">
        <f t="shared" ref="CC115" si="1004">CC114/CC66</f>
        <v>8.0801064951332741E-2</v>
      </c>
      <c r="CD115" s="202" t="s">
        <v>111</v>
      </c>
      <c r="CE115" s="203">
        <f t="shared" ref="CE115" si="1005">CE114/CE66</f>
        <v>8.0801064951332741E-2</v>
      </c>
      <c r="CF115" s="202" t="s">
        <v>111</v>
      </c>
      <c r="CG115" s="203">
        <f t="shared" ref="CG115" si="1006">CG114/CG66</f>
        <v>9.5933152730022092E-2</v>
      </c>
      <c r="CH115" s="202" t="s">
        <v>111</v>
      </c>
      <c r="CI115" s="203">
        <f t="shared" ref="CI115" si="1007">CI114/CI66</f>
        <v>9.5933152730022092E-2</v>
      </c>
      <c r="CJ115" s="202" t="s">
        <v>111</v>
      </c>
      <c r="CK115" s="203">
        <f t="shared" ref="CK115" si="1008">CK114/CK66</f>
        <v>9.5933152730022092E-2</v>
      </c>
      <c r="CL115" s="202" t="s">
        <v>111</v>
      </c>
      <c r="CM115" s="203">
        <f t="shared" ref="CM115" si="1009">CM114/CM66</f>
        <v>9.5933152730022092E-2</v>
      </c>
      <c r="CN115" s="202" t="s">
        <v>111</v>
      </c>
      <c r="CO115" s="203">
        <f t="shared" ref="CO115" si="1010">CO114/CO66</f>
        <v>9.5933152730022092E-2</v>
      </c>
      <c r="CR115" s="202" t="s">
        <v>111</v>
      </c>
      <c r="CS115" s="203">
        <f t="shared" ref="CS115" si="1011">CS114/CS66</f>
        <v>0.17985266879515363</v>
      </c>
    </row>
    <row r="116" spans="1:97" s="65" customFormat="1" ht="18" hidden="1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6598075</v>
      </c>
      <c r="H116" s="202" t="s">
        <v>114</v>
      </c>
      <c r="I116" s="204">
        <f>I117*I66</f>
        <v>6602274.9999999991</v>
      </c>
      <c r="J116" s="202" t="s">
        <v>114</v>
      </c>
      <c r="K116" s="204">
        <f>K117*K66</f>
        <v>6601225</v>
      </c>
      <c r="L116" s="202" t="s">
        <v>114</v>
      </c>
      <c r="M116" s="204">
        <f>M117*M66</f>
        <v>6604725</v>
      </c>
      <c r="N116" s="202" t="s">
        <v>114</v>
      </c>
      <c r="O116" s="204">
        <f>O117*O66</f>
        <v>6648475</v>
      </c>
      <c r="P116" s="202" t="s">
        <v>114</v>
      </c>
      <c r="Q116" s="204">
        <f>Q117*Q66</f>
        <v>6658274.9999999991</v>
      </c>
      <c r="R116" s="202" t="s">
        <v>114</v>
      </c>
      <c r="S116" s="204">
        <f>S117*S66</f>
        <v>6711824.9999999991</v>
      </c>
      <c r="T116" s="202" t="s">
        <v>114</v>
      </c>
      <c r="U116" s="204">
        <f>U117*U66</f>
        <v>6689775</v>
      </c>
      <c r="V116" s="202" t="s">
        <v>114</v>
      </c>
      <c r="W116" s="204">
        <f>W117*W66</f>
        <v>6721975</v>
      </c>
      <c r="X116" s="202" t="s">
        <v>114</v>
      </c>
      <c r="Y116" s="204">
        <f>Y117*Y66</f>
        <v>6788650</v>
      </c>
      <c r="Z116" s="202" t="s">
        <v>114</v>
      </c>
      <c r="AA116" s="204">
        <f>AA117*AA66</f>
        <v>6828374.9999999991</v>
      </c>
      <c r="AB116" s="202" t="s">
        <v>114</v>
      </c>
      <c r="AC116" s="204">
        <f>AC117*AC66</f>
        <v>6824524.9999999991</v>
      </c>
      <c r="AD116" s="202" t="s">
        <v>114</v>
      </c>
      <c r="AE116" s="204">
        <f t="shared" ref="AE116" si="1012">AE117*AE66</f>
        <v>6773424.9999999991</v>
      </c>
      <c r="AF116" s="202" t="s">
        <v>114</v>
      </c>
      <c r="AG116" s="204">
        <f t="shared" ref="AG116" si="1013">AG117*AG66</f>
        <v>6731424.9999999991</v>
      </c>
      <c r="AH116" s="202" t="s">
        <v>114</v>
      </c>
      <c r="AI116" s="204">
        <f t="shared" ref="AI116" si="1014">AI117*AI66</f>
        <v>6763625</v>
      </c>
      <c r="AJ116" s="202" t="s">
        <v>114</v>
      </c>
      <c r="AK116" s="204">
        <f t="shared" ref="AK116" si="1015">AK117*AK66</f>
        <v>6690475</v>
      </c>
      <c r="AL116" s="202" t="s">
        <v>114</v>
      </c>
      <c r="AM116" s="204">
        <f t="shared" ref="AM116" si="1016">AM117*AM66</f>
        <v>6677175</v>
      </c>
      <c r="AN116" s="202" t="s">
        <v>114</v>
      </c>
      <c r="AO116" s="204">
        <f t="shared" ref="AO116" si="1017">AO117*AO66</f>
        <v>6703425</v>
      </c>
      <c r="AP116" s="202" t="s">
        <v>114</v>
      </c>
      <c r="AQ116" s="204">
        <f t="shared" ref="AQ116" si="1018">AQ117*AQ66</f>
        <v>6719699.9999999991</v>
      </c>
      <c r="AR116" s="202" t="s">
        <v>114</v>
      </c>
      <c r="AS116" s="204">
        <f t="shared" ref="AS116:AY116" si="1019">AS117*AS66</f>
        <v>6756799.9999999991</v>
      </c>
      <c r="AT116" s="202" t="s">
        <v>114</v>
      </c>
      <c r="AU116" s="204">
        <f t="shared" si="1019"/>
        <v>6774125</v>
      </c>
      <c r="AV116" s="202" t="s">
        <v>114</v>
      </c>
      <c r="AW116" s="204">
        <f t="shared" si="1019"/>
        <v>6840274.9999999991</v>
      </c>
      <c r="AX116" s="202" t="s">
        <v>114</v>
      </c>
      <c r="AY116" s="204">
        <f t="shared" si="1019"/>
        <v>6830375</v>
      </c>
      <c r="AZ116" s="202" t="s">
        <v>114</v>
      </c>
      <c r="BA116" s="204">
        <f t="shared" ref="BA116:BC116" si="1020">BA117*BA66</f>
        <v>6800800</v>
      </c>
      <c r="BB116" s="202" t="s">
        <v>114</v>
      </c>
      <c r="BC116" s="204">
        <f t="shared" si="1020"/>
        <v>6829149.9999999991</v>
      </c>
      <c r="BD116" s="202" t="s">
        <v>114</v>
      </c>
      <c r="BE116" s="204">
        <f t="shared" ref="BE116:BG116" si="1021">BE117*BE66</f>
        <v>6896175</v>
      </c>
      <c r="BF116" s="202" t="s">
        <v>114</v>
      </c>
      <c r="BG116" s="204">
        <f t="shared" si="1021"/>
        <v>6935024.9999999991</v>
      </c>
      <c r="BH116" s="202" t="s">
        <v>114</v>
      </c>
      <c r="BI116" s="204">
        <f t="shared" ref="BI116:BK116" si="1022">BI117*BI66</f>
        <v>6879024.9999999991</v>
      </c>
      <c r="BJ116" s="202" t="s">
        <v>114</v>
      </c>
      <c r="BK116" s="204">
        <f t="shared" si="1022"/>
        <v>6776825</v>
      </c>
      <c r="BL116" s="202" t="s">
        <v>114</v>
      </c>
      <c r="BM116" s="204">
        <f t="shared" ref="BM116" si="1023">BM117*BM66</f>
        <v>6797300</v>
      </c>
      <c r="BN116" s="202" t="s">
        <v>114</v>
      </c>
      <c r="BO116" s="204">
        <f t="shared" ref="BO116" si="1024">BO117*BO66</f>
        <v>7110250</v>
      </c>
      <c r="BP116" s="202" t="s">
        <v>114</v>
      </c>
      <c r="BQ116" s="204">
        <f t="shared" ref="BQ116" si="1025">BQ117*BQ66</f>
        <v>7135000</v>
      </c>
      <c r="BR116" s="202" t="s">
        <v>114</v>
      </c>
      <c r="BS116" s="204">
        <f t="shared" ref="BS116" si="1026">BS117*BS66</f>
        <v>7135000</v>
      </c>
      <c r="BT116" s="202" t="s">
        <v>114</v>
      </c>
      <c r="BU116" s="204">
        <f t="shared" ref="BU116" si="1027">BU117*BU66</f>
        <v>7125400</v>
      </c>
      <c r="BV116" s="202" t="s">
        <v>114</v>
      </c>
      <c r="BW116" s="204">
        <f>BW117*BW66</f>
        <v>6860624.9999999991</v>
      </c>
      <c r="BX116" s="202" t="s">
        <v>114</v>
      </c>
      <c r="BY116" s="204">
        <f t="shared" ref="BY116" si="1028">BY117*BY66</f>
        <v>7148650</v>
      </c>
      <c r="BZ116" s="202" t="s">
        <v>114</v>
      </c>
      <c r="CA116" s="204">
        <f t="shared" ref="CA116" si="1029">CA117*CA66</f>
        <v>7125400</v>
      </c>
      <c r="CB116" s="202" t="s">
        <v>114</v>
      </c>
      <c r="CC116" s="204">
        <f t="shared" ref="CC116" si="1030">CC117*CC66</f>
        <v>7250424.9999999991</v>
      </c>
      <c r="CD116" s="202" t="s">
        <v>114</v>
      </c>
      <c r="CE116" s="204">
        <f t="shared" ref="CE116" si="1031">CE117*CE66</f>
        <v>7250424.9999999991</v>
      </c>
      <c r="CF116" s="202" t="s">
        <v>114</v>
      </c>
      <c r="CG116" s="204">
        <f t="shared" ref="CG116" si="1032">CG117*CG66</f>
        <v>7181575</v>
      </c>
      <c r="CH116" s="202" t="s">
        <v>114</v>
      </c>
      <c r="CI116" s="204">
        <f t="shared" ref="CI116" si="1033">CI117*CI66</f>
        <v>7181575</v>
      </c>
      <c r="CJ116" s="202" t="s">
        <v>114</v>
      </c>
      <c r="CK116" s="204">
        <f t="shared" ref="CK116" si="1034">CK117*CK66</f>
        <v>7181575</v>
      </c>
      <c r="CL116" s="202" t="s">
        <v>114</v>
      </c>
      <c r="CM116" s="204">
        <f t="shared" ref="CM116" si="1035">CM117*CM66</f>
        <v>7181575</v>
      </c>
      <c r="CN116" s="202" t="s">
        <v>114</v>
      </c>
      <c r="CO116" s="204">
        <f t="shared" ref="CO116" si="1036">CO117*CO66</f>
        <v>7181575</v>
      </c>
      <c r="CR116" s="202" t="s">
        <v>114</v>
      </c>
      <c r="CS116" s="204">
        <f t="shared" ref="CS116" si="1037">CS117*CS66</f>
        <v>7030225.0000000009</v>
      </c>
    </row>
    <row r="117" spans="1:97" s="65" customFormat="1" ht="18" hidden="1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1335.6427125506073</v>
      </c>
      <c r="H117" s="202" t="s">
        <v>114</v>
      </c>
      <c r="I117" s="204">
        <f>SUM(I118:I123)</f>
        <v>1336.492914979757</v>
      </c>
      <c r="J117" s="202" t="s">
        <v>114</v>
      </c>
      <c r="K117" s="204">
        <f>SUM(K118:K123)</f>
        <v>1336.2803643724696</v>
      </c>
      <c r="L117" s="202" t="s">
        <v>114</v>
      </c>
      <c r="M117" s="204">
        <f>SUM(M118:M123)</f>
        <v>1336.9888663967611</v>
      </c>
      <c r="N117" s="202" t="s">
        <v>114</v>
      </c>
      <c r="O117" s="204">
        <f>SUM(O118:O123)</f>
        <v>1345.8451417004048</v>
      </c>
      <c r="P117" s="202" t="s">
        <v>114</v>
      </c>
      <c r="Q117" s="204">
        <f>SUM(Q118:Q123)</f>
        <v>1347.8289473684208</v>
      </c>
      <c r="R117" s="202" t="s">
        <v>114</v>
      </c>
      <c r="S117" s="204">
        <f>SUM(S118:S123)</f>
        <v>1358.6690283400808</v>
      </c>
      <c r="T117" s="202" t="s">
        <v>114</v>
      </c>
      <c r="U117" s="204">
        <f>SUM(U118:U123)</f>
        <v>1354.2054655870445</v>
      </c>
      <c r="V117" s="202" t="s">
        <v>114</v>
      </c>
      <c r="W117" s="204">
        <f>SUM(W118:W123)</f>
        <v>1360.7236842105262</v>
      </c>
      <c r="X117" s="202" t="s">
        <v>114</v>
      </c>
      <c r="Y117" s="204">
        <f>SUM(Y118:Y123)</f>
        <v>1374.2206477732793</v>
      </c>
      <c r="Z117" s="202" t="s">
        <v>114</v>
      </c>
      <c r="AA117" s="204">
        <f>SUM(AA118:AA123)</f>
        <v>1382.2621457489877</v>
      </c>
      <c r="AB117" s="202" t="s">
        <v>114</v>
      </c>
      <c r="AC117" s="204">
        <f>SUM(AC118:AC123)</f>
        <v>1381.482793522267</v>
      </c>
      <c r="AD117" s="202" t="s">
        <v>114</v>
      </c>
      <c r="AE117" s="204">
        <f t="shared" ref="AE117" si="1038">SUM(AE118:AE123)</f>
        <v>1371.1386639676111</v>
      </c>
      <c r="AF117" s="202" t="s">
        <v>114</v>
      </c>
      <c r="AG117" s="204">
        <f t="shared" ref="AG117" si="1039">SUM(AG118:AG123)</f>
        <v>1362.6366396761132</v>
      </c>
      <c r="AH117" s="202" t="s">
        <v>114</v>
      </c>
      <c r="AI117" s="204">
        <f t="shared" ref="AI117" si="1040">SUM(AI118:AI123)</f>
        <v>1369.1548582995952</v>
      </c>
      <c r="AJ117" s="202" t="s">
        <v>114</v>
      </c>
      <c r="AK117" s="204">
        <f t="shared" ref="AK117" si="1041">SUM(AK118:AK123)</f>
        <v>1354.3471659919028</v>
      </c>
      <c r="AL117" s="202" t="s">
        <v>114</v>
      </c>
      <c r="AM117" s="204">
        <f t="shared" ref="AM117" si="1042">SUM(AM118:AM123)</f>
        <v>1351.6548582995952</v>
      </c>
      <c r="AN117" s="202" t="s">
        <v>114</v>
      </c>
      <c r="AO117" s="204">
        <f t="shared" ref="AO117" si="1043">SUM(AO118:AO123)</f>
        <v>1356.9686234817814</v>
      </c>
      <c r="AP117" s="202" t="s">
        <v>114</v>
      </c>
      <c r="AQ117" s="204">
        <f t="shared" ref="AQ117" si="1044">SUM(AQ118:AQ123)</f>
        <v>1360.2631578947367</v>
      </c>
      <c r="AR117" s="202" t="s">
        <v>114</v>
      </c>
      <c r="AS117" s="204">
        <f t="shared" ref="AS117:AY117" si="1045">SUM(AS118:AS123)</f>
        <v>1367.7732793522266</v>
      </c>
      <c r="AT117" s="202" t="s">
        <v>114</v>
      </c>
      <c r="AU117" s="204">
        <f t="shared" si="1045"/>
        <v>1371.2803643724696</v>
      </c>
      <c r="AV117" s="202" t="s">
        <v>114</v>
      </c>
      <c r="AW117" s="204">
        <f t="shared" si="1045"/>
        <v>1384.6710526315787</v>
      </c>
      <c r="AX117" s="202" t="s">
        <v>114</v>
      </c>
      <c r="AY117" s="204">
        <f t="shared" si="1045"/>
        <v>1404.2711759868421</v>
      </c>
      <c r="AZ117" s="202" t="s">
        <v>114</v>
      </c>
      <c r="BA117" s="204">
        <f t="shared" ref="BA117:BC117" si="1046">SUM(BA118:BA123)</f>
        <v>1398.1907894736842</v>
      </c>
      <c r="BB117" s="202" t="s">
        <v>114</v>
      </c>
      <c r="BC117" s="204">
        <f t="shared" si="1046"/>
        <v>1404.0193256578946</v>
      </c>
      <c r="BD117" s="202" t="s">
        <v>114</v>
      </c>
      <c r="BE117" s="204">
        <f t="shared" ref="BE117:BG117" si="1047">SUM(BE118:BE123)</f>
        <v>1417.7991365131579</v>
      </c>
      <c r="BF117" s="202" t="s">
        <v>114</v>
      </c>
      <c r="BG117" s="204">
        <f t="shared" si="1047"/>
        <v>1425.7863898026314</v>
      </c>
      <c r="BH117" s="202" t="s">
        <v>114</v>
      </c>
      <c r="BI117" s="204">
        <f t="shared" ref="BI117:BK117" si="1048">SUM(BI118:BI123)</f>
        <v>1414.2732319078946</v>
      </c>
      <c r="BJ117" s="202" t="s">
        <v>114</v>
      </c>
      <c r="BK117" s="204">
        <f t="shared" si="1048"/>
        <v>1393.26171875</v>
      </c>
      <c r="BL117" s="202" t="s">
        <v>114</v>
      </c>
      <c r="BM117" s="204">
        <f t="shared" ref="BM117" si="1049">SUM(BM118:BM123)</f>
        <v>1397.4712171052631</v>
      </c>
      <c r="BN117" s="202" t="s">
        <v>114</v>
      </c>
      <c r="BO117" s="204">
        <f t="shared" ref="BO117" si="1050">SUM(BO118:BO123)</f>
        <v>1937.3978201634877</v>
      </c>
      <c r="BP117" s="202" t="s">
        <v>114</v>
      </c>
      <c r="BQ117" s="204">
        <f t="shared" ref="BQ117" si="1051">SUM(BQ118:BQ123)</f>
        <v>1783.75</v>
      </c>
      <c r="BR117" s="202" t="s">
        <v>114</v>
      </c>
      <c r="BS117" s="204">
        <f t="shared" ref="BS117" si="1052">SUM(BS118:BS123)</f>
        <v>1783.75</v>
      </c>
      <c r="BT117" s="202" t="s">
        <v>114</v>
      </c>
      <c r="BU117" s="204">
        <f t="shared" ref="BU117" si="1053">SUM(BU118:BU123)</f>
        <v>1840.2376033057851</v>
      </c>
      <c r="BV117" s="202" t="s">
        <v>114</v>
      </c>
      <c r="BW117" s="204">
        <f>SUM(BW118:BW123)</f>
        <v>1771.8556301652891</v>
      </c>
      <c r="BX117" s="202" t="s">
        <v>114</v>
      </c>
      <c r="BY117" s="204">
        <f t="shared" ref="BY117" si="1054">SUM(BY118:BY123)</f>
        <v>1709.3854615016739</v>
      </c>
      <c r="BZ117" s="202" t="s">
        <v>114</v>
      </c>
      <c r="CA117" s="204">
        <f t="shared" ref="CA117" si="1055">SUM(CA118:CA123)</f>
        <v>1840.2376033057851</v>
      </c>
      <c r="CB117" s="202" t="s">
        <v>114</v>
      </c>
      <c r="CC117" s="204">
        <f t="shared" ref="CC117" si="1056">SUM(CC118:CC123)</f>
        <v>1308.9772522115904</v>
      </c>
      <c r="CD117" s="202" t="s">
        <v>114</v>
      </c>
      <c r="CE117" s="204">
        <f t="shared" ref="CE117" si="1057">SUM(CE118:CE123)</f>
        <v>1308.9772522115904</v>
      </c>
      <c r="CF117" s="202" t="s">
        <v>114</v>
      </c>
      <c r="CG117" s="204">
        <f t="shared" ref="CG117" si="1058">SUM(CG118:CG123)</f>
        <v>1554.117074226358</v>
      </c>
      <c r="CH117" s="202" t="s">
        <v>114</v>
      </c>
      <c r="CI117" s="204">
        <f t="shared" ref="CI117" si="1059">SUM(CI118:CI123)</f>
        <v>1554.117074226358</v>
      </c>
      <c r="CJ117" s="202" t="s">
        <v>114</v>
      </c>
      <c r="CK117" s="204">
        <f t="shared" ref="CK117" si="1060">SUM(CK118:CK123)</f>
        <v>1554.117074226358</v>
      </c>
      <c r="CL117" s="202" t="s">
        <v>114</v>
      </c>
      <c r="CM117" s="204">
        <f t="shared" ref="CM117" si="1061">SUM(CM118:CM123)</f>
        <v>1554.117074226358</v>
      </c>
      <c r="CN117" s="202" t="s">
        <v>114</v>
      </c>
      <c r="CO117" s="204">
        <f t="shared" ref="CO117" si="1062">SUM(CO118:CO123)</f>
        <v>1554.117074226358</v>
      </c>
      <c r="CR117" s="202" t="s">
        <v>114</v>
      </c>
      <c r="CS117" s="204">
        <f t="shared" ref="CS117" si="1063">SUM(CS118:CS123)</f>
        <v>2929.260416666667</v>
      </c>
    </row>
    <row r="118" spans="1:97" s="65" customFormat="1" ht="18" hidden="1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  <c r="BX118" s="202" t="s">
        <v>114</v>
      </c>
      <c r="BY118" s="204">
        <v>75</v>
      </c>
      <c r="BZ118" s="202" t="s">
        <v>114</v>
      </c>
      <c r="CA118" s="204">
        <v>75</v>
      </c>
      <c r="CB118" s="202" t="s">
        <v>114</v>
      </c>
      <c r="CC118" s="204">
        <v>75</v>
      </c>
      <c r="CD118" s="202" t="s">
        <v>114</v>
      </c>
      <c r="CE118" s="204">
        <v>75</v>
      </c>
      <c r="CF118" s="202" t="s">
        <v>114</v>
      </c>
      <c r="CG118" s="204">
        <v>75</v>
      </c>
      <c r="CH118" s="202" t="s">
        <v>114</v>
      </c>
      <c r="CI118" s="204">
        <v>75</v>
      </c>
      <c r="CJ118" s="202" t="s">
        <v>114</v>
      </c>
      <c r="CK118" s="204">
        <v>75</v>
      </c>
      <c r="CL118" s="202" t="s">
        <v>114</v>
      </c>
      <c r="CM118" s="204">
        <v>75</v>
      </c>
      <c r="CN118" s="202" t="s">
        <v>114</v>
      </c>
      <c r="CO118" s="204">
        <v>75</v>
      </c>
      <c r="CR118" s="202" t="s">
        <v>114</v>
      </c>
      <c r="CS118" s="204">
        <v>75</v>
      </c>
    </row>
    <row r="119" spans="1:97" s="65" customFormat="1" ht="18" hidden="1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392.71255060728743</v>
      </c>
      <c r="H119" s="202" t="s">
        <v>114</v>
      </c>
      <c r="I119" s="204">
        <f>1940000/I66</f>
        <v>392.71255060728743</v>
      </c>
      <c r="J119" s="202" t="s">
        <v>114</v>
      </c>
      <c r="K119" s="204">
        <f>1940000/K66</f>
        <v>392.71255060728743</v>
      </c>
      <c r="L119" s="202" t="s">
        <v>114</v>
      </c>
      <c r="M119" s="204">
        <f>1940000/M66</f>
        <v>392.71255060728743</v>
      </c>
      <c r="N119" s="202" t="s">
        <v>114</v>
      </c>
      <c r="O119" s="204">
        <f>1940000/O66</f>
        <v>392.71255060728743</v>
      </c>
      <c r="P119" s="202" t="s">
        <v>114</v>
      </c>
      <c r="Q119" s="204">
        <f>1940000/Q66</f>
        <v>392.71255060728743</v>
      </c>
      <c r="R119" s="202" t="s">
        <v>114</v>
      </c>
      <c r="S119" s="204">
        <f>1940000/S66</f>
        <v>392.71255060728743</v>
      </c>
      <c r="T119" s="202" t="s">
        <v>114</v>
      </c>
      <c r="U119" s="204">
        <f>1940000/U66</f>
        <v>392.71255060728743</v>
      </c>
      <c r="V119" s="202" t="s">
        <v>114</v>
      </c>
      <c r="W119" s="204">
        <f>1940000/W66</f>
        <v>392.71255060728743</v>
      </c>
      <c r="X119" s="202" t="s">
        <v>114</v>
      </c>
      <c r="Y119" s="204">
        <f>1940000/Y66</f>
        <v>392.71255060728743</v>
      </c>
      <c r="Z119" s="202" t="s">
        <v>114</v>
      </c>
      <c r="AA119" s="204">
        <f>1940000/AA66</f>
        <v>392.71255060728743</v>
      </c>
      <c r="AB119" s="202" t="s">
        <v>114</v>
      </c>
      <c r="AC119" s="204">
        <f>1940000/AC66</f>
        <v>392.71255060728743</v>
      </c>
      <c r="AD119" s="202" t="s">
        <v>114</v>
      </c>
      <c r="AE119" s="204">
        <f t="shared" ref="AE119" si="1064">1940000/AE66</f>
        <v>392.71255060728743</v>
      </c>
      <c r="AF119" s="202" t="s">
        <v>114</v>
      </c>
      <c r="AG119" s="204">
        <f t="shared" ref="AG119" si="1065">1940000/AG66</f>
        <v>392.71255060728743</v>
      </c>
      <c r="AH119" s="202" t="s">
        <v>114</v>
      </c>
      <c r="AI119" s="204">
        <f t="shared" ref="AI119" si="1066">1940000/AI66</f>
        <v>392.71255060728743</v>
      </c>
      <c r="AJ119" s="202" t="s">
        <v>114</v>
      </c>
      <c r="AK119" s="204">
        <f t="shared" ref="AK119" si="1067">1940000/AK66</f>
        <v>392.71255060728743</v>
      </c>
      <c r="AL119" s="202" t="s">
        <v>114</v>
      </c>
      <c r="AM119" s="204">
        <f t="shared" ref="AM119" si="1068">1940000/AM66</f>
        <v>392.71255060728743</v>
      </c>
      <c r="AN119" s="202" t="s">
        <v>114</v>
      </c>
      <c r="AO119" s="204">
        <f t="shared" ref="AO119" si="1069">1940000/AO66</f>
        <v>392.71255060728743</v>
      </c>
      <c r="AP119" s="202" t="s">
        <v>114</v>
      </c>
      <c r="AQ119" s="204">
        <f t="shared" ref="AQ119" si="1070">1940000/AQ66</f>
        <v>392.71255060728743</v>
      </c>
      <c r="AR119" s="202" t="s">
        <v>114</v>
      </c>
      <c r="AS119" s="204">
        <f t="shared" ref="AS119:AY119" si="1071">1940000/AS66</f>
        <v>392.71255060728743</v>
      </c>
      <c r="AT119" s="202" t="s">
        <v>114</v>
      </c>
      <c r="AU119" s="204">
        <f t="shared" si="1071"/>
        <v>392.71255060728743</v>
      </c>
      <c r="AV119" s="202" t="s">
        <v>114</v>
      </c>
      <c r="AW119" s="204">
        <f t="shared" si="1071"/>
        <v>392.71255060728743</v>
      </c>
      <c r="AX119" s="202" t="s">
        <v>114</v>
      </c>
      <c r="AY119" s="204">
        <f t="shared" si="1071"/>
        <v>398.8486842105263</v>
      </c>
      <c r="AZ119" s="202" t="s">
        <v>114</v>
      </c>
      <c r="BA119" s="204">
        <f t="shared" ref="BA119:BC119" si="1072">1940000/BA66</f>
        <v>398.8486842105263</v>
      </c>
      <c r="BB119" s="202" t="s">
        <v>114</v>
      </c>
      <c r="BC119" s="204">
        <f t="shared" si="1072"/>
        <v>398.8486842105263</v>
      </c>
      <c r="BD119" s="202" t="s">
        <v>114</v>
      </c>
      <c r="BE119" s="204">
        <f t="shared" ref="BE119:BG119" si="1073">1940000/BE66</f>
        <v>398.8486842105263</v>
      </c>
      <c r="BF119" s="202" t="s">
        <v>114</v>
      </c>
      <c r="BG119" s="204">
        <f t="shared" si="1073"/>
        <v>398.8486842105263</v>
      </c>
      <c r="BH119" s="202" t="s">
        <v>114</v>
      </c>
      <c r="BI119" s="204">
        <f t="shared" ref="BI119:BK119" si="1074">1940000/BI66</f>
        <v>398.8486842105263</v>
      </c>
      <c r="BJ119" s="202" t="s">
        <v>114</v>
      </c>
      <c r="BK119" s="204">
        <f t="shared" si="1074"/>
        <v>398.8486842105263</v>
      </c>
      <c r="BL119" s="202" t="s">
        <v>114</v>
      </c>
      <c r="BM119" s="204">
        <f t="shared" ref="BM119" si="1075">1940000/BM66</f>
        <v>398.8486842105263</v>
      </c>
      <c r="BN119" s="202" t="s">
        <v>114</v>
      </c>
      <c r="BO119" s="204">
        <f>2150000/BO66</f>
        <v>585.83106267029973</v>
      </c>
      <c r="BP119" s="202" t="s">
        <v>114</v>
      </c>
      <c r="BQ119" s="204">
        <f>2150000/BQ66</f>
        <v>537.5</v>
      </c>
      <c r="BR119" s="202" t="s">
        <v>114</v>
      </c>
      <c r="BS119" s="204">
        <f>2150000/BS66</f>
        <v>537.5</v>
      </c>
      <c r="BT119" s="202" t="s">
        <v>114</v>
      </c>
      <c r="BU119" s="204">
        <f>2150000/BU66</f>
        <v>555.26859504132233</v>
      </c>
      <c r="BV119" s="202" t="s">
        <v>114</v>
      </c>
      <c r="BW119" s="204">
        <f>1940000/BW66</f>
        <v>501.03305785123968</v>
      </c>
      <c r="BX119" s="202" t="s">
        <v>114</v>
      </c>
      <c r="BY119" s="204">
        <f>2150000/BY66</f>
        <v>514.10808225729318</v>
      </c>
      <c r="BZ119" s="202" t="s">
        <v>114</v>
      </c>
      <c r="CA119" s="204">
        <f>2150000/CA66</f>
        <v>555.26859504132233</v>
      </c>
      <c r="CB119" s="202" t="s">
        <v>114</v>
      </c>
      <c r="CC119" s="204">
        <f>2150000/CC66</f>
        <v>388.15670698682072</v>
      </c>
      <c r="CD119" s="202" t="s">
        <v>114</v>
      </c>
      <c r="CE119" s="204">
        <f>2150000/CE66</f>
        <v>388.15670698682072</v>
      </c>
      <c r="CF119" s="202" t="s">
        <v>114</v>
      </c>
      <c r="CG119" s="204">
        <f>2150000/CG66</f>
        <v>465.26725816922743</v>
      </c>
      <c r="CH119" s="202" t="s">
        <v>114</v>
      </c>
      <c r="CI119" s="204">
        <f>2150000/CI66</f>
        <v>465.26725816922743</v>
      </c>
      <c r="CJ119" s="202" t="s">
        <v>114</v>
      </c>
      <c r="CK119" s="204">
        <f>2150000/CK66</f>
        <v>465.26725816922743</v>
      </c>
      <c r="CL119" s="202" t="s">
        <v>114</v>
      </c>
      <c r="CM119" s="204">
        <f>2150000/CM66</f>
        <v>465.26725816922743</v>
      </c>
      <c r="CN119" s="202" t="s">
        <v>114</v>
      </c>
      <c r="CO119" s="204">
        <f>2150000/CO66</f>
        <v>465.26725816922743</v>
      </c>
      <c r="CR119" s="202" t="s">
        <v>114</v>
      </c>
      <c r="CS119" s="204">
        <f>2150000/CS66</f>
        <v>895.83333333333337</v>
      </c>
    </row>
    <row r="120" spans="1:97" s="65" customFormat="1" ht="18" hidden="1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55.668016194331983</v>
      </c>
      <c r="H120" s="202" t="s">
        <v>114</v>
      </c>
      <c r="I120" s="204">
        <f>275000/I66</f>
        <v>55.668016194331983</v>
      </c>
      <c r="J120" s="202" t="s">
        <v>114</v>
      </c>
      <c r="K120" s="204">
        <f>275000/K66</f>
        <v>55.668016194331983</v>
      </c>
      <c r="L120" s="202" t="s">
        <v>114</v>
      </c>
      <c r="M120" s="204">
        <f>275000/M66</f>
        <v>55.668016194331983</v>
      </c>
      <c r="N120" s="202" t="s">
        <v>114</v>
      </c>
      <c r="O120" s="204">
        <f>275000/O66</f>
        <v>55.668016194331983</v>
      </c>
      <c r="P120" s="202" t="s">
        <v>114</v>
      </c>
      <c r="Q120" s="204">
        <f>275000/Q66</f>
        <v>55.668016194331983</v>
      </c>
      <c r="R120" s="202" t="s">
        <v>114</v>
      </c>
      <c r="S120" s="204">
        <f>275000/S66</f>
        <v>55.668016194331983</v>
      </c>
      <c r="T120" s="202" t="s">
        <v>114</v>
      </c>
      <c r="U120" s="204">
        <f>275000/U66</f>
        <v>55.668016194331983</v>
      </c>
      <c r="V120" s="202" t="s">
        <v>114</v>
      </c>
      <c r="W120" s="204">
        <f>275000/W66</f>
        <v>55.668016194331983</v>
      </c>
      <c r="X120" s="202" t="s">
        <v>114</v>
      </c>
      <c r="Y120" s="204">
        <f>275000/Y66</f>
        <v>55.668016194331983</v>
      </c>
      <c r="Z120" s="202" t="s">
        <v>114</v>
      </c>
      <c r="AA120" s="204">
        <f>275000/AA66</f>
        <v>55.668016194331983</v>
      </c>
      <c r="AB120" s="202" t="s">
        <v>114</v>
      </c>
      <c r="AC120" s="204">
        <f>275000/AC66</f>
        <v>55.668016194331983</v>
      </c>
      <c r="AD120" s="202" t="s">
        <v>114</v>
      </c>
      <c r="AE120" s="204">
        <f t="shared" ref="AE120" si="1076">275000/AE66</f>
        <v>55.668016194331983</v>
      </c>
      <c r="AF120" s="202" t="s">
        <v>114</v>
      </c>
      <c r="AG120" s="204">
        <f t="shared" ref="AG120" si="1077">275000/AG66</f>
        <v>55.668016194331983</v>
      </c>
      <c r="AH120" s="202" t="s">
        <v>114</v>
      </c>
      <c r="AI120" s="204">
        <f t="shared" ref="AI120" si="1078">275000/AI66</f>
        <v>55.668016194331983</v>
      </c>
      <c r="AJ120" s="202" t="s">
        <v>114</v>
      </c>
      <c r="AK120" s="204">
        <f t="shared" ref="AK120" si="1079">275000/AK66</f>
        <v>55.668016194331983</v>
      </c>
      <c r="AL120" s="202" t="s">
        <v>114</v>
      </c>
      <c r="AM120" s="204">
        <f t="shared" ref="AM120" si="1080">275000/AM66</f>
        <v>55.668016194331983</v>
      </c>
      <c r="AN120" s="202" t="s">
        <v>114</v>
      </c>
      <c r="AO120" s="204">
        <f t="shared" ref="AO120" si="1081">275000/AO66</f>
        <v>55.668016194331983</v>
      </c>
      <c r="AP120" s="202" t="s">
        <v>114</v>
      </c>
      <c r="AQ120" s="204">
        <f t="shared" ref="AQ120" si="1082">275000/AQ66</f>
        <v>55.668016194331983</v>
      </c>
      <c r="AR120" s="202" t="s">
        <v>114</v>
      </c>
      <c r="AS120" s="204">
        <f t="shared" ref="AS120:AY120" si="1083">275000/AS66</f>
        <v>55.668016194331983</v>
      </c>
      <c r="AT120" s="202" t="s">
        <v>114</v>
      </c>
      <c r="AU120" s="204">
        <f t="shared" si="1083"/>
        <v>55.668016194331983</v>
      </c>
      <c r="AV120" s="202" t="s">
        <v>114</v>
      </c>
      <c r="AW120" s="204">
        <f t="shared" si="1083"/>
        <v>55.668016194331983</v>
      </c>
      <c r="AX120" s="202" t="s">
        <v>114</v>
      </c>
      <c r="AY120" s="204">
        <f t="shared" si="1083"/>
        <v>56.537828947368418</v>
      </c>
      <c r="AZ120" s="202" t="s">
        <v>114</v>
      </c>
      <c r="BA120" s="204">
        <f t="shared" ref="BA120:BC120" si="1084">275000/BA66</f>
        <v>56.537828947368418</v>
      </c>
      <c r="BB120" s="202" t="s">
        <v>114</v>
      </c>
      <c r="BC120" s="204">
        <f t="shared" si="1084"/>
        <v>56.537828947368418</v>
      </c>
      <c r="BD120" s="202" t="s">
        <v>114</v>
      </c>
      <c r="BE120" s="204">
        <f t="shared" ref="BE120:BG120" si="1085">275000/BE66</f>
        <v>56.537828947368418</v>
      </c>
      <c r="BF120" s="202" t="s">
        <v>114</v>
      </c>
      <c r="BG120" s="204">
        <f t="shared" si="1085"/>
        <v>56.537828947368418</v>
      </c>
      <c r="BH120" s="202" t="s">
        <v>114</v>
      </c>
      <c r="BI120" s="204">
        <f t="shared" ref="BI120:BK120" si="1086">275000/BI66</f>
        <v>56.537828947368418</v>
      </c>
      <c r="BJ120" s="202" t="s">
        <v>114</v>
      </c>
      <c r="BK120" s="204">
        <f t="shared" si="1086"/>
        <v>56.537828947368418</v>
      </c>
      <c r="BL120" s="202" t="s">
        <v>114</v>
      </c>
      <c r="BM120" s="204">
        <f t="shared" ref="BM120" si="1087">275000/BM66</f>
        <v>56.537828947368418</v>
      </c>
      <c r="BN120" s="202" t="s">
        <v>114</v>
      </c>
      <c r="BO120" s="204">
        <f>300000/BO66</f>
        <v>81.743869209809262</v>
      </c>
      <c r="BP120" s="202" t="s">
        <v>114</v>
      </c>
      <c r="BQ120" s="204">
        <f>300000/BQ66</f>
        <v>75</v>
      </c>
      <c r="BR120" s="202" t="s">
        <v>114</v>
      </c>
      <c r="BS120" s="204">
        <f>300000/BS66</f>
        <v>75</v>
      </c>
      <c r="BT120" s="202" t="s">
        <v>114</v>
      </c>
      <c r="BU120" s="204">
        <f>300000/BU66</f>
        <v>77.47933884297521</v>
      </c>
      <c r="BV120" s="202" t="s">
        <v>114</v>
      </c>
      <c r="BW120" s="204">
        <f>275000/BW66</f>
        <v>71.022727272727266</v>
      </c>
      <c r="BX120" s="202" t="s">
        <v>114</v>
      </c>
      <c r="BY120" s="204">
        <f>300000/BY66</f>
        <v>71.736011477761835</v>
      </c>
      <c r="BZ120" s="202" t="s">
        <v>114</v>
      </c>
      <c r="CA120" s="204">
        <f>300000/CA66</f>
        <v>77.47933884297521</v>
      </c>
      <c r="CB120" s="202" t="s">
        <v>114</v>
      </c>
      <c r="CC120" s="204">
        <f>300000/CC66</f>
        <v>54.16140097490522</v>
      </c>
      <c r="CD120" s="202" t="s">
        <v>114</v>
      </c>
      <c r="CE120" s="204">
        <f>300000/CE66</f>
        <v>54.16140097490522</v>
      </c>
      <c r="CF120" s="202" t="s">
        <v>114</v>
      </c>
      <c r="CG120" s="204">
        <f>300000/CG66</f>
        <v>64.921012767799184</v>
      </c>
      <c r="CH120" s="202" t="s">
        <v>114</v>
      </c>
      <c r="CI120" s="204">
        <f>300000/CI66</f>
        <v>64.921012767799184</v>
      </c>
      <c r="CJ120" s="202" t="s">
        <v>114</v>
      </c>
      <c r="CK120" s="204">
        <f>300000/CK66</f>
        <v>64.921012767799184</v>
      </c>
      <c r="CL120" s="202" t="s">
        <v>114</v>
      </c>
      <c r="CM120" s="204">
        <f>300000/CM66</f>
        <v>64.921012767799184</v>
      </c>
      <c r="CN120" s="202" t="s">
        <v>114</v>
      </c>
      <c r="CO120" s="204">
        <f>300000/CO66</f>
        <v>64.921012767799184</v>
      </c>
      <c r="CR120" s="202" t="s">
        <v>114</v>
      </c>
      <c r="CS120" s="204">
        <f>300000/CS66</f>
        <v>125</v>
      </c>
    </row>
    <row r="121" spans="1:97" s="65" customFormat="1" ht="18" hidden="1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259.10931174089069</v>
      </c>
      <c r="H121" s="202" t="s">
        <v>114</v>
      </c>
      <c r="I121" s="204">
        <f>1280000/I66</f>
        <v>259.10931174089069</v>
      </c>
      <c r="J121" s="202" t="s">
        <v>114</v>
      </c>
      <c r="K121" s="204">
        <f>1280000/K66</f>
        <v>259.10931174089069</v>
      </c>
      <c r="L121" s="202" t="s">
        <v>114</v>
      </c>
      <c r="M121" s="204">
        <f>1280000/M66</f>
        <v>259.10931174089069</v>
      </c>
      <c r="N121" s="202" t="s">
        <v>114</v>
      </c>
      <c r="O121" s="204">
        <f>1280000/O66</f>
        <v>259.10931174089069</v>
      </c>
      <c r="P121" s="202" t="s">
        <v>114</v>
      </c>
      <c r="Q121" s="204">
        <f>1280000/Q66</f>
        <v>259.10931174089069</v>
      </c>
      <c r="R121" s="202" t="s">
        <v>114</v>
      </c>
      <c r="S121" s="204">
        <f>1280000/S66</f>
        <v>259.10931174089069</v>
      </c>
      <c r="T121" s="202" t="s">
        <v>114</v>
      </c>
      <c r="U121" s="204">
        <f>1280000/U66</f>
        <v>259.10931174089069</v>
      </c>
      <c r="V121" s="202" t="s">
        <v>114</v>
      </c>
      <c r="W121" s="204">
        <f>1280000/W66</f>
        <v>259.10931174089069</v>
      </c>
      <c r="X121" s="202" t="s">
        <v>114</v>
      </c>
      <c r="Y121" s="204">
        <f>1280000/Y66</f>
        <v>259.10931174089069</v>
      </c>
      <c r="Z121" s="202" t="s">
        <v>114</v>
      </c>
      <c r="AA121" s="204">
        <f>1280000/AA66</f>
        <v>259.10931174089069</v>
      </c>
      <c r="AB121" s="202" t="s">
        <v>114</v>
      </c>
      <c r="AC121" s="204">
        <f>1280000/AC66</f>
        <v>259.10931174089069</v>
      </c>
      <c r="AD121" s="202" t="s">
        <v>114</v>
      </c>
      <c r="AE121" s="204">
        <f t="shared" ref="AE121" si="1088">1280000/AE66</f>
        <v>259.10931174089069</v>
      </c>
      <c r="AF121" s="202" t="s">
        <v>114</v>
      </c>
      <c r="AG121" s="204">
        <f t="shared" ref="AG121" si="1089">1280000/AG66</f>
        <v>259.10931174089069</v>
      </c>
      <c r="AH121" s="202" t="s">
        <v>114</v>
      </c>
      <c r="AI121" s="204">
        <f t="shared" ref="AI121" si="1090">1280000/AI66</f>
        <v>259.10931174089069</v>
      </c>
      <c r="AJ121" s="202" t="s">
        <v>114</v>
      </c>
      <c r="AK121" s="204">
        <f t="shared" ref="AK121" si="1091">1280000/AK66</f>
        <v>259.10931174089069</v>
      </c>
      <c r="AL121" s="202" t="s">
        <v>114</v>
      </c>
      <c r="AM121" s="204">
        <f t="shared" ref="AM121" si="1092">1280000/AM66</f>
        <v>259.10931174089069</v>
      </c>
      <c r="AN121" s="202" t="s">
        <v>114</v>
      </c>
      <c r="AO121" s="204">
        <f t="shared" ref="AO121" si="1093">1280000/AO66</f>
        <v>259.10931174089069</v>
      </c>
      <c r="AP121" s="202" t="s">
        <v>114</v>
      </c>
      <c r="AQ121" s="204">
        <f t="shared" ref="AQ121" si="1094">1280000/AQ66</f>
        <v>259.10931174089069</v>
      </c>
      <c r="AR121" s="202" t="s">
        <v>114</v>
      </c>
      <c r="AS121" s="204">
        <f t="shared" ref="AS121:AY121" si="1095">1280000/AS66</f>
        <v>259.10931174089069</v>
      </c>
      <c r="AT121" s="202" t="s">
        <v>114</v>
      </c>
      <c r="AU121" s="204">
        <f t="shared" si="1095"/>
        <v>259.10931174089069</v>
      </c>
      <c r="AV121" s="202" t="s">
        <v>114</v>
      </c>
      <c r="AW121" s="204">
        <f t="shared" si="1095"/>
        <v>259.10931174089069</v>
      </c>
      <c r="AX121" s="202" t="s">
        <v>114</v>
      </c>
      <c r="AY121" s="204">
        <f t="shared" si="1095"/>
        <v>263.15789473684208</v>
      </c>
      <c r="AZ121" s="202" t="s">
        <v>114</v>
      </c>
      <c r="BA121" s="204">
        <f t="shared" ref="BA121:BC121" si="1096">1280000/BA66</f>
        <v>263.15789473684208</v>
      </c>
      <c r="BB121" s="202" t="s">
        <v>114</v>
      </c>
      <c r="BC121" s="204">
        <f t="shared" si="1096"/>
        <v>263.15789473684208</v>
      </c>
      <c r="BD121" s="202" t="s">
        <v>114</v>
      </c>
      <c r="BE121" s="204">
        <f t="shared" ref="BE121:BG121" si="1097">1280000/BE66</f>
        <v>263.15789473684208</v>
      </c>
      <c r="BF121" s="202" t="s">
        <v>114</v>
      </c>
      <c r="BG121" s="204">
        <f t="shared" si="1097"/>
        <v>263.15789473684208</v>
      </c>
      <c r="BH121" s="202" t="s">
        <v>114</v>
      </c>
      <c r="BI121" s="204">
        <f t="shared" ref="BI121:BK121" si="1098">1280000/BI66</f>
        <v>263.15789473684208</v>
      </c>
      <c r="BJ121" s="202" t="s">
        <v>114</v>
      </c>
      <c r="BK121" s="204">
        <f t="shared" si="1098"/>
        <v>263.15789473684208</v>
      </c>
      <c r="BL121" s="202" t="s">
        <v>114</v>
      </c>
      <c r="BM121" s="204">
        <f t="shared" ref="BM121" si="1099">1280000/BM66</f>
        <v>263.15789473684208</v>
      </c>
      <c r="BN121" s="202" t="s">
        <v>114</v>
      </c>
      <c r="BO121" s="204">
        <f t="shared" ref="BO121" si="1100">1280000/BO66</f>
        <v>348.77384196185284</v>
      </c>
      <c r="BP121" s="202" t="s">
        <v>114</v>
      </c>
      <c r="BQ121" s="204">
        <f t="shared" ref="BQ121" si="1101">1280000/BQ66</f>
        <v>320</v>
      </c>
      <c r="BR121" s="202" t="s">
        <v>114</v>
      </c>
      <c r="BS121" s="204">
        <f t="shared" ref="BS121" si="1102">1280000/BS66</f>
        <v>320</v>
      </c>
      <c r="BT121" s="202" t="s">
        <v>114</v>
      </c>
      <c r="BU121" s="204">
        <f t="shared" ref="BU121" si="1103">1280000/BU66</f>
        <v>330.57851239669424</v>
      </c>
      <c r="BV121" s="202" t="s">
        <v>114</v>
      </c>
      <c r="BW121" s="204">
        <f>1280000/BW66</f>
        <v>330.57851239669424</v>
      </c>
      <c r="BX121" s="202" t="s">
        <v>114</v>
      </c>
      <c r="BY121" s="204">
        <f t="shared" ref="BY121" si="1104">1280000/BY66</f>
        <v>306.07364897178383</v>
      </c>
      <c r="BZ121" s="202" t="s">
        <v>114</v>
      </c>
      <c r="CA121" s="204">
        <f t="shared" ref="CA121" si="1105">1280000/CA66</f>
        <v>330.57851239669424</v>
      </c>
      <c r="CB121" s="202" t="s">
        <v>114</v>
      </c>
      <c r="CC121" s="204">
        <f t="shared" ref="CC121" si="1106">1280000/CC66</f>
        <v>231.08864415959559</v>
      </c>
      <c r="CD121" s="202" t="s">
        <v>114</v>
      </c>
      <c r="CE121" s="204">
        <f t="shared" ref="CE121" si="1107">1280000/CE66</f>
        <v>231.08864415959559</v>
      </c>
      <c r="CF121" s="202" t="s">
        <v>114</v>
      </c>
      <c r="CG121" s="204">
        <f t="shared" ref="CG121" si="1108">1280000/CG66</f>
        <v>276.99632114260982</v>
      </c>
      <c r="CH121" s="202" t="s">
        <v>114</v>
      </c>
      <c r="CI121" s="204">
        <f t="shared" ref="CI121" si="1109">1280000/CI66</f>
        <v>276.99632114260982</v>
      </c>
      <c r="CJ121" s="202" t="s">
        <v>114</v>
      </c>
      <c r="CK121" s="204">
        <f t="shared" ref="CK121" si="1110">1280000/CK66</f>
        <v>276.99632114260982</v>
      </c>
      <c r="CL121" s="202" t="s">
        <v>114</v>
      </c>
      <c r="CM121" s="204">
        <f t="shared" ref="CM121" si="1111">1280000/CM66</f>
        <v>276.99632114260982</v>
      </c>
      <c r="CN121" s="202" t="s">
        <v>114</v>
      </c>
      <c r="CO121" s="204">
        <f t="shared" ref="CO121" si="1112">1280000/CO66</f>
        <v>276.99632114260982</v>
      </c>
      <c r="CR121" s="202" t="s">
        <v>114</v>
      </c>
      <c r="CS121" s="204">
        <f t="shared" ref="CS121" si="1113">1280000/CS66</f>
        <v>533.33333333333337</v>
      </c>
    </row>
    <row r="122" spans="1:97" s="65" customFormat="1" ht="18" hidden="1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45.546558704453439</v>
      </c>
      <c r="H122" s="202" t="s">
        <v>114</v>
      </c>
      <c r="I122" s="204">
        <f>225000/I66</f>
        <v>45.546558704453439</v>
      </c>
      <c r="J122" s="202" t="s">
        <v>114</v>
      </c>
      <c r="K122" s="204">
        <f>225000/K66</f>
        <v>45.546558704453439</v>
      </c>
      <c r="L122" s="202" t="s">
        <v>114</v>
      </c>
      <c r="M122" s="204">
        <f>225000/M66</f>
        <v>45.546558704453439</v>
      </c>
      <c r="N122" s="202" t="s">
        <v>114</v>
      </c>
      <c r="O122" s="204">
        <f>225000/O66</f>
        <v>45.546558704453439</v>
      </c>
      <c r="P122" s="202" t="s">
        <v>114</v>
      </c>
      <c r="Q122" s="204">
        <f>225000/Q66</f>
        <v>45.546558704453439</v>
      </c>
      <c r="R122" s="202" t="s">
        <v>114</v>
      </c>
      <c r="S122" s="204">
        <f>225000/S66</f>
        <v>45.546558704453439</v>
      </c>
      <c r="T122" s="202" t="s">
        <v>114</v>
      </c>
      <c r="U122" s="204">
        <f>225000/U66</f>
        <v>45.546558704453439</v>
      </c>
      <c r="V122" s="202" t="s">
        <v>114</v>
      </c>
      <c r="W122" s="204">
        <f>225000/W66</f>
        <v>45.546558704453439</v>
      </c>
      <c r="X122" s="202" t="s">
        <v>114</v>
      </c>
      <c r="Y122" s="204">
        <f>225000/Y66</f>
        <v>45.546558704453439</v>
      </c>
      <c r="Z122" s="202" t="s">
        <v>114</v>
      </c>
      <c r="AA122" s="204">
        <f>225000/AA66</f>
        <v>45.546558704453439</v>
      </c>
      <c r="AB122" s="202" t="s">
        <v>114</v>
      </c>
      <c r="AC122" s="204">
        <f>225000/AC66</f>
        <v>45.546558704453439</v>
      </c>
      <c r="AD122" s="202" t="s">
        <v>114</v>
      </c>
      <c r="AE122" s="204">
        <f t="shared" ref="AE122" si="1114">225000/AE66</f>
        <v>45.546558704453439</v>
      </c>
      <c r="AF122" s="202" t="s">
        <v>114</v>
      </c>
      <c r="AG122" s="204">
        <f t="shared" ref="AG122" si="1115">225000/AG66</f>
        <v>45.546558704453439</v>
      </c>
      <c r="AH122" s="202" t="s">
        <v>114</v>
      </c>
      <c r="AI122" s="204">
        <f t="shared" ref="AI122" si="1116">225000/AI66</f>
        <v>45.546558704453439</v>
      </c>
      <c r="AJ122" s="202" t="s">
        <v>114</v>
      </c>
      <c r="AK122" s="204">
        <f t="shared" ref="AK122" si="1117">225000/AK66</f>
        <v>45.546558704453439</v>
      </c>
      <c r="AL122" s="202" t="s">
        <v>114</v>
      </c>
      <c r="AM122" s="204">
        <f t="shared" ref="AM122" si="1118">225000/AM66</f>
        <v>45.546558704453439</v>
      </c>
      <c r="AN122" s="202" t="s">
        <v>114</v>
      </c>
      <c r="AO122" s="204">
        <f t="shared" ref="AO122" si="1119">225000/AO66</f>
        <v>45.546558704453439</v>
      </c>
      <c r="AP122" s="202" t="s">
        <v>114</v>
      </c>
      <c r="AQ122" s="204">
        <f t="shared" ref="AQ122" si="1120">225000/AQ66</f>
        <v>45.546558704453439</v>
      </c>
      <c r="AR122" s="202" t="s">
        <v>114</v>
      </c>
      <c r="AS122" s="204">
        <f t="shared" ref="AS122:AY122" si="1121">225000/AS66</f>
        <v>45.546558704453439</v>
      </c>
      <c r="AT122" s="202" t="s">
        <v>114</v>
      </c>
      <c r="AU122" s="204">
        <f t="shared" si="1121"/>
        <v>45.546558704453439</v>
      </c>
      <c r="AV122" s="202" t="s">
        <v>114</v>
      </c>
      <c r="AW122" s="204">
        <f t="shared" si="1121"/>
        <v>45.546558704453439</v>
      </c>
      <c r="AX122" s="202" t="s">
        <v>114</v>
      </c>
      <c r="AY122" s="204">
        <f t="shared" si="1121"/>
        <v>46.258223684210527</v>
      </c>
      <c r="AZ122" s="202" t="s">
        <v>114</v>
      </c>
      <c r="BA122" s="204">
        <f t="shared" ref="BA122:BC122" si="1122">225000/BA66</f>
        <v>46.258223684210527</v>
      </c>
      <c r="BB122" s="202" t="s">
        <v>114</v>
      </c>
      <c r="BC122" s="204">
        <f t="shared" si="1122"/>
        <v>46.258223684210527</v>
      </c>
      <c r="BD122" s="202" t="s">
        <v>114</v>
      </c>
      <c r="BE122" s="204">
        <f t="shared" ref="BE122:BG122" si="1123">225000/BE66</f>
        <v>46.258223684210527</v>
      </c>
      <c r="BF122" s="202" t="s">
        <v>114</v>
      </c>
      <c r="BG122" s="204">
        <f t="shared" si="1123"/>
        <v>46.258223684210527</v>
      </c>
      <c r="BH122" s="202" t="s">
        <v>114</v>
      </c>
      <c r="BI122" s="204">
        <f t="shared" ref="BI122:BK122" si="1124">225000/BI66</f>
        <v>46.258223684210527</v>
      </c>
      <c r="BJ122" s="202" t="s">
        <v>114</v>
      </c>
      <c r="BK122" s="204">
        <f t="shared" si="1124"/>
        <v>46.258223684210527</v>
      </c>
      <c r="BL122" s="202" t="s">
        <v>114</v>
      </c>
      <c r="BM122" s="204">
        <f t="shared" ref="BM122" si="1125">225000/BM66</f>
        <v>46.258223684210527</v>
      </c>
      <c r="BN122" s="202" t="s">
        <v>114</v>
      </c>
      <c r="BO122" s="204">
        <f>(225000+45000)/BO66</f>
        <v>73.56948228882834</v>
      </c>
      <c r="BP122" s="202" t="s">
        <v>114</v>
      </c>
      <c r="BQ122" s="204">
        <f>(225000+45000)/BQ66</f>
        <v>67.5</v>
      </c>
      <c r="BR122" s="202" t="s">
        <v>114</v>
      </c>
      <c r="BS122" s="204">
        <f>(225000+45000)/BS66</f>
        <v>67.5</v>
      </c>
      <c r="BT122" s="202" t="s">
        <v>114</v>
      </c>
      <c r="BU122" s="204">
        <f>(225000+45000)/BU66</f>
        <v>69.731404958677686</v>
      </c>
      <c r="BV122" s="202" t="s">
        <v>114</v>
      </c>
      <c r="BW122" s="204">
        <f>225000/BW66</f>
        <v>58.109504132231407</v>
      </c>
      <c r="BX122" s="202" t="s">
        <v>114</v>
      </c>
      <c r="BY122" s="204">
        <f>(225000+45000)/BY66</f>
        <v>64.562410329985653</v>
      </c>
      <c r="BZ122" s="202" t="s">
        <v>114</v>
      </c>
      <c r="CA122" s="204">
        <f>(225000+45000)/CA66</f>
        <v>69.731404958677686</v>
      </c>
      <c r="CB122" s="202" t="s">
        <v>114</v>
      </c>
      <c r="CC122" s="204">
        <f>(225000+45000)/CC66</f>
        <v>48.745260877414694</v>
      </c>
      <c r="CD122" s="202" t="s">
        <v>114</v>
      </c>
      <c r="CE122" s="204">
        <f>(225000+45000)/CE66</f>
        <v>48.745260877414694</v>
      </c>
      <c r="CF122" s="202" t="s">
        <v>114</v>
      </c>
      <c r="CG122" s="204">
        <f>(225000+45000)/CG66</f>
        <v>58.428911491019257</v>
      </c>
      <c r="CH122" s="202" t="s">
        <v>114</v>
      </c>
      <c r="CI122" s="204">
        <f>(225000+45000)/CI66</f>
        <v>58.428911491019257</v>
      </c>
      <c r="CJ122" s="202" t="s">
        <v>114</v>
      </c>
      <c r="CK122" s="204">
        <f>(225000+45000)/CK66</f>
        <v>58.428911491019257</v>
      </c>
      <c r="CL122" s="202" t="s">
        <v>114</v>
      </c>
      <c r="CM122" s="204">
        <f>(225000+45000)/CM66</f>
        <v>58.428911491019257</v>
      </c>
      <c r="CN122" s="202" t="s">
        <v>114</v>
      </c>
      <c r="CO122" s="204">
        <f>(225000+45000)/CO66</f>
        <v>58.428911491019257</v>
      </c>
      <c r="CR122" s="202" t="s">
        <v>114</v>
      </c>
      <c r="CS122" s="204">
        <f>(225000+45000)/CS66</f>
        <v>112.5</v>
      </c>
    </row>
    <row r="123" spans="1:97" s="4" customFormat="1" ht="18" hidden="1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507.60627530364371</v>
      </c>
      <c r="H123" s="208" t="s">
        <v>114</v>
      </c>
      <c r="I123" s="209">
        <f>(175*I79)/I66</f>
        <v>508.45647773279353</v>
      </c>
      <c r="J123" s="208" t="s">
        <v>114</v>
      </c>
      <c r="K123" s="209">
        <f>(175*K79)/K66</f>
        <v>508.24392712550605</v>
      </c>
      <c r="L123" s="208" t="s">
        <v>114</v>
      </c>
      <c r="M123" s="209">
        <f>(175*M79)/M66</f>
        <v>508.95242914979758</v>
      </c>
      <c r="N123" s="208" t="s">
        <v>114</v>
      </c>
      <c r="O123" s="209">
        <f>(175*O79)/O66</f>
        <v>517.80870445344135</v>
      </c>
      <c r="P123" s="208" t="s">
        <v>114</v>
      </c>
      <c r="Q123" s="209">
        <f>(175*Q79)/Q66</f>
        <v>519.79251012145744</v>
      </c>
      <c r="R123" s="208" t="s">
        <v>114</v>
      </c>
      <c r="S123" s="209">
        <f>(175*S79)/S66</f>
        <v>530.63259109311741</v>
      </c>
      <c r="T123" s="208" t="s">
        <v>114</v>
      </c>
      <c r="U123" s="209">
        <f>(175*U79)/U66</f>
        <v>526.16902834008101</v>
      </c>
      <c r="V123" s="208" t="s">
        <v>114</v>
      </c>
      <c r="W123" s="209">
        <f>(175*W79)/W66</f>
        <v>532.68724696356276</v>
      </c>
      <c r="X123" s="208" t="s">
        <v>114</v>
      </c>
      <c r="Y123" s="209">
        <f>(175*Y79)/Y66</f>
        <v>546.18421052631584</v>
      </c>
      <c r="Z123" s="208" t="s">
        <v>114</v>
      </c>
      <c r="AA123" s="209">
        <f>(175*AA79)/AA66</f>
        <v>554.2257085020243</v>
      </c>
      <c r="AB123" s="208" t="s">
        <v>114</v>
      </c>
      <c r="AC123" s="209">
        <f>(175*AC79)/AC66</f>
        <v>553.44635627530363</v>
      </c>
      <c r="AD123" s="208" t="s">
        <v>114</v>
      </c>
      <c r="AE123" s="209">
        <f t="shared" ref="AE123" si="1126">(175*AE79)/AE66</f>
        <v>543.10222672064776</v>
      </c>
      <c r="AF123" s="208" t="s">
        <v>114</v>
      </c>
      <c r="AG123" s="209">
        <f t="shared" ref="AG123" si="1127">(175*AG79)/AG66</f>
        <v>534.60020242914982</v>
      </c>
      <c r="AH123" s="208" t="s">
        <v>114</v>
      </c>
      <c r="AI123" s="209">
        <f t="shared" ref="AI123" si="1128">(175*AI79)/AI66</f>
        <v>541.11842105263156</v>
      </c>
      <c r="AJ123" s="208" t="s">
        <v>114</v>
      </c>
      <c r="AK123" s="209">
        <f t="shared" ref="AK123" si="1129">(175*AK79)/AK66</f>
        <v>526.3107287449393</v>
      </c>
      <c r="AL123" s="208" t="s">
        <v>114</v>
      </c>
      <c r="AM123" s="209">
        <f t="shared" ref="AM123" si="1130">(175*AM79)/AM66</f>
        <v>523.61842105263156</v>
      </c>
      <c r="AN123" s="208" t="s">
        <v>114</v>
      </c>
      <c r="AO123" s="209">
        <f t="shared" ref="AO123" si="1131">(175*AO79)/AO66</f>
        <v>528.93218623481778</v>
      </c>
      <c r="AP123" s="208" t="s">
        <v>114</v>
      </c>
      <c r="AQ123" s="209">
        <f t="shared" ref="AQ123" si="1132">(175*AQ79)/AQ66</f>
        <v>532.22672064777328</v>
      </c>
      <c r="AR123" s="208" t="s">
        <v>114</v>
      </c>
      <c r="AS123" s="209">
        <f t="shared" ref="AS123:AY123" si="1133">(175*AS79)/AS66</f>
        <v>539.73684210526312</v>
      </c>
      <c r="AT123" s="208" t="s">
        <v>114</v>
      </c>
      <c r="AU123" s="209">
        <f t="shared" si="1133"/>
        <v>543.24392712550605</v>
      </c>
      <c r="AV123" s="208" t="s">
        <v>114</v>
      </c>
      <c r="AW123" s="209">
        <f t="shared" si="1133"/>
        <v>556.63461538461536</v>
      </c>
      <c r="AX123" s="208" t="s">
        <v>114</v>
      </c>
      <c r="AY123" s="209">
        <f t="shared" si="1133"/>
        <v>564.46854440789468</v>
      </c>
      <c r="AZ123" s="208" t="s">
        <v>114</v>
      </c>
      <c r="BA123" s="209">
        <f t="shared" ref="BA123:BC123" si="1134">(175*BA79)/BA66</f>
        <v>558.38815789473688</v>
      </c>
      <c r="BB123" s="208" t="s">
        <v>114</v>
      </c>
      <c r="BC123" s="209">
        <f t="shared" si="1134"/>
        <v>564.2166940789474</v>
      </c>
      <c r="BD123" s="208" t="s">
        <v>114</v>
      </c>
      <c r="BE123" s="209">
        <f t="shared" ref="BE123:BG123" si="1135">(175*BE79)/BE66</f>
        <v>577.99650493421052</v>
      </c>
      <c r="BF123" s="208" t="s">
        <v>114</v>
      </c>
      <c r="BG123" s="209">
        <f t="shared" si="1135"/>
        <v>585.98375822368416</v>
      </c>
      <c r="BH123" s="208" t="s">
        <v>114</v>
      </c>
      <c r="BI123" s="209">
        <f t="shared" ref="BI123:BK123" si="1136">(175*BI79)/BI66</f>
        <v>574.4706003289474</v>
      </c>
      <c r="BJ123" s="208" t="s">
        <v>114</v>
      </c>
      <c r="BK123" s="209">
        <f t="shared" si="1136"/>
        <v>553.4590871710526</v>
      </c>
      <c r="BL123" s="208" t="s">
        <v>114</v>
      </c>
      <c r="BM123" s="209">
        <f t="shared" ref="BM123" si="1137">(175*BM79)/BM66</f>
        <v>557.66858552631584</v>
      </c>
      <c r="BN123" s="208" t="s">
        <v>114</v>
      </c>
      <c r="BO123" s="209">
        <f t="shared" ref="BO123" si="1138">(175*BO79)/BO66</f>
        <v>772.47956403269757</v>
      </c>
      <c r="BP123" s="208" t="s">
        <v>114</v>
      </c>
      <c r="BQ123" s="209">
        <f t="shared" ref="BQ123" si="1139">(175*BQ79)/BQ66</f>
        <v>708.75</v>
      </c>
      <c r="BR123" s="208" t="s">
        <v>114</v>
      </c>
      <c r="BS123" s="209">
        <f t="shared" ref="BS123" si="1140">(175*BS79)/BS66</f>
        <v>708.75</v>
      </c>
      <c r="BT123" s="208" t="s">
        <v>114</v>
      </c>
      <c r="BU123" s="209">
        <f t="shared" ref="BU123" si="1141">(175*BU79)/BU66</f>
        <v>732.17975206611573</v>
      </c>
      <c r="BV123" s="208" t="s">
        <v>114</v>
      </c>
      <c r="BW123" s="209">
        <f>(175*BW79)/BW66</f>
        <v>736.11182851239664</v>
      </c>
      <c r="BX123" s="208" t="s">
        <v>114</v>
      </c>
      <c r="BY123" s="209">
        <f t="shared" ref="BY123" si="1142">(175*BY79)/BY66</f>
        <v>677.90530846484933</v>
      </c>
      <c r="BZ123" s="208" t="s">
        <v>114</v>
      </c>
      <c r="CA123" s="209">
        <f t="shared" ref="CA123" si="1143">(175*CA79)/CA66</f>
        <v>732.17975206611573</v>
      </c>
      <c r="CB123" s="208" t="s">
        <v>114</v>
      </c>
      <c r="CC123" s="209">
        <f t="shared" ref="CC123" si="1144">(175*CC79)/CC66</f>
        <v>511.82523921285429</v>
      </c>
      <c r="CD123" s="208" t="s">
        <v>114</v>
      </c>
      <c r="CE123" s="209">
        <f t="shared" ref="CE123" si="1145">(175*CE79)/CE66</f>
        <v>511.82523921285429</v>
      </c>
      <c r="CF123" s="208" t="s">
        <v>114</v>
      </c>
      <c r="CG123" s="209">
        <f t="shared" ref="CG123" si="1146">(175*CG79)/CG66</f>
        <v>613.50357065570222</v>
      </c>
      <c r="CH123" s="208" t="s">
        <v>114</v>
      </c>
      <c r="CI123" s="209">
        <f t="shared" ref="CI123" si="1147">(175*CI79)/CI66</f>
        <v>613.50357065570222</v>
      </c>
      <c r="CJ123" s="208" t="s">
        <v>114</v>
      </c>
      <c r="CK123" s="209">
        <f t="shared" ref="CK123" si="1148">(175*CK79)/CK66</f>
        <v>613.50357065570222</v>
      </c>
      <c r="CL123" s="208" t="s">
        <v>114</v>
      </c>
      <c r="CM123" s="209">
        <f t="shared" ref="CM123" si="1149">(175*CM79)/CM66</f>
        <v>613.50357065570222</v>
      </c>
      <c r="CN123" s="208" t="s">
        <v>114</v>
      </c>
      <c r="CO123" s="209">
        <f t="shared" ref="CO123" si="1150">(175*CO79)/CO66</f>
        <v>613.50357065570222</v>
      </c>
      <c r="CR123" s="208" t="s">
        <v>114</v>
      </c>
      <c r="CS123" s="209">
        <f t="shared" ref="CS123" si="1151">(175*CS79)/CS66</f>
        <v>1187.59375</v>
      </c>
    </row>
    <row r="124" spans="1:97" ht="14.65" hidden="1" outlineLevel="2" collapsed="1" thickTop="1" x14ac:dyDescent="0.45">
      <c r="A124" s="561"/>
      <c r="B124" s="1187"/>
      <c r="C124" s="161"/>
      <c r="D124" s="162"/>
      <c r="E124" s="210"/>
      <c r="F124" s="164"/>
      <c r="G124" s="165"/>
      <c r="H124" s="359"/>
      <c r="I124" s="368"/>
      <c r="J124" s="359"/>
      <c r="K124" s="368"/>
      <c r="L124" s="164"/>
      <c r="M124" s="165"/>
      <c r="N124" s="359"/>
      <c r="O124" s="368"/>
      <c r="P124" s="359"/>
      <c r="Q124" s="368"/>
      <c r="R124" s="164"/>
      <c r="S124" s="165"/>
      <c r="T124" s="359"/>
      <c r="U124" s="368"/>
      <c r="V124" s="359"/>
      <c r="W124" s="368"/>
      <c r="X124" s="164"/>
      <c r="Y124" s="165"/>
      <c r="Z124" s="359"/>
      <c r="AA124" s="368"/>
      <c r="AB124" s="359"/>
      <c r="AC124" s="368"/>
      <c r="AD124" s="359"/>
      <c r="AE124" s="368"/>
      <c r="AF124" s="359"/>
      <c r="AG124" s="368"/>
      <c r="AH124" s="359"/>
      <c r="AI124" s="368"/>
      <c r="AJ124" s="359"/>
      <c r="AK124" s="368"/>
      <c r="AL124" s="359"/>
      <c r="AM124" s="368"/>
      <c r="AN124" s="359"/>
      <c r="AO124" s="368"/>
      <c r="AP124" s="359"/>
      <c r="AQ124" s="368"/>
      <c r="AR124" s="359"/>
      <c r="AS124" s="368"/>
      <c r="AT124" s="359"/>
      <c r="AU124" s="368"/>
      <c r="AV124" s="359"/>
      <c r="AW124" s="368"/>
      <c r="AX124" s="359"/>
      <c r="AY124" s="368"/>
      <c r="AZ124" s="359"/>
      <c r="BA124" s="368"/>
      <c r="BB124" s="359"/>
      <c r="BC124" s="368"/>
      <c r="BD124" s="359"/>
      <c r="BE124" s="368"/>
      <c r="BF124" s="359"/>
      <c r="BG124" s="368"/>
      <c r="BH124" s="359"/>
      <c r="BI124" s="368"/>
      <c r="BJ124" s="359"/>
      <c r="BK124" s="368"/>
      <c r="BL124" s="359"/>
      <c r="BM124" s="368"/>
      <c r="BN124" s="359"/>
      <c r="BO124" s="368"/>
      <c r="BP124" s="359"/>
      <c r="BQ124" s="368"/>
      <c r="BR124" s="359"/>
      <c r="BS124" s="368"/>
      <c r="BT124" s="359"/>
      <c r="BU124" s="368"/>
      <c r="BV124" s="1095"/>
      <c r="BW124" s="1094">
        <f>BW99+BV72</f>
        <v>0.2149932566147178</v>
      </c>
      <c r="BX124" s="359"/>
      <c r="BY124" s="368"/>
      <c r="BZ124" s="359"/>
      <c r="CA124" s="368"/>
      <c r="CB124" s="164"/>
      <c r="CC124" s="165"/>
      <c r="CD124" s="164"/>
      <c r="CE124" s="165"/>
      <c r="CF124" s="164"/>
      <c r="CG124" s="165"/>
      <c r="CH124" s="359"/>
      <c r="CI124" s="368"/>
      <c r="CJ124" s="359"/>
      <c r="CK124" s="368"/>
      <c r="CL124" s="359"/>
      <c r="CM124" s="368"/>
      <c r="CN124" s="359"/>
      <c r="CO124" s="368"/>
      <c r="CR124" s="359"/>
      <c r="CS124" s="368"/>
    </row>
    <row r="125" spans="1:97" ht="15" hidden="1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154272</v>
      </c>
      <c r="H125" s="214"/>
      <c r="I125" s="215">
        <v>154272</v>
      </c>
      <c r="J125" s="214"/>
      <c r="K125" s="215">
        <v>154272</v>
      </c>
      <c r="L125" s="214"/>
      <c r="M125" s="215">
        <v>154272</v>
      </c>
      <c r="N125" s="214"/>
      <c r="O125" s="215">
        <v>154272</v>
      </c>
      <c r="P125" s="214"/>
      <c r="Q125" s="215">
        <v>154272</v>
      </c>
      <c r="R125" s="214"/>
      <c r="S125" s="215">
        <v>154272</v>
      </c>
      <c r="T125" s="214"/>
      <c r="U125" s="215">
        <v>154272</v>
      </c>
      <c r="V125" s="214"/>
      <c r="W125" s="215">
        <v>154272</v>
      </c>
      <c r="X125" s="214"/>
      <c r="Y125" s="215">
        <v>154272</v>
      </c>
      <c r="Z125" s="214"/>
      <c r="AA125" s="215">
        <v>154272</v>
      </c>
      <c r="AB125" s="214"/>
      <c r="AC125" s="215">
        <v>154272</v>
      </c>
      <c r="AD125" s="214"/>
      <c r="AE125" s="215">
        <v>154272</v>
      </c>
      <c r="AF125" s="214"/>
      <c r="AG125" s="215">
        <v>154272</v>
      </c>
      <c r="AH125" s="214"/>
      <c r="AI125" s="215">
        <v>154272</v>
      </c>
      <c r="AJ125" s="214"/>
      <c r="AK125" s="215">
        <v>154272</v>
      </c>
      <c r="AL125" s="214"/>
      <c r="AM125" s="215">
        <v>154272</v>
      </c>
      <c r="AN125" s="214"/>
      <c r="AO125" s="215">
        <v>154272</v>
      </c>
      <c r="AP125" s="214"/>
      <c r="AQ125" s="215">
        <v>154272</v>
      </c>
      <c r="AR125" s="214"/>
      <c r="AS125" s="215">
        <v>154272</v>
      </c>
      <c r="AT125" s="214"/>
      <c r="AU125" s="215">
        <v>154272</v>
      </c>
      <c r="AV125" s="214"/>
      <c r="AW125" s="215">
        <v>154272</v>
      </c>
      <c r="AX125" s="214"/>
      <c r="AY125" s="215">
        <v>154272</v>
      </c>
      <c r="AZ125" s="214"/>
      <c r="BA125" s="215">
        <v>154272</v>
      </c>
      <c r="BB125" s="214"/>
      <c r="BC125" s="215">
        <v>154272</v>
      </c>
      <c r="BD125" s="214"/>
      <c r="BE125" s="215">
        <v>154272</v>
      </c>
      <c r="BF125" s="214"/>
      <c r="BG125" s="215">
        <v>154272</v>
      </c>
      <c r="BH125" s="214"/>
      <c r="BI125" s="215">
        <v>154272</v>
      </c>
      <c r="BJ125" s="214"/>
      <c r="BK125" s="215">
        <v>154272</v>
      </c>
      <c r="BL125" s="214"/>
      <c r="BM125" s="215">
        <v>154272</v>
      </c>
      <c r="BN125" s="214"/>
      <c r="BO125" s="215">
        <v>11492280</v>
      </c>
      <c r="BP125" s="214"/>
      <c r="BQ125" s="215">
        <v>33580560</v>
      </c>
      <c r="BR125" s="214"/>
      <c r="BS125" s="215">
        <f>CE125</f>
        <v>291156</v>
      </c>
      <c r="BT125" s="214"/>
      <c r="BU125" s="215">
        <v>33580560</v>
      </c>
      <c r="BV125" s="214"/>
      <c r="BW125" s="215">
        <v>33580560</v>
      </c>
      <c r="BX125" s="214"/>
      <c r="BY125" s="215">
        <v>0</v>
      </c>
      <c r="BZ125" s="214"/>
      <c r="CA125" s="215">
        <v>0</v>
      </c>
      <c r="CB125" s="214"/>
      <c r="CC125" s="215">
        <v>291156</v>
      </c>
      <c r="CD125" s="214"/>
      <c r="CE125" s="215">
        <v>291156</v>
      </c>
      <c r="CF125" s="214"/>
      <c r="CG125" s="215">
        <v>291156</v>
      </c>
      <c r="CH125" s="214"/>
      <c r="CI125" s="215">
        <v>0</v>
      </c>
      <c r="CJ125" s="214"/>
      <c r="CK125" s="215">
        <v>154272</v>
      </c>
      <c r="CL125" s="214"/>
      <c r="CM125" s="215">
        <v>154272</v>
      </c>
      <c r="CN125" s="214"/>
      <c r="CO125" s="215">
        <v>154272</v>
      </c>
      <c r="CR125" s="214"/>
      <c r="CS125" s="215">
        <v>154272</v>
      </c>
    </row>
    <row r="126" spans="1:97" ht="15" hidden="1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>
        <f>I125/I10</f>
        <v>12856</v>
      </c>
      <c r="J126" s="214"/>
      <c r="K126" s="215">
        <f>K125/K10</f>
        <v>12856</v>
      </c>
      <c r="L126" s="214"/>
      <c r="M126" s="215"/>
      <c r="N126" s="214"/>
      <c r="O126" s="215">
        <f>O125/O10</f>
        <v>12856</v>
      </c>
      <c r="P126" s="214"/>
      <c r="Q126" s="215">
        <f>Q125/Q10</f>
        <v>12856</v>
      </c>
      <c r="R126" s="214"/>
      <c r="S126" s="215"/>
      <c r="T126" s="214"/>
      <c r="U126" s="215">
        <f>U125/U10</f>
        <v>12856</v>
      </c>
      <c r="V126" s="214"/>
      <c r="W126" s="215">
        <f>W125/W10</f>
        <v>12856</v>
      </c>
      <c r="X126" s="214"/>
      <c r="Y126" s="215"/>
      <c r="Z126" s="214"/>
      <c r="AA126" s="215">
        <f>AA125/AA10</f>
        <v>12856</v>
      </c>
      <c r="AB126" s="214"/>
      <c r="AC126" s="215">
        <f>AC125/AC10</f>
        <v>12856</v>
      </c>
      <c r="AD126" s="214"/>
      <c r="AE126" s="215">
        <f t="shared" ref="AE126" si="1152">AE125/AE10</f>
        <v>12856</v>
      </c>
      <c r="AF126" s="214"/>
      <c r="AG126" s="215">
        <f t="shared" ref="AG126" si="1153">AG125/AG10</f>
        <v>12856</v>
      </c>
      <c r="AH126" s="214"/>
      <c r="AI126" s="215">
        <f t="shared" ref="AI126" si="1154">AI125/AI10</f>
        <v>12856</v>
      </c>
      <c r="AJ126" s="214"/>
      <c r="AK126" s="215">
        <f t="shared" ref="AK126" si="1155">AK125/AK10</f>
        <v>12856</v>
      </c>
      <c r="AL126" s="214"/>
      <c r="AM126" s="215">
        <f t="shared" ref="AM126" si="1156">AM125/AM10</f>
        <v>12856</v>
      </c>
      <c r="AN126" s="214"/>
      <c r="AO126" s="215">
        <f t="shared" ref="AO126" si="1157">AO125/AO10</f>
        <v>12856</v>
      </c>
      <c r="AP126" s="214"/>
      <c r="AQ126" s="215">
        <f t="shared" ref="AQ126" si="1158">AQ125/AQ10</f>
        <v>12856</v>
      </c>
      <c r="AR126" s="214"/>
      <c r="AS126" s="215">
        <f t="shared" ref="AS126:AY126" si="1159">AS125/AS10</f>
        <v>12856</v>
      </c>
      <c r="AT126" s="214"/>
      <c r="AU126" s="215">
        <f t="shared" si="1159"/>
        <v>12856</v>
      </c>
      <c r="AV126" s="214"/>
      <c r="AW126" s="215">
        <f t="shared" si="1159"/>
        <v>12856</v>
      </c>
      <c r="AX126" s="214"/>
      <c r="AY126" s="215">
        <f t="shared" si="1159"/>
        <v>12856</v>
      </c>
      <c r="AZ126" s="214"/>
      <c r="BA126" s="215">
        <f t="shared" ref="BA126:BC126" si="1160">BA125/BA10</f>
        <v>12856</v>
      </c>
      <c r="BB126" s="214"/>
      <c r="BC126" s="215">
        <f t="shared" si="1160"/>
        <v>12856</v>
      </c>
      <c r="BD126" s="214"/>
      <c r="BE126" s="215">
        <f t="shared" ref="BE126:BG126" si="1161">BE125/BE10</f>
        <v>12856</v>
      </c>
      <c r="BF126" s="214"/>
      <c r="BG126" s="215">
        <f t="shared" si="1161"/>
        <v>12856</v>
      </c>
      <c r="BH126" s="214"/>
      <c r="BI126" s="215">
        <f t="shared" ref="BI126:BK126" si="1162">BI125/BI10</f>
        <v>12856</v>
      </c>
      <c r="BJ126" s="214"/>
      <c r="BK126" s="215">
        <f t="shared" si="1162"/>
        <v>12856</v>
      </c>
      <c r="BL126" s="214"/>
      <c r="BM126" s="215">
        <f t="shared" ref="BM126" si="1163">BM125/BM10</f>
        <v>12856</v>
      </c>
      <c r="BN126" s="214"/>
      <c r="BO126" s="215">
        <f>BO125/BO10</f>
        <v>287307</v>
      </c>
      <c r="BP126" s="214"/>
      <c r="BQ126" s="215">
        <f>BQ125/BQ10</f>
        <v>839514</v>
      </c>
      <c r="BR126" s="214"/>
      <c r="BS126" s="215">
        <f t="shared" ref="BS126" si="1164">BS125/BS10</f>
        <v>7278.9</v>
      </c>
      <c r="BT126" s="214"/>
      <c r="BU126" s="215">
        <f>BU125/BU10</f>
        <v>839514</v>
      </c>
      <c r="BV126" s="214"/>
      <c r="BW126" s="215">
        <f>BW125/BW10</f>
        <v>839514</v>
      </c>
      <c r="BX126" s="214"/>
      <c r="BY126" s="215"/>
      <c r="BZ126" s="214"/>
      <c r="CA126" s="215"/>
      <c r="CB126" s="214"/>
      <c r="CC126" s="215"/>
      <c r="CD126" s="214"/>
      <c r="CE126" s="215"/>
      <c r="CF126" s="214"/>
      <c r="CG126" s="215"/>
      <c r="CH126" s="214"/>
      <c r="CI126" s="215"/>
      <c r="CJ126" s="214"/>
      <c r="CK126" s="215">
        <f>CK125/CK10</f>
        <v>12856</v>
      </c>
      <c r="CL126" s="214"/>
      <c r="CM126" s="215">
        <f>CM125/CM10</f>
        <v>12856</v>
      </c>
      <c r="CN126" s="214"/>
      <c r="CO126" s="215">
        <f>CO125/CO10</f>
        <v>12856</v>
      </c>
      <c r="CR126" s="214"/>
      <c r="CS126" s="215">
        <f t="shared" ref="CS126" si="1165">CS125/CS10</f>
        <v>6428</v>
      </c>
    </row>
    <row r="127" spans="1:97" ht="15" hidden="1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>
        <f>I126/I66</f>
        <v>2.6024291497975707</v>
      </c>
      <c r="J127" s="214"/>
      <c r="K127" s="215">
        <f>K126/K66</f>
        <v>2.6024291497975707</v>
      </c>
      <c r="L127" s="214"/>
      <c r="M127" s="215"/>
      <c r="N127" s="214"/>
      <c r="O127" s="215">
        <f>O126/O66</f>
        <v>2.6024291497975707</v>
      </c>
      <c r="P127" s="214"/>
      <c r="Q127" s="215">
        <f>Q126/Q66</f>
        <v>2.6024291497975707</v>
      </c>
      <c r="R127" s="214"/>
      <c r="S127" s="215"/>
      <c r="T127" s="214"/>
      <c r="U127" s="215">
        <f>U126/U66</f>
        <v>2.6024291497975707</v>
      </c>
      <c r="V127" s="214"/>
      <c r="W127" s="215">
        <f>W126/W66</f>
        <v>2.6024291497975707</v>
      </c>
      <c r="X127" s="214"/>
      <c r="Y127" s="215"/>
      <c r="Z127" s="214"/>
      <c r="AA127" s="215">
        <f>AA126/AA66</f>
        <v>2.6024291497975707</v>
      </c>
      <c r="AB127" s="214"/>
      <c r="AC127" s="215">
        <f>AC126/AC66</f>
        <v>2.6024291497975707</v>
      </c>
      <c r="AD127" s="214"/>
      <c r="AE127" s="215">
        <f t="shared" ref="AE127" si="1166">AE126/AE66</f>
        <v>2.6024291497975707</v>
      </c>
      <c r="AF127" s="214"/>
      <c r="AG127" s="215">
        <f t="shared" ref="AG127" si="1167">AG126/AG66</f>
        <v>2.6024291497975707</v>
      </c>
      <c r="AH127" s="214"/>
      <c r="AI127" s="215">
        <f t="shared" ref="AI127" si="1168">AI126/AI66</f>
        <v>2.6024291497975707</v>
      </c>
      <c r="AJ127" s="214"/>
      <c r="AK127" s="215">
        <f t="shared" ref="AK127" si="1169">AK126/AK66</f>
        <v>2.6024291497975707</v>
      </c>
      <c r="AL127" s="214"/>
      <c r="AM127" s="215">
        <f t="shared" ref="AM127" si="1170">AM126/AM66</f>
        <v>2.6024291497975707</v>
      </c>
      <c r="AN127" s="214"/>
      <c r="AO127" s="215">
        <f t="shared" ref="AO127" si="1171">AO126/AO66</f>
        <v>2.6024291497975707</v>
      </c>
      <c r="AP127" s="214"/>
      <c r="AQ127" s="215">
        <f t="shared" ref="AQ127" si="1172">AQ126/AQ66</f>
        <v>2.6024291497975707</v>
      </c>
      <c r="AR127" s="214"/>
      <c r="AS127" s="215">
        <f t="shared" ref="AS127:AY127" si="1173">AS126/AS66</f>
        <v>2.6024291497975707</v>
      </c>
      <c r="AT127" s="214"/>
      <c r="AU127" s="215">
        <f t="shared" si="1173"/>
        <v>2.6024291497975707</v>
      </c>
      <c r="AV127" s="214"/>
      <c r="AW127" s="215">
        <f t="shared" si="1173"/>
        <v>2.6024291497975707</v>
      </c>
      <c r="AX127" s="214"/>
      <c r="AY127" s="215">
        <f t="shared" si="1173"/>
        <v>2.643092105263158</v>
      </c>
      <c r="AZ127" s="214"/>
      <c r="BA127" s="215">
        <f t="shared" ref="BA127:BC127" si="1174">BA126/BA66</f>
        <v>2.643092105263158</v>
      </c>
      <c r="BB127" s="214"/>
      <c r="BC127" s="215">
        <f t="shared" si="1174"/>
        <v>2.643092105263158</v>
      </c>
      <c r="BD127" s="214"/>
      <c r="BE127" s="215">
        <f t="shared" ref="BE127:BG127" si="1175">BE126/BE66</f>
        <v>2.643092105263158</v>
      </c>
      <c r="BF127" s="214"/>
      <c r="BG127" s="215">
        <f t="shared" si="1175"/>
        <v>2.643092105263158</v>
      </c>
      <c r="BH127" s="214"/>
      <c r="BI127" s="215">
        <f t="shared" ref="BI127:BK127" si="1176">BI126/BI66</f>
        <v>2.643092105263158</v>
      </c>
      <c r="BJ127" s="214"/>
      <c r="BK127" s="215">
        <f t="shared" si="1176"/>
        <v>2.643092105263158</v>
      </c>
      <c r="BL127" s="214"/>
      <c r="BM127" s="215">
        <f t="shared" ref="BM127" si="1177">BM126/BM66</f>
        <v>2.643092105263158</v>
      </c>
      <c r="BN127" s="214"/>
      <c r="BO127" s="215">
        <f t="shared" ref="BO127" si="1178">BO126/BO66</f>
        <v>78.285286103542234</v>
      </c>
      <c r="BP127" s="214"/>
      <c r="BQ127" s="215">
        <f t="shared" ref="BQ127" si="1179">BQ126/BQ66</f>
        <v>209.8785</v>
      </c>
      <c r="BR127" s="214"/>
      <c r="BS127" s="215">
        <f t="shared" ref="BS127" si="1180">BS126/BS66</f>
        <v>1.8197249999999998</v>
      </c>
      <c r="BT127" s="214"/>
      <c r="BU127" s="215">
        <f>BU126/BU66</f>
        <v>216.81663223140495</v>
      </c>
      <c r="BV127" s="214"/>
      <c r="BW127" s="215">
        <f>BW126/BW66</f>
        <v>216.81663223140495</v>
      </c>
      <c r="BX127" s="214"/>
      <c r="BY127" s="215"/>
      <c r="BZ127" s="214"/>
      <c r="CA127" s="215"/>
      <c r="CB127" s="214"/>
      <c r="CC127" s="215"/>
      <c r="CD127" s="214"/>
      <c r="CE127" s="215"/>
      <c r="CF127" s="214"/>
      <c r="CG127" s="215"/>
      <c r="CH127" s="214"/>
      <c r="CI127" s="215"/>
      <c r="CJ127" s="214"/>
      <c r="CK127" s="215">
        <f>CK126/CK66</f>
        <v>2.7820818004760874</v>
      </c>
      <c r="CL127" s="214"/>
      <c r="CM127" s="215">
        <f>CM126/CM66</f>
        <v>2.7820818004760874</v>
      </c>
      <c r="CN127" s="214"/>
      <c r="CO127" s="215">
        <f>CO126/CO66</f>
        <v>2.7820818004760874</v>
      </c>
      <c r="CR127" s="214"/>
      <c r="CS127" s="215">
        <f t="shared" ref="CS127" si="1181">CS126/CS66</f>
        <v>2.6783333333333332</v>
      </c>
    </row>
    <row r="128" spans="1:97" ht="15" hidden="1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192132</v>
      </c>
      <c r="H128" s="219"/>
      <c r="I128" s="220">
        <v>192132</v>
      </c>
      <c r="J128" s="219"/>
      <c r="K128" s="220">
        <v>192132</v>
      </c>
      <c r="L128" s="219"/>
      <c r="M128" s="220">
        <v>192132</v>
      </c>
      <c r="N128" s="219"/>
      <c r="O128" s="220">
        <v>192132</v>
      </c>
      <c r="P128" s="219"/>
      <c r="Q128" s="220">
        <v>192132</v>
      </c>
      <c r="R128" s="219"/>
      <c r="S128" s="220">
        <v>192132</v>
      </c>
      <c r="T128" s="219"/>
      <c r="U128" s="220">
        <v>192132</v>
      </c>
      <c r="V128" s="219"/>
      <c r="W128" s="220">
        <v>192132</v>
      </c>
      <c r="X128" s="219"/>
      <c r="Y128" s="220">
        <v>192132</v>
      </c>
      <c r="Z128" s="219"/>
      <c r="AA128" s="220">
        <v>192132</v>
      </c>
      <c r="AB128" s="219"/>
      <c r="AC128" s="220">
        <v>192132</v>
      </c>
      <c r="AD128" s="219"/>
      <c r="AE128" s="220">
        <v>192132</v>
      </c>
      <c r="AF128" s="219"/>
      <c r="AG128" s="220">
        <v>192132</v>
      </c>
      <c r="AH128" s="219"/>
      <c r="AI128" s="220">
        <v>192132</v>
      </c>
      <c r="AJ128" s="219"/>
      <c r="AK128" s="220">
        <v>192132</v>
      </c>
      <c r="AL128" s="219"/>
      <c r="AM128" s="220">
        <v>192132</v>
      </c>
      <c r="AN128" s="219"/>
      <c r="AO128" s="220">
        <v>192132</v>
      </c>
      <c r="AP128" s="219"/>
      <c r="AQ128" s="220">
        <v>192132</v>
      </c>
      <c r="AR128" s="219"/>
      <c r="AS128" s="220">
        <v>192132</v>
      </c>
      <c r="AT128" s="219"/>
      <c r="AU128" s="220">
        <v>192132</v>
      </c>
      <c r="AV128" s="219"/>
      <c r="AW128" s="220">
        <v>192132</v>
      </c>
      <c r="AX128" s="219"/>
      <c r="AY128" s="220">
        <v>192132</v>
      </c>
      <c r="AZ128" s="219"/>
      <c r="BA128" s="220">
        <v>192132</v>
      </c>
      <c r="BB128" s="219"/>
      <c r="BC128" s="220">
        <v>192132</v>
      </c>
      <c r="BD128" s="219"/>
      <c r="BE128" s="220">
        <v>192132</v>
      </c>
      <c r="BF128" s="219"/>
      <c r="BG128" s="220">
        <v>192132</v>
      </c>
      <c r="BH128" s="219"/>
      <c r="BI128" s="220">
        <v>192132</v>
      </c>
      <c r="BJ128" s="219"/>
      <c r="BK128" s="220">
        <v>192132</v>
      </c>
      <c r="BL128" s="219"/>
      <c r="BM128" s="220">
        <v>192132</v>
      </c>
      <c r="BN128" s="219"/>
      <c r="BO128" s="220">
        <v>34493800</v>
      </c>
      <c r="BP128" s="219"/>
      <c r="BQ128" s="220">
        <v>44155840</v>
      </c>
      <c r="BR128" s="219"/>
      <c r="BS128" s="220">
        <f>CE128</f>
        <v>413556</v>
      </c>
      <c r="BT128" s="219"/>
      <c r="BU128" s="220">
        <v>44155840</v>
      </c>
      <c r="BV128" s="219"/>
      <c r="BW128" s="220">
        <v>44155840</v>
      </c>
      <c r="BX128" s="219"/>
      <c r="BY128" s="220">
        <v>0</v>
      </c>
      <c r="BZ128" s="219"/>
      <c r="CA128" s="220">
        <v>0</v>
      </c>
      <c r="CB128" s="219"/>
      <c r="CC128" s="220">
        <v>413556</v>
      </c>
      <c r="CD128" s="219"/>
      <c r="CE128" s="220">
        <v>413556</v>
      </c>
      <c r="CF128" s="219"/>
      <c r="CG128" s="220">
        <v>413556</v>
      </c>
      <c r="CH128" s="219"/>
      <c r="CI128" s="220">
        <v>0</v>
      </c>
      <c r="CJ128" s="219"/>
      <c r="CK128" s="220">
        <v>192132</v>
      </c>
      <c r="CL128" s="219"/>
      <c r="CM128" s="220">
        <v>192132</v>
      </c>
      <c r="CN128" s="219"/>
      <c r="CO128" s="220">
        <v>192132</v>
      </c>
      <c r="CR128" s="219"/>
      <c r="CS128" s="220">
        <v>192132</v>
      </c>
    </row>
    <row r="129" spans="1:97" ht="15" hidden="1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16011</v>
      </c>
      <c r="H129" s="219"/>
      <c r="I129" s="221">
        <f>I128/I10</f>
        <v>16011</v>
      </c>
      <c r="J129" s="219"/>
      <c r="K129" s="221">
        <f>K128/K10</f>
        <v>16011</v>
      </c>
      <c r="L129" s="219"/>
      <c r="M129" s="221">
        <f>M128/M10</f>
        <v>16011</v>
      </c>
      <c r="N129" s="219"/>
      <c r="O129" s="221">
        <f>O128/O10</f>
        <v>16011</v>
      </c>
      <c r="P129" s="219"/>
      <c r="Q129" s="221">
        <f>Q128/Q10</f>
        <v>16011</v>
      </c>
      <c r="R129" s="219"/>
      <c r="S129" s="221">
        <f>S128/S10</f>
        <v>16011</v>
      </c>
      <c r="T129" s="219"/>
      <c r="U129" s="221">
        <f>U128/U10</f>
        <v>16011</v>
      </c>
      <c r="V129" s="219"/>
      <c r="W129" s="221">
        <f>W128/W10</f>
        <v>16011</v>
      </c>
      <c r="X129" s="219"/>
      <c r="Y129" s="221">
        <f>Y128/Y10</f>
        <v>16011</v>
      </c>
      <c r="Z129" s="219"/>
      <c r="AA129" s="221">
        <f>AA128/AA10</f>
        <v>16011</v>
      </c>
      <c r="AB129" s="219"/>
      <c r="AC129" s="221">
        <f>AC128/AC10</f>
        <v>16011</v>
      </c>
      <c r="AD129" s="219"/>
      <c r="AE129" s="221">
        <f t="shared" ref="AE129" si="1182">AE128/AE10</f>
        <v>16011</v>
      </c>
      <c r="AF129" s="219"/>
      <c r="AG129" s="221">
        <f t="shared" ref="AG129" si="1183">AG128/AG10</f>
        <v>16011</v>
      </c>
      <c r="AH129" s="219"/>
      <c r="AI129" s="221">
        <f t="shared" ref="AI129" si="1184">AI128/AI10</f>
        <v>16011</v>
      </c>
      <c r="AJ129" s="219"/>
      <c r="AK129" s="221">
        <f t="shared" ref="AK129" si="1185">AK128/AK10</f>
        <v>16011</v>
      </c>
      <c r="AL129" s="219"/>
      <c r="AM129" s="221">
        <f t="shared" ref="AM129" si="1186">AM128/AM10</f>
        <v>16011</v>
      </c>
      <c r="AN129" s="219"/>
      <c r="AO129" s="221">
        <f t="shared" ref="AO129" si="1187">AO128/AO10</f>
        <v>16011</v>
      </c>
      <c r="AP129" s="219"/>
      <c r="AQ129" s="221">
        <f t="shared" ref="AQ129" si="1188">AQ128/AQ10</f>
        <v>16011</v>
      </c>
      <c r="AR129" s="219"/>
      <c r="AS129" s="221">
        <f t="shared" ref="AS129:AY129" si="1189">AS128/AS10</f>
        <v>16011</v>
      </c>
      <c r="AT129" s="219"/>
      <c r="AU129" s="221">
        <f t="shared" si="1189"/>
        <v>16011</v>
      </c>
      <c r="AV129" s="219"/>
      <c r="AW129" s="221">
        <f t="shared" si="1189"/>
        <v>16011</v>
      </c>
      <c r="AX129" s="219"/>
      <c r="AY129" s="221">
        <f t="shared" si="1189"/>
        <v>16011</v>
      </c>
      <c r="AZ129" s="219"/>
      <c r="BA129" s="221">
        <f t="shared" ref="BA129:BC129" si="1190">BA128/BA10</f>
        <v>16011</v>
      </c>
      <c r="BB129" s="219"/>
      <c r="BC129" s="221">
        <f t="shared" si="1190"/>
        <v>16011</v>
      </c>
      <c r="BD129" s="219"/>
      <c r="BE129" s="221">
        <f t="shared" ref="BE129:BG129" si="1191">BE128/BE10</f>
        <v>16011</v>
      </c>
      <c r="BF129" s="219"/>
      <c r="BG129" s="221">
        <f t="shared" si="1191"/>
        <v>16011</v>
      </c>
      <c r="BH129" s="219"/>
      <c r="BI129" s="221">
        <f t="shared" ref="BI129:BK129" si="1192">BI128/BI10</f>
        <v>16011</v>
      </c>
      <c r="BJ129" s="219"/>
      <c r="BK129" s="221">
        <f t="shared" si="1192"/>
        <v>16011</v>
      </c>
      <c r="BL129" s="219"/>
      <c r="BM129" s="221">
        <f t="shared" ref="BM129" si="1193">BM128/BM10</f>
        <v>16011</v>
      </c>
      <c r="BN129" s="219"/>
      <c r="BO129" s="221">
        <f>BO128/BO10</f>
        <v>862345</v>
      </c>
      <c r="BP129" s="219"/>
      <c r="BQ129" s="221">
        <f>BQ128/BQ10</f>
        <v>1103896</v>
      </c>
      <c r="BR129" s="219"/>
      <c r="BS129" s="221">
        <f t="shared" ref="BS129" si="1194">BS128/BS10</f>
        <v>10338.9</v>
      </c>
      <c r="BT129" s="219"/>
      <c r="BU129" s="221">
        <f>BU128/BU10</f>
        <v>1103896</v>
      </c>
      <c r="BV129" s="219"/>
      <c r="BW129" s="221">
        <f>BW128/BW10</f>
        <v>1103896</v>
      </c>
      <c r="BX129" s="219"/>
      <c r="BY129" s="221">
        <f>BY128/BY10</f>
        <v>0</v>
      </c>
      <c r="BZ129" s="219"/>
      <c r="CA129" s="221">
        <f>CA128/CA10</f>
        <v>0</v>
      </c>
      <c r="CB129" s="219"/>
      <c r="CC129" s="221" t="e">
        <f>CC128/CC4</f>
        <v>#DIV/0!</v>
      </c>
      <c r="CD129" s="219"/>
      <c r="CE129" s="221" t="e">
        <f>CE128/CE4</f>
        <v>#DIV/0!</v>
      </c>
      <c r="CF129" s="219"/>
      <c r="CG129" s="221">
        <f>CG128/CG10</f>
        <v>34463</v>
      </c>
      <c r="CH129" s="219"/>
      <c r="CI129" s="221">
        <f>CI128/CI10</f>
        <v>0</v>
      </c>
      <c r="CJ129" s="219"/>
      <c r="CK129" s="221">
        <f>CK128/CK10</f>
        <v>16011</v>
      </c>
      <c r="CL129" s="219"/>
      <c r="CM129" s="221">
        <f>CM128/CM10</f>
        <v>16011</v>
      </c>
      <c r="CN129" s="219"/>
      <c r="CO129" s="221">
        <f>CO128/CO10</f>
        <v>16011</v>
      </c>
      <c r="CR129" s="219"/>
      <c r="CS129" s="221">
        <f t="shared" ref="CS129" si="1195">CS128/CS10</f>
        <v>8005.5</v>
      </c>
    </row>
    <row r="130" spans="1:97" ht="15" hidden="1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3.2410931174089068</v>
      </c>
      <c r="H130" s="222"/>
      <c r="I130" s="220">
        <f>I129/I66</f>
        <v>3.2410931174089068</v>
      </c>
      <c r="J130" s="222"/>
      <c r="K130" s="220">
        <f>K129/K66</f>
        <v>3.2410931174089068</v>
      </c>
      <c r="L130" s="222"/>
      <c r="M130" s="220">
        <f>M129/M66</f>
        <v>3.2410931174089068</v>
      </c>
      <c r="N130" s="222"/>
      <c r="O130" s="220">
        <f>O129/O66</f>
        <v>3.2410931174089068</v>
      </c>
      <c r="P130" s="222"/>
      <c r="Q130" s="220">
        <f>Q129/Q66</f>
        <v>3.2410931174089068</v>
      </c>
      <c r="R130" s="222"/>
      <c r="S130" s="220">
        <f>S129/S66</f>
        <v>3.2410931174089068</v>
      </c>
      <c r="T130" s="222"/>
      <c r="U130" s="220">
        <f>U129/U66</f>
        <v>3.2410931174089068</v>
      </c>
      <c r="V130" s="222"/>
      <c r="W130" s="220">
        <f>W129/W66</f>
        <v>3.2410931174089068</v>
      </c>
      <c r="X130" s="222"/>
      <c r="Y130" s="220">
        <f>Y129/Y66</f>
        <v>3.2410931174089068</v>
      </c>
      <c r="Z130" s="222"/>
      <c r="AA130" s="220">
        <f>AA129/AA66</f>
        <v>3.2410931174089068</v>
      </c>
      <c r="AB130" s="222"/>
      <c r="AC130" s="220">
        <f>AC129/AC66</f>
        <v>3.2410931174089068</v>
      </c>
      <c r="AD130" s="222"/>
      <c r="AE130" s="220">
        <f t="shared" ref="AE130" si="1196">AE129/AE66</f>
        <v>3.2410931174089068</v>
      </c>
      <c r="AF130" s="222"/>
      <c r="AG130" s="220">
        <f t="shared" ref="AG130" si="1197">AG129/AG66</f>
        <v>3.2410931174089068</v>
      </c>
      <c r="AH130" s="222"/>
      <c r="AI130" s="220">
        <f t="shared" ref="AI130" si="1198">AI129/AI66</f>
        <v>3.2410931174089068</v>
      </c>
      <c r="AJ130" s="222"/>
      <c r="AK130" s="220">
        <f t="shared" ref="AK130" si="1199">AK129/AK66</f>
        <v>3.2410931174089068</v>
      </c>
      <c r="AL130" s="222"/>
      <c r="AM130" s="220">
        <f t="shared" ref="AM130" si="1200">AM129/AM66</f>
        <v>3.2410931174089068</v>
      </c>
      <c r="AN130" s="222"/>
      <c r="AO130" s="220">
        <f t="shared" ref="AO130" si="1201">AO129/AO66</f>
        <v>3.2410931174089068</v>
      </c>
      <c r="AP130" s="222"/>
      <c r="AQ130" s="220">
        <f t="shared" ref="AQ130" si="1202">AQ129/AQ66</f>
        <v>3.2410931174089068</v>
      </c>
      <c r="AR130" s="222"/>
      <c r="AS130" s="220">
        <f t="shared" ref="AS130:AY130" si="1203">AS129/AS66</f>
        <v>3.2410931174089068</v>
      </c>
      <c r="AT130" s="222"/>
      <c r="AU130" s="220">
        <f t="shared" si="1203"/>
        <v>3.2410931174089068</v>
      </c>
      <c r="AV130" s="222"/>
      <c r="AW130" s="220">
        <f t="shared" si="1203"/>
        <v>3.2410931174089068</v>
      </c>
      <c r="AX130" s="222"/>
      <c r="AY130" s="220">
        <f t="shared" si="1203"/>
        <v>3.2917351973684212</v>
      </c>
      <c r="AZ130" s="222"/>
      <c r="BA130" s="220">
        <f t="shared" ref="BA130:BC130" si="1204">BA129/BA66</f>
        <v>3.2917351973684212</v>
      </c>
      <c r="BB130" s="222"/>
      <c r="BC130" s="220">
        <f t="shared" si="1204"/>
        <v>3.2917351973684212</v>
      </c>
      <c r="BD130" s="222"/>
      <c r="BE130" s="220">
        <f t="shared" ref="BE130:BG130" si="1205">BE129/BE66</f>
        <v>3.2917351973684212</v>
      </c>
      <c r="BF130" s="222"/>
      <c r="BG130" s="220">
        <f t="shared" si="1205"/>
        <v>3.2917351973684212</v>
      </c>
      <c r="BH130" s="222"/>
      <c r="BI130" s="220">
        <f t="shared" ref="BI130:BK130" si="1206">BI129/BI66</f>
        <v>3.2917351973684212</v>
      </c>
      <c r="BJ130" s="222"/>
      <c r="BK130" s="220">
        <f t="shared" si="1206"/>
        <v>3.2917351973684212</v>
      </c>
      <c r="BL130" s="222"/>
      <c r="BM130" s="220">
        <f t="shared" ref="BM130" si="1207">BM129/BM66</f>
        <v>3.2917351973684212</v>
      </c>
      <c r="BN130" s="222"/>
      <c r="BO130" s="220">
        <f t="shared" ref="BO130" si="1208">BO129/BO66</f>
        <v>234.97138964577655</v>
      </c>
      <c r="BP130" s="222"/>
      <c r="BQ130" s="220">
        <f t="shared" ref="BQ130" si="1209">BQ129/BQ66</f>
        <v>275.97399999999999</v>
      </c>
      <c r="BR130" s="222"/>
      <c r="BS130" s="220">
        <f t="shared" ref="BS130" si="1210">BS129/BS66</f>
        <v>2.5847249999999997</v>
      </c>
      <c r="BT130" s="222"/>
      <c r="BU130" s="220">
        <f>BU129/BU66</f>
        <v>285.09710743801651</v>
      </c>
      <c r="BV130" s="222"/>
      <c r="BW130" s="220">
        <f>BW129/BW66</f>
        <v>285.09710743801651</v>
      </c>
      <c r="BX130" s="222"/>
      <c r="BY130" s="220">
        <f>BY129/BY66</f>
        <v>0</v>
      </c>
      <c r="BZ130" s="222"/>
      <c r="CA130" s="220">
        <f>CA129/CA66</f>
        <v>0</v>
      </c>
      <c r="CB130" s="222"/>
      <c r="CC130" s="220" t="e">
        <f>CC129/CC66</f>
        <v>#DIV/0!</v>
      </c>
      <c r="CD130" s="222"/>
      <c r="CE130" s="220" t="e">
        <f>CE129/CE66</f>
        <v>#DIV/0!</v>
      </c>
      <c r="CF130" s="222"/>
      <c r="CG130" s="220">
        <f>CG129/CG66</f>
        <v>7.4579095433888769</v>
      </c>
      <c r="CH130" s="222"/>
      <c r="CI130" s="220">
        <f>CI129/CI66</f>
        <v>0</v>
      </c>
      <c r="CJ130" s="222"/>
      <c r="CK130" s="220">
        <f>CK129/CK66</f>
        <v>3.4648344514174423</v>
      </c>
      <c r="CL130" s="222"/>
      <c r="CM130" s="220">
        <f>CM129/CM66</f>
        <v>3.4648344514174423</v>
      </c>
      <c r="CN130" s="222"/>
      <c r="CO130" s="220">
        <f>CO129/CO66</f>
        <v>3.4648344514174423</v>
      </c>
      <c r="CR130" s="222"/>
      <c r="CS130" s="220">
        <f t="shared" ref="CS130" si="1211">CS129/CS66</f>
        <v>3.3356249999999998</v>
      </c>
    </row>
    <row r="131" spans="1:97" ht="15" hidden="1" customHeight="1" outlineLevel="3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 t="e">
        <f>INDEX([12]!Table5[#All],MATCH(F$4,[12]!Table5[[#All],[SKU]],0),MATCH(LEFT(F$3,3),[12]!Table5[#Headers],0))</f>
        <v>#REF!</v>
      </c>
      <c r="H131" s="585"/>
      <c r="I131" s="586" t="e">
        <f>INDEX([12]!Table5[#All],MATCH(H$4,[12]!Table5[[#All],[SKU]],0),MATCH(LEFT(H$3,3),[12]!Table5[#Headers],0))</f>
        <v>#REF!</v>
      </c>
      <c r="J131" s="585"/>
      <c r="K131" s="586" t="e">
        <f>INDEX([12]!Table5[#All],MATCH(J$4,[12]!Table5[[#All],[SKU]],0),MATCH(LEFT(J$3,3),[12]!Table5[#Headers],0))</f>
        <v>#REF!</v>
      </c>
      <c r="L131" s="585"/>
      <c r="M131" s="586" t="e">
        <f>INDEX([12]!Table5[#All],MATCH(L$4,[12]!Table5[[#All],[SKU]],0),MATCH(LEFT(L$3,3),[12]!Table5[#Headers],0))</f>
        <v>#REF!</v>
      </c>
      <c r="N131" s="585"/>
      <c r="O131" s="586" t="e">
        <f>INDEX([12]!Table5[#All],MATCH(N$4,[12]!Table5[[#All],[SKU]],0),MATCH(LEFT(N$3,3),[12]!Table5[#Headers],0))</f>
        <v>#REF!</v>
      </c>
      <c r="P131" s="585"/>
      <c r="Q131" s="586" t="e">
        <f>INDEX([12]!Table5[#All],MATCH(P$4,[12]!Table5[[#All],[SKU]],0),MATCH(LEFT(P$3,3),[12]!Table5[#Headers],0))</f>
        <v>#REF!</v>
      </c>
      <c r="R131" s="585"/>
      <c r="S131" s="586" t="e">
        <f>INDEX([12]!Table5[#All],MATCH(R$4,[12]!Table5[[#All],[SKU]],0),MATCH(LEFT(R$3,3),[12]!Table5[#Headers],0))</f>
        <v>#REF!</v>
      </c>
      <c r="T131" s="585"/>
      <c r="U131" s="586" t="e">
        <f>INDEX([12]!Table5[#All],MATCH(T$4,[12]!Table5[[#All],[SKU]],0),MATCH(LEFT(T$3,3),[12]!Table5[#Headers],0))</f>
        <v>#REF!</v>
      </c>
      <c r="V131" s="585"/>
      <c r="W131" s="586" t="e">
        <f>INDEX([12]!Table5[#All],MATCH(V$4,[12]!Table5[[#All],[SKU]],0),MATCH(LEFT(V$3,3),[12]!Table5[#Headers],0))</f>
        <v>#REF!</v>
      </c>
      <c r="X131" s="585"/>
      <c r="Y131" s="586" t="e">
        <f>INDEX([12]!Table5[#All],MATCH(X$4,[12]!Table5[[#All],[SKU]],0),MATCH(LEFT(X$3,3),[12]!Table5[#Headers],0))</f>
        <v>#REF!</v>
      </c>
      <c r="Z131" s="585"/>
      <c r="AA131" s="586" t="e">
        <f>INDEX([12]!Table5[#All],MATCH(Z$4,[12]!Table5[[#All],[SKU]],0),MATCH(LEFT(Z$3,3),[12]!Table5[#Headers],0))</f>
        <v>#REF!</v>
      </c>
      <c r="AB131" s="585"/>
      <c r="AC131" s="586" t="e">
        <f>INDEX([12]!Table5[#All],MATCH(AB$4,[12]!Table5[[#All],[SKU]],0),MATCH(LEFT(AB$3,3),[12]!Table5[#Headers],0))</f>
        <v>#REF!</v>
      </c>
      <c r="AD131" s="585"/>
      <c r="AE131" s="586">
        <f>'[12]Sales Volume'!P8</f>
        <v>167064</v>
      </c>
      <c r="AF131" s="585"/>
      <c r="AG131" s="586">
        <f>'[12]Sales Volume'!Q8</f>
        <v>110580</v>
      </c>
      <c r="AH131" s="585"/>
      <c r="AI131" s="586">
        <f>'[12]Sales Volume'!R8</f>
        <v>0</v>
      </c>
      <c r="AJ131" s="585"/>
      <c r="AK131" s="586">
        <f>'[12]Sales Volume'!S8</f>
        <v>53136</v>
      </c>
      <c r="AL131" s="585"/>
      <c r="AM131" s="586">
        <f>'[12]Sales Volume'!T8</f>
        <v>0</v>
      </c>
      <c r="AN131" s="585"/>
      <c r="AO131" s="586">
        <f>'[12]Sales Volume'!U8</f>
        <v>60312</v>
      </c>
      <c r="AP131" s="585"/>
      <c r="AQ131" s="586">
        <f>'[12]Sales Volume'!V8</f>
        <v>0</v>
      </c>
      <c r="AR131" s="585"/>
      <c r="AS131" s="586">
        <f>'[12]Sales Volume'!W8</f>
        <v>0</v>
      </c>
      <c r="AT131" s="585"/>
      <c r="AU131" s="586">
        <f>'[12]Sales Volume'!X8</f>
        <v>117252</v>
      </c>
      <c r="AV131" s="585"/>
      <c r="AW131" s="586">
        <f>'[12]Sales Volume'!Y8</f>
        <v>59640</v>
      </c>
      <c r="AX131" s="585"/>
      <c r="AY131" s="586">
        <v>0</v>
      </c>
      <c r="AZ131" s="585"/>
      <c r="BA131" s="586">
        <v>0</v>
      </c>
      <c r="BB131" s="585"/>
      <c r="BC131" s="586">
        <v>0</v>
      </c>
      <c r="BD131" s="585"/>
      <c r="BE131" s="586">
        <v>0</v>
      </c>
      <c r="BF131" s="585"/>
      <c r="BG131" s="586">
        <v>0</v>
      </c>
      <c r="BH131" s="585"/>
      <c r="BI131" s="586">
        <v>0</v>
      </c>
      <c r="BJ131" s="585"/>
      <c r="BK131" s="586">
        <v>0</v>
      </c>
      <c r="BL131" s="585"/>
      <c r="BM131" s="586">
        <v>0</v>
      </c>
      <c r="BN131" s="585"/>
      <c r="BO131" s="586">
        <f>'Sales Volume'!BB7</f>
        <v>0</v>
      </c>
      <c r="BP131" s="585"/>
      <c r="BQ131" s="586">
        <f>'Sales Volume'!AS5</f>
        <v>0</v>
      </c>
      <c r="BR131" s="585"/>
      <c r="BS131" s="586">
        <f>'Sales Volume'!AV6</f>
        <v>0</v>
      </c>
      <c r="BT131" s="585"/>
      <c r="BU131" s="586">
        <f>'Sales Volume'!BD5</f>
        <v>0</v>
      </c>
      <c r="BV131" s="585"/>
      <c r="BW131" s="586">
        <f>'Sales Volume'!AB5</f>
        <v>0</v>
      </c>
      <c r="BX131" s="585"/>
      <c r="BY131" s="586">
        <v>0</v>
      </c>
      <c r="BZ131" s="585"/>
      <c r="CA131" s="586">
        <v>0</v>
      </c>
      <c r="CB131" s="585"/>
      <c r="CC131" s="586">
        <f>'[13]Sales Volume'!AR4</f>
        <v>0</v>
      </c>
      <c r="CD131" s="585"/>
      <c r="CE131" s="586">
        <f>'[13]Sales Volume'!AT4</f>
        <v>0</v>
      </c>
      <c r="CF131" s="585"/>
      <c r="CG131" s="586">
        <f>'Sales Volume'!AZ10</f>
        <v>0</v>
      </c>
      <c r="CH131" s="585"/>
      <c r="CI131" s="586">
        <v>0</v>
      </c>
      <c r="CJ131" s="585"/>
      <c r="CK131" s="586">
        <v>0</v>
      </c>
      <c r="CL131" s="585"/>
      <c r="CM131" s="586">
        <v>0</v>
      </c>
      <c r="CN131" s="585"/>
      <c r="CO131" s="586">
        <v>0</v>
      </c>
      <c r="CR131" s="585"/>
      <c r="CS131" s="586">
        <v>0</v>
      </c>
    </row>
    <row r="132" spans="1:97" ht="15" hidden="1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 t="e">
        <f>G131/G10</f>
        <v>#REF!</v>
      </c>
      <c r="H132" s="585"/>
      <c r="I132" s="586" t="e">
        <f>I131/I10</f>
        <v>#REF!</v>
      </c>
      <c r="J132" s="585"/>
      <c r="K132" s="586" t="e">
        <f>K131/K10</f>
        <v>#REF!</v>
      </c>
      <c r="L132" s="585"/>
      <c r="M132" s="586" t="e">
        <f>M131/M10</f>
        <v>#REF!</v>
      </c>
      <c r="N132" s="585"/>
      <c r="O132" s="586" t="e">
        <f>O131/O10</f>
        <v>#REF!</v>
      </c>
      <c r="P132" s="585"/>
      <c r="Q132" s="586" t="e">
        <f>Q131/Q10</f>
        <v>#REF!</v>
      </c>
      <c r="R132" s="585"/>
      <c r="S132" s="586" t="e">
        <f>S131/S10</f>
        <v>#REF!</v>
      </c>
      <c r="T132" s="585"/>
      <c r="U132" s="586" t="e">
        <f>U131/U10</f>
        <v>#REF!</v>
      </c>
      <c r="V132" s="585"/>
      <c r="W132" s="586" t="e">
        <f>W131/W10</f>
        <v>#REF!</v>
      </c>
      <c r="X132" s="585"/>
      <c r="Y132" s="586" t="e">
        <f>Y131/Y10</f>
        <v>#REF!</v>
      </c>
      <c r="Z132" s="585"/>
      <c r="AA132" s="586" t="e">
        <f>AA131/AA10</f>
        <v>#REF!</v>
      </c>
      <c r="AB132" s="585"/>
      <c r="AC132" s="586" t="e">
        <f>AC131/AC10</f>
        <v>#REF!</v>
      </c>
      <c r="AD132" s="585"/>
      <c r="AE132" s="586">
        <f t="shared" ref="AE132" si="1212">AE131/AE10</f>
        <v>13922</v>
      </c>
      <c r="AF132" s="585"/>
      <c r="AG132" s="586">
        <f t="shared" ref="AG132" si="1213">AG131/AG10</f>
        <v>9215</v>
      </c>
      <c r="AH132" s="585"/>
      <c r="AI132" s="586">
        <f t="shared" ref="AI132" si="1214">AI131/AI10</f>
        <v>0</v>
      </c>
      <c r="AJ132" s="585"/>
      <c r="AK132" s="586">
        <f t="shared" ref="AK132" si="1215">AK131/AK10</f>
        <v>4428</v>
      </c>
      <c r="AL132" s="585"/>
      <c r="AM132" s="586">
        <f t="shared" ref="AM132" si="1216">AM131/AM10</f>
        <v>0</v>
      </c>
      <c r="AN132" s="585"/>
      <c r="AO132" s="586">
        <f t="shared" ref="AO132" si="1217">AO131/AO10</f>
        <v>5026</v>
      </c>
      <c r="AP132" s="585"/>
      <c r="AQ132" s="586">
        <f t="shared" ref="AQ132" si="1218">AQ131/AQ10</f>
        <v>0</v>
      </c>
      <c r="AR132" s="585"/>
      <c r="AS132" s="586">
        <f t="shared" ref="AS132:AY132" si="1219">AS131/AS10</f>
        <v>0</v>
      </c>
      <c r="AT132" s="585"/>
      <c r="AU132" s="586">
        <f t="shared" si="1219"/>
        <v>9771</v>
      </c>
      <c r="AV132" s="585"/>
      <c r="AW132" s="586">
        <f t="shared" si="1219"/>
        <v>4970</v>
      </c>
      <c r="AX132" s="585"/>
      <c r="AY132" s="586">
        <f t="shared" si="1219"/>
        <v>0</v>
      </c>
      <c r="AZ132" s="585"/>
      <c r="BA132" s="586">
        <f t="shared" ref="BA132:BC132" si="1220">BA131/BA10</f>
        <v>0</v>
      </c>
      <c r="BB132" s="585"/>
      <c r="BC132" s="586">
        <f t="shared" si="1220"/>
        <v>0</v>
      </c>
      <c r="BD132" s="585"/>
      <c r="BE132" s="586">
        <f t="shared" ref="BE132:BG132" si="1221">BE131/BE10</f>
        <v>0</v>
      </c>
      <c r="BF132" s="585"/>
      <c r="BG132" s="586">
        <f t="shared" si="1221"/>
        <v>0</v>
      </c>
      <c r="BH132" s="585"/>
      <c r="BI132" s="586">
        <f t="shared" ref="BI132:BK132" si="1222">BI131/BI10</f>
        <v>0</v>
      </c>
      <c r="BJ132" s="585"/>
      <c r="BK132" s="586">
        <f t="shared" si="1222"/>
        <v>0</v>
      </c>
      <c r="BL132" s="585"/>
      <c r="BM132" s="586">
        <f t="shared" ref="BM132" si="1223"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 t="shared" ref="BS132" si="1224">BS131/BS10</f>
        <v>0</v>
      </c>
      <c r="BT132" s="585"/>
      <c r="BU132" s="586">
        <f>BU131/BU10</f>
        <v>0</v>
      </c>
      <c r="BV132" s="585"/>
      <c r="BW132" s="586">
        <f>BW131/BW10</f>
        <v>0</v>
      </c>
      <c r="BX132" s="585"/>
      <c r="BY132" s="586">
        <f>BY131/BY10</f>
        <v>0</v>
      </c>
      <c r="BZ132" s="585"/>
      <c r="CA132" s="586">
        <f>CA131/CA10</f>
        <v>0</v>
      </c>
      <c r="CB132" s="585"/>
      <c r="CC132" s="586" t="e">
        <f>CC131/CC4</f>
        <v>#DIV/0!</v>
      </c>
      <c r="CD132" s="585"/>
      <c r="CE132" s="586" t="e">
        <f>CE131/CE4</f>
        <v>#DIV/0!</v>
      </c>
      <c r="CF132" s="585"/>
      <c r="CG132" s="586">
        <f>CG131/CG10</f>
        <v>0</v>
      </c>
      <c r="CH132" s="585"/>
      <c r="CI132" s="586">
        <f>CI131/CI10</f>
        <v>0</v>
      </c>
      <c r="CJ132" s="585"/>
      <c r="CK132" s="586">
        <f>CK131/CK10</f>
        <v>0</v>
      </c>
      <c r="CL132" s="585"/>
      <c r="CM132" s="586">
        <f>CM131/CM10</f>
        <v>0</v>
      </c>
      <c r="CN132" s="585"/>
      <c r="CO132" s="586">
        <f>CO131/CO10</f>
        <v>0</v>
      </c>
      <c r="CR132" s="585"/>
      <c r="CS132" s="586">
        <f t="shared" ref="CS132" si="1225">CS131/CS10</f>
        <v>0</v>
      </c>
    </row>
    <row r="133" spans="1:97" ht="15" hidden="1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 t="e">
        <f>G132/G66</f>
        <v>#REF!</v>
      </c>
      <c r="H133" s="585"/>
      <c r="I133" s="586" t="e">
        <f>I132/I66</f>
        <v>#REF!</v>
      </c>
      <c r="J133" s="585"/>
      <c r="K133" s="586" t="e">
        <f>K132/K66</f>
        <v>#REF!</v>
      </c>
      <c r="L133" s="585"/>
      <c r="M133" s="586" t="e">
        <f>M132/M66</f>
        <v>#REF!</v>
      </c>
      <c r="N133" s="585"/>
      <c r="O133" s="586" t="e">
        <f>O132/O66</f>
        <v>#REF!</v>
      </c>
      <c r="P133" s="585"/>
      <c r="Q133" s="586" t="e">
        <f>Q132/Q66</f>
        <v>#REF!</v>
      </c>
      <c r="R133" s="585"/>
      <c r="S133" s="586" t="e">
        <f>S132/S66</f>
        <v>#REF!</v>
      </c>
      <c r="T133" s="585"/>
      <c r="U133" s="586" t="e">
        <f>U132/U66</f>
        <v>#REF!</v>
      </c>
      <c r="V133" s="585"/>
      <c r="W133" s="586" t="e">
        <f>W132/W66</f>
        <v>#REF!</v>
      </c>
      <c r="X133" s="585"/>
      <c r="Y133" s="586" t="e">
        <f>Y132/Y66</f>
        <v>#REF!</v>
      </c>
      <c r="Z133" s="585"/>
      <c r="AA133" s="586" t="e">
        <f>AA132/AA66</f>
        <v>#REF!</v>
      </c>
      <c r="AB133" s="585"/>
      <c r="AC133" s="586" t="e">
        <f>AC132/AC66</f>
        <v>#REF!</v>
      </c>
      <c r="AD133" s="585"/>
      <c r="AE133" s="586">
        <f t="shared" ref="AE133" si="1226">AE132/AE66</f>
        <v>2.8182186234817812</v>
      </c>
      <c r="AF133" s="585"/>
      <c r="AG133" s="586">
        <f t="shared" ref="AG133" si="1227">AG132/AG66</f>
        <v>1.8653846153846154</v>
      </c>
      <c r="AH133" s="585"/>
      <c r="AI133" s="586">
        <f t="shared" ref="AI133" si="1228">AI132/AI66</f>
        <v>0</v>
      </c>
      <c r="AJ133" s="585"/>
      <c r="AK133" s="586">
        <f t="shared" ref="AK133" si="1229">AK132/AK66</f>
        <v>0.8963562753036437</v>
      </c>
      <c r="AL133" s="585"/>
      <c r="AM133" s="586">
        <f t="shared" ref="AM133" si="1230">AM132/AM66</f>
        <v>0</v>
      </c>
      <c r="AN133" s="585"/>
      <c r="AO133" s="586">
        <f t="shared" ref="AO133" si="1231">AO132/AO66</f>
        <v>1.0174089068825911</v>
      </c>
      <c r="AP133" s="585"/>
      <c r="AQ133" s="586">
        <f t="shared" ref="AQ133" si="1232">AQ132/AQ66</f>
        <v>0</v>
      </c>
      <c r="AR133" s="585"/>
      <c r="AS133" s="586">
        <f t="shared" ref="AS133:AY133" si="1233">AS132/AS66</f>
        <v>0</v>
      </c>
      <c r="AT133" s="585"/>
      <c r="AU133" s="586">
        <f t="shared" si="1233"/>
        <v>1.9779352226720648</v>
      </c>
      <c r="AV133" s="585"/>
      <c r="AW133" s="586">
        <f t="shared" si="1233"/>
        <v>1.0060728744939271</v>
      </c>
      <c r="AX133" s="585"/>
      <c r="AY133" s="586">
        <f t="shared" si="1233"/>
        <v>0</v>
      </c>
      <c r="AZ133" s="585"/>
      <c r="BA133" s="586">
        <f t="shared" ref="BA133:BC133" si="1234">BA132/BA66</f>
        <v>0</v>
      </c>
      <c r="BB133" s="585"/>
      <c r="BC133" s="586">
        <f t="shared" si="1234"/>
        <v>0</v>
      </c>
      <c r="BD133" s="585"/>
      <c r="BE133" s="586">
        <f t="shared" ref="BE133:BG133" si="1235">BE132/BE66</f>
        <v>0</v>
      </c>
      <c r="BF133" s="585"/>
      <c r="BG133" s="586">
        <f t="shared" si="1235"/>
        <v>0</v>
      </c>
      <c r="BH133" s="585"/>
      <c r="BI133" s="586">
        <f t="shared" ref="BI133:BK133" si="1236">BI132/BI66</f>
        <v>0</v>
      </c>
      <c r="BJ133" s="585"/>
      <c r="BK133" s="586">
        <f t="shared" si="1236"/>
        <v>0</v>
      </c>
      <c r="BL133" s="585"/>
      <c r="BM133" s="586">
        <f t="shared" ref="BM133" si="1237">BM132/BM66</f>
        <v>0</v>
      </c>
      <c r="BN133" s="585"/>
      <c r="BO133" s="586">
        <f t="shared" ref="BO133" si="1238">BO132/BO66</f>
        <v>0</v>
      </c>
      <c r="BP133" s="585"/>
      <c r="BQ133" s="586">
        <f>BQ132/BQ66</f>
        <v>0</v>
      </c>
      <c r="BR133" s="585"/>
      <c r="BS133" s="586">
        <f t="shared" ref="BS133" si="1239">BS132/BS66</f>
        <v>0</v>
      </c>
      <c r="BT133" s="585"/>
      <c r="BU133" s="586">
        <f>BU132/BU66</f>
        <v>0</v>
      </c>
      <c r="BV133" s="585"/>
      <c r="BW133" s="586">
        <f>BW132/BW66</f>
        <v>0</v>
      </c>
      <c r="BX133" s="585"/>
      <c r="BY133" s="586">
        <f>BY132/BY66</f>
        <v>0</v>
      </c>
      <c r="BZ133" s="585"/>
      <c r="CA133" s="586">
        <f>CA132/CA66</f>
        <v>0</v>
      </c>
      <c r="CB133" s="585"/>
      <c r="CC133" s="586" t="e">
        <f>CC132/CC66</f>
        <v>#DIV/0!</v>
      </c>
      <c r="CD133" s="585"/>
      <c r="CE133" s="586" t="e">
        <f>CE132/CE66</f>
        <v>#DIV/0!</v>
      </c>
      <c r="CF133" s="585"/>
      <c r="CG133" s="586">
        <f>CG132/CG66</f>
        <v>0</v>
      </c>
      <c r="CH133" s="585"/>
      <c r="CI133" s="586">
        <f>CI132/CI66</f>
        <v>0</v>
      </c>
      <c r="CJ133" s="585"/>
      <c r="CK133" s="586">
        <f>CK132/CK66</f>
        <v>0</v>
      </c>
      <c r="CL133" s="585"/>
      <c r="CM133" s="586">
        <f>CM132/CM66</f>
        <v>0</v>
      </c>
      <c r="CN133" s="585"/>
      <c r="CO133" s="586">
        <f>CO132/CO66</f>
        <v>0</v>
      </c>
      <c r="CR133" s="585"/>
      <c r="CS133" s="586">
        <f t="shared" ref="CS133" si="1240">CS132/CS66</f>
        <v>0</v>
      </c>
    </row>
    <row r="134" spans="1:97" hidden="1" outlineLevel="2" collapsed="1" x14ac:dyDescent="0.45">
      <c r="A134" s="561"/>
      <c r="B134" s="1187"/>
      <c r="C134" s="223"/>
      <c r="D134" s="175"/>
      <c r="E134" s="176"/>
      <c r="F134" s="177"/>
      <c r="G134" s="178"/>
      <c r="H134" s="375"/>
      <c r="I134" s="376"/>
      <c r="J134" s="375"/>
      <c r="K134" s="376"/>
      <c r="L134" s="177"/>
      <c r="M134" s="178"/>
      <c r="N134" s="375"/>
      <c r="O134" s="376"/>
      <c r="P134" s="375"/>
      <c r="Q134" s="376"/>
      <c r="R134" s="177"/>
      <c r="S134" s="178"/>
      <c r="T134" s="375"/>
      <c r="U134" s="376"/>
      <c r="V134" s="375"/>
      <c r="W134" s="376"/>
      <c r="X134" s="177"/>
      <c r="Y134" s="178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375"/>
      <c r="BY134" s="376"/>
      <c r="BZ134" s="375"/>
      <c r="CA134" s="376"/>
      <c r="CB134" s="177"/>
      <c r="CC134" s="178"/>
      <c r="CD134" s="177"/>
      <c r="CE134" s="178"/>
      <c r="CF134" s="177"/>
      <c r="CG134" s="178"/>
      <c r="CH134" s="375"/>
      <c r="CI134" s="376"/>
      <c r="CJ134" s="375"/>
      <c r="CK134" s="376"/>
      <c r="CL134" s="375"/>
      <c r="CM134" s="376"/>
      <c r="CN134" s="375"/>
      <c r="CO134" s="376"/>
      <c r="CR134" s="375"/>
      <c r="CS134" s="376"/>
    </row>
    <row r="135" spans="1:97" hidden="1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380"/>
      <c r="I135" s="384">
        <f>I64</f>
        <v>1200</v>
      </c>
      <c r="J135" s="380"/>
      <c r="K135" s="384">
        <f>K64</f>
        <v>1200</v>
      </c>
      <c r="L135" s="180"/>
      <c r="M135" s="384">
        <f>M64</f>
        <v>1200</v>
      </c>
      <c r="N135" s="380"/>
      <c r="O135" s="384">
        <f>O64</f>
        <v>1200</v>
      </c>
      <c r="P135" s="380"/>
      <c r="Q135" s="384">
        <f>Q64</f>
        <v>1200</v>
      </c>
      <c r="R135" s="180"/>
      <c r="S135" s="384">
        <f>S64</f>
        <v>1200</v>
      </c>
      <c r="T135" s="380"/>
      <c r="U135" s="384">
        <f>U64</f>
        <v>1200</v>
      </c>
      <c r="V135" s="380"/>
      <c r="W135" s="384">
        <f>W64</f>
        <v>1200</v>
      </c>
      <c r="X135" s="180"/>
      <c r="Y135" s="384">
        <f>Y64</f>
        <v>1200</v>
      </c>
      <c r="Z135" s="380"/>
      <c r="AA135" s="384">
        <f>AA64</f>
        <v>1200</v>
      </c>
      <c r="AB135" s="380"/>
      <c r="AC135" s="384">
        <f>AC64</f>
        <v>1200</v>
      </c>
      <c r="AD135" s="380"/>
      <c r="AE135" s="384">
        <f t="shared" ref="AE135" si="1241">AE64</f>
        <v>1200</v>
      </c>
      <c r="AF135" s="380"/>
      <c r="AG135" s="384">
        <f t="shared" ref="AG135" si="1242">AG64</f>
        <v>1200</v>
      </c>
      <c r="AH135" s="380"/>
      <c r="AI135" s="384">
        <f t="shared" ref="AI135" si="1243">AI64</f>
        <v>1200</v>
      </c>
      <c r="AJ135" s="380"/>
      <c r="AK135" s="384">
        <f t="shared" ref="AK135" si="1244">AK64</f>
        <v>1200</v>
      </c>
      <c r="AL135" s="380"/>
      <c r="AM135" s="384">
        <f t="shared" ref="AM135" si="1245">AM64</f>
        <v>1200</v>
      </c>
      <c r="AN135" s="380"/>
      <c r="AO135" s="384">
        <f t="shared" ref="AO135" si="1246">AO64</f>
        <v>1200</v>
      </c>
      <c r="AP135" s="380"/>
      <c r="AQ135" s="384">
        <f t="shared" ref="AQ135" si="1247">AQ64</f>
        <v>1200</v>
      </c>
      <c r="AR135" s="380"/>
      <c r="AS135" s="384">
        <f t="shared" ref="AS135:AY135" si="1248">AS64</f>
        <v>1200</v>
      </c>
      <c r="AT135" s="380"/>
      <c r="AU135" s="384">
        <f t="shared" si="1248"/>
        <v>1200</v>
      </c>
      <c r="AV135" s="380"/>
      <c r="AW135" s="384">
        <f t="shared" si="1248"/>
        <v>1200</v>
      </c>
      <c r="AX135" s="380"/>
      <c r="AY135" s="384">
        <f t="shared" si="1248"/>
        <v>750</v>
      </c>
      <c r="AZ135" s="380"/>
      <c r="BA135" s="384">
        <f t="shared" ref="BA135:BC135" si="1249">BA64</f>
        <v>750</v>
      </c>
      <c r="BB135" s="380"/>
      <c r="BC135" s="384">
        <f t="shared" si="1249"/>
        <v>750</v>
      </c>
      <c r="BD135" s="380"/>
      <c r="BE135" s="384">
        <f t="shared" ref="BE135:BG135" si="1250">BE64</f>
        <v>750</v>
      </c>
      <c r="BF135" s="380"/>
      <c r="BG135" s="384">
        <f t="shared" si="1250"/>
        <v>750</v>
      </c>
      <c r="BH135" s="380"/>
      <c r="BI135" s="384">
        <f t="shared" ref="BI135:BK135" si="1251">BI64</f>
        <v>750</v>
      </c>
      <c r="BJ135" s="380"/>
      <c r="BK135" s="384">
        <f t="shared" si="1251"/>
        <v>750</v>
      </c>
      <c r="BL135" s="380"/>
      <c r="BM135" s="384">
        <f t="shared" ref="BM135" si="1252">BM64</f>
        <v>750</v>
      </c>
      <c r="BN135" s="380"/>
      <c r="BO135" s="384">
        <f t="shared" ref="BO135" si="1253">BO64</f>
        <v>750</v>
      </c>
      <c r="BP135" s="380"/>
      <c r="BQ135" s="384">
        <f t="shared" ref="BQ135" si="1254">BQ64</f>
        <v>750</v>
      </c>
      <c r="BR135" s="380"/>
      <c r="BS135" s="384">
        <f t="shared" ref="BS135" si="1255">BS64</f>
        <v>750</v>
      </c>
      <c r="BT135" s="380"/>
      <c r="BU135" s="384">
        <f>BU64</f>
        <v>750</v>
      </c>
      <c r="BV135" s="380"/>
      <c r="BW135" s="384">
        <f>BW64</f>
        <v>750</v>
      </c>
      <c r="BX135" s="380"/>
      <c r="BY135" s="384">
        <v>1200</v>
      </c>
      <c r="BZ135" s="380"/>
      <c r="CA135" s="384">
        <v>1200</v>
      </c>
      <c r="CB135" s="180"/>
      <c r="CC135" s="384">
        <f>CC64</f>
        <v>750</v>
      </c>
      <c r="CD135" s="180"/>
      <c r="CE135" s="384">
        <f>CE64</f>
        <v>750</v>
      </c>
      <c r="CF135" s="180"/>
      <c r="CG135" s="384">
        <f>CG64</f>
        <v>750</v>
      </c>
      <c r="CH135" s="380"/>
      <c r="CI135" s="384">
        <v>750</v>
      </c>
      <c r="CJ135" s="380"/>
      <c r="CK135" s="384">
        <f>CK64</f>
        <v>750</v>
      </c>
      <c r="CL135" s="380"/>
      <c r="CM135" s="384">
        <f>CM64</f>
        <v>750</v>
      </c>
      <c r="CN135" s="380"/>
      <c r="CO135" s="384">
        <f>CO64</f>
        <v>750</v>
      </c>
      <c r="CR135" s="380"/>
      <c r="CS135" s="384">
        <f t="shared" ref="CS135" si="1256">CS64</f>
        <v>750</v>
      </c>
    </row>
    <row r="136" spans="1:97" hidden="1" outlineLevel="3" x14ac:dyDescent="0.45">
      <c r="A136" s="561"/>
      <c r="B136" s="1187"/>
      <c r="C136" s="161" t="s">
        <v>388</v>
      </c>
      <c r="D136" s="162"/>
      <c r="E136" s="179"/>
      <c r="F136" s="180"/>
      <c r="G136" s="224">
        <f>I136</f>
        <v>1299.6727089627391</v>
      </c>
      <c r="H136" s="380"/>
      <c r="I136" s="384">
        <v>1299.6727089627391</v>
      </c>
      <c r="J136" s="380"/>
      <c r="K136" s="384">
        <v>1238.5763943914906</v>
      </c>
      <c r="L136" s="180"/>
      <c r="M136" s="224">
        <v>1354.3565348022034</v>
      </c>
      <c r="N136" s="380"/>
      <c r="O136" s="384">
        <v>1447.4124809741249</v>
      </c>
      <c r="P136" s="380"/>
      <c r="Q136" s="384">
        <f>O136</f>
        <v>1447.4124809741249</v>
      </c>
      <c r="R136" s="180"/>
      <c r="S136" s="224">
        <v>1486.0697345427311</v>
      </c>
      <c r="T136" s="380"/>
      <c r="U136" s="384">
        <f>S136</f>
        <v>1486.0697345427311</v>
      </c>
      <c r="V136" s="380"/>
      <c r="W136" s="384">
        <v>1161.7052526523744</v>
      </c>
      <c r="X136" s="180"/>
      <c r="Y136" s="224">
        <f>W136</f>
        <v>1161.7052526523744</v>
      </c>
      <c r="Z136" s="380"/>
      <c r="AA136" s="384">
        <v>476.23483535528601</v>
      </c>
      <c r="AB136" s="380"/>
      <c r="AC136" s="384">
        <v>534.27620632279525</v>
      </c>
      <c r="AD136" s="380"/>
      <c r="AE136" s="384">
        <v>372.58679586851662</v>
      </c>
      <c r="AF136" s="380"/>
      <c r="AG136" s="384">
        <v>363.26661262845175</v>
      </c>
      <c r="AH136" s="380"/>
      <c r="AI136" s="384">
        <v>363.26661262845175</v>
      </c>
      <c r="AJ136" s="380"/>
      <c r="AK136" s="384">
        <v>363.26661262845175</v>
      </c>
      <c r="AL136" s="380"/>
      <c r="AM136" s="384">
        <v>363.26661262845175</v>
      </c>
      <c r="AN136" s="380"/>
      <c r="AO136" s="384">
        <v>363.26661262845175</v>
      </c>
      <c r="AP136" s="380"/>
      <c r="AQ136" s="384">
        <v>363.26661262845175</v>
      </c>
      <c r="AR136" s="380"/>
      <c r="AS136" s="384">
        <v>363.26661262845175</v>
      </c>
      <c r="AT136" s="380"/>
      <c r="AU136" s="384">
        <v>363.26661262845175</v>
      </c>
      <c r="AV136" s="380"/>
      <c r="AW136" s="384">
        <v>60</v>
      </c>
      <c r="AX136" s="380"/>
      <c r="AY136" s="384">
        <v>60</v>
      </c>
      <c r="AZ136" s="380"/>
      <c r="BA136" s="384">
        <v>55</v>
      </c>
      <c r="BB136" s="380"/>
      <c r="BC136" s="384">
        <v>68</v>
      </c>
      <c r="BD136" s="380"/>
      <c r="BE136" s="384">
        <v>60</v>
      </c>
      <c r="BF136" s="380"/>
      <c r="BG136" s="384">
        <v>89.7</v>
      </c>
      <c r="BH136" s="380"/>
      <c r="BI136" s="384">
        <v>212</v>
      </c>
      <c r="BJ136" s="380"/>
      <c r="BK136" s="384">
        <v>49</v>
      </c>
      <c r="BL136" s="380"/>
      <c r="BM136" s="384">
        <v>200</v>
      </c>
      <c r="BN136" s="380"/>
      <c r="BO136" s="384">
        <v>100</v>
      </c>
      <c r="BP136" s="380"/>
      <c r="BQ136" s="384">
        <v>100</v>
      </c>
      <c r="BR136" s="380"/>
      <c r="BS136" s="384">
        <v>100</v>
      </c>
      <c r="BT136" s="380"/>
      <c r="BU136" s="384">
        <v>100</v>
      </c>
      <c r="BV136" s="380"/>
      <c r="BW136" s="384">
        <v>295.30472103004291</v>
      </c>
      <c r="BX136" s="380"/>
      <c r="BY136" s="384">
        <v>100</v>
      </c>
      <c r="BZ136" s="380"/>
      <c r="CA136" s="384">
        <v>100</v>
      </c>
      <c r="CB136" s="380"/>
      <c r="CC136" s="384">
        <v>100</v>
      </c>
      <c r="CD136" s="380"/>
      <c r="CE136" s="384">
        <v>100</v>
      </c>
      <c r="CF136" s="380"/>
      <c r="CG136" s="384">
        <v>100</v>
      </c>
      <c r="CH136" s="380"/>
      <c r="CI136" s="384">
        <v>100</v>
      </c>
      <c r="CJ136" s="380"/>
      <c r="CK136" s="384">
        <v>100</v>
      </c>
      <c r="CL136" s="380"/>
      <c r="CM136" s="384">
        <v>100</v>
      </c>
      <c r="CN136" s="380"/>
      <c r="CO136" s="384">
        <v>100</v>
      </c>
      <c r="CR136" s="380"/>
      <c r="CS136" s="384">
        <v>200</v>
      </c>
    </row>
    <row r="137" spans="1:97" ht="14.45" hidden="1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380"/>
      <c r="I137" s="384" t="e">
        <f>G137</f>
        <v>#REF!</v>
      </c>
      <c r="J137" s="380"/>
      <c r="K137" s="384" t="e">
        <f>I137</f>
        <v>#REF!</v>
      </c>
      <c r="L137" s="180"/>
      <c r="M137" s="224" t="e">
        <f>#REF!</f>
        <v>#REF!</v>
      </c>
      <c r="N137" s="380"/>
      <c r="O137" s="384" t="e">
        <f>M137</f>
        <v>#REF!</v>
      </c>
      <c r="P137" s="380"/>
      <c r="Q137" s="384" t="e">
        <f>O137</f>
        <v>#REF!</v>
      </c>
      <c r="R137" s="180"/>
      <c r="S137" s="224" t="e">
        <f>#REF!</f>
        <v>#REF!</v>
      </c>
      <c r="T137" s="380"/>
      <c r="U137" s="384" t="e">
        <f>S137</f>
        <v>#REF!</v>
      </c>
      <c r="V137" s="380"/>
      <c r="W137" s="384" t="e">
        <f>U137</f>
        <v>#REF!</v>
      </c>
      <c r="X137" s="180"/>
      <c r="Y137" s="224" t="e">
        <f>#REF!</f>
        <v>#REF!</v>
      </c>
      <c r="Z137" s="380"/>
      <c r="AA137" s="384" t="e">
        <f>Y137</f>
        <v>#REF!</v>
      </c>
      <c r="AB137" s="380"/>
      <c r="AC137" s="384" t="e">
        <f>AA137</f>
        <v>#REF!</v>
      </c>
      <c r="AD137" s="380"/>
      <c r="AE137" s="384" t="e">
        <f t="shared" ref="AE137" si="1257">AC137</f>
        <v>#REF!</v>
      </c>
      <c r="AF137" s="380"/>
      <c r="AG137" s="384" t="e">
        <f t="shared" ref="AG137" si="1258">AE137</f>
        <v>#REF!</v>
      </c>
      <c r="AH137" s="380"/>
      <c r="AI137" s="384" t="e">
        <f t="shared" ref="AI137" si="1259">AG137</f>
        <v>#REF!</v>
      </c>
      <c r="AJ137" s="380"/>
      <c r="AK137" s="384" t="e">
        <f t="shared" ref="AK137" si="1260">AI137</f>
        <v>#REF!</v>
      </c>
      <c r="AL137" s="380"/>
      <c r="AM137" s="384" t="e">
        <f t="shared" ref="AM137" si="1261">AK137</f>
        <v>#REF!</v>
      </c>
      <c r="AN137" s="380"/>
      <c r="AO137" s="384" t="e">
        <f t="shared" ref="AO137" si="1262">AM137</f>
        <v>#REF!</v>
      </c>
      <c r="AP137" s="380"/>
      <c r="AQ137" s="384" t="e">
        <f t="shared" ref="AQ137" si="1263">AO137</f>
        <v>#REF!</v>
      </c>
      <c r="AR137" s="380"/>
      <c r="AS137" s="384" t="e">
        <f t="shared" ref="AS137" si="1264">AQ137</f>
        <v>#REF!</v>
      </c>
      <c r="AT137" s="380"/>
      <c r="AU137" s="384" t="e">
        <f t="shared" ref="AU137" si="1265">AS137</f>
        <v>#REF!</v>
      </c>
      <c r="AV137" s="380"/>
      <c r="AW137" s="384" t="e">
        <f t="shared" ref="AW137" si="1266">AU137</f>
        <v>#REF!</v>
      </c>
      <c r="AX137" s="380"/>
      <c r="AY137" s="384" t="e">
        <f t="shared" ref="AY137" si="1267">AW137</f>
        <v>#REF!</v>
      </c>
      <c r="AZ137" s="380"/>
      <c r="BA137" s="384" t="e">
        <f t="shared" ref="BA137" si="1268">AY137</f>
        <v>#REF!</v>
      </c>
      <c r="BB137" s="380"/>
      <c r="BC137" s="384" t="e">
        <f t="shared" ref="BC137" si="1269">BA137</f>
        <v>#REF!</v>
      </c>
      <c r="BD137" s="380"/>
      <c r="BE137" s="384" t="e">
        <f t="shared" ref="BE137" si="1270">BC137</f>
        <v>#REF!</v>
      </c>
      <c r="BF137" s="380"/>
      <c r="BG137" s="384" t="e">
        <f t="shared" ref="BG137" si="1271">BE137</f>
        <v>#REF!</v>
      </c>
      <c r="BH137" s="380"/>
      <c r="BI137" s="384" t="e">
        <f t="shared" ref="BI137" si="1272">BG137</f>
        <v>#REF!</v>
      </c>
      <c r="BJ137" s="380"/>
      <c r="BK137" s="384" t="e">
        <f t="shared" ref="BK137" si="1273">BI137</f>
        <v>#REF!</v>
      </c>
      <c r="BL137" s="380"/>
      <c r="BM137" s="384" t="e">
        <f t="shared" ref="BM137" si="1274">BK137</f>
        <v>#REF!</v>
      </c>
      <c r="BN137" s="380"/>
      <c r="BO137" s="224">
        <f>'Pricing Structure - GSS'!EU137</f>
        <v>0</v>
      </c>
      <c r="BP137" s="380"/>
      <c r="BQ137" s="384">
        <v>1244</v>
      </c>
      <c r="BR137" s="380"/>
      <c r="BS137" s="224" t="e">
        <f>CE137</f>
        <v>#REF!</v>
      </c>
      <c r="BT137" s="380"/>
      <c r="BU137" s="384">
        <v>1244</v>
      </c>
      <c r="BV137" s="380"/>
      <c r="BW137" s="384">
        <v>1244</v>
      </c>
      <c r="BX137" s="380"/>
      <c r="BY137" s="384">
        <f>BQ137</f>
        <v>1244</v>
      </c>
      <c r="BZ137" s="380"/>
      <c r="CA137" s="384" t="e">
        <f>#REF!</f>
        <v>#REF!</v>
      </c>
      <c r="CB137" s="180"/>
      <c r="CC137" s="224" t="e">
        <f>#REF!</f>
        <v>#REF!</v>
      </c>
      <c r="CD137" s="180"/>
      <c r="CE137" s="224" t="e">
        <f>#REF!</f>
        <v>#REF!</v>
      </c>
      <c r="CF137" s="180"/>
      <c r="CG137" s="224" t="e">
        <f>#REF!</f>
        <v>#REF!</v>
      </c>
      <c r="CH137" s="380"/>
      <c r="CI137" s="384">
        <f>BQ137</f>
        <v>1244</v>
      </c>
      <c r="CJ137" s="380"/>
      <c r="CK137" s="384" t="e">
        <f>CG137</f>
        <v>#REF!</v>
      </c>
      <c r="CL137" s="380"/>
      <c r="CM137" s="384">
        <f>CF137</f>
        <v>0</v>
      </c>
      <c r="CN137" s="380"/>
      <c r="CO137" s="384" t="e">
        <f>BM137</f>
        <v>#REF!</v>
      </c>
      <c r="CR137" s="380"/>
      <c r="CS137" s="384">
        <f>BU137</f>
        <v>1244</v>
      </c>
    </row>
    <row r="138" spans="1:97" ht="14.45" hidden="1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380"/>
      <c r="I138" s="384">
        <v>750</v>
      </c>
      <c r="J138" s="380"/>
      <c r="K138" s="384">
        <v>750</v>
      </c>
      <c r="L138" s="180"/>
      <c r="M138" s="224">
        <v>750</v>
      </c>
      <c r="N138" s="380"/>
      <c r="O138" s="384">
        <v>750</v>
      </c>
      <c r="P138" s="380"/>
      <c r="Q138" s="384">
        <v>750</v>
      </c>
      <c r="R138" s="180"/>
      <c r="S138" s="224">
        <v>750</v>
      </c>
      <c r="T138" s="380"/>
      <c r="U138" s="384">
        <v>750</v>
      </c>
      <c r="V138" s="380"/>
      <c r="W138" s="384">
        <v>750</v>
      </c>
      <c r="X138" s="180"/>
      <c r="Y138" s="224">
        <v>750</v>
      </c>
      <c r="Z138" s="380"/>
      <c r="AA138" s="384">
        <v>750</v>
      </c>
      <c r="AB138" s="380"/>
      <c r="AC138" s="384">
        <v>750</v>
      </c>
      <c r="AD138" s="380"/>
      <c r="AE138" s="384">
        <v>750</v>
      </c>
      <c r="AF138" s="380"/>
      <c r="AG138" s="384">
        <v>750</v>
      </c>
      <c r="AH138" s="380"/>
      <c r="AI138" s="384">
        <v>750</v>
      </c>
      <c r="AJ138" s="380"/>
      <c r="AK138" s="384">
        <v>750</v>
      </c>
      <c r="AL138" s="380"/>
      <c r="AM138" s="384">
        <v>750</v>
      </c>
      <c r="AN138" s="380"/>
      <c r="AO138" s="384">
        <v>750</v>
      </c>
      <c r="AP138" s="380"/>
      <c r="AQ138" s="384">
        <v>750</v>
      </c>
      <c r="AR138" s="380"/>
      <c r="AS138" s="384">
        <v>750</v>
      </c>
      <c r="AT138" s="380"/>
      <c r="AU138" s="384">
        <v>750</v>
      </c>
      <c r="AV138" s="380"/>
      <c r="AW138" s="384">
        <v>750</v>
      </c>
      <c r="AX138" s="380"/>
      <c r="AY138" s="384">
        <v>750</v>
      </c>
      <c r="AZ138" s="380"/>
      <c r="BA138" s="384">
        <v>750</v>
      </c>
      <c r="BB138" s="380"/>
      <c r="BC138" s="384">
        <v>750</v>
      </c>
      <c r="BD138" s="380"/>
      <c r="BE138" s="384">
        <v>750</v>
      </c>
      <c r="BF138" s="380"/>
      <c r="BG138" s="384">
        <v>750</v>
      </c>
      <c r="BH138" s="380"/>
      <c r="BI138" s="384">
        <v>750</v>
      </c>
      <c r="BJ138" s="380"/>
      <c r="BK138" s="384">
        <v>750</v>
      </c>
      <c r="BL138" s="380"/>
      <c r="BM138" s="384">
        <v>750</v>
      </c>
      <c r="BN138" s="380"/>
      <c r="BO138" s="224">
        <v>1200</v>
      </c>
      <c r="BP138" s="380"/>
      <c r="BQ138" s="384">
        <f t="shared" ref="BQ138" si="1275">BQ64</f>
        <v>750</v>
      </c>
      <c r="BR138" s="380"/>
      <c r="BS138" s="224">
        <v>1200</v>
      </c>
      <c r="BT138" s="380"/>
      <c r="BU138" s="384">
        <f>BU64</f>
        <v>750</v>
      </c>
      <c r="BV138" s="380"/>
      <c r="BW138" s="384">
        <f>BW64</f>
        <v>750</v>
      </c>
      <c r="BX138" s="380"/>
      <c r="BY138" s="384">
        <v>750</v>
      </c>
      <c r="BZ138" s="380"/>
      <c r="CA138" s="384">
        <v>750</v>
      </c>
      <c r="CB138" s="180"/>
      <c r="CC138" s="224">
        <v>750</v>
      </c>
      <c r="CD138" s="180"/>
      <c r="CE138" s="224">
        <v>750</v>
      </c>
      <c r="CF138" s="180"/>
      <c r="CG138" s="224">
        <v>750</v>
      </c>
      <c r="CH138" s="380"/>
      <c r="CI138" s="384">
        <v>750</v>
      </c>
      <c r="CJ138" s="380"/>
      <c r="CK138" s="384">
        <v>750</v>
      </c>
      <c r="CL138" s="380"/>
      <c r="CM138" s="384">
        <v>750</v>
      </c>
      <c r="CN138" s="380"/>
      <c r="CO138" s="384">
        <v>750</v>
      </c>
      <c r="CR138" s="380"/>
      <c r="CS138" s="384">
        <v>750</v>
      </c>
    </row>
    <row r="139" spans="1:97" ht="14.45" hidden="1" customHeight="1" outlineLevel="4" x14ac:dyDescent="0.45">
      <c r="A139" s="561"/>
      <c r="B139" s="1187"/>
      <c r="C139" s="225" t="s">
        <v>130</v>
      </c>
      <c r="D139" s="162"/>
      <c r="E139" s="179"/>
      <c r="F139" s="164"/>
      <c r="G139" s="171"/>
      <c r="H139" s="359"/>
      <c r="I139" s="372"/>
      <c r="J139" s="359"/>
      <c r="K139" s="372"/>
      <c r="L139" s="164"/>
      <c r="M139" s="171"/>
      <c r="N139" s="359"/>
      <c r="O139" s="372"/>
      <c r="P139" s="359"/>
      <c r="Q139" s="372"/>
      <c r="R139" s="164"/>
      <c r="S139" s="171"/>
      <c r="T139" s="359"/>
      <c r="U139" s="372"/>
      <c r="V139" s="359"/>
      <c r="W139" s="372"/>
      <c r="X139" s="164"/>
      <c r="Y139" s="171"/>
      <c r="Z139" s="359"/>
      <c r="AA139" s="372"/>
      <c r="AB139" s="359"/>
      <c r="AC139" s="372"/>
      <c r="AD139" s="359"/>
      <c r="AE139" s="372"/>
      <c r="AF139" s="359"/>
      <c r="AG139" s="372"/>
      <c r="AH139" s="359"/>
      <c r="AI139" s="372"/>
      <c r="AJ139" s="359"/>
      <c r="AK139" s="372"/>
      <c r="AL139" s="359"/>
      <c r="AM139" s="372"/>
      <c r="AN139" s="359"/>
      <c r="AO139" s="372"/>
      <c r="AP139" s="359"/>
      <c r="AQ139" s="372"/>
      <c r="AR139" s="359"/>
      <c r="AS139" s="372"/>
      <c r="AT139" s="359"/>
      <c r="AU139" s="372"/>
      <c r="AV139" s="359"/>
      <c r="AW139" s="372"/>
      <c r="AX139" s="359"/>
      <c r="AY139" s="372"/>
      <c r="AZ139" s="359"/>
      <c r="BA139" s="372"/>
      <c r="BB139" s="359"/>
      <c r="BC139" s="372"/>
      <c r="BD139" s="359"/>
      <c r="BE139" s="372"/>
      <c r="BF139" s="359"/>
      <c r="BG139" s="372"/>
      <c r="BH139" s="359"/>
      <c r="BI139" s="372"/>
      <c r="BJ139" s="359"/>
      <c r="BK139" s="372"/>
      <c r="BL139" s="359"/>
      <c r="BM139" s="372"/>
      <c r="BN139" s="380"/>
      <c r="BO139" s="384">
        <v>750</v>
      </c>
      <c r="BP139" s="380"/>
      <c r="BQ139" s="384">
        <v>750</v>
      </c>
      <c r="BR139" s="380"/>
      <c r="BS139" s="384">
        <v>750</v>
      </c>
      <c r="BT139" s="380"/>
      <c r="BU139" s="384">
        <v>750</v>
      </c>
      <c r="BV139" s="380"/>
      <c r="BW139" s="384">
        <v>750</v>
      </c>
      <c r="BX139" s="359"/>
      <c r="BY139" s="372"/>
      <c r="BZ139" s="359"/>
      <c r="CA139" s="372"/>
      <c r="CB139" s="164"/>
      <c r="CC139" s="171"/>
      <c r="CD139" s="164"/>
      <c r="CE139" s="171"/>
      <c r="CF139" s="164"/>
      <c r="CG139" s="171"/>
      <c r="CH139" s="359"/>
      <c r="CI139" s="372"/>
      <c r="CJ139" s="359"/>
      <c r="CK139" s="372"/>
      <c r="CL139" s="359"/>
      <c r="CM139" s="372"/>
      <c r="CN139" s="359"/>
      <c r="CO139" s="372"/>
      <c r="CR139" s="359"/>
      <c r="CS139" s="372"/>
    </row>
    <row r="140" spans="1:97" hidden="1" outlineLevel="3" x14ac:dyDescent="0.45">
      <c r="A140" s="561"/>
      <c r="B140" s="1187"/>
      <c r="C140" s="170"/>
      <c r="D140" s="162"/>
      <c r="E140" s="176"/>
      <c r="F140" s="177"/>
      <c r="G140" s="178"/>
      <c r="H140" s="375"/>
      <c r="I140" s="376"/>
      <c r="J140" s="375"/>
      <c r="K140" s="376"/>
      <c r="L140" s="177"/>
      <c r="M140" s="178"/>
      <c r="N140" s="375"/>
      <c r="O140" s="376"/>
      <c r="P140" s="375"/>
      <c r="Q140" s="376"/>
      <c r="R140" s="177"/>
      <c r="S140" s="178"/>
      <c r="T140" s="375"/>
      <c r="U140" s="376"/>
      <c r="V140" s="375"/>
      <c r="W140" s="376"/>
      <c r="X140" s="177"/>
      <c r="Y140" s="178"/>
      <c r="Z140" s="375"/>
      <c r="AA140" s="376"/>
      <c r="AB140" s="375"/>
      <c r="AC140" s="376"/>
      <c r="AD140" s="375"/>
      <c r="AE140" s="376"/>
      <c r="AF140" s="375"/>
      <c r="AG140" s="376"/>
      <c r="AH140" s="375"/>
      <c r="AI140" s="376"/>
      <c r="AJ140" s="375"/>
      <c r="AK140" s="376"/>
      <c r="AL140" s="375"/>
      <c r="AM140" s="376"/>
      <c r="AN140" s="375"/>
      <c r="AO140" s="376"/>
      <c r="AP140" s="375"/>
      <c r="AQ140" s="376"/>
      <c r="AR140" s="375"/>
      <c r="AS140" s="376"/>
      <c r="AT140" s="375"/>
      <c r="AU140" s="376"/>
      <c r="AV140" s="375"/>
      <c r="AW140" s="376"/>
      <c r="AX140" s="375"/>
      <c r="AY140" s="376"/>
      <c r="AZ140" s="375"/>
      <c r="BA140" s="376"/>
      <c r="BB140" s="375"/>
      <c r="BC140" s="376"/>
      <c r="BD140" s="375"/>
      <c r="BE140" s="376"/>
      <c r="BF140" s="375"/>
      <c r="BG140" s="376"/>
      <c r="BH140" s="375"/>
      <c r="BI140" s="376"/>
      <c r="BJ140" s="375"/>
      <c r="BK140" s="376"/>
      <c r="BL140" s="375"/>
      <c r="BM140" s="376"/>
      <c r="BN140" s="359"/>
      <c r="BO140" s="372"/>
      <c r="BP140" s="359"/>
      <c r="BQ140" s="372"/>
      <c r="BR140" s="359"/>
      <c r="BS140" s="372"/>
      <c r="BT140" s="359"/>
      <c r="BU140" s="372"/>
      <c r="BV140" s="359"/>
      <c r="BW140" s="372"/>
      <c r="BX140" s="229"/>
      <c r="BY140" s="230">
        <f>BY136-BY135</f>
        <v>-1100</v>
      </c>
      <c r="BZ140" s="229"/>
      <c r="CA140" s="230">
        <f>CA136-CA135</f>
        <v>-1100</v>
      </c>
      <c r="CB140" s="177"/>
      <c r="CC140" s="178"/>
      <c r="CD140" s="177"/>
      <c r="CE140" s="178"/>
      <c r="CF140" s="177"/>
      <c r="CG140" s="178"/>
      <c r="CH140" s="229"/>
      <c r="CI140" s="230">
        <f>CI137-CI135</f>
        <v>494</v>
      </c>
      <c r="CJ140" s="375"/>
      <c r="CK140" s="376"/>
      <c r="CL140" s="375"/>
      <c r="CM140" s="376"/>
      <c r="CN140" s="375"/>
      <c r="CO140" s="376"/>
      <c r="CR140" s="375"/>
      <c r="CS140" s="376"/>
    </row>
    <row r="141" spans="1:97" hidden="1" outlineLevel="3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99.67270896273908</v>
      </c>
      <c r="H141" s="229"/>
      <c r="I141" s="230">
        <f>I136-I135</f>
        <v>99.67270896273908</v>
      </c>
      <c r="J141" s="229"/>
      <c r="K141" s="230">
        <f>K136-K135</f>
        <v>38.576394391490567</v>
      </c>
      <c r="L141" s="229"/>
      <c r="M141" s="230">
        <f>M136-M135</f>
        <v>154.35653480220344</v>
      </c>
      <c r="N141" s="229"/>
      <c r="O141" s="230">
        <f>O136-O135</f>
        <v>247.41248097412495</v>
      </c>
      <c r="P141" s="229"/>
      <c r="Q141" s="230">
        <f>Q136-Q135</f>
        <v>247.41248097412495</v>
      </c>
      <c r="R141" s="229"/>
      <c r="S141" s="230">
        <f>S136-S135</f>
        <v>286.06973454273111</v>
      </c>
      <c r="T141" s="229"/>
      <c r="U141" s="230">
        <f>U136-U135</f>
        <v>286.06973454273111</v>
      </c>
      <c r="V141" s="229"/>
      <c r="W141" s="230">
        <f>W136-W135</f>
        <v>-38.294747347625616</v>
      </c>
      <c r="X141" s="229"/>
      <c r="Y141" s="230">
        <f>Y136-Y135</f>
        <v>-38.294747347625616</v>
      </c>
      <c r="Z141" s="229"/>
      <c r="AA141" s="230">
        <f>AA136-AA135</f>
        <v>-723.76516464471399</v>
      </c>
      <c r="AB141" s="229"/>
      <c r="AC141" s="230">
        <f>AC136-AC135</f>
        <v>-665.72379367720475</v>
      </c>
      <c r="AD141" s="229"/>
      <c r="AE141" s="230">
        <f t="shared" ref="AE141" si="1276">AE136-AE135</f>
        <v>-827.41320413148333</v>
      </c>
      <c r="AF141" s="229"/>
      <c r="AG141" s="230">
        <f t="shared" ref="AG141" si="1277">AG136-AG135</f>
        <v>-836.73338737154825</v>
      </c>
      <c r="AH141" s="229"/>
      <c r="AI141" s="230">
        <f t="shared" ref="AI141" si="1278">AI136-AI135</f>
        <v>-836.73338737154825</v>
      </c>
      <c r="AJ141" s="229"/>
      <c r="AK141" s="230">
        <f t="shared" ref="AK141" si="1279">AK136-AK135</f>
        <v>-836.73338737154825</v>
      </c>
      <c r="AL141" s="229"/>
      <c r="AM141" s="230">
        <f t="shared" ref="AM141" si="1280">AM136-AM135</f>
        <v>-836.73338737154825</v>
      </c>
      <c r="AN141" s="229"/>
      <c r="AO141" s="230">
        <f t="shared" ref="AO141" si="1281">AO136-AO135</f>
        <v>-836.73338737154825</v>
      </c>
      <c r="AP141" s="229"/>
      <c r="AQ141" s="230">
        <f t="shared" ref="AQ141" si="1282">AQ136-AQ135</f>
        <v>-836.73338737154825</v>
      </c>
      <c r="AR141" s="229"/>
      <c r="AS141" s="230">
        <f t="shared" ref="AS141:AY141" si="1283">AS136-AS135</f>
        <v>-836.73338737154825</v>
      </c>
      <c r="AT141" s="229"/>
      <c r="AU141" s="230">
        <f t="shared" si="1283"/>
        <v>-836.73338737154825</v>
      </c>
      <c r="AV141" s="229"/>
      <c r="AW141" s="230">
        <f t="shared" si="1283"/>
        <v>-1140</v>
      </c>
      <c r="AX141" s="229"/>
      <c r="AY141" s="230">
        <f t="shared" si="1283"/>
        <v>-690</v>
      </c>
      <c r="AZ141" s="229"/>
      <c r="BA141" s="230">
        <f t="shared" ref="BA141:BC141" si="1284">BA136-BA135</f>
        <v>-695</v>
      </c>
      <c r="BB141" s="229"/>
      <c r="BC141" s="230">
        <f t="shared" si="1284"/>
        <v>-682</v>
      </c>
      <c r="BD141" s="229"/>
      <c r="BE141" s="230">
        <f t="shared" ref="BE141:BG141" si="1285">BE136-BE135</f>
        <v>-690</v>
      </c>
      <c r="BF141" s="229"/>
      <c r="BG141" s="230">
        <f t="shared" si="1285"/>
        <v>-660.3</v>
      </c>
      <c r="BH141" s="229"/>
      <c r="BI141" s="230">
        <f t="shared" ref="BI141:BK141" si="1286">BI136-BI135</f>
        <v>-538</v>
      </c>
      <c r="BJ141" s="229"/>
      <c r="BK141" s="230">
        <f t="shared" si="1286"/>
        <v>-701</v>
      </c>
      <c r="BL141" s="229"/>
      <c r="BM141" s="230">
        <f t="shared" ref="BM141" si="1287">BM136-BM135</f>
        <v>-550</v>
      </c>
      <c r="BN141" s="1102"/>
      <c r="BO141" s="588">
        <f t="shared" ref="BO141" si="1288">BO136-BO135</f>
        <v>-650</v>
      </c>
      <c r="BP141" s="1102"/>
      <c r="BQ141" s="588">
        <f t="shared" ref="BQ141" si="1289">BQ136-BQ135</f>
        <v>-650</v>
      </c>
      <c r="BR141" s="229"/>
      <c r="BS141" s="230">
        <f t="shared" ref="BS141" si="1290">BS136-BS135</f>
        <v>-650</v>
      </c>
      <c r="BT141" s="1102"/>
      <c r="BU141" s="588">
        <f>BU136-BU135</f>
        <v>-650</v>
      </c>
      <c r="BV141" s="1102"/>
      <c r="BW141" s="588">
        <f>BW136-BW135</f>
        <v>-454.69527896995709</v>
      </c>
      <c r="BX141" s="229"/>
      <c r="BY141" s="588">
        <f>BY140*BY133</f>
        <v>0</v>
      </c>
      <c r="BZ141" s="229"/>
      <c r="CA141" s="588">
        <f>CA140*CA133</f>
        <v>0</v>
      </c>
      <c r="CB141" s="229"/>
      <c r="CC141" s="230">
        <f t="shared" ref="CC141" si="1291">CC136-CC135</f>
        <v>-650</v>
      </c>
      <c r="CD141" s="229"/>
      <c r="CE141" s="230">
        <f t="shared" ref="CE141" si="1292">CE136-CE135</f>
        <v>-650</v>
      </c>
      <c r="CF141" s="229"/>
      <c r="CG141" s="230">
        <f>CG136-CG135</f>
        <v>-650</v>
      </c>
      <c r="CH141" s="229"/>
      <c r="CI141" s="588">
        <f>CI140*CI133</f>
        <v>0</v>
      </c>
      <c r="CJ141" s="229"/>
      <c r="CK141" s="230">
        <f>CK136-CK135</f>
        <v>-650</v>
      </c>
      <c r="CL141" s="229"/>
      <c r="CM141" s="230">
        <f>CM136-CM135</f>
        <v>-650</v>
      </c>
      <c r="CN141" s="229"/>
      <c r="CO141" s="230">
        <f>CO136-CO135</f>
        <v>-650</v>
      </c>
      <c r="CR141" s="229"/>
      <c r="CS141" s="230">
        <f t="shared" ref="CS141" si="1293">CS136-CS135</f>
        <v>-550</v>
      </c>
    </row>
    <row r="142" spans="1:97" hidden="1" outlineLevel="3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323.04853101263467</v>
      </c>
      <c r="H142" s="229"/>
      <c r="I142" s="588" t="e">
        <f>I141*I133</f>
        <v>#REF!</v>
      </c>
      <c r="J142" s="229"/>
      <c r="K142" s="588" t="e">
        <f>K141*K133</f>
        <v>#REF!</v>
      </c>
      <c r="L142" s="229"/>
      <c r="M142" s="230">
        <f>M141*M130</f>
        <v>500.28390257450997</v>
      </c>
      <c r="N142" s="229"/>
      <c r="O142" s="588" t="e">
        <f>O141*O133</f>
        <v>#REF!</v>
      </c>
      <c r="P142" s="229"/>
      <c r="Q142" s="588" t="e">
        <f>Q141*Q133</f>
        <v>#REF!</v>
      </c>
      <c r="R142" s="229"/>
      <c r="S142" s="230">
        <f>S141*S130</f>
        <v>927.17864772543885</v>
      </c>
      <c r="T142" s="229"/>
      <c r="U142" s="588" t="e">
        <f>U141*U133</f>
        <v>#REF!</v>
      </c>
      <c r="V142" s="229"/>
      <c r="W142" s="588" t="e">
        <f>W141*W133</f>
        <v>#REF!</v>
      </c>
      <c r="X142" s="229"/>
      <c r="Y142" s="230">
        <f>Y141*Y130</f>
        <v>-124.11684206130238</v>
      </c>
      <c r="Z142" s="229"/>
      <c r="AA142" s="588" t="e">
        <f>AA141*AA133</f>
        <v>#REF!</v>
      </c>
      <c r="AB142" s="229"/>
      <c r="AC142" s="588" t="e">
        <f>AC141*AC133</f>
        <v>#REF!</v>
      </c>
      <c r="AD142" s="229"/>
      <c r="AE142" s="588">
        <f t="shared" ref="AE142" si="1294">AE141*AE133</f>
        <v>-2331.831301198079</v>
      </c>
      <c r="AF142" s="229"/>
      <c r="AG142" s="588">
        <f t="shared" ref="AG142" si="1295">AG141*AG133</f>
        <v>-1560.8295879815419</v>
      </c>
      <c r="AH142" s="229"/>
      <c r="AI142" s="588">
        <f t="shared" ref="AI142" si="1296">AI141*AI133</f>
        <v>0</v>
      </c>
      <c r="AJ142" s="229"/>
      <c r="AK142" s="588">
        <f t="shared" ref="AK142" si="1297">AK141*AK133</f>
        <v>-750.01122252656182</v>
      </c>
      <c r="AL142" s="229"/>
      <c r="AM142" s="588">
        <f t="shared" ref="AM142" si="1298">AM141*AM133</f>
        <v>0</v>
      </c>
      <c r="AN142" s="229"/>
      <c r="AO142" s="588">
        <f t="shared" ref="AO142" si="1299">AO141*AO133</f>
        <v>-851.30000099785457</v>
      </c>
      <c r="AP142" s="229"/>
      <c r="AQ142" s="588">
        <f t="shared" ref="AQ142" si="1300">AQ141*AQ133</f>
        <v>0</v>
      </c>
      <c r="AR142" s="229"/>
      <c r="AS142" s="588">
        <f t="shared" ref="AS142:AY142" si="1301">AS141*AS133</f>
        <v>0</v>
      </c>
      <c r="AT142" s="229"/>
      <c r="AU142" s="588">
        <f t="shared" si="1301"/>
        <v>-1655.0044388678944</v>
      </c>
      <c r="AV142" s="229"/>
      <c r="AW142" s="588">
        <f t="shared" si="1301"/>
        <v>-1146.9230769230769</v>
      </c>
      <c r="AX142" s="229"/>
      <c r="AY142" s="588">
        <f t="shared" si="1301"/>
        <v>0</v>
      </c>
      <c r="AZ142" s="229"/>
      <c r="BA142" s="588">
        <f t="shared" ref="BA142:BC142" si="1302">BA141*BA133</f>
        <v>0</v>
      </c>
      <c r="BB142" s="229"/>
      <c r="BC142" s="588">
        <f t="shared" si="1302"/>
        <v>0</v>
      </c>
      <c r="BD142" s="229"/>
      <c r="BE142" s="588">
        <f t="shared" ref="BE142:BG142" si="1303">BE141*BE133</f>
        <v>0</v>
      </c>
      <c r="BF142" s="229"/>
      <c r="BG142" s="588">
        <f t="shared" si="1303"/>
        <v>0</v>
      </c>
      <c r="BH142" s="229"/>
      <c r="BI142" s="588">
        <f t="shared" ref="BI142:BK142" si="1304">BI141*BI133</f>
        <v>0</v>
      </c>
      <c r="BJ142" s="229"/>
      <c r="BK142" s="588">
        <f t="shared" si="1304"/>
        <v>0</v>
      </c>
      <c r="BL142" s="229"/>
      <c r="BM142" s="588">
        <f t="shared" ref="BM142" si="1305">BM141*BM133</f>
        <v>0</v>
      </c>
      <c r="BN142" s="1102"/>
      <c r="BO142" s="588">
        <f t="shared" ref="BO142" si="1306">BO141*BO133</f>
        <v>0</v>
      </c>
      <c r="BP142" s="229"/>
      <c r="BQ142" s="588">
        <f t="shared" ref="BQ142" si="1307">BQ141*BQ133</f>
        <v>0</v>
      </c>
      <c r="BR142" s="229"/>
      <c r="BS142" s="588">
        <f t="shared" ref="BS142" si="1308">BS141*BS133</f>
        <v>0</v>
      </c>
      <c r="BT142" s="229"/>
      <c r="BU142" s="588">
        <f>BU141*BU133</f>
        <v>0</v>
      </c>
      <c r="BV142" s="229"/>
      <c r="BW142" s="588">
        <f>BW141*BW133</f>
        <v>0</v>
      </c>
      <c r="BX142" s="381"/>
      <c r="BY142" s="385"/>
      <c r="BZ142" s="381"/>
      <c r="CA142" s="385"/>
      <c r="CB142" s="229"/>
      <c r="CC142" s="230" t="e">
        <f t="shared" ref="CC142" si="1309">CC141*CC130</f>
        <v>#DIV/0!</v>
      </c>
      <c r="CD142" s="229"/>
      <c r="CE142" s="230" t="e">
        <f t="shared" ref="CE142" si="1310">CE141*CE130</f>
        <v>#DIV/0!</v>
      </c>
      <c r="CF142" s="229"/>
      <c r="CG142" s="230">
        <f>CG141*CG130</f>
        <v>-4847.6412032027702</v>
      </c>
      <c r="CH142" s="381"/>
      <c r="CI142" s="385"/>
      <c r="CJ142" s="229"/>
      <c r="CK142" s="588">
        <f>CK141*CK133</f>
        <v>0</v>
      </c>
      <c r="CL142" s="229"/>
      <c r="CM142" s="588">
        <f>CM141*CM133</f>
        <v>0</v>
      </c>
      <c r="CN142" s="229"/>
      <c r="CO142" s="588">
        <f>CO141*CO133</f>
        <v>0</v>
      </c>
      <c r="CR142" s="229"/>
      <c r="CS142" s="588">
        <f t="shared" ref="CS142" si="1311">CS141*CS133</f>
        <v>0</v>
      </c>
    </row>
    <row r="143" spans="1:97" ht="14.65" hidden="1" outlineLevel="2" collapsed="1" thickBot="1" x14ac:dyDescent="0.5">
      <c r="A143" s="561"/>
      <c r="B143" s="1187"/>
      <c r="C143" s="233"/>
      <c r="D143" s="234"/>
      <c r="E143" s="234"/>
      <c r="F143" s="235"/>
      <c r="G143" s="236"/>
      <c r="H143" s="381"/>
      <c r="I143" s="385"/>
      <c r="J143" s="381"/>
      <c r="K143" s="385"/>
      <c r="L143" s="235"/>
      <c r="M143" s="236"/>
      <c r="N143" s="381"/>
      <c r="O143" s="385"/>
      <c r="P143" s="381"/>
      <c r="Q143" s="385"/>
      <c r="R143" s="235"/>
      <c r="S143" s="236"/>
      <c r="T143" s="381"/>
      <c r="U143" s="385"/>
      <c r="V143" s="381"/>
      <c r="W143" s="385"/>
      <c r="X143" s="235"/>
      <c r="Y143" s="236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  <c r="BP143" s="381"/>
      <c r="BQ143" s="385"/>
      <c r="BR143" s="381"/>
      <c r="BS143" s="385"/>
      <c r="BT143" s="381"/>
      <c r="BU143" s="385"/>
      <c r="BV143" s="381"/>
      <c r="BW143" s="385"/>
      <c r="BX143" s="304"/>
      <c r="BY143" s="305">
        <f>BY98*BY132</f>
        <v>0</v>
      </c>
      <c r="BZ143" s="304"/>
      <c r="CA143" s="305">
        <f>CA98*CA132</f>
        <v>0</v>
      </c>
      <c r="CB143" s="235"/>
      <c r="CC143" s="236"/>
      <c r="CD143" s="235"/>
      <c r="CE143" s="236"/>
      <c r="CF143" s="235"/>
      <c r="CG143" s="236"/>
      <c r="CH143" s="304"/>
      <c r="CI143" s="305">
        <f>CI98*CI132</f>
        <v>0</v>
      </c>
      <c r="CJ143" s="381"/>
      <c r="CK143" s="385"/>
      <c r="CL143" s="381"/>
      <c r="CM143" s="385"/>
      <c r="CN143" s="381"/>
      <c r="CO143" s="385"/>
      <c r="CR143" s="381"/>
      <c r="CS143" s="385"/>
    </row>
    <row r="144" spans="1:97" ht="15.75" hidden="1" customHeight="1" outlineLevel="3" thickTop="1" thickBot="1" x14ac:dyDescent="0.5">
      <c r="A144" s="561"/>
      <c r="B144" s="1188"/>
      <c r="C144" s="301" t="s">
        <v>134</v>
      </c>
      <c r="D144" s="302"/>
      <c r="E144" s="303"/>
      <c r="F144" s="241"/>
      <c r="G144" s="242">
        <f>G98*G129</f>
        <v>16877.619337894514</v>
      </c>
      <c r="H144" s="304"/>
      <c r="I144" s="305" t="e">
        <f>I98*I132</f>
        <v>#REF!</v>
      </c>
      <c r="J144" s="304"/>
      <c r="K144" s="305" t="e">
        <f>K98*K132</f>
        <v>#REF!</v>
      </c>
      <c r="L144" s="241"/>
      <c r="M144" s="242">
        <f>M98*M129</f>
        <v>14490.747734719527</v>
      </c>
      <c r="N144" s="304"/>
      <c r="O144" s="305" t="e">
        <f>O98*O132</f>
        <v>#REF!</v>
      </c>
      <c r="P144" s="304"/>
      <c r="Q144" s="305" t="e">
        <f>Q98*Q132</f>
        <v>#REF!</v>
      </c>
      <c r="R144" s="241"/>
      <c r="S144" s="242">
        <f>S98*S129</f>
        <v>12047.595695994702</v>
      </c>
      <c r="T144" s="304"/>
      <c r="U144" s="305" t="e">
        <f>U98*U132</f>
        <v>#REF!</v>
      </c>
      <c r="V144" s="304"/>
      <c r="W144" s="305" t="e">
        <f>W98*W132</f>
        <v>#REF!</v>
      </c>
      <c r="X144" s="241"/>
      <c r="Y144" s="242">
        <f>Y98*Y129</f>
        <v>12866.771857386086</v>
      </c>
      <c r="Z144" s="304"/>
      <c r="AA144" s="305" t="e">
        <f>AA98*AA132</f>
        <v>#REF!</v>
      </c>
      <c r="AB144" s="304"/>
      <c r="AC144" s="305" t="e">
        <f>AC98*AC132</f>
        <v>#REF!</v>
      </c>
      <c r="AD144" s="304"/>
      <c r="AE144" s="305">
        <f t="shared" ref="AE144" si="1312">AE98*AE132</f>
        <v>22283.440235214861</v>
      </c>
      <c r="AF144" s="304"/>
      <c r="AG144" s="305">
        <f t="shared" ref="AG144" si="1313">AG98*AG132</f>
        <v>15332.345220011202</v>
      </c>
      <c r="AH144" s="304"/>
      <c r="AI144" s="305">
        <f t="shared" ref="AI144" si="1314">AI98*AI132</f>
        <v>0</v>
      </c>
      <c r="AJ144" s="304"/>
      <c r="AK144" s="305">
        <f t="shared" ref="AK144" si="1315">AK98*AK132</f>
        <v>3954.5001866337643</v>
      </c>
      <c r="AL144" s="304"/>
      <c r="AM144" s="305">
        <f t="shared" ref="AM144" si="1316">AM98*AM132</f>
        <v>0</v>
      </c>
      <c r="AN144" s="304"/>
      <c r="AO144" s="305">
        <f t="shared" ref="AO144" si="1317">AO98*AO132</f>
        <v>4258.210981053855</v>
      </c>
      <c r="AP144" s="304"/>
      <c r="AQ144" s="305">
        <f t="shared" ref="AQ144" si="1318">AQ98*AQ132</f>
        <v>0</v>
      </c>
      <c r="AR144" s="304"/>
      <c r="AS144" s="305">
        <f t="shared" ref="AS144:AY144" si="1319">AS98*AS132</f>
        <v>0</v>
      </c>
      <c r="AT144" s="304"/>
      <c r="AU144" s="305">
        <f t="shared" si="1319"/>
        <v>12714.649775094593</v>
      </c>
      <c r="AV144" s="304"/>
      <c r="AW144" s="305">
        <f t="shared" si="1319"/>
        <v>7330.5521256275706</v>
      </c>
      <c r="AX144" s="304"/>
      <c r="AY144" s="305">
        <f t="shared" si="1319"/>
        <v>0</v>
      </c>
      <c r="AZ144" s="304"/>
      <c r="BA144" s="305">
        <f t="shared" ref="BA144:BC144" si="1320">BA98*BA132</f>
        <v>0</v>
      </c>
      <c r="BB144" s="304"/>
      <c r="BC144" s="305">
        <f t="shared" si="1320"/>
        <v>0</v>
      </c>
      <c r="BD144" s="304"/>
      <c r="BE144" s="305">
        <f t="shared" ref="BE144:BG144" si="1321">BE98*BE132</f>
        <v>0</v>
      </c>
      <c r="BF144" s="304"/>
      <c r="BG144" s="305">
        <f t="shared" si="1321"/>
        <v>0</v>
      </c>
      <c r="BH144" s="304"/>
      <c r="BI144" s="305">
        <f t="shared" ref="BI144:BK144" si="1322">BI98*BI132</f>
        <v>0</v>
      </c>
      <c r="BJ144" s="304"/>
      <c r="BK144" s="305">
        <f t="shared" si="1322"/>
        <v>0</v>
      </c>
      <c r="BL144" s="304"/>
      <c r="BM144" s="305">
        <f t="shared" ref="BM144" si="1323">BM98*BM132</f>
        <v>0</v>
      </c>
      <c r="BN144" s="304"/>
      <c r="BO144" s="305">
        <f t="shared" ref="BO144" si="1324">BO98*BO132</f>
        <v>0</v>
      </c>
      <c r="BP144" s="304"/>
      <c r="BQ144" s="305">
        <f t="shared" ref="BQ144" si="1325">BQ98*BQ132</f>
        <v>0</v>
      </c>
      <c r="BR144" s="304"/>
      <c r="BS144" s="305">
        <f t="shared" ref="BS144" si="1326">BS98*BS132</f>
        <v>0</v>
      </c>
      <c r="BT144" s="304"/>
      <c r="BU144" s="305">
        <f>BU98*BU132</f>
        <v>0</v>
      </c>
      <c r="BV144" s="304"/>
      <c r="BW144" s="305">
        <f>BW98*BW132</f>
        <v>0</v>
      </c>
      <c r="CB144" s="304"/>
      <c r="CC144" s="305" t="e">
        <f>CC98*CC132</f>
        <v>#DIV/0!</v>
      </c>
      <c r="CD144" s="304"/>
      <c r="CE144" s="305" t="e">
        <f>CE98*CE132</f>
        <v>#DIV/0!</v>
      </c>
      <c r="CF144" s="304"/>
      <c r="CG144" s="305">
        <f>CG98*CG132</f>
        <v>0</v>
      </c>
      <c r="CJ144" s="304"/>
      <c r="CK144" s="305">
        <f>CK98*CK132</f>
        <v>0</v>
      </c>
      <c r="CL144" s="304"/>
      <c r="CM144" s="305">
        <f>CM98*CM132</f>
        <v>0</v>
      </c>
      <c r="CN144" s="304"/>
      <c r="CO144" s="305">
        <f>CO98*CO132</f>
        <v>0</v>
      </c>
      <c r="CR144" s="304"/>
      <c r="CS144" s="305">
        <f t="shared" ref="CS144" si="1327">CS98*CS132</f>
        <v>0</v>
      </c>
    </row>
    <row r="145" spans="5:75" outlineLevel="2" collapsed="1" x14ac:dyDescent="0.45"/>
    <row r="146" spans="5:75" outlineLevel="2" x14ac:dyDescent="0.45">
      <c r="BQ146" s="589"/>
      <c r="BU146" s="589"/>
      <c r="BW146" s="589"/>
    </row>
    <row r="147" spans="5:75" outlineLevel="1" x14ac:dyDescent="0.45">
      <c r="K147" s="1105"/>
      <c r="BQ147" s="589"/>
      <c r="BS147" s="344"/>
      <c r="BU147" s="589"/>
      <c r="BW147" s="589"/>
    </row>
    <row r="148" spans="5:75" x14ac:dyDescent="0.45">
      <c r="E148">
        <v>1.2129629629629619</v>
      </c>
      <c r="K148" s="1105"/>
      <c r="BS148" s="344"/>
    </row>
    <row r="149" spans="5:75" x14ac:dyDescent="0.45">
      <c r="E149">
        <v>2.506913580246914</v>
      </c>
      <c r="K149" s="1017"/>
      <c r="BP149" t="s">
        <v>253</v>
      </c>
      <c r="BQ149" s="334">
        <f t="shared" ref="BQ149" si="1328">BQ78*BQ131</f>
        <v>0</v>
      </c>
      <c r="BS149" s="344"/>
      <c r="BT149" t="s">
        <v>253</v>
      </c>
      <c r="BU149" s="334">
        <f>BU78*BU131</f>
        <v>0</v>
      </c>
      <c r="BV149" t="s">
        <v>253</v>
      </c>
      <c r="BW149" s="334">
        <f>BW78*BW131</f>
        <v>0</v>
      </c>
    </row>
    <row r="150" spans="5:75" x14ac:dyDescent="0.45">
      <c r="E150">
        <v>1.9809876543209883</v>
      </c>
      <c r="BP150" t="s">
        <v>254</v>
      </c>
      <c r="BQ150" s="334">
        <f>'Pricing Structure - IIP'!EG78*'Pricing Structure - IIP'!EG131</f>
        <v>0</v>
      </c>
      <c r="BT150" t="s">
        <v>254</v>
      </c>
      <c r="BU150" s="334">
        <f>'Pricing Structure - IIP'!EO78*'Pricing Structure - IIP'!EO131</f>
        <v>0</v>
      </c>
      <c r="BV150" t="s">
        <v>254</v>
      </c>
      <c r="BW150" s="334">
        <f>'Pricing Structure - IIP'!DM78*'Pricing Structure - IIP'!DM131</f>
        <v>0</v>
      </c>
    </row>
    <row r="151" spans="5:75" x14ac:dyDescent="0.45">
      <c r="E151">
        <v>1.8624691358024683</v>
      </c>
      <c r="BP151" t="s">
        <v>233</v>
      </c>
      <c r="BQ151" s="334">
        <f>'Pricing Structure - IHAG'!EM78*'Pricing Structure - IHAG'!EM131</f>
        <v>0</v>
      </c>
      <c r="BT151" t="s">
        <v>233</v>
      </c>
      <c r="BU151" s="334">
        <f>'Pricing Structure - IHAG'!EU78*'Pricing Structure - IHAG'!EU131</f>
        <v>0</v>
      </c>
      <c r="BV151" t="s">
        <v>233</v>
      </c>
      <c r="BW151" s="334">
        <f>'Pricing Structure - IHAG'!DS78*'Pricing Structure - IHAG'!DS131</f>
        <v>0</v>
      </c>
    </row>
    <row r="152" spans="5:75" x14ac:dyDescent="0.45">
      <c r="E152">
        <v>2.8203793981481478</v>
      </c>
      <c r="BP152" t="s">
        <v>419</v>
      </c>
      <c r="BQ152" s="334">
        <f t="shared" ref="BQ152" si="1329">SUM(BQ149:BQ151)</f>
        <v>0</v>
      </c>
      <c r="BT152" t="s">
        <v>419</v>
      </c>
      <c r="BU152" s="334">
        <f>SUM(BU149:BU151)</f>
        <v>0</v>
      </c>
      <c r="BV152" t="s">
        <v>419</v>
      </c>
      <c r="BW152" s="334">
        <f>SUM(BW149:BW151)</f>
        <v>0</v>
      </c>
    </row>
    <row r="153" spans="5:75" x14ac:dyDescent="0.45">
      <c r="E153">
        <v>1.901388395061729</v>
      </c>
      <c r="BP153" t="s">
        <v>420</v>
      </c>
      <c r="BQ153" s="334">
        <f>Table5[[#Totals],[Oct]]</f>
        <v>8394340</v>
      </c>
      <c r="BT153" t="s">
        <v>420</v>
      </c>
      <c r="BU153" s="334">
        <f>Table5[[#Totals],[Oct]]</f>
        <v>8394340</v>
      </c>
      <c r="BV153" t="s">
        <v>420</v>
      </c>
      <c r="BW153" s="334">
        <f>Table5[[#Totals],[Oct]]</f>
        <v>8394340</v>
      </c>
    </row>
    <row r="154" spans="5:75" x14ac:dyDescent="0.45">
      <c r="E154">
        <v>3.1078063741059476</v>
      </c>
      <c r="BQ154" s="1049">
        <f t="shared" ref="BQ154" si="1330">BQ152/BQ153</f>
        <v>0</v>
      </c>
      <c r="BU154" s="1049">
        <f>BU152/BU153</f>
        <v>0</v>
      </c>
      <c r="BW154" s="1049">
        <f>BW152/BW153</f>
        <v>0</v>
      </c>
    </row>
    <row r="155" spans="5:75" x14ac:dyDescent="0.45">
      <c r="E155">
        <v>2.8510162506491574</v>
      </c>
    </row>
    <row r="156" spans="5:75" x14ac:dyDescent="0.45">
      <c r="E156">
        <v>1.9570370370370371</v>
      </c>
    </row>
    <row r="157" spans="5:75" x14ac:dyDescent="0.45">
      <c r="E157">
        <v>1.9770784722222223</v>
      </c>
    </row>
    <row r="158" spans="5:75" x14ac:dyDescent="0.45">
      <c r="E158">
        <v>1.9640740740740745</v>
      </c>
    </row>
    <row r="159" spans="5:75" x14ac:dyDescent="0.45">
      <c r="E159">
        <v>2.1559259259259265</v>
      </c>
    </row>
    <row r="160" spans="5:75" x14ac:dyDescent="0.45">
      <c r="E160">
        <v>2.0118518518518522</v>
      </c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spans="66:66" ht="15" hidden="1" customHeight="1" x14ac:dyDescent="0.45"/>
    <row r="178" spans="66:66" ht="15" hidden="1" customHeight="1" x14ac:dyDescent="0.45">
      <c r="BN178" s="410"/>
    </row>
    <row r="181" spans="66:66" x14ac:dyDescent="0.45">
      <c r="BN181" s="606" t="e">
        <f>#REF!/12*2</f>
        <v>#REF!</v>
      </c>
    </row>
  </sheetData>
  <mergeCells count="325">
    <mergeCell ref="BX9:BY9"/>
    <mergeCell ref="BT9:BU9"/>
    <mergeCell ref="BV9:BW9"/>
    <mergeCell ref="B100:B113"/>
    <mergeCell ref="B124:B144"/>
    <mergeCell ref="B22:B27"/>
    <mergeCell ref="B28:B33"/>
    <mergeCell ref="B34:B39"/>
    <mergeCell ref="B40:B46"/>
    <mergeCell ref="B47:B70"/>
    <mergeCell ref="B71:B84"/>
    <mergeCell ref="V9:W9"/>
    <mergeCell ref="D12:E12"/>
    <mergeCell ref="B15:B21"/>
    <mergeCell ref="F9:G9"/>
    <mergeCell ref="H9:I9"/>
    <mergeCell ref="J9:K9"/>
    <mergeCell ref="L9:M9"/>
    <mergeCell ref="N9:O9"/>
    <mergeCell ref="P9:Q9"/>
    <mergeCell ref="R9:S9"/>
    <mergeCell ref="B6:B13"/>
    <mergeCell ref="T9:U9"/>
    <mergeCell ref="X9:Y9"/>
    <mergeCell ref="Z9:AA9"/>
    <mergeCell ref="AB9:AC9"/>
    <mergeCell ref="BD9:BE9"/>
    <mergeCell ref="BF9:BG9"/>
    <mergeCell ref="BH9:BI9"/>
    <mergeCell ref="BJ9:BK9"/>
    <mergeCell ref="BL9:BM9"/>
    <mergeCell ref="AR9:AS9"/>
    <mergeCell ref="AT9:AU9"/>
    <mergeCell ref="AV9:AW9"/>
    <mergeCell ref="AX9:AY9"/>
    <mergeCell ref="AZ9:BA9"/>
    <mergeCell ref="BB9:BC9"/>
    <mergeCell ref="BJ8:BK8"/>
    <mergeCell ref="BL8:BM8"/>
    <mergeCell ref="CN8:CO8"/>
    <mergeCell ref="CF8:CG8"/>
    <mergeCell ref="AT8:AU8"/>
    <mergeCell ref="AV8:AW8"/>
    <mergeCell ref="AX8:AY8"/>
    <mergeCell ref="AZ8:BA8"/>
    <mergeCell ref="BB8:BC8"/>
    <mergeCell ref="BD8:BE8"/>
    <mergeCell ref="BF8:BG8"/>
    <mergeCell ref="BH8:BI8"/>
    <mergeCell ref="BX8:BY8"/>
    <mergeCell ref="AD9:AE9"/>
    <mergeCell ref="AN8:AO8"/>
    <mergeCell ref="AP8:AQ8"/>
    <mergeCell ref="AR8:AS8"/>
    <mergeCell ref="V8:W8"/>
    <mergeCell ref="X8:Y8"/>
    <mergeCell ref="Z8:AA8"/>
    <mergeCell ref="AB8:AC8"/>
    <mergeCell ref="AD8:AE8"/>
    <mergeCell ref="AF8:AG8"/>
    <mergeCell ref="AF9:AG9"/>
    <mergeCell ref="AH9:AI9"/>
    <mergeCell ref="AJ9:AK9"/>
    <mergeCell ref="AL9:AM9"/>
    <mergeCell ref="AN9:AO9"/>
    <mergeCell ref="AP9:AQ9"/>
    <mergeCell ref="BH7:BI7"/>
    <mergeCell ref="BJ7:BK7"/>
    <mergeCell ref="BL7:BM7"/>
    <mergeCell ref="CN7:CO7"/>
    <mergeCell ref="AV7:AW7"/>
    <mergeCell ref="AX7:AY7"/>
    <mergeCell ref="AZ7:BA7"/>
    <mergeCell ref="BB7:BC7"/>
    <mergeCell ref="BD7:BE7"/>
    <mergeCell ref="BF7:BG7"/>
    <mergeCell ref="BX7:BY7"/>
    <mergeCell ref="AB7:AC7"/>
    <mergeCell ref="AD7:AE7"/>
    <mergeCell ref="AF7:AG7"/>
    <mergeCell ref="AH7:AI7"/>
    <mergeCell ref="AJ7:AK7"/>
    <mergeCell ref="AL7:AM7"/>
    <mergeCell ref="AH6:AI6"/>
    <mergeCell ref="AJ6:AK6"/>
    <mergeCell ref="F8:G8"/>
    <mergeCell ref="H8:I8"/>
    <mergeCell ref="J8:K8"/>
    <mergeCell ref="L8:M8"/>
    <mergeCell ref="N8:O8"/>
    <mergeCell ref="P8:Q8"/>
    <mergeCell ref="R8:S8"/>
    <mergeCell ref="T8:U8"/>
    <mergeCell ref="AL8:AM8"/>
    <mergeCell ref="F6:G6"/>
    <mergeCell ref="H6:I6"/>
    <mergeCell ref="J6:K6"/>
    <mergeCell ref="L6:M6"/>
    <mergeCell ref="AH8:AI8"/>
    <mergeCell ref="AJ8:AK8"/>
    <mergeCell ref="BJ6:BK6"/>
    <mergeCell ref="BL6:BM6"/>
    <mergeCell ref="CN6:CO6"/>
    <mergeCell ref="CF6:CG6"/>
    <mergeCell ref="AX6:AY6"/>
    <mergeCell ref="AZ6:BA6"/>
    <mergeCell ref="BB6:BC6"/>
    <mergeCell ref="BD6:BE6"/>
    <mergeCell ref="BF6:BG6"/>
    <mergeCell ref="BH6:BI6"/>
    <mergeCell ref="BX6:BY6"/>
    <mergeCell ref="AV6:AW6"/>
    <mergeCell ref="Z6:AA6"/>
    <mergeCell ref="AB6:AC6"/>
    <mergeCell ref="AD6:AE6"/>
    <mergeCell ref="AF6:AG6"/>
    <mergeCell ref="AL6:AM6"/>
    <mergeCell ref="AN6:AO6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N6:O6"/>
    <mergeCell ref="P6:Q6"/>
    <mergeCell ref="AN7:AO7"/>
    <mergeCell ref="AP7:AQ7"/>
    <mergeCell ref="AR7:AS7"/>
    <mergeCell ref="AT7:AU7"/>
    <mergeCell ref="X7:Y7"/>
    <mergeCell ref="Z7:AA7"/>
    <mergeCell ref="R4:S5"/>
    <mergeCell ref="T4:U5"/>
    <mergeCell ref="V4:W5"/>
    <mergeCell ref="X4:Y5"/>
    <mergeCell ref="Z4:AA5"/>
    <mergeCell ref="AB4:AC5"/>
    <mergeCell ref="AP6:AQ6"/>
    <mergeCell ref="AR6:AS6"/>
    <mergeCell ref="AT6:AU6"/>
    <mergeCell ref="AD4:AE5"/>
    <mergeCell ref="AF4:AG5"/>
    <mergeCell ref="AH4:AI5"/>
    <mergeCell ref="AJ4:AK5"/>
    <mergeCell ref="AL4:AM5"/>
    <mergeCell ref="R6:S6"/>
    <mergeCell ref="T6:U6"/>
    <mergeCell ref="V6:W6"/>
    <mergeCell ref="X6:Y6"/>
    <mergeCell ref="BB4:BC5"/>
    <mergeCell ref="BD4:BE5"/>
    <mergeCell ref="BF4:BG5"/>
    <mergeCell ref="BH4:BI5"/>
    <mergeCell ref="AP4:AQ5"/>
    <mergeCell ref="AR4:AS5"/>
    <mergeCell ref="AT4:AU5"/>
    <mergeCell ref="AV4:AW5"/>
    <mergeCell ref="AX4:AY5"/>
    <mergeCell ref="AZ4:BA5"/>
    <mergeCell ref="BD2:BE2"/>
    <mergeCell ref="CF3:CG3"/>
    <mergeCell ref="F4:G5"/>
    <mergeCell ref="H4:I5"/>
    <mergeCell ref="J4:K5"/>
    <mergeCell ref="L4:M5"/>
    <mergeCell ref="N4:O5"/>
    <mergeCell ref="P4:Q5"/>
    <mergeCell ref="BD3:BE3"/>
    <mergeCell ref="BF3:BG3"/>
    <mergeCell ref="BH3:BI3"/>
    <mergeCell ref="BJ3:BK3"/>
    <mergeCell ref="BL3:BM3"/>
    <mergeCell ref="AR3:AS3"/>
    <mergeCell ref="AT3:AU3"/>
    <mergeCell ref="AV3:AW3"/>
    <mergeCell ref="AX3:AY3"/>
    <mergeCell ref="AZ3:BA3"/>
    <mergeCell ref="BB3:BC3"/>
    <mergeCell ref="AF3:AG3"/>
    <mergeCell ref="AH3:AI3"/>
    <mergeCell ref="BJ4:BK5"/>
    <mergeCell ref="BL4:BM5"/>
    <mergeCell ref="AN4:AO5"/>
    <mergeCell ref="F3:G3"/>
    <mergeCell ref="H3:I3"/>
    <mergeCell ref="J3:K3"/>
    <mergeCell ref="L3:M3"/>
    <mergeCell ref="N3:O3"/>
    <mergeCell ref="P3:Q3"/>
    <mergeCell ref="R3:S3"/>
    <mergeCell ref="BF2:BG2"/>
    <mergeCell ref="BH2:BI2"/>
    <mergeCell ref="AH2:AI2"/>
    <mergeCell ref="AJ2:AK2"/>
    <mergeCell ref="AJ3:AK3"/>
    <mergeCell ref="AL3:AM3"/>
    <mergeCell ref="AN3:AO3"/>
    <mergeCell ref="AP3:AQ3"/>
    <mergeCell ref="T3:U3"/>
    <mergeCell ref="V3:W3"/>
    <mergeCell ref="X3:Y3"/>
    <mergeCell ref="Z3:AA3"/>
    <mergeCell ref="AB3:AC3"/>
    <mergeCell ref="AD3:AE3"/>
    <mergeCell ref="AT2:AU2"/>
    <mergeCell ref="AV2:AW2"/>
    <mergeCell ref="AX2:AY2"/>
    <mergeCell ref="CN1:CO1"/>
    <mergeCell ref="F2:G2"/>
    <mergeCell ref="H2:I2"/>
    <mergeCell ref="J2:K2"/>
    <mergeCell ref="L2:M2"/>
    <mergeCell ref="N2:O2"/>
    <mergeCell ref="P2:Q2"/>
    <mergeCell ref="R2:S2"/>
    <mergeCell ref="T2:U2"/>
    <mergeCell ref="AL2:AM2"/>
    <mergeCell ref="AN2:AO2"/>
    <mergeCell ref="AP2:AQ2"/>
    <mergeCell ref="AR2:AS2"/>
    <mergeCell ref="V2:W2"/>
    <mergeCell ref="X2:Y2"/>
    <mergeCell ref="Z2:AA2"/>
    <mergeCell ref="AB2:AC2"/>
    <mergeCell ref="AD2:AE2"/>
    <mergeCell ref="AF2:AG2"/>
    <mergeCell ref="BJ2:BK2"/>
    <mergeCell ref="BL2:BM2"/>
    <mergeCell ref="CN2:CO2"/>
    <mergeCell ref="AZ2:BA2"/>
    <mergeCell ref="BB2:BC2"/>
    <mergeCell ref="BR2:BS2"/>
    <mergeCell ref="BR3:BS3"/>
    <mergeCell ref="BR4:BS5"/>
    <mergeCell ref="BR6:BS6"/>
    <mergeCell ref="BR7:BS7"/>
    <mergeCell ref="BR8:BS8"/>
    <mergeCell ref="BR9:BS9"/>
    <mergeCell ref="CL2:CM2"/>
    <mergeCell ref="CL3:CM3"/>
    <mergeCell ref="CL4:CM5"/>
    <mergeCell ref="CL6:CM6"/>
    <mergeCell ref="CL7:CM7"/>
    <mergeCell ref="CL8:CM8"/>
    <mergeCell ref="CL9:CM9"/>
    <mergeCell ref="CB3:CC3"/>
    <mergeCell ref="CB4:CC5"/>
    <mergeCell ref="CB6:CC6"/>
    <mergeCell ref="CB7:CC7"/>
    <mergeCell ref="CB8:CC8"/>
    <mergeCell ref="CB9:CC9"/>
    <mergeCell ref="CF2:CG2"/>
    <mergeCell ref="CF4:CG5"/>
    <mergeCell ref="CF7:CG7"/>
    <mergeCell ref="CF9:CG9"/>
    <mergeCell ref="CD3:CE3"/>
    <mergeCell ref="CD4:CE5"/>
    <mergeCell ref="CD6:CE6"/>
    <mergeCell ref="CD7:CE7"/>
    <mergeCell ref="CD8:CE8"/>
    <mergeCell ref="CD9:CE9"/>
    <mergeCell ref="BZ2:CA2"/>
    <mergeCell ref="BZ3:CA3"/>
    <mergeCell ref="BZ4:CA5"/>
    <mergeCell ref="BZ6:CA6"/>
    <mergeCell ref="BZ7:CA7"/>
    <mergeCell ref="BZ8:CA8"/>
    <mergeCell ref="BZ9:CA9"/>
    <mergeCell ref="BN2:BO2"/>
    <mergeCell ref="BN3:BO3"/>
    <mergeCell ref="BN4:BO5"/>
    <mergeCell ref="BN6:BO6"/>
    <mergeCell ref="BN7:BO7"/>
    <mergeCell ref="BN8:BO8"/>
    <mergeCell ref="BN9:BO9"/>
    <mergeCell ref="BP2:BQ2"/>
    <mergeCell ref="BP3:BQ3"/>
    <mergeCell ref="BP4:BQ5"/>
    <mergeCell ref="BP6:BQ6"/>
    <mergeCell ref="BP7:BQ7"/>
    <mergeCell ref="BP8:BQ8"/>
    <mergeCell ref="BP9:BQ9"/>
    <mergeCell ref="BX2:BY2"/>
    <mergeCell ref="BX3:BY3"/>
    <mergeCell ref="BX4:BY5"/>
    <mergeCell ref="BT2:BU2"/>
    <mergeCell ref="BT3:BU3"/>
    <mergeCell ref="BT4:BU5"/>
    <mergeCell ref="BT6:BU6"/>
    <mergeCell ref="BT7:BU7"/>
    <mergeCell ref="BT8:BU8"/>
    <mergeCell ref="BV2:BW2"/>
    <mergeCell ref="BV3:BW3"/>
    <mergeCell ref="BV4:BW5"/>
    <mergeCell ref="BV6:BW6"/>
    <mergeCell ref="BV7:BW7"/>
    <mergeCell ref="BV8:BW8"/>
    <mergeCell ref="CH2:CI2"/>
    <mergeCell ref="CH3:CI3"/>
    <mergeCell ref="CH4:CI5"/>
    <mergeCell ref="CH6:CI6"/>
    <mergeCell ref="CH7:CI7"/>
    <mergeCell ref="CH8:CI8"/>
    <mergeCell ref="CH9:CI9"/>
    <mergeCell ref="CR2:CS2"/>
    <mergeCell ref="CR3:CS3"/>
    <mergeCell ref="CR4:CS5"/>
    <mergeCell ref="CR6:CS6"/>
    <mergeCell ref="CR7:CS7"/>
    <mergeCell ref="CR8:CS8"/>
    <mergeCell ref="CR9:CS9"/>
    <mergeCell ref="CJ2:CK2"/>
    <mergeCell ref="CJ3:CK3"/>
    <mergeCell ref="CJ4:CK5"/>
    <mergeCell ref="CJ6:CK6"/>
    <mergeCell ref="CJ7:CK7"/>
    <mergeCell ref="CJ8:CK8"/>
    <mergeCell ref="CJ9:CK9"/>
    <mergeCell ref="CN3:CO3"/>
    <mergeCell ref="CN4:CO5"/>
    <mergeCell ref="CN9:CO9"/>
  </mergeCells>
  <pageMargins left="0.7" right="0.7" top="0.75" bottom="0.75" header="0.3" footer="0.3"/>
  <pageSetup paperSize="8" scale="46" orientation="landscape" verticalDpi="598" r:id="rId1"/>
  <customProperties>
    <customPr name="_pios_id" r:id="rId2"/>
  </customProperties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40A4-AA42-4E61-A8FA-F069264C55ED}">
  <sheetPr>
    <pageSetUpPr fitToPage="1"/>
  </sheetPr>
  <dimension ref="A2:CD178"/>
  <sheetViews>
    <sheetView showGridLines="0" topLeftCell="BZ1" zoomScale="85" zoomScaleNormal="85" zoomScaleSheetLayoutView="80" workbookViewId="0">
      <selection activeCell="BT1" sqref="BT1:BU1048576"/>
    </sheetView>
  </sheetViews>
  <sheetFormatPr defaultRowHeight="14.25" outlineLevelRow="4" outlineLevelCol="1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23" width="12.86328125" hidden="1" customWidth="1" outlineLevel="1"/>
    <col min="24" max="24" width="12.86328125" hidden="1" customWidth="1" outlineLevel="1" collapsed="1"/>
    <col min="25" max="41" width="12.86328125" hidden="1" customWidth="1" outlineLevel="1"/>
    <col min="42" max="42" width="12.86328125" hidden="1" customWidth="1" outlineLevel="1" collapsed="1"/>
    <col min="43" max="45" width="12.86328125" hidden="1" customWidth="1" outlineLevel="1"/>
    <col min="46" max="46" width="12.86328125" hidden="1" customWidth="1" collapsed="1"/>
    <col min="47" max="71" width="12.86328125" hidden="1" customWidth="1"/>
    <col min="74" max="75" width="12.86328125" customWidth="1"/>
    <col min="76" max="77" width="12.86328125" hidden="1" customWidth="1"/>
  </cols>
  <sheetData>
    <row r="2" spans="1:77" ht="15.75" customHeight="1" thickBot="1" x14ac:dyDescent="0.5">
      <c r="F2" s="1273" t="str">
        <f>F4</f>
        <v>PMAD LOKAL 12</v>
      </c>
      <c r="G2" s="1273"/>
      <c r="H2" s="1231" t="str">
        <f>H4</f>
        <v>PMAD LOKAL 12</v>
      </c>
      <c r="I2" s="1231"/>
      <c r="J2" s="1231" t="str">
        <f>J4</f>
        <v>PMAD LOKAL 12</v>
      </c>
      <c r="K2" s="1231"/>
      <c r="L2" s="1231" t="str">
        <f>L4</f>
        <v>PMAD LOKAL 12</v>
      </c>
      <c r="M2" s="1231"/>
      <c r="N2" s="1231" t="str">
        <f>N4</f>
        <v>PMAD LOKAL 12</v>
      </c>
      <c r="O2" s="1231"/>
      <c r="P2" s="1231" t="str">
        <f>P4</f>
        <v>PMAD LOKAL 12</v>
      </c>
      <c r="Q2" s="1231"/>
      <c r="R2" s="1231" t="str">
        <f>R4</f>
        <v>PMAD LOKAL 12</v>
      </c>
      <c r="S2" s="1231"/>
      <c r="T2" s="1231" t="str">
        <f>T4</f>
        <v>PMAD LOKAL 12</v>
      </c>
      <c r="U2" s="1231"/>
      <c r="V2" s="1231" t="str">
        <f>V4</f>
        <v>PMAD LOKAL 12</v>
      </c>
      <c r="W2" s="1231"/>
      <c r="X2" s="1231" t="str">
        <f>X4</f>
        <v>PMAD LOKAL 12</v>
      </c>
      <c r="Y2" s="1231"/>
      <c r="Z2" s="1231" t="str">
        <f>Z4</f>
        <v>PMAD LOKAL 12</v>
      </c>
      <c r="AA2" s="1231"/>
      <c r="AB2" s="1231" t="str">
        <f>AB4</f>
        <v>PMAD LOKAL 12</v>
      </c>
      <c r="AC2" s="1231"/>
      <c r="AD2" s="1231" t="str">
        <f>AD4</f>
        <v>PMAD LOKAL 12</v>
      </c>
      <c r="AE2" s="1231"/>
      <c r="AF2" s="1231" t="str">
        <f>AF4</f>
        <v>PMAD LOKAL 12</v>
      </c>
      <c r="AG2" s="1231"/>
      <c r="AH2" s="1231" t="str">
        <f>AH4</f>
        <v>PMAD LOKAL 12</v>
      </c>
      <c r="AI2" s="1231"/>
      <c r="AJ2" s="1231" t="str">
        <f>AJ4</f>
        <v>PMAD LOKAL 12</v>
      </c>
      <c r="AK2" s="1231"/>
      <c r="AL2" s="1231" t="str">
        <f>AL4</f>
        <v>PMAD LOKAL 12</v>
      </c>
      <c r="AM2" s="1231"/>
      <c r="AN2" s="1231" t="str">
        <f>AN4</f>
        <v>PMAD LOKAL 12</v>
      </c>
      <c r="AO2" s="1231"/>
      <c r="AP2" s="1231" t="str">
        <f>AP4</f>
        <v>PMAD LOKAL 12</v>
      </c>
      <c r="AQ2" s="1231"/>
      <c r="AR2" s="1231" t="str">
        <f>AR4</f>
        <v>PMAD LOKAL 12</v>
      </c>
      <c r="AS2" s="1231"/>
      <c r="AT2" s="1231" t="str">
        <f>AT4</f>
        <v>PMAD LOKAL 12</v>
      </c>
      <c r="AU2" s="1231"/>
      <c r="AV2" s="1231" t="str">
        <f>AV4</f>
        <v>PMAD LOKAL 12</v>
      </c>
      <c r="AW2" s="1231"/>
      <c r="AX2" s="1231" t="str">
        <f>AX4</f>
        <v>PMAD LOKAL 12</v>
      </c>
      <c r="AY2" s="1231"/>
      <c r="AZ2" s="1231" t="str">
        <f>AZ4</f>
        <v>PMAD LOKAL 12</v>
      </c>
      <c r="BA2" s="1231"/>
      <c r="BB2" s="1231" t="str">
        <f>BB4</f>
        <v>PMAD LOKAL 12</v>
      </c>
      <c r="BC2" s="1231"/>
      <c r="BD2" s="1231" t="str">
        <f>BD4</f>
        <v>PMAD LOKAL 12</v>
      </c>
      <c r="BE2" s="1231"/>
      <c r="BF2" s="1231" t="str">
        <f>BF4</f>
        <v>PMAD LOKAL 12</v>
      </c>
      <c r="BG2" s="1231"/>
      <c r="BH2" s="1231" t="str">
        <f>BH4</f>
        <v>PMAD LOKAL 12</v>
      </c>
      <c r="BI2" s="1231"/>
      <c r="BJ2" s="1231" t="str">
        <f>BJ4</f>
        <v>PMAD Cambodia 12</v>
      </c>
      <c r="BK2" s="1231"/>
      <c r="BL2" s="1231" t="str">
        <f>BL4</f>
        <v>PMAD Cambodia 12</v>
      </c>
      <c r="BM2" s="1231"/>
      <c r="BN2" s="1231" t="str">
        <f>BN4</f>
        <v>PMAD Cambodia 12</v>
      </c>
      <c r="BO2" s="1231"/>
      <c r="BP2" s="1231" t="str">
        <f>BP4</f>
        <v>PMAD Cambodia 12</v>
      </c>
      <c r="BQ2" s="1231"/>
      <c r="BR2" s="1231" t="str">
        <f>BR4</f>
        <v>PMAD Cambodia 12</v>
      </c>
      <c r="BS2" s="1231"/>
      <c r="BV2" s="1231" t="str">
        <f t="shared" ref="BV2" si="0">BV4</f>
        <v>PMAD LOKAL 12</v>
      </c>
      <c r="BW2" s="1231"/>
      <c r="BX2" s="1231" t="str">
        <f t="shared" ref="BX2" si="1">BX4</f>
        <v>PMAD Cambodia 12</v>
      </c>
      <c r="BY2" s="1231"/>
    </row>
    <row r="3" spans="1:77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340</v>
      </c>
      <c r="AS3" s="1257"/>
      <c r="AT3" s="1256" t="s">
        <v>341</v>
      </c>
      <c r="AU3" s="1257"/>
      <c r="AV3" s="1256" t="s">
        <v>342</v>
      </c>
      <c r="AW3" s="1257"/>
      <c r="AX3" s="1256" t="s">
        <v>343</v>
      </c>
      <c r="AY3" s="1257"/>
      <c r="AZ3" s="1256" t="s">
        <v>344</v>
      </c>
      <c r="BA3" s="1257"/>
      <c r="BB3" s="1256" t="s">
        <v>401</v>
      </c>
      <c r="BC3" s="1257"/>
      <c r="BD3" s="1256" t="s">
        <v>402</v>
      </c>
      <c r="BE3" s="1257"/>
      <c r="BF3" s="1256" t="s">
        <v>347</v>
      </c>
      <c r="BG3" s="1257"/>
      <c r="BH3" s="1256" t="s">
        <v>403</v>
      </c>
      <c r="BI3" s="1257"/>
      <c r="BJ3" s="1256" t="s">
        <v>701</v>
      </c>
      <c r="BK3" s="1257"/>
      <c r="BL3" s="1256" t="s">
        <v>705</v>
      </c>
      <c r="BM3" s="1257"/>
      <c r="BN3" s="1256" t="s">
        <v>710</v>
      </c>
      <c r="BO3" s="1257"/>
      <c r="BP3" s="1256" t="s">
        <v>711</v>
      </c>
      <c r="BQ3" s="1257"/>
      <c r="BR3" s="1256" t="s">
        <v>724</v>
      </c>
      <c r="BS3" s="1257"/>
      <c r="BV3" s="1256" t="s">
        <v>514</v>
      </c>
      <c r="BW3" s="1257"/>
      <c r="BX3" s="1256" t="s">
        <v>713</v>
      </c>
      <c r="BY3" s="1257"/>
    </row>
    <row r="4" spans="1:77" s="4" customFormat="1" ht="21.75" thickTop="1" thickBot="1" x14ac:dyDescent="0.5">
      <c r="A4" s="561"/>
      <c r="B4" s="2"/>
      <c r="C4" s="3"/>
      <c r="D4" s="6"/>
      <c r="E4" s="245"/>
      <c r="F4" s="1274" t="s">
        <v>137</v>
      </c>
      <c r="G4" s="1274"/>
      <c r="H4" s="1275" t="str">
        <f>F4</f>
        <v>PMAD LOKAL 12</v>
      </c>
      <c r="I4" s="1276"/>
      <c r="J4" s="1275" t="str">
        <f>H4</f>
        <v>PMAD LOKAL 12</v>
      </c>
      <c r="K4" s="1276"/>
      <c r="L4" s="1275" t="str">
        <f>J4</f>
        <v>PMAD LOKAL 12</v>
      </c>
      <c r="M4" s="1276"/>
      <c r="N4" s="1275" t="str">
        <f>L4</f>
        <v>PMAD LOKAL 12</v>
      </c>
      <c r="O4" s="1276"/>
      <c r="P4" s="1275" t="str">
        <f>N4</f>
        <v>PMAD LOKAL 12</v>
      </c>
      <c r="Q4" s="1276"/>
      <c r="R4" s="1275" t="str">
        <f>P4</f>
        <v>PMAD LOKAL 12</v>
      </c>
      <c r="S4" s="1276"/>
      <c r="T4" s="1275" t="str">
        <f>R4</f>
        <v>PMAD LOKAL 12</v>
      </c>
      <c r="U4" s="1276"/>
      <c r="V4" s="1275" t="str">
        <f>T4</f>
        <v>PMAD LOKAL 12</v>
      </c>
      <c r="W4" s="1276"/>
      <c r="X4" s="1275" t="str">
        <f>V4</f>
        <v>PMAD LOKAL 12</v>
      </c>
      <c r="Y4" s="1276"/>
      <c r="Z4" s="1275" t="str">
        <f>X4</f>
        <v>PMAD LOKAL 12</v>
      </c>
      <c r="AA4" s="1276"/>
      <c r="AB4" s="1275" t="str">
        <f>Z4</f>
        <v>PMAD LOKAL 12</v>
      </c>
      <c r="AC4" s="1276"/>
      <c r="AD4" s="1275" t="str">
        <f>AB4</f>
        <v>PMAD LOKAL 12</v>
      </c>
      <c r="AE4" s="1276"/>
      <c r="AF4" s="1275" t="str">
        <f>AD4</f>
        <v>PMAD LOKAL 12</v>
      </c>
      <c r="AG4" s="1276"/>
      <c r="AH4" s="1275" t="str">
        <f>AF4</f>
        <v>PMAD LOKAL 12</v>
      </c>
      <c r="AI4" s="1276"/>
      <c r="AJ4" s="1275" t="str">
        <f>AH4</f>
        <v>PMAD LOKAL 12</v>
      </c>
      <c r="AK4" s="1276"/>
      <c r="AL4" s="1275" t="str">
        <f>AJ4</f>
        <v>PMAD LOKAL 12</v>
      </c>
      <c r="AM4" s="1276"/>
      <c r="AN4" s="1275" t="str">
        <f>AL4</f>
        <v>PMAD LOKAL 12</v>
      </c>
      <c r="AO4" s="1276"/>
      <c r="AP4" s="1275" t="str">
        <f>AN4</f>
        <v>PMAD LOKAL 12</v>
      </c>
      <c r="AQ4" s="1276"/>
      <c r="AR4" s="1275" t="str">
        <f>AN4</f>
        <v>PMAD LOKAL 12</v>
      </c>
      <c r="AS4" s="1276"/>
      <c r="AT4" s="1275" t="str">
        <f>AP4</f>
        <v>PMAD LOKAL 12</v>
      </c>
      <c r="AU4" s="1276"/>
      <c r="AV4" s="1275" t="str">
        <f>AR4</f>
        <v>PMAD LOKAL 12</v>
      </c>
      <c r="AW4" s="1276"/>
      <c r="AX4" s="1275" t="str">
        <f>AT4</f>
        <v>PMAD LOKAL 12</v>
      </c>
      <c r="AY4" s="1276"/>
      <c r="AZ4" s="1275" t="str">
        <f>AV4</f>
        <v>PMAD LOKAL 12</v>
      </c>
      <c r="BA4" s="1276"/>
      <c r="BB4" s="1275" t="str">
        <f>AX4</f>
        <v>PMAD LOKAL 12</v>
      </c>
      <c r="BC4" s="1276"/>
      <c r="BD4" s="1275" t="str">
        <f>AZ4</f>
        <v>PMAD LOKAL 12</v>
      </c>
      <c r="BE4" s="1276"/>
      <c r="BF4" s="1275" t="str">
        <f>BB4</f>
        <v>PMAD LOKAL 12</v>
      </c>
      <c r="BG4" s="1276"/>
      <c r="BH4" s="1275" t="str">
        <f>BD4</f>
        <v>PMAD LOKAL 12</v>
      </c>
      <c r="BI4" s="1276"/>
      <c r="BJ4" s="1275" t="s">
        <v>703</v>
      </c>
      <c r="BK4" s="1276"/>
      <c r="BL4" s="1275" t="s">
        <v>703</v>
      </c>
      <c r="BM4" s="1276"/>
      <c r="BN4" s="1275" t="s">
        <v>703</v>
      </c>
      <c r="BO4" s="1276"/>
      <c r="BP4" s="1275" t="s">
        <v>703</v>
      </c>
      <c r="BQ4" s="1276"/>
      <c r="BR4" s="1275" t="s">
        <v>703</v>
      </c>
      <c r="BS4" s="1276"/>
      <c r="BV4" s="1275" t="str">
        <f>BF4</f>
        <v>PMAD LOKAL 12</v>
      </c>
      <c r="BW4" s="1276"/>
      <c r="BX4" s="1275" t="s">
        <v>703</v>
      </c>
      <c r="BY4" s="1276"/>
    </row>
    <row r="5" spans="1:77" s="4" customFormat="1" ht="15" thickTop="1" thickBot="1" x14ac:dyDescent="0.5">
      <c r="A5" s="561"/>
      <c r="B5" s="7"/>
      <c r="E5" s="245"/>
      <c r="F5" s="1274"/>
      <c r="G5" s="1274"/>
      <c r="H5" s="1238"/>
      <c r="I5" s="1239"/>
      <c r="J5" s="1238"/>
      <c r="K5" s="1239"/>
      <c r="L5" s="1238"/>
      <c r="M5" s="1239"/>
      <c r="N5" s="1238"/>
      <c r="O5" s="1239"/>
      <c r="P5" s="1238"/>
      <c r="Q5" s="1239"/>
      <c r="R5" s="1238"/>
      <c r="S5" s="1239"/>
      <c r="T5" s="1238"/>
      <c r="U5" s="1239"/>
      <c r="V5" s="1238"/>
      <c r="W5" s="1239"/>
      <c r="X5" s="1238"/>
      <c r="Y5" s="1239"/>
      <c r="Z5" s="1238"/>
      <c r="AA5" s="1239"/>
      <c r="AB5" s="1238"/>
      <c r="AC5" s="1239"/>
      <c r="AD5" s="1238"/>
      <c r="AE5" s="1239"/>
      <c r="AF5" s="1238"/>
      <c r="AG5" s="1239"/>
      <c r="AH5" s="1238"/>
      <c r="AI5" s="1239"/>
      <c r="AJ5" s="1238"/>
      <c r="AK5" s="1239"/>
      <c r="AL5" s="1238"/>
      <c r="AM5" s="1239"/>
      <c r="AN5" s="1238"/>
      <c r="AO5" s="1239"/>
      <c r="AP5" s="1238"/>
      <c r="AQ5" s="1239"/>
      <c r="AR5" s="1238"/>
      <c r="AS5" s="1239"/>
      <c r="AT5" s="1238"/>
      <c r="AU5" s="1239"/>
      <c r="AV5" s="1238"/>
      <c r="AW5" s="1239"/>
      <c r="AX5" s="1238"/>
      <c r="AY5" s="1239"/>
      <c r="AZ5" s="1238"/>
      <c r="BA5" s="1239"/>
      <c r="BB5" s="1238"/>
      <c r="BC5" s="1239"/>
      <c r="BD5" s="1238"/>
      <c r="BE5" s="1239"/>
      <c r="BF5" s="1238"/>
      <c r="BG5" s="1239"/>
      <c r="BH5" s="1238"/>
      <c r="BI5" s="1239"/>
      <c r="BJ5" s="1238"/>
      <c r="BK5" s="1239"/>
      <c r="BL5" s="1238"/>
      <c r="BM5" s="1239"/>
      <c r="BN5" s="1238"/>
      <c r="BO5" s="1239"/>
      <c r="BP5" s="1238"/>
      <c r="BQ5" s="1239"/>
      <c r="BR5" s="1238"/>
      <c r="BS5" s="1239"/>
      <c r="BV5" s="1238"/>
      <c r="BW5" s="1239"/>
      <c r="BX5" s="1238"/>
      <c r="BY5" s="1239"/>
    </row>
    <row r="6" spans="1:77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34"/>
      <c r="G6" s="1206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05"/>
      <c r="AY6" s="1206"/>
      <c r="AZ6" s="1205"/>
      <c r="BA6" s="1206"/>
      <c r="BB6" s="1205"/>
      <c r="BC6" s="1206"/>
      <c r="BD6" s="1205"/>
      <c r="BE6" s="1206"/>
      <c r="BF6" s="1205"/>
      <c r="BG6" s="1206"/>
      <c r="BH6" s="1205"/>
      <c r="BI6" s="1206"/>
      <c r="BJ6" s="1205"/>
      <c r="BK6" s="1206"/>
      <c r="BL6" s="1205"/>
      <c r="BM6" s="1206"/>
      <c r="BN6" s="1205"/>
      <c r="BO6" s="1206"/>
      <c r="BP6" s="1205"/>
      <c r="BQ6" s="1206"/>
      <c r="BR6" s="1205"/>
      <c r="BS6" s="1206"/>
      <c r="BV6" s="1205"/>
      <c r="BW6" s="1206"/>
      <c r="BX6" s="1205"/>
      <c r="BY6" s="1206"/>
    </row>
    <row r="7" spans="1:77" s="7" customFormat="1" ht="36.75" customHeight="1" x14ac:dyDescent="0.45">
      <c r="A7" s="561"/>
      <c r="B7" s="1203"/>
      <c r="C7" s="10" t="s">
        <v>11</v>
      </c>
      <c r="D7" s="11"/>
      <c r="E7" s="247"/>
      <c r="F7" s="1200">
        <v>184763</v>
      </c>
      <c r="G7" s="1201"/>
      <c r="H7" s="1200">
        <v>184763</v>
      </c>
      <c r="I7" s="1201"/>
      <c r="J7" s="1200">
        <v>184763</v>
      </c>
      <c r="K7" s="1201"/>
      <c r="L7" s="1200">
        <v>184763</v>
      </c>
      <c r="M7" s="1201"/>
      <c r="N7" s="1200">
        <v>184763</v>
      </c>
      <c r="O7" s="1201"/>
      <c r="P7" s="1200">
        <v>184763</v>
      </c>
      <c r="Q7" s="1201"/>
      <c r="R7" s="1200">
        <v>184763</v>
      </c>
      <c r="S7" s="1201"/>
      <c r="T7" s="1200">
        <v>184763</v>
      </c>
      <c r="U7" s="1201"/>
      <c r="V7" s="1200">
        <v>184763</v>
      </c>
      <c r="W7" s="1201"/>
      <c r="X7" s="1200">
        <v>184763</v>
      </c>
      <c r="Y7" s="1201"/>
      <c r="Z7" s="1200">
        <v>184763</v>
      </c>
      <c r="AA7" s="1201"/>
      <c r="AB7" s="1200">
        <v>184763</v>
      </c>
      <c r="AC7" s="1201"/>
      <c r="AD7" s="1200">
        <v>184763</v>
      </c>
      <c r="AE7" s="1201"/>
      <c r="AF7" s="1200">
        <v>184763</v>
      </c>
      <c r="AG7" s="1201"/>
      <c r="AH7" s="1200">
        <v>184763</v>
      </c>
      <c r="AI7" s="1201"/>
      <c r="AJ7" s="1200">
        <v>184763</v>
      </c>
      <c r="AK7" s="1201"/>
      <c r="AL7" s="1200">
        <v>184763</v>
      </c>
      <c r="AM7" s="1201"/>
      <c r="AN7" s="1200">
        <v>184763</v>
      </c>
      <c r="AO7" s="1201"/>
      <c r="AP7" s="1200">
        <v>184763</v>
      </c>
      <c r="AQ7" s="1201"/>
      <c r="AR7" s="1200">
        <v>184763</v>
      </c>
      <c r="AS7" s="1201"/>
      <c r="AT7" s="1200">
        <v>184763</v>
      </c>
      <c r="AU7" s="1201"/>
      <c r="AV7" s="1200">
        <v>184763</v>
      </c>
      <c r="AW7" s="1201"/>
      <c r="AX7" s="1200">
        <v>184763</v>
      </c>
      <c r="AY7" s="1201"/>
      <c r="AZ7" s="1200">
        <v>184763</v>
      </c>
      <c r="BA7" s="1201"/>
      <c r="BB7" s="1200">
        <v>184763</v>
      </c>
      <c r="BC7" s="1201"/>
      <c r="BD7" s="1200">
        <v>184763</v>
      </c>
      <c r="BE7" s="1201"/>
      <c r="BF7" s="1200">
        <v>184763</v>
      </c>
      <c r="BG7" s="1201"/>
      <c r="BH7" s="1200">
        <v>184763</v>
      </c>
      <c r="BI7" s="1201"/>
      <c r="BJ7" s="1200">
        <v>184763</v>
      </c>
      <c r="BK7" s="1201"/>
      <c r="BL7" s="1200">
        <v>184763</v>
      </c>
      <c r="BM7" s="1201"/>
      <c r="BN7" s="1200">
        <v>184763</v>
      </c>
      <c r="BO7" s="1201"/>
      <c r="BP7" s="1200">
        <v>184763</v>
      </c>
      <c r="BQ7" s="1201"/>
      <c r="BR7" s="1200">
        <v>184763</v>
      </c>
      <c r="BS7" s="1201"/>
      <c r="BV7" s="1200">
        <v>184763</v>
      </c>
      <c r="BW7" s="1201"/>
      <c r="BX7" s="1200">
        <v>184763</v>
      </c>
      <c r="BY7" s="1201"/>
    </row>
    <row r="8" spans="1:77" s="7" customFormat="1" x14ac:dyDescent="0.45">
      <c r="A8" s="561"/>
      <c r="B8" s="1203"/>
      <c r="C8" s="12" t="s">
        <v>12</v>
      </c>
      <c r="D8" s="11"/>
      <c r="E8" s="11"/>
      <c r="F8" s="1232">
        <f>G60</f>
        <v>4.38</v>
      </c>
      <c r="G8" s="1233"/>
      <c r="H8" s="1232">
        <f>I60</f>
        <v>4.38</v>
      </c>
      <c r="I8" s="1233"/>
      <c r="J8" s="1232">
        <f>K60</f>
        <v>4.38</v>
      </c>
      <c r="K8" s="1233"/>
      <c r="L8" s="1232">
        <f>M60</f>
        <v>4.38</v>
      </c>
      <c r="M8" s="1233"/>
      <c r="N8" s="1232">
        <f>O60</f>
        <v>4.38</v>
      </c>
      <c r="O8" s="1233"/>
      <c r="P8" s="1232">
        <f>Q60</f>
        <v>4.38</v>
      </c>
      <c r="Q8" s="1233"/>
      <c r="R8" s="1232">
        <f>S60</f>
        <v>4.38</v>
      </c>
      <c r="S8" s="1233"/>
      <c r="T8" s="1232">
        <f>U60</f>
        <v>4.38</v>
      </c>
      <c r="U8" s="1233"/>
      <c r="V8" s="1232">
        <f>W60</f>
        <v>4.38</v>
      </c>
      <c r="W8" s="1233"/>
      <c r="X8" s="1232">
        <f>Y60</f>
        <v>4.38</v>
      </c>
      <c r="Y8" s="1233"/>
      <c r="Z8" s="1232">
        <f>AA60</f>
        <v>4.38</v>
      </c>
      <c r="AA8" s="1233"/>
      <c r="AB8" s="1232">
        <f>AC60</f>
        <v>4.38</v>
      </c>
      <c r="AC8" s="1233"/>
      <c r="AD8" s="1232">
        <f>AE60</f>
        <v>4.38</v>
      </c>
      <c r="AE8" s="1233"/>
      <c r="AF8" s="1232">
        <f>AG60</f>
        <v>4.38</v>
      </c>
      <c r="AG8" s="1233"/>
      <c r="AH8" s="1232">
        <f>AI60</f>
        <v>4.38</v>
      </c>
      <c r="AI8" s="1233"/>
      <c r="AJ8" s="1232">
        <f>AK60</f>
        <v>4.38</v>
      </c>
      <c r="AK8" s="1233"/>
      <c r="AL8" s="1232">
        <f>AM60</f>
        <v>4.38</v>
      </c>
      <c r="AM8" s="1233"/>
      <c r="AN8" s="1232">
        <f>AO60</f>
        <v>4.38</v>
      </c>
      <c r="AO8" s="1233"/>
      <c r="AP8" s="1232">
        <f>AQ60</f>
        <v>4.38</v>
      </c>
      <c r="AQ8" s="1233"/>
      <c r="AR8" s="1232">
        <f>AS60</f>
        <v>4.38</v>
      </c>
      <c r="AS8" s="1233"/>
      <c r="AT8" s="1232">
        <f>AU60</f>
        <v>4.38</v>
      </c>
      <c r="AU8" s="1233"/>
      <c r="AV8" s="1232">
        <f>AW60</f>
        <v>4.38</v>
      </c>
      <c r="AW8" s="1233"/>
      <c r="AX8" s="1232">
        <f>AY60</f>
        <v>4.38</v>
      </c>
      <c r="AY8" s="1233"/>
      <c r="AZ8" s="1232">
        <f>BA60</f>
        <v>4.4000000000000004</v>
      </c>
      <c r="BA8" s="1233"/>
      <c r="BB8" s="1232">
        <f>BC60</f>
        <v>4.4000000000000004</v>
      </c>
      <c r="BC8" s="1233"/>
      <c r="BD8" s="1232">
        <f>BE60</f>
        <v>4.4023025319194984</v>
      </c>
      <c r="BE8" s="1233"/>
      <c r="BF8" s="1232">
        <f>BG60</f>
        <v>4.4023025319194984</v>
      </c>
      <c r="BG8" s="1233"/>
      <c r="BH8" s="1232">
        <f>BI60</f>
        <v>4.4023025319194984</v>
      </c>
      <c r="BI8" s="1233"/>
      <c r="BJ8" s="1232">
        <f>BK60</f>
        <v>4.4023025319194984</v>
      </c>
      <c r="BK8" s="1233"/>
      <c r="BL8" s="1232">
        <f>BM60</f>
        <v>4.4023025319194984</v>
      </c>
      <c r="BM8" s="1233"/>
      <c r="BN8" s="1232">
        <f>BO60</f>
        <v>4.4023025319194984</v>
      </c>
      <c r="BO8" s="1233"/>
      <c r="BP8" s="1232">
        <f>BQ60</f>
        <v>4.4023025319194984</v>
      </c>
      <c r="BQ8" s="1233"/>
      <c r="BR8" s="1232">
        <f>BS60</f>
        <v>4.4023025319194984</v>
      </c>
      <c r="BS8" s="1233"/>
      <c r="BV8" s="1232">
        <f t="shared" ref="BV8" si="2">BW60</f>
        <v>4.4000000000000004</v>
      </c>
      <c r="BW8" s="1233"/>
      <c r="BX8" s="1232">
        <f t="shared" ref="BX8" si="3">BY60</f>
        <v>4.4023025319194984</v>
      </c>
      <c r="BY8" s="1233"/>
    </row>
    <row r="9" spans="1:77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$1.03/ctn</v>
      </c>
      <c r="G9" s="1191"/>
      <c r="H9" s="1190" t="str">
        <f>CONCATENATE("TP $",TEXT(I57,"#,##0.00"),"/ctn")</f>
        <v>TP $1.03/ctn</v>
      </c>
      <c r="I9" s="1191"/>
      <c r="J9" s="1190" t="str">
        <f>CONCATENATE("TP $",TEXT(K57,"#,##0.00"),"/ctn")</f>
        <v>TP $1.03/ctn</v>
      </c>
      <c r="K9" s="1191"/>
      <c r="L9" s="1190" t="str">
        <f>CONCATENATE("TP $",TEXT(M57,"#,##0.00"),"/ctn")</f>
        <v>TP $1.03/ctn</v>
      </c>
      <c r="M9" s="1191"/>
      <c r="N9" s="1190" t="str">
        <f>CONCATENATE("TP $",TEXT(O57,"#,##0.00"),"/ctn")</f>
        <v>TP $1.03/ctn</v>
      </c>
      <c r="O9" s="1191"/>
      <c r="P9" s="1190" t="str">
        <f>CONCATENATE("TP $",TEXT(Q57,"#,##0.00"),"/ctn")</f>
        <v>TP $1.03/ctn</v>
      </c>
      <c r="Q9" s="1191"/>
      <c r="R9" s="1190" t="str">
        <f>CONCATENATE("TP $",TEXT(S57,"#,##0.00"),"/ctn")</f>
        <v>TP $1.03/ctn</v>
      </c>
      <c r="S9" s="1191"/>
      <c r="T9" s="1190" t="str">
        <f>CONCATENATE("TP $",TEXT(U57,"#,##0.00"),"/ctn")</f>
        <v>TP $1.03/ctn</v>
      </c>
      <c r="U9" s="1191"/>
      <c r="V9" s="1190" t="str">
        <f>CONCATENATE("TP $",TEXT(W57,"#,##0.00"),"/ctn")</f>
        <v>TP $1.03/ctn</v>
      </c>
      <c r="W9" s="1191"/>
      <c r="X9" s="1190" t="str">
        <f>CONCATENATE("TP $",TEXT(Y57,"#,##0.00"),"/ctn")</f>
        <v>TP $1.03/ctn</v>
      </c>
      <c r="Y9" s="1191"/>
      <c r="Z9" s="1190" t="str">
        <f>CONCATENATE("TP $",TEXT(AA57,"#,##0.00"),"/ctn")</f>
        <v>TP $1.03/ctn</v>
      </c>
      <c r="AA9" s="1191"/>
      <c r="AB9" s="1190" t="str">
        <f>CONCATENATE("TP $",TEXT(AC57,"#,##0.00"),"/ctn")</f>
        <v>TP $0.89/ctn</v>
      </c>
      <c r="AC9" s="1191"/>
      <c r="AD9" s="1190" t="str">
        <f>CONCATENATE("TP $",TEXT(AE57,"#,##0.00"),"/ctn")</f>
        <v>TP $1.03/ctn</v>
      </c>
      <c r="AE9" s="1191"/>
      <c r="AF9" s="1190" t="str">
        <f>CONCATENATE("TP $",TEXT(AG57,"#,##0.00"),"/ctn")</f>
        <v>TP $1.03/ctn</v>
      </c>
      <c r="AG9" s="1191"/>
      <c r="AH9" s="1190" t="str">
        <f>CONCATENATE("TP $",TEXT(AI57,"#,##0.00"),"/ctn")</f>
        <v>TP $1.03/ctn</v>
      </c>
      <c r="AI9" s="1191"/>
      <c r="AJ9" s="1190" t="str">
        <f>CONCATENATE("TP $",TEXT(AK57,"#,##0.00"),"/ctn")</f>
        <v>TP $1.03/ctn</v>
      </c>
      <c r="AK9" s="1191"/>
      <c r="AL9" s="1190" t="str">
        <f>CONCATENATE("TP $",TEXT(AM57,"#,##0.00"),"/ctn")</f>
        <v>TP $1.03/ctn</v>
      </c>
      <c r="AM9" s="1191"/>
      <c r="AN9" s="1190" t="str">
        <f>CONCATENATE("TP $",TEXT(AO57,"#,##0.00"),"/ctn")</f>
        <v>TP $1.03/ctn</v>
      </c>
      <c r="AO9" s="1191"/>
      <c r="AP9" s="1190" t="str">
        <f>CONCATENATE("TP $",TEXT(AQ57,"#,##0.00"),"/ctn")</f>
        <v>TP $1.03/ctn</v>
      </c>
      <c r="AQ9" s="1191"/>
      <c r="AR9" s="1190" t="str">
        <f>CONCATENATE("TP $",TEXT(AS57,"#,##0.00"),"/ctn")</f>
        <v>TP $1.03/ctn</v>
      </c>
      <c r="AS9" s="1191"/>
      <c r="AT9" s="1190" t="str">
        <f>CONCATENATE("TP $",TEXT(AU57,"#,##0.00"),"/ctn")</f>
        <v>TP $1.03/ctn</v>
      </c>
      <c r="AU9" s="1191"/>
      <c r="AV9" s="1190" t="str">
        <f>CONCATENATE("TP $",TEXT(AW57,"#,##0.00"),"/ctn")</f>
        <v>TP $1.03/ctn</v>
      </c>
      <c r="AW9" s="1191"/>
      <c r="AX9" s="1190" t="str">
        <f>CONCATENATE("TP $",TEXT(AY57,"#,##0.00"),"/ctn")</f>
        <v>TP $1.03/ctn</v>
      </c>
      <c r="AY9" s="1191"/>
      <c r="AZ9" s="1190" t="str">
        <f>CONCATENATE("TP $",TEXT(BA57,"#,##0.00"),"/ctn")</f>
        <v>TP $1.05/ctn</v>
      </c>
      <c r="BA9" s="1191"/>
      <c r="BB9" s="1190" t="str">
        <f>CONCATENATE("TP $",TEXT(BC57,"#,##0.00"),"/ctn")</f>
        <v>TP $1.05/ctn</v>
      </c>
      <c r="BC9" s="1191"/>
      <c r="BD9" s="1190" t="str">
        <f>CONCATENATE("TP $",TEXT(BE57,"#,##0.00"),"/ctn")</f>
        <v>TP $1.05/ctn</v>
      </c>
      <c r="BE9" s="1191"/>
      <c r="BF9" s="1190" t="str">
        <f>CONCATENATE("TP $",TEXT(BG57,"#,##0.00"),"/ctn")</f>
        <v>TP $1.05/ctn</v>
      </c>
      <c r="BG9" s="1191"/>
      <c r="BH9" s="1190" t="str">
        <f>CONCATENATE("TP $",TEXT(BI57,"#,##0.00"),"/ctn")</f>
        <v>TP $1.05/ctn</v>
      </c>
      <c r="BI9" s="1191"/>
      <c r="BJ9" s="1190" t="str">
        <f>CONCATENATE("TP $",TEXT(BK57,"#,##0.00"),"/ctn")</f>
        <v>TP $1.05/ctn</v>
      </c>
      <c r="BK9" s="1191"/>
      <c r="BL9" s="1190" t="str">
        <f>CONCATENATE("TP $",TEXT(BM57,"#,##0.00"),"/ctn")</f>
        <v>TP $1.05/ctn</v>
      </c>
      <c r="BM9" s="1191"/>
      <c r="BN9" s="1190" t="str">
        <f>CONCATENATE("TP $",TEXT(BO57,"#,##0.00"),"/ctn")</f>
        <v>TP $1.05/ctn</v>
      </c>
      <c r="BO9" s="1191"/>
      <c r="BP9" s="1190" t="str">
        <f>CONCATENATE("TP $",TEXT(BQ57,"#,##0.00"),"/ctn")</f>
        <v>TP $1.05/ctn</v>
      </c>
      <c r="BQ9" s="1191"/>
      <c r="BR9" s="1190" t="str">
        <f>CONCATENATE("TP $",TEXT(BS57,"#,##0.00"),"/ctn")</f>
        <v>TP $1.05/ctn</v>
      </c>
      <c r="BS9" s="1191"/>
      <c r="BV9" s="1190" t="str">
        <f t="shared" ref="BV9" si="4">CONCATENATE("TP $",TEXT(BW57,"#,##0.00"),"/ctn")</f>
        <v>TP $1.05/ctn</v>
      </c>
      <c r="BW9" s="1191"/>
      <c r="BX9" s="1190" t="str">
        <f t="shared" ref="BX9" si="5">CONCATENATE("TP $",TEXT(BY57,"#,##0.00"),"/ctn")</f>
        <v>TP $1.05/ctn</v>
      </c>
      <c r="BY9" s="1191"/>
    </row>
    <row r="10" spans="1:77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12</v>
      </c>
      <c r="G10" s="253" t="str">
        <f>+F10</f>
        <v>12</v>
      </c>
      <c r="H10" s="252" t="str">
        <f>RIGHT(H2,2)</f>
        <v>12</v>
      </c>
      <c r="I10" s="253" t="str">
        <f>+H10</f>
        <v>12</v>
      </c>
      <c r="J10" s="252" t="str">
        <f>RIGHT(J2,2)</f>
        <v>12</v>
      </c>
      <c r="K10" s="253" t="str">
        <f>+J10</f>
        <v>12</v>
      </c>
      <c r="L10" s="252" t="str">
        <f>RIGHT(L2,2)</f>
        <v>12</v>
      </c>
      <c r="M10" s="253" t="str">
        <f>+L10</f>
        <v>12</v>
      </c>
      <c r="N10" s="252" t="str">
        <f>RIGHT(N2,2)</f>
        <v>12</v>
      </c>
      <c r="O10" s="253" t="str">
        <f>+N10</f>
        <v>12</v>
      </c>
      <c r="P10" s="252" t="str">
        <f>RIGHT(P2,2)</f>
        <v>12</v>
      </c>
      <c r="Q10" s="253" t="str">
        <f>+P10</f>
        <v>12</v>
      </c>
      <c r="R10" s="252" t="str">
        <f>RIGHT(R2,2)</f>
        <v>12</v>
      </c>
      <c r="S10" s="253" t="str">
        <f>+R10</f>
        <v>12</v>
      </c>
      <c r="T10" s="252" t="str">
        <f>RIGHT(T2,2)</f>
        <v>12</v>
      </c>
      <c r="U10" s="253" t="str">
        <f>+T10</f>
        <v>12</v>
      </c>
      <c r="V10" s="252" t="str">
        <f>RIGHT(V2,2)</f>
        <v>12</v>
      </c>
      <c r="W10" s="253" t="str">
        <f>+V10</f>
        <v>12</v>
      </c>
      <c r="X10" s="252" t="str">
        <f>RIGHT(X2,2)</f>
        <v>12</v>
      </c>
      <c r="Y10" s="253" t="str">
        <f>+X10</f>
        <v>12</v>
      </c>
      <c r="Z10" s="252" t="str">
        <f>RIGHT(Z2,2)</f>
        <v>12</v>
      </c>
      <c r="AA10" s="253" t="str">
        <f>+Z10</f>
        <v>12</v>
      </c>
      <c r="AB10" s="252" t="str">
        <f>RIGHT(AB2,2)</f>
        <v>12</v>
      </c>
      <c r="AC10" s="253" t="str">
        <f>+AB10</f>
        <v>12</v>
      </c>
      <c r="AD10" s="252" t="str">
        <f>RIGHT(AD2,2)</f>
        <v>12</v>
      </c>
      <c r="AE10" s="253" t="str">
        <f>+AD10</f>
        <v>12</v>
      </c>
      <c r="AF10" s="252" t="str">
        <f>RIGHT(AF2,2)</f>
        <v>12</v>
      </c>
      <c r="AG10" s="253" t="str">
        <f>+AF10</f>
        <v>12</v>
      </c>
      <c r="AH10" s="252" t="str">
        <f>RIGHT(AH2,2)</f>
        <v>12</v>
      </c>
      <c r="AI10" s="253" t="str">
        <f>+AH10</f>
        <v>12</v>
      </c>
      <c r="AJ10" s="252" t="str">
        <f>RIGHT(AJ2,2)</f>
        <v>12</v>
      </c>
      <c r="AK10" s="253" t="str">
        <f>+AJ10</f>
        <v>12</v>
      </c>
      <c r="AL10" s="252" t="str">
        <f>RIGHT(AL2,2)</f>
        <v>12</v>
      </c>
      <c r="AM10" s="253" t="str">
        <f>+AL10</f>
        <v>12</v>
      </c>
      <c r="AN10" s="252" t="str">
        <f>RIGHT(AN2,2)</f>
        <v>12</v>
      </c>
      <c r="AO10" s="253" t="str">
        <f>+AN10</f>
        <v>12</v>
      </c>
      <c r="AP10" s="252" t="str">
        <f>RIGHT(AP2,2)</f>
        <v>12</v>
      </c>
      <c r="AQ10" s="253" t="str">
        <f>+AP10</f>
        <v>12</v>
      </c>
      <c r="AR10" s="252" t="str">
        <f>RIGHT(AR2,2)</f>
        <v>12</v>
      </c>
      <c r="AS10" s="253" t="str">
        <f>+AR10</f>
        <v>12</v>
      </c>
      <c r="AT10" s="252" t="str">
        <f>RIGHT(AT2,2)</f>
        <v>12</v>
      </c>
      <c r="AU10" s="253" t="str">
        <f>+AT10</f>
        <v>12</v>
      </c>
      <c r="AV10" s="252" t="str">
        <f>RIGHT(AV2,2)</f>
        <v>12</v>
      </c>
      <c r="AW10" s="253" t="str">
        <f>+AV10</f>
        <v>12</v>
      </c>
      <c r="AX10" s="252" t="str">
        <f>RIGHT(AX2,2)</f>
        <v>12</v>
      </c>
      <c r="AY10" s="253" t="str">
        <f>+AX10</f>
        <v>12</v>
      </c>
      <c r="AZ10" s="252" t="str">
        <f>RIGHT(AZ2,2)</f>
        <v>12</v>
      </c>
      <c r="BA10" s="253" t="str">
        <f>+AZ10</f>
        <v>12</v>
      </c>
      <c r="BB10" s="252" t="str">
        <f>RIGHT(BB2,2)</f>
        <v>12</v>
      </c>
      <c r="BC10" s="253" t="str">
        <f>+BB10</f>
        <v>12</v>
      </c>
      <c r="BD10" s="252" t="str">
        <f>RIGHT(BD2,2)</f>
        <v>12</v>
      </c>
      <c r="BE10" s="253" t="str">
        <f>+BD10</f>
        <v>12</v>
      </c>
      <c r="BF10" s="252" t="str">
        <f>RIGHT(BF2,2)</f>
        <v>12</v>
      </c>
      <c r="BG10" s="253" t="str">
        <f>+BF10</f>
        <v>12</v>
      </c>
      <c r="BH10" s="252" t="str">
        <f>RIGHT(BH2,2)</f>
        <v>12</v>
      </c>
      <c r="BI10" s="253" t="str">
        <f>+BH10</f>
        <v>12</v>
      </c>
      <c r="BJ10" s="252" t="str">
        <f>RIGHT(BJ2,2)</f>
        <v>12</v>
      </c>
      <c r="BK10" s="253" t="str">
        <f>+BJ10</f>
        <v>12</v>
      </c>
      <c r="BL10" s="252" t="str">
        <f>RIGHT(BL2,2)</f>
        <v>12</v>
      </c>
      <c r="BM10" s="253" t="str">
        <f>+BL10</f>
        <v>12</v>
      </c>
      <c r="BN10" s="252" t="str">
        <f>RIGHT(BN2,2)</f>
        <v>12</v>
      </c>
      <c r="BO10" s="253" t="str">
        <f>+BN10</f>
        <v>12</v>
      </c>
      <c r="BP10" s="252" t="str">
        <f>RIGHT(BP2,2)</f>
        <v>12</v>
      </c>
      <c r="BQ10" s="253" t="str">
        <f>+BP10</f>
        <v>12</v>
      </c>
      <c r="BR10" s="252" t="str">
        <f>RIGHT(BR2,2)</f>
        <v>12</v>
      </c>
      <c r="BS10" s="253" t="str">
        <f>+BR10</f>
        <v>12</v>
      </c>
      <c r="BV10" s="252" t="str">
        <f t="shared" ref="BV10" si="6">RIGHT(BV2,2)</f>
        <v>12</v>
      </c>
      <c r="BW10" s="253" t="str">
        <f t="shared" ref="BW10" si="7">+BV10</f>
        <v>12</v>
      </c>
      <c r="BX10" s="252" t="str">
        <f t="shared" ref="BX10" si="8">RIGHT(BX2,2)</f>
        <v>12</v>
      </c>
      <c r="BY10" s="253" t="str">
        <f t="shared" ref="BY10" si="9">+BX10</f>
        <v>12</v>
      </c>
    </row>
    <row r="11" spans="1:77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V11" s="21" t="s">
        <v>25</v>
      </c>
      <c r="BW11" s="22" t="s">
        <v>26</v>
      </c>
      <c r="BX11" s="21" t="s">
        <v>25</v>
      </c>
      <c r="BY11" s="22" t="s">
        <v>26</v>
      </c>
    </row>
    <row r="12" spans="1:77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23">
        <v>4068.66</v>
      </c>
      <c r="O12" s="24"/>
      <c r="P12" s="23">
        <v>4068.66</v>
      </c>
      <c r="Q12" s="24"/>
      <c r="R12" s="23">
        <v>4068.66</v>
      </c>
      <c r="S12" s="24"/>
      <c r="T12" s="23">
        <v>4068.66</v>
      </c>
      <c r="U12" s="24"/>
      <c r="V12" s="23">
        <v>4068.66</v>
      </c>
      <c r="W12" s="24"/>
      <c r="X12" s="23">
        <v>4068.66</v>
      </c>
      <c r="Y12" s="24"/>
      <c r="Z12" s="23">
        <v>4068.66</v>
      </c>
      <c r="AA12" s="24"/>
      <c r="AB12" s="23">
        <v>4068.66</v>
      </c>
      <c r="AC12" s="24"/>
      <c r="AD12" s="23">
        <v>4068.66</v>
      </c>
      <c r="AE12" s="24"/>
      <c r="AF12" s="23">
        <v>4068.66</v>
      </c>
      <c r="AG12" s="24"/>
      <c r="AH12" s="23">
        <v>4068.66</v>
      </c>
      <c r="AI12" s="24"/>
      <c r="AJ12" s="23">
        <v>4068.66</v>
      </c>
      <c r="AK12" s="24"/>
      <c r="AL12" s="23">
        <v>4068.66</v>
      </c>
      <c r="AM12" s="24"/>
      <c r="AN12" s="23">
        <v>4068.66</v>
      </c>
      <c r="AO12" s="24"/>
      <c r="AP12" s="23">
        <v>4068.66</v>
      </c>
      <c r="AQ12" s="24"/>
      <c r="AR12" s="23">
        <v>4068.66</v>
      </c>
      <c r="AS12" s="24"/>
      <c r="AT12" s="23">
        <v>4068.66</v>
      </c>
      <c r="AU12" s="24"/>
      <c r="AV12" s="23">
        <v>4068.66</v>
      </c>
      <c r="AW12" s="24"/>
      <c r="AX12" s="23">
        <v>4068.66</v>
      </c>
      <c r="AY12" s="24"/>
      <c r="AZ12" s="23">
        <v>4068.66</v>
      </c>
      <c r="BA12" s="24"/>
      <c r="BB12" s="23">
        <v>4068.66</v>
      </c>
      <c r="BC12" s="24"/>
      <c r="BD12" s="23">
        <v>4068.66</v>
      </c>
      <c r="BE12" s="24"/>
      <c r="BF12" s="23">
        <v>4068.66</v>
      </c>
      <c r="BG12" s="24"/>
      <c r="BH12" s="23">
        <v>4068.66</v>
      </c>
      <c r="BI12" s="24"/>
      <c r="BJ12" s="23">
        <v>4068.66</v>
      </c>
      <c r="BK12" s="24"/>
      <c r="BL12" s="23">
        <v>4068.66</v>
      </c>
      <c r="BM12" s="24"/>
      <c r="BN12" s="23">
        <v>4068.66</v>
      </c>
      <c r="BO12" s="24"/>
      <c r="BP12" s="23">
        <v>4068.66</v>
      </c>
      <c r="BQ12" s="24"/>
      <c r="BR12" s="23">
        <v>4068.66</v>
      </c>
      <c r="BS12" s="24"/>
      <c r="BV12" s="23">
        <v>4068.66</v>
      </c>
      <c r="BW12" s="24"/>
      <c r="BX12" s="23">
        <v>4068.66</v>
      </c>
      <c r="BY12" s="24"/>
    </row>
    <row r="13" spans="1:77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27"/>
      <c r="O13" s="28"/>
      <c r="P13" s="27"/>
      <c r="Q13" s="28"/>
      <c r="R13" s="27"/>
      <c r="S13" s="28"/>
      <c r="T13" s="27"/>
      <c r="U13" s="28"/>
      <c r="V13" s="27"/>
      <c r="W13" s="28"/>
      <c r="X13" s="27"/>
      <c r="Y13" s="28"/>
      <c r="Z13" s="27"/>
      <c r="AA13" s="28"/>
      <c r="AB13" s="27"/>
      <c r="AC13" s="28"/>
      <c r="AD13" s="27"/>
      <c r="AE13" s="28"/>
      <c r="AF13" s="27"/>
      <c r="AG13" s="28"/>
      <c r="AH13" s="27"/>
      <c r="AI13" s="28"/>
      <c r="AJ13" s="27"/>
      <c r="AK13" s="28"/>
      <c r="AL13" s="27"/>
      <c r="AM13" s="28"/>
      <c r="AN13" s="27"/>
      <c r="AO13" s="28"/>
      <c r="AP13" s="27"/>
      <c r="AQ13" s="28"/>
      <c r="AR13" s="27"/>
      <c r="AS13" s="28"/>
      <c r="AT13" s="27"/>
      <c r="AU13" s="28"/>
      <c r="AV13" s="27"/>
      <c r="AW13" s="28"/>
      <c r="AX13" s="27"/>
      <c r="AY13" s="28"/>
      <c r="AZ13" s="27"/>
      <c r="BA13" s="28"/>
      <c r="BB13" s="27"/>
      <c r="BC13" s="28"/>
      <c r="BD13" s="27"/>
      <c r="BE13" s="28"/>
      <c r="BF13" s="27"/>
      <c r="BG13" s="28"/>
      <c r="BH13" s="27"/>
      <c r="BI13" s="28"/>
      <c r="BJ13" s="27"/>
      <c r="BK13" s="28"/>
      <c r="BL13" s="27"/>
      <c r="BM13" s="28"/>
      <c r="BN13" s="27"/>
      <c r="BO13" s="28"/>
      <c r="BP13" s="27"/>
      <c r="BQ13" s="28"/>
      <c r="BR13" s="27"/>
      <c r="BS13" s="28"/>
      <c r="BV13" s="27"/>
      <c r="BW13" s="28"/>
      <c r="BX13" s="27"/>
      <c r="BY13" s="28"/>
    </row>
    <row r="14" spans="1:77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8"/>
      <c r="AJ14" s="17"/>
      <c r="AK14" s="18"/>
      <c r="AL14" s="17"/>
      <c r="AM14" s="18"/>
      <c r="AN14" s="17"/>
      <c r="AO14" s="18"/>
      <c r="AP14" s="17"/>
      <c r="AQ14" s="18"/>
      <c r="AR14" s="17"/>
      <c r="AS14" s="18"/>
      <c r="AT14" s="17"/>
      <c r="AU14" s="18"/>
      <c r="AV14" s="17"/>
      <c r="AW14" s="18"/>
      <c r="AX14" s="17"/>
      <c r="AY14" s="18"/>
      <c r="AZ14" s="17"/>
      <c r="BA14" s="18"/>
      <c r="BB14" s="17"/>
      <c r="BC14" s="18"/>
      <c r="BD14" s="17"/>
      <c r="BE14" s="18"/>
      <c r="BF14" s="17"/>
      <c r="BG14" s="18"/>
      <c r="BH14" s="17"/>
      <c r="BI14" s="18"/>
      <c r="BJ14" s="17"/>
      <c r="BK14" s="18"/>
      <c r="BL14" s="17"/>
      <c r="BM14" s="18"/>
      <c r="BN14" s="17"/>
      <c r="BO14" s="18"/>
      <c r="BP14" s="17"/>
      <c r="BQ14" s="18"/>
      <c r="BR14" s="17"/>
      <c r="BS14" s="18"/>
      <c r="BV14" s="17"/>
      <c r="BW14" s="18"/>
      <c r="BX14" s="17"/>
      <c r="BY14" s="18"/>
    </row>
    <row r="15" spans="1:77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2400</v>
      </c>
      <c r="G15" s="32">
        <f>+F15/F12</f>
        <v>0.58987479907389662</v>
      </c>
      <c r="H15" s="31">
        <v>2400</v>
      </c>
      <c r="I15" s="32">
        <f>+H15/H12</f>
        <v>0.58987479907389662</v>
      </c>
      <c r="J15" s="31">
        <v>2400</v>
      </c>
      <c r="K15" s="32">
        <f>+J15/J12</f>
        <v>0.58987479907389662</v>
      </c>
      <c r="L15" s="31">
        <v>2400</v>
      </c>
      <c r="M15" s="32">
        <f>+L15/L12</f>
        <v>0.58987479907389662</v>
      </c>
      <c r="N15" s="31">
        <v>2400</v>
      </c>
      <c r="O15" s="32">
        <f>+N15/N12</f>
        <v>0.58987479907389662</v>
      </c>
      <c r="P15" s="31">
        <v>2400</v>
      </c>
      <c r="Q15" s="32">
        <f>+P15/P12</f>
        <v>0.58987479907389662</v>
      </c>
      <c r="R15" s="31">
        <v>2400</v>
      </c>
      <c r="S15" s="32">
        <f>+R15/R12</f>
        <v>0.58987479907389662</v>
      </c>
      <c r="T15" s="31">
        <v>2400</v>
      </c>
      <c r="U15" s="32">
        <f>+T15/T12</f>
        <v>0.58987479907389662</v>
      </c>
      <c r="V15" s="31">
        <v>2400</v>
      </c>
      <c r="W15" s="32">
        <f>+V15/V12</f>
        <v>0.58987479907389662</v>
      </c>
      <c r="X15" s="31">
        <v>2400</v>
      </c>
      <c r="Y15" s="32">
        <f>+X15/X12</f>
        <v>0.58987479907389662</v>
      </c>
      <c r="Z15" s="31">
        <v>2400</v>
      </c>
      <c r="AA15" s="32">
        <f>+Z15/Z12</f>
        <v>0.58987479907389662</v>
      </c>
      <c r="AB15" s="31">
        <v>2400</v>
      </c>
      <c r="AC15" s="32">
        <f>+AB15/AB12</f>
        <v>0.58987479907389662</v>
      </c>
      <c r="AD15" s="31">
        <v>2400</v>
      </c>
      <c r="AE15" s="32">
        <f>+AD15/AD12</f>
        <v>0.58987479907389662</v>
      </c>
      <c r="AF15" s="31">
        <v>2400</v>
      </c>
      <c r="AG15" s="32">
        <f>+AF15/AF12</f>
        <v>0.58987479907389662</v>
      </c>
      <c r="AH15" s="31">
        <v>2500</v>
      </c>
      <c r="AI15" s="32">
        <f>+AH15/AH12</f>
        <v>0.61445291570197558</v>
      </c>
      <c r="AJ15" s="31">
        <v>2400</v>
      </c>
      <c r="AK15" s="32">
        <f>+AJ15/AJ12</f>
        <v>0.58987479907389662</v>
      </c>
      <c r="AL15" s="31">
        <v>2400</v>
      </c>
      <c r="AM15" s="32">
        <f>+AL15/AL12</f>
        <v>0.58987479907389662</v>
      </c>
      <c r="AN15" s="31">
        <v>2400</v>
      </c>
      <c r="AO15" s="32">
        <f>+AN15/AN12</f>
        <v>0.58987479907389662</v>
      </c>
      <c r="AP15" s="31">
        <v>2400</v>
      </c>
      <c r="AQ15" s="32">
        <f>+AP15/AP12</f>
        <v>0.58987479907389662</v>
      </c>
      <c r="AR15" s="31">
        <v>2000</v>
      </c>
      <c r="AS15" s="32">
        <f>+AR15/AR12</f>
        <v>0.4915623325615805</v>
      </c>
      <c r="AT15" s="31">
        <v>2000</v>
      </c>
      <c r="AU15" s="32">
        <f>+AT15/AT12</f>
        <v>0.4915623325615805</v>
      </c>
      <c r="AV15" s="31">
        <v>2000</v>
      </c>
      <c r="AW15" s="32">
        <f>+AV15/AV12</f>
        <v>0.4915623325615805</v>
      </c>
      <c r="AX15" s="31">
        <v>2000</v>
      </c>
      <c r="AY15" s="32">
        <f>+AX15/AX12</f>
        <v>0.4915623325615805</v>
      </c>
      <c r="AZ15" s="31">
        <v>2000</v>
      </c>
      <c r="BA15" s="32">
        <f>+AZ15/AZ12</f>
        <v>0.4915623325615805</v>
      </c>
      <c r="BB15" s="31">
        <v>2500</v>
      </c>
      <c r="BC15" s="32">
        <f>+BB15/BB12</f>
        <v>0.61445291570197558</v>
      </c>
      <c r="BD15" s="31">
        <v>2500</v>
      </c>
      <c r="BE15" s="32">
        <f>+BD15/BD12</f>
        <v>0.61445291570197558</v>
      </c>
      <c r="BF15" s="31">
        <v>2500</v>
      </c>
      <c r="BG15" s="32">
        <f>+BF15/BF12</f>
        <v>0.61445291570197558</v>
      </c>
      <c r="BH15" s="31">
        <v>2500</v>
      </c>
      <c r="BI15" s="32">
        <f>+BH15/BH12</f>
        <v>0.61445291570197558</v>
      </c>
      <c r="BJ15" s="31">
        <v>2500</v>
      </c>
      <c r="BK15" s="32">
        <f>+BJ15/BJ12</f>
        <v>0.61445291570197558</v>
      </c>
      <c r="BL15" s="31">
        <v>2500</v>
      </c>
      <c r="BM15" s="32">
        <f>+BL15/BL12</f>
        <v>0.61445291570197558</v>
      </c>
      <c r="BN15" s="31">
        <v>2500</v>
      </c>
      <c r="BO15" s="32">
        <f>+BN15/BN12</f>
        <v>0.61445291570197558</v>
      </c>
      <c r="BP15" s="31">
        <v>2500</v>
      </c>
      <c r="BQ15" s="32">
        <f>+BP15/BP12</f>
        <v>0.61445291570197558</v>
      </c>
      <c r="BR15" s="31">
        <v>2500</v>
      </c>
      <c r="BS15" s="32">
        <f>+BR15/BR12</f>
        <v>0.61445291570197558</v>
      </c>
      <c r="BV15" s="31">
        <v>2500</v>
      </c>
      <c r="BW15" s="32">
        <f t="shared" ref="BW15" si="10">+BV15/BV12</f>
        <v>0.61445291570197558</v>
      </c>
      <c r="BX15" s="31">
        <v>2000</v>
      </c>
      <c r="BY15" s="32">
        <f t="shared" ref="BY15" si="11">+BX15/BX12</f>
        <v>0.4915623325615805</v>
      </c>
    </row>
    <row r="16" spans="1:77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AK16" si="12">+F15*F10</f>
        <v>28800</v>
      </c>
      <c r="G16" s="32">
        <f t="shared" si="12"/>
        <v>7.0784975888867594</v>
      </c>
      <c r="H16" s="31">
        <f t="shared" si="12"/>
        <v>28800</v>
      </c>
      <c r="I16" s="32">
        <f t="shared" si="12"/>
        <v>7.0784975888867594</v>
      </c>
      <c r="J16" s="31">
        <f t="shared" si="12"/>
        <v>28800</v>
      </c>
      <c r="K16" s="32">
        <f t="shared" si="12"/>
        <v>7.0784975888867594</v>
      </c>
      <c r="L16" s="31">
        <f t="shared" si="12"/>
        <v>28800</v>
      </c>
      <c r="M16" s="32">
        <f t="shared" si="12"/>
        <v>7.0784975888867594</v>
      </c>
      <c r="N16" s="31">
        <f t="shared" si="12"/>
        <v>28800</v>
      </c>
      <c r="O16" s="32">
        <f t="shared" si="12"/>
        <v>7.0784975888867594</v>
      </c>
      <c r="P16" s="31">
        <f t="shared" si="12"/>
        <v>28800</v>
      </c>
      <c r="Q16" s="32">
        <f t="shared" si="12"/>
        <v>7.0784975888867594</v>
      </c>
      <c r="R16" s="31">
        <f t="shared" si="12"/>
        <v>28800</v>
      </c>
      <c r="S16" s="32">
        <f t="shared" si="12"/>
        <v>7.0784975888867594</v>
      </c>
      <c r="T16" s="31">
        <f t="shared" si="12"/>
        <v>28800</v>
      </c>
      <c r="U16" s="32">
        <f t="shared" si="12"/>
        <v>7.0784975888867594</v>
      </c>
      <c r="V16" s="31">
        <f t="shared" si="12"/>
        <v>28800</v>
      </c>
      <c r="W16" s="32">
        <f t="shared" si="12"/>
        <v>7.0784975888867594</v>
      </c>
      <c r="X16" s="31">
        <f t="shared" si="12"/>
        <v>28800</v>
      </c>
      <c r="Y16" s="32">
        <f t="shared" si="12"/>
        <v>7.0784975888867594</v>
      </c>
      <c r="Z16" s="31">
        <f t="shared" si="12"/>
        <v>28800</v>
      </c>
      <c r="AA16" s="32">
        <f t="shared" si="12"/>
        <v>7.0784975888867594</v>
      </c>
      <c r="AB16" s="31">
        <f t="shared" si="12"/>
        <v>28800</v>
      </c>
      <c r="AC16" s="32">
        <f t="shared" si="12"/>
        <v>7.0784975888867594</v>
      </c>
      <c r="AD16" s="31">
        <f t="shared" si="12"/>
        <v>28800</v>
      </c>
      <c r="AE16" s="32">
        <f t="shared" si="12"/>
        <v>7.0784975888867594</v>
      </c>
      <c r="AF16" s="31">
        <f t="shared" si="12"/>
        <v>28800</v>
      </c>
      <c r="AG16" s="32">
        <f t="shared" si="12"/>
        <v>7.0784975888867594</v>
      </c>
      <c r="AH16" s="31">
        <f t="shared" si="12"/>
        <v>30000</v>
      </c>
      <c r="AI16" s="32">
        <f t="shared" si="12"/>
        <v>7.3734349884237069</v>
      </c>
      <c r="AJ16" s="31">
        <f t="shared" si="12"/>
        <v>28800</v>
      </c>
      <c r="AK16" s="32">
        <f t="shared" si="12"/>
        <v>7.0784975888867594</v>
      </c>
      <c r="AL16" s="31">
        <f t="shared" ref="AL16:BQ16" si="13">+AL15*AL10</f>
        <v>28800</v>
      </c>
      <c r="AM16" s="32">
        <f t="shared" si="13"/>
        <v>7.0784975888867594</v>
      </c>
      <c r="AN16" s="31">
        <f t="shared" si="13"/>
        <v>28800</v>
      </c>
      <c r="AO16" s="32">
        <f t="shared" si="13"/>
        <v>7.0784975888867594</v>
      </c>
      <c r="AP16" s="31">
        <f t="shared" si="13"/>
        <v>28800</v>
      </c>
      <c r="AQ16" s="32">
        <f t="shared" si="13"/>
        <v>7.0784975888867594</v>
      </c>
      <c r="AR16" s="31">
        <f t="shared" si="13"/>
        <v>24000</v>
      </c>
      <c r="AS16" s="32">
        <f t="shared" si="13"/>
        <v>5.8987479907389657</v>
      </c>
      <c r="AT16" s="31">
        <f t="shared" si="13"/>
        <v>24000</v>
      </c>
      <c r="AU16" s="32">
        <f t="shared" si="13"/>
        <v>5.8987479907389657</v>
      </c>
      <c r="AV16" s="31">
        <f t="shared" si="13"/>
        <v>24000</v>
      </c>
      <c r="AW16" s="32">
        <f t="shared" si="13"/>
        <v>5.8987479907389657</v>
      </c>
      <c r="AX16" s="31">
        <f t="shared" si="13"/>
        <v>24000</v>
      </c>
      <c r="AY16" s="32">
        <f t="shared" si="13"/>
        <v>5.8987479907389657</v>
      </c>
      <c r="AZ16" s="31">
        <f t="shared" si="13"/>
        <v>24000</v>
      </c>
      <c r="BA16" s="32">
        <f t="shared" si="13"/>
        <v>5.8987479907389657</v>
      </c>
      <c r="BB16" s="31">
        <f t="shared" si="13"/>
        <v>30000</v>
      </c>
      <c r="BC16" s="32">
        <f t="shared" si="13"/>
        <v>7.3734349884237069</v>
      </c>
      <c r="BD16" s="31">
        <f t="shared" si="13"/>
        <v>30000</v>
      </c>
      <c r="BE16" s="32">
        <f t="shared" si="13"/>
        <v>7.3734349884237069</v>
      </c>
      <c r="BF16" s="31">
        <f t="shared" si="13"/>
        <v>30000</v>
      </c>
      <c r="BG16" s="32">
        <f t="shared" si="13"/>
        <v>7.3734349884237069</v>
      </c>
      <c r="BH16" s="31">
        <f t="shared" si="13"/>
        <v>30000</v>
      </c>
      <c r="BI16" s="32">
        <f t="shared" si="13"/>
        <v>7.3734349884237069</v>
      </c>
      <c r="BJ16" s="31">
        <f t="shared" si="13"/>
        <v>30000</v>
      </c>
      <c r="BK16" s="32">
        <f t="shared" si="13"/>
        <v>7.3734349884237069</v>
      </c>
      <c r="BL16" s="31">
        <f t="shared" si="13"/>
        <v>30000</v>
      </c>
      <c r="BM16" s="32">
        <f t="shared" si="13"/>
        <v>7.3734349884237069</v>
      </c>
      <c r="BN16" s="31">
        <f t="shared" si="13"/>
        <v>30000</v>
      </c>
      <c r="BO16" s="32">
        <f t="shared" si="13"/>
        <v>7.3734349884237069</v>
      </c>
      <c r="BP16" s="31">
        <f t="shared" si="13"/>
        <v>30000</v>
      </c>
      <c r="BQ16" s="32">
        <f t="shared" si="13"/>
        <v>7.3734349884237069</v>
      </c>
      <c r="BR16" s="31">
        <f t="shared" ref="BR16:BS16" si="14">+BR15*BR10</f>
        <v>30000</v>
      </c>
      <c r="BS16" s="32">
        <f t="shared" si="14"/>
        <v>7.3734349884237069</v>
      </c>
      <c r="BV16" s="31">
        <f t="shared" ref="BV16:BY16" si="15">+BV15*BV10</f>
        <v>30000</v>
      </c>
      <c r="BW16" s="32">
        <f t="shared" si="15"/>
        <v>7.3734349884237069</v>
      </c>
      <c r="BX16" s="31">
        <f t="shared" si="15"/>
        <v>24000</v>
      </c>
      <c r="BY16" s="32">
        <f t="shared" si="15"/>
        <v>5.8987479907389657</v>
      </c>
    </row>
    <row r="17" spans="1:77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23">
        <v>0</v>
      </c>
      <c r="O17" s="24">
        <v>0</v>
      </c>
      <c r="P17" s="23">
        <v>0</v>
      </c>
      <c r="Q17" s="24">
        <v>0</v>
      </c>
      <c r="R17" s="23">
        <v>0</v>
      </c>
      <c r="S17" s="24">
        <v>0</v>
      </c>
      <c r="T17" s="23">
        <v>0</v>
      </c>
      <c r="U17" s="24">
        <v>0</v>
      </c>
      <c r="V17" s="23">
        <v>0</v>
      </c>
      <c r="W17" s="24">
        <v>0</v>
      </c>
      <c r="X17" s="23">
        <v>0</v>
      </c>
      <c r="Y17" s="24">
        <v>0</v>
      </c>
      <c r="Z17" s="23">
        <v>0</v>
      </c>
      <c r="AA17" s="24">
        <v>0</v>
      </c>
      <c r="AB17" s="23">
        <v>0</v>
      </c>
      <c r="AC17" s="24">
        <v>0</v>
      </c>
      <c r="AD17" s="23">
        <v>0</v>
      </c>
      <c r="AE17" s="24">
        <v>0</v>
      </c>
      <c r="AF17" s="23">
        <v>0</v>
      </c>
      <c r="AG17" s="24">
        <v>0</v>
      </c>
      <c r="AH17" s="23">
        <v>0</v>
      </c>
      <c r="AI17" s="24">
        <v>0</v>
      </c>
      <c r="AJ17" s="23">
        <v>0</v>
      </c>
      <c r="AK17" s="24">
        <v>0</v>
      </c>
      <c r="AL17" s="23">
        <v>0</v>
      </c>
      <c r="AM17" s="24">
        <v>0</v>
      </c>
      <c r="AN17" s="23">
        <v>0</v>
      </c>
      <c r="AO17" s="24">
        <v>0</v>
      </c>
      <c r="AP17" s="23">
        <v>0</v>
      </c>
      <c r="AQ17" s="24">
        <v>0</v>
      </c>
      <c r="AR17" s="23">
        <v>0</v>
      </c>
      <c r="AS17" s="24">
        <v>0</v>
      </c>
      <c r="AT17" s="23">
        <v>0</v>
      </c>
      <c r="AU17" s="24">
        <v>0</v>
      </c>
      <c r="AV17" s="23">
        <v>0</v>
      </c>
      <c r="AW17" s="24">
        <v>0</v>
      </c>
      <c r="AX17" s="23">
        <v>0</v>
      </c>
      <c r="AY17" s="24">
        <v>0</v>
      </c>
      <c r="AZ17" s="23">
        <v>0</v>
      </c>
      <c r="BA17" s="24">
        <v>0</v>
      </c>
      <c r="BB17" s="23">
        <v>0</v>
      </c>
      <c r="BC17" s="24">
        <v>0</v>
      </c>
      <c r="BD17" s="23">
        <v>0</v>
      </c>
      <c r="BE17" s="24">
        <v>0</v>
      </c>
      <c r="BF17" s="23">
        <v>0</v>
      </c>
      <c r="BG17" s="24">
        <v>0</v>
      </c>
      <c r="BH17" s="23">
        <v>0</v>
      </c>
      <c r="BI17" s="24">
        <v>0</v>
      </c>
      <c r="BJ17" s="23">
        <v>0</v>
      </c>
      <c r="BK17" s="24">
        <v>0</v>
      </c>
      <c r="BL17" s="23">
        <v>0</v>
      </c>
      <c r="BM17" s="24">
        <v>0</v>
      </c>
      <c r="BN17" s="23">
        <v>0</v>
      </c>
      <c r="BO17" s="24">
        <v>0</v>
      </c>
      <c r="BP17" s="23">
        <v>0</v>
      </c>
      <c r="BQ17" s="24">
        <v>0</v>
      </c>
      <c r="BR17" s="23">
        <v>0</v>
      </c>
      <c r="BS17" s="24">
        <v>0</v>
      </c>
      <c r="BV17" s="23">
        <v>0</v>
      </c>
      <c r="BW17" s="24">
        <v>0</v>
      </c>
      <c r="BX17" s="23">
        <v>0</v>
      </c>
      <c r="BY17" s="24">
        <v>0</v>
      </c>
    </row>
    <row r="18" spans="1:77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6">
        <v>0</v>
      </c>
      <c r="O18" s="37">
        <v>0</v>
      </c>
      <c r="P18" s="36">
        <v>0</v>
      </c>
      <c r="Q18" s="37">
        <v>0</v>
      </c>
      <c r="R18" s="36">
        <v>0</v>
      </c>
      <c r="S18" s="37">
        <v>0</v>
      </c>
      <c r="T18" s="36">
        <v>0</v>
      </c>
      <c r="U18" s="37">
        <v>0</v>
      </c>
      <c r="V18" s="36">
        <v>0</v>
      </c>
      <c r="W18" s="37">
        <v>0</v>
      </c>
      <c r="X18" s="36">
        <v>0</v>
      </c>
      <c r="Y18" s="37">
        <v>0</v>
      </c>
      <c r="Z18" s="36">
        <v>0</v>
      </c>
      <c r="AA18" s="37">
        <v>0</v>
      </c>
      <c r="AB18" s="36">
        <v>0</v>
      </c>
      <c r="AC18" s="37">
        <v>0</v>
      </c>
      <c r="AD18" s="36">
        <v>0</v>
      </c>
      <c r="AE18" s="37">
        <v>0</v>
      </c>
      <c r="AF18" s="36">
        <v>0</v>
      </c>
      <c r="AG18" s="37">
        <v>0</v>
      </c>
      <c r="AH18" s="36">
        <v>0</v>
      </c>
      <c r="AI18" s="37">
        <v>0</v>
      </c>
      <c r="AJ18" s="36">
        <v>0</v>
      </c>
      <c r="AK18" s="37">
        <v>0</v>
      </c>
      <c r="AL18" s="36">
        <v>0</v>
      </c>
      <c r="AM18" s="37">
        <v>0</v>
      </c>
      <c r="AN18" s="36">
        <v>0</v>
      </c>
      <c r="AO18" s="37">
        <v>0</v>
      </c>
      <c r="AP18" s="36">
        <v>0</v>
      </c>
      <c r="AQ18" s="37">
        <v>0</v>
      </c>
      <c r="AR18" s="36">
        <v>0</v>
      </c>
      <c r="AS18" s="37">
        <v>0</v>
      </c>
      <c r="AT18" s="36">
        <v>0</v>
      </c>
      <c r="AU18" s="37">
        <v>0</v>
      </c>
      <c r="AV18" s="36">
        <v>0</v>
      </c>
      <c r="AW18" s="37">
        <v>0</v>
      </c>
      <c r="AX18" s="36">
        <v>0</v>
      </c>
      <c r="AY18" s="37">
        <v>0</v>
      </c>
      <c r="AZ18" s="36">
        <v>0</v>
      </c>
      <c r="BA18" s="37">
        <v>0</v>
      </c>
      <c r="BB18" s="36">
        <v>0</v>
      </c>
      <c r="BC18" s="37">
        <v>0</v>
      </c>
      <c r="BD18" s="36">
        <v>0</v>
      </c>
      <c r="BE18" s="37">
        <v>0</v>
      </c>
      <c r="BF18" s="36">
        <v>0</v>
      </c>
      <c r="BG18" s="37">
        <v>0</v>
      </c>
      <c r="BH18" s="36">
        <v>0</v>
      </c>
      <c r="BI18" s="37">
        <v>0</v>
      </c>
      <c r="BJ18" s="36">
        <v>0</v>
      </c>
      <c r="BK18" s="37">
        <v>0</v>
      </c>
      <c r="BL18" s="36">
        <v>0</v>
      </c>
      <c r="BM18" s="37">
        <v>0</v>
      </c>
      <c r="BN18" s="36">
        <v>0</v>
      </c>
      <c r="BO18" s="37">
        <v>0</v>
      </c>
      <c r="BP18" s="36">
        <v>0</v>
      </c>
      <c r="BQ18" s="37">
        <v>0</v>
      </c>
      <c r="BR18" s="36">
        <v>0</v>
      </c>
      <c r="BS18" s="37">
        <v>0</v>
      </c>
      <c r="BV18" s="36">
        <v>0</v>
      </c>
      <c r="BW18" s="37">
        <v>0</v>
      </c>
      <c r="BX18" s="36">
        <v>0</v>
      </c>
      <c r="BY18" s="37">
        <v>0</v>
      </c>
    </row>
    <row r="19" spans="1:77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AG19" si="16">F15-F17</f>
        <v>2400</v>
      </c>
      <c r="G19" s="32">
        <f t="shared" si="16"/>
        <v>0.58987479907389662</v>
      </c>
      <c r="H19" s="38">
        <f t="shared" si="16"/>
        <v>2400</v>
      </c>
      <c r="I19" s="32">
        <f t="shared" si="16"/>
        <v>0.58987479907389662</v>
      </c>
      <c r="J19" s="38">
        <f t="shared" si="16"/>
        <v>2400</v>
      </c>
      <c r="K19" s="32">
        <f t="shared" si="16"/>
        <v>0.58987479907389662</v>
      </c>
      <c r="L19" s="38">
        <f t="shared" si="16"/>
        <v>2400</v>
      </c>
      <c r="M19" s="32">
        <f t="shared" si="16"/>
        <v>0.58987479907389662</v>
      </c>
      <c r="N19" s="38">
        <f t="shared" si="16"/>
        <v>2400</v>
      </c>
      <c r="O19" s="32">
        <f t="shared" si="16"/>
        <v>0.58987479907389662</v>
      </c>
      <c r="P19" s="38">
        <f t="shared" si="16"/>
        <v>2400</v>
      </c>
      <c r="Q19" s="32">
        <f t="shared" si="16"/>
        <v>0.58987479907389662</v>
      </c>
      <c r="R19" s="38">
        <f t="shared" si="16"/>
        <v>2400</v>
      </c>
      <c r="S19" s="32">
        <f t="shared" si="16"/>
        <v>0.58987479907389662</v>
      </c>
      <c r="T19" s="38">
        <f t="shared" si="16"/>
        <v>2400</v>
      </c>
      <c r="U19" s="32">
        <f t="shared" si="16"/>
        <v>0.58987479907389662</v>
      </c>
      <c r="V19" s="38">
        <f t="shared" si="16"/>
        <v>2400</v>
      </c>
      <c r="W19" s="32">
        <f t="shared" si="16"/>
        <v>0.58987479907389662</v>
      </c>
      <c r="X19" s="38">
        <f t="shared" si="16"/>
        <v>2400</v>
      </c>
      <c r="Y19" s="32">
        <f t="shared" si="16"/>
        <v>0.58987479907389662</v>
      </c>
      <c r="Z19" s="38">
        <f t="shared" si="16"/>
        <v>2400</v>
      </c>
      <c r="AA19" s="32">
        <f t="shared" si="16"/>
        <v>0.58987479907389662</v>
      </c>
      <c r="AB19" s="38">
        <f t="shared" si="16"/>
        <v>2400</v>
      </c>
      <c r="AC19" s="32">
        <f t="shared" si="16"/>
        <v>0.58987479907389662</v>
      </c>
      <c r="AD19" s="38">
        <f t="shared" si="16"/>
        <v>2400</v>
      </c>
      <c r="AE19" s="32">
        <f t="shared" si="16"/>
        <v>0.58987479907389662</v>
      </c>
      <c r="AF19" s="38">
        <f t="shared" si="16"/>
        <v>2400</v>
      </c>
      <c r="AG19" s="32">
        <f t="shared" si="16"/>
        <v>0.58987479907389662</v>
      </c>
      <c r="AH19" s="38">
        <v>2400</v>
      </c>
      <c r="AI19" s="32">
        <f t="shared" ref="AI19:BS19" si="17">AI15-AI17</f>
        <v>0.61445291570197558</v>
      </c>
      <c r="AJ19" s="38">
        <f t="shared" si="17"/>
        <v>2400</v>
      </c>
      <c r="AK19" s="32">
        <f t="shared" si="17"/>
        <v>0.58987479907389662</v>
      </c>
      <c r="AL19" s="38">
        <f t="shared" si="17"/>
        <v>2400</v>
      </c>
      <c r="AM19" s="32">
        <f t="shared" si="17"/>
        <v>0.58987479907389662</v>
      </c>
      <c r="AN19" s="38">
        <f t="shared" si="17"/>
        <v>2400</v>
      </c>
      <c r="AO19" s="32">
        <f t="shared" si="17"/>
        <v>0.58987479907389662</v>
      </c>
      <c r="AP19" s="38">
        <f t="shared" si="17"/>
        <v>2400</v>
      </c>
      <c r="AQ19" s="32">
        <f t="shared" si="17"/>
        <v>0.58987479907389662</v>
      </c>
      <c r="AR19" s="38">
        <f t="shared" si="17"/>
        <v>2000</v>
      </c>
      <c r="AS19" s="32">
        <f t="shared" si="17"/>
        <v>0.4915623325615805</v>
      </c>
      <c r="AT19" s="38">
        <f t="shared" si="17"/>
        <v>2000</v>
      </c>
      <c r="AU19" s="32">
        <f t="shared" si="17"/>
        <v>0.4915623325615805</v>
      </c>
      <c r="AV19" s="38">
        <f t="shared" si="17"/>
        <v>2000</v>
      </c>
      <c r="AW19" s="32">
        <f t="shared" si="17"/>
        <v>0.4915623325615805</v>
      </c>
      <c r="AX19" s="38">
        <f t="shared" si="17"/>
        <v>2000</v>
      </c>
      <c r="AY19" s="32">
        <f t="shared" si="17"/>
        <v>0.4915623325615805</v>
      </c>
      <c r="AZ19" s="38">
        <f t="shared" si="17"/>
        <v>2000</v>
      </c>
      <c r="BA19" s="32">
        <f t="shared" si="17"/>
        <v>0.4915623325615805</v>
      </c>
      <c r="BB19" s="38">
        <f t="shared" si="17"/>
        <v>2500</v>
      </c>
      <c r="BC19" s="32">
        <f t="shared" si="17"/>
        <v>0.61445291570197558</v>
      </c>
      <c r="BD19" s="38">
        <f t="shared" si="17"/>
        <v>2500</v>
      </c>
      <c r="BE19" s="32">
        <f t="shared" si="17"/>
        <v>0.61445291570197558</v>
      </c>
      <c r="BF19" s="38">
        <f t="shared" si="17"/>
        <v>2500</v>
      </c>
      <c r="BG19" s="32">
        <f t="shared" si="17"/>
        <v>0.61445291570197558</v>
      </c>
      <c r="BH19" s="38">
        <f t="shared" si="17"/>
        <v>2500</v>
      </c>
      <c r="BI19" s="32">
        <f t="shared" si="17"/>
        <v>0.61445291570197558</v>
      </c>
      <c r="BJ19" s="38">
        <f t="shared" si="17"/>
        <v>2500</v>
      </c>
      <c r="BK19" s="32">
        <f t="shared" si="17"/>
        <v>0.61445291570197558</v>
      </c>
      <c r="BL19" s="38">
        <f t="shared" si="17"/>
        <v>2500</v>
      </c>
      <c r="BM19" s="32">
        <f t="shared" si="17"/>
        <v>0.61445291570197558</v>
      </c>
      <c r="BN19" s="38">
        <f t="shared" si="17"/>
        <v>2500</v>
      </c>
      <c r="BO19" s="32">
        <f t="shared" si="17"/>
        <v>0.61445291570197558</v>
      </c>
      <c r="BP19" s="38">
        <f t="shared" si="17"/>
        <v>2500</v>
      </c>
      <c r="BQ19" s="32">
        <f t="shared" si="17"/>
        <v>0.61445291570197558</v>
      </c>
      <c r="BR19" s="38">
        <f t="shared" si="17"/>
        <v>2500</v>
      </c>
      <c r="BS19" s="32">
        <f t="shared" si="17"/>
        <v>0.61445291570197558</v>
      </c>
      <c r="BV19" s="38">
        <f t="shared" ref="BV19:BY19" si="18">BV15-BV17</f>
        <v>2500</v>
      </c>
      <c r="BW19" s="32">
        <f t="shared" si="18"/>
        <v>0.61445291570197558</v>
      </c>
      <c r="BX19" s="38">
        <f t="shared" si="18"/>
        <v>2000</v>
      </c>
      <c r="BY19" s="32">
        <f t="shared" si="18"/>
        <v>0.4915623325615805</v>
      </c>
    </row>
    <row r="20" spans="1:77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AK20" si="19">1/(1+F18)*F16</f>
        <v>28800</v>
      </c>
      <c r="G20" s="40">
        <f t="shared" si="19"/>
        <v>7.0784975888867594</v>
      </c>
      <c r="H20" s="39">
        <f t="shared" si="19"/>
        <v>28800</v>
      </c>
      <c r="I20" s="40">
        <f t="shared" si="19"/>
        <v>7.0784975888867594</v>
      </c>
      <c r="J20" s="39">
        <f t="shared" si="19"/>
        <v>28800</v>
      </c>
      <c r="K20" s="40">
        <f t="shared" si="19"/>
        <v>7.0784975888867594</v>
      </c>
      <c r="L20" s="39">
        <f t="shared" si="19"/>
        <v>28800</v>
      </c>
      <c r="M20" s="40">
        <f t="shared" si="19"/>
        <v>7.0784975888867594</v>
      </c>
      <c r="N20" s="39">
        <f t="shared" si="19"/>
        <v>28800</v>
      </c>
      <c r="O20" s="40">
        <f t="shared" si="19"/>
        <v>7.0784975888867594</v>
      </c>
      <c r="P20" s="39">
        <f t="shared" si="19"/>
        <v>28800</v>
      </c>
      <c r="Q20" s="40">
        <f t="shared" si="19"/>
        <v>7.0784975888867594</v>
      </c>
      <c r="R20" s="39">
        <f t="shared" si="19"/>
        <v>28800</v>
      </c>
      <c r="S20" s="40">
        <f t="shared" si="19"/>
        <v>7.0784975888867594</v>
      </c>
      <c r="T20" s="39">
        <f t="shared" si="19"/>
        <v>28800</v>
      </c>
      <c r="U20" s="40">
        <f t="shared" si="19"/>
        <v>7.0784975888867594</v>
      </c>
      <c r="V20" s="39">
        <f t="shared" si="19"/>
        <v>28800</v>
      </c>
      <c r="W20" s="40">
        <f t="shared" si="19"/>
        <v>7.0784975888867594</v>
      </c>
      <c r="X20" s="39">
        <f t="shared" si="19"/>
        <v>28800</v>
      </c>
      <c r="Y20" s="40">
        <f t="shared" si="19"/>
        <v>7.0784975888867594</v>
      </c>
      <c r="Z20" s="39">
        <f t="shared" si="19"/>
        <v>28800</v>
      </c>
      <c r="AA20" s="40">
        <f t="shared" si="19"/>
        <v>7.0784975888867594</v>
      </c>
      <c r="AB20" s="39">
        <f t="shared" si="19"/>
        <v>28800</v>
      </c>
      <c r="AC20" s="40">
        <f t="shared" si="19"/>
        <v>7.0784975888867594</v>
      </c>
      <c r="AD20" s="39">
        <f t="shared" si="19"/>
        <v>28800</v>
      </c>
      <c r="AE20" s="40">
        <f t="shared" si="19"/>
        <v>7.0784975888867594</v>
      </c>
      <c r="AF20" s="39">
        <f t="shared" si="19"/>
        <v>28800</v>
      </c>
      <c r="AG20" s="40">
        <f t="shared" si="19"/>
        <v>7.0784975888867594</v>
      </c>
      <c r="AH20" s="39">
        <f t="shared" si="19"/>
        <v>30000</v>
      </c>
      <c r="AI20" s="40">
        <f t="shared" si="19"/>
        <v>7.3734349884237069</v>
      </c>
      <c r="AJ20" s="39">
        <f t="shared" si="19"/>
        <v>28800</v>
      </c>
      <c r="AK20" s="40">
        <f t="shared" si="19"/>
        <v>7.0784975888867594</v>
      </c>
      <c r="AL20" s="39">
        <f t="shared" ref="AL20:BS20" si="20">1/(1+AL18)*AL16</f>
        <v>28800</v>
      </c>
      <c r="AM20" s="40">
        <f t="shared" si="20"/>
        <v>7.0784975888867594</v>
      </c>
      <c r="AN20" s="39">
        <f t="shared" si="20"/>
        <v>28800</v>
      </c>
      <c r="AO20" s="40">
        <f t="shared" si="20"/>
        <v>7.0784975888867594</v>
      </c>
      <c r="AP20" s="39">
        <f t="shared" si="20"/>
        <v>28800</v>
      </c>
      <c r="AQ20" s="40">
        <f t="shared" si="20"/>
        <v>7.0784975888867594</v>
      </c>
      <c r="AR20" s="39">
        <f t="shared" si="20"/>
        <v>24000</v>
      </c>
      <c r="AS20" s="40">
        <f t="shared" si="20"/>
        <v>5.8987479907389657</v>
      </c>
      <c r="AT20" s="39">
        <f t="shared" si="20"/>
        <v>24000</v>
      </c>
      <c r="AU20" s="40">
        <f t="shared" si="20"/>
        <v>5.8987479907389657</v>
      </c>
      <c r="AV20" s="39">
        <f t="shared" si="20"/>
        <v>24000</v>
      </c>
      <c r="AW20" s="40">
        <f t="shared" si="20"/>
        <v>5.8987479907389657</v>
      </c>
      <c r="AX20" s="39">
        <f t="shared" si="20"/>
        <v>24000</v>
      </c>
      <c r="AY20" s="40">
        <f t="shared" si="20"/>
        <v>5.8987479907389657</v>
      </c>
      <c r="AZ20" s="39">
        <f t="shared" si="20"/>
        <v>24000</v>
      </c>
      <c r="BA20" s="40">
        <f t="shared" si="20"/>
        <v>5.8987479907389657</v>
      </c>
      <c r="BB20" s="39">
        <f t="shared" si="20"/>
        <v>30000</v>
      </c>
      <c r="BC20" s="40">
        <f t="shared" si="20"/>
        <v>7.3734349884237069</v>
      </c>
      <c r="BD20" s="39">
        <f t="shared" si="20"/>
        <v>30000</v>
      </c>
      <c r="BE20" s="40">
        <f t="shared" si="20"/>
        <v>7.3734349884237069</v>
      </c>
      <c r="BF20" s="39">
        <f t="shared" si="20"/>
        <v>30000</v>
      </c>
      <c r="BG20" s="40">
        <f t="shared" si="20"/>
        <v>7.3734349884237069</v>
      </c>
      <c r="BH20" s="39">
        <f t="shared" si="20"/>
        <v>30000</v>
      </c>
      <c r="BI20" s="40">
        <f t="shared" si="20"/>
        <v>7.3734349884237069</v>
      </c>
      <c r="BJ20" s="39">
        <f t="shared" si="20"/>
        <v>30000</v>
      </c>
      <c r="BK20" s="40">
        <f t="shared" si="20"/>
        <v>7.3734349884237069</v>
      </c>
      <c r="BL20" s="39">
        <f t="shared" si="20"/>
        <v>30000</v>
      </c>
      <c r="BM20" s="40">
        <f t="shared" si="20"/>
        <v>7.3734349884237069</v>
      </c>
      <c r="BN20" s="39">
        <f t="shared" si="20"/>
        <v>30000</v>
      </c>
      <c r="BO20" s="40">
        <f t="shared" si="20"/>
        <v>7.3734349884237069</v>
      </c>
      <c r="BP20" s="39">
        <f t="shared" si="20"/>
        <v>30000</v>
      </c>
      <c r="BQ20" s="40">
        <f t="shared" si="20"/>
        <v>7.3734349884237069</v>
      </c>
      <c r="BR20" s="39">
        <f t="shared" si="20"/>
        <v>30000</v>
      </c>
      <c r="BS20" s="40">
        <f t="shared" si="20"/>
        <v>7.3734349884237069</v>
      </c>
      <c r="BV20" s="39">
        <f t="shared" ref="BV20:BY20" si="21">1/(1+BV18)*BV16</f>
        <v>30000</v>
      </c>
      <c r="BW20" s="40">
        <f t="shared" si="21"/>
        <v>7.3734349884237069</v>
      </c>
      <c r="BX20" s="39">
        <f t="shared" si="21"/>
        <v>24000</v>
      </c>
      <c r="BY20" s="40">
        <f t="shared" si="21"/>
        <v>5.8987479907389657</v>
      </c>
    </row>
    <row r="21" spans="1:77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27"/>
      <c r="O21" s="41"/>
      <c r="P21" s="27"/>
      <c r="Q21" s="41"/>
      <c r="R21" s="27"/>
      <c r="S21" s="41"/>
      <c r="T21" s="27"/>
      <c r="U21" s="41"/>
      <c r="V21" s="27"/>
      <c r="W21" s="41"/>
      <c r="X21" s="27"/>
      <c r="Y21" s="41"/>
      <c r="Z21" s="27"/>
      <c r="AA21" s="41"/>
      <c r="AB21" s="27"/>
      <c r="AC21" s="41"/>
      <c r="AD21" s="27"/>
      <c r="AE21" s="41"/>
      <c r="AF21" s="27"/>
      <c r="AG21" s="41"/>
      <c r="AH21" s="27"/>
      <c r="AI21" s="41"/>
      <c r="AJ21" s="27"/>
      <c r="AK21" s="41"/>
      <c r="AL21" s="27"/>
      <c r="AM21" s="41"/>
      <c r="AN21" s="27"/>
      <c r="AO21" s="41"/>
      <c r="AP21" s="27"/>
      <c r="AQ21" s="41"/>
      <c r="AR21" s="27"/>
      <c r="AS21" s="41"/>
      <c r="AT21" s="27"/>
      <c r="AU21" s="41"/>
      <c r="AV21" s="27"/>
      <c r="AW21" s="41"/>
      <c r="AX21" s="27"/>
      <c r="AY21" s="41"/>
      <c r="AZ21" s="27"/>
      <c r="BA21" s="41"/>
      <c r="BB21" s="27"/>
      <c r="BC21" s="41"/>
      <c r="BD21" s="27"/>
      <c r="BE21" s="41"/>
      <c r="BF21" s="27"/>
      <c r="BG21" s="41"/>
      <c r="BH21" s="27"/>
      <c r="BI21" s="41"/>
      <c r="BJ21" s="27"/>
      <c r="BK21" s="41"/>
      <c r="BL21" s="27"/>
      <c r="BM21" s="41"/>
      <c r="BN21" s="27"/>
      <c r="BO21" s="41"/>
      <c r="BP21" s="27"/>
      <c r="BQ21" s="41"/>
      <c r="BR21" s="27"/>
      <c r="BS21" s="41"/>
      <c r="BV21" s="27"/>
      <c r="BW21" s="41"/>
      <c r="BX21" s="27"/>
      <c r="BY21" s="41"/>
    </row>
    <row r="22" spans="1:77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42"/>
      <c r="O22" s="43"/>
      <c r="P22" s="42"/>
      <c r="Q22" s="43"/>
      <c r="R22" s="42"/>
      <c r="S22" s="43"/>
      <c r="T22" s="42"/>
      <c r="U22" s="43"/>
      <c r="V22" s="42"/>
      <c r="W22" s="43"/>
      <c r="X22" s="42"/>
      <c r="Y22" s="43"/>
      <c r="Z22" s="42"/>
      <c r="AA22" s="43"/>
      <c r="AB22" s="42"/>
      <c r="AC22" s="43"/>
      <c r="AD22" s="42"/>
      <c r="AE22" s="43"/>
      <c r="AF22" s="42"/>
      <c r="AG22" s="43"/>
      <c r="AH22" s="42"/>
      <c r="AI22" s="43"/>
      <c r="AJ22" s="42"/>
      <c r="AK22" s="43"/>
      <c r="AL22" s="42"/>
      <c r="AM22" s="43"/>
      <c r="AN22" s="42"/>
      <c r="AO22" s="43"/>
      <c r="AP22" s="42"/>
      <c r="AQ22" s="43"/>
      <c r="AR22" s="42"/>
      <c r="AS22" s="43"/>
      <c r="AT22" s="42"/>
      <c r="AU22" s="43"/>
      <c r="AV22" s="42"/>
      <c r="AW22" s="43"/>
      <c r="AX22" s="42"/>
      <c r="AY22" s="43"/>
      <c r="AZ22" s="42"/>
      <c r="BA22" s="43"/>
      <c r="BB22" s="42"/>
      <c r="BC22" s="43"/>
      <c r="BD22" s="42"/>
      <c r="BE22" s="43"/>
      <c r="BF22" s="42"/>
      <c r="BG22" s="43"/>
      <c r="BH22" s="42"/>
      <c r="BI22" s="43"/>
      <c r="BJ22" s="42"/>
      <c r="BK22" s="43"/>
      <c r="BL22" s="42"/>
      <c r="BM22" s="43"/>
      <c r="BN22" s="42"/>
      <c r="BO22" s="43"/>
      <c r="BP22" s="42"/>
      <c r="BQ22" s="43"/>
      <c r="BR22" s="42"/>
      <c r="BS22" s="43"/>
      <c r="BV22" s="42"/>
      <c r="BW22" s="43"/>
      <c r="BX22" s="42"/>
      <c r="BY22" s="43"/>
    </row>
    <row r="23" spans="1:77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AK23" si="22">F24/F20</f>
        <v>0.29166666666666702</v>
      </c>
      <c r="G23" s="48">
        <f t="shared" si="22"/>
        <v>0.29166666666666702</v>
      </c>
      <c r="H23" s="47">
        <f t="shared" si="22"/>
        <v>0.29166666666666702</v>
      </c>
      <c r="I23" s="48">
        <f t="shared" si="22"/>
        <v>0.29166666666666702</v>
      </c>
      <c r="J23" s="47">
        <f t="shared" si="22"/>
        <v>0.29166666666666702</v>
      </c>
      <c r="K23" s="48">
        <f t="shared" si="22"/>
        <v>0.29166666666666702</v>
      </c>
      <c r="L23" s="47">
        <f t="shared" si="22"/>
        <v>0.29166666666666702</v>
      </c>
      <c r="M23" s="48">
        <f t="shared" si="22"/>
        <v>0.29166666666666702</v>
      </c>
      <c r="N23" s="47">
        <f t="shared" si="22"/>
        <v>0.29166666666666702</v>
      </c>
      <c r="O23" s="48">
        <f t="shared" si="22"/>
        <v>0.29166666666666702</v>
      </c>
      <c r="P23" s="47">
        <f t="shared" si="22"/>
        <v>0.29166666666666702</v>
      </c>
      <c r="Q23" s="48">
        <f t="shared" si="22"/>
        <v>0.29166666666666702</v>
      </c>
      <c r="R23" s="47">
        <f t="shared" si="22"/>
        <v>0.29166666666666702</v>
      </c>
      <c r="S23" s="48">
        <f t="shared" si="22"/>
        <v>0.29166666666666702</v>
      </c>
      <c r="T23" s="47">
        <f t="shared" si="22"/>
        <v>0.29166666666666702</v>
      </c>
      <c r="U23" s="48">
        <f t="shared" si="22"/>
        <v>0.29166666666666702</v>
      </c>
      <c r="V23" s="47">
        <f t="shared" si="22"/>
        <v>0.29166666666666702</v>
      </c>
      <c r="W23" s="48">
        <f t="shared" si="22"/>
        <v>0.29166666666666702</v>
      </c>
      <c r="X23" s="47">
        <f t="shared" si="22"/>
        <v>0.29166666666666702</v>
      </c>
      <c r="Y23" s="48">
        <f t="shared" si="22"/>
        <v>0.29166666666666702</v>
      </c>
      <c r="Z23" s="47">
        <f t="shared" si="22"/>
        <v>0.29166666666666702</v>
      </c>
      <c r="AA23" s="48">
        <f t="shared" si="22"/>
        <v>0.29166666666666702</v>
      </c>
      <c r="AB23" s="47">
        <f t="shared" si="22"/>
        <v>0.29166666666666702</v>
      </c>
      <c r="AC23" s="48">
        <f t="shared" si="22"/>
        <v>0.29166666666666702</v>
      </c>
      <c r="AD23" s="47">
        <f t="shared" si="22"/>
        <v>0.29166666666666702</v>
      </c>
      <c r="AE23" s="48">
        <f t="shared" si="22"/>
        <v>0.29166666666666702</v>
      </c>
      <c r="AF23" s="47">
        <f t="shared" si="22"/>
        <v>0.29166666666666702</v>
      </c>
      <c r="AG23" s="48">
        <f t="shared" si="22"/>
        <v>0.29166666666666702</v>
      </c>
      <c r="AH23" s="47">
        <f t="shared" si="22"/>
        <v>0.41435954545454551</v>
      </c>
      <c r="AI23" s="48">
        <f t="shared" si="22"/>
        <v>0.41435954545454556</v>
      </c>
      <c r="AJ23" s="47">
        <f t="shared" si="22"/>
        <v>0.29166666666666702</v>
      </c>
      <c r="AK23" s="48">
        <f t="shared" si="22"/>
        <v>0.29166666666666702</v>
      </c>
      <c r="AL23" s="47">
        <f t="shared" ref="AL23:BQ23" si="23">AL24/AL20</f>
        <v>0.29166666666666702</v>
      </c>
      <c r="AM23" s="48">
        <f t="shared" si="23"/>
        <v>0.29166666666666702</v>
      </c>
      <c r="AN23" s="47">
        <f t="shared" si="23"/>
        <v>0.29166666666666702</v>
      </c>
      <c r="AO23" s="48">
        <f t="shared" si="23"/>
        <v>0.29166666666666702</v>
      </c>
      <c r="AP23" s="47">
        <f t="shared" si="23"/>
        <v>0.29166666666666702</v>
      </c>
      <c r="AQ23" s="48">
        <f t="shared" si="23"/>
        <v>0.29166666666666702</v>
      </c>
      <c r="AR23" s="47">
        <f t="shared" si="23"/>
        <v>0.25</v>
      </c>
      <c r="AS23" s="48">
        <f t="shared" si="23"/>
        <v>0.24999999999999997</v>
      </c>
      <c r="AT23" s="47">
        <f t="shared" si="23"/>
        <v>0.25</v>
      </c>
      <c r="AU23" s="48">
        <f t="shared" si="23"/>
        <v>0.24999999999999997</v>
      </c>
      <c r="AV23" s="47">
        <f t="shared" si="23"/>
        <v>0.25</v>
      </c>
      <c r="AW23" s="48">
        <f t="shared" si="23"/>
        <v>0.24999999999999997</v>
      </c>
      <c r="AX23" s="47">
        <f t="shared" si="23"/>
        <v>0.25</v>
      </c>
      <c r="AY23" s="48">
        <f t="shared" si="23"/>
        <v>0.24999999999999997</v>
      </c>
      <c r="AZ23" s="47">
        <f t="shared" si="23"/>
        <v>0.25</v>
      </c>
      <c r="BA23" s="48">
        <f t="shared" si="23"/>
        <v>0.24999999999999997</v>
      </c>
      <c r="BB23" s="47">
        <f t="shared" si="23"/>
        <v>0.35579550000000004</v>
      </c>
      <c r="BC23" s="48">
        <f t="shared" si="23"/>
        <v>0.35579549999999999</v>
      </c>
      <c r="BD23" s="47">
        <f t="shared" si="23"/>
        <v>0.35579550000000004</v>
      </c>
      <c r="BE23" s="48">
        <f t="shared" si="23"/>
        <v>0.35579549999999999</v>
      </c>
      <c r="BF23" s="47">
        <f t="shared" si="23"/>
        <v>0.35579550000000004</v>
      </c>
      <c r="BG23" s="48">
        <f t="shared" si="23"/>
        <v>0.35579549999999999</v>
      </c>
      <c r="BH23" s="47">
        <f t="shared" si="23"/>
        <v>0.35579550000000004</v>
      </c>
      <c r="BI23" s="48">
        <f t="shared" si="23"/>
        <v>0.35579549999999999</v>
      </c>
      <c r="BJ23" s="47">
        <f t="shared" si="23"/>
        <v>0.35579550000000004</v>
      </c>
      <c r="BK23" s="48">
        <f t="shared" si="23"/>
        <v>0.35579549999999999</v>
      </c>
      <c r="BL23" s="47">
        <f t="shared" si="23"/>
        <v>0.35579550000000004</v>
      </c>
      <c r="BM23" s="48">
        <f t="shared" si="23"/>
        <v>0.35579549999999999</v>
      </c>
      <c r="BN23" s="47">
        <f t="shared" si="23"/>
        <v>0.35579550000000004</v>
      </c>
      <c r="BO23" s="48">
        <f t="shared" si="23"/>
        <v>0.35579549999999999</v>
      </c>
      <c r="BP23" s="47">
        <f t="shared" si="23"/>
        <v>0.35579550000000004</v>
      </c>
      <c r="BQ23" s="48">
        <f t="shared" si="23"/>
        <v>0.35579549999999999</v>
      </c>
      <c r="BR23" s="47">
        <f t="shared" ref="BR23:BS23" si="24">BR24/BR20</f>
        <v>0.35579550000000004</v>
      </c>
      <c r="BS23" s="48">
        <f t="shared" si="24"/>
        <v>0.35579549999999999</v>
      </c>
      <c r="BV23" s="47">
        <f t="shared" ref="BV23:BY23" si="25">BV24/BV20</f>
        <v>0.43192875909090905</v>
      </c>
      <c r="BW23" s="48">
        <f t="shared" si="25"/>
        <v>0.43192875909090911</v>
      </c>
      <c r="BX23" s="47">
        <f t="shared" si="25"/>
        <v>0.13540975000000011</v>
      </c>
      <c r="BY23" s="48">
        <f t="shared" si="25"/>
        <v>0.13540975000000008</v>
      </c>
    </row>
    <row r="24" spans="1:77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AK24" si="26">F20-F26</f>
        <v>8400.0000000000109</v>
      </c>
      <c r="G24" s="24">
        <f t="shared" si="26"/>
        <v>2.0645617967586407</v>
      </c>
      <c r="H24" s="50">
        <f t="shared" si="26"/>
        <v>8400.0000000000109</v>
      </c>
      <c r="I24" s="24">
        <f t="shared" si="26"/>
        <v>2.0645617967586407</v>
      </c>
      <c r="J24" s="50">
        <f t="shared" si="26"/>
        <v>8400.0000000000109</v>
      </c>
      <c r="K24" s="24">
        <f t="shared" si="26"/>
        <v>2.0645617967586407</v>
      </c>
      <c r="L24" s="50">
        <f t="shared" si="26"/>
        <v>8400.0000000000109</v>
      </c>
      <c r="M24" s="24">
        <f t="shared" si="26"/>
        <v>2.0645617967586407</v>
      </c>
      <c r="N24" s="50">
        <f t="shared" si="26"/>
        <v>8400.0000000000109</v>
      </c>
      <c r="O24" s="24">
        <f t="shared" si="26"/>
        <v>2.0645617967586407</v>
      </c>
      <c r="P24" s="50">
        <f t="shared" si="26"/>
        <v>8400.0000000000109</v>
      </c>
      <c r="Q24" s="24">
        <f t="shared" si="26"/>
        <v>2.0645617967586407</v>
      </c>
      <c r="R24" s="50">
        <f t="shared" si="26"/>
        <v>8400.0000000000109</v>
      </c>
      <c r="S24" s="24">
        <f t="shared" si="26"/>
        <v>2.0645617967586407</v>
      </c>
      <c r="T24" s="50">
        <f t="shared" si="26"/>
        <v>8400.0000000000109</v>
      </c>
      <c r="U24" s="24">
        <f t="shared" si="26"/>
        <v>2.0645617967586407</v>
      </c>
      <c r="V24" s="50">
        <f t="shared" si="26"/>
        <v>8400.0000000000109</v>
      </c>
      <c r="W24" s="24">
        <f t="shared" si="26"/>
        <v>2.0645617967586407</v>
      </c>
      <c r="X24" s="50">
        <f t="shared" si="26"/>
        <v>8400.0000000000109</v>
      </c>
      <c r="Y24" s="24">
        <f t="shared" si="26"/>
        <v>2.0645617967586407</v>
      </c>
      <c r="Z24" s="50">
        <f t="shared" si="26"/>
        <v>8400.0000000000109</v>
      </c>
      <c r="AA24" s="24">
        <f t="shared" si="26"/>
        <v>2.0645617967586407</v>
      </c>
      <c r="AB24" s="50">
        <f t="shared" si="26"/>
        <v>8400.0000000000109</v>
      </c>
      <c r="AC24" s="24">
        <f t="shared" si="26"/>
        <v>2.0645617967586407</v>
      </c>
      <c r="AD24" s="50">
        <f t="shared" si="26"/>
        <v>8400.0000000000109</v>
      </c>
      <c r="AE24" s="24">
        <f t="shared" si="26"/>
        <v>2.0645617967586407</v>
      </c>
      <c r="AF24" s="50">
        <f t="shared" si="26"/>
        <v>8400.0000000000109</v>
      </c>
      <c r="AG24" s="24">
        <f t="shared" si="26"/>
        <v>2.0645617967586407</v>
      </c>
      <c r="AH24" s="50">
        <f t="shared" si="26"/>
        <v>12430.786363636365</v>
      </c>
      <c r="AI24" s="24">
        <f t="shared" si="26"/>
        <v>3.0552531702418895</v>
      </c>
      <c r="AJ24" s="50">
        <f t="shared" si="26"/>
        <v>8400.0000000000109</v>
      </c>
      <c r="AK24" s="24">
        <f t="shared" si="26"/>
        <v>2.0645617967586407</v>
      </c>
      <c r="AL24" s="50">
        <f t="shared" ref="AL24:BS24" si="27">AL20-AL26</f>
        <v>8400.0000000000109</v>
      </c>
      <c r="AM24" s="24">
        <f t="shared" si="27"/>
        <v>2.0645617967586407</v>
      </c>
      <c r="AN24" s="50">
        <f t="shared" si="27"/>
        <v>8400.0000000000109</v>
      </c>
      <c r="AO24" s="24">
        <f t="shared" si="27"/>
        <v>2.0645617967586407</v>
      </c>
      <c r="AP24" s="50">
        <f t="shared" si="27"/>
        <v>8400.0000000000109</v>
      </c>
      <c r="AQ24" s="24">
        <f t="shared" si="27"/>
        <v>2.0645617967586407</v>
      </c>
      <c r="AR24" s="50">
        <f t="shared" si="27"/>
        <v>6000</v>
      </c>
      <c r="AS24" s="24">
        <f t="shared" si="27"/>
        <v>1.4746869976847412</v>
      </c>
      <c r="AT24" s="50">
        <f t="shared" si="27"/>
        <v>6000</v>
      </c>
      <c r="AU24" s="24">
        <f t="shared" si="27"/>
        <v>1.4746869976847412</v>
      </c>
      <c r="AV24" s="50">
        <f t="shared" si="27"/>
        <v>6000</v>
      </c>
      <c r="AW24" s="24">
        <f t="shared" si="27"/>
        <v>1.4746869976847412</v>
      </c>
      <c r="AX24" s="50">
        <f t="shared" si="27"/>
        <v>6000</v>
      </c>
      <c r="AY24" s="24">
        <f t="shared" si="27"/>
        <v>1.4746869976847412</v>
      </c>
      <c r="AZ24" s="50">
        <f t="shared" si="27"/>
        <v>6000</v>
      </c>
      <c r="BA24" s="24">
        <f t="shared" si="27"/>
        <v>1.4746869976847412</v>
      </c>
      <c r="BB24" s="50">
        <f t="shared" si="27"/>
        <v>10673.865000000002</v>
      </c>
      <c r="BC24" s="24">
        <f t="shared" si="27"/>
        <v>2.6234349884237069</v>
      </c>
      <c r="BD24" s="50">
        <f t="shared" si="27"/>
        <v>10673.865000000002</v>
      </c>
      <c r="BE24" s="24">
        <f t="shared" si="27"/>
        <v>2.6234349884237069</v>
      </c>
      <c r="BF24" s="50">
        <f t="shared" si="27"/>
        <v>10673.865000000002</v>
      </c>
      <c r="BG24" s="24">
        <f t="shared" si="27"/>
        <v>2.6234349884237069</v>
      </c>
      <c r="BH24" s="50">
        <f t="shared" si="27"/>
        <v>10673.865000000002</v>
      </c>
      <c r="BI24" s="24">
        <f t="shared" si="27"/>
        <v>2.6234349884237069</v>
      </c>
      <c r="BJ24" s="50">
        <f t="shared" si="27"/>
        <v>10673.865000000002</v>
      </c>
      <c r="BK24" s="24">
        <f t="shared" si="27"/>
        <v>2.6234349884237069</v>
      </c>
      <c r="BL24" s="50">
        <f t="shared" si="27"/>
        <v>10673.865000000002</v>
      </c>
      <c r="BM24" s="24">
        <f t="shared" si="27"/>
        <v>2.6234349884237069</v>
      </c>
      <c r="BN24" s="50">
        <f t="shared" si="27"/>
        <v>10673.865000000002</v>
      </c>
      <c r="BO24" s="24">
        <f t="shared" si="27"/>
        <v>2.6234349884237069</v>
      </c>
      <c r="BP24" s="50">
        <f t="shared" si="27"/>
        <v>10673.865000000002</v>
      </c>
      <c r="BQ24" s="24">
        <f t="shared" si="27"/>
        <v>2.6234349884237069</v>
      </c>
      <c r="BR24" s="50">
        <f t="shared" si="27"/>
        <v>10673.865000000002</v>
      </c>
      <c r="BS24" s="24">
        <f t="shared" si="27"/>
        <v>2.6234349884237069</v>
      </c>
      <c r="BV24" s="50">
        <f t="shared" ref="BV24:BY24" si="28">BV20-BV26</f>
        <v>12957.862772727272</v>
      </c>
      <c r="BW24" s="24">
        <f t="shared" si="28"/>
        <v>3.1847986247873434</v>
      </c>
      <c r="BX24" s="50">
        <f t="shared" si="28"/>
        <v>3249.8340000000026</v>
      </c>
      <c r="BY24" s="24">
        <f t="shared" si="28"/>
        <v>0.79874799073896607</v>
      </c>
    </row>
    <row r="25" spans="1:77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AK25" si="29">F26</f>
        <v>20399.999999999989</v>
      </c>
      <c r="G25" s="55">
        <f t="shared" si="29"/>
        <v>5.0139357921281187</v>
      </c>
      <c r="H25" s="54">
        <f t="shared" si="29"/>
        <v>20399.999999999989</v>
      </c>
      <c r="I25" s="55">
        <f t="shared" si="29"/>
        <v>5.0139357921281187</v>
      </c>
      <c r="J25" s="54">
        <f t="shared" si="29"/>
        <v>20399.999999999989</v>
      </c>
      <c r="K25" s="55">
        <f t="shared" si="29"/>
        <v>5.0139357921281187</v>
      </c>
      <c r="L25" s="54">
        <f t="shared" si="29"/>
        <v>20399.999999999989</v>
      </c>
      <c r="M25" s="55">
        <f t="shared" si="29"/>
        <v>5.0139357921281187</v>
      </c>
      <c r="N25" s="54">
        <f t="shared" si="29"/>
        <v>20399.999999999989</v>
      </c>
      <c r="O25" s="55">
        <f t="shared" si="29"/>
        <v>5.0139357921281187</v>
      </c>
      <c r="P25" s="54">
        <f t="shared" si="29"/>
        <v>20399.999999999989</v>
      </c>
      <c r="Q25" s="55">
        <f t="shared" si="29"/>
        <v>5.0139357921281187</v>
      </c>
      <c r="R25" s="54">
        <f t="shared" si="29"/>
        <v>20399.999999999989</v>
      </c>
      <c r="S25" s="55">
        <f t="shared" si="29"/>
        <v>5.0139357921281187</v>
      </c>
      <c r="T25" s="54">
        <f t="shared" si="29"/>
        <v>20399.999999999989</v>
      </c>
      <c r="U25" s="55">
        <f t="shared" si="29"/>
        <v>5.0139357921281187</v>
      </c>
      <c r="V25" s="54">
        <f t="shared" si="29"/>
        <v>20399.999999999989</v>
      </c>
      <c r="W25" s="55">
        <f t="shared" si="29"/>
        <v>5.0139357921281187</v>
      </c>
      <c r="X25" s="54">
        <f t="shared" si="29"/>
        <v>20399.999999999989</v>
      </c>
      <c r="Y25" s="55">
        <f t="shared" si="29"/>
        <v>5.0139357921281187</v>
      </c>
      <c r="Z25" s="54">
        <f t="shared" si="29"/>
        <v>20399.999999999989</v>
      </c>
      <c r="AA25" s="55">
        <f t="shared" si="29"/>
        <v>5.0139357921281187</v>
      </c>
      <c r="AB25" s="54">
        <f t="shared" si="29"/>
        <v>20399.999999999989</v>
      </c>
      <c r="AC25" s="55">
        <f t="shared" si="29"/>
        <v>5.0139357921281187</v>
      </c>
      <c r="AD25" s="54">
        <f t="shared" si="29"/>
        <v>20399.999999999989</v>
      </c>
      <c r="AE25" s="55">
        <f t="shared" si="29"/>
        <v>5.0139357921281187</v>
      </c>
      <c r="AF25" s="54">
        <f t="shared" si="29"/>
        <v>20399.999999999989</v>
      </c>
      <c r="AG25" s="55">
        <f t="shared" si="29"/>
        <v>5.0139357921281187</v>
      </c>
      <c r="AH25" s="54">
        <f t="shared" si="29"/>
        <v>17569.213636363635</v>
      </c>
      <c r="AI25" s="55">
        <f t="shared" si="29"/>
        <v>4.3181818181818175</v>
      </c>
      <c r="AJ25" s="54">
        <f t="shared" si="29"/>
        <v>20399.999999999989</v>
      </c>
      <c r="AK25" s="55">
        <f t="shared" si="29"/>
        <v>5.0139357921281187</v>
      </c>
      <c r="AL25" s="54">
        <f t="shared" ref="AL25:BQ25" si="30">AL26</f>
        <v>20399.999999999989</v>
      </c>
      <c r="AM25" s="55">
        <f t="shared" si="30"/>
        <v>5.0139357921281187</v>
      </c>
      <c r="AN25" s="54">
        <f t="shared" si="30"/>
        <v>20399.999999999989</v>
      </c>
      <c r="AO25" s="55">
        <f t="shared" si="30"/>
        <v>5.0139357921281187</v>
      </c>
      <c r="AP25" s="54">
        <f t="shared" si="30"/>
        <v>20399.999999999989</v>
      </c>
      <c r="AQ25" s="55">
        <f t="shared" si="30"/>
        <v>5.0139357921281187</v>
      </c>
      <c r="AR25" s="54">
        <f t="shared" si="30"/>
        <v>18000</v>
      </c>
      <c r="AS25" s="55">
        <f t="shared" si="30"/>
        <v>4.4240609930542245</v>
      </c>
      <c r="AT25" s="54">
        <f t="shared" si="30"/>
        <v>18000</v>
      </c>
      <c r="AU25" s="55">
        <f t="shared" si="30"/>
        <v>4.4240609930542245</v>
      </c>
      <c r="AV25" s="54">
        <f t="shared" si="30"/>
        <v>18000</v>
      </c>
      <c r="AW25" s="55">
        <f t="shared" si="30"/>
        <v>4.4240609930542245</v>
      </c>
      <c r="AX25" s="54">
        <f t="shared" si="30"/>
        <v>18000</v>
      </c>
      <c r="AY25" s="55">
        <f t="shared" si="30"/>
        <v>4.4240609930542245</v>
      </c>
      <c r="AZ25" s="54">
        <f t="shared" si="30"/>
        <v>18000</v>
      </c>
      <c r="BA25" s="55">
        <f t="shared" si="30"/>
        <v>4.4240609930542245</v>
      </c>
      <c r="BB25" s="54">
        <f t="shared" si="30"/>
        <v>19326.134999999998</v>
      </c>
      <c r="BC25" s="55">
        <f t="shared" si="30"/>
        <v>4.75</v>
      </c>
      <c r="BD25" s="54">
        <f t="shared" si="30"/>
        <v>19326.134999999998</v>
      </c>
      <c r="BE25" s="55">
        <f t="shared" si="30"/>
        <v>4.75</v>
      </c>
      <c r="BF25" s="54">
        <f t="shared" si="30"/>
        <v>19326.134999999998</v>
      </c>
      <c r="BG25" s="55">
        <f t="shared" si="30"/>
        <v>4.75</v>
      </c>
      <c r="BH25" s="54">
        <f t="shared" si="30"/>
        <v>19326.134999999998</v>
      </c>
      <c r="BI25" s="55">
        <f t="shared" si="30"/>
        <v>4.75</v>
      </c>
      <c r="BJ25" s="54">
        <f t="shared" si="30"/>
        <v>19326.134999999998</v>
      </c>
      <c r="BK25" s="55">
        <f t="shared" si="30"/>
        <v>4.75</v>
      </c>
      <c r="BL25" s="54">
        <f t="shared" si="30"/>
        <v>19326.134999999998</v>
      </c>
      <c r="BM25" s="55">
        <f t="shared" si="30"/>
        <v>4.75</v>
      </c>
      <c r="BN25" s="54">
        <f t="shared" si="30"/>
        <v>19326.134999999998</v>
      </c>
      <c r="BO25" s="55">
        <f t="shared" si="30"/>
        <v>4.75</v>
      </c>
      <c r="BP25" s="54">
        <f t="shared" si="30"/>
        <v>19326.134999999998</v>
      </c>
      <c r="BQ25" s="55">
        <f t="shared" si="30"/>
        <v>4.75</v>
      </c>
      <c r="BR25" s="54">
        <f t="shared" ref="BR25:BS25" si="31">BR26</f>
        <v>19326.134999999998</v>
      </c>
      <c r="BS25" s="55">
        <f t="shared" si="31"/>
        <v>4.75</v>
      </c>
      <c r="BV25" s="54">
        <f>BV26</f>
        <v>17042.137227272728</v>
      </c>
      <c r="BW25" s="55">
        <f>BW26</f>
        <v>4.1886363636363635</v>
      </c>
      <c r="BX25" s="54">
        <f>BX26</f>
        <v>20750.165999999997</v>
      </c>
      <c r="BY25" s="55">
        <f>BY26</f>
        <v>5.0999999999999996</v>
      </c>
    </row>
    <row r="26" spans="1:77" s="4" customFormat="1" ht="18" customHeight="1" x14ac:dyDescent="0.45">
      <c r="A26" s="561"/>
      <c r="B26" s="1187"/>
      <c r="C26" s="56" t="s">
        <v>40</v>
      </c>
      <c r="D26" s="52"/>
      <c r="E26" s="53"/>
      <c r="F26" s="54">
        <v>20399.999999999989</v>
      </c>
      <c r="G26" s="57">
        <f>+F26/F12</f>
        <v>5.0139357921281187</v>
      </c>
      <c r="H26" s="54">
        <v>20399.999999999989</v>
      </c>
      <c r="I26" s="57">
        <f>+H26/H12</f>
        <v>5.0139357921281187</v>
      </c>
      <c r="J26" s="54">
        <v>20399.999999999989</v>
      </c>
      <c r="K26" s="57">
        <f>+J26/J12</f>
        <v>5.0139357921281187</v>
      </c>
      <c r="L26" s="54">
        <v>20399.999999999989</v>
      </c>
      <c r="M26" s="57">
        <f>+L26/L12</f>
        <v>5.0139357921281187</v>
      </c>
      <c r="N26" s="54">
        <v>20399.999999999989</v>
      </c>
      <c r="O26" s="57">
        <f>+N26/N12</f>
        <v>5.0139357921281187</v>
      </c>
      <c r="P26" s="54">
        <v>20399.999999999989</v>
      </c>
      <c r="Q26" s="57">
        <f>+P26/P12</f>
        <v>5.0139357921281187</v>
      </c>
      <c r="R26" s="54">
        <v>20399.999999999989</v>
      </c>
      <c r="S26" s="57">
        <f>+R26/R12</f>
        <v>5.0139357921281187</v>
      </c>
      <c r="T26" s="54">
        <v>20399.999999999989</v>
      </c>
      <c r="U26" s="57">
        <f>+T26/T12</f>
        <v>5.0139357921281187</v>
      </c>
      <c r="V26" s="54">
        <v>20399.999999999989</v>
      </c>
      <c r="W26" s="57">
        <f>+V26/V12</f>
        <v>5.0139357921281187</v>
      </c>
      <c r="X26" s="54">
        <v>20399.999999999989</v>
      </c>
      <c r="Y26" s="57">
        <f>+X26/X12</f>
        <v>5.0139357921281187</v>
      </c>
      <c r="Z26" s="54">
        <v>20399.999999999989</v>
      </c>
      <c r="AA26" s="57">
        <f>+Z26/Z12</f>
        <v>5.0139357921281187</v>
      </c>
      <c r="AB26" s="54">
        <v>20399.999999999989</v>
      </c>
      <c r="AC26" s="57">
        <f>+AB26/AB12</f>
        <v>5.0139357921281187</v>
      </c>
      <c r="AD26" s="54">
        <v>20399.999999999989</v>
      </c>
      <c r="AE26" s="57">
        <f>+AD26/AD12</f>
        <v>5.0139357921281187</v>
      </c>
      <c r="AF26" s="54">
        <v>20399.999999999989</v>
      </c>
      <c r="AG26" s="57">
        <f>+AF26/AF12</f>
        <v>5.0139357921281187</v>
      </c>
      <c r="AH26" s="54">
        <f>4.75*AH12*10/11</f>
        <v>17569.213636363635</v>
      </c>
      <c r="AI26" s="57">
        <f>+AH26/AH12</f>
        <v>4.3181818181818175</v>
      </c>
      <c r="AJ26" s="54">
        <v>20399.999999999989</v>
      </c>
      <c r="AK26" s="57">
        <f>+AJ26/AJ12</f>
        <v>5.0139357921281187</v>
      </c>
      <c r="AL26" s="54">
        <v>20399.999999999989</v>
      </c>
      <c r="AM26" s="57">
        <f>+AL26/AL12</f>
        <v>5.0139357921281187</v>
      </c>
      <c r="AN26" s="54">
        <v>20399.999999999989</v>
      </c>
      <c r="AO26" s="57">
        <f>+AN26/AN12</f>
        <v>5.0139357921281187</v>
      </c>
      <c r="AP26" s="54">
        <v>20399.999999999989</v>
      </c>
      <c r="AQ26" s="57">
        <f>+AP26/AP12</f>
        <v>5.0139357921281187</v>
      </c>
      <c r="AR26" s="54">
        <f>1500*12</f>
        <v>18000</v>
      </c>
      <c r="AS26" s="57">
        <f>+AR26/AR12</f>
        <v>4.4240609930542245</v>
      </c>
      <c r="AT26" s="54">
        <f>1500*12</f>
        <v>18000</v>
      </c>
      <c r="AU26" s="57">
        <f>+AT26/AT12</f>
        <v>4.4240609930542245</v>
      </c>
      <c r="AV26" s="54">
        <f>1500*12</f>
        <v>18000</v>
      </c>
      <c r="AW26" s="57">
        <f>+AV26/AV12</f>
        <v>4.4240609930542245</v>
      </c>
      <c r="AX26" s="54">
        <f>1500*12</f>
        <v>18000</v>
      </c>
      <c r="AY26" s="57">
        <f>+AX26/AX12</f>
        <v>4.4240609930542245</v>
      </c>
      <c r="AZ26" s="54">
        <f>1500*12</f>
        <v>18000</v>
      </c>
      <c r="BA26" s="57">
        <f>+AZ26/AZ12</f>
        <v>4.4240609930542245</v>
      </c>
      <c r="BB26" s="54">
        <f>BC26*BB12</f>
        <v>19326.134999999998</v>
      </c>
      <c r="BC26" s="57">
        <v>4.75</v>
      </c>
      <c r="BD26" s="54">
        <f>BE26*BD12</f>
        <v>19326.134999999998</v>
      </c>
      <c r="BE26" s="57">
        <v>4.75</v>
      </c>
      <c r="BF26" s="54">
        <f>BG26*BF12</f>
        <v>19326.134999999998</v>
      </c>
      <c r="BG26" s="57">
        <v>4.75</v>
      </c>
      <c r="BH26" s="54">
        <f>BI26*BH12</f>
        <v>19326.134999999998</v>
      </c>
      <c r="BI26" s="57">
        <v>4.75</v>
      </c>
      <c r="BJ26" s="54">
        <f>BK26*BJ12</f>
        <v>19326.134999999998</v>
      </c>
      <c r="BK26" s="57">
        <v>4.75</v>
      </c>
      <c r="BL26" s="54">
        <f>BM26*BL12</f>
        <v>19326.134999999998</v>
      </c>
      <c r="BM26" s="57">
        <v>4.75</v>
      </c>
      <c r="BN26" s="54">
        <f>BO26*BN12</f>
        <v>19326.134999999998</v>
      </c>
      <c r="BO26" s="57">
        <v>4.75</v>
      </c>
      <c r="BP26" s="54">
        <f>BQ26*BP12</f>
        <v>19326.134999999998</v>
      </c>
      <c r="BQ26" s="57">
        <v>4.75</v>
      </c>
      <c r="BR26" s="54">
        <f>BS26*BR12</f>
        <v>19326.134999999998</v>
      </c>
      <c r="BS26" s="57">
        <v>4.75</v>
      </c>
      <c r="BV26" s="54">
        <f>BW26*BV12</f>
        <v>17042.137227272728</v>
      </c>
      <c r="BW26" s="55">
        <f>4.75*97%*10/11</f>
        <v>4.1886363636363635</v>
      </c>
      <c r="BX26" s="54">
        <f>BY26*BX12</f>
        <v>20750.165999999997</v>
      </c>
      <c r="BY26" s="57">
        <v>5.0999999999999996</v>
      </c>
    </row>
    <row r="27" spans="1:77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42"/>
      <c r="O27" s="18"/>
      <c r="P27" s="42"/>
      <c r="Q27" s="18"/>
      <c r="R27" s="42"/>
      <c r="S27" s="18"/>
      <c r="T27" s="42"/>
      <c r="U27" s="18"/>
      <c r="V27" s="42"/>
      <c r="W27" s="18"/>
      <c r="X27" s="42"/>
      <c r="Y27" s="18"/>
      <c r="Z27" s="42"/>
      <c r="AA27" s="18"/>
      <c r="AB27" s="42"/>
      <c r="AC27" s="18"/>
      <c r="AD27" s="42"/>
      <c r="AE27" s="18"/>
      <c r="AF27" s="42"/>
      <c r="AG27" s="18"/>
      <c r="AH27" s="42"/>
      <c r="AI27" s="18"/>
      <c r="AJ27" s="42"/>
      <c r="AK27" s="18"/>
      <c r="AL27" s="42"/>
      <c r="AM27" s="18"/>
      <c r="AN27" s="42"/>
      <c r="AO27" s="18"/>
      <c r="AP27" s="42"/>
      <c r="AQ27" s="18"/>
      <c r="AR27" s="42"/>
      <c r="AS27" s="18"/>
      <c r="AT27" s="42"/>
      <c r="AU27" s="18"/>
      <c r="AV27" s="42"/>
      <c r="AW27" s="18"/>
      <c r="AX27" s="42"/>
      <c r="AY27" s="18"/>
      <c r="AZ27" s="42"/>
      <c r="BA27" s="18"/>
      <c r="BB27" s="42"/>
      <c r="BC27" s="18"/>
      <c r="BD27" s="42"/>
      <c r="BE27" s="18"/>
      <c r="BF27" s="42"/>
      <c r="BG27" s="18"/>
      <c r="BH27" s="42"/>
      <c r="BI27" s="18"/>
      <c r="BJ27" s="42"/>
      <c r="BK27" s="18"/>
      <c r="BL27" s="42"/>
      <c r="BM27" s="18"/>
      <c r="BN27" s="42"/>
      <c r="BO27" s="18"/>
      <c r="BP27" s="42"/>
      <c r="BQ27" s="18"/>
      <c r="BR27" s="42"/>
      <c r="BS27" s="18"/>
      <c r="BV27" s="42"/>
      <c r="BW27" s="18"/>
      <c r="BX27" s="42"/>
      <c r="BY27" s="18"/>
    </row>
    <row r="28" spans="1:77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60"/>
      <c r="O28" s="43"/>
      <c r="P28" s="60"/>
      <c r="Q28" s="43"/>
      <c r="R28" s="60"/>
      <c r="S28" s="43"/>
      <c r="T28" s="60"/>
      <c r="U28" s="43"/>
      <c r="V28" s="60"/>
      <c r="W28" s="43"/>
      <c r="X28" s="60"/>
      <c r="Y28" s="43"/>
      <c r="Z28" s="60"/>
      <c r="AA28" s="43"/>
      <c r="AB28" s="60"/>
      <c r="AC28" s="43"/>
      <c r="AD28" s="60"/>
      <c r="AE28" s="43"/>
      <c r="AF28" s="60"/>
      <c r="AG28" s="43"/>
      <c r="AH28" s="60"/>
      <c r="AI28" s="43"/>
      <c r="AJ28" s="60"/>
      <c r="AK28" s="43"/>
      <c r="AL28" s="60"/>
      <c r="AM28" s="43"/>
      <c r="AN28" s="60"/>
      <c r="AO28" s="43"/>
      <c r="AP28" s="60"/>
      <c r="AQ28" s="43"/>
      <c r="AR28" s="60"/>
      <c r="AS28" s="43"/>
      <c r="AT28" s="60"/>
      <c r="AU28" s="43"/>
      <c r="AV28" s="60"/>
      <c r="AW28" s="43"/>
      <c r="AX28" s="60"/>
      <c r="AY28" s="43"/>
      <c r="AZ28" s="60"/>
      <c r="BA28" s="43"/>
      <c r="BB28" s="60"/>
      <c r="BC28" s="43"/>
      <c r="BD28" s="60"/>
      <c r="BE28" s="43"/>
      <c r="BF28" s="60"/>
      <c r="BG28" s="43"/>
      <c r="BH28" s="60"/>
      <c r="BI28" s="43"/>
      <c r="BJ28" s="60"/>
      <c r="BK28" s="43"/>
      <c r="BL28" s="60"/>
      <c r="BM28" s="43"/>
      <c r="BN28" s="60"/>
      <c r="BO28" s="43"/>
      <c r="BP28" s="60"/>
      <c r="BQ28" s="43"/>
      <c r="BR28" s="60"/>
      <c r="BS28" s="43"/>
      <c r="BV28" s="60"/>
      <c r="BW28" s="43"/>
      <c r="BX28" s="60"/>
      <c r="BY28" s="43"/>
    </row>
    <row r="29" spans="1:77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AK29" si="32">F30/F26</f>
        <v>0.13876403743315471</v>
      </c>
      <c r="G29" s="48">
        <f t="shared" si="32"/>
        <v>0.13876403743315469</v>
      </c>
      <c r="H29" s="47">
        <f t="shared" si="32"/>
        <v>0.13876403743315471</v>
      </c>
      <c r="I29" s="48">
        <f t="shared" si="32"/>
        <v>0.13876403743315469</v>
      </c>
      <c r="J29" s="47">
        <f t="shared" si="32"/>
        <v>0.13876403743315471</v>
      </c>
      <c r="K29" s="48">
        <f t="shared" si="32"/>
        <v>0.13876403743315469</v>
      </c>
      <c r="L29" s="47">
        <f t="shared" si="32"/>
        <v>0.13876403743315471</v>
      </c>
      <c r="M29" s="48">
        <f t="shared" si="32"/>
        <v>0.13876403743315469</v>
      </c>
      <c r="N29" s="47">
        <f t="shared" si="32"/>
        <v>0.13876403743315471</v>
      </c>
      <c r="O29" s="48">
        <f t="shared" si="32"/>
        <v>0.13876403743315469</v>
      </c>
      <c r="P29" s="47">
        <f t="shared" si="32"/>
        <v>0.13876403743315471</v>
      </c>
      <c r="Q29" s="48">
        <f t="shared" si="32"/>
        <v>0.13876403743315469</v>
      </c>
      <c r="R29" s="47">
        <f t="shared" si="32"/>
        <v>0.13876403743315471</v>
      </c>
      <c r="S29" s="48">
        <f t="shared" si="32"/>
        <v>0.13876403743315469</v>
      </c>
      <c r="T29" s="47">
        <f t="shared" si="32"/>
        <v>0.13876403743315471</v>
      </c>
      <c r="U29" s="48">
        <f t="shared" si="32"/>
        <v>0.13876403743315469</v>
      </c>
      <c r="V29" s="47">
        <f t="shared" si="32"/>
        <v>0.13876403743315471</v>
      </c>
      <c r="W29" s="48">
        <f t="shared" si="32"/>
        <v>0.13876403743315469</v>
      </c>
      <c r="X29" s="47">
        <f t="shared" si="32"/>
        <v>0.13876403743315471</v>
      </c>
      <c r="Y29" s="48">
        <f t="shared" si="32"/>
        <v>0.13876403743315469</v>
      </c>
      <c r="Z29" s="47">
        <f t="shared" si="32"/>
        <v>0.13876403743315471</v>
      </c>
      <c r="AA29" s="48">
        <f t="shared" si="32"/>
        <v>0.13876403743315469</v>
      </c>
      <c r="AB29" s="47">
        <f t="shared" si="32"/>
        <v>0.13876403743315471</v>
      </c>
      <c r="AC29" s="48">
        <f t="shared" si="32"/>
        <v>0.13876403743315469</v>
      </c>
      <c r="AD29" s="47">
        <f t="shared" si="32"/>
        <v>0.13876403743315471</v>
      </c>
      <c r="AE29" s="48">
        <f t="shared" si="32"/>
        <v>0.13876403743315469</v>
      </c>
      <c r="AF29" s="47">
        <f t="shared" si="32"/>
        <v>0.13876403743315471</v>
      </c>
      <c r="AG29" s="48">
        <f t="shared" si="32"/>
        <v>0.13876403743315469</v>
      </c>
      <c r="AH29" s="47">
        <f t="shared" si="32"/>
        <v>0</v>
      </c>
      <c r="AI29" s="48">
        <f t="shared" si="32"/>
        <v>0</v>
      </c>
      <c r="AJ29" s="47">
        <f t="shared" si="32"/>
        <v>0.13876403743315471</v>
      </c>
      <c r="AK29" s="48">
        <f t="shared" si="32"/>
        <v>0.13876403743315469</v>
      </c>
      <c r="AL29" s="47">
        <f t="shared" ref="AL29:BQ29" si="33">AL30/AL26</f>
        <v>0.13876403743315471</v>
      </c>
      <c r="AM29" s="48">
        <f t="shared" si="33"/>
        <v>0.13876403743315469</v>
      </c>
      <c r="AN29" s="47">
        <f t="shared" si="33"/>
        <v>0.13876403743315471</v>
      </c>
      <c r="AO29" s="48">
        <f t="shared" si="33"/>
        <v>0.13876403743315469</v>
      </c>
      <c r="AP29" s="47">
        <f t="shared" si="33"/>
        <v>0.13876403743315471</v>
      </c>
      <c r="AQ29" s="48">
        <f t="shared" si="33"/>
        <v>0.13876403743315469</v>
      </c>
      <c r="AR29" s="47">
        <f t="shared" si="33"/>
        <v>2.3932575757575857E-2</v>
      </c>
      <c r="AS29" s="48">
        <f t="shared" si="33"/>
        <v>2.3932575757575781E-2</v>
      </c>
      <c r="AT29" s="47">
        <f t="shared" si="33"/>
        <v>0.10527152777777782</v>
      </c>
      <c r="AU29" s="48">
        <f t="shared" si="33"/>
        <v>0.1052715277777778</v>
      </c>
      <c r="AV29" s="47">
        <f t="shared" si="33"/>
        <v>0.10527152777777782</v>
      </c>
      <c r="AW29" s="48">
        <f t="shared" si="33"/>
        <v>0.1052715277777778</v>
      </c>
      <c r="AX29" s="47">
        <f t="shared" si="33"/>
        <v>0.10527152777777782</v>
      </c>
      <c r="AY29" s="48">
        <f t="shared" si="33"/>
        <v>0.1052715277777778</v>
      </c>
      <c r="AZ29" s="47">
        <f t="shared" si="33"/>
        <v>0.10527152777777782</v>
      </c>
      <c r="BA29" s="48">
        <f t="shared" si="33"/>
        <v>0.1052715277777778</v>
      </c>
      <c r="BB29" s="47">
        <f t="shared" si="33"/>
        <v>0</v>
      </c>
      <c r="BC29" s="48">
        <f t="shared" si="33"/>
        <v>0</v>
      </c>
      <c r="BD29" s="47">
        <f t="shared" si="33"/>
        <v>0</v>
      </c>
      <c r="BE29" s="48">
        <f t="shared" si="33"/>
        <v>0</v>
      </c>
      <c r="BF29" s="47">
        <f t="shared" si="33"/>
        <v>0</v>
      </c>
      <c r="BG29" s="48">
        <f t="shared" si="33"/>
        <v>0</v>
      </c>
      <c r="BH29" s="47">
        <f t="shared" si="33"/>
        <v>0</v>
      </c>
      <c r="BI29" s="48">
        <f t="shared" si="33"/>
        <v>0</v>
      </c>
      <c r="BJ29" s="47">
        <f t="shared" si="33"/>
        <v>0</v>
      </c>
      <c r="BK29" s="48">
        <f t="shared" si="33"/>
        <v>0</v>
      </c>
      <c r="BL29" s="47">
        <f t="shared" si="33"/>
        <v>0</v>
      </c>
      <c r="BM29" s="48">
        <f t="shared" si="33"/>
        <v>0</v>
      </c>
      <c r="BN29" s="47">
        <f t="shared" si="33"/>
        <v>0</v>
      </c>
      <c r="BO29" s="48">
        <f t="shared" si="33"/>
        <v>0</v>
      </c>
      <c r="BP29" s="47">
        <f t="shared" si="33"/>
        <v>0</v>
      </c>
      <c r="BQ29" s="48">
        <f t="shared" si="33"/>
        <v>0</v>
      </c>
      <c r="BR29" s="47">
        <f t="shared" ref="BR29:BS29" si="34">BR30/BR26</f>
        <v>0</v>
      </c>
      <c r="BS29" s="48">
        <f t="shared" si="34"/>
        <v>0</v>
      </c>
      <c r="BV29" s="47">
        <f t="shared" ref="BV29:BY29" si="35">BV30/BV26</f>
        <v>0</v>
      </c>
      <c r="BW29" s="48">
        <f t="shared" si="35"/>
        <v>0</v>
      </c>
      <c r="BX29" s="47">
        <f t="shared" si="35"/>
        <v>6.8627450980392121E-2</v>
      </c>
      <c r="BY29" s="48">
        <f t="shared" si="35"/>
        <v>6.8627450980392093E-2</v>
      </c>
    </row>
    <row r="30" spans="1:77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AK30" si="36">F26-F32</f>
        <v>2830.7863636363545</v>
      </c>
      <c r="G30" s="24">
        <f t="shared" si="36"/>
        <v>0.69575397394630034</v>
      </c>
      <c r="H30" s="50">
        <f t="shared" si="36"/>
        <v>2830.7863636363545</v>
      </c>
      <c r="I30" s="24">
        <f t="shared" si="36"/>
        <v>0.69575397394630034</v>
      </c>
      <c r="J30" s="50">
        <f t="shared" si="36"/>
        <v>2830.7863636363545</v>
      </c>
      <c r="K30" s="24">
        <f t="shared" si="36"/>
        <v>0.69575397394630034</v>
      </c>
      <c r="L30" s="50">
        <f t="shared" si="36"/>
        <v>2830.7863636363545</v>
      </c>
      <c r="M30" s="24">
        <f t="shared" si="36"/>
        <v>0.69575397394630034</v>
      </c>
      <c r="N30" s="50">
        <f t="shared" si="36"/>
        <v>2830.7863636363545</v>
      </c>
      <c r="O30" s="24">
        <f t="shared" si="36"/>
        <v>0.69575397394630034</v>
      </c>
      <c r="P30" s="50">
        <f t="shared" si="36"/>
        <v>2830.7863636363545</v>
      </c>
      <c r="Q30" s="24">
        <f t="shared" si="36"/>
        <v>0.69575397394630034</v>
      </c>
      <c r="R30" s="50">
        <f t="shared" si="36"/>
        <v>2830.7863636363545</v>
      </c>
      <c r="S30" s="24">
        <f t="shared" si="36"/>
        <v>0.69575397394630034</v>
      </c>
      <c r="T30" s="50">
        <f t="shared" si="36"/>
        <v>2830.7863636363545</v>
      </c>
      <c r="U30" s="24">
        <f t="shared" si="36"/>
        <v>0.69575397394630034</v>
      </c>
      <c r="V30" s="50">
        <f t="shared" si="36"/>
        <v>2830.7863636363545</v>
      </c>
      <c r="W30" s="24">
        <f t="shared" si="36"/>
        <v>0.69575397394630034</v>
      </c>
      <c r="X30" s="50">
        <f t="shared" si="36"/>
        <v>2830.7863636363545</v>
      </c>
      <c r="Y30" s="24">
        <f t="shared" si="36"/>
        <v>0.69575397394630034</v>
      </c>
      <c r="Z30" s="50">
        <f t="shared" si="36"/>
        <v>2830.7863636363545</v>
      </c>
      <c r="AA30" s="24">
        <f t="shared" si="36"/>
        <v>0.69575397394630034</v>
      </c>
      <c r="AB30" s="50">
        <f t="shared" si="36"/>
        <v>2830.7863636363545</v>
      </c>
      <c r="AC30" s="24">
        <f t="shared" si="36"/>
        <v>0.69575397394630034</v>
      </c>
      <c r="AD30" s="50">
        <f t="shared" si="36"/>
        <v>2830.7863636363545</v>
      </c>
      <c r="AE30" s="24">
        <f t="shared" si="36"/>
        <v>0.69575397394630034</v>
      </c>
      <c r="AF30" s="50">
        <f t="shared" si="36"/>
        <v>2830.7863636363545</v>
      </c>
      <c r="AG30" s="24">
        <f t="shared" si="36"/>
        <v>0.69575397394630034</v>
      </c>
      <c r="AH30" s="50">
        <f t="shared" si="36"/>
        <v>0</v>
      </c>
      <c r="AI30" s="24">
        <f t="shared" si="36"/>
        <v>0</v>
      </c>
      <c r="AJ30" s="50">
        <f t="shared" si="36"/>
        <v>2830.7863636363545</v>
      </c>
      <c r="AK30" s="24">
        <f t="shared" si="36"/>
        <v>0.69575397394630034</v>
      </c>
      <c r="AL30" s="50">
        <f t="shared" ref="AL30:BS30" si="37">AL26-AL32</f>
        <v>2830.7863636363545</v>
      </c>
      <c r="AM30" s="24">
        <f t="shared" si="37"/>
        <v>0.69575397394630034</v>
      </c>
      <c r="AN30" s="50">
        <f t="shared" si="37"/>
        <v>2830.7863636363545</v>
      </c>
      <c r="AO30" s="24">
        <f t="shared" si="37"/>
        <v>0.69575397394630034</v>
      </c>
      <c r="AP30" s="50">
        <f t="shared" si="37"/>
        <v>2830.7863636363545</v>
      </c>
      <c r="AQ30" s="24">
        <f t="shared" si="37"/>
        <v>0.69575397394630034</v>
      </c>
      <c r="AR30" s="50">
        <f t="shared" si="37"/>
        <v>430.78636363636542</v>
      </c>
      <c r="AS30" s="24">
        <f t="shared" si="37"/>
        <v>0.10587917487240617</v>
      </c>
      <c r="AT30" s="50">
        <f t="shared" si="37"/>
        <v>1894.8875000000007</v>
      </c>
      <c r="AU30" s="24">
        <f t="shared" si="37"/>
        <v>0.46572765972089103</v>
      </c>
      <c r="AV30" s="50">
        <f t="shared" si="37"/>
        <v>1894.8875000000007</v>
      </c>
      <c r="AW30" s="24">
        <f t="shared" si="37"/>
        <v>0.46572765972089103</v>
      </c>
      <c r="AX30" s="50">
        <f t="shared" si="37"/>
        <v>1894.8875000000007</v>
      </c>
      <c r="AY30" s="24">
        <f t="shared" si="37"/>
        <v>0.46572765972089103</v>
      </c>
      <c r="AZ30" s="50">
        <f t="shared" si="37"/>
        <v>1894.8875000000007</v>
      </c>
      <c r="BA30" s="24">
        <f t="shared" si="37"/>
        <v>0.46572765972089103</v>
      </c>
      <c r="BB30" s="50">
        <f t="shared" si="37"/>
        <v>0</v>
      </c>
      <c r="BC30" s="24">
        <f t="shared" si="37"/>
        <v>0</v>
      </c>
      <c r="BD30" s="50">
        <f t="shared" si="37"/>
        <v>0</v>
      </c>
      <c r="BE30" s="24">
        <f t="shared" si="37"/>
        <v>0</v>
      </c>
      <c r="BF30" s="50">
        <f t="shared" si="37"/>
        <v>0</v>
      </c>
      <c r="BG30" s="24">
        <f t="shared" si="37"/>
        <v>0</v>
      </c>
      <c r="BH30" s="50">
        <f t="shared" si="37"/>
        <v>0</v>
      </c>
      <c r="BI30" s="24">
        <f t="shared" si="37"/>
        <v>0</v>
      </c>
      <c r="BJ30" s="50">
        <f t="shared" si="37"/>
        <v>0</v>
      </c>
      <c r="BK30" s="24">
        <f t="shared" si="37"/>
        <v>0</v>
      </c>
      <c r="BL30" s="50">
        <f t="shared" si="37"/>
        <v>0</v>
      </c>
      <c r="BM30" s="24">
        <f t="shared" si="37"/>
        <v>0</v>
      </c>
      <c r="BN30" s="50">
        <f t="shared" si="37"/>
        <v>0</v>
      </c>
      <c r="BO30" s="24">
        <f t="shared" si="37"/>
        <v>0</v>
      </c>
      <c r="BP30" s="50">
        <f t="shared" si="37"/>
        <v>0</v>
      </c>
      <c r="BQ30" s="24">
        <f t="shared" si="37"/>
        <v>0</v>
      </c>
      <c r="BR30" s="50">
        <f t="shared" si="37"/>
        <v>0</v>
      </c>
      <c r="BS30" s="24">
        <f t="shared" si="37"/>
        <v>0</v>
      </c>
      <c r="BV30" s="50">
        <f t="shared" ref="BV30:BY30" si="38">BV26-BV32</f>
        <v>0</v>
      </c>
      <c r="BW30" s="24">
        <f t="shared" si="38"/>
        <v>0</v>
      </c>
      <c r="BX30" s="50">
        <f t="shared" si="38"/>
        <v>1424.030999999999</v>
      </c>
      <c r="BY30" s="24">
        <f t="shared" si="38"/>
        <v>0.34999999999999964</v>
      </c>
    </row>
    <row r="31" spans="1:77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17569.213636363635</v>
      </c>
      <c r="G31" s="55">
        <f>G32</f>
        <v>4.3181818181818183</v>
      </c>
      <c r="H31" s="54">
        <f>+H32</f>
        <v>17569.213636363635</v>
      </c>
      <c r="I31" s="55">
        <f>I32</f>
        <v>4.3181818181818183</v>
      </c>
      <c r="J31" s="54">
        <f>+J32</f>
        <v>17569.213636363635</v>
      </c>
      <c r="K31" s="55">
        <f>K32</f>
        <v>4.3181818181818183</v>
      </c>
      <c r="L31" s="54">
        <f>+L32</f>
        <v>17569.213636363635</v>
      </c>
      <c r="M31" s="55">
        <f>M32</f>
        <v>4.3181818181818183</v>
      </c>
      <c r="N31" s="54">
        <f>+N32</f>
        <v>17569.213636363635</v>
      </c>
      <c r="O31" s="55">
        <f>O32</f>
        <v>4.3181818181818183</v>
      </c>
      <c r="P31" s="54">
        <f>+P32</f>
        <v>17569.213636363635</v>
      </c>
      <c r="Q31" s="55">
        <f>Q32</f>
        <v>4.3181818181818183</v>
      </c>
      <c r="R31" s="54">
        <f>+R32</f>
        <v>17569.213636363635</v>
      </c>
      <c r="S31" s="55">
        <f>S32</f>
        <v>4.3181818181818183</v>
      </c>
      <c r="T31" s="54">
        <f>+T32</f>
        <v>17569.213636363635</v>
      </c>
      <c r="U31" s="55">
        <f>U32</f>
        <v>4.3181818181818183</v>
      </c>
      <c r="V31" s="54">
        <f>+V32</f>
        <v>17569.213636363635</v>
      </c>
      <c r="W31" s="55">
        <f>W32</f>
        <v>4.3181818181818183</v>
      </c>
      <c r="X31" s="54">
        <f>+X32</f>
        <v>17569.213636363635</v>
      </c>
      <c r="Y31" s="55">
        <f>Y32</f>
        <v>4.3181818181818183</v>
      </c>
      <c r="Z31" s="54">
        <f>+Z32</f>
        <v>17569.213636363635</v>
      </c>
      <c r="AA31" s="55">
        <f>AA32</f>
        <v>4.3181818181818183</v>
      </c>
      <c r="AB31" s="54">
        <f>+AB32</f>
        <v>17569.213636363635</v>
      </c>
      <c r="AC31" s="55">
        <f>AC32</f>
        <v>4.3181818181818183</v>
      </c>
      <c r="AD31" s="54">
        <f>+AD32</f>
        <v>17569.213636363635</v>
      </c>
      <c r="AE31" s="55">
        <f>AE32</f>
        <v>4.3181818181818183</v>
      </c>
      <c r="AF31" s="54">
        <f>+AF32</f>
        <v>17569.213636363635</v>
      </c>
      <c r="AG31" s="55">
        <f>AG32</f>
        <v>4.3181818181818183</v>
      </c>
      <c r="AH31" s="54">
        <f>+AH32</f>
        <v>17569.213636363635</v>
      </c>
      <c r="AI31" s="55">
        <f>AI32</f>
        <v>4.3181818181818183</v>
      </c>
      <c r="AJ31" s="54">
        <f>+AJ32</f>
        <v>17569.213636363635</v>
      </c>
      <c r="AK31" s="55">
        <f>AK32</f>
        <v>4.3181818181818183</v>
      </c>
      <c r="AL31" s="54">
        <f>+AL32</f>
        <v>17569.213636363635</v>
      </c>
      <c r="AM31" s="55">
        <f>AM32</f>
        <v>4.3181818181818183</v>
      </c>
      <c r="AN31" s="54">
        <f>+AN32</f>
        <v>17569.213636363635</v>
      </c>
      <c r="AO31" s="55">
        <f>AO32</f>
        <v>4.3181818181818183</v>
      </c>
      <c r="AP31" s="54">
        <f>+AP32</f>
        <v>17569.213636363635</v>
      </c>
      <c r="AQ31" s="55">
        <f>AQ32</f>
        <v>4.3181818181818183</v>
      </c>
      <c r="AR31" s="54">
        <f>+AR32</f>
        <v>17569.213636363635</v>
      </c>
      <c r="AS31" s="55">
        <f>AS32</f>
        <v>4.3181818181818183</v>
      </c>
      <c r="AT31" s="54">
        <f>+AT32</f>
        <v>16105.112499999999</v>
      </c>
      <c r="AU31" s="55">
        <f>AU32</f>
        <v>3.9583333333333335</v>
      </c>
      <c r="AV31" s="54">
        <f>+AV32</f>
        <v>16105.112499999999</v>
      </c>
      <c r="AW31" s="55">
        <f>AW32</f>
        <v>3.9583333333333335</v>
      </c>
      <c r="AX31" s="54">
        <f>+AX32</f>
        <v>16105.112499999999</v>
      </c>
      <c r="AY31" s="55">
        <f>AY32</f>
        <v>3.9583333333333335</v>
      </c>
      <c r="AZ31" s="54">
        <f>+AZ32</f>
        <v>16105.112499999999</v>
      </c>
      <c r="BA31" s="55">
        <f>BA32</f>
        <v>3.9583333333333335</v>
      </c>
      <c r="BB31" s="54">
        <f>+BB32</f>
        <v>19326.134999999998</v>
      </c>
      <c r="BC31" s="55">
        <f>BC32</f>
        <v>4.75</v>
      </c>
      <c r="BD31" s="54">
        <f>+BD32</f>
        <v>19326.134999999998</v>
      </c>
      <c r="BE31" s="55">
        <f>BE32</f>
        <v>4.75</v>
      </c>
      <c r="BF31" s="54">
        <f>+BF32</f>
        <v>19326.134999999998</v>
      </c>
      <c r="BG31" s="55">
        <f>BG32</f>
        <v>4.75</v>
      </c>
      <c r="BH31" s="54">
        <f>+BH32</f>
        <v>19326.134999999998</v>
      </c>
      <c r="BI31" s="55">
        <f>BI32</f>
        <v>4.75</v>
      </c>
      <c r="BJ31" s="54">
        <f>+BJ32</f>
        <v>19326.134999999998</v>
      </c>
      <c r="BK31" s="55">
        <f>BK32</f>
        <v>4.75</v>
      </c>
      <c r="BL31" s="54">
        <f>+BL32</f>
        <v>19326.134999999998</v>
      </c>
      <c r="BM31" s="55">
        <f>BM32</f>
        <v>4.75</v>
      </c>
      <c r="BN31" s="54">
        <f>+BN32</f>
        <v>19326.134999999998</v>
      </c>
      <c r="BO31" s="55">
        <f>BO32</f>
        <v>4.75</v>
      </c>
      <c r="BP31" s="54">
        <f>+BP32</f>
        <v>19326.134999999998</v>
      </c>
      <c r="BQ31" s="55">
        <f>BQ32</f>
        <v>4.75</v>
      </c>
      <c r="BR31" s="54">
        <f>+BR32</f>
        <v>19326.134999999998</v>
      </c>
      <c r="BS31" s="55">
        <f>BS32</f>
        <v>4.75</v>
      </c>
      <c r="BV31" s="54">
        <f>+BV32</f>
        <v>17042.137227272728</v>
      </c>
      <c r="BW31" s="55">
        <f>BW32</f>
        <v>4.1886363636363635</v>
      </c>
      <c r="BX31" s="54">
        <f>+BX32</f>
        <v>19326.134999999998</v>
      </c>
      <c r="BY31" s="55">
        <f>BY32</f>
        <v>4.75</v>
      </c>
    </row>
    <row r="32" spans="1:77" s="4" customFormat="1" ht="18" customHeight="1" x14ac:dyDescent="0.45">
      <c r="A32" s="561"/>
      <c r="B32" s="1194"/>
      <c r="C32" s="56" t="s">
        <v>45</v>
      </c>
      <c r="D32" s="52"/>
      <c r="E32" s="53"/>
      <c r="F32" s="54">
        <f>G32*F12</f>
        <v>17569.213636363635</v>
      </c>
      <c r="G32" s="55">
        <f>4.75*10/11</f>
        <v>4.3181818181818183</v>
      </c>
      <c r="H32" s="54">
        <f>I32*H12</f>
        <v>17569.213636363635</v>
      </c>
      <c r="I32" s="55">
        <f t="shared" ref="I32" si="39">4.75*10/11</f>
        <v>4.3181818181818183</v>
      </c>
      <c r="J32" s="54">
        <f>K32*J12</f>
        <v>17569.213636363635</v>
      </c>
      <c r="K32" s="55">
        <f t="shared" ref="K32" si="40">4.75*10/11</f>
        <v>4.3181818181818183</v>
      </c>
      <c r="L32" s="54">
        <f>M32*L12</f>
        <v>17569.213636363635</v>
      </c>
      <c r="M32" s="55">
        <f t="shared" ref="M32" si="41">4.75*10/11</f>
        <v>4.3181818181818183</v>
      </c>
      <c r="N32" s="54">
        <f>O32*N12</f>
        <v>17569.213636363635</v>
      </c>
      <c r="O32" s="55">
        <f t="shared" ref="O32" si="42">4.75*10/11</f>
        <v>4.3181818181818183</v>
      </c>
      <c r="P32" s="54">
        <f>Q32*P12</f>
        <v>17569.213636363635</v>
      </c>
      <c r="Q32" s="55">
        <f t="shared" ref="Q32" si="43">4.75*10/11</f>
        <v>4.3181818181818183</v>
      </c>
      <c r="R32" s="54">
        <f>S32*R12</f>
        <v>17569.213636363635</v>
      </c>
      <c r="S32" s="55">
        <f t="shared" ref="S32" si="44">4.75*10/11</f>
        <v>4.3181818181818183</v>
      </c>
      <c r="T32" s="54">
        <f>U32*T12</f>
        <v>17569.213636363635</v>
      </c>
      <c r="U32" s="55">
        <f t="shared" ref="U32" si="45">4.75*10/11</f>
        <v>4.3181818181818183</v>
      </c>
      <c r="V32" s="54">
        <f>W32*V12</f>
        <v>17569.213636363635</v>
      </c>
      <c r="W32" s="55">
        <f t="shared" ref="W32" si="46">4.75*10/11</f>
        <v>4.3181818181818183</v>
      </c>
      <c r="X32" s="54">
        <f>Y32*X12</f>
        <v>17569.213636363635</v>
      </c>
      <c r="Y32" s="55">
        <f t="shared" ref="Y32" si="47">4.75*10/11</f>
        <v>4.3181818181818183</v>
      </c>
      <c r="Z32" s="54">
        <f>AA32*Z12</f>
        <v>17569.213636363635</v>
      </c>
      <c r="AA32" s="55">
        <f t="shared" ref="AA32" si="48">4.75*10/11</f>
        <v>4.3181818181818183</v>
      </c>
      <c r="AB32" s="54">
        <f>AC32*AB12</f>
        <v>17569.213636363635</v>
      </c>
      <c r="AC32" s="55">
        <f t="shared" ref="AC32:AS32" si="49">4.75*10/11</f>
        <v>4.3181818181818183</v>
      </c>
      <c r="AD32" s="54">
        <f>AE32*AD12</f>
        <v>17569.213636363635</v>
      </c>
      <c r="AE32" s="55">
        <f t="shared" si="49"/>
        <v>4.3181818181818183</v>
      </c>
      <c r="AF32" s="54">
        <f>AG32*AF12</f>
        <v>17569.213636363635</v>
      </c>
      <c r="AG32" s="55">
        <f t="shared" si="49"/>
        <v>4.3181818181818183</v>
      </c>
      <c r="AH32" s="54">
        <f>AI32*AH12</f>
        <v>17569.213636363635</v>
      </c>
      <c r="AI32" s="55">
        <f t="shared" si="49"/>
        <v>4.3181818181818183</v>
      </c>
      <c r="AJ32" s="54">
        <f>AK32*AJ12</f>
        <v>17569.213636363635</v>
      </c>
      <c r="AK32" s="55">
        <f t="shared" si="49"/>
        <v>4.3181818181818183</v>
      </c>
      <c r="AL32" s="54">
        <f>AM32*AL12</f>
        <v>17569.213636363635</v>
      </c>
      <c r="AM32" s="55">
        <f t="shared" si="49"/>
        <v>4.3181818181818183</v>
      </c>
      <c r="AN32" s="54">
        <f>AO32*AN12</f>
        <v>17569.213636363635</v>
      </c>
      <c r="AO32" s="55">
        <f t="shared" si="49"/>
        <v>4.3181818181818183</v>
      </c>
      <c r="AP32" s="54">
        <f>AQ32*AP12</f>
        <v>17569.213636363635</v>
      </c>
      <c r="AQ32" s="55">
        <f t="shared" si="49"/>
        <v>4.3181818181818183</v>
      </c>
      <c r="AR32" s="54">
        <f>AS32*AR12</f>
        <v>17569.213636363635</v>
      </c>
      <c r="AS32" s="55">
        <f t="shared" si="49"/>
        <v>4.3181818181818183</v>
      </c>
      <c r="AT32" s="54">
        <f>AU32*AT12</f>
        <v>16105.112499999999</v>
      </c>
      <c r="AU32" s="55">
        <f>4.75*5/6</f>
        <v>3.9583333333333335</v>
      </c>
      <c r="AV32" s="54">
        <f>AW32*AV12</f>
        <v>16105.112499999999</v>
      </c>
      <c r="AW32" s="55">
        <f>4.75*5/6</f>
        <v>3.9583333333333335</v>
      </c>
      <c r="AX32" s="54">
        <f>AY32*AX12</f>
        <v>16105.112499999999</v>
      </c>
      <c r="AY32" s="55">
        <f>4.75*5/6</f>
        <v>3.9583333333333335</v>
      </c>
      <c r="AZ32" s="54">
        <f>BA32*AZ12</f>
        <v>16105.112499999999</v>
      </c>
      <c r="BA32" s="55">
        <f>4.75*5/6</f>
        <v>3.9583333333333335</v>
      </c>
      <c r="BB32" s="54">
        <f>BC32*BB12</f>
        <v>19326.134999999998</v>
      </c>
      <c r="BC32" s="55">
        <v>4.75</v>
      </c>
      <c r="BD32" s="54">
        <f>BE32*BD12</f>
        <v>19326.134999999998</v>
      </c>
      <c r="BE32" s="55">
        <v>4.75</v>
      </c>
      <c r="BF32" s="54">
        <f>BG32*BF12</f>
        <v>19326.134999999998</v>
      </c>
      <c r="BG32" s="55">
        <v>4.75</v>
      </c>
      <c r="BH32" s="54">
        <f>BI32*BH12</f>
        <v>19326.134999999998</v>
      </c>
      <c r="BI32" s="55">
        <v>4.75</v>
      </c>
      <c r="BJ32" s="54">
        <f>BK32*BJ12</f>
        <v>19326.134999999998</v>
      </c>
      <c r="BK32" s="55">
        <v>4.75</v>
      </c>
      <c r="BL32" s="54">
        <f>BM32*BL12</f>
        <v>19326.134999999998</v>
      </c>
      <c r="BM32" s="55">
        <v>4.75</v>
      </c>
      <c r="BN32" s="54">
        <f>BO32*BN12</f>
        <v>19326.134999999998</v>
      </c>
      <c r="BO32" s="55">
        <v>4.75</v>
      </c>
      <c r="BP32" s="54">
        <f>BQ32*BP12</f>
        <v>19326.134999999998</v>
      </c>
      <c r="BQ32" s="55">
        <v>4.75</v>
      </c>
      <c r="BR32" s="54">
        <f>BS32*BR12</f>
        <v>19326.134999999998</v>
      </c>
      <c r="BS32" s="55">
        <v>4.75</v>
      </c>
      <c r="BV32" s="54">
        <f t="shared" ref="BV32" si="50">BW32*BV12</f>
        <v>17042.137227272728</v>
      </c>
      <c r="BW32" s="55">
        <f>4.75*97%*10/11</f>
        <v>4.1886363636363635</v>
      </c>
      <c r="BX32" s="54">
        <f t="shared" ref="BX32" si="51">BY32*BX12</f>
        <v>19326.134999999998</v>
      </c>
      <c r="BY32" s="55">
        <v>4.75</v>
      </c>
    </row>
    <row r="33" spans="1:77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61"/>
      <c r="O33" s="41"/>
      <c r="P33" s="61"/>
      <c r="Q33" s="41"/>
      <c r="R33" s="61"/>
      <c r="S33" s="41"/>
      <c r="T33" s="61"/>
      <c r="U33" s="41"/>
      <c r="V33" s="61"/>
      <c r="W33" s="41"/>
      <c r="X33" s="61"/>
      <c r="Y33" s="41"/>
      <c r="Z33" s="61"/>
      <c r="AA33" s="41"/>
      <c r="AB33" s="61"/>
      <c r="AC33" s="41"/>
      <c r="AD33" s="61"/>
      <c r="AE33" s="41"/>
      <c r="AF33" s="61"/>
      <c r="AG33" s="41"/>
      <c r="AH33" s="61"/>
      <c r="AI33" s="41"/>
      <c r="AJ33" s="61"/>
      <c r="AK33" s="41"/>
      <c r="AL33" s="61"/>
      <c r="AM33" s="41"/>
      <c r="AN33" s="61"/>
      <c r="AO33" s="41"/>
      <c r="AP33" s="61"/>
      <c r="AQ33" s="41"/>
      <c r="AR33" s="61"/>
      <c r="AS33" s="41"/>
      <c r="AT33" s="61"/>
      <c r="AU33" s="41"/>
      <c r="AV33" s="61"/>
      <c r="AW33" s="41"/>
      <c r="AX33" s="61"/>
      <c r="AY33" s="41"/>
      <c r="AZ33" s="61"/>
      <c r="BA33" s="41"/>
      <c r="BB33" s="61"/>
      <c r="BC33" s="41"/>
      <c r="BD33" s="61"/>
      <c r="BE33" s="41"/>
      <c r="BF33" s="61"/>
      <c r="BG33" s="41"/>
      <c r="BH33" s="61"/>
      <c r="BI33" s="41"/>
      <c r="BJ33" s="61"/>
      <c r="BK33" s="41"/>
      <c r="BL33" s="61"/>
      <c r="BM33" s="41"/>
      <c r="BN33" s="61"/>
      <c r="BO33" s="41"/>
      <c r="BP33" s="61"/>
      <c r="BQ33" s="41"/>
      <c r="BR33" s="61"/>
      <c r="BS33" s="41"/>
      <c r="BV33" s="61"/>
      <c r="BW33" s="41"/>
      <c r="BX33" s="61"/>
      <c r="BY33" s="41"/>
    </row>
    <row r="34" spans="1:77" s="4" customFormat="1" ht="18" hidden="1" customHeight="1" outlineLevel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60"/>
      <c r="O34" s="43"/>
      <c r="P34" s="60"/>
      <c r="Q34" s="43"/>
      <c r="R34" s="60"/>
      <c r="S34" s="43"/>
      <c r="T34" s="60"/>
      <c r="U34" s="43"/>
      <c r="V34" s="60"/>
      <c r="W34" s="43"/>
      <c r="X34" s="60"/>
      <c r="Y34" s="43"/>
      <c r="Z34" s="60"/>
      <c r="AA34" s="43"/>
      <c r="AB34" s="60"/>
      <c r="AC34" s="43"/>
      <c r="AD34" s="60"/>
      <c r="AE34" s="43"/>
      <c r="AF34" s="60"/>
      <c r="AG34" s="43"/>
      <c r="AH34" s="60"/>
      <c r="AI34" s="43"/>
      <c r="AJ34" s="60"/>
      <c r="AK34" s="43"/>
      <c r="AL34" s="60"/>
      <c r="AM34" s="43"/>
      <c r="AN34" s="60"/>
      <c r="AO34" s="43"/>
      <c r="AP34" s="60"/>
      <c r="AQ34" s="43"/>
      <c r="AR34" s="60"/>
      <c r="AS34" s="43"/>
      <c r="AT34" s="60"/>
      <c r="AU34" s="43"/>
      <c r="AV34" s="60"/>
      <c r="AW34" s="43"/>
      <c r="AX34" s="60"/>
      <c r="AY34" s="43"/>
      <c r="AZ34" s="60"/>
      <c r="BA34" s="43"/>
      <c r="BB34" s="60"/>
      <c r="BC34" s="43"/>
      <c r="BD34" s="60"/>
      <c r="BE34" s="43"/>
      <c r="BF34" s="60"/>
      <c r="BG34" s="43"/>
      <c r="BH34" s="60"/>
      <c r="BI34" s="43"/>
      <c r="BJ34" s="60"/>
      <c r="BK34" s="43"/>
      <c r="BL34" s="60"/>
      <c r="BM34" s="43"/>
      <c r="BN34" s="60"/>
      <c r="BO34" s="43"/>
      <c r="BP34" s="60"/>
      <c r="BQ34" s="43"/>
      <c r="BR34" s="60"/>
      <c r="BS34" s="43"/>
      <c r="BV34" s="60"/>
      <c r="BW34" s="43"/>
      <c r="BX34" s="60"/>
      <c r="BY34" s="43"/>
    </row>
    <row r="35" spans="1:77" s="49" customFormat="1" ht="18" hidden="1" customHeight="1" outlineLevel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47"/>
      <c r="M35" s="48"/>
      <c r="N35" s="47"/>
      <c r="O35" s="48"/>
      <c r="P35" s="47"/>
      <c r="Q35" s="48"/>
      <c r="R35" s="47"/>
      <c r="S35" s="48"/>
      <c r="T35" s="47"/>
      <c r="U35" s="48"/>
      <c r="V35" s="47"/>
      <c r="W35" s="48"/>
      <c r="X35" s="47"/>
      <c r="Y35" s="48"/>
      <c r="Z35" s="47"/>
      <c r="AA35" s="48"/>
      <c r="AB35" s="47"/>
      <c r="AC35" s="48"/>
      <c r="AD35" s="47"/>
      <c r="AE35" s="48"/>
      <c r="AF35" s="47"/>
      <c r="AG35" s="48"/>
      <c r="AH35" s="47"/>
      <c r="AI35" s="48"/>
      <c r="AJ35" s="47"/>
      <c r="AK35" s="48"/>
      <c r="AL35" s="47"/>
      <c r="AM35" s="48"/>
      <c r="AN35" s="47"/>
      <c r="AO35" s="48"/>
      <c r="AP35" s="47"/>
      <c r="AQ35" s="1144">
        <f>4.75*9/11</f>
        <v>3.8863636363636362</v>
      </c>
      <c r="AR35" s="47"/>
      <c r="AS35" s="1144"/>
      <c r="AT35" s="47"/>
      <c r="AU35" s="1144"/>
      <c r="AV35" s="47"/>
      <c r="AW35" s="1144"/>
      <c r="AX35" s="47"/>
      <c r="AY35" s="1144"/>
      <c r="AZ35" s="47"/>
      <c r="BA35" s="1144"/>
      <c r="BB35" s="47"/>
      <c r="BC35" s="1144"/>
      <c r="BD35" s="47"/>
      <c r="BE35" s="1144"/>
      <c r="BF35" s="47"/>
      <c r="BG35" s="1144"/>
      <c r="BH35" s="47"/>
      <c r="BI35" s="1144"/>
      <c r="BJ35" s="47"/>
      <c r="BK35" s="1144"/>
      <c r="BL35" s="47"/>
      <c r="BM35" s="1144"/>
      <c r="BN35" s="47"/>
      <c r="BO35" s="1144"/>
      <c r="BP35" s="47"/>
      <c r="BQ35" s="1144"/>
      <c r="BR35" s="47"/>
      <c r="BS35" s="1144"/>
      <c r="BV35" s="47"/>
      <c r="BW35" s="1144"/>
      <c r="BX35" s="47"/>
      <c r="BY35" s="1144"/>
    </row>
    <row r="36" spans="1:77" s="4" customFormat="1" ht="18" hidden="1" customHeight="1" outlineLevel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50"/>
      <c r="M36" s="24"/>
      <c r="N36" s="50"/>
      <c r="O36" s="24"/>
      <c r="P36" s="50"/>
      <c r="Q36" s="24"/>
      <c r="R36" s="50"/>
      <c r="S36" s="24"/>
      <c r="T36" s="50"/>
      <c r="U36" s="24"/>
      <c r="V36" s="50"/>
      <c r="W36" s="24"/>
      <c r="X36" s="50"/>
      <c r="Y36" s="24"/>
      <c r="Z36" s="50"/>
      <c r="AA36" s="24"/>
      <c r="AB36" s="50"/>
      <c r="AC36" s="24"/>
      <c r="AD36" s="50"/>
      <c r="AE36" s="24"/>
      <c r="AF36" s="50"/>
      <c r="AG36" s="24"/>
      <c r="AH36" s="50"/>
      <c r="AI36" s="24"/>
      <c r="AJ36" s="50"/>
      <c r="AK36" s="24"/>
      <c r="AL36" s="50"/>
      <c r="AM36" s="24"/>
      <c r="AN36" s="50"/>
      <c r="AO36" s="24"/>
      <c r="AP36" s="50"/>
      <c r="AQ36" s="24"/>
      <c r="AR36" s="50"/>
      <c r="AS36" s="24"/>
      <c r="AT36" s="50"/>
      <c r="AU36" s="24"/>
      <c r="AV36" s="50"/>
      <c r="AW36" s="24"/>
      <c r="AX36" s="50"/>
      <c r="AY36" s="24"/>
      <c r="AZ36" s="50"/>
      <c r="BA36" s="24"/>
      <c r="BB36" s="50"/>
      <c r="BC36" s="24"/>
      <c r="BD36" s="50"/>
      <c r="BE36" s="24"/>
      <c r="BF36" s="50"/>
      <c r="BG36" s="24"/>
      <c r="BH36" s="50"/>
      <c r="BI36" s="24"/>
      <c r="BJ36" s="50"/>
      <c r="BK36" s="24"/>
      <c r="BL36" s="50"/>
      <c r="BM36" s="24"/>
      <c r="BN36" s="50"/>
      <c r="BO36" s="24"/>
      <c r="BP36" s="50"/>
      <c r="BQ36" s="24"/>
      <c r="BR36" s="50"/>
      <c r="BS36" s="24"/>
      <c r="BV36" s="50"/>
      <c r="BW36" s="24"/>
      <c r="BX36" s="50"/>
      <c r="BY36" s="24"/>
    </row>
    <row r="37" spans="1:77" s="4" customFormat="1" ht="18" hidden="1" customHeight="1" outlineLevel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V37" s="54"/>
      <c r="BW37" s="55"/>
      <c r="BX37" s="54"/>
      <c r="BY37" s="55"/>
    </row>
    <row r="38" spans="1:77" s="4" customFormat="1" ht="18" hidden="1" customHeight="1" outlineLevel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V38" s="54"/>
      <c r="BW38" s="55"/>
      <c r="BX38" s="54"/>
      <c r="BY38" s="55"/>
    </row>
    <row r="39" spans="1:77" s="4" customFormat="1" ht="18" hidden="1" customHeight="1" outlineLevel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61"/>
      <c r="O39" s="41"/>
      <c r="P39" s="61"/>
      <c r="Q39" s="41"/>
      <c r="R39" s="61"/>
      <c r="S39" s="41"/>
      <c r="T39" s="61"/>
      <c r="U39" s="41"/>
      <c r="V39" s="61"/>
      <c r="W39" s="41"/>
      <c r="X39" s="61"/>
      <c r="Y39" s="41"/>
      <c r="Z39" s="61"/>
      <c r="AA39" s="41"/>
      <c r="AB39" s="61"/>
      <c r="AC39" s="41"/>
      <c r="AD39" s="61"/>
      <c r="AE39" s="41"/>
      <c r="AF39" s="61"/>
      <c r="AG39" s="41"/>
      <c r="AH39" s="61"/>
      <c r="AI39" s="41"/>
      <c r="AJ39" s="61"/>
      <c r="AK39" s="41"/>
      <c r="AL39" s="61"/>
      <c r="AM39" s="41"/>
      <c r="AN39" s="61"/>
      <c r="AO39" s="41"/>
      <c r="AP39" s="61"/>
      <c r="AQ39" s="41"/>
      <c r="AR39" s="61"/>
      <c r="AS39" s="41"/>
      <c r="AT39" s="61"/>
      <c r="AU39" s="41"/>
      <c r="AV39" s="61"/>
      <c r="AW39" s="41"/>
      <c r="AX39" s="61"/>
      <c r="AY39" s="41"/>
      <c r="AZ39" s="61"/>
      <c r="BA39" s="41"/>
      <c r="BB39" s="61"/>
      <c r="BC39" s="41"/>
      <c r="BD39" s="61"/>
      <c r="BE39" s="41"/>
      <c r="BF39" s="61"/>
      <c r="BG39" s="41"/>
      <c r="BH39" s="61"/>
      <c r="BI39" s="41"/>
      <c r="BJ39" s="61"/>
      <c r="BK39" s="41"/>
      <c r="BL39" s="61"/>
      <c r="BM39" s="41"/>
      <c r="BN39" s="61"/>
      <c r="BO39" s="41"/>
      <c r="BP39" s="61"/>
      <c r="BQ39" s="41"/>
      <c r="BR39" s="61"/>
      <c r="BS39" s="41"/>
      <c r="BV39" s="61"/>
      <c r="BW39" s="41"/>
      <c r="BX39" s="61"/>
      <c r="BY39" s="41"/>
    </row>
    <row r="40" spans="1:77" s="4" customFormat="1" ht="18" customHeight="1" outlineLevel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60"/>
      <c r="O40" s="43"/>
      <c r="P40" s="60"/>
      <c r="Q40" s="43"/>
      <c r="R40" s="60"/>
      <c r="S40" s="43"/>
      <c r="T40" s="60"/>
      <c r="U40" s="43"/>
      <c r="V40" s="60"/>
      <c r="W40" s="43"/>
      <c r="X40" s="60"/>
      <c r="Y40" s="43"/>
      <c r="Z40" s="60"/>
      <c r="AA40" s="43"/>
      <c r="AB40" s="60"/>
      <c r="AC40" s="43"/>
      <c r="AD40" s="60"/>
      <c r="AE40" s="43"/>
      <c r="AF40" s="60"/>
      <c r="AG40" s="43"/>
      <c r="AH40" s="60"/>
      <c r="AI40" s="43"/>
      <c r="AJ40" s="60"/>
      <c r="AK40" s="43"/>
      <c r="AL40" s="60"/>
      <c r="AM40" s="43"/>
      <c r="AN40" s="60"/>
      <c r="AO40" s="43"/>
      <c r="AP40" s="60"/>
      <c r="AQ40" s="43"/>
      <c r="AR40" s="60"/>
      <c r="AS40" s="43"/>
      <c r="AT40" s="60"/>
      <c r="AU40" s="43"/>
      <c r="AV40" s="60"/>
      <c r="AW40" s="43"/>
      <c r="AX40" s="60"/>
      <c r="AY40" s="43"/>
      <c r="AZ40" s="60"/>
      <c r="BA40" s="43"/>
      <c r="BB40" s="60"/>
      <c r="BC40" s="43"/>
      <c r="BD40" s="60"/>
      <c r="BE40" s="43"/>
      <c r="BF40" s="60"/>
      <c r="BG40" s="43"/>
      <c r="BH40" s="60"/>
      <c r="BI40" s="43"/>
      <c r="BJ40" s="60"/>
      <c r="BK40" s="43"/>
      <c r="BL40" s="60"/>
      <c r="BM40" s="43"/>
      <c r="BN40" s="60"/>
      <c r="BO40" s="43"/>
      <c r="BP40" s="60"/>
      <c r="BQ40" s="43"/>
      <c r="BR40" s="60"/>
      <c r="BS40" s="43"/>
      <c r="BV40" s="60"/>
      <c r="BW40" s="43"/>
      <c r="BX40" s="60"/>
      <c r="BY40" s="43"/>
    </row>
    <row r="41" spans="1:77" s="4" customFormat="1" ht="18" customHeight="1" outlineLevel="1" x14ac:dyDescent="0.45">
      <c r="A41" s="561"/>
      <c r="B41" s="1194"/>
      <c r="C41" s="71" t="s">
        <v>177</v>
      </c>
      <c r="D41" s="16"/>
      <c r="E41" s="16"/>
      <c r="F41" s="430">
        <f>F42-G54*F12</f>
        <v>166.05008466942263</v>
      </c>
      <c r="G41" s="24">
        <f>G42-G54</f>
        <v>4.0811983471074509E-2</v>
      </c>
      <c r="H41" s="430">
        <f>H42-I54*H12</f>
        <v>166.05008466942263</v>
      </c>
      <c r="I41" s="24">
        <f>I42-I54</f>
        <v>4.0811983471074509E-2</v>
      </c>
      <c r="J41" s="430">
        <f>J42-K54*J12</f>
        <v>166.05008466942263</v>
      </c>
      <c r="K41" s="24">
        <f>K42-K54</f>
        <v>4.0811983471074509E-2</v>
      </c>
      <c r="L41" s="430">
        <f>L42-M54*L12</f>
        <v>166.05008466942263</v>
      </c>
      <c r="M41" s="24">
        <f>M42-M54</f>
        <v>4.0811983471074509E-2</v>
      </c>
      <c r="N41" s="430">
        <f>N42-O54*N12</f>
        <v>166.05008466942263</v>
      </c>
      <c r="O41" s="24">
        <f>O42-O54</f>
        <v>4.0811983471074509E-2</v>
      </c>
      <c r="P41" s="430">
        <f>P42-Q54*P12</f>
        <v>166.05008466942263</v>
      </c>
      <c r="Q41" s="24">
        <f>Q42-Q54</f>
        <v>4.0811983471074509E-2</v>
      </c>
      <c r="R41" s="430">
        <f>R42-S54*R12</f>
        <v>166.05008466942263</v>
      </c>
      <c r="S41" s="24">
        <f>S42-S54</f>
        <v>4.0811983471074509E-2</v>
      </c>
      <c r="T41" s="430">
        <f>T42-U54*T12</f>
        <v>166.05008466942263</v>
      </c>
      <c r="U41" s="24">
        <f>U42-U54</f>
        <v>4.0811983471074509E-2</v>
      </c>
      <c r="V41" s="430">
        <f>V42-W54*V12</f>
        <v>166.05008466942263</v>
      </c>
      <c r="W41" s="24">
        <f>W42-W54</f>
        <v>4.0811983471074509E-2</v>
      </c>
      <c r="X41" s="430">
        <f>X42-Y54*X12</f>
        <v>166.05008466942263</v>
      </c>
      <c r="Y41" s="24">
        <f>Y42-Y54</f>
        <v>4.0811983471074509E-2</v>
      </c>
      <c r="Z41" s="430">
        <f>Z42-AA54*Z12</f>
        <v>166.05008466942263</v>
      </c>
      <c r="AA41" s="24">
        <f>AA42-AA54</f>
        <v>4.0811983471074509E-2</v>
      </c>
      <c r="AB41" s="430">
        <f>AB42-AC54*AB12</f>
        <v>104.76117485778423</v>
      </c>
      <c r="AC41" s="24">
        <f>AC42-AC54</f>
        <v>2.5748323737491863E-2</v>
      </c>
      <c r="AD41" s="430">
        <f>AD42-AE54*AD12</f>
        <v>166.05008466942263</v>
      </c>
      <c r="AE41" s="24">
        <f>AE42-AE54</f>
        <v>4.0811983471074509E-2</v>
      </c>
      <c r="AF41" s="430">
        <f>AF42-AG54*AF12</f>
        <v>166.05008466942263</v>
      </c>
      <c r="AG41" s="24">
        <f>AG42-AG54</f>
        <v>4.0811983471074509E-2</v>
      </c>
      <c r="AH41" s="430">
        <f>AH42-AI54*AH12</f>
        <v>166.05008466942263</v>
      </c>
      <c r="AI41" s="24">
        <f>AI42-AI54</f>
        <v>4.0811983471074509E-2</v>
      </c>
      <c r="AJ41" s="430">
        <f>AJ42-AK54*AJ12</f>
        <v>166.05008466942263</v>
      </c>
      <c r="AK41" s="24">
        <f>AK42-AK54</f>
        <v>4.0811983471074509E-2</v>
      </c>
      <c r="AL41" s="430">
        <f>AL42-AM54*AL12</f>
        <v>166.05008466942263</v>
      </c>
      <c r="AM41" s="24">
        <f>AM42-AM54</f>
        <v>4.0811983471074509E-2</v>
      </c>
      <c r="AN41" s="430">
        <f>AN42-AO54*AN12</f>
        <v>166.05008466942263</v>
      </c>
      <c r="AO41" s="24">
        <f>AO42-AO54</f>
        <v>4.0811983471074509E-2</v>
      </c>
      <c r="AP41" s="430">
        <f>AP42-AQ54*AP12</f>
        <v>166.05008466942263</v>
      </c>
      <c r="AQ41" s="24">
        <f>AQ42-AQ54</f>
        <v>4.0811983471074509E-2</v>
      </c>
      <c r="AR41" s="430">
        <f>AR42-AS54*AR12</f>
        <v>166.05008466942263</v>
      </c>
      <c r="AS41" s="24">
        <f>AS42-AS54</f>
        <v>4.0811983471074509E-2</v>
      </c>
      <c r="AT41" s="430">
        <f>AT42-AU54*AT12</f>
        <v>32.949981363637107</v>
      </c>
      <c r="AU41" s="24">
        <f>AU42-AU54</f>
        <v>8.0984848484852989E-3</v>
      </c>
      <c r="AV41" s="430">
        <f>AV42-AW54*AV12</f>
        <v>32.949981363637107</v>
      </c>
      <c r="AW41" s="24">
        <f>AW42-AW54</f>
        <v>8.0984848484852989E-3</v>
      </c>
      <c r="AX41" s="430">
        <f>AX42-AY54*AX12</f>
        <v>32.949981363637107</v>
      </c>
      <c r="AY41" s="24">
        <f>AY42-AY54</f>
        <v>8.0984848484852989E-3</v>
      </c>
      <c r="AZ41" s="430">
        <f>AZ42-BA54*AZ12</f>
        <v>32.94998136363688</v>
      </c>
      <c r="BA41" s="24">
        <f>BA42-BA54</f>
        <v>8.0984848484852434E-3</v>
      </c>
      <c r="BB41" s="430">
        <f>BB42-BC54*BB12</f>
        <v>325.77020863636358</v>
      </c>
      <c r="BC41" s="24">
        <f>BC42-BC54</f>
        <v>8.0068181818182482E-2</v>
      </c>
      <c r="BD41" s="430">
        <f>BD42-BE54*BD12</f>
        <v>324.78654558680705</v>
      </c>
      <c r="BE41" s="24">
        <f>BE42-BE54</f>
        <v>7.9826415966635145E-2</v>
      </c>
      <c r="BF41" s="430">
        <f>BF42-BG54*BF12</f>
        <v>324.78654558680705</v>
      </c>
      <c r="BG41" s="24">
        <f>BG42-BG54</f>
        <v>7.9826415966635145E-2</v>
      </c>
      <c r="BH41" s="430">
        <f>BH42-BI54*BH12</f>
        <v>324.78654558680705</v>
      </c>
      <c r="BI41" s="24">
        <f>BI42-BI54</f>
        <v>7.9826415966635145E-2</v>
      </c>
      <c r="BJ41" s="430">
        <f>BJ42-BK54*BJ12</f>
        <v>324.78654558680705</v>
      </c>
      <c r="BK41" s="24">
        <f>BK42-BK54</f>
        <v>7.9826415966635145E-2</v>
      </c>
      <c r="BL41" s="430">
        <f>BL42-BM54*BL12</f>
        <v>324.78654558680705</v>
      </c>
      <c r="BM41" s="24">
        <f>BM42-BM54</f>
        <v>7.9826415966635145E-2</v>
      </c>
      <c r="BN41" s="430">
        <f>BN42-BO54*BN12</f>
        <v>324.78654558680705</v>
      </c>
      <c r="BO41" s="24">
        <f>BO42-BO54</f>
        <v>7.9826415966635145E-2</v>
      </c>
      <c r="BP41" s="430">
        <f>BP42-BQ54*BP12</f>
        <v>324.78654558680705</v>
      </c>
      <c r="BQ41" s="24">
        <f>BQ42-BQ54</f>
        <v>7.9826415966635145E-2</v>
      </c>
      <c r="BR41" s="430">
        <f>BR42-BS54*BR12</f>
        <v>324.78654558680705</v>
      </c>
      <c r="BS41" s="24">
        <f>BS42-BS54</f>
        <v>7.9826415966635145E-2</v>
      </c>
      <c r="BV41" s="430">
        <f t="shared" ref="BV41" si="52">BV42-BW54*BV12</f>
        <v>118.13404747934078</v>
      </c>
      <c r="BW41" s="24">
        <f>BW42-BW54</f>
        <v>2.9035123966942356E-2</v>
      </c>
      <c r="BX41" s="430">
        <f t="shared" ref="BX41" si="53">BX42-BY54*BX12</f>
        <v>324.78654558680705</v>
      </c>
      <c r="BY41" s="24">
        <f t="shared" ref="BY41" si="54">BY42-BY54</f>
        <v>7.9826415966635145E-2</v>
      </c>
    </row>
    <row r="42" spans="1:77" s="4" customFormat="1" ht="18" customHeight="1" outlineLevel="1" x14ac:dyDescent="0.45">
      <c r="A42" s="561"/>
      <c r="B42" s="1194"/>
      <c r="C42" s="71" t="s">
        <v>378</v>
      </c>
      <c r="D42" s="16"/>
      <c r="E42" s="16"/>
      <c r="F42" s="42">
        <f t="shared" ref="F42:AK42" si="55">F32-F32/1.1</f>
        <v>1597.2012396694226</v>
      </c>
      <c r="G42" s="24">
        <f t="shared" si="55"/>
        <v>0.39256198347107452</v>
      </c>
      <c r="H42" s="42">
        <f t="shared" si="55"/>
        <v>1597.2012396694226</v>
      </c>
      <c r="I42" s="24">
        <f t="shared" si="55"/>
        <v>0.39256198347107452</v>
      </c>
      <c r="J42" s="42">
        <f t="shared" si="55"/>
        <v>1597.2012396694226</v>
      </c>
      <c r="K42" s="24">
        <f t="shared" si="55"/>
        <v>0.39256198347107452</v>
      </c>
      <c r="L42" s="42">
        <f t="shared" si="55"/>
        <v>1597.2012396694226</v>
      </c>
      <c r="M42" s="24">
        <f t="shared" si="55"/>
        <v>0.39256198347107452</v>
      </c>
      <c r="N42" s="42">
        <f t="shared" si="55"/>
        <v>1597.2012396694226</v>
      </c>
      <c r="O42" s="24">
        <f t="shared" si="55"/>
        <v>0.39256198347107452</v>
      </c>
      <c r="P42" s="42">
        <f t="shared" si="55"/>
        <v>1597.2012396694226</v>
      </c>
      <c r="Q42" s="24">
        <f t="shared" si="55"/>
        <v>0.39256198347107452</v>
      </c>
      <c r="R42" s="42">
        <f t="shared" si="55"/>
        <v>1597.2012396694226</v>
      </c>
      <c r="S42" s="24">
        <f t="shared" si="55"/>
        <v>0.39256198347107452</v>
      </c>
      <c r="T42" s="42">
        <f t="shared" si="55"/>
        <v>1597.2012396694226</v>
      </c>
      <c r="U42" s="24">
        <f t="shared" si="55"/>
        <v>0.39256198347107452</v>
      </c>
      <c r="V42" s="42">
        <f t="shared" si="55"/>
        <v>1597.2012396694226</v>
      </c>
      <c r="W42" s="24">
        <f t="shared" si="55"/>
        <v>0.39256198347107452</v>
      </c>
      <c r="X42" s="42">
        <f t="shared" si="55"/>
        <v>1597.2012396694226</v>
      </c>
      <c r="Y42" s="24">
        <f t="shared" si="55"/>
        <v>0.39256198347107452</v>
      </c>
      <c r="Z42" s="42">
        <f t="shared" si="55"/>
        <v>1597.2012396694226</v>
      </c>
      <c r="AA42" s="24">
        <f t="shared" si="55"/>
        <v>0.39256198347107452</v>
      </c>
      <c r="AB42" s="42">
        <f t="shared" si="55"/>
        <v>1597.2012396694226</v>
      </c>
      <c r="AC42" s="24">
        <f t="shared" si="55"/>
        <v>0.39256198347107452</v>
      </c>
      <c r="AD42" s="42">
        <f t="shared" si="55"/>
        <v>1597.2012396694226</v>
      </c>
      <c r="AE42" s="24">
        <f t="shared" si="55"/>
        <v>0.39256198347107452</v>
      </c>
      <c r="AF42" s="42">
        <f t="shared" si="55"/>
        <v>1597.2012396694226</v>
      </c>
      <c r="AG42" s="24">
        <f t="shared" si="55"/>
        <v>0.39256198347107452</v>
      </c>
      <c r="AH42" s="42">
        <f t="shared" si="55"/>
        <v>1597.2012396694226</v>
      </c>
      <c r="AI42" s="24">
        <f t="shared" si="55"/>
        <v>0.39256198347107452</v>
      </c>
      <c r="AJ42" s="42">
        <f t="shared" si="55"/>
        <v>1597.2012396694226</v>
      </c>
      <c r="AK42" s="24">
        <f t="shared" si="55"/>
        <v>0.39256198347107452</v>
      </c>
      <c r="AL42" s="42">
        <f t="shared" ref="AL42:BS42" si="56">AL32-AL32/1.1</f>
        <v>1597.2012396694226</v>
      </c>
      <c r="AM42" s="24">
        <f t="shared" si="56"/>
        <v>0.39256198347107452</v>
      </c>
      <c r="AN42" s="42">
        <f t="shared" si="56"/>
        <v>1597.2012396694226</v>
      </c>
      <c r="AO42" s="24">
        <f t="shared" si="56"/>
        <v>0.39256198347107452</v>
      </c>
      <c r="AP42" s="42">
        <f t="shared" si="56"/>
        <v>1597.2012396694226</v>
      </c>
      <c r="AQ42" s="24">
        <f t="shared" si="56"/>
        <v>0.39256198347107452</v>
      </c>
      <c r="AR42" s="42">
        <f t="shared" si="56"/>
        <v>1597.2012396694226</v>
      </c>
      <c r="AS42" s="24">
        <f t="shared" si="56"/>
        <v>0.39256198347107452</v>
      </c>
      <c r="AT42" s="42">
        <f t="shared" si="56"/>
        <v>1464.1011363636371</v>
      </c>
      <c r="AU42" s="24">
        <f t="shared" si="56"/>
        <v>0.35984848484848531</v>
      </c>
      <c r="AV42" s="42">
        <f t="shared" si="56"/>
        <v>1464.1011363636371</v>
      </c>
      <c r="AW42" s="24">
        <f t="shared" si="56"/>
        <v>0.35984848484848531</v>
      </c>
      <c r="AX42" s="42">
        <f t="shared" si="56"/>
        <v>1464.1011363636371</v>
      </c>
      <c r="AY42" s="24">
        <f t="shared" si="56"/>
        <v>0.35984848484848531</v>
      </c>
      <c r="AZ42" s="42">
        <f t="shared" si="56"/>
        <v>1464.1011363636371</v>
      </c>
      <c r="BA42" s="24">
        <f t="shared" si="56"/>
        <v>0.35984848484848531</v>
      </c>
      <c r="BB42" s="42">
        <f t="shared" si="56"/>
        <v>1756.9213636363638</v>
      </c>
      <c r="BC42" s="24">
        <f t="shared" si="56"/>
        <v>0.43181818181818254</v>
      </c>
      <c r="BD42" s="42">
        <f t="shared" si="56"/>
        <v>1756.9213636363638</v>
      </c>
      <c r="BE42" s="24">
        <f t="shared" si="56"/>
        <v>0.43181818181818254</v>
      </c>
      <c r="BF42" s="42">
        <f t="shared" si="56"/>
        <v>1756.9213636363638</v>
      </c>
      <c r="BG42" s="24">
        <f t="shared" si="56"/>
        <v>0.43181818181818254</v>
      </c>
      <c r="BH42" s="42">
        <f t="shared" si="56"/>
        <v>1756.9213636363638</v>
      </c>
      <c r="BI42" s="24">
        <f t="shared" si="56"/>
        <v>0.43181818181818254</v>
      </c>
      <c r="BJ42" s="42">
        <f t="shared" si="56"/>
        <v>1756.9213636363638</v>
      </c>
      <c r="BK42" s="24">
        <f t="shared" si="56"/>
        <v>0.43181818181818254</v>
      </c>
      <c r="BL42" s="42">
        <f t="shared" si="56"/>
        <v>1756.9213636363638</v>
      </c>
      <c r="BM42" s="24">
        <f t="shared" si="56"/>
        <v>0.43181818181818254</v>
      </c>
      <c r="BN42" s="42">
        <f t="shared" si="56"/>
        <v>1756.9213636363638</v>
      </c>
      <c r="BO42" s="24">
        <f t="shared" si="56"/>
        <v>0.43181818181818254</v>
      </c>
      <c r="BP42" s="42">
        <f t="shared" si="56"/>
        <v>1756.9213636363638</v>
      </c>
      <c r="BQ42" s="24">
        <f t="shared" si="56"/>
        <v>0.43181818181818254</v>
      </c>
      <c r="BR42" s="42">
        <f t="shared" si="56"/>
        <v>1756.9213636363638</v>
      </c>
      <c r="BS42" s="24">
        <f t="shared" si="56"/>
        <v>0.43181818181818254</v>
      </c>
      <c r="BV42" s="42">
        <f t="shared" ref="BV42:BY42" si="57">BV32-BV32/1.1</f>
        <v>1549.285202479341</v>
      </c>
      <c r="BW42" s="24">
        <f t="shared" si="57"/>
        <v>0.38078512396694242</v>
      </c>
      <c r="BX42" s="42">
        <f t="shared" si="57"/>
        <v>1756.9213636363638</v>
      </c>
      <c r="BY42" s="24">
        <f t="shared" si="57"/>
        <v>0.43181818181818254</v>
      </c>
    </row>
    <row r="43" spans="1:77" s="65" customFormat="1" ht="18" customHeight="1" outlineLevel="1" x14ac:dyDescent="0.45">
      <c r="A43" s="561"/>
      <c r="B43" s="1194"/>
      <c r="C43" s="62" t="s">
        <v>47</v>
      </c>
      <c r="D43" s="63"/>
      <c r="E43" s="64"/>
      <c r="F43" s="47">
        <f t="shared" ref="F43:AK43" si="58">+F44/F32</f>
        <v>7.6698564593301773E-3</v>
      </c>
      <c r="G43" s="48">
        <f t="shared" si="58"/>
        <v>7.6698564593303386E-3</v>
      </c>
      <c r="H43" s="47">
        <f t="shared" si="58"/>
        <v>7.6698564593301773E-3</v>
      </c>
      <c r="I43" s="48">
        <f t="shared" si="58"/>
        <v>7.6698564593303386E-3</v>
      </c>
      <c r="J43" s="47">
        <f t="shared" si="58"/>
        <v>7.6698564593301773E-3</v>
      </c>
      <c r="K43" s="48">
        <f t="shared" si="58"/>
        <v>7.6698564593303386E-3</v>
      </c>
      <c r="L43" s="47">
        <f t="shared" si="58"/>
        <v>7.6698564593301773E-3</v>
      </c>
      <c r="M43" s="48">
        <f t="shared" si="58"/>
        <v>7.6698564593303386E-3</v>
      </c>
      <c r="N43" s="47">
        <f t="shared" si="58"/>
        <v>7.6698564593301773E-3</v>
      </c>
      <c r="O43" s="48">
        <f t="shared" si="58"/>
        <v>7.6698564593303386E-3</v>
      </c>
      <c r="P43" s="47">
        <f t="shared" si="58"/>
        <v>7.6698564593301773E-3</v>
      </c>
      <c r="Q43" s="48">
        <f t="shared" si="58"/>
        <v>7.6698564593303386E-3</v>
      </c>
      <c r="R43" s="47">
        <f t="shared" si="58"/>
        <v>7.6698564593301773E-3</v>
      </c>
      <c r="S43" s="48">
        <f t="shared" si="58"/>
        <v>7.6698564593303386E-3</v>
      </c>
      <c r="T43" s="47">
        <f t="shared" si="58"/>
        <v>7.6698564593301773E-3</v>
      </c>
      <c r="U43" s="48">
        <f t="shared" si="58"/>
        <v>7.6698564593303386E-3</v>
      </c>
      <c r="V43" s="47">
        <f t="shared" si="58"/>
        <v>7.6698564593301773E-3</v>
      </c>
      <c r="W43" s="48">
        <f t="shared" si="58"/>
        <v>7.6698564593303386E-3</v>
      </c>
      <c r="X43" s="47">
        <f t="shared" si="58"/>
        <v>7.6698564593301773E-3</v>
      </c>
      <c r="Y43" s="48">
        <f t="shared" si="58"/>
        <v>7.6698564593303386E-3</v>
      </c>
      <c r="Z43" s="47">
        <f t="shared" si="58"/>
        <v>7.6698564593301773E-3</v>
      </c>
      <c r="AA43" s="48">
        <f t="shared" si="58"/>
        <v>7.6698564593303386E-3</v>
      </c>
      <c r="AB43" s="47">
        <f t="shared" si="58"/>
        <v>-2.7214408186861185E-2</v>
      </c>
      <c r="AC43" s="48">
        <f t="shared" si="58"/>
        <v>-2.721440818686114E-2</v>
      </c>
      <c r="AD43" s="47">
        <f t="shared" si="58"/>
        <v>7.6698564593301773E-3</v>
      </c>
      <c r="AE43" s="48">
        <f t="shared" si="58"/>
        <v>7.6698564593303386E-3</v>
      </c>
      <c r="AF43" s="47">
        <f t="shared" si="58"/>
        <v>7.6698564593301773E-3</v>
      </c>
      <c r="AG43" s="48">
        <f t="shared" si="58"/>
        <v>7.6698564593303386E-3</v>
      </c>
      <c r="AH43" s="47">
        <f t="shared" si="58"/>
        <v>7.6698564593301773E-3</v>
      </c>
      <c r="AI43" s="48">
        <f t="shared" si="58"/>
        <v>7.6698564593303386E-3</v>
      </c>
      <c r="AJ43" s="47">
        <f t="shared" si="58"/>
        <v>7.6698564593301773E-3</v>
      </c>
      <c r="AK43" s="48">
        <f t="shared" si="58"/>
        <v>7.6698564593303386E-3</v>
      </c>
      <c r="AL43" s="47">
        <f t="shared" ref="AL43:BQ43" si="59">+AL44/AL32</f>
        <v>7.6698564593301773E-3</v>
      </c>
      <c r="AM43" s="48">
        <f t="shared" si="59"/>
        <v>7.6698564593303386E-3</v>
      </c>
      <c r="AN43" s="47">
        <f t="shared" si="59"/>
        <v>7.6698564593301773E-3</v>
      </c>
      <c r="AO43" s="48">
        <f t="shared" si="59"/>
        <v>7.6698564593303386E-3</v>
      </c>
      <c r="AP43" s="47">
        <f t="shared" si="59"/>
        <v>7.6698564593301773E-3</v>
      </c>
      <c r="AQ43" s="48">
        <f t="shared" si="59"/>
        <v>7.6698564593303386E-3</v>
      </c>
      <c r="AR43" s="47">
        <f t="shared" si="59"/>
        <v>7.6698564593301773E-3</v>
      </c>
      <c r="AS43" s="48">
        <f t="shared" si="59"/>
        <v>7.6698564593303386E-3</v>
      </c>
      <c r="AT43" s="47">
        <f t="shared" si="59"/>
        <v>-7.4277511961722359E-2</v>
      </c>
      <c r="AU43" s="48">
        <f t="shared" si="59"/>
        <v>-7.4277511961722359E-2</v>
      </c>
      <c r="AV43" s="47">
        <f t="shared" si="59"/>
        <v>-7.4277511961722359E-2</v>
      </c>
      <c r="AW43" s="48">
        <f t="shared" si="59"/>
        <v>-7.4277511961722359E-2</v>
      </c>
      <c r="AX43" s="47">
        <f t="shared" si="59"/>
        <v>-7.4277511961722359E-2</v>
      </c>
      <c r="AY43" s="48">
        <f t="shared" si="59"/>
        <v>-7.4277511961722359E-2</v>
      </c>
      <c r="AZ43" s="47">
        <f t="shared" si="59"/>
        <v>-7.4277511961722803E-2</v>
      </c>
      <c r="BA43" s="48">
        <f t="shared" si="59"/>
        <v>-7.4277511961722789E-2</v>
      </c>
      <c r="BB43" s="47">
        <f t="shared" si="59"/>
        <v>8.9617224880382512E-2</v>
      </c>
      <c r="BC43" s="48">
        <f t="shared" si="59"/>
        <v>8.9617224880382429E-2</v>
      </c>
      <c r="BD43" s="47">
        <f t="shared" si="59"/>
        <v>8.6050122749378746E-2</v>
      </c>
      <c r="BE43" s="48">
        <f t="shared" si="59"/>
        <v>8.6050122749378732E-2</v>
      </c>
      <c r="BF43" s="47">
        <f t="shared" si="59"/>
        <v>8.6050122749378746E-2</v>
      </c>
      <c r="BG43" s="48">
        <f t="shared" si="59"/>
        <v>8.6050122749378732E-2</v>
      </c>
      <c r="BH43" s="47">
        <f t="shared" si="59"/>
        <v>8.6050122749378746E-2</v>
      </c>
      <c r="BI43" s="48">
        <f t="shared" si="59"/>
        <v>8.6050122749378732E-2</v>
      </c>
      <c r="BJ43" s="47">
        <f t="shared" si="59"/>
        <v>8.6050122749378746E-2</v>
      </c>
      <c r="BK43" s="48">
        <f t="shared" si="59"/>
        <v>8.6050122749378732E-2</v>
      </c>
      <c r="BL43" s="47">
        <f t="shared" si="59"/>
        <v>8.6050122749378746E-2</v>
      </c>
      <c r="BM43" s="48">
        <f t="shared" si="59"/>
        <v>8.6050122749378732E-2</v>
      </c>
      <c r="BN43" s="47">
        <f t="shared" si="59"/>
        <v>8.6050122749378746E-2</v>
      </c>
      <c r="BO43" s="48">
        <f t="shared" si="59"/>
        <v>8.6050122749378732E-2</v>
      </c>
      <c r="BP43" s="47">
        <f t="shared" si="59"/>
        <v>8.6050122749378746E-2</v>
      </c>
      <c r="BQ43" s="48">
        <f t="shared" si="59"/>
        <v>8.6050122749378732E-2</v>
      </c>
      <c r="BR43" s="47">
        <f t="shared" ref="BR43:BS43" si="60">+BR44/BR32</f>
        <v>8.6050122749378746E-2</v>
      </c>
      <c r="BS43" s="48">
        <f t="shared" si="60"/>
        <v>8.6050122749378732E-2</v>
      </c>
      <c r="BV43" s="47">
        <f t="shared" ref="BV43:BY43" si="61">+BV44/BV32</f>
        <v>-2.0209145168450963E-2</v>
      </c>
      <c r="BW43" s="48">
        <f t="shared" si="61"/>
        <v>-2.0209145168450963E-2</v>
      </c>
      <c r="BX43" s="47">
        <f t="shared" si="61"/>
        <v>8.6050122749378746E-2</v>
      </c>
      <c r="BY43" s="48">
        <f t="shared" si="61"/>
        <v>8.6050122749378732E-2</v>
      </c>
    </row>
    <row r="44" spans="1:77" s="4" customFormat="1" ht="18" customHeight="1" outlineLevel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AK44" si="62">+F32-F45-F41</f>
        <v>134.75334669421545</v>
      </c>
      <c r="G44" s="24">
        <f t="shared" si="62"/>
        <v>3.3119834710744644E-2</v>
      </c>
      <c r="H44" s="42">
        <f t="shared" si="62"/>
        <v>134.75334669421545</v>
      </c>
      <c r="I44" s="24">
        <f t="shared" si="62"/>
        <v>3.3119834710744644E-2</v>
      </c>
      <c r="J44" s="42">
        <f t="shared" si="62"/>
        <v>134.75334669421545</v>
      </c>
      <c r="K44" s="24">
        <f t="shared" si="62"/>
        <v>3.3119834710744644E-2</v>
      </c>
      <c r="L44" s="42">
        <f t="shared" si="62"/>
        <v>134.75334669421545</v>
      </c>
      <c r="M44" s="24">
        <f t="shared" si="62"/>
        <v>3.3119834710744644E-2</v>
      </c>
      <c r="N44" s="42">
        <f t="shared" si="62"/>
        <v>134.75334669421545</v>
      </c>
      <c r="O44" s="24">
        <f t="shared" si="62"/>
        <v>3.3119834710744644E-2</v>
      </c>
      <c r="P44" s="42">
        <f t="shared" si="62"/>
        <v>134.75334669421545</v>
      </c>
      <c r="Q44" s="24">
        <f t="shared" si="62"/>
        <v>3.3119834710744644E-2</v>
      </c>
      <c r="R44" s="42">
        <f t="shared" si="62"/>
        <v>134.75334669421545</v>
      </c>
      <c r="S44" s="24">
        <f t="shared" si="62"/>
        <v>3.3119834710744644E-2</v>
      </c>
      <c r="T44" s="42">
        <f t="shared" si="62"/>
        <v>134.75334669421545</v>
      </c>
      <c r="U44" s="24">
        <f t="shared" si="62"/>
        <v>3.3119834710744644E-2</v>
      </c>
      <c r="V44" s="42">
        <f t="shared" si="62"/>
        <v>134.75334669421545</v>
      </c>
      <c r="W44" s="24">
        <f t="shared" si="62"/>
        <v>3.3119834710744644E-2</v>
      </c>
      <c r="X44" s="42">
        <f t="shared" si="62"/>
        <v>134.75334669421545</v>
      </c>
      <c r="Y44" s="24">
        <f t="shared" si="62"/>
        <v>3.3119834710744644E-2</v>
      </c>
      <c r="Z44" s="42">
        <f t="shared" si="62"/>
        <v>134.75334669421545</v>
      </c>
      <c r="AA44" s="24">
        <f t="shared" si="62"/>
        <v>3.3119834710744644E-2</v>
      </c>
      <c r="AB44" s="42">
        <f t="shared" si="62"/>
        <v>-478.13575142216769</v>
      </c>
      <c r="AC44" s="24">
        <f t="shared" si="62"/>
        <v>-0.11751676262508221</v>
      </c>
      <c r="AD44" s="42">
        <f t="shared" si="62"/>
        <v>134.75334669421545</v>
      </c>
      <c r="AE44" s="24">
        <f t="shared" si="62"/>
        <v>3.3119834710744644E-2</v>
      </c>
      <c r="AF44" s="42">
        <f t="shared" si="62"/>
        <v>134.75334669421545</v>
      </c>
      <c r="AG44" s="24">
        <f t="shared" si="62"/>
        <v>3.3119834710744644E-2</v>
      </c>
      <c r="AH44" s="42">
        <f t="shared" si="62"/>
        <v>134.75334669421545</v>
      </c>
      <c r="AI44" s="24">
        <f t="shared" si="62"/>
        <v>3.3119834710744644E-2</v>
      </c>
      <c r="AJ44" s="42">
        <f t="shared" si="62"/>
        <v>134.75334669421545</v>
      </c>
      <c r="AK44" s="24">
        <f t="shared" si="62"/>
        <v>3.3119834710744644E-2</v>
      </c>
      <c r="AL44" s="42">
        <f t="shared" ref="AL44:BQ44" si="63">+AL32-AL45-AL41</f>
        <v>134.75334669421545</v>
      </c>
      <c r="AM44" s="24">
        <f t="shared" si="63"/>
        <v>3.3119834710744644E-2</v>
      </c>
      <c r="AN44" s="42">
        <f t="shared" si="63"/>
        <v>134.75334669421545</v>
      </c>
      <c r="AO44" s="24">
        <f t="shared" si="63"/>
        <v>3.3119834710744644E-2</v>
      </c>
      <c r="AP44" s="42">
        <f t="shared" si="63"/>
        <v>134.75334669421545</v>
      </c>
      <c r="AQ44" s="24">
        <f t="shared" si="63"/>
        <v>3.3119834710744644E-2</v>
      </c>
      <c r="AR44" s="42">
        <f t="shared" si="63"/>
        <v>134.75334669421545</v>
      </c>
      <c r="AS44" s="24">
        <f t="shared" si="63"/>
        <v>3.3119834710744644E-2</v>
      </c>
      <c r="AT44" s="42">
        <f t="shared" si="63"/>
        <v>-1196.2476863636343</v>
      </c>
      <c r="AU44" s="24">
        <f t="shared" si="63"/>
        <v>-0.29401515151515101</v>
      </c>
      <c r="AV44" s="42">
        <f t="shared" si="63"/>
        <v>-1196.2476863636343</v>
      </c>
      <c r="AW44" s="24">
        <f t="shared" si="63"/>
        <v>-0.29401515151515101</v>
      </c>
      <c r="AX44" s="42">
        <f t="shared" si="63"/>
        <v>-1196.2476863636343</v>
      </c>
      <c r="AY44" s="24">
        <f t="shared" si="63"/>
        <v>-0.29401515151515101</v>
      </c>
      <c r="AZ44" s="42">
        <f t="shared" si="63"/>
        <v>-1196.2476863636414</v>
      </c>
      <c r="BA44" s="24">
        <f t="shared" si="63"/>
        <v>-0.29401515151515273</v>
      </c>
      <c r="BB44" s="42">
        <f t="shared" si="63"/>
        <v>1731.9545863636311</v>
      </c>
      <c r="BC44" s="24">
        <f t="shared" si="63"/>
        <v>0.42568181818181655</v>
      </c>
      <c r="BD44" s="42">
        <f t="shared" si="63"/>
        <v>1663.0162890210647</v>
      </c>
      <c r="BE44" s="24">
        <f t="shared" si="63"/>
        <v>0.40873808305954901</v>
      </c>
      <c r="BF44" s="42">
        <f t="shared" si="63"/>
        <v>1663.0162890210647</v>
      </c>
      <c r="BG44" s="24">
        <f t="shared" si="63"/>
        <v>0.40873808305954901</v>
      </c>
      <c r="BH44" s="42">
        <f t="shared" si="63"/>
        <v>1663.0162890210647</v>
      </c>
      <c r="BI44" s="24">
        <f t="shared" si="63"/>
        <v>0.40873808305954901</v>
      </c>
      <c r="BJ44" s="42">
        <f t="shared" si="63"/>
        <v>1663.0162890210647</v>
      </c>
      <c r="BK44" s="24">
        <f t="shared" si="63"/>
        <v>0.40873808305954901</v>
      </c>
      <c r="BL44" s="42">
        <f t="shared" si="63"/>
        <v>1663.0162890210647</v>
      </c>
      <c r="BM44" s="24">
        <f t="shared" si="63"/>
        <v>0.40873808305954901</v>
      </c>
      <c r="BN44" s="42">
        <f t="shared" si="63"/>
        <v>1663.0162890210647</v>
      </c>
      <c r="BO44" s="24">
        <f t="shared" si="63"/>
        <v>0.40873808305954901</v>
      </c>
      <c r="BP44" s="42">
        <f t="shared" si="63"/>
        <v>1663.0162890210647</v>
      </c>
      <c r="BQ44" s="24">
        <f t="shared" si="63"/>
        <v>0.40873808305954901</v>
      </c>
      <c r="BR44" s="42">
        <f t="shared" ref="BR44:BS44" si="64">+BR32-BR45-BR41</f>
        <v>1663.0162890210647</v>
      </c>
      <c r="BS44" s="24">
        <f t="shared" si="64"/>
        <v>0.40873808305954901</v>
      </c>
      <c r="BV44" s="42">
        <f t="shared" ref="BV44:BY44" si="65">+BV32-BV45-BV41</f>
        <v>-344.40702520661694</v>
      </c>
      <c r="BW44" s="24">
        <f t="shared" si="65"/>
        <v>-8.4648760330579831E-2</v>
      </c>
      <c r="BX44" s="42">
        <f t="shared" si="65"/>
        <v>1663.0162890210647</v>
      </c>
      <c r="BY44" s="24">
        <f t="shared" si="65"/>
        <v>0.40873808305954901</v>
      </c>
    </row>
    <row r="45" spans="1:77" s="4" customFormat="1" ht="18" customHeight="1" outlineLevel="1" x14ac:dyDescent="0.45">
      <c r="A45" s="561"/>
      <c r="B45" s="1194"/>
      <c r="C45" s="19" t="s">
        <v>49</v>
      </c>
      <c r="D45" s="20"/>
      <c r="E45" s="30"/>
      <c r="F45" s="66">
        <f>+G49*F12</f>
        <v>17268.410204999996</v>
      </c>
      <c r="G45" s="32">
        <f>+G49</f>
        <v>4.2442499999999992</v>
      </c>
      <c r="H45" s="66">
        <f>+I49*H12</f>
        <v>17268.410204999996</v>
      </c>
      <c r="I45" s="32">
        <f>+I49</f>
        <v>4.2442499999999992</v>
      </c>
      <c r="J45" s="66">
        <f>+K49*J12</f>
        <v>17268.410204999996</v>
      </c>
      <c r="K45" s="32">
        <f>+K49</f>
        <v>4.2442499999999992</v>
      </c>
      <c r="L45" s="66">
        <f>+M49*L12</f>
        <v>17268.410204999996</v>
      </c>
      <c r="M45" s="32">
        <f>+M49</f>
        <v>4.2442499999999992</v>
      </c>
      <c r="N45" s="66">
        <f>+O49*N12</f>
        <v>17268.410204999996</v>
      </c>
      <c r="O45" s="32">
        <f>+O49</f>
        <v>4.2442499999999992</v>
      </c>
      <c r="P45" s="66">
        <f>+Q49*P12</f>
        <v>17268.410204999996</v>
      </c>
      <c r="Q45" s="32">
        <f>+Q49</f>
        <v>4.2442499999999992</v>
      </c>
      <c r="R45" s="66">
        <f>+S49*R12</f>
        <v>17268.410204999996</v>
      </c>
      <c r="S45" s="32">
        <f>+S49</f>
        <v>4.2442499999999992</v>
      </c>
      <c r="T45" s="66">
        <f>+U49*T12</f>
        <v>17268.410204999996</v>
      </c>
      <c r="U45" s="32">
        <f>+U49</f>
        <v>4.2442499999999992</v>
      </c>
      <c r="V45" s="66">
        <f>+W49*V12</f>
        <v>17268.410204999996</v>
      </c>
      <c r="W45" s="32">
        <f>+W49</f>
        <v>4.2442499999999992</v>
      </c>
      <c r="X45" s="66">
        <f>+Y49*X12</f>
        <v>17268.410204999996</v>
      </c>
      <c r="Y45" s="32">
        <f>+Y49</f>
        <v>4.2442499999999992</v>
      </c>
      <c r="Z45" s="66">
        <f>+AA49*Z12</f>
        <v>17268.410204999996</v>
      </c>
      <c r="AA45" s="32">
        <f>+AA49</f>
        <v>4.2442499999999992</v>
      </c>
      <c r="AB45" s="66">
        <f>+AC49*AB12</f>
        <v>17942.588212928018</v>
      </c>
      <c r="AC45" s="32">
        <f>+AC49</f>
        <v>4.4099502570694087</v>
      </c>
      <c r="AD45" s="66">
        <f>+AE49*AD12</f>
        <v>17268.410204999996</v>
      </c>
      <c r="AE45" s="32">
        <f>+AE49</f>
        <v>4.2442499999999992</v>
      </c>
      <c r="AF45" s="66">
        <f>+AG49*AF12</f>
        <v>17268.410204999996</v>
      </c>
      <c r="AG45" s="32">
        <f>+AG49</f>
        <v>4.2442499999999992</v>
      </c>
      <c r="AH45" s="66">
        <f>+AI49*AH12</f>
        <v>17268.410204999996</v>
      </c>
      <c r="AI45" s="32">
        <f>+AI49</f>
        <v>4.2442499999999992</v>
      </c>
      <c r="AJ45" s="66">
        <f>+AK49*AJ12</f>
        <v>17268.410204999996</v>
      </c>
      <c r="AK45" s="32">
        <f>+AK49</f>
        <v>4.2442499999999992</v>
      </c>
      <c r="AL45" s="66">
        <f>+AM49*AL12</f>
        <v>17268.410204999996</v>
      </c>
      <c r="AM45" s="32">
        <f>+AM49</f>
        <v>4.2442499999999992</v>
      </c>
      <c r="AN45" s="66">
        <f>+AO49*AN12</f>
        <v>17268.410204999996</v>
      </c>
      <c r="AO45" s="32">
        <f>+AO49</f>
        <v>4.2442499999999992</v>
      </c>
      <c r="AP45" s="66">
        <f>+AQ49*AP12</f>
        <v>17268.410204999996</v>
      </c>
      <c r="AQ45" s="32">
        <f>+AQ49</f>
        <v>4.2442499999999992</v>
      </c>
      <c r="AR45" s="66">
        <f>+AS49*AR12</f>
        <v>17268.410204999996</v>
      </c>
      <c r="AS45" s="32">
        <f>+AS49</f>
        <v>4.2442499999999992</v>
      </c>
      <c r="AT45" s="66">
        <f>+AU49*AT12</f>
        <v>17268.410204999996</v>
      </c>
      <c r="AU45" s="32">
        <f>+AU49</f>
        <v>4.2442499999999992</v>
      </c>
      <c r="AV45" s="66">
        <f>+AW49*AV12</f>
        <v>17268.410204999996</v>
      </c>
      <c r="AW45" s="32">
        <f>+AW49</f>
        <v>4.2442499999999992</v>
      </c>
      <c r="AX45" s="66">
        <f>+AY49*AX12</f>
        <v>17268.410204999996</v>
      </c>
      <c r="AY45" s="32">
        <f>+AY49</f>
        <v>4.2442499999999992</v>
      </c>
      <c r="AZ45" s="66">
        <f>+BA49*AZ12</f>
        <v>17268.410205000004</v>
      </c>
      <c r="BA45" s="32">
        <f>+BA49</f>
        <v>4.244250000000001</v>
      </c>
      <c r="BB45" s="66">
        <f>+BC49*BB12</f>
        <v>17268.410205000004</v>
      </c>
      <c r="BC45" s="32">
        <f>+BC49</f>
        <v>4.244250000000001</v>
      </c>
      <c r="BD45" s="66">
        <f>+BE49*BD12</f>
        <v>17338.332165392127</v>
      </c>
      <c r="BE45" s="32">
        <f>+BE49</f>
        <v>4.2614355009738158</v>
      </c>
      <c r="BF45" s="66">
        <f>+BG49*BF12</f>
        <v>17338.332165392127</v>
      </c>
      <c r="BG45" s="32">
        <f>+BG49</f>
        <v>4.2614355009738158</v>
      </c>
      <c r="BH45" s="66">
        <f>+BI49*BH12</f>
        <v>17338.332165392127</v>
      </c>
      <c r="BI45" s="32">
        <f>+BI49</f>
        <v>4.2614355009738158</v>
      </c>
      <c r="BJ45" s="66">
        <f>+BK49*BJ12</f>
        <v>17338.332165392127</v>
      </c>
      <c r="BK45" s="32">
        <f>+BK49</f>
        <v>4.2614355009738158</v>
      </c>
      <c r="BL45" s="66">
        <f>+BM49*BL12</f>
        <v>17338.332165392127</v>
      </c>
      <c r="BM45" s="32">
        <f>+BM49</f>
        <v>4.2614355009738158</v>
      </c>
      <c r="BN45" s="66">
        <f>+BO49*BN12</f>
        <v>17338.332165392127</v>
      </c>
      <c r="BO45" s="32">
        <f>+BO49</f>
        <v>4.2614355009738158</v>
      </c>
      <c r="BP45" s="66">
        <f>+BQ49*BP12</f>
        <v>17338.332165392127</v>
      </c>
      <c r="BQ45" s="32">
        <f>+BQ49</f>
        <v>4.2614355009738158</v>
      </c>
      <c r="BR45" s="66">
        <f>+BS49*BR12</f>
        <v>17338.332165392127</v>
      </c>
      <c r="BS45" s="32">
        <f>+BS49</f>
        <v>4.2614355009738158</v>
      </c>
      <c r="BV45" s="66">
        <f t="shared" ref="BV45" si="66">+BW49*BV12</f>
        <v>17268.410205000004</v>
      </c>
      <c r="BW45" s="32">
        <f>+BW49</f>
        <v>4.244250000000001</v>
      </c>
      <c r="BX45" s="66">
        <f t="shared" ref="BX45" si="67">+BY49*BX12</f>
        <v>17338.332165392127</v>
      </c>
      <c r="BY45" s="32">
        <f t="shared" ref="BY45" si="68">+BY49</f>
        <v>4.2614355009738158</v>
      </c>
    </row>
    <row r="46" spans="1:77" s="4" customFormat="1" ht="18" customHeight="1" outlineLevel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27">
        <v>0</v>
      </c>
      <c r="O46" s="41"/>
      <c r="P46" s="27">
        <v>0</v>
      </c>
      <c r="Q46" s="41"/>
      <c r="R46" s="27">
        <v>0</v>
      </c>
      <c r="S46" s="41"/>
      <c r="T46" s="27">
        <v>0</v>
      </c>
      <c r="U46" s="41"/>
      <c r="V46" s="27">
        <v>0</v>
      </c>
      <c r="W46" s="41"/>
      <c r="X46" s="27">
        <v>0</v>
      </c>
      <c r="Y46" s="41"/>
      <c r="Z46" s="27">
        <v>0</v>
      </c>
      <c r="AA46" s="41"/>
      <c r="AB46" s="27">
        <v>0</v>
      </c>
      <c r="AC46" s="41"/>
      <c r="AD46" s="27">
        <v>0</v>
      </c>
      <c r="AE46" s="41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27">
        <v>0</v>
      </c>
      <c r="AO46" s="41"/>
      <c r="AP46" s="27">
        <v>0</v>
      </c>
      <c r="AQ46" s="41"/>
      <c r="AR46" s="27">
        <v>0</v>
      </c>
      <c r="AS46" s="41"/>
      <c r="AT46" s="27">
        <v>0</v>
      </c>
      <c r="AU46" s="41"/>
      <c r="AV46" s="27">
        <v>0</v>
      </c>
      <c r="AW46" s="41"/>
      <c r="AX46" s="27">
        <v>0</v>
      </c>
      <c r="AY46" s="41"/>
      <c r="AZ46" s="27">
        <v>0</v>
      </c>
      <c r="BA46" s="41"/>
      <c r="BB46" s="27">
        <v>0</v>
      </c>
      <c r="BC46" s="41"/>
      <c r="BD46" s="27">
        <v>0</v>
      </c>
      <c r="BE46" s="41"/>
      <c r="BF46" s="27">
        <v>0</v>
      </c>
      <c r="BG46" s="41"/>
      <c r="BH46" s="27">
        <v>0</v>
      </c>
      <c r="BI46" s="41"/>
      <c r="BJ46" s="27">
        <v>0</v>
      </c>
      <c r="BK46" s="41"/>
      <c r="BL46" s="27">
        <v>0</v>
      </c>
      <c r="BM46" s="41"/>
      <c r="BN46" s="27">
        <v>0</v>
      </c>
      <c r="BO46" s="41"/>
      <c r="BP46" s="27">
        <v>0</v>
      </c>
      <c r="BQ46" s="41"/>
      <c r="BR46" s="27">
        <v>0</v>
      </c>
      <c r="BS46" s="41"/>
      <c r="BV46" s="27">
        <v>0</v>
      </c>
      <c r="BW46" s="41"/>
      <c r="BX46" s="27">
        <v>0</v>
      </c>
      <c r="BY46" s="41"/>
    </row>
    <row r="47" spans="1:77" s="4" customFormat="1" ht="18" customHeight="1" outlineLevel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60"/>
      <c r="O47" s="68"/>
      <c r="P47" s="60"/>
      <c r="Q47" s="68"/>
      <c r="R47" s="60"/>
      <c r="S47" s="68"/>
      <c r="T47" s="60"/>
      <c r="U47" s="68"/>
      <c r="V47" s="60"/>
      <c r="W47" s="68"/>
      <c r="X47" s="60"/>
      <c r="Y47" s="68"/>
      <c r="Z47" s="60"/>
      <c r="AA47" s="68"/>
      <c r="AB47" s="60"/>
      <c r="AC47" s="68"/>
      <c r="AD47" s="60"/>
      <c r="AE47" s="68"/>
      <c r="AF47" s="60"/>
      <c r="AG47" s="68"/>
      <c r="AH47" s="60"/>
      <c r="AI47" s="68"/>
      <c r="AJ47" s="60"/>
      <c r="AK47" s="68"/>
      <c r="AL47" s="60"/>
      <c r="AM47" s="68"/>
      <c r="AN47" s="60"/>
      <c r="AO47" s="68"/>
      <c r="AP47" s="60"/>
      <c r="AQ47" s="68"/>
      <c r="AR47" s="60"/>
      <c r="AS47" s="68"/>
      <c r="AT47" s="60"/>
      <c r="AU47" s="68"/>
      <c r="AV47" s="60"/>
      <c r="AW47" s="68"/>
      <c r="AX47" s="60"/>
      <c r="AY47" s="68"/>
      <c r="AZ47" s="60"/>
      <c r="BA47" s="68"/>
      <c r="BB47" s="60"/>
      <c r="BC47" s="68"/>
      <c r="BD47" s="60"/>
      <c r="BE47" s="68"/>
      <c r="BF47" s="60"/>
      <c r="BG47" s="68"/>
      <c r="BH47" s="60"/>
      <c r="BI47" s="68"/>
      <c r="BJ47" s="60"/>
      <c r="BK47" s="68"/>
      <c r="BL47" s="60"/>
      <c r="BM47" s="68"/>
      <c r="BN47" s="60"/>
      <c r="BO47" s="68"/>
      <c r="BP47" s="60"/>
      <c r="BQ47" s="68"/>
      <c r="BR47" s="60"/>
      <c r="BS47" s="68"/>
      <c r="BV47" s="60"/>
      <c r="BW47" s="68"/>
      <c r="BX47" s="60"/>
      <c r="BY47" s="68"/>
    </row>
    <row r="48" spans="1:77" s="4" customFormat="1" ht="18" customHeight="1" outlineLevel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AK48" si="69">+F49/F10</f>
        <v>1439.0341837499998</v>
      </c>
      <c r="G48" s="70">
        <f t="shared" si="69"/>
        <v>0.35368749999999993</v>
      </c>
      <c r="H48" s="69">
        <f t="shared" si="69"/>
        <v>1439.0341837499998</v>
      </c>
      <c r="I48" s="70">
        <f t="shared" si="69"/>
        <v>0.35368749999999993</v>
      </c>
      <c r="J48" s="69">
        <f t="shared" si="69"/>
        <v>1439.0341837499998</v>
      </c>
      <c r="K48" s="70">
        <f t="shared" si="69"/>
        <v>0.35368749999999993</v>
      </c>
      <c r="L48" s="69">
        <f t="shared" si="69"/>
        <v>1439.0341837499998</v>
      </c>
      <c r="M48" s="70">
        <f t="shared" si="69"/>
        <v>0.35368749999999993</v>
      </c>
      <c r="N48" s="69">
        <f t="shared" si="69"/>
        <v>1439.0341837499998</v>
      </c>
      <c r="O48" s="70">
        <f t="shared" si="69"/>
        <v>0.35368749999999993</v>
      </c>
      <c r="P48" s="69">
        <f t="shared" si="69"/>
        <v>1439.0341837499998</v>
      </c>
      <c r="Q48" s="70">
        <f t="shared" si="69"/>
        <v>0.35368749999999993</v>
      </c>
      <c r="R48" s="69">
        <f t="shared" si="69"/>
        <v>1439.0341837499998</v>
      </c>
      <c r="S48" s="70">
        <f t="shared" si="69"/>
        <v>0.35368749999999993</v>
      </c>
      <c r="T48" s="69">
        <f t="shared" si="69"/>
        <v>1439.0341837499998</v>
      </c>
      <c r="U48" s="70">
        <f t="shared" si="69"/>
        <v>0.35368749999999993</v>
      </c>
      <c r="V48" s="69">
        <f t="shared" si="69"/>
        <v>1439.0341837499998</v>
      </c>
      <c r="W48" s="70">
        <f t="shared" si="69"/>
        <v>0.35368749999999993</v>
      </c>
      <c r="X48" s="69">
        <f t="shared" si="69"/>
        <v>1439.0341837499998</v>
      </c>
      <c r="Y48" s="70">
        <f t="shared" si="69"/>
        <v>0.35368749999999993</v>
      </c>
      <c r="Z48" s="69">
        <f t="shared" si="69"/>
        <v>1439.0341837499998</v>
      </c>
      <c r="AA48" s="70">
        <f t="shared" si="69"/>
        <v>0.35368749999999993</v>
      </c>
      <c r="AB48" s="69">
        <f t="shared" si="69"/>
        <v>1495.2156844106682</v>
      </c>
      <c r="AC48" s="70">
        <f t="shared" si="69"/>
        <v>0.36749585475578406</v>
      </c>
      <c r="AD48" s="69">
        <f t="shared" si="69"/>
        <v>1439.0341837499998</v>
      </c>
      <c r="AE48" s="70">
        <f t="shared" si="69"/>
        <v>0.35368749999999993</v>
      </c>
      <c r="AF48" s="69">
        <f t="shared" si="69"/>
        <v>1439.0341837499998</v>
      </c>
      <c r="AG48" s="70">
        <f t="shared" si="69"/>
        <v>0.35368749999999993</v>
      </c>
      <c r="AH48" s="69">
        <f t="shared" si="69"/>
        <v>1439.0341837499998</v>
      </c>
      <c r="AI48" s="70">
        <f t="shared" si="69"/>
        <v>0.35368749999999993</v>
      </c>
      <c r="AJ48" s="69">
        <f t="shared" si="69"/>
        <v>1439.0341837499998</v>
      </c>
      <c r="AK48" s="70">
        <f t="shared" si="69"/>
        <v>0.35368749999999993</v>
      </c>
      <c r="AL48" s="69">
        <f t="shared" ref="AL48:BQ48" si="70">+AL49/AL10</f>
        <v>1439.0341837499998</v>
      </c>
      <c r="AM48" s="70">
        <f t="shared" si="70"/>
        <v>0.35368749999999993</v>
      </c>
      <c r="AN48" s="69">
        <f t="shared" si="70"/>
        <v>1439.0341837499998</v>
      </c>
      <c r="AO48" s="70">
        <f t="shared" si="70"/>
        <v>0.35368749999999993</v>
      </c>
      <c r="AP48" s="69">
        <f t="shared" si="70"/>
        <v>1439.0341837499998</v>
      </c>
      <c r="AQ48" s="70">
        <f t="shared" si="70"/>
        <v>0.35368749999999993</v>
      </c>
      <c r="AR48" s="69">
        <f t="shared" si="70"/>
        <v>1439.0341837499998</v>
      </c>
      <c r="AS48" s="70">
        <f t="shared" si="70"/>
        <v>0.35368749999999993</v>
      </c>
      <c r="AT48" s="69">
        <f t="shared" si="70"/>
        <v>1439.0341837499998</v>
      </c>
      <c r="AU48" s="70">
        <f t="shared" si="70"/>
        <v>0.35368749999999993</v>
      </c>
      <c r="AV48" s="69">
        <f t="shared" si="70"/>
        <v>1439.0341837499998</v>
      </c>
      <c r="AW48" s="70">
        <f t="shared" si="70"/>
        <v>0.35368749999999993</v>
      </c>
      <c r="AX48" s="69">
        <f t="shared" si="70"/>
        <v>1439.0341837499998</v>
      </c>
      <c r="AY48" s="70">
        <f t="shared" si="70"/>
        <v>0.35368749999999993</v>
      </c>
      <c r="AZ48" s="69">
        <f t="shared" si="70"/>
        <v>1439.0341837500002</v>
      </c>
      <c r="BA48" s="70">
        <f t="shared" si="70"/>
        <v>0.3536875000000001</v>
      </c>
      <c r="BB48" s="69">
        <f t="shared" si="70"/>
        <v>1439.0341837500002</v>
      </c>
      <c r="BC48" s="70">
        <f t="shared" si="70"/>
        <v>0.3536875000000001</v>
      </c>
      <c r="BD48" s="69">
        <f t="shared" si="70"/>
        <v>1444.8610137826772</v>
      </c>
      <c r="BE48" s="70">
        <f t="shared" si="70"/>
        <v>0.3551196250811513</v>
      </c>
      <c r="BF48" s="69">
        <f t="shared" si="70"/>
        <v>1444.8610137826772</v>
      </c>
      <c r="BG48" s="70">
        <f t="shared" si="70"/>
        <v>0.3551196250811513</v>
      </c>
      <c r="BH48" s="69">
        <f t="shared" si="70"/>
        <v>1444.8610137826772</v>
      </c>
      <c r="BI48" s="70">
        <f t="shared" si="70"/>
        <v>0.3551196250811513</v>
      </c>
      <c r="BJ48" s="69">
        <f t="shared" si="70"/>
        <v>1444.8610137826772</v>
      </c>
      <c r="BK48" s="70">
        <f t="shared" si="70"/>
        <v>0.3551196250811513</v>
      </c>
      <c r="BL48" s="69">
        <f t="shared" si="70"/>
        <v>1444.8610137826772</v>
      </c>
      <c r="BM48" s="70">
        <f t="shared" si="70"/>
        <v>0.3551196250811513</v>
      </c>
      <c r="BN48" s="69">
        <f t="shared" si="70"/>
        <v>1444.8610137826772</v>
      </c>
      <c r="BO48" s="70">
        <f t="shared" si="70"/>
        <v>0.3551196250811513</v>
      </c>
      <c r="BP48" s="69">
        <f t="shared" si="70"/>
        <v>1444.8610137826772</v>
      </c>
      <c r="BQ48" s="70">
        <f t="shared" si="70"/>
        <v>0.3551196250811513</v>
      </c>
      <c r="BR48" s="69">
        <f t="shared" ref="BR48:BS48" si="71">+BR49/BR10</f>
        <v>1444.8610137826772</v>
      </c>
      <c r="BS48" s="70">
        <f t="shared" si="71"/>
        <v>0.3551196250811513</v>
      </c>
      <c r="BV48" s="69">
        <f t="shared" ref="BV48:BY48" si="72">+BV49/BV10</f>
        <v>1439.0341837500002</v>
      </c>
      <c r="BW48" s="70">
        <f t="shared" si="72"/>
        <v>0.3536875000000001</v>
      </c>
      <c r="BX48" s="69">
        <f t="shared" si="72"/>
        <v>1444.8610137826772</v>
      </c>
      <c r="BY48" s="70">
        <f t="shared" si="72"/>
        <v>0.3551196250811513</v>
      </c>
    </row>
    <row r="49" spans="1:82" s="4" customFormat="1" ht="18" customHeight="1" outlineLevel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17268.410204999996</v>
      </c>
      <c r="G49" s="70">
        <f>+G50+G52+G56+G54</f>
        <v>4.2442499999999992</v>
      </c>
      <c r="H49" s="69">
        <f>+I49*H12</f>
        <v>17268.410204999996</v>
      </c>
      <c r="I49" s="70">
        <f>+I50+I52+I56+I54</f>
        <v>4.2442499999999992</v>
      </c>
      <c r="J49" s="69">
        <f>+K49*J12</f>
        <v>17268.410204999996</v>
      </c>
      <c r="K49" s="70">
        <f>+K50+K52+K56+K54</f>
        <v>4.2442499999999992</v>
      </c>
      <c r="L49" s="69">
        <f>+M49*L12</f>
        <v>17268.410204999996</v>
      </c>
      <c r="M49" s="70">
        <f>+M50+M52+M56+M54</f>
        <v>4.2442499999999992</v>
      </c>
      <c r="N49" s="69">
        <f>+O49*N12</f>
        <v>17268.410204999996</v>
      </c>
      <c r="O49" s="70">
        <f>+O50+O52+O56+O54</f>
        <v>4.2442499999999992</v>
      </c>
      <c r="P49" s="69">
        <f>+Q49*P12</f>
        <v>17268.410204999996</v>
      </c>
      <c r="Q49" s="70">
        <f>+Q50+Q52+Q56+Q54</f>
        <v>4.2442499999999992</v>
      </c>
      <c r="R49" s="69">
        <f>+S49*R12</f>
        <v>17268.410204999996</v>
      </c>
      <c r="S49" s="70">
        <f>+S50+S52+S56+S54</f>
        <v>4.2442499999999992</v>
      </c>
      <c r="T49" s="69">
        <f>+U49*T12</f>
        <v>17268.410204999996</v>
      </c>
      <c r="U49" s="70">
        <f>+U50+U52+U56+U54</f>
        <v>4.2442499999999992</v>
      </c>
      <c r="V49" s="69">
        <f>+W49*V12</f>
        <v>17268.410204999996</v>
      </c>
      <c r="W49" s="70">
        <f>+W50+W52+W56+W54</f>
        <v>4.2442499999999992</v>
      </c>
      <c r="X49" s="69">
        <f>+Y49*X12</f>
        <v>17268.410204999996</v>
      </c>
      <c r="Y49" s="70">
        <f>+Y50+Y52+Y56+Y54</f>
        <v>4.2442499999999992</v>
      </c>
      <c r="Z49" s="69">
        <f>+AA49*Z12</f>
        <v>17268.410204999996</v>
      </c>
      <c r="AA49" s="70">
        <f>+AA50+AA52+AA56+AA54</f>
        <v>4.2442499999999992</v>
      </c>
      <c r="AB49" s="69">
        <f>+AC49*AB12</f>
        <v>17942.588212928018</v>
      </c>
      <c r="AC49" s="70">
        <f>+AC50+AC52+AC56+AC54</f>
        <v>4.4099502570694087</v>
      </c>
      <c r="AD49" s="69">
        <f>+AE49*AD12</f>
        <v>17268.410204999996</v>
      </c>
      <c r="AE49" s="70">
        <f>+AE50+AE52+AE56+AE54</f>
        <v>4.2442499999999992</v>
      </c>
      <c r="AF49" s="69">
        <f>+AG49*AF12</f>
        <v>17268.410204999996</v>
      </c>
      <c r="AG49" s="70">
        <f>+AG50+AG52+AG56+AG54</f>
        <v>4.2442499999999992</v>
      </c>
      <c r="AH49" s="69">
        <f>+AI49*AH12</f>
        <v>17268.410204999996</v>
      </c>
      <c r="AI49" s="70">
        <f>+AI50+AI52+AI56+AI54</f>
        <v>4.2442499999999992</v>
      </c>
      <c r="AJ49" s="69">
        <f>+AK49*AJ12</f>
        <v>17268.410204999996</v>
      </c>
      <c r="AK49" s="70">
        <f>+AK50+AK52+AK56+AK54</f>
        <v>4.2442499999999992</v>
      </c>
      <c r="AL49" s="69">
        <f>+AM49*AL12</f>
        <v>17268.410204999996</v>
      </c>
      <c r="AM49" s="70">
        <f>+AM50+AM52+AM56+AM54</f>
        <v>4.2442499999999992</v>
      </c>
      <c r="AN49" s="69">
        <f>+AO49*AN12</f>
        <v>17268.410204999996</v>
      </c>
      <c r="AO49" s="70">
        <f>+AO50+AO52+AO56+AO54</f>
        <v>4.2442499999999992</v>
      </c>
      <c r="AP49" s="69">
        <f>+AQ49*AP12</f>
        <v>17268.410204999996</v>
      </c>
      <c r="AQ49" s="70">
        <f>+AQ50+AQ52+AQ56+AQ54</f>
        <v>4.2442499999999992</v>
      </c>
      <c r="AR49" s="69">
        <f>+AS49*AR12</f>
        <v>17268.410204999996</v>
      </c>
      <c r="AS49" s="70">
        <f>+AS50+AS52+AS56+AS54</f>
        <v>4.2442499999999992</v>
      </c>
      <c r="AT49" s="69">
        <f>+AU49*AT12</f>
        <v>17268.410204999996</v>
      </c>
      <c r="AU49" s="70">
        <f>+AU50+AU52+AU56+AU54</f>
        <v>4.2442499999999992</v>
      </c>
      <c r="AV49" s="69">
        <f>+AW49*AV12</f>
        <v>17268.410204999996</v>
      </c>
      <c r="AW49" s="70">
        <f>+AW50+AW52+AW56+AW54</f>
        <v>4.2442499999999992</v>
      </c>
      <c r="AX49" s="69">
        <f>+AY49*AX12</f>
        <v>17268.410204999996</v>
      </c>
      <c r="AY49" s="70">
        <f>+AY50+AY52+AY56+AY54</f>
        <v>4.2442499999999992</v>
      </c>
      <c r="AZ49" s="69">
        <f>+BA49*AZ12</f>
        <v>17268.410205000004</v>
      </c>
      <c r="BA49" s="70">
        <f>+BA50+BA52+BA56+BA54</f>
        <v>4.244250000000001</v>
      </c>
      <c r="BB49" s="69">
        <f>+BC49*BB12</f>
        <v>17268.410205000004</v>
      </c>
      <c r="BC49" s="70">
        <f>+BC50+BC52+BC56+BC54</f>
        <v>4.244250000000001</v>
      </c>
      <c r="BD49" s="69">
        <f>+BE49*BD12</f>
        <v>17338.332165392127</v>
      </c>
      <c r="BE49" s="70">
        <f>+BE50+BE52+BE56+BE54</f>
        <v>4.2614355009738158</v>
      </c>
      <c r="BF49" s="69">
        <f>+BG49*BF12</f>
        <v>17338.332165392127</v>
      </c>
      <c r="BG49" s="70">
        <f>+BG50+BG52+BG56+BG54</f>
        <v>4.2614355009738158</v>
      </c>
      <c r="BH49" s="69">
        <f>+BI49*BH12</f>
        <v>17338.332165392127</v>
      </c>
      <c r="BI49" s="70">
        <f>+BI50+BI52+BI56+BI54</f>
        <v>4.2614355009738158</v>
      </c>
      <c r="BJ49" s="69">
        <f>+BK49*BJ12</f>
        <v>17338.332165392127</v>
      </c>
      <c r="BK49" s="70">
        <f>+BK50+BK52+BK56+BK54</f>
        <v>4.2614355009738158</v>
      </c>
      <c r="BL49" s="69">
        <f>+BM49*BL12</f>
        <v>17338.332165392127</v>
      </c>
      <c r="BM49" s="70">
        <f>+BM50+BM52+BM56+BM54</f>
        <v>4.2614355009738158</v>
      </c>
      <c r="BN49" s="69">
        <f>+BO49*BN12</f>
        <v>17338.332165392127</v>
      </c>
      <c r="BO49" s="70">
        <f>+BO50+BO52+BO56+BO54</f>
        <v>4.2614355009738158</v>
      </c>
      <c r="BP49" s="69">
        <f>+BQ49*BP12</f>
        <v>17338.332165392127</v>
      </c>
      <c r="BQ49" s="70">
        <f>+BQ50+BQ52+BQ56+BQ54</f>
        <v>4.2614355009738158</v>
      </c>
      <c r="BR49" s="69">
        <f>+BS49*BR12</f>
        <v>17338.332165392127</v>
      </c>
      <c r="BS49" s="70">
        <f>+BS50+BS52+BS56+BS54</f>
        <v>4.2614355009738158</v>
      </c>
      <c r="BV49" s="69">
        <f t="shared" ref="BV49" si="73">+BW49*BV12</f>
        <v>17268.410205000004</v>
      </c>
      <c r="BW49" s="70">
        <f>+BW50+BW52+BW56+BW54</f>
        <v>4.244250000000001</v>
      </c>
      <c r="BX49" s="69">
        <f t="shared" ref="BX49" si="74">+BY49*BX12</f>
        <v>17338.332165392127</v>
      </c>
      <c r="BY49" s="70">
        <f t="shared" ref="BY49" si="75">+BY50+BY52+BY56+BY54</f>
        <v>4.2614355009738158</v>
      </c>
    </row>
    <row r="50" spans="1:82" s="4" customFormat="1" ht="18" customHeight="1" outlineLevel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0.16749999999999998</v>
      </c>
      <c r="H50" s="50"/>
      <c r="I50" s="72">
        <f>+I51*I56</f>
        <v>0.16749999999999998</v>
      </c>
      <c r="J50" s="50"/>
      <c r="K50" s="72">
        <f>+K51*K56</f>
        <v>0.16749999999999998</v>
      </c>
      <c r="L50" s="50"/>
      <c r="M50" s="72">
        <f>+M51*M56</f>
        <v>0.16749999999999998</v>
      </c>
      <c r="N50" s="50"/>
      <c r="O50" s="72">
        <f>+O51*O56</f>
        <v>0.16749999999999998</v>
      </c>
      <c r="P50" s="50"/>
      <c r="Q50" s="72">
        <f>+Q51*Q56</f>
        <v>0.16749999999999998</v>
      </c>
      <c r="R50" s="50"/>
      <c r="S50" s="72">
        <f>+S51*S56</f>
        <v>0.16749999999999998</v>
      </c>
      <c r="T50" s="50"/>
      <c r="U50" s="72">
        <f>+U51*U56</f>
        <v>0.16749999999999998</v>
      </c>
      <c r="V50" s="50"/>
      <c r="W50" s="72">
        <f>+W51*W56</f>
        <v>0.16749999999999998</v>
      </c>
      <c r="X50" s="50"/>
      <c r="Y50" s="72">
        <f>+Y51*Y56</f>
        <v>0.16749999999999998</v>
      </c>
      <c r="Z50" s="50"/>
      <c r="AA50" s="72">
        <f>+AA51*AA56</f>
        <v>0.16749999999999998</v>
      </c>
      <c r="AB50" s="50"/>
      <c r="AC50" s="72">
        <f>+AC51*AC56</f>
        <v>0.17467317130170601</v>
      </c>
      <c r="AD50" s="50"/>
      <c r="AE50" s="72">
        <f>+AE51*AE56</f>
        <v>0.16749999999999998</v>
      </c>
      <c r="AF50" s="50"/>
      <c r="AG50" s="72">
        <f>+AG51*AG56</f>
        <v>0.16749999999999998</v>
      </c>
      <c r="AH50" s="50"/>
      <c r="AI50" s="72">
        <f>+AI51*AI56</f>
        <v>0.16749999999999998</v>
      </c>
      <c r="AJ50" s="50"/>
      <c r="AK50" s="72">
        <f>+AK51*AK56</f>
        <v>0.16749999999999998</v>
      </c>
      <c r="AL50" s="50"/>
      <c r="AM50" s="72">
        <f>+AM51*AM56</f>
        <v>0.16749999999999998</v>
      </c>
      <c r="AN50" s="50"/>
      <c r="AO50" s="72">
        <f>+AO51*AO56</f>
        <v>0.16749999999999998</v>
      </c>
      <c r="AP50" s="50"/>
      <c r="AQ50" s="72">
        <f>+AQ51*AQ56</f>
        <v>0.16749999999999998</v>
      </c>
      <c r="AR50" s="50"/>
      <c r="AS50" s="72">
        <f>+AS51*AS56</f>
        <v>0.16749999999999998</v>
      </c>
      <c r="AT50" s="50"/>
      <c r="AU50" s="72">
        <f>+AU51*AU56</f>
        <v>0.16749999999999998</v>
      </c>
      <c r="AV50" s="50"/>
      <c r="AW50" s="72">
        <f>+AW51*AW56</f>
        <v>0.16749999999999998</v>
      </c>
      <c r="AX50" s="50"/>
      <c r="AY50" s="72">
        <f>+AY51*AY56</f>
        <v>0.16749999999999998</v>
      </c>
      <c r="AZ50" s="50"/>
      <c r="BA50" s="72">
        <f>+BA51*BA56</f>
        <v>0.16750000000000004</v>
      </c>
      <c r="BB50" s="50"/>
      <c r="BC50" s="72">
        <f>+BC51*BC56</f>
        <v>0.16750000000000004</v>
      </c>
      <c r="BD50" s="50"/>
      <c r="BE50" s="72">
        <f>+BE51*BE56</f>
        <v>0.16761512659597494</v>
      </c>
      <c r="BF50" s="50"/>
      <c r="BG50" s="72">
        <f>+BG51*BG56</f>
        <v>0.16761512659597494</v>
      </c>
      <c r="BH50" s="50"/>
      <c r="BI50" s="72">
        <f>+BI51*BI56</f>
        <v>0.16761512659597494</v>
      </c>
      <c r="BJ50" s="50"/>
      <c r="BK50" s="72">
        <f>+BK51*BK56</f>
        <v>0.16761512659597494</v>
      </c>
      <c r="BL50" s="50"/>
      <c r="BM50" s="72">
        <f>+BM51*BM56</f>
        <v>0.16761512659597494</v>
      </c>
      <c r="BN50" s="50"/>
      <c r="BO50" s="72">
        <f>+BO51*BO56</f>
        <v>0.16761512659597494</v>
      </c>
      <c r="BP50" s="50"/>
      <c r="BQ50" s="72">
        <f>+BQ51*BQ56</f>
        <v>0.16761512659597494</v>
      </c>
      <c r="BR50" s="50"/>
      <c r="BS50" s="72">
        <f>+BS51*BS56</f>
        <v>0.16761512659597494</v>
      </c>
      <c r="BV50" s="50"/>
      <c r="BW50" s="72">
        <f>+BW51*BW56</f>
        <v>0.16750000000000004</v>
      </c>
      <c r="BX50" s="50"/>
      <c r="BY50" s="72">
        <f t="shared" ref="BY50" si="76">+BY51*BY56</f>
        <v>0.16761512659597494</v>
      </c>
    </row>
    <row r="51" spans="1:82" s="4" customFormat="1" ht="18" customHeight="1" outlineLevel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47"/>
      <c r="I51" s="1082">
        <v>0.05</v>
      </c>
      <c r="J51" s="47"/>
      <c r="K51" s="1082">
        <v>0.05</v>
      </c>
      <c r="L51" s="47"/>
      <c r="M51" s="1082">
        <v>0.05</v>
      </c>
      <c r="N51" s="47"/>
      <c r="O51" s="1082">
        <v>0.05</v>
      </c>
      <c r="P51" s="47"/>
      <c r="Q51" s="1082">
        <v>0.05</v>
      </c>
      <c r="R51" s="47"/>
      <c r="S51" s="1082">
        <v>0.05</v>
      </c>
      <c r="T51" s="47"/>
      <c r="U51" s="1082">
        <v>0.05</v>
      </c>
      <c r="V51" s="47"/>
      <c r="W51" s="1082">
        <v>0.05</v>
      </c>
      <c r="X51" s="47"/>
      <c r="Y51" s="1082">
        <v>0.05</v>
      </c>
      <c r="Z51" s="47"/>
      <c r="AA51" s="1082">
        <v>0.05</v>
      </c>
      <c r="AB51" s="47"/>
      <c r="AC51" s="1082">
        <v>0.05</v>
      </c>
      <c r="AD51" s="47"/>
      <c r="AE51" s="1082">
        <v>0.05</v>
      </c>
      <c r="AF51" s="47"/>
      <c r="AG51" s="1082">
        <v>0.05</v>
      </c>
      <c r="AH51" s="47"/>
      <c r="AI51" s="1082">
        <v>0.05</v>
      </c>
      <c r="AJ51" s="47"/>
      <c r="AK51" s="1082">
        <v>0.05</v>
      </c>
      <c r="AL51" s="47"/>
      <c r="AM51" s="1082">
        <v>0.05</v>
      </c>
      <c r="AN51" s="47"/>
      <c r="AO51" s="1082">
        <v>0.05</v>
      </c>
      <c r="AP51" s="47"/>
      <c r="AQ51" s="1082">
        <v>0.05</v>
      </c>
      <c r="AR51" s="47"/>
      <c r="AS51" s="1082">
        <v>0.05</v>
      </c>
      <c r="AT51" s="47"/>
      <c r="AU51" s="1082">
        <v>0.05</v>
      </c>
      <c r="AV51" s="47"/>
      <c r="AW51" s="1082">
        <v>0.05</v>
      </c>
      <c r="AX51" s="47"/>
      <c r="AY51" s="1082">
        <v>0.05</v>
      </c>
      <c r="AZ51" s="47"/>
      <c r="BA51" s="1082">
        <v>0.05</v>
      </c>
      <c r="BB51" s="47"/>
      <c r="BC51" s="1082">
        <v>0.05</v>
      </c>
      <c r="BD51" s="47"/>
      <c r="BE51" s="1082">
        <v>0.05</v>
      </c>
      <c r="BF51" s="47"/>
      <c r="BG51" s="1082">
        <v>0.05</v>
      </c>
      <c r="BH51" s="47"/>
      <c r="BI51" s="1082">
        <v>0.05</v>
      </c>
      <c r="BJ51" s="47"/>
      <c r="BK51" s="1082">
        <v>0.05</v>
      </c>
      <c r="BL51" s="47"/>
      <c r="BM51" s="1082">
        <v>0.05</v>
      </c>
      <c r="BN51" s="47"/>
      <c r="BO51" s="1082">
        <v>0.05</v>
      </c>
      <c r="BP51" s="47"/>
      <c r="BQ51" s="1082">
        <v>0.05</v>
      </c>
      <c r="BR51" s="47"/>
      <c r="BS51" s="1082">
        <v>0.05</v>
      </c>
      <c r="BV51" s="47"/>
      <c r="BW51" s="1082">
        <v>0.05</v>
      </c>
      <c r="BX51" s="47"/>
      <c r="BY51" s="1082">
        <v>0.05</v>
      </c>
    </row>
    <row r="52" spans="1:82" s="4" customFormat="1" ht="18" customHeight="1" outlineLevel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0.375</v>
      </c>
      <c r="H52" s="50"/>
      <c r="I52" s="72">
        <f>$D$53/I66</f>
        <v>0.375</v>
      </c>
      <c r="J52" s="50"/>
      <c r="K52" s="72">
        <f>$D$53/K66</f>
        <v>0.375</v>
      </c>
      <c r="L52" s="50"/>
      <c r="M52" s="72">
        <f>$D$53/M66</f>
        <v>0.375</v>
      </c>
      <c r="N52" s="50"/>
      <c r="O52" s="72">
        <f>$D$53/O66</f>
        <v>0.375</v>
      </c>
      <c r="P52" s="50"/>
      <c r="Q52" s="72">
        <f>$D$53/Q66</f>
        <v>0.375</v>
      </c>
      <c r="R52" s="50"/>
      <c r="S52" s="72">
        <f>$D$53/S66</f>
        <v>0.375</v>
      </c>
      <c r="T52" s="50"/>
      <c r="U52" s="72">
        <f>$D$53/U66</f>
        <v>0.375</v>
      </c>
      <c r="V52" s="50"/>
      <c r="W52" s="72">
        <f>$D$53/W66</f>
        <v>0.375</v>
      </c>
      <c r="X52" s="50"/>
      <c r="Y52" s="72">
        <f>$D$53/Y66</f>
        <v>0.375</v>
      </c>
      <c r="Z52" s="50"/>
      <c r="AA52" s="72">
        <f>$D$53/AA66</f>
        <v>0.375</v>
      </c>
      <c r="AB52" s="50"/>
      <c r="AC52" s="72">
        <f>$D$53/AC66</f>
        <v>0.375</v>
      </c>
      <c r="AD52" s="50"/>
      <c r="AE52" s="72">
        <f>$D$53/AE66</f>
        <v>0.375</v>
      </c>
      <c r="AF52" s="50"/>
      <c r="AG52" s="72">
        <f>$D$53/AG66</f>
        <v>0.375</v>
      </c>
      <c r="AH52" s="50"/>
      <c r="AI52" s="72">
        <f>$D$53/AI66</f>
        <v>0.375</v>
      </c>
      <c r="AJ52" s="50"/>
      <c r="AK52" s="72">
        <f>$D$53/AK66</f>
        <v>0.375</v>
      </c>
      <c r="AL52" s="50"/>
      <c r="AM52" s="72">
        <f>$D$53/AM66</f>
        <v>0.375</v>
      </c>
      <c r="AN52" s="50"/>
      <c r="AO52" s="72">
        <f>$D$53/AO66</f>
        <v>0.375</v>
      </c>
      <c r="AP52" s="50"/>
      <c r="AQ52" s="72">
        <f>$D$53/AQ66</f>
        <v>0.375</v>
      </c>
      <c r="AR52" s="50"/>
      <c r="AS52" s="72">
        <f>$D$53/AS66</f>
        <v>0.375</v>
      </c>
      <c r="AT52" s="50"/>
      <c r="AU52" s="72">
        <f>$D$53/AU66</f>
        <v>0.375</v>
      </c>
      <c r="AV52" s="50"/>
      <c r="AW52" s="72">
        <f>$D$53/AW66</f>
        <v>0.375</v>
      </c>
      <c r="AX52" s="50"/>
      <c r="AY52" s="72">
        <f>$D$53/AY66</f>
        <v>0.375</v>
      </c>
      <c r="AZ52" s="50"/>
      <c r="BA52" s="72">
        <f>$D$53/BA66</f>
        <v>0.375</v>
      </c>
      <c r="BB52" s="50"/>
      <c r="BC52" s="72">
        <f>$D$53/BC66</f>
        <v>0.375</v>
      </c>
      <c r="BD52" s="50"/>
      <c r="BE52" s="72">
        <f>$D$53/BE66</f>
        <v>0.38952607660679506</v>
      </c>
      <c r="BF52" s="50"/>
      <c r="BG52" s="72">
        <f>$D$53/BG66</f>
        <v>0.38952607660679506</v>
      </c>
      <c r="BH52" s="50"/>
      <c r="BI52" s="72">
        <f>$D$53/BI66</f>
        <v>0.38952607660679506</v>
      </c>
      <c r="BJ52" s="50"/>
      <c r="BK52" s="72">
        <f>$D$53/BK66</f>
        <v>0.38952607660679506</v>
      </c>
      <c r="BL52" s="50"/>
      <c r="BM52" s="72">
        <f>$D$53/BM66</f>
        <v>0.38952607660679506</v>
      </c>
      <c r="BN52" s="50"/>
      <c r="BO52" s="72">
        <f>$D$53/BO66</f>
        <v>0.38952607660679506</v>
      </c>
      <c r="BP52" s="50"/>
      <c r="BQ52" s="72">
        <f>$D$53/BQ66</f>
        <v>0.38952607660679506</v>
      </c>
      <c r="BR52" s="50"/>
      <c r="BS52" s="72">
        <f>$D$53/BS66</f>
        <v>0.38952607660679506</v>
      </c>
      <c r="BV52" s="50"/>
      <c r="BW52" s="72">
        <f>$D$53/BW66</f>
        <v>0.375</v>
      </c>
      <c r="BX52" s="50"/>
      <c r="BY52" s="72">
        <f t="shared" ref="BY52" si="77">$D$53/BY66</f>
        <v>0.38952607660679506</v>
      </c>
    </row>
    <row r="53" spans="1:82" s="4" customFormat="1" ht="18" customHeight="1" outlineLevel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0.1119402985074627</v>
      </c>
      <c r="H53" s="47"/>
      <c r="I53" s="1082">
        <f>I52/I56</f>
        <v>0.1119402985074627</v>
      </c>
      <c r="J53" s="47"/>
      <c r="K53" s="1082">
        <f>K52/K56</f>
        <v>0.1119402985074627</v>
      </c>
      <c r="L53" s="47"/>
      <c r="M53" s="1082">
        <f>M52/M56</f>
        <v>0.1119402985074627</v>
      </c>
      <c r="N53" s="47"/>
      <c r="O53" s="1082">
        <f>O52/O56</f>
        <v>0.1119402985074627</v>
      </c>
      <c r="P53" s="47"/>
      <c r="Q53" s="1082">
        <f>Q52/Q56</f>
        <v>0.1119402985074627</v>
      </c>
      <c r="R53" s="47"/>
      <c r="S53" s="1082">
        <f>S52/S56</f>
        <v>0.1119402985074627</v>
      </c>
      <c r="T53" s="47"/>
      <c r="U53" s="1082">
        <f>U52/U56</f>
        <v>0.1119402985074627</v>
      </c>
      <c r="V53" s="47"/>
      <c r="W53" s="1082">
        <f>W52/W56</f>
        <v>0.1119402985074627</v>
      </c>
      <c r="X53" s="47"/>
      <c r="Y53" s="1082">
        <f>Y52/Y56</f>
        <v>0.1119402985074627</v>
      </c>
      <c r="Z53" s="47"/>
      <c r="AA53" s="1082">
        <f>AA52/AA56</f>
        <v>0.1119402985074627</v>
      </c>
      <c r="AB53" s="47"/>
      <c r="AC53" s="1082">
        <f>AC52/AC56</f>
        <v>0.10734333074890975</v>
      </c>
      <c r="AD53" s="47"/>
      <c r="AE53" s="1082">
        <f>AE52/AE56</f>
        <v>0.1119402985074627</v>
      </c>
      <c r="AF53" s="47"/>
      <c r="AG53" s="1082">
        <f>AG52/AG56</f>
        <v>0.1119402985074627</v>
      </c>
      <c r="AH53" s="47"/>
      <c r="AI53" s="1082">
        <f>AI52/AI56</f>
        <v>0.1119402985074627</v>
      </c>
      <c r="AJ53" s="47"/>
      <c r="AK53" s="1082">
        <f>AK52/AK56</f>
        <v>0.1119402985074627</v>
      </c>
      <c r="AL53" s="47"/>
      <c r="AM53" s="1082">
        <f>AM52/AM56</f>
        <v>0.1119402985074627</v>
      </c>
      <c r="AN53" s="47"/>
      <c r="AO53" s="1082">
        <f>AO52/AO56</f>
        <v>0.1119402985074627</v>
      </c>
      <c r="AP53" s="47"/>
      <c r="AQ53" s="1082">
        <f>AQ52/AQ56</f>
        <v>0.1119402985074627</v>
      </c>
      <c r="AR53" s="47"/>
      <c r="AS53" s="1082">
        <f>AS52/AS56</f>
        <v>0.1119402985074627</v>
      </c>
      <c r="AT53" s="47"/>
      <c r="AU53" s="1082">
        <f>AU52/AU56</f>
        <v>0.1119402985074627</v>
      </c>
      <c r="AV53" s="47"/>
      <c r="AW53" s="1082">
        <f>AW52/AW56</f>
        <v>0.1119402985074627</v>
      </c>
      <c r="AX53" s="47"/>
      <c r="AY53" s="1082">
        <f>AY52/AY56</f>
        <v>0.1119402985074627</v>
      </c>
      <c r="AZ53" s="47"/>
      <c r="BA53" s="1082">
        <f>BA52/BA56</f>
        <v>0.11194029850746266</v>
      </c>
      <c r="BB53" s="47"/>
      <c r="BC53" s="1082">
        <f>BC52/BC56</f>
        <v>0.11194029850746266</v>
      </c>
      <c r="BD53" s="47"/>
      <c r="BE53" s="1082">
        <f>BE52/BE56</f>
        <v>0.11619657620332849</v>
      </c>
      <c r="BF53" s="47"/>
      <c r="BG53" s="1082">
        <f>BG52/BG56</f>
        <v>0.11619657620332849</v>
      </c>
      <c r="BH53" s="47"/>
      <c r="BI53" s="1082">
        <f>BI52/BI56</f>
        <v>0.11619657620332849</v>
      </c>
      <c r="BJ53" s="47"/>
      <c r="BK53" s="1082">
        <f>BK52/BK56</f>
        <v>0.11619657620332849</v>
      </c>
      <c r="BL53" s="47"/>
      <c r="BM53" s="1082">
        <f>BM52/BM56</f>
        <v>0.11619657620332849</v>
      </c>
      <c r="BN53" s="47"/>
      <c r="BO53" s="1082">
        <f>BO52/BO56</f>
        <v>0.11619657620332849</v>
      </c>
      <c r="BP53" s="47"/>
      <c r="BQ53" s="1082">
        <f>BQ52/BQ56</f>
        <v>0.11619657620332849</v>
      </c>
      <c r="BR53" s="47"/>
      <c r="BS53" s="1082">
        <f>BS52/BS56</f>
        <v>0.11619657620332849</v>
      </c>
      <c r="BV53" s="47"/>
      <c r="BW53" s="1082">
        <f>BW52/BW56</f>
        <v>0.11194029850746266</v>
      </c>
      <c r="BX53" s="47"/>
      <c r="BY53" s="1082">
        <f t="shared" ref="BY53" si="78">BY52/BY56</f>
        <v>0.11619657620332849</v>
      </c>
    </row>
    <row r="54" spans="1:82" s="4" customFormat="1" ht="18" customHeight="1" outlineLevel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0.35175000000000001</v>
      </c>
      <c r="H54" s="73"/>
      <c r="I54" s="72">
        <f>(I55*(I56+I50))</f>
        <v>0.35175000000000001</v>
      </c>
      <c r="J54" s="73"/>
      <c r="K54" s="72">
        <f>(K55*(K56+K50))</f>
        <v>0.35175000000000001</v>
      </c>
      <c r="L54" s="73"/>
      <c r="M54" s="72">
        <f>(M55*(M56+M50))</f>
        <v>0.35175000000000001</v>
      </c>
      <c r="N54" s="73"/>
      <c r="O54" s="72">
        <f>(O55*(O56+O50))</f>
        <v>0.35175000000000001</v>
      </c>
      <c r="P54" s="73"/>
      <c r="Q54" s="72">
        <f>(Q55*(Q56+Q50))</f>
        <v>0.35175000000000001</v>
      </c>
      <c r="R54" s="73"/>
      <c r="S54" s="72">
        <f>(S55*(S56+S50))</f>
        <v>0.35175000000000001</v>
      </c>
      <c r="T54" s="73"/>
      <c r="U54" s="72">
        <f>(U55*(U56+U50))</f>
        <v>0.35175000000000001</v>
      </c>
      <c r="V54" s="73"/>
      <c r="W54" s="72">
        <f>(W55*(W56+W50))</f>
        <v>0.35175000000000001</v>
      </c>
      <c r="X54" s="73"/>
      <c r="Y54" s="72">
        <f>(Y55*(Y56+Y50))</f>
        <v>0.35175000000000001</v>
      </c>
      <c r="Z54" s="73"/>
      <c r="AA54" s="72">
        <f>(AA55*(AA56+AA50))</f>
        <v>0.35175000000000001</v>
      </c>
      <c r="AB54" s="73"/>
      <c r="AC54" s="72">
        <f>(AC55*(AC56+AC50))</f>
        <v>0.36681365973358265</v>
      </c>
      <c r="AD54" s="73"/>
      <c r="AE54" s="72">
        <f>(AE55*(AE56+AE50))</f>
        <v>0.35175000000000001</v>
      </c>
      <c r="AF54" s="73"/>
      <c r="AG54" s="72">
        <f>(AG55*(AG56+AG50))</f>
        <v>0.35175000000000001</v>
      </c>
      <c r="AH54" s="73"/>
      <c r="AI54" s="72">
        <f>(AI55*(AI56+AI50))</f>
        <v>0.35175000000000001</v>
      </c>
      <c r="AJ54" s="73"/>
      <c r="AK54" s="72">
        <f>(AK55*(AK56+AK50))</f>
        <v>0.35175000000000001</v>
      </c>
      <c r="AL54" s="73"/>
      <c r="AM54" s="72">
        <f>(AM55*(AM56+AM50))</f>
        <v>0.35175000000000001</v>
      </c>
      <c r="AN54" s="73"/>
      <c r="AO54" s="72">
        <f>(AO55*(AO56+AO50))</f>
        <v>0.35175000000000001</v>
      </c>
      <c r="AP54" s="73"/>
      <c r="AQ54" s="72">
        <f>(AQ55*(AQ56+AQ50))</f>
        <v>0.35175000000000001</v>
      </c>
      <c r="AR54" s="73"/>
      <c r="AS54" s="72">
        <f>(AS55*(AS56+AS50))</f>
        <v>0.35175000000000001</v>
      </c>
      <c r="AT54" s="73"/>
      <c r="AU54" s="72">
        <f>(AU55*(AU56+AU50))</f>
        <v>0.35175000000000001</v>
      </c>
      <c r="AV54" s="73"/>
      <c r="AW54" s="72">
        <f>(AW55*(AW56+AW50))</f>
        <v>0.35175000000000001</v>
      </c>
      <c r="AX54" s="73"/>
      <c r="AY54" s="72">
        <f>(AY55*(AY56+AY50))</f>
        <v>0.35175000000000001</v>
      </c>
      <c r="AZ54" s="73"/>
      <c r="BA54" s="72">
        <f>(BA55*(BA56+BA50))</f>
        <v>0.35175000000000006</v>
      </c>
      <c r="BB54" s="73"/>
      <c r="BC54" s="72">
        <f>(BC55*(BC56+BC50))</f>
        <v>0.35175000000000006</v>
      </c>
      <c r="BD54" s="73"/>
      <c r="BE54" s="72">
        <f>(BE55*(BE56+BE50))</f>
        <v>0.3519917658515474</v>
      </c>
      <c r="BF54" s="73"/>
      <c r="BG54" s="72">
        <f>(BG55*(BG56+BG50))</f>
        <v>0.3519917658515474</v>
      </c>
      <c r="BH54" s="73"/>
      <c r="BI54" s="72">
        <f>(BI55*(BI56+BI50))</f>
        <v>0.3519917658515474</v>
      </c>
      <c r="BJ54" s="73"/>
      <c r="BK54" s="72">
        <f>(BK55*(BK56+BK50))</f>
        <v>0.3519917658515474</v>
      </c>
      <c r="BL54" s="73"/>
      <c r="BM54" s="72">
        <f>(BM55*(BM56+BM50))</f>
        <v>0.3519917658515474</v>
      </c>
      <c r="BN54" s="73"/>
      <c r="BO54" s="72">
        <f>(BO55*(BO56+BO50))</f>
        <v>0.3519917658515474</v>
      </c>
      <c r="BP54" s="73"/>
      <c r="BQ54" s="72">
        <f>(BQ55*(BQ56+BQ50))</f>
        <v>0.3519917658515474</v>
      </c>
      <c r="BR54" s="73"/>
      <c r="BS54" s="72">
        <f>(BS55*(BS56+BS50))</f>
        <v>0.3519917658515474</v>
      </c>
      <c r="BV54" s="73"/>
      <c r="BW54" s="72">
        <f>(BW55*(BW56+BW50))</f>
        <v>0.35175000000000006</v>
      </c>
      <c r="BX54" s="73"/>
      <c r="BY54" s="72">
        <f t="shared" ref="BY54" si="79">(BY55*(BY56+BY50))</f>
        <v>0.3519917658515474</v>
      </c>
    </row>
    <row r="55" spans="1:82" s="4" customFormat="1" ht="18" customHeight="1" outlineLevel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47"/>
      <c r="I55" s="1082">
        <v>0.1</v>
      </c>
      <c r="J55" s="47"/>
      <c r="K55" s="1082">
        <v>0.1</v>
      </c>
      <c r="L55" s="47"/>
      <c r="M55" s="1082">
        <v>0.1</v>
      </c>
      <c r="N55" s="47"/>
      <c r="O55" s="1082">
        <v>0.1</v>
      </c>
      <c r="P55" s="47"/>
      <c r="Q55" s="1082">
        <v>0.1</v>
      </c>
      <c r="R55" s="47"/>
      <c r="S55" s="1082">
        <v>0.1</v>
      </c>
      <c r="T55" s="47"/>
      <c r="U55" s="1082">
        <v>0.1</v>
      </c>
      <c r="V55" s="47"/>
      <c r="W55" s="1082">
        <v>0.1</v>
      </c>
      <c r="X55" s="47"/>
      <c r="Y55" s="1082">
        <v>0.1</v>
      </c>
      <c r="Z55" s="47"/>
      <c r="AA55" s="1082">
        <v>0.1</v>
      </c>
      <c r="AB55" s="47"/>
      <c r="AC55" s="1082">
        <v>0.1</v>
      </c>
      <c r="AD55" s="47"/>
      <c r="AE55" s="1082">
        <v>0.1</v>
      </c>
      <c r="AF55" s="47"/>
      <c r="AG55" s="1082">
        <v>0.1</v>
      </c>
      <c r="AH55" s="47"/>
      <c r="AI55" s="1082">
        <v>0.1</v>
      </c>
      <c r="AJ55" s="47"/>
      <c r="AK55" s="1082">
        <v>0.1</v>
      </c>
      <c r="AL55" s="47"/>
      <c r="AM55" s="1082">
        <v>0.1</v>
      </c>
      <c r="AN55" s="47"/>
      <c r="AO55" s="1082">
        <v>0.1</v>
      </c>
      <c r="AP55" s="47"/>
      <c r="AQ55" s="1082">
        <v>0.1</v>
      </c>
      <c r="AR55" s="47"/>
      <c r="AS55" s="1082">
        <v>0.1</v>
      </c>
      <c r="AT55" s="47"/>
      <c r="AU55" s="1082">
        <v>0.1</v>
      </c>
      <c r="AV55" s="47"/>
      <c r="AW55" s="1082">
        <v>0.1</v>
      </c>
      <c r="AX55" s="47"/>
      <c r="AY55" s="1082">
        <v>0.1</v>
      </c>
      <c r="AZ55" s="47"/>
      <c r="BA55" s="1082">
        <v>0.1</v>
      </c>
      <c r="BB55" s="47"/>
      <c r="BC55" s="1082">
        <v>0.1</v>
      </c>
      <c r="BD55" s="47"/>
      <c r="BE55" s="1082">
        <v>0.1</v>
      </c>
      <c r="BF55" s="47"/>
      <c r="BG55" s="1082">
        <v>0.1</v>
      </c>
      <c r="BH55" s="47"/>
      <c r="BI55" s="1082">
        <v>0.1</v>
      </c>
      <c r="BJ55" s="47"/>
      <c r="BK55" s="1082">
        <v>0.1</v>
      </c>
      <c r="BL55" s="47"/>
      <c r="BM55" s="1082">
        <v>0.1</v>
      </c>
      <c r="BN55" s="47"/>
      <c r="BO55" s="1082">
        <v>0.1</v>
      </c>
      <c r="BP55" s="47"/>
      <c r="BQ55" s="1082">
        <v>0.1</v>
      </c>
      <c r="BR55" s="47"/>
      <c r="BS55" s="1082">
        <v>0.1</v>
      </c>
      <c r="BV55" s="47"/>
      <c r="BW55" s="1082">
        <v>0.1</v>
      </c>
      <c r="BX55" s="47"/>
      <c r="BY55" s="1082">
        <v>0.1</v>
      </c>
    </row>
    <row r="56" spans="1:82" s="4" customFormat="1" ht="18" customHeight="1" outlineLevel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3.3499999999999996</v>
      </c>
      <c r="H56" s="81"/>
      <c r="I56" s="82">
        <f>I60-I57+I58</f>
        <v>3.3499999999999996</v>
      </c>
      <c r="J56" s="81"/>
      <c r="K56" s="82">
        <f>K60-K57+K58</f>
        <v>3.3499999999999996</v>
      </c>
      <c r="L56" s="81"/>
      <c r="M56" s="82">
        <f>M60-M57+M58</f>
        <v>3.3499999999999996</v>
      </c>
      <c r="N56" s="81"/>
      <c r="O56" s="82">
        <f>O60-O57+O58</f>
        <v>3.3499999999999996</v>
      </c>
      <c r="P56" s="81"/>
      <c r="Q56" s="82">
        <f>Q60-Q57+Q58</f>
        <v>3.3499999999999996</v>
      </c>
      <c r="R56" s="81"/>
      <c r="S56" s="82">
        <f>S60-S57+S58</f>
        <v>3.3499999999999996</v>
      </c>
      <c r="T56" s="81"/>
      <c r="U56" s="82">
        <f>U60-U57+U58</f>
        <v>3.3499999999999996</v>
      </c>
      <c r="V56" s="81"/>
      <c r="W56" s="82">
        <f>W60-W57+W58</f>
        <v>3.3499999999999996</v>
      </c>
      <c r="X56" s="81"/>
      <c r="Y56" s="82">
        <f>Y60-Y57+Y58</f>
        <v>3.3499999999999996</v>
      </c>
      <c r="Z56" s="81"/>
      <c r="AA56" s="82">
        <f>AA60-AA57+AA58</f>
        <v>3.3499999999999996</v>
      </c>
      <c r="AB56" s="81"/>
      <c r="AC56" s="82">
        <f>AC60-AC57+AC58</f>
        <v>3.4934634260341202</v>
      </c>
      <c r="AD56" s="81"/>
      <c r="AE56" s="82">
        <f>AE60-AE57+AE58</f>
        <v>3.3499999999999996</v>
      </c>
      <c r="AF56" s="81"/>
      <c r="AG56" s="82">
        <f>AG60-AG57+AG58</f>
        <v>3.3499999999999996</v>
      </c>
      <c r="AH56" s="81"/>
      <c r="AI56" s="82">
        <f>AI60-AI57+AI58</f>
        <v>3.3499999999999996</v>
      </c>
      <c r="AJ56" s="81"/>
      <c r="AK56" s="82">
        <f>AK60-AK57+AK58</f>
        <v>3.3499999999999996</v>
      </c>
      <c r="AL56" s="81"/>
      <c r="AM56" s="82">
        <f>AM60-AM57+AM58</f>
        <v>3.3499999999999996</v>
      </c>
      <c r="AN56" s="81"/>
      <c r="AO56" s="82">
        <f>AO60-AO57+AO58</f>
        <v>3.3499999999999996</v>
      </c>
      <c r="AP56" s="81"/>
      <c r="AQ56" s="82">
        <f>AQ60-AQ57+AQ58</f>
        <v>3.3499999999999996</v>
      </c>
      <c r="AR56" s="81"/>
      <c r="AS56" s="82">
        <f>AS60-AS57+AS58</f>
        <v>3.3499999999999996</v>
      </c>
      <c r="AT56" s="81"/>
      <c r="AU56" s="82">
        <f>AU60-AU57+AU58</f>
        <v>3.3499999999999996</v>
      </c>
      <c r="AV56" s="81"/>
      <c r="AW56" s="82">
        <f>AW60-AW57+AW58</f>
        <v>3.3499999999999996</v>
      </c>
      <c r="AX56" s="81"/>
      <c r="AY56" s="82">
        <f>AY60-AY57+AY58</f>
        <v>3.3499999999999996</v>
      </c>
      <c r="AZ56" s="81"/>
      <c r="BA56" s="82">
        <f>BA60-BA57+BA58</f>
        <v>3.3500000000000005</v>
      </c>
      <c r="BB56" s="81"/>
      <c r="BC56" s="82">
        <f>BC60-BC57+BC58</f>
        <v>3.3500000000000005</v>
      </c>
      <c r="BD56" s="81"/>
      <c r="BE56" s="82">
        <f>BE60-BE57+BE58</f>
        <v>3.3523025319194986</v>
      </c>
      <c r="BF56" s="81"/>
      <c r="BG56" s="82">
        <f>BG60-BG57+BG58</f>
        <v>3.3523025319194986</v>
      </c>
      <c r="BH56" s="81"/>
      <c r="BI56" s="82">
        <f>BI60-BI57+BI58</f>
        <v>3.3523025319194986</v>
      </c>
      <c r="BJ56" s="81"/>
      <c r="BK56" s="82">
        <f>BK60-BK57+BK58</f>
        <v>3.3523025319194986</v>
      </c>
      <c r="BL56" s="81"/>
      <c r="BM56" s="82">
        <f>BM60-BM57+BM58</f>
        <v>3.3523025319194986</v>
      </c>
      <c r="BN56" s="81"/>
      <c r="BO56" s="82">
        <f>BO60-BO57+BO58</f>
        <v>3.3523025319194986</v>
      </c>
      <c r="BP56" s="81"/>
      <c r="BQ56" s="82">
        <f>BQ60-BQ57+BQ58</f>
        <v>3.3523025319194986</v>
      </c>
      <c r="BR56" s="81"/>
      <c r="BS56" s="82">
        <f>BS60-BS57+BS58</f>
        <v>3.3523025319194986</v>
      </c>
      <c r="BV56" s="81"/>
      <c r="BW56" s="82">
        <f>BW60-BW57+BW58</f>
        <v>3.3500000000000005</v>
      </c>
      <c r="BX56" s="81"/>
      <c r="BY56" s="82">
        <f t="shared" ref="BY56" si="80">BY60-BY57+BY58</f>
        <v>3.3523025319194986</v>
      </c>
    </row>
    <row r="57" spans="1:82" s="4" customFormat="1" ht="18" customHeight="1" outlineLevel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1.03</v>
      </c>
      <c r="H57" s="85"/>
      <c r="I57" s="86">
        <v>1.03</v>
      </c>
      <c r="J57" s="85"/>
      <c r="K57" s="86">
        <v>1.03</v>
      </c>
      <c r="L57" s="85"/>
      <c r="M57" s="86">
        <v>1.03</v>
      </c>
      <c r="N57" s="85"/>
      <c r="O57" s="86">
        <v>1.03</v>
      </c>
      <c r="P57" s="85"/>
      <c r="Q57" s="86">
        <v>1.03</v>
      </c>
      <c r="R57" s="85"/>
      <c r="S57" s="86">
        <v>1.03</v>
      </c>
      <c r="T57" s="85"/>
      <c r="U57" s="86">
        <v>1.03</v>
      </c>
      <c r="V57" s="85"/>
      <c r="W57" s="86">
        <v>1.03</v>
      </c>
      <c r="X57" s="85"/>
      <c r="Y57" s="86">
        <v>1.03</v>
      </c>
      <c r="Z57" s="85"/>
      <c r="AA57" s="86">
        <v>1.03</v>
      </c>
      <c r="AB57" s="85"/>
      <c r="AC57" s="86">
        <v>0.88653657396587981</v>
      </c>
      <c r="AD57" s="85"/>
      <c r="AE57" s="86">
        <v>1.03</v>
      </c>
      <c r="AF57" s="85"/>
      <c r="AG57" s="86">
        <v>1.03</v>
      </c>
      <c r="AH57" s="85"/>
      <c r="AI57" s="86">
        <v>1.03</v>
      </c>
      <c r="AJ57" s="85"/>
      <c r="AK57" s="86">
        <v>1.03</v>
      </c>
      <c r="AL57" s="85"/>
      <c r="AM57" s="86">
        <v>1.03</v>
      </c>
      <c r="AN57" s="85"/>
      <c r="AO57" s="86">
        <v>1.03</v>
      </c>
      <c r="AP57" s="85"/>
      <c r="AQ57" s="86">
        <v>1.03</v>
      </c>
      <c r="AR57" s="85"/>
      <c r="AS57" s="86">
        <v>1.03</v>
      </c>
      <c r="AT57" s="85"/>
      <c r="AU57" s="86">
        <v>1.03</v>
      </c>
      <c r="AV57" s="85"/>
      <c r="AW57" s="86">
        <v>1.03</v>
      </c>
      <c r="AX57" s="85"/>
      <c r="AY57" s="86">
        <v>1.03</v>
      </c>
      <c r="AZ57" s="85"/>
      <c r="BA57" s="86">
        <v>1.05</v>
      </c>
      <c r="BB57" s="85"/>
      <c r="BC57" s="86">
        <v>1.05</v>
      </c>
      <c r="BD57" s="85"/>
      <c r="BE57" s="86">
        <v>1.05</v>
      </c>
      <c r="BF57" s="85"/>
      <c r="BG57" s="86">
        <v>1.05</v>
      </c>
      <c r="BH57" s="85"/>
      <c r="BI57" s="86">
        <v>1.05</v>
      </c>
      <c r="BJ57" s="85"/>
      <c r="BK57" s="86">
        <v>1.05</v>
      </c>
      <c r="BL57" s="85"/>
      <c r="BM57" s="86">
        <v>1.05</v>
      </c>
      <c r="BN57" s="85"/>
      <c r="BO57" s="86">
        <v>1.05</v>
      </c>
      <c r="BP57" s="85"/>
      <c r="BQ57" s="86">
        <v>1.05</v>
      </c>
      <c r="BR57" s="85"/>
      <c r="BS57" s="86">
        <v>1.05</v>
      </c>
      <c r="BV57" s="85"/>
      <c r="BW57" s="86">
        <v>1.05</v>
      </c>
      <c r="BX57" s="85"/>
      <c r="BY57" s="86">
        <v>1.05</v>
      </c>
      <c r="CC57" s="4" t="s">
        <v>381</v>
      </c>
    </row>
    <row r="58" spans="1:82" s="4" customFormat="1" ht="18" customHeight="1" outlineLevel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V58" s="85"/>
      <c r="BW58" s="86">
        <v>0</v>
      </c>
      <c r="BX58" s="85"/>
      <c r="BY58" s="86">
        <v>0</v>
      </c>
      <c r="CC58" s="4" t="s">
        <v>382</v>
      </c>
    </row>
    <row r="59" spans="1:82" s="4" customFormat="1" ht="18" customHeight="1" outlineLevel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4.38</v>
      </c>
      <c r="H59" s="85"/>
      <c r="I59" s="86">
        <f>+I62+I65+I67</f>
        <v>4.38</v>
      </c>
      <c r="J59" s="85"/>
      <c r="K59" s="86">
        <f>+K62+K65+K67</f>
        <v>4.38</v>
      </c>
      <c r="L59" s="85"/>
      <c r="M59" s="86">
        <f>+M62+M65+M67</f>
        <v>4.38</v>
      </c>
      <c r="N59" s="85"/>
      <c r="O59" s="86">
        <f>+O62+O65+O67</f>
        <v>4.38</v>
      </c>
      <c r="P59" s="85"/>
      <c r="Q59" s="86">
        <f>+Q62+Q65+Q67</f>
        <v>4.38</v>
      </c>
      <c r="R59" s="85"/>
      <c r="S59" s="86">
        <f>+S62+S65+S67</f>
        <v>4.38</v>
      </c>
      <c r="T59" s="85"/>
      <c r="U59" s="86">
        <f>+U62+U65+U67</f>
        <v>4.38</v>
      </c>
      <c r="V59" s="85"/>
      <c r="W59" s="86">
        <f>+W62+W65+W67</f>
        <v>4.38</v>
      </c>
      <c r="X59" s="85"/>
      <c r="Y59" s="86">
        <f>+Y62+Y65+Y67</f>
        <v>4.38</v>
      </c>
      <c r="Z59" s="85"/>
      <c r="AA59" s="86">
        <f>+AA62+AA65+AA67</f>
        <v>4.38</v>
      </c>
      <c r="AB59" s="85"/>
      <c r="AC59" s="86">
        <f>+AC62+AC65+AC67</f>
        <v>4.38</v>
      </c>
      <c r="AD59" s="85"/>
      <c r="AE59" s="86">
        <f>+AE62+AE65+AE67</f>
        <v>4.38</v>
      </c>
      <c r="AF59" s="85"/>
      <c r="AG59" s="86">
        <f>+AG62+AG65+AG67</f>
        <v>4.38</v>
      </c>
      <c r="AH59" s="85"/>
      <c r="AI59" s="86">
        <f>+AI62+AI65+AI67</f>
        <v>4.38</v>
      </c>
      <c r="AJ59" s="85"/>
      <c r="AK59" s="86">
        <f>+AK62+AK65+AK67</f>
        <v>4.38</v>
      </c>
      <c r="AL59" s="85"/>
      <c r="AM59" s="86">
        <f>+AM62+AM65+AM67</f>
        <v>4.38</v>
      </c>
      <c r="AN59" s="85"/>
      <c r="AO59" s="86">
        <f>+AO62+AO65+AO67</f>
        <v>4.38</v>
      </c>
      <c r="AP59" s="85"/>
      <c r="AQ59" s="86">
        <f>+AQ62+AQ65+AQ67</f>
        <v>4.38</v>
      </c>
      <c r="AR59" s="85"/>
      <c r="AS59" s="86">
        <f>+AS62+AS65+AS67</f>
        <v>4.38</v>
      </c>
      <c r="AT59" s="85"/>
      <c r="AU59" s="86">
        <f>+AU62+AU65+AU67</f>
        <v>4.38</v>
      </c>
      <c r="AV59" s="85"/>
      <c r="AW59" s="86">
        <f>+AW62+AW65+AW67</f>
        <v>4.38</v>
      </c>
      <c r="AX59" s="85"/>
      <c r="AY59" s="86">
        <f>+AY62+AY65+AY67</f>
        <v>4.38</v>
      </c>
      <c r="AZ59" s="85"/>
      <c r="BA59" s="86">
        <f>+BA62+BA65+BA67</f>
        <v>4.4000000000000004</v>
      </c>
      <c r="BB59" s="85"/>
      <c r="BC59" s="86">
        <f>+BC62+BC65+BC67</f>
        <v>4.4000000000000004</v>
      </c>
      <c r="BD59" s="85"/>
      <c r="BE59" s="86">
        <f>+BE62+BE65+BE67</f>
        <v>4.4023025319194975</v>
      </c>
      <c r="BF59" s="85"/>
      <c r="BG59" s="86">
        <f>+BG62+BG65+BG67</f>
        <v>4.4023025319194975</v>
      </c>
      <c r="BH59" s="85"/>
      <c r="BI59" s="86">
        <f>+BI62+BI65+BI67</f>
        <v>4.4023025319194975</v>
      </c>
      <c r="BJ59" s="85"/>
      <c r="BK59" s="86">
        <f>+BK62+BK65+BK67</f>
        <v>4.4023025319194975</v>
      </c>
      <c r="BL59" s="85"/>
      <c r="BM59" s="86">
        <f>+BM62+BM65+BM67</f>
        <v>4.4023025319194975</v>
      </c>
      <c r="BN59" s="85"/>
      <c r="BO59" s="86">
        <f>+BO62+BO65+BO67</f>
        <v>4.4023025319194975</v>
      </c>
      <c r="BP59" s="85"/>
      <c r="BQ59" s="86">
        <f>+BQ62+BQ65+BQ67</f>
        <v>4.4023025319194975</v>
      </c>
      <c r="BR59" s="85"/>
      <c r="BS59" s="86">
        <f>+BS62+BS65+BS67</f>
        <v>4.4023025319194975</v>
      </c>
      <c r="BV59" s="85"/>
      <c r="BW59" s="86">
        <f>+BW62+BW65+BW67</f>
        <v>4.4000000000000004</v>
      </c>
      <c r="BX59" s="85"/>
      <c r="BY59" s="86">
        <f>+BY62+BY65+BY67</f>
        <v>4.4023025319194975</v>
      </c>
      <c r="CC59" s="4" t="s">
        <v>383</v>
      </c>
    </row>
    <row r="60" spans="1:82" s="4" customFormat="1" ht="18" customHeight="1" outlineLevel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4.38</v>
      </c>
      <c r="H60" s="81"/>
      <c r="I60" s="82">
        <f>I65+I67</f>
        <v>4.38</v>
      </c>
      <c r="J60" s="81"/>
      <c r="K60" s="82">
        <f>K65+K67</f>
        <v>4.38</v>
      </c>
      <c r="L60" s="81"/>
      <c r="M60" s="82">
        <f>M65+M67</f>
        <v>4.38</v>
      </c>
      <c r="N60" s="81"/>
      <c r="O60" s="82">
        <f>O65+O67</f>
        <v>4.38</v>
      </c>
      <c r="P60" s="81"/>
      <c r="Q60" s="82">
        <f>Q65+Q67</f>
        <v>4.38</v>
      </c>
      <c r="R60" s="81"/>
      <c r="S60" s="82">
        <f>S65+S67</f>
        <v>4.38</v>
      </c>
      <c r="T60" s="81"/>
      <c r="U60" s="82">
        <f>U65+U67</f>
        <v>4.38</v>
      </c>
      <c r="V60" s="81"/>
      <c r="W60" s="82">
        <f>W65+W67</f>
        <v>4.38</v>
      </c>
      <c r="X60" s="81"/>
      <c r="Y60" s="82">
        <f>Y65+Y67</f>
        <v>4.38</v>
      </c>
      <c r="Z60" s="81"/>
      <c r="AA60" s="82">
        <f>AA65+AA67</f>
        <v>4.38</v>
      </c>
      <c r="AB60" s="81"/>
      <c r="AC60" s="82">
        <f>AC65+AC67</f>
        <v>4.38</v>
      </c>
      <c r="AD60" s="81"/>
      <c r="AE60" s="82">
        <f>AE65+AE67</f>
        <v>4.38</v>
      </c>
      <c r="AF60" s="81"/>
      <c r="AG60" s="82">
        <f>AG65+AG67</f>
        <v>4.38</v>
      </c>
      <c r="AH60" s="81"/>
      <c r="AI60" s="82">
        <f>AI65+AI67</f>
        <v>4.38</v>
      </c>
      <c r="AJ60" s="81"/>
      <c r="AK60" s="82">
        <f>AK65+AK67</f>
        <v>4.38</v>
      </c>
      <c r="AL60" s="81"/>
      <c r="AM60" s="82">
        <f>AM65+AM67</f>
        <v>4.38</v>
      </c>
      <c r="AN60" s="81"/>
      <c r="AO60" s="82">
        <f>AO65+AO67</f>
        <v>4.38</v>
      </c>
      <c r="AP60" s="81"/>
      <c r="AQ60" s="82">
        <f>AQ65+AQ67</f>
        <v>4.38</v>
      </c>
      <c r="AR60" s="81"/>
      <c r="AS60" s="82">
        <f>AS65+AS67</f>
        <v>4.38</v>
      </c>
      <c r="AT60" s="81"/>
      <c r="AU60" s="82">
        <f>AU65+AU67</f>
        <v>4.38</v>
      </c>
      <c r="AV60" s="81"/>
      <c r="AW60" s="82">
        <f>AW65+AW67</f>
        <v>4.38</v>
      </c>
      <c r="AX60" s="81"/>
      <c r="AY60" s="82">
        <f>AY65+AY67</f>
        <v>4.38</v>
      </c>
      <c r="AZ60" s="81"/>
      <c r="BA60" s="82">
        <f>BA65+BA67+BA62</f>
        <v>4.4000000000000004</v>
      </c>
      <c r="BB60" s="81"/>
      <c r="BC60" s="82">
        <f>BC65+BC67+BC62</f>
        <v>4.4000000000000004</v>
      </c>
      <c r="BD60" s="81"/>
      <c r="BE60" s="82">
        <f>BE65+BE67+BE62</f>
        <v>4.4023025319194984</v>
      </c>
      <c r="BF60" s="81"/>
      <c r="BG60" s="82">
        <f>BG65+BG67+BG62</f>
        <v>4.4023025319194984</v>
      </c>
      <c r="BH60" s="81"/>
      <c r="BI60" s="82">
        <f>BI65+BI67+BI62</f>
        <v>4.4023025319194984</v>
      </c>
      <c r="BJ60" s="81"/>
      <c r="BK60" s="82">
        <f>BK65+BK67+BK62</f>
        <v>4.4023025319194984</v>
      </c>
      <c r="BL60" s="81"/>
      <c r="BM60" s="82">
        <f>BM65+BM67+BM62</f>
        <v>4.4023025319194984</v>
      </c>
      <c r="BN60" s="81"/>
      <c r="BO60" s="82">
        <f>BO65+BO67+BO62</f>
        <v>4.4023025319194984</v>
      </c>
      <c r="BP60" s="81"/>
      <c r="BQ60" s="82">
        <f>BQ65+BQ67+BQ62</f>
        <v>4.4023025319194984</v>
      </c>
      <c r="BR60" s="81"/>
      <c r="BS60" s="82">
        <f>BS65+BS67+BS62</f>
        <v>4.4023025319194984</v>
      </c>
      <c r="BV60" s="81"/>
      <c r="BW60" s="82">
        <f>BW65+BW67+BW62</f>
        <v>4.4000000000000004</v>
      </c>
      <c r="BX60" s="81"/>
      <c r="BY60" s="82">
        <f>BY65+BY67+BY62</f>
        <v>4.4023025319194984</v>
      </c>
      <c r="CC60" s="1278" t="s">
        <v>384</v>
      </c>
      <c r="CD60" s="1278"/>
    </row>
    <row r="61" spans="1:82" s="4" customFormat="1" ht="18" customHeight="1" outlineLevel="2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42"/>
      <c r="O61" s="88"/>
      <c r="P61" s="42"/>
      <c r="Q61" s="88"/>
      <c r="R61" s="42"/>
      <c r="S61" s="88"/>
      <c r="T61" s="42"/>
      <c r="U61" s="88"/>
      <c r="V61" s="42"/>
      <c r="W61" s="88"/>
      <c r="X61" s="42"/>
      <c r="Y61" s="88"/>
      <c r="Z61" s="42"/>
      <c r="AA61" s="88"/>
      <c r="AB61" s="42"/>
      <c r="AC61" s="88"/>
      <c r="AD61" s="42"/>
      <c r="AE61" s="88"/>
      <c r="AF61" s="42"/>
      <c r="AG61" s="88"/>
      <c r="AH61" s="42"/>
      <c r="AI61" s="88"/>
      <c r="AJ61" s="42"/>
      <c r="AK61" s="88"/>
      <c r="AL61" s="42"/>
      <c r="AM61" s="88"/>
      <c r="AN61" s="42"/>
      <c r="AO61" s="88"/>
      <c r="AP61" s="42"/>
      <c r="AQ61" s="88"/>
      <c r="AR61" s="42"/>
      <c r="AS61" s="88"/>
      <c r="AT61" s="42"/>
      <c r="AU61" s="88"/>
      <c r="AV61" s="42"/>
      <c r="AW61" s="88"/>
      <c r="AX61" s="42"/>
      <c r="AY61" s="88"/>
      <c r="AZ61" s="42"/>
      <c r="BA61" s="88"/>
      <c r="BB61" s="42"/>
      <c r="BC61" s="88"/>
      <c r="BD61" s="42"/>
      <c r="BE61" s="88"/>
      <c r="BF61" s="42"/>
      <c r="BG61" s="88"/>
      <c r="BH61" s="42"/>
      <c r="BI61" s="88"/>
      <c r="BJ61" s="42"/>
      <c r="BK61" s="88"/>
      <c r="BL61" s="42"/>
      <c r="BM61" s="88"/>
      <c r="BN61" s="42"/>
      <c r="BO61" s="88"/>
      <c r="BP61" s="42"/>
      <c r="BQ61" s="88"/>
      <c r="BR61" s="42"/>
      <c r="BS61" s="88"/>
      <c r="BV61" s="42"/>
      <c r="BW61" s="88"/>
      <c r="BX61" s="42"/>
      <c r="BY61" s="88"/>
      <c r="CC61" s="1278"/>
      <c r="CD61" s="1278"/>
    </row>
    <row r="62" spans="1:82" s="4" customFormat="1" ht="18" customHeight="1" outlineLevel="2" x14ac:dyDescent="0.45">
      <c r="A62" s="561"/>
      <c r="B62" s="1184"/>
      <c r="C62" s="71" t="s">
        <v>385</v>
      </c>
      <c r="D62" s="16"/>
      <c r="E62" s="35" t="s">
        <v>68</v>
      </c>
      <c r="F62" s="89"/>
      <c r="G62" s="374">
        <v>0</v>
      </c>
      <c r="H62" s="89"/>
      <c r="I62" s="374">
        <v>0</v>
      </c>
      <c r="J62" s="89"/>
      <c r="K62" s="374">
        <v>0</v>
      </c>
      <c r="L62" s="89"/>
      <c r="M62" s="374">
        <v>0</v>
      </c>
      <c r="N62" s="89"/>
      <c r="O62" s="374">
        <v>0</v>
      </c>
      <c r="P62" s="89"/>
      <c r="Q62" s="374">
        <v>0</v>
      </c>
      <c r="R62" s="89"/>
      <c r="S62" s="374">
        <v>0</v>
      </c>
      <c r="T62" s="89"/>
      <c r="U62" s="374">
        <v>0</v>
      </c>
      <c r="V62" s="89"/>
      <c r="W62" s="374">
        <v>0</v>
      </c>
      <c r="X62" s="89"/>
      <c r="Y62" s="374">
        <v>0</v>
      </c>
      <c r="Z62" s="89"/>
      <c r="AA62" s="374">
        <v>0</v>
      </c>
      <c r="AB62" s="89"/>
      <c r="AC62" s="374">
        <v>0</v>
      </c>
      <c r="AD62" s="89"/>
      <c r="AE62" s="374">
        <v>0</v>
      </c>
      <c r="AF62" s="89"/>
      <c r="AG62" s="374">
        <v>0</v>
      </c>
      <c r="AH62" s="89"/>
      <c r="AI62" s="374">
        <v>0</v>
      </c>
      <c r="AJ62" s="89"/>
      <c r="AK62" s="374">
        <v>0</v>
      </c>
      <c r="AL62" s="89"/>
      <c r="AM62" s="374">
        <v>0</v>
      </c>
      <c r="AN62" s="89"/>
      <c r="AO62" s="374">
        <v>0</v>
      </c>
      <c r="AP62" s="89"/>
      <c r="AQ62" s="374">
        <v>0</v>
      </c>
      <c r="AR62" s="89"/>
      <c r="AS62" s="374">
        <v>0</v>
      </c>
      <c r="AT62" s="89"/>
      <c r="AU62" s="374">
        <v>0</v>
      </c>
      <c r="AV62" s="89"/>
      <c r="AW62" s="374">
        <v>0</v>
      </c>
      <c r="AX62" s="89"/>
      <c r="AY62" s="374">
        <v>0</v>
      </c>
      <c r="AZ62" s="89">
        <f>4.4-BA60</f>
        <v>0</v>
      </c>
      <c r="BA62" s="374">
        <v>-6.2499999999996447E-3</v>
      </c>
      <c r="BB62" s="89">
        <f>4.4-BC60</f>
        <v>0</v>
      </c>
      <c r="BC62" s="374">
        <v>-6.2499999999996447E-3</v>
      </c>
      <c r="BD62" s="89">
        <f>4.4-BE60</f>
        <v>-2.3025319194980298E-3</v>
      </c>
      <c r="BE62" s="374">
        <v>-0.01</v>
      </c>
      <c r="BF62" s="89">
        <f>4.4-BG60</f>
        <v>-2.3025319194980298E-3</v>
      </c>
      <c r="BG62" s="374">
        <v>-0.01</v>
      </c>
      <c r="BH62" s="89">
        <f>4.4-BI60</f>
        <v>-2.3025319194980298E-3</v>
      </c>
      <c r="BI62" s="374">
        <v>-0.01</v>
      </c>
      <c r="BJ62" s="89">
        <f>4.4-BK60</f>
        <v>-2.3025319194980298E-3</v>
      </c>
      <c r="BK62" s="374">
        <v>-0.01</v>
      </c>
      <c r="BL62" s="89">
        <f>4.4-BM60</f>
        <v>-2.3025319194980298E-3</v>
      </c>
      <c r="BM62" s="374">
        <v>-0.01</v>
      </c>
      <c r="BN62" s="89">
        <f>4.4-BO60</f>
        <v>-2.3025319194980298E-3</v>
      </c>
      <c r="BO62" s="374">
        <v>-0.01</v>
      </c>
      <c r="BP62" s="89">
        <f>4.4-BQ60</f>
        <v>-2.3025319194980298E-3</v>
      </c>
      <c r="BQ62" s="374">
        <v>-0.01</v>
      </c>
      <c r="BR62" s="89">
        <f>4.4-BS60</f>
        <v>-2.3025319194980298E-3</v>
      </c>
      <c r="BS62" s="374">
        <v>-0.01</v>
      </c>
      <c r="BV62" s="89">
        <f>4.4-BW60</f>
        <v>0</v>
      </c>
      <c r="BW62" s="374">
        <v>-6.2499999999996447E-3</v>
      </c>
      <c r="BX62" s="89">
        <f>4.4-BY60</f>
        <v>-2.3025319194980298E-3</v>
      </c>
      <c r="BY62" s="374">
        <v>-0.01</v>
      </c>
      <c r="CC62" s="1278"/>
      <c r="CD62" s="1278"/>
    </row>
    <row r="63" spans="1:82" s="4" customFormat="1" ht="18" customHeight="1" outlineLevel="2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2.19725E-3</v>
      </c>
      <c r="H63" s="89"/>
      <c r="I63" s="90">
        <f>0.0425/100*(6.2-I57)</f>
        <v>2.19725E-3</v>
      </c>
      <c r="J63" s="89"/>
      <c r="K63" s="90">
        <f>0.0425/100*(6.2-K57)</f>
        <v>2.19725E-3</v>
      </c>
      <c r="L63" s="89"/>
      <c r="M63" s="90">
        <f>0.0425/100*(6.2-M57)</f>
        <v>2.19725E-3</v>
      </c>
      <c r="N63" s="89"/>
      <c r="O63" s="90">
        <f>0.0425/100*(6.2-O57)</f>
        <v>2.19725E-3</v>
      </c>
      <c r="P63" s="89"/>
      <c r="Q63" s="90">
        <f>0.0425/100*(6.2-Q57)</f>
        <v>2.19725E-3</v>
      </c>
      <c r="R63" s="89"/>
      <c r="S63" s="90">
        <f>0.0425/100*(6.2-S57)</f>
        <v>2.19725E-3</v>
      </c>
      <c r="T63" s="89"/>
      <c r="U63" s="90">
        <f>0.0425/100*(6.2-U57)</f>
        <v>2.19725E-3</v>
      </c>
      <c r="V63" s="89"/>
      <c r="W63" s="90">
        <f>0.0425/100*(6.2-W57)</f>
        <v>2.19725E-3</v>
      </c>
      <c r="X63" s="89"/>
      <c r="Y63" s="90">
        <f>0.0425/100*(6.2-Y57)</f>
        <v>2.19725E-3</v>
      </c>
      <c r="Z63" s="89"/>
      <c r="AA63" s="90">
        <f>0.0425/100*(6.2-AA57)</f>
        <v>2.19725E-3</v>
      </c>
      <c r="AB63" s="89"/>
      <c r="AC63" s="90">
        <f>0.0425/100*(6.2-AC57)</f>
        <v>2.2582219560645014E-3</v>
      </c>
      <c r="AD63" s="89"/>
      <c r="AE63" s="90">
        <f>0.0425/100*(6.2-AE57)</f>
        <v>2.19725E-3</v>
      </c>
      <c r="AF63" s="89"/>
      <c r="AG63" s="90">
        <f>0.0425/100*(6.2-AG57)</f>
        <v>2.19725E-3</v>
      </c>
      <c r="AH63" s="89"/>
      <c r="AI63" s="90">
        <f>0.0425/100*(6.2-AI57)</f>
        <v>2.19725E-3</v>
      </c>
      <c r="AJ63" s="89"/>
      <c r="AK63" s="90">
        <f>0.0425/100*(6.2-AK57)</f>
        <v>2.19725E-3</v>
      </c>
      <c r="AL63" s="89"/>
      <c r="AM63" s="90">
        <f>0.0425/100*(6.2-AM57)</f>
        <v>2.19725E-3</v>
      </c>
      <c r="AN63" s="89"/>
      <c r="AO63" s="90">
        <f>0.0425/100*(6.2-AO57)</f>
        <v>2.19725E-3</v>
      </c>
      <c r="AP63" s="89"/>
      <c r="AQ63" s="90">
        <f>0.0425/100*(6.2-AQ57)</f>
        <v>2.19725E-3</v>
      </c>
      <c r="AR63" s="89"/>
      <c r="AS63" s="90">
        <f>0.0425/100*(6.2-AS57)</f>
        <v>2.19725E-3</v>
      </c>
      <c r="AT63" s="89"/>
      <c r="AU63" s="90">
        <f>0.0425/100*(6.2-AU57)</f>
        <v>2.19725E-3</v>
      </c>
      <c r="AV63" s="89"/>
      <c r="AW63" s="90">
        <f>0.0425/100*(6.2-AW57)</f>
        <v>2.19725E-3</v>
      </c>
      <c r="AX63" s="89"/>
      <c r="AY63" s="90">
        <f>0.0425/100*(6.2-AY57)</f>
        <v>2.19725E-3</v>
      </c>
      <c r="BA63" s="90">
        <f>0.0425/100*(6.2-BA57)</f>
        <v>2.1887500000000002E-3</v>
      </c>
      <c r="BC63" s="90">
        <f>0.0425/100*(6.2-BC57)</f>
        <v>2.1887500000000002E-3</v>
      </c>
      <c r="BE63" s="90">
        <f>0.0425/100*(6.2-BE57)</f>
        <v>2.1887500000000002E-3</v>
      </c>
      <c r="BG63" s="90">
        <f>0.0425/100*(6.2-BG57)</f>
        <v>2.1887500000000002E-3</v>
      </c>
      <c r="BI63" s="90">
        <f>0.0425/100*(6.2-BI57)</f>
        <v>2.1887500000000002E-3</v>
      </c>
      <c r="BK63" s="90">
        <f>0.0425/100*(6.2-BK57)</f>
        <v>2.1887500000000002E-3</v>
      </c>
      <c r="BM63" s="90">
        <f>0.0425/100*(6.2-BM57)</f>
        <v>2.1887500000000002E-3</v>
      </c>
      <c r="BO63" s="90">
        <f>0.0425/100*(6.2-BO57)</f>
        <v>2.1887500000000002E-3</v>
      </c>
      <c r="BQ63" s="90">
        <f>0.0425/100*(6.2-BQ57)</f>
        <v>2.1887500000000002E-3</v>
      </c>
      <c r="BS63" s="90">
        <f>0.0425/100*(6.2-BS57)</f>
        <v>2.1887500000000002E-3</v>
      </c>
      <c r="BW63" s="90">
        <f t="shared" ref="BW63" si="81">0.0425/100*(6.2-BW57)</f>
        <v>2.1887500000000002E-3</v>
      </c>
      <c r="BY63" s="90">
        <f t="shared" ref="BY63" si="82">0.0425/100*(6.2-BY57)</f>
        <v>2.1887500000000002E-3</v>
      </c>
      <c r="CC63" s="1278"/>
      <c r="CD63" s="1278"/>
    </row>
    <row r="64" spans="1:82" s="4" customFormat="1" ht="18" customHeight="1" outlineLevel="2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42"/>
      <c r="I64" s="91">
        <v>1200</v>
      </c>
      <c r="J64" s="42"/>
      <c r="K64" s="91">
        <v>1200</v>
      </c>
      <c r="L64" s="42"/>
      <c r="M64" s="91">
        <v>1200</v>
      </c>
      <c r="N64" s="42"/>
      <c r="O64" s="91">
        <v>1200</v>
      </c>
      <c r="P64" s="42"/>
      <c r="Q64" s="91">
        <v>1200</v>
      </c>
      <c r="R64" s="42"/>
      <c r="S64" s="91">
        <v>1200</v>
      </c>
      <c r="T64" s="42"/>
      <c r="U64" s="91">
        <v>1200</v>
      </c>
      <c r="V64" s="42"/>
      <c r="W64" s="91">
        <v>1200</v>
      </c>
      <c r="X64" s="42"/>
      <c r="Y64" s="91">
        <v>1200</v>
      </c>
      <c r="Z64" s="42"/>
      <c r="AA64" s="91">
        <v>1200</v>
      </c>
      <c r="AB64" s="42"/>
      <c r="AC64" s="91">
        <v>1200</v>
      </c>
      <c r="AD64" s="42"/>
      <c r="AE64" s="91">
        <v>1200</v>
      </c>
      <c r="AF64" s="42"/>
      <c r="AG64" s="91">
        <v>1200</v>
      </c>
      <c r="AH64" s="42"/>
      <c r="AI64" s="91">
        <v>1200</v>
      </c>
      <c r="AJ64" s="42"/>
      <c r="AK64" s="91">
        <v>1200</v>
      </c>
      <c r="AL64" s="42"/>
      <c r="AM64" s="91">
        <v>1200</v>
      </c>
      <c r="AN64" s="42"/>
      <c r="AO64" s="91">
        <v>1200</v>
      </c>
      <c r="AP64" s="42"/>
      <c r="AQ64" s="91">
        <v>1200</v>
      </c>
      <c r="AR64" s="42"/>
      <c r="AS64" s="91">
        <v>1200</v>
      </c>
      <c r="AT64" s="42"/>
      <c r="AU64" s="91">
        <v>1200</v>
      </c>
      <c r="AV64" s="42"/>
      <c r="AW64" s="91">
        <v>1200</v>
      </c>
      <c r="AX64" s="42"/>
      <c r="AY64" s="91">
        <v>1200</v>
      </c>
      <c r="AZ64" s="42"/>
      <c r="BA64" s="91">
        <v>750</v>
      </c>
      <c r="BB64" s="42"/>
      <c r="BC64" s="91">
        <v>750</v>
      </c>
      <c r="BD64" s="42"/>
      <c r="BE64" s="91">
        <v>750</v>
      </c>
      <c r="BF64" s="42"/>
      <c r="BG64" s="91">
        <v>750</v>
      </c>
      <c r="BH64" s="42"/>
      <c r="BI64" s="91">
        <v>750</v>
      </c>
      <c r="BJ64" s="42"/>
      <c r="BK64" s="91">
        <v>750</v>
      </c>
      <c r="BL64" s="42"/>
      <c r="BM64" s="91">
        <v>750</v>
      </c>
      <c r="BN64" s="42"/>
      <c r="BO64" s="91">
        <v>750</v>
      </c>
      <c r="BP64" s="42"/>
      <c r="BQ64" s="91">
        <v>750</v>
      </c>
      <c r="BR64" s="42"/>
      <c r="BS64" s="91">
        <v>750</v>
      </c>
      <c r="BV64" s="42"/>
      <c r="BW64" s="91">
        <v>750</v>
      </c>
      <c r="BX64" s="42"/>
      <c r="BY64" s="91">
        <v>750</v>
      </c>
      <c r="CC64" s="1278" t="s">
        <v>386</v>
      </c>
      <c r="CD64" s="1278"/>
    </row>
    <row r="65" spans="1:82" s="97" customFormat="1" ht="18" customHeight="1" outlineLevel="2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0.25</v>
      </c>
      <c r="H65" s="95"/>
      <c r="I65" s="96">
        <f>+I64/I66</f>
        <v>0.25</v>
      </c>
      <c r="J65" s="95"/>
      <c r="K65" s="96">
        <f>+K64/K66</f>
        <v>0.25</v>
      </c>
      <c r="L65" s="95"/>
      <c r="M65" s="96">
        <f>+M64/M66</f>
        <v>0.25</v>
      </c>
      <c r="N65" s="95"/>
      <c r="O65" s="96">
        <f>+O64/O66</f>
        <v>0.25</v>
      </c>
      <c r="P65" s="95"/>
      <c r="Q65" s="96">
        <f>+Q64/Q66</f>
        <v>0.25</v>
      </c>
      <c r="R65" s="95"/>
      <c r="S65" s="96">
        <f>+S64/S66</f>
        <v>0.25</v>
      </c>
      <c r="T65" s="95"/>
      <c r="U65" s="96">
        <f>+U64/U66</f>
        <v>0.25</v>
      </c>
      <c r="V65" s="95"/>
      <c r="W65" s="96">
        <f>+W64/W66</f>
        <v>0.25</v>
      </c>
      <c r="X65" s="95"/>
      <c r="Y65" s="96">
        <f>+Y64/Y66</f>
        <v>0.25</v>
      </c>
      <c r="Z65" s="95"/>
      <c r="AA65" s="96">
        <f>+AA64/AA66</f>
        <v>0.25</v>
      </c>
      <c r="AB65" s="95"/>
      <c r="AC65" s="96">
        <f>+AC64/AC66</f>
        <v>0.25</v>
      </c>
      <c r="AD65" s="95"/>
      <c r="AE65" s="96">
        <f>+AE64/AE66</f>
        <v>0.25</v>
      </c>
      <c r="AF65" s="95"/>
      <c r="AG65" s="96">
        <f>+AG64/AG66</f>
        <v>0.25</v>
      </c>
      <c r="AH65" s="95"/>
      <c r="AI65" s="96">
        <f>+AI64/AI66</f>
        <v>0.25</v>
      </c>
      <c r="AJ65" s="95"/>
      <c r="AK65" s="96">
        <f>+AK64/AK66</f>
        <v>0.25</v>
      </c>
      <c r="AL65" s="95"/>
      <c r="AM65" s="96">
        <f>+AM64/AM66</f>
        <v>0.25</v>
      </c>
      <c r="AN65" s="95"/>
      <c r="AO65" s="96">
        <f>+AO64/AO66</f>
        <v>0.25</v>
      </c>
      <c r="AP65" s="95"/>
      <c r="AQ65" s="96">
        <f>+AQ64/AQ66</f>
        <v>0.25</v>
      </c>
      <c r="AR65" s="95"/>
      <c r="AS65" s="96">
        <f>+AS64/AS66</f>
        <v>0.25</v>
      </c>
      <c r="AT65" s="95"/>
      <c r="AU65" s="96">
        <f>+AU64/AU66</f>
        <v>0.25</v>
      </c>
      <c r="AV65" s="95"/>
      <c r="AW65" s="96">
        <f>+AW64/AW66</f>
        <v>0.25</v>
      </c>
      <c r="AX65" s="95"/>
      <c r="AY65" s="96">
        <f>+AY64/AY66</f>
        <v>0.25</v>
      </c>
      <c r="AZ65" s="95"/>
      <c r="BA65" s="96">
        <f>+BA64/BA66</f>
        <v>0.15625</v>
      </c>
      <c r="BB65" s="95"/>
      <c r="BC65" s="96">
        <f>+BC64/BC66</f>
        <v>0.15625</v>
      </c>
      <c r="BD65" s="95"/>
      <c r="BE65" s="96">
        <f>+BE64/BE66</f>
        <v>0.16230253191949795</v>
      </c>
      <c r="BF65" s="95"/>
      <c r="BG65" s="96">
        <f>+BG64/BG66</f>
        <v>0.16230253191949795</v>
      </c>
      <c r="BH65" s="95"/>
      <c r="BI65" s="96">
        <f>+BI64/BI66</f>
        <v>0.16230253191949795</v>
      </c>
      <c r="BJ65" s="95"/>
      <c r="BK65" s="96">
        <f>+BK64/BK66</f>
        <v>0.16230253191949795</v>
      </c>
      <c r="BL65" s="95"/>
      <c r="BM65" s="96">
        <f>+BM64/BM66</f>
        <v>0.16230253191949795</v>
      </c>
      <c r="BN65" s="95"/>
      <c r="BO65" s="96">
        <f>+BO64/BO66</f>
        <v>0.16230253191949795</v>
      </c>
      <c r="BP65" s="95"/>
      <c r="BQ65" s="96">
        <f>+BQ64/BQ66</f>
        <v>0.16230253191949795</v>
      </c>
      <c r="BR65" s="95"/>
      <c r="BS65" s="96">
        <f>+BS64/BS66</f>
        <v>0.16230253191949795</v>
      </c>
      <c r="BV65" s="95"/>
      <c r="BW65" s="96">
        <f>+BW64/BW66</f>
        <v>0.15625</v>
      </c>
      <c r="BX65" s="95"/>
      <c r="BY65" s="96">
        <f t="shared" ref="BY65" si="83">+BY64/BY66</f>
        <v>0.16230253191949795</v>
      </c>
      <c r="CC65" s="1278"/>
      <c r="CD65" s="1278"/>
    </row>
    <row r="66" spans="1:82" s="4" customFormat="1" ht="18" customHeight="1" outlineLevel="2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4800</v>
      </c>
      <c r="H66" s="42"/>
      <c r="I66" s="88">
        <v>4800</v>
      </c>
      <c r="J66" s="42"/>
      <c r="K66" s="88">
        <v>4800</v>
      </c>
      <c r="L66" s="42"/>
      <c r="M66" s="88">
        <v>4800</v>
      </c>
      <c r="N66" s="42"/>
      <c r="O66" s="88">
        <v>4800</v>
      </c>
      <c r="P66" s="42"/>
      <c r="Q66" s="88">
        <v>4800</v>
      </c>
      <c r="R66" s="42"/>
      <c r="S66" s="88">
        <v>4800</v>
      </c>
      <c r="T66" s="42"/>
      <c r="U66" s="88">
        <v>4800</v>
      </c>
      <c r="V66" s="42"/>
      <c r="W66" s="88">
        <v>4800</v>
      </c>
      <c r="X66" s="42"/>
      <c r="Y66" s="88">
        <v>4800</v>
      </c>
      <c r="Z66" s="42"/>
      <c r="AA66" s="88">
        <v>4800</v>
      </c>
      <c r="AB66" s="42"/>
      <c r="AC66" s="88">
        <v>4800</v>
      </c>
      <c r="AD66" s="42"/>
      <c r="AE66" s="88">
        <v>4800</v>
      </c>
      <c r="AF66" s="42"/>
      <c r="AG66" s="88">
        <v>4800</v>
      </c>
      <c r="AH66" s="42"/>
      <c r="AI66" s="88">
        <v>4800</v>
      </c>
      <c r="AJ66" s="42"/>
      <c r="AK66" s="88">
        <v>4800</v>
      </c>
      <c r="AL66" s="42"/>
      <c r="AM66" s="88">
        <v>4800</v>
      </c>
      <c r="AN66" s="42"/>
      <c r="AO66" s="88">
        <v>4800</v>
      </c>
      <c r="AP66" s="42"/>
      <c r="AQ66" s="88">
        <v>4800</v>
      </c>
      <c r="AR66" s="42"/>
      <c r="AS66" s="88">
        <v>4800</v>
      </c>
      <c r="AT66" s="42"/>
      <c r="AU66" s="88">
        <v>4800</v>
      </c>
      <c r="AV66" s="42"/>
      <c r="AW66" s="88">
        <v>4800</v>
      </c>
      <c r="AX66" s="42"/>
      <c r="AY66" s="88">
        <v>4800</v>
      </c>
      <c r="AZ66" s="42"/>
      <c r="BA66" s="88">
        <v>4800</v>
      </c>
      <c r="BB66" s="42"/>
      <c r="BC66" s="88">
        <v>4800</v>
      </c>
      <c r="BD66" s="42"/>
      <c r="BE66" s="88">
        <v>4621</v>
      </c>
      <c r="BF66" s="42"/>
      <c r="BG66" s="88">
        <v>4621</v>
      </c>
      <c r="BH66" s="42"/>
      <c r="BI66" s="88">
        <v>4621</v>
      </c>
      <c r="BJ66" s="42"/>
      <c r="BK66" s="88">
        <v>4621</v>
      </c>
      <c r="BL66" s="42"/>
      <c r="BM66" s="88">
        <v>4621</v>
      </c>
      <c r="BN66" s="42"/>
      <c r="BO66" s="88">
        <v>4621</v>
      </c>
      <c r="BP66" s="42"/>
      <c r="BQ66" s="88">
        <v>4621</v>
      </c>
      <c r="BR66" s="42"/>
      <c r="BS66" s="88">
        <v>4621</v>
      </c>
      <c r="BV66" s="42"/>
      <c r="BW66" s="88">
        <v>4800</v>
      </c>
      <c r="BX66" s="42"/>
      <c r="BY66" s="88">
        <v>4621</v>
      </c>
      <c r="CC66" s="1278"/>
      <c r="CD66" s="1278"/>
    </row>
    <row r="67" spans="1:82" s="7" customFormat="1" ht="18" customHeight="1" outlineLevel="2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4.13</v>
      </c>
      <c r="H67" s="81"/>
      <c r="I67" s="82">
        <v>4.13</v>
      </c>
      <c r="J67" s="81"/>
      <c r="K67" s="82">
        <v>4.13</v>
      </c>
      <c r="L67" s="81"/>
      <c r="M67" s="82">
        <v>4.13</v>
      </c>
      <c r="N67" s="81"/>
      <c r="O67" s="82">
        <v>4.13</v>
      </c>
      <c r="P67" s="81"/>
      <c r="Q67" s="82">
        <v>4.13</v>
      </c>
      <c r="R67" s="81"/>
      <c r="S67" s="82">
        <v>4.13</v>
      </c>
      <c r="T67" s="81"/>
      <c r="U67" s="82">
        <v>4.13</v>
      </c>
      <c r="V67" s="81"/>
      <c r="W67" s="82">
        <v>4.13</v>
      </c>
      <c r="X67" s="81"/>
      <c r="Y67" s="82">
        <v>4.13</v>
      </c>
      <c r="Z67" s="81"/>
      <c r="AA67" s="82">
        <v>4.13</v>
      </c>
      <c r="AB67" s="81"/>
      <c r="AC67" s="82">
        <v>4.13</v>
      </c>
      <c r="AD67" s="81"/>
      <c r="AE67" s="82">
        <v>4.13</v>
      </c>
      <c r="AF67" s="81"/>
      <c r="AG67" s="82">
        <v>4.13</v>
      </c>
      <c r="AH67" s="81"/>
      <c r="AI67" s="82">
        <v>4.13</v>
      </c>
      <c r="AJ67" s="81"/>
      <c r="AK67" s="82">
        <v>4.13</v>
      </c>
      <c r="AL67" s="81"/>
      <c r="AM67" s="82">
        <v>4.13</v>
      </c>
      <c r="AN67" s="81"/>
      <c r="AO67" s="82">
        <v>4.13</v>
      </c>
      <c r="AP67" s="81"/>
      <c r="AQ67" s="82">
        <v>4.13</v>
      </c>
      <c r="AR67" s="81"/>
      <c r="AS67" s="82">
        <v>4.13</v>
      </c>
      <c r="AT67" s="81"/>
      <c r="AU67" s="82">
        <v>4.13</v>
      </c>
      <c r="AV67" s="81"/>
      <c r="AW67" s="82">
        <v>4.13</v>
      </c>
      <c r="AX67" s="81"/>
      <c r="AY67" s="82">
        <v>4.13</v>
      </c>
      <c r="AZ67" s="81"/>
      <c r="BA67" s="82">
        <f>4.13+0.12</f>
        <v>4.25</v>
      </c>
      <c r="BB67" s="81"/>
      <c r="BC67" s="82">
        <f>4.13+0.12</f>
        <v>4.25</v>
      </c>
      <c r="BD67" s="81"/>
      <c r="BE67" s="82">
        <f>4.13+0.12</f>
        <v>4.25</v>
      </c>
      <c r="BF67" s="81"/>
      <c r="BG67" s="82">
        <f>4.13+0.12</f>
        <v>4.25</v>
      </c>
      <c r="BH67" s="81"/>
      <c r="BI67" s="82">
        <f>4.13+0.12</f>
        <v>4.25</v>
      </c>
      <c r="BJ67" s="81"/>
      <c r="BK67" s="82">
        <f>4.13+0.12</f>
        <v>4.25</v>
      </c>
      <c r="BL67" s="81"/>
      <c r="BM67" s="82">
        <f>4.13+0.12</f>
        <v>4.25</v>
      </c>
      <c r="BN67" s="81"/>
      <c r="BO67" s="82">
        <f>4.13+0.12</f>
        <v>4.25</v>
      </c>
      <c r="BP67" s="81"/>
      <c r="BQ67" s="82">
        <f>4.13+0.12</f>
        <v>4.25</v>
      </c>
      <c r="BR67" s="81"/>
      <c r="BS67" s="82">
        <f>4.13+0.12</f>
        <v>4.25</v>
      </c>
      <c r="BV67" s="81"/>
      <c r="BW67" s="82">
        <f>4.13+0.12</f>
        <v>4.25</v>
      </c>
      <c r="BX67" s="81"/>
      <c r="BY67" s="82">
        <f>4.13+0.12</f>
        <v>4.25</v>
      </c>
      <c r="CC67" s="1278"/>
      <c r="CD67" s="1278"/>
    </row>
    <row r="68" spans="1:82" s="7" customFormat="1" ht="18" customHeight="1" outlineLevel="2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3.0999999999999996</v>
      </c>
      <c r="H68" s="81"/>
      <c r="I68" s="82">
        <f>I56-I65</f>
        <v>3.0999999999999996</v>
      </c>
      <c r="J68" s="81"/>
      <c r="K68" s="82">
        <f>K56-K65</f>
        <v>3.0999999999999996</v>
      </c>
      <c r="L68" s="81"/>
      <c r="M68" s="82">
        <f>M56-M65</f>
        <v>3.0999999999999996</v>
      </c>
      <c r="N68" s="81"/>
      <c r="O68" s="82">
        <f>O56-O65</f>
        <v>3.0999999999999996</v>
      </c>
      <c r="P68" s="81"/>
      <c r="Q68" s="82">
        <f>Q56-Q65</f>
        <v>3.0999999999999996</v>
      </c>
      <c r="R68" s="81"/>
      <c r="S68" s="82">
        <f>S56-S65</f>
        <v>3.0999999999999996</v>
      </c>
      <c r="T68" s="81"/>
      <c r="U68" s="82">
        <f>U56-U65</f>
        <v>3.0999999999999996</v>
      </c>
      <c r="V68" s="81"/>
      <c r="W68" s="82">
        <f>W56-W65</f>
        <v>3.0999999999999996</v>
      </c>
      <c r="X68" s="81"/>
      <c r="Y68" s="82">
        <f>Y56-Y65</f>
        <v>3.0999999999999996</v>
      </c>
      <c r="Z68" s="81"/>
      <c r="AA68" s="82">
        <f>AA56-AA65</f>
        <v>3.0999999999999996</v>
      </c>
      <c r="AB68" s="81"/>
      <c r="AC68" s="82">
        <f>AC56-AC65</f>
        <v>3.2434634260341202</v>
      </c>
      <c r="AD68" s="81"/>
      <c r="AE68" s="82">
        <f>AE56-AE65</f>
        <v>3.0999999999999996</v>
      </c>
      <c r="AF68" s="81"/>
      <c r="AG68" s="82">
        <f>AG56-AG65</f>
        <v>3.0999999999999996</v>
      </c>
      <c r="AH68" s="81"/>
      <c r="AI68" s="82">
        <f>AI56-AI65</f>
        <v>3.0999999999999996</v>
      </c>
      <c r="AJ68" s="81"/>
      <c r="AK68" s="82">
        <f>AK56-AK65</f>
        <v>3.0999999999999996</v>
      </c>
      <c r="AL68" s="81"/>
      <c r="AM68" s="82">
        <f>AM56-AM65</f>
        <v>3.0999999999999996</v>
      </c>
      <c r="AN68" s="81"/>
      <c r="AO68" s="82">
        <f>AO56-AO65</f>
        <v>3.0999999999999996</v>
      </c>
      <c r="AP68" s="81"/>
      <c r="AQ68" s="82">
        <f>AQ56-AQ65</f>
        <v>3.0999999999999996</v>
      </c>
      <c r="AR68" s="81"/>
      <c r="AS68" s="82">
        <f>AS56-AS65</f>
        <v>3.0999999999999996</v>
      </c>
      <c r="AT68" s="81"/>
      <c r="AU68" s="82">
        <f>AU56-AU65</f>
        <v>3.0999999999999996</v>
      </c>
      <c r="AV68" s="81"/>
      <c r="AW68" s="82">
        <f>AW56-AW65</f>
        <v>3.0999999999999996</v>
      </c>
      <c r="AX68" s="81"/>
      <c r="AY68" s="82">
        <f>AY56-AY65</f>
        <v>3.0999999999999996</v>
      </c>
      <c r="AZ68" s="81"/>
      <c r="BA68" s="82">
        <f>BA56-BA65</f>
        <v>3.1937500000000005</v>
      </c>
      <c r="BB68" s="81"/>
      <c r="BC68" s="82">
        <f>BC56-BC65</f>
        <v>3.1937500000000005</v>
      </c>
      <c r="BD68" s="81"/>
      <c r="BE68" s="82">
        <f>BE56-BE65</f>
        <v>3.1900000000000004</v>
      </c>
      <c r="BF68" s="81"/>
      <c r="BG68" s="82">
        <f>BG56-BG65</f>
        <v>3.1900000000000004</v>
      </c>
      <c r="BH68" s="81"/>
      <c r="BI68" s="82">
        <f>BI56-BI65</f>
        <v>3.1900000000000004</v>
      </c>
      <c r="BJ68" s="81"/>
      <c r="BK68" s="82">
        <f>BK56-BK65</f>
        <v>3.1900000000000004</v>
      </c>
      <c r="BL68" s="81"/>
      <c r="BM68" s="82">
        <f>BM56-BM65</f>
        <v>3.1900000000000004</v>
      </c>
      <c r="BN68" s="81"/>
      <c r="BO68" s="82">
        <f>BO56-BO65</f>
        <v>3.1900000000000004</v>
      </c>
      <c r="BP68" s="81"/>
      <c r="BQ68" s="82">
        <f>BQ56-BQ65</f>
        <v>3.1900000000000004</v>
      </c>
      <c r="BR68" s="81"/>
      <c r="BS68" s="82">
        <f>BS56-BS65</f>
        <v>3.1900000000000004</v>
      </c>
      <c r="BV68" s="81"/>
      <c r="BW68" s="82">
        <f>BW56-BW65</f>
        <v>3.1937500000000005</v>
      </c>
      <c r="BX68" s="81"/>
      <c r="BY68" s="82">
        <f t="shared" ref="BY68" si="84">BY56-BY65</f>
        <v>3.1900000000000004</v>
      </c>
    </row>
    <row r="69" spans="1:82" s="103" customFormat="1" ht="18" customHeight="1" outlineLevel="2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0.34416666666666668</v>
      </c>
      <c r="H69" s="101"/>
      <c r="I69" s="102">
        <f>+I67/I10</f>
        <v>0.34416666666666668</v>
      </c>
      <c r="J69" s="101"/>
      <c r="K69" s="102">
        <f>+K67/K10</f>
        <v>0.34416666666666668</v>
      </c>
      <c r="L69" s="101"/>
      <c r="M69" s="102">
        <f>+M67/M10</f>
        <v>0.34416666666666668</v>
      </c>
      <c r="N69" s="101"/>
      <c r="O69" s="102">
        <f>+O67/O10</f>
        <v>0.34416666666666668</v>
      </c>
      <c r="P69" s="101"/>
      <c r="Q69" s="102">
        <f>+Q67/Q10</f>
        <v>0.34416666666666668</v>
      </c>
      <c r="R69" s="101"/>
      <c r="S69" s="102">
        <f>+S67/S10</f>
        <v>0.34416666666666668</v>
      </c>
      <c r="T69" s="101"/>
      <c r="U69" s="102">
        <f>+U67/U10</f>
        <v>0.34416666666666668</v>
      </c>
      <c r="V69" s="101"/>
      <c r="W69" s="102">
        <f>+W67/W10</f>
        <v>0.34416666666666668</v>
      </c>
      <c r="X69" s="101"/>
      <c r="Y69" s="102">
        <f>+Y67/Y10</f>
        <v>0.34416666666666668</v>
      </c>
      <c r="Z69" s="101"/>
      <c r="AA69" s="102">
        <f>+AA67/AA10</f>
        <v>0.34416666666666668</v>
      </c>
      <c r="AB69" s="101"/>
      <c r="AC69" s="102">
        <f>+AC67/AC10</f>
        <v>0.34416666666666668</v>
      </c>
      <c r="AD69" s="101"/>
      <c r="AE69" s="102">
        <f>+AE67/AE10</f>
        <v>0.34416666666666668</v>
      </c>
      <c r="AF69" s="101"/>
      <c r="AG69" s="102">
        <f>+AG67/AG10</f>
        <v>0.34416666666666668</v>
      </c>
      <c r="AH69" s="101"/>
      <c r="AI69" s="102">
        <f>+AI67/AI10</f>
        <v>0.34416666666666668</v>
      </c>
      <c r="AJ69" s="101"/>
      <c r="AK69" s="102">
        <f>+AK67/AK10</f>
        <v>0.34416666666666668</v>
      </c>
      <c r="AL69" s="101"/>
      <c r="AM69" s="102">
        <f>+AM67/AM10</f>
        <v>0.34416666666666668</v>
      </c>
      <c r="AN69" s="101"/>
      <c r="AO69" s="102">
        <f>+AO67/AO10</f>
        <v>0.34416666666666668</v>
      </c>
      <c r="AP69" s="101"/>
      <c r="AQ69" s="102">
        <f>+AQ67/AQ10</f>
        <v>0.34416666666666668</v>
      </c>
      <c r="AR69" s="101"/>
      <c r="AS69" s="102">
        <f>+AS67/AS10</f>
        <v>0.34416666666666668</v>
      </c>
      <c r="AT69" s="101"/>
      <c r="AU69" s="102">
        <f>+AU67/AU10</f>
        <v>0.34416666666666668</v>
      </c>
      <c r="AV69" s="101"/>
      <c r="AW69" s="102">
        <f>+AW67/AW10</f>
        <v>0.34416666666666668</v>
      </c>
      <c r="AX69" s="101"/>
      <c r="AY69" s="102">
        <f>+AY67/AY10</f>
        <v>0.34416666666666668</v>
      </c>
      <c r="AZ69" s="101"/>
      <c r="BA69" s="102">
        <f>+BA67/BA10</f>
        <v>0.35416666666666669</v>
      </c>
      <c r="BB69" s="101"/>
      <c r="BC69" s="102">
        <f>+BC67/BC10</f>
        <v>0.35416666666666669</v>
      </c>
      <c r="BD69" s="101"/>
      <c r="BE69" s="102">
        <f>+BE67/BE10</f>
        <v>0.35416666666666669</v>
      </c>
      <c r="BF69" s="101"/>
      <c r="BG69" s="102">
        <f>+BG67/BG10</f>
        <v>0.35416666666666669</v>
      </c>
      <c r="BH69" s="101"/>
      <c r="BI69" s="102">
        <f>+BI67/BI10</f>
        <v>0.35416666666666669</v>
      </c>
      <c r="BJ69" s="101"/>
      <c r="BK69" s="102">
        <f>+BK67/BK10</f>
        <v>0.35416666666666669</v>
      </c>
      <c r="BL69" s="101"/>
      <c r="BM69" s="102">
        <f>+BM67/BM10</f>
        <v>0.35416666666666669</v>
      </c>
      <c r="BN69" s="101"/>
      <c r="BO69" s="102">
        <f>+BO67/BO10</f>
        <v>0.35416666666666669</v>
      </c>
      <c r="BP69" s="101"/>
      <c r="BQ69" s="102">
        <f>+BQ67/BQ10</f>
        <v>0.35416666666666669</v>
      </c>
      <c r="BR69" s="101"/>
      <c r="BS69" s="102">
        <f>+BS67/BS10</f>
        <v>0.35416666666666669</v>
      </c>
      <c r="BV69" s="101"/>
      <c r="BW69" s="102">
        <f>+BW67/BW10</f>
        <v>0.35416666666666669</v>
      </c>
      <c r="BX69" s="101"/>
      <c r="BY69" s="102">
        <f t="shared" ref="BY69" si="85">+BY67/BY10</f>
        <v>0.35416666666666669</v>
      </c>
    </row>
    <row r="70" spans="1:82" s="4" customFormat="1" ht="18" customHeight="1" outlineLevel="2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106"/>
      <c r="O70" s="107"/>
      <c r="P70" s="106"/>
      <c r="Q70" s="107"/>
      <c r="R70" s="106"/>
      <c r="S70" s="107"/>
      <c r="T70" s="106"/>
      <c r="U70" s="107"/>
      <c r="V70" s="106"/>
      <c r="W70" s="107"/>
      <c r="X70" s="106"/>
      <c r="Y70" s="107"/>
      <c r="Z70" s="106"/>
      <c r="AA70" s="107"/>
      <c r="AB70" s="106"/>
      <c r="AC70" s="107"/>
      <c r="AD70" s="106"/>
      <c r="AE70" s="107"/>
      <c r="AF70" s="106"/>
      <c r="AG70" s="107"/>
      <c r="AH70" s="106"/>
      <c r="AI70" s="107"/>
      <c r="AJ70" s="106"/>
      <c r="AK70" s="107"/>
      <c r="AL70" s="106"/>
      <c r="AM70" s="107"/>
      <c r="AN70" s="106"/>
      <c r="AO70" s="107"/>
      <c r="AP70" s="106"/>
      <c r="AQ70" s="107"/>
      <c r="AR70" s="106"/>
      <c r="AS70" s="107"/>
      <c r="AT70" s="106"/>
      <c r="AU70" s="107"/>
      <c r="AV70" s="106"/>
      <c r="AW70" s="107"/>
      <c r="AX70" s="106"/>
      <c r="AY70" s="107"/>
      <c r="AZ70" s="106"/>
      <c r="BA70" s="107"/>
      <c r="BB70" s="106"/>
      <c r="BC70" s="107"/>
      <c r="BD70" s="106"/>
      <c r="BE70" s="107"/>
      <c r="BF70" s="106"/>
      <c r="BG70" s="107"/>
      <c r="BH70" s="106"/>
      <c r="BI70" s="107"/>
      <c r="BJ70" s="106"/>
      <c r="BK70" s="107"/>
      <c r="BL70" s="106"/>
      <c r="BM70" s="107"/>
      <c r="BN70" s="106"/>
      <c r="BO70" s="107"/>
      <c r="BP70" s="106"/>
      <c r="BQ70" s="107"/>
      <c r="BR70" s="106"/>
      <c r="BS70" s="107"/>
      <c r="BV70" s="106"/>
      <c r="BW70" s="107"/>
      <c r="BX70" s="106"/>
      <c r="BY70" s="107"/>
    </row>
    <row r="71" spans="1:82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2.6321636936412749</v>
      </c>
      <c r="H71" s="111"/>
      <c r="I71" s="112">
        <f>I74+I72</f>
        <v>2.7731379431141159</v>
      </c>
      <c r="J71" s="111"/>
      <c r="K71" s="112">
        <f>K74+K72</f>
        <v>2.7888729696645194</v>
      </c>
      <c r="L71" s="111"/>
      <c r="M71" s="112">
        <f>M74+M72</f>
        <v>2.7832685224048026</v>
      </c>
      <c r="N71" s="111"/>
      <c r="O71" s="112">
        <f>O74+O72</f>
        <v>3.0626421242258033</v>
      </c>
      <c r="P71" s="111"/>
      <c r="Q71" s="112">
        <f>Q74+Q72</f>
        <v>2.8483807139658475</v>
      </c>
      <c r="R71" s="111"/>
      <c r="S71" s="112">
        <f>S74+S72</f>
        <v>2.9499839530282932</v>
      </c>
      <c r="T71" s="111"/>
      <c r="U71" s="112">
        <f>U74+U72</f>
        <v>2.841120156500335</v>
      </c>
      <c r="V71" s="111"/>
      <c r="W71" s="112">
        <f>W74+W72</f>
        <v>2.6814020034459154</v>
      </c>
      <c r="X71" s="111"/>
      <c r="Y71" s="112">
        <f>Y74+Y72</f>
        <v>2.6639262637453816</v>
      </c>
      <c r="Z71" s="111"/>
      <c r="AA71" s="112">
        <f>AA74+AA72</f>
        <v>2.6365944774294792</v>
      </c>
      <c r="AB71" s="111"/>
      <c r="AC71" s="112">
        <f>AC74+AC72</f>
        <v>2.4731286226689022</v>
      </c>
      <c r="AD71" s="111"/>
      <c r="AE71" s="112">
        <f>AE74+AE72</f>
        <v>2.4692732458435036</v>
      </c>
      <c r="AF71" s="111"/>
      <c r="AG71" s="112">
        <f>AG74+AG72</f>
        <v>2.6807325290912183</v>
      </c>
      <c r="AH71" s="111"/>
      <c r="AI71" s="112">
        <f>AI74+AI72</f>
        <v>2.4368727957320435</v>
      </c>
      <c r="AJ71" s="111"/>
      <c r="AK71" s="112">
        <f>AK74+AK72</f>
        <v>2.9285253047884545</v>
      </c>
      <c r="AL71" s="111"/>
      <c r="AM71" s="112">
        <f>AM74+AM72</f>
        <v>2.6130343614573626</v>
      </c>
      <c r="AN71" s="111"/>
      <c r="AO71" s="112">
        <f>AO74+AO72</f>
        <v>2.4329129006518428</v>
      </c>
      <c r="AP71" s="111"/>
      <c r="AQ71" s="112">
        <f>AQ74+AQ72</f>
        <v>2.4034701155880058</v>
      </c>
      <c r="AR71" s="111"/>
      <c r="AS71" s="112">
        <f>AS74+AS72</f>
        <v>2.3473017575888764</v>
      </c>
      <c r="AT71" s="111"/>
      <c r="AU71" s="112">
        <f>AU74+AU72</f>
        <v>2.3488174222993954</v>
      </c>
      <c r="AV71" s="111"/>
      <c r="AW71" s="112">
        <f>AW74+AW72</f>
        <v>2.2418293820590685</v>
      </c>
      <c r="AX71" s="111"/>
      <c r="AY71" s="112">
        <f>AY74+AY72</f>
        <v>2.23932182491084</v>
      </c>
      <c r="AZ71" s="111"/>
      <c r="BA71" s="112">
        <f>BA74+BA72</f>
        <v>2.2260052699300359</v>
      </c>
      <c r="BB71" s="111"/>
      <c r="BC71" s="112">
        <f>BC74+BC72</f>
        <v>2.1722032372658679</v>
      </c>
      <c r="BD71" s="111"/>
      <c r="BE71" s="112">
        <f>BE74+BE72</f>
        <v>2.3168839005442776</v>
      </c>
      <c r="BF71" s="111"/>
      <c r="BG71" s="112">
        <f>BG74+BG72</f>
        <v>2.3761471454825802</v>
      </c>
      <c r="BH71" s="111"/>
      <c r="BI71" s="112">
        <f>BI74+BI72</f>
        <v>2.3559887358562834</v>
      </c>
      <c r="BJ71" s="111"/>
      <c r="BK71" s="112">
        <f>BK74+BK72</f>
        <v>2.1607989168206689</v>
      </c>
      <c r="BL71" s="111"/>
      <c r="BM71" s="112">
        <f>BM74+BM72</f>
        <v>2.2626725243085395</v>
      </c>
      <c r="BN71" s="111"/>
      <c r="BO71" s="112">
        <f>BO74+BO72</f>
        <v>2.301837506461998</v>
      </c>
      <c r="BP71" s="111"/>
      <c r="BQ71" s="112">
        <f>BQ74+BQ72</f>
        <v>2.3652386183918024</v>
      </c>
      <c r="BR71" s="111"/>
      <c r="BS71" s="112">
        <f>BS74+BS72</f>
        <v>2.3196349695435572</v>
      </c>
      <c r="BV71" s="111"/>
      <c r="BW71" s="112">
        <f>BW74+BW72</f>
        <v>2.3765246762118526</v>
      </c>
      <c r="BX71" s="111"/>
      <c r="BY71" s="112">
        <f t="shared" ref="BY71" si="86">BY74+BY72</f>
        <v>2.3476559747948698</v>
      </c>
    </row>
    <row r="72" spans="1:82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3.2174117587233694E-2</v>
      </c>
      <c r="H72" s="116"/>
      <c r="I72" s="117">
        <v>4.2385511597152363E-2</v>
      </c>
      <c r="J72" s="116"/>
      <c r="K72" s="117">
        <v>4.7008795934724318E-2</v>
      </c>
      <c r="L72" s="116"/>
      <c r="M72" s="117">
        <v>3.27102564144914E-2</v>
      </c>
      <c r="N72" s="116"/>
      <c r="O72" s="117">
        <v>3.9379634930487628E-2</v>
      </c>
      <c r="P72" s="116"/>
      <c r="Q72" s="117">
        <v>5.5289409910073459E-2</v>
      </c>
      <c r="R72" s="116"/>
      <c r="S72" s="117">
        <v>3.7026555104111576E-2</v>
      </c>
      <c r="T72" s="116"/>
      <c r="U72" s="117">
        <v>4.6053911221776087E-2</v>
      </c>
      <c r="V72" s="116"/>
      <c r="W72" s="117">
        <v>3.6437002896041883E-2</v>
      </c>
      <c r="X72" s="116"/>
      <c r="Y72" s="117">
        <v>3.6232045313884506E-2</v>
      </c>
      <c r="Z72" s="116"/>
      <c r="AA72" s="117">
        <v>3.762920411638352E-2</v>
      </c>
      <c r="AB72" s="116"/>
      <c r="AC72" s="117">
        <v>3.7290225820679868E-2</v>
      </c>
      <c r="AD72" s="116"/>
      <c r="AE72" s="117">
        <v>3.7674571848760982E-2</v>
      </c>
      <c r="AF72" s="116"/>
      <c r="AG72" s="117">
        <v>3.5916699060394838E-2</v>
      </c>
      <c r="AH72" s="116"/>
      <c r="AI72" s="117">
        <v>3.4515512472343586E-2</v>
      </c>
      <c r="AJ72" s="116"/>
      <c r="AK72" s="117">
        <v>3.8525334961093421E-2</v>
      </c>
      <c r="AL72" s="116"/>
      <c r="AM72" s="117">
        <v>3.4823995077044194E-2</v>
      </c>
      <c r="AN72" s="116"/>
      <c r="AO72" s="117">
        <v>3.9421599686285703E-2</v>
      </c>
      <c r="AP72" s="116"/>
      <c r="AQ72" s="117">
        <v>3.4949016182977286E-2</v>
      </c>
      <c r="AR72" s="116"/>
      <c r="AS72" s="117">
        <v>3.4515512472343586E-2</v>
      </c>
      <c r="AT72" s="116"/>
      <c r="AU72" s="117">
        <v>3.6031177182862521E-2</v>
      </c>
      <c r="AV72" s="116"/>
      <c r="AW72" s="117">
        <v>3.8316601674487173E-2</v>
      </c>
      <c r="AX72" s="116"/>
      <c r="AY72" s="117">
        <v>3.5809044526258701E-2</v>
      </c>
      <c r="AZ72" s="116"/>
      <c r="BA72" s="117">
        <v>3.6005269930035902E-2</v>
      </c>
      <c r="BB72" s="116"/>
      <c r="BC72" s="117">
        <v>3.7697373382267897E-2</v>
      </c>
      <c r="BD72" s="116"/>
      <c r="BE72" s="117">
        <v>3.3479972935498398E-2</v>
      </c>
      <c r="BF72" s="116"/>
      <c r="BG72" s="117">
        <v>3.5914039310999103E-2</v>
      </c>
      <c r="BH72" s="116"/>
      <c r="BI72" s="117">
        <v>3.5914039310999103E-2</v>
      </c>
      <c r="BJ72" s="116"/>
      <c r="BK72" s="117">
        <v>3.5914039310999103E-2</v>
      </c>
      <c r="BL72" s="116"/>
      <c r="BM72" s="117">
        <v>3.5914039310999103E-2</v>
      </c>
      <c r="BN72" s="116"/>
      <c r="BO72" s="117">
        <v>3.5914039310999103E-2</v>
      </c>
      <c r="BP72" s="116"/>
      <c r="BQ72" s="117">
        <v>3.5914039310999103E-2</v>
      </c>
      <c r="BR72" s="116"/>
      <c r="BS72" s="117">
        <v>3.5914039310999103E-2</v>
      </c>
      <c r="BV72" s="116"/>
      <c r="BW72" s="117">
        <v>3.5914039310999103E-2</v>
      </c>
      <c r="BX72" s="116"/>
      <c r="BY72" s="117">
        <v>3.5914039310999103E-2</v>
      </c>
    </row>
    <row r="73" spans="1:82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42"/>
      <c r="K73" s="118"/>
      <c r="L73" s="42"/>
      <c r="M73" s="118"/>
      <c r="N73" s="42"/>
      <c r="O73" s="118"/>
      <c r="P73" s="42"/>
      <c r="Q73" s="118"/>
      <c r="R73" s="42"/>
      <c r="S73" s="118"/>
      <c r="T73" s="42"/>
      <c r="U73" s="118"/>
      <c r="V73" s="42"/>
      <c r="W73" s="118"/>
      <c r="X73" s="42"/>
      <c r="Y73" s="118"/>
      <c r="Z73" s="42"/>
      <c r="AA73" s="118"/>
      <c r="AB73" s="42"/>
      <c r="AC73" s="118"/>
      <c r="AD73" s="42"/>
      <c r="AE73" s="118"/>
      <c r="AF73" s="42"/>
      <c r="AG73" s="118"/>
      <c r="AH73" s="42"/>
      <c r="AI73" s="118"/>
      <c r="AJ73" s="42"/>
      <c r="AK73" s="118"/>
      <c r="AL73" s="42"/>
      <c r="AM73" s="118"/>
      <c r="AN73" s="42"/>
      <c r="AO73" s="118"/>
      <c r="AP73" s="42"/>
      <c r="AQ73" s="118"/>
      <c r="AR73" s="42"/>
      <c r="AS73" s="118"/>
      <c r="AT73" s="42"/>
      <c r="AU73" s="118"/>
      <c r="AV73" s="42"/>
      <c r="AW73" s="118"/>
      <c r="AX73" s="42"/>
      <c r="AY73" s="118"/>
      <c r="AZ73" s="42"/>
      <c r="BA73" s="118"/>
      <c r="BB73" s="42"/>
      <c r="BC73" s="118"/>
      <c r="BD73" s="42"/>
      <c r="BE73" s="118"/>
      <c r="BF73" s="42"/>
      <c r="BG73" s="118"/>
      <c r="BH73" s="42"/>
      <c r="BI73" s="118"/>
      <c r="BJ73" s="42"/>
      <c r="BK73" s="118"/>
      <c r="BL73" s="42"/>
      <c r="BM73" s="118"/>
      <c r="BN73" s="42"/>
      <c r="BO73" s="118"/>
      <c r="BP73" s="42"/>
      <c r="BQ73" s="118"/>
      <c r="BR73" s="42"/>
      <c r="BS73" s="118"/>
      <c r="BV73" s="42"/>
      <c r="BW73" s="118"/>
      <c r="BX73" s="42"/>
      <c r="BY73" s="118"/>
    </row>
    <row r="74" spans="1:82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2.5999895760540412</v>
      </c>
      <c r="H74" s="66"/>
      <c r="I74" s="70">
        <v>2.7307524315169633</v>
      </c>
      <c r="J74" s="66"/>
      <c r="K74" s="70">
        <v>2.7418641737297951</v>
      </c>
      <c r="L74" s="66"/>
      <c r="M74" s="70">
        <v>2.7505582659903114</v>
      </c>
      <c r="N74" s="66"/>
      <c r="O74" s="70">
        <v>3.0232624892953157</v>
      </c>
      <c r="P74" s="66"/>
      <c r="Q74" s="70">
        <v>2.7930913040557739</v>
      </c>
      <c r="R74" s="66"/>
      <c r="S74" s="70">
        <v>2.9129573979241816</v>
      </c>
      <c r="T74" s="66"/>
      <c r="U74" s="70">
        <v>2.7950662452785591</v>
      </c>
      <c r="V74" s="66"/>
      <c r="W74" s="70">
        <v>2.6449650005498735</v>
      </c>
      <c r="X74" s="66"/>
      <c r="Y74" s="70">
        <v>2.6276942184314969</v>
      </c>
      <c r="Z74" s="66"/>
      <c r="AA74" s="70">
        <v>2.5989652733130955</v>
      </c>
      <c r="AB74" s="66"/>
      <c r="AC74" s="70">
        <v>2.4358383968482222</v>
      </c>
      <c r="AD74" s="66"/>
      <c r="AE74" s="70">
        <v>2.4315986739947428</v>
      </c>
      <c r="AF74" s="66"/>
      <c r="AG74" s="70">
        <v>2.6448158300308235</v>
      </c>
      <c r="AH74" s="66"/>
      <c r="AI74" s="70">
        <v>2.4023572832597</v>
      </c>
      <c r="AJ74" s="66"/>
      <c r="AK74" s="70">
        <v>2.8899999698273611</v>
      </c>
      <c r="AL74" s="66"/>
      <c r="AM74" s="70">
        <v>2.5782103663803184</v>
      </c>
      <c r="AN74" s="66"/>
      <c r="AO74" s="70">
        <v>2.393491300965557</v>
      </c>
      <c r="AP74" s="66"/>
      <c r="AQ74" s="70">
        <v>2.3685210994050285</v>
      </c>
      <c r="AR74" s="66"/>
      <c r="AS74" s="70">
        <v>2.3127862451165329</v>
      </c>
      <c r="AT74" s="66"/>
      <c r="AU74" s="70">
        <v>2.3127862451165329</v>
      </c>
      <c r="AV74" s="66"/>
      <c r="AW74" s="70">
        <v>2.2035127803845813</v>
      </c>
      <c r="AX74" s="66"/>
      <c r="AY74" s="70">
        <f>AW74</f>
        <v>2.2035127803845813</v>
      </c>
      <c r="AZ74" s="66"/>
      <c r="BA74" s="70">
        <v>2.19</v>
      </c>
      <c r="BB74" s="66"/>
      <c r="BC74" s="70">
        <v>2.1345058638836001</v>
      </c>
      <c r="BD74" s="66"/>
      <c r="BE74" s="70">
        <f>BE77/BE79*BE10</f>
        <v>2.2834039276087794</v>
      </c>
      <c r="BF74" s="66"/>
      <c r="BG74" s="70">
        <f>BG77/BG79*BG10</f>
        <v>2.3402331061715813</v>
      </c>
      <c r="BH74" s="66"/>
      <c r="BI74" s="70">
        <f>BI77/BI79*BI10</f>
        <v>2.3200746965452845</v>
      </c>
      <c r="BJ74" s="66"/>
      <c r="BK74" s="70">
        <f>BK77/BK79*BK10</f>
        <v>2.12488487750967</v>
      </c>
      <c r="BL74" s="66"/>
      <c r="BM74" s="70">
        <f>BM77/BM79*BM10</f>
        <v>2.2267584849975406</v>
      </c>
      <c r="BN74" s="66"/>
      <c r="BO74" s="70">
        <f>BO77/BO79*BO10</f>
        <v>2.2659234671509991</v>
      </c>
      <c r="BP74" s="66"/>
      <c r="BQ74" s="70">
        <f>BQ77/BQ79*BQ10</f>
        <v>2.3293245790808035</v>
      </c>
      <c r="BR74" s="66"/>
      <c r="BS74" s="70">
        <f>BS77/BS79*BS10</f>
        <v>2.2837209302325583</v>
      </c>
      <c r="BV74" s="66"/>
      <c r="BW74" s="70">
        <v>2.3406106369008537</v>
      </c>
      <c r="BX74" s="66"/>
      <c r="BY74" s="70">
        <f>BY77/BY79*BY10</f>
        <v>2.3117419354838709</v>
      </c>
    </row>
    <row r="75" spans="1:82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0.21666579800450345</v>
      </c>
      <c r="H75" s="124"/>
      <c r="I75" s="125">
        <f>+I74/I10</f>
        <v>0.22756270262641362</v>
      </c>
      <c r="J75" s="124"/>
      <c r="K75" s="125">
        <f>+K74/K10</f>
        <v>0.22848868114414958</v>
      </c>
      <c r="L75" s="124"/>
      <c r="M75" s="125">
        <f>+M74/M10</f>
        <v>0.22921318883252595</v>
      </c>
      <c r="N75" s="124"/>
      <c r="O75" s="125">
        <f>+O74/O10</f>
        <v>0.25193854077460964</v>
      </c>
      <c r="P75" s="124"/>
      <c r="Q75" s="125">
        <f>+Q74/Q10</f>
        <v>0.23275760867131448</v>
      </c>
      <c r="R75" s="124"/>
      <c r="S75" s="125">
        <f>+S74/S10</f>
        <v>0.24274644982701513</v>
      </c>
      <c r="T75" s="124"/>
      <c r="U75" s="125">
        <f>+U74/U10</f>
        <v>0.23292218710654658</v>
      </c>
      <c r="V75" s="124"/>
      <c r="W75" s="125">
        <f>+W74/W10</f>
        <v>0.22041375004582278</v>
      </c>
      <c r="X75" s="124"/>
      <c r="Y75" s="125">
        <f>+Y74/Y10</f>
        <v>0.21897451820262473</v>
      </c>
      <c r="Z75" s="124"/>
      <c r="AA75" s="125">
        <f>+AA74/AA10</f>
        <v>0.21658043944275795</v>
      </c>
      <c r="AB75" s="124"/>
      <c r="AC75" s="125">
        <f>+AC74/AC10</f>
        <v>0.20298653307068518</v>
      </c>
      <c r="AD75" s="124"/>
      <c r="AE75" s="125">
        <f>+AE74/AE10</f>
        <v>0.20263322283289523</v>
      </c>
      <c r="AF75" s="124"/>
      <c r="AG75" s="125">
        <f>+AG74/AG10</f>
        <v>0.2204013191692353</v>
      </c>
      <c r="AH75" s="124"/>
      <c r="AI75" s="125">
        <f>+AI74/AI10</f>
        <v>0.20019644027164166</v>
      </c>
      <c r="AJ75" s="124"/>
      <c r="AK75" s="125">
        <f>+AK74/AK10</f>
        <v>0.24083333081894676</v>
      </c>
      <c r="AL75" s="124"/>
      <c r="AM75" s="125">
        <f>+AM74/AM10</f>
        <v>0.21485086386502653</v>
      </c>
      <c r="AN75" s="124"/>
      <c r="AO75" s="125">
        <f>+AO74/AO10</f>
        <v>0.19945760841379642</v>
      </c>
      <c r="AP75" s="124"/>
      <c r="AQ75" s="125">
        <f>+AQ74/AQ10</f>
        <v>0.19737675828375237</v>
      </c>
      <c r="AR75" s="124"/>
      <c r="AS75" s="125">
        <f>+AS74/AS10</f>
        <v>0.1927321870930444</v>
      </c>
      <c r="AT75" s="124"/>
      <c r="AU75" s="125">
        <f>+AU74/AU10</f>
        <v>0.1927321870930444</v>
      </c>
      <c r="AV75" s="124"/>
      <c r="AW75" s="125">
        <f>+AW74/AW10</f>
        <v>0.18362606503204845</v>
      </c>
      <c r="AX75" s="124"/>
      <c r="AY75" s="125">
        <f>+AY74/AY10</f>
        <v>0.18362606503204845</v>
      </c>
      <c r="AZ75" s="124"/>
      <c r="BA75" s="125">
        <f>+BA74/BA10</f>
        <v>0.1825</v>
      </c>
      <c r="BB75" s="124"/>
      <c r="BC75" s="125">
        <f>+BC74/BC10</f>
        <v>0.17787548865696667</v>
      </c>
      <c r="BD75" s="124"/>
      <c r="BE75" s="125">
        <f>+BE74/BE10</f>
        <v>0.19028366063406496</v>
      </c>
      <c r="BF75" s="124"/>
      <c r="BG75" s="125">
        <f>+BG74/BG10</f>
        <v>0.19501942551429843</v>
      </c>
      <c r="BH75" s="124"/>
      <c r="BI75" s="125">
        <f>+BI74/BI10</f>
        <v>0.19333955804544037</v>
      </c>
      <c r="BJ75" s="124"/>
      <c r="BK75" s="125">
        <f>+BK74/BK10</f>
        <v>0.17707373979247251</v>
      </c>
      <c r="BL75" s="124"/>
      <c r="BM75" s="125">
        <f>+BM74/BM10</f>
        <v>0.18556320708312837</v>
      </c>
      <c r="BN75" s="124"/>
      <c r="BO75" s="125">
        <f>+BO74/BO10</f>
        <v>0.18882695559591658</v>
      </c>
      <c r="BP75" s="124"/>
      <c r="BQ75" s="125">
        <f>+BQ74/BQ10</f>
        <v>0.19411038159006697</v>
      </c>
      <c r="BR75" s="124"/>
      <c r="BS75" s="125">
        <f>+BS74/BS10</f>
        <v>0.19031007751937987</v>
      </c>
      <c r="BV75" s="124"/>
      <c r="BW75" s="125">
        <f>+BW74/BW10</f>
        <v>0.19505088640840448</v>
      </c>
      <c r="BX75" s="124"/>
      <c r="BY75" s="125">
        <f t="shared" ref="BY75" si="87">+BY74/BY10</f>
        <v>0.19264516129032258</v>
      </c>
    </row>
    <row r="76" spans="1:82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37255.25063527836</v>
      </c>
      <c r="H76" s="127"/>
      <c r="I76" s="374">
        <f>I77*I10</f>
        <v>39194.489649562973</v>
      </c>
      <c r="J76" s="127"/>
      <c r="K76" s="374">
        <f>K77*K10</f>
        <v>39337.525300501373</v>
      </c>
      <c r="L76" s="127"/>
      <c r="M76" s="374">
        <f>M77*M10</f>
        <v>39517.270607482802</v>
      </c>
      <c r="N76" s="127"/>
      <c r="O76" s="374">
        <f>O77*O10</f>
        <v>44191.027806029633</v>
      </c>
      <c r="P76" s="127"/>
      <c r="Q76" s="374">
        <f>Q77*Q10</f>
        <v>40983.028704410368</v>
      </c>
      <c r="R76" s="127"/>
      <c r="S76" s="374">
        <f>S77*S10</f>
        <v>43633.188863506315</v>
      </c>
      <c r="T76" s="127"/>
      <c r="U76" s="374">
        <f>U77*U10</f>
        <v>41515.11894112244</v>
      </c>
      <c r="V76" s="127"/>
      <c r="W76" s="374">
        <f>W77*W10</f>
        <v>39772.338713268451</v>
      </c>
      <c r="X76" s="127"/>
      <c r="Y76" s="374">
        <f>Y77*Y10</f>
        <v>40513.789459776817</v>
      </c>
      <c r="Z76" s="127"/>
      <c r="AA76" s="374">
        <f>AA77*AA10</f>
        <v>40660.81170098338</v>
      </c>
      <c r="AB76" s="127"/>
      <c r="AC76" s="374">
        <f>AC77*AC10</f>
        <v>38055.103273959779</v>
      </c>
      <c r="AD76" s="127"/>
      <c r="AE76" s="374">
        <f>AE77*AE10</f>
        <v>37278.839271013399</v>
      </c>
      <c r="AF76" s="127"/>
      <c r="AG76" s="374">
        <f>AG77*AG10</f>
        <v>39912.915690995156</v>
      </c>
      <c r="AH76" s="127"/>
      <c r="AI76" s="374">
        <f>AI77*AI10</f>
        <v>36696.007501791915</v>
      </c>
      <c r="AJ76" s="127"/>
      <c r="AK76" s="374">
        <f>AK77*AK10</f>
        <v>42936.729551725104</v>
      </c>
      <c r="AL76" s="127"/>
      <c r="AM76" s="374">
        <f>AM77*AM10</f>
        <v>38108.527425467488</v>
      </c>
      <c r="AN76" s="127"/>
      <c r="AO76" s="374">
        <f>AO77*AO10</f>
        <v>35737.21861471673</v>
      </c>
      <c r="AP76" s="127"/>
      <c r="AQ76" s="374">
        <f>AQ77*AQ10</f>
        <v>35584.660997461149</v>
      </c>
      <c r="AR76" s="127"/>
      <c r="AS76" s="374">
        <f>AS77*AS10</f>
        <v>35237.611230595496</v>
      </c>
      <c r="AT76" s="127"/>
      <c r="AU76" s="374">
        <f>AU77*AU10</f>
        <v>35237.611230595496</v>
      </c>
      <c r="AV76" s="127"/>
      <c r="AW76" s="374">
        <f>AW77*AW10</f>
        <v>33790.868487197557</v>
      </c>
      <c r="AX76" s="127"/>
      <c r="AY76" s="374">
        <f>AY77*AY10</f>
        <v>34623.796318182925</v>
      </c>
      <c r="AZ76" s="127"/>
      <c r="BA76" s="374">
        <f>BA77*BA10</f>
        <v>34358.909999999996</v>
      </c>
      <c r="BB76" s="127"/>
      <c r="BC76" s="374">
        <f>BC77*BC10</f>
        <v>33127.531007473473</v>
      </c>
      <c r="BD76" s="127"/>
      <c r="BE76" s="374">
        <f>BE77*BE10</f>
        <v>35580</v>
      </c>
      <c r="BF76" s="127"/>
      <c r="BG76" s="374">
        <f>BG77*BG10</f>
        <v>36744</v>
      </c>
      <c r="BH76" s="127"/>
      <c r="BI76" s="374">
        <f>BI77*BI10</f>
        <v>37272</v>
      </c>
      <c r="BJ76" s="127"/>
      <c r="BK76" s="374">
        <f>BK77*BK10</f>
        <v>34608</v>
      </c>
      <c r="BL76" s="127"/>
      <c r="BM76" s="374">
        <f>BM77*BM10</f>
        <v>36216</v>
      </c>
      <c r="BN76" s="127"/>
      <c r="BO76" s="374">
        <f>BO77*BO10</f>
        <v>36180</v>
      </c>
      <c r="BP76" s="127"/>
      <c r="BQ76" s="374">
        <f>BQ77*BQ10</f>
        <v>35832</v>
      </c>
      <c r="BR76" s="127"/>
      <c r="BS76" s="374">
        <f>BS77*BS10</f>
        <v>35352</v>
      </c>
      <c r="BV76" s="127"/>
      <c r="BW76" s="374">
        <f>BW77*BW10</f>
        <v>36005.613427445831</v>
      </c>
      <c r="BX76" s="127"/>
      <c r="BY76" s="374">
        <f t="shared" ref="BY76" si="88">BY77*BY10</f>
        <v>35832</v>
      </c>
    </row>
    <row r="77" spans="1:82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G74*G79/G10</f>
        <v>3104.60421960653</v>
      </c>
      <c r="H77" s="127"/>
      <c r="I77" s="90">
        <f>I74*I79/I10</f>
        <v>3266.2074707969145</v>
      </c>
      <c r="J77" s="127"/>
      <c r="K77" s="90">
        <f>K74*K79/K10</f>
        <v>3278.1271083751144</v>
      </c>
      <c r="L77" s="127"/>
      <c r="M77" s="90">
        <f>M74*M79/M10</f>
        <v>3293.1058839569</v>
      </c>
      <c r="N77" s="127"/>
      <c r="O77" s="90">
        <f>O74*O79/O10</f>
        <v>3682.5856505024694</v>
      </c>
      <c r="P77" s="127"/>
      <c r="Q77" s="90">
        <f>Q74*Q79/Q10</f>
        <v>3415.2523920341973</v>
      </c>
      <c r="R77" s="127"/>
      <c r="S77" s="90">
        <f>S74*S79/S10</f>
        <v>3636.0990719588594</v>
      </c>
      <c r="T77" s="127"/>
      <c r="U77" s="90">
        <f>U74*U79/U10</f>
        <v>3459.5932450935366</v>
      </c>
      <c r="V77" s="127"/>
      <c r="W77" s="90">
        <f>W74*W79/W10</f>
        <v>3314.3615594390376</v>
      </c>
      <c r="X77" s="127"/>
      <c r="Y77" s="90">
        <f>Y74*Y79/Y10</f>
        <v>3376.1491216480681</v>
      </c>
      <c r="Z77" s="127"/>
      <c r="AA77" s="90">
        <f>AA74*AA79/AA10</f>
        <v>3388.4009750819482</v>
      </c>
      <c r="AB77" s="127"/>
      <c r="AC77" s="90">
        <f>AC74*AC79/AC10</f>
        <v>3171.2586061633151</v>
      </c>
      <c r="AD77" s="127"/>
      <c r="AE77" s="90">
        <f>AE74*AE79/AE10</f>
        <v>3106.5699392511165</v>
      </c>
      <c r="AF77" s="127"/>
      <c r="AG77" s="90">
        <f>AG74*AG79/AG10</f>
        <v>3326.0763075829295</v>
      </c>
      <c r="AH77" s="127"/>
      <c r="AI77" s="90">
        <f>AI74*AI79/AI10</f>
        <v>3058.0006251493264</v>
      </c>
      <c r="AJ77" s="127"/>
      <c r="AK77" s="90">
        <f>AK74*AK79/AK10</f>
        <v>3578.0607959770919</v>
      </c>
      <c r="AL77" s="127"/>
      <c r="AM77" s="90">
        <f>AM74*AM79/AM10</f>
        <v>3175.7106187889572</v>
      </c>
      <c r="AN77" s="127"/>
      <c r="AO77" s="90">
        <f>AO74*AO79/AO10</f>
        <v>2978.1015512263943</v>
      </c>
      <c r="AP77" s="127"/>
      <c r="AQ77" s="90">
        <f>AQ74*AQ79/AQ10</f>
        <v>2965.3884164550959</v>
      </c>
      <c r="AR77" s="127"/>
      <c r="AS77" s="90">
        <f>AS74*AS79/AS10</f>
        <v>2936.4676025496246</v>
      </c>
      <c r="AT77" s="127"/>
      <c r="AU77" s="90">
        <f>AU74*AU79/AU10</f>
        <v>2936.4676025496246</v>
      </c>
      <c r="AV77" s="127"/>
      <c r="AW77" s="90">
        <f>AW74*AW79/AW10</f>
        <v>2815.9057072664632</v>
      </c>
      <c r="AX77" s="127"/>
      <c r="AY77" s="90">
        <f>AY74*AY79/AY10</f>
        <v>2885.3163598485771</v>
      </c>
      <c r="AZ77" s="127"/>
      <c r="BA77" s="90">
        <f>BA74*BA79/BA10</f>
        <v>2863.2424999999998</v>
      </c>
      <c r="BB77" s="127"/>
      <c r="BC77" s="90">
        <f>BC74*BC79/BC10</f>
        <v>2760.6275839561226</v>
      </c>
      <c r="BD77" s="127"/>
      <c r="BE77" s="90">
        <v>2965</v>
      </c>
      <c r="BF77" s="127"/>
      <c r="BG77" s="1171">
        <v>3062</v>
      </c>
      <c r="BH77" s="127"/>
      <c r="BI77" s="90">
        <v>3106</v>
      </c>
      <c r="BJ77" s="127"/>
      <c r="BK77" s="90">
        <v>2884</v>
      </c>
      <c r="BL77" s="127"/>
      <c r="BM77" s="90">
        <v>3018</v>
      </c>
      <c r="BN77" s="127"/>
      <c r="BO77" s="90">
        <v>3015</v>
      </c>
      <c r="BP77" s="127"/>
      <c r="BQ77" s="90">
        <v>2986</v>
      </c>
      <c r="BR77" s="127"/>
      <c r="BS77" s="90">
        <v>2946</v>
      </c>
      <c r="BV77" s="127"/>
      <c r="BW77" s="90">
        <f t="shared" ref="BW77" si="89">BW74*BW79/BW10</f>
        <v>3000.4677856204858</v>
      </c>
      <c r="BX77" s="127"/>
      <c r="BY77" s="90">
        <v>2986</v>
      </c>
    </row>
    <row r="78" spans="1:82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127"/>
      <c r="O78" s="90"/>
      <c r="P78" s="127"/>
      <c r="Q78" s="90"/>
      <c r="R78" s="127"/>
      <c r="S78" s="90"/>
      <c r="T78" s="127"/>
      <c r="U78" s="90"/>
      <c r="V78" s="127"/>
      <c r="W78" s="90"/>
      <c r="X78" s="127"/>
      <c r="Y78" s="90"/>
      <c r="Z78" s="127"/>
      <c r="AA78" s="90"/>
      <c r="AB78" s="127"/>
      <c r="AC78" s="90"/>
      <c r="AD78" s="127"/>
      <c r="AE78" s="90"/>
      <c r="AF78" s="127"/>
      <c r="AG78" s="90"/>
      <c r="AH78" s="127"/>
      <c r="AI78" s="90"/>
      <c r="AJ78" s="127"/>
      <c r="AK78" s="90"/>
      <c r="AL78" s="127"/>
      <c r="AM78" s="90"/>
      <c r="AN78" s="127"/>
      <c r="AO78" s="90"/>
      <c r="AP78" s="127"/>
      <c r="AQ78" s="90"/>
      <c r="AR78" s="127"/>
      <c r="AS78" s="90"/>
      <c r="AT78" s="127"/>
      <c r="AU78" s="90"/>
      <c r="AV78" s="127"/>
      <c r="AW78" s="90"/>
      <c r="AX78" s="127"/>
      <c r="AY78" s="90"/>
      <c r="AZ78" s="127"/>
      <c r="BA78" s="90"/>
      <c r="BB78" s="127"/>
      <c r="BC78" s="90"/>
      <c r="BD78" s="127"/>
      <c r="BE78" s="90"/>
      <c r="BF78" s="127"/>
      <c r="BG78" s="90"/>
      <c r="BH78" s="127"/>
      <c r="BI78" s="90"/>
      <c r="BJ78" s="127"/>
      <c r="BK78" s="90"/>
      <c r="BL78" s="127"/>
      <c r="BM78" s="90"/>
      <c r="BN78" s="127"/>
      <c r="BO78" s="90"/>
      <c r="BP78" s="127"/>
      <c r="BQ78" s="90"/>
      <c r="BR78" s="127"/>
      <c r="BS78" s="90"/>
      <c r="BV78" s="127"/>
      <c r="BW78" s="90"/>
      <c r="BX78" s="127"/>
      <c r="BY78" s="90"/>
    </row>
    <row r="79" spans="1:82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'Pricing Structure - CGSS'!G79</f>
        <v>14329</v>
      </c>
      <c r="H79" s="42"/>
      <c r="I79" s="88">
        <f>'Pricing Structure - CGSS'!I79</f>
        <v>14353</v>
      </c>
      <c r="J79" s="42"/>
      <c r="K79" s="88">
        <f>'Pricing Structure - CGSS'!K79</f>
        <v>14347</v>
      </c>
      <c r="L79" s="42"/>
      <c r="M79" s="88">
        <f>'Pricing Structure - CGSS'!M79</f>
        <v>14367</v>
      </c>
      <c r="N79" s="42"/>
      <c r="O79" s="88">
        <f>'Pricing Structure - CGSS'!O79</f>
        <v>14617</v>
      </c>
      <c r="P79" s="42"/>
      <c r="Q79" s="88">
        <f>'Pricing Structure - CGSS'!Q79</f>
        <v>14673</v>
      </c>
      <c r="R79" s="42"/>
      <c r="S79" s="88">
        <f>'Pricing Structure - CGSS'!S79</f>
        <v>14979</v>
      </c>
      <c r="T79" s="42"/>
      <c r="U79" s="88">
        <f>'Pricing Structure - CGSS'!U79</f>
        <v>14853</v>
      </c>
      <c r="V79" s="42"/>
      <c r="W79" s="88">
        <f>'Pricing Structure - CGSS'!W79</f>
        <v>15037</v>
      </c>
      <c r="X79" s="42"/>
      <c r="Y79" s="88">
        <f>'Pricing Structure - CGSS'!Y79</f>
        <v>15418</v>
      </c>
      <c r="Z79" s="42"/>
      <c r="AA79" s="88">
        <f>'Pricing Structure - CGSS'!AA79</f>
        <v>15645</v>
      </c>
      <c r="AB79" s="42"/>
      <c r="AC79" s="88">
        <f>'Pricing Structure - CGSS'!AC79</f>
        <v>15623</v>
      </c>
      <c r="AD79" s="42"/>
      <c r="AE79" s="88">
        <f>'Pricing Structure - CGSS'!AE79</f>
        <v>15331</v>
      </c>
      <c r="AF79" s="42"/>
      <c r="AG79" s="88">
        <f>'Pricing Structure - CGSS'!AG79</f>
        <v>15091</v>
      </c>
      <c r="AH79" s="42"/>
      <c r="AI79" s="88">
        <f>'Pricing Structure - CGSS'!AI79</f>
        <v>15275</v>
      </c>
      <c r="AJ79" s="42"/>
      <c r="AK79" s="88">
        <f>'Pricing Structure - GSS'!AW79</f>
        <v>14857</v>
      </c>
      <c r="AL79" s="42"/>
      <c r="AM79" s="88">
        <f>'Pricing Structure - GSS'!AY79</f>
        <v>14781</v>
      </c>
      <c r="AN79" s="42"/>
      <c r="AO79" s="88">
        <f>'Pricing Structure - GSS'!BA79</f>
        <v>14931</v>
      </c>
      <c r="AP79" s="42"/>
      <c r="AQ79" s="88">
        <f>'Pricing Structure - GSS'!BC79</f>
        <v>15024</v>
      </c>
      <c r="AR79" s="42"/>
      <c r="AS79" s="88">
        <f>'Pricing Structure - GSS'!BE79</f>
        <v>15236</v>
      </c>
      <c r="AT79" s="42"/>
      <c r="AU79" s="88">
        <f>'Pricing Structure - GSS'!BE79</f>
        <v>15236</v>
      </c>
      <c r="AV79" s="42"/>
      <c r="AW79" s="88">
        <f>'Pricing Structure - GSS'!BG79</f>
        <v>15335</v>
      </c>
      <c r="AX79" s="42"/>
      <c r="AY79" s="88">
        <f>'Pricing Structure - GSS'!BI79</f>
        <v>15713</v>
      </c>
      <c r="AZ79" s="42"/>
      <c r="BA79" s="88">
        <f>'Pricing Structure - GSS'!BK79</f>
        <v>15689</v>
      </c>
      <c r="BB79" s="42"/>
      <c r="BC79" s="88">
        <f>'Pricing Structure - GSS'!BM79</f>
        <v>15520</v>
      </c>
      <c r="BD79" s="42"/>
      <c r="BE79" s="88">
        <f>'Pricing Structure - GSS'!BO79</f>
        <v>15582</v>
      </c>
      <c r="BF79" s="42"/>
      <c r="BG79" s="88">
        <f>'Pricing Structure - GSS'!BQ79</f>
        <v>15701</v>
      </c>
      <c r="BH79" s="42"/>
      <c r="BI79" s="372">
        <v>16065</v>
      </c>
      <c r="BJ79" s="42"/>
      <c r="BK79" s="372">
        <v>16287</v>
      </c>
      <c r="BL79" s="42"/>
      <c r="BM79" s="372">
        <v>16264</v>
      </c>
      <c r="BN79" s="42"/>
      <c r="BO79" s="372">
        <v>15967</v>
      </c>
      <c r="BP79" s="42"/>
      <c r="BQ79" s="372">
        <v>15383</v>
      </c>
      <c r="BR79" s="42"/>
      <c r="BS79" s="372">
        <v>15480</v>
      </c>
      <c r="BV79" s="42"/>
      <c r="BW79" s="372">
        <v>15383</v>
      </c>
      <c r="BX79" s="42"/>
      <c r="BY79" s="372">
        <v>15500</v>
      </c>
    </row>
    <row r="80" spans="1:82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1.5300104239459587</v>
      </c>
      <c r="H80" s="50"/>
      <c r="I80" s="72">
        <f>+I67-I74</f>
        <v>1.3992475684830366</v>
      </c>
      <c r="J80" s="50"/>
      <c r="K80" s="72">
        <f>+K67-K74</f>
        <v>1.3881358262702048</v>
      </c>
      <c r="L80" s="50"/>
      <c r="M80" s="72">
        <f>+M67-M74</f>
        <v>1.3794417340096885</v>
      </c>
      <c r="N80" s="50"/>
      <c r="O80" s="72">
        <f>+O67-O74</f>
        <v>1.1067375107046842</v>
      </c>
      <c r="P80" s="50"/>
      <c r="Q80" s="72">
        <f>+Q67-Q74</f>
        <v>1.336908695944226</v>
      </c>
      <c r="R80" s="50"/>
      <c r="S80" s="72">
        <f>+S67-S74</f>
        <v>1.2170426020758183</v>
      </c>
      <c r="T80" s="50"/>
      <c r="U80" s="72">
        <f>+U67-U74</f>
        <v>1.3349337547214408</v>
      </c>
      <c r="V80" s="50"/>
      <c r="W80" s="72">
        <f>+W67-W74</f>
        <v>1.4850349994501264</v>
      </c>
      <c r="X80" s="50"/>
      <c r="Y80" s="72">
        <f>+Y67-Y74</f>
        <v>1.502305781568503</v>
      </c>
      <c r="Z80" s="50"/>
      <c r="AA80" s="72">
        <f>+AA67-AA74</f>
        <v>1.5310347266869044</v>
      </c>
      <c r="AB80" s="50"/>
      <c r="AC80" s="72">
        <f>+AC67-AC74</f>
        <v>1.6941616031517777</v>
      </c>
      <c r="AD80" s="50"/>
      <c r="AE80" s="72">
        <f>+AE67-AE74</f>
        <v>1.6984013260052571</v>
      </c>
      <c r="AF80" s="50"/>
      <c r="AG80" s="72">
        <f>+AG67-AG74</f>
        <v>1.4851841699691763</v>
      </c>
      <c r="AH80" s="50"/>
      <c r="AI80" s="72">
        <f>+AI67-AI74</f>
        <v>1.7276427167402999</v>
      </c>
      <c r="AJ80" s="50"/>
      <c r="AK80" s="72">
        <f>+AK67-AK74</f>
        <v>1.2400000301726388</v>
      </c>
      <c r="AL80" s="50"/>
      <c r="AM80" s="72">
        <f>+AM67-AM74</f>
        <v>1.5517896336196815</v>
      </c>
      <c r="AN80" s="50"/>
      <c r="AO80" s="72">
        <f>+AO67-AO74</f>
        <v>1.7365086990344429</v>
      </c>
      <c r="AP80" s="50"/>
      <c r="AQ80" s="72">
        <f>+AQ67-AQ74</f>
        <v>1.7614789005949714</v>
      </c>
      <c r="AR80" s="50"/>
      <c r="AS80" s="72">
        <f>+AS67-AS74</f>
        <v>1.817213754883467</v>
      </c>
      <c r="AT80" s="50"/>
      <c r="AU80" s="72">
        <f>+AU67-AU74</f>
        <v>1.817213754883467</v>
      </c>
      <c r="AV80" s="50"/>
      <c r="AW80" s="72">
        <f>+AW67-AW74</f>
        <v>1.9264872196154186</v>
      </c>
      <c r="AX80" s="50"/>
      <c r="AY80" s="72">
        <f>+AY67-AY74</f>
        <v>1.9264872196154186</v>
      </c>
      <c r="AZ80" s="50"/>
      <c r="BA80" s="72">
        <f>+BA67-BA74</f>
        <v>2.06</v>
      </c>
      <c r="BB80" s="50"/>
      <c r="BC80" s="72">
        <f>+BC67-BC74</f>
        <v>2.1154941361163999</v>
      </c>
      <c r="BD80" s="50"/>
      <c r="BE80" s="72">
        <f>+BE67-BE74</f>
        <v>1.9665960723912206</v>
      </c>
      <c r="BF80" s="50"/>
      <c r="BG80" s="72">
        <f>+BG67-BG74</f>
        <v>1.9097668938284187</v>
      </c>
      <c r="BH80" s="50"/>
      <c r="BI80" s="72">
        <f>+BI67-BI74</f>
        <v>1.9299253034547155</v>
      </c>
      <c r="BJ80" s="50"/>
      <c r="BK80" s="72">
        <f>+BK67-BK74</f>
        <v>2.12511512249033</v>
      </c>
      <c r="BL80" s="50"/>
      <c r="BM80" s="72">
        <f>+BM67-BM74</f>
        <v>2.0232415150024594</v>
      </c>
      <c r="BN80" s="50"/>
      <c r="BO80" s="72">
        <f>+BO67-BO74</f>
        <v>1.9840765328490009</v>
      </c>
      <c r="BP80" s="50"/>
      <c r="BQ80" s="72">
        <f>+BQ67-BQ74</f>
        <v>1.9206754209191965</v>
      </c>
      <c r="BR80" s="50"/>
      <c r="BS80" s="72">
        <f>+BS67-BS74</f>
        <v>1.9662790697674417</v>
      </c>
      <c r="BV80" s="50"/>
      <c r="BW80" s="72">
        <f>+BW67-BW74</f>
        <v>1.9093893630991463</v>
      </c>
      <c r="BX80" s="50"/>
      <c r="BY80" s="72">
        <f t="shared" ref="BY80" si="90">+BY67-BY74</f>
        <v>1.9382580645161291</v>
      </c>
    </row>
    <row r="81" spans="1:81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0.12750086866216323</v>
      </c>
      <c r="H81" s="50"/>
      <c r="I81" s="72">
        <f>+I80/I10</f>
        <v>0.11660396404025304</v>
      </c>
      <c r="J81" s="50"/>
      <c r="K81" s="72">
        <f>+K80/K10</f>
        <v>0.11567798552251707</v>
      </c>
      <c r="L81" s="50"/>
      <c r="M81" s="72">
        <f>+M80/M10</f>
        <v>0.11495347783414071</v>
      </c>
      <c r="N81" s="50"/>
      <c r="O81" s="72">
        <f>+O80/O10</f>
        <v>9.222812589205702E-2</v>
      </c>
      <c r="P81" s="50"/>
      <c r="Q81" s="72">
        <f>+Q80/Q10</f>
        <v>0.11140905799535217</v>
      </c>
      <c r="R81" s="50"/>
      <c r="S81" s="72">
        <f>+S80/S10</f>
        <v>0.10142021683965152</v>
      </c>
      <c r="T81" s="50"/>
      <c r="U81" s="72">
        <f>+U80/U10</f>
        <v>0.11124447956012007</v>
      </c>
      <c r="V81" s="50"/>
      <c r="W81" s="72">
        <f>+W80/W10</f>
        <v>0.12375291662084387</v>
      </c>
      <c r="X81" s="50"/>
      <c r="Y81" s="72">
        <f>+Y80/Y10</f>
        <v>0.12519214846404192</v>
      </c>
      <c r="Z81" s="50"/>
      <c r="AA81" s="72">
        <f>+AA80/AA10</f>
        <v>0.12758622722390869</v>
      </c>
      <c r="AB81" s="50"/>
      <c r="AC81" s="72">
        <f>+AC80/AC10</f>
        <v>0.14118013359598147</v>
      </c>
      <c r="AD81" s="50"/>
      <c r="AE81" s="72">
        <f>+AE80/AE10</f>
        <v>0.14153344383377142</v>
      </c>
      <c r="AF81" s="50"/>
      <c r="AG81" s="72">
        <f>+AG80/AG10</f>
        <v>0.12376534749743136</v>
      </c>
      <c r="AH81" s="50"/>
      <c r="AI81" s="72">
        <f>+AI80/AI10</f>
        <v>0.14397022639502499</v>
      </c>
      <c r="AJ81" s="50"/>
      <c r="AK81" s="72">
        <f>+AK80/AK10</f>
        <v>0.10333333584771991</v>
      </c>
      <c r="AL81" s="50"/>
      <c r="AM81" s="72">
        <f>+AM80/AM10</f>
        <v>0.12931580280164012</v>
      </c>
      <c r="AN81" s="50"/>
      <c r="AO81" s="72">
        <f>+AO80/AO10</f>
        <v>0.14470905825287025</v>
      </c>
      <c r="AP81" s="50"/>
      <c r="AQ81" s="72">
        <f>+AQ80/AQ10</f>
        <v>0.14678990838291428</v>
      </c>
      <c r="AR81" s="50"/>
      <c r="AS81" s="72">
        <f>+AS80/AS10</f>
        <v>0.15143447957362224</v>
      </c>
      <c r="AT81" s="50"/>
      <c r="AU81" s="72">
        <f>+AU80/AU10</f>
        <v>0.15143447957362224</v>
      </c>
      <c r="AV81" s="50"/>
      <c r="AW81" s="72">
        <f>+AW80/AW10</f>
        <v>0.16054060163461822</v>
      </c>
      <c r="AX81" s="50"/>
      <c r="AY81" s="72">
        <f>+AY80/AY10</f>
        <v>0.16054060163461822</v>
      </c>
      <c r="AZ81" s="50"/>
      <c r="BA81" s="72">
        <f>+BA80/BA10</f>
        <v>0.17166666666666666</v>
      </c>
      <c r="BB81" s="50"/>
      <c r="BC81" s="72">
        <f>+BC80/BC10</f>
        <v>0.17629117800969998</v>
      </c>
      <c r="BD81" s="50"/>
      <c r="BE81" s="72">
        <f>+BE80/BE10</f>
        <v>0.16388300603260172</v>
      </c>
      <c r="BF81" s="50"/>
      <c r="BG81" s="72">
        <f>+BG80/BG10</f>
        <v>0.15914724115236822</v>
      </c>
      <c r="BH81" s="50"/>
      <c r="BI81" s="72">
        <f>+BI80/BI10</f>
        <v>0.16082710862122629</v>
      </c>
      <c r="BJ81" s="50"/>
      <c r="BK81" s="72">
        <f>+BK80/BK10</f>
        <v>0.17709292687419417</v>
      </c>
      <c r="BL81" s="50"/>
      <c r="BM81" s="72">
        <f>+BM80/BM10</f>
        <v>0.16860345958353828</v>
      </c>
      <c r="BN81" s="50"/>
      <c r="BO81" s="72">
        <f>+BO80/BO10</f>
        <v>0.16533971107075007</v>
      </c>
      <c r="BP81" s="50"/>
      <c r="BQ81" s="72">
        <f>+BQ80/BQ10</f>
        <v>0.16005628507659972</v>
      </c>
      <c r="BR81" s="50"/>
      <c r="BS81" s="72">
        <f>+BS80/BS10</f>
        <v>0.16385658914728682</v>
      </c>
      <c r="BV81" s="50"/>
      <c r="BW81" s="72">
        <f>+BW80/BW10</f>
        <v>0.1591157802582622</v>
      </c>
      <c r="BX81" s="50"/>
      <c r="BY81" s="72">
        <f t="shared" ref="BY81" si="91">+BY80/BY10</f>
        <v>0.1615215053763441</v>
      </c>
    </row>
    <row r="82" spans="1:81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0.37046257238400937</v>
      </c>
      <c r="H82" s="132"/>
      <c r="I82" s="133">
        <f>+I80/I67</f>
        <v>0.33880086403947618</v>
      </c>
      <c r="J82" s="132"/>
      <c r="K82" s="133">
        <f>+K80/K67</f>
        <v>0.33611036955695034</v>
      </c>
      <c r="L82" s="132"/>
      <c r="M82" s="133">
        <f>+M80/M67</f>
        <v>0.33400526247207957</v>
      </c>
      <c r="N82" s="132"/>
      <c r="O82" s="133">
        <f>+O80/O67</f>
        <v>0.26797518418999616</v>
      </c>
      <c r="P82" s="132"/>
      <c r="Q82" s="133">
        <f>+Q80/Q67</f>
        <v>0.3237067060397642</v>
      </c>
      <c r="R82" s="132"/>
      <c r="S82" s="133">
        <f>+S80/S67</f>
        <v>0.29468343875927805</v>
      </c>
      <c r="T82" s="132"/>
      <c r="U82" s="133">
        <f>+U80/U67</f>
        <v>0.32322851203908981</v>
      </c>
      <c r="V82" s="132"/>
      <c r="W82" s="133">
        <f>+W80/W67</f>
        <v>0.35957263909204029</v>
      </c>
      <c r="X82" s="132"/>
      <c r="Y82" s="133">
        <f>+Y80/Y67</f>
        <v>0.36375442652990392</v>
      </c>
      <c r="Z82" s="132"/>
      <c r="AA82" s="133">
        <f>+AA80/AA67</f>
        <v>0.37071058757552167</v>
      </c>
      <c r="AB82" s="132"/>
      <c r="AC82" s="133">
        <f>+AC80/AC67</f>
        <v>0.41020862061786384</v>
      </c>
      <c r="AD82" s="132"/>
      <c r="AE82" s="1143">
        <f>+AE80/AE67</f>
        <v>0.4112351878947354</v>
      </c>
      <c r="AF82" s="132"/>
      <c r="AG82" s="1143">
        <f>+AG80/AG67</f>
        <v>0.35960875786178603</v>
      </c>
      <c r="AH82" s="132"/>
      <c r="AI82" s="1143">
        <f>+AI80/AI67</f>
        <v>0.41831542778215497</v>
      </c>
      <c r="AJ82" s="132"/>
      <c r="AK82" s="1143">
        <f>+AK80/AK67</f>
        <v>0.30024213805632904</v>
      </c>
      <c r="AL82" s="132"/>
      <c r="AM82" s="1143">
        <f>+AM80/AM67</f>
        <v>0.37573598876989867</v>
      </c>
      <c r="AN82" s="132"/>
      <c r="AO82" s="1143">
        <f>+AO80/AO67</f>
        <v>0.42046215472988935</v>
      </c>
      <c r="AP82" s="132"/>
      <c r="AQ82" s="133">
        <f>+AQ80/AQ67</f>
        <v>0.42650820837650638</v>
      </c>
      <c r="AR82" s="132"/>
      <c r="AS82" s="133">
        <f>+AS80/AS67</f>
        <v>0.44000333048025836</v>
      </c>
      <c r="AT82" s="132"/>
      <c r="AU82" s="133">
        <f>+AU80/AU67</f>
        <v>0.44000333048025836</v>
      </c>
      <c r="AV82" s="132"/>
      <c r="AW82" s="133">
        <f>+AW80/AW67</f>
        <v>0.4664617965170505</v>
      </c>
      <c r="AX82" s="132"/>
      <c r="AY82" s="133">
        <f>+AY80/AY67</f>
        <v>0.4664617965170505</v>
      </c>
      <c r="AZ82" s="132"/>
      <c r="BA82" s="133">
        <f>+BA80/BA67</f>
        <v>0.48470588235294121</v>
      </c>
      <c r="BB82" s="132"/>
      <c r="BC82" s="133">
        <f>+BC80/BC67</f>
        <v>0.49776332614503527</v>
      </c>
      <c r="BD82" s="132"/>
      <c r="BE82" s="133">
        <f>+BE80/BE67</f>
        <v>0.46272848762146368</v>
      </c>
      <c r="BF82" s="132"/>
      <c r="BG82" s="133">
        <f>+BG80/BG67</f>
        <v>0.44935691619492202</v>
      </c>
      <c r="BH82" s="132"/>
      <c r="BI82" s="133">
        <f>+BI80/BI67</f>
        <v>0.45410007140110953</v>
      </c>
      <c r="BJ82" s="132"/>
      <c r="BK82" s="133">
        <f>+BK80/BK67</f>
        <v>0.50002708764478354</v>
      </c>
      <c r="BL82" s="132"/>
      <c r="BM82" s="133">
        <f>+BM80/BM67</f>
        <v>0.47605682705940222</v>
      </c>
      <c r="BN82" s="132"/>
      <c r="BO82" s="133">
        <f>+BO80/BO67</f>
        <v>0.4668415371409414</v>
      </c>
      <c r="BP82" s="132"/>
      <c r="BQ82" s="133">
        <f>+BQ80/BQ67</f>
        <v>0.45192362845157563</v>
      </c>
      <c r="BR82" s="132"/>
      <c r="BS82" s="133">
        <f>+BS80/BS67</f>
        <v>0.4626538987688098</v>
      </c>
      <c r="BV82" s="132"/>
      <c r="BW82" s="133">
        <f>+BW80/BW67</f>
        <v>0.44926808543509322</v>
      </c>
      <c r="BX82" s="132"/>
      <c r="BY82" s="133">
        <f t="shared" ref="BY82" si="92">+BY80/BY67</f>
        <v>0.45606072106261863</v>
      </c>
    </row>
    <row r="83" spans="1:81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0.50001042394595863</v>
      </c>
      <c r="H83" s="137"/>
      <c r="I83" s="138">
        <f>I80-I57</f>
        <v>0.36924756848303653</v>
      </c>
      <c r="J83" s="137"/>
      <c r="K83" s="138">
        <f>K80-K57</f>
        <v>0.35813582627020479</v>
      </c>
      <c r="L83" s="137"/>
      <c r="M83" s="138">
        <f>M80-M57</f>
        <v>0.34944173400968848</v>
      </c>
      <c r="N83" s="137"/>
      <c r="O83" s="138">
        <f>O80-O57</f>
        <v>7.6737510704684153E-2</v>
      </c>
      <c r="P83" s="137"/>
      <c r="Q83" s="138">
        <f>Q80-Q57</f>
        <v>0.30690869594422598</v>
      </c>
      <c r="R83" s="137"/>
      <c r="S83" s="138">
        <f>S80-S57</f>
        <v>0.18704260207581824</v>
      </c>
      <c r="T83" s="137"/>
      <c r="U83" s="138">
        <f>U80-U57</f>
        <v>0.3049337547214408</v>
      </c>
      <c r="V83" s="137"/>
      <c r="W83" s="138">
        <f>W80-W57</f>
        <v>0.45503499945012638</v>
      </c>
      <c r="X83" s="137"/>
      <c r="Y83" s="138">
        <f>Y80-Y57</f>
        <v>0.472305781568503</v>
      </c>
      <c r="Z83" s="137"/>
      <c r="AA83" s="138">
        <f>AA80-AA57</f>
        <v>0.50103472668690441</v>
      </c>
      <c r="AB83" s="137"/>
      <c r="AC83" s="138">
        <f>AC80-AC57</f>
        <v>0.80762502918589785</v>
      </c>
      <c r="AD83" s="137"/>
      <c r="AE83" s="138">
        <f>AE80-AE57</f>
        <v>0.66840132600525703</v>
      </c>
      <c r="AF83" s="137"/>
      <c r="AG83" s="138">
        <f>AG80-AG57</f>
        <v>0.45518416996917632</v>
      </c>
      <c r="AH83" s="137"/>
      <c r="AI83" s="138">
        <f>AI80-AI57</f>
        <v>0.69764271674029987</v>
      </c>
      <c r="AJ83" s="137"/>
      <c r="AK83" s="138">
        <f>AK80-AK57</f>
        <v>0.2100000301726388</v>
      </c>
      <c r="AL83" s="137"/>
      <c r="AM83" s="138">
        <f>AM80-AM57</f>
        <v>0.52178963361968145</v>
      </c>
      <c r="AN83" s="137"/>
      <c r="AO83" s="138">
        <f>AO80-AO57</f>
        <v>0.70650869903444291</v>
      </c>
      <c r="AP83" s="137"/>
      <c r="AQ83" s="138">
        <f>AQ80-AQ57</f>
        <v>0.73147890059497134</v>
      </c>
      <c r="AR83" s="137"/>
      <c r="AS83" s="138">
        <f>AS80-AS57</f>
        <v>0.78721375488346701</v>
      </c>
      <c r="AT83" s="137"/>
      <c r="AU83" s="138">
        <f>AU80-AU57</f>
        <v>0.78721375488346701</v>
      </c>
      <c r="AV83" s="137"/>
      <c r="AW83" s="138">
        <f>AW80-AW57</f>
        <v>0.89648721961541855</v>
      </c>
      <c r="AX83" s="137"/>
      <c r="AY83" s="138">
        <f>AY80-AY57</f>
        <v>0.89648721961541855</v>
      </c>
      <c r="AZ83" s="137"/>
      <c r="BA83" s="138">
        <f>BA80-BA57</f>
        <v>1.01</v>
      </c>
      <c r="BB83" s="137"/>
      <c r="BC83" s="138">
        <f>BC80-BC57</f>
        <v>1.0654941361163999</v>
      </c>
      <c r="BD83" s="137"/>
      <c r="BE83" s="138">
        <f>BE80-BE57</f>
        <v>0.91659607239122054</v>
      </c>
      <c r="BF83" s="137"/>
      <c r="BG83" s="138">
        <f>BG80-BG57</f>
        <v>0.85976689382841864</v>
      </c>
      <c r="BH83" s="137"/>
      <c r="BI83" s="138">
        <f>BI80-BI57</f>
        <v>0.87992530345471542</v>
      </c>
      <c r="BJ83" s="137"/>
      <c r="BK83" s="138">
        <f>BK80-BK57</f>
        <v>1.0751151224903299</v>
      </c>
      <c r="BL83" s="137"/>
      <c r="BM83" s="138">
        <f>BM80-BM57</f>
        <v>0.97324151500245937</v>
      </c>
      <c r="BN83" s="137"/>
      <c r="BO83" s="138">
        <f>BO80-BO57</f>
        <v>0.93407653284900083</v>
      </c>
      <c r="BP83" s="137"/>
      <c r="BQ83" s="138">
        <f>BQ80-BQ57</f>
        <v>0.87067542091919647</v>
      </c>
      <c r="BR83" s="137"/>
      <c r="BS83" s="138">
        <f>BS80-BS57</f>
        <v>0.91627906976744167</v>
      </c>
      <c r="BV83" s="137"/>
      <c r="BW83" s="138">
        <f>BW80-BW57</f>
        <v>0.85938936309914626</v>
      </c>
      <c r="BX83" s="137"/>
      <c r="BY83" s="138">
        <f t="shared" ref="BY83" si="93">BY80-BY57</f>
        <v>0.8882580645161291</v>
      </c>
    </row>
    <row r="84" spans="1:81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0.12106789926052268</v>
      </c>
      <c r="H84" s="132"/>
      <c r="I84" s="133">
        <f>I83/I67</f>
        <v>8.9406190915989475E-2</v>
      </c>
      <c r="J84" s="132"/>
      <c r="K84" s="133">
        <f>K83/K67</f>
        <v>8.6715696433463635E-2</v>
      </c>
      <c r="L84" s="132"/>
      <c r="M84" s="133">
        <f>M83/M67</f>
        <v>8.4610589348592849E-2</v>
      </c>
      <c r="N84" s="132"/>
      <c r="O84" s="133">
        <f>O83/O67</f>
        <v>1.8580511066509479E-2</v>
      </c>
      <c r="P84" s="132"/>
      <c r="Q84" s="133">
        <f>Q83/Q67</f>
        <v>7.4312032916277485E-2</v>
      </c>
      <c r="R84" s="132"/>
      <c r="S84" s="133">
        <f>S83/S67</f>
        <v>4.5288765635791345E-2</v>
      </c>
      <c r="T84" s="132"/>
      <c r="U84" s="133">
        <f>U83/U67</f>
        <v>7.3833838915603106E-2</v>
      </c>
      <c r="V84" s="132"/>
      <c r="W84" s="133">
        <f>W83/W67</f>
        <v>0.1101779659685536</v>
      </c>
      <c r="X84" s="132"/>
      <c r="Y84" s="133">
        <f>Y83/Y67</f>
        <v>0.1143597534064172</v>
      </c>
      <c r="Z84" s="132"/>
      <c r="AA84" s="133">
        <f>AA83/AA67</f>
        <v>0.12131591445203496</v>
      </c>
      <c r="AB84" s="132"/>
      <c r="AC84" s="133">
        <f>AC83/AC67</f>
        <v>0.19555085452443047</v>
      </c>
      <c r="AD84" s="132"/>
      <c r="AE84" s="1143">
        <f>AE83/AE67</f>
        <v>0.16184051477124869</v>
      </c>
      <c r="AF84" s="132"/>
      <c r="AG84" s="1143">
        <f>AG83/AG67</f>
        <v>0.11021408473829936</v>
      </c>
      <c r="AH84" s="132"/>
      <c r="AI84" s="1143">
        <f>AI83/AI67</f>
        <v>0.16892075465866827</v>
      </c>
      <c r="AJ84" s="132"/>
      <c r="AK84" s="1143">
        <f>AK83/AK67</f>
        <v>5.0847464932842326E-2</v>
      </c>
      <c r="AL84" s="132"/>
      <c r="AM84" s="1143">
        <f>AM83/AM67</f>
        <v>0.12634131564641199</v>
      </c>
      <c r="AN84" s="132"/>
      <c r="AO84" s="1143">
        <f>AO83/AO67</f>
        <v>0.17106748160640264</v>
      </c>
      <c r="AP84" s="132"/>
      <c r="AQ84" s="133">
        <f>AQ83/AQ67</f>
        <v>0.1771135352530197</v>
      </c>
      <c r="AR84" s="132"/>
      <c r="AS84" s="133">
        <f>AS83/AS67</f>
        <v>0.19060865735677168</v>
      </c>
      <c r="AT84" s="132"/>
      <c r="AU84" s="133">
        <f>AU83/AU67</f>
        <v>0.19060865735677168</v>
      </c>
      <c r="AV84" s="132"/>
      <c r="AW84" s="133">
        <f>AW83/AW67</f>
        <v>0.21706712339356382</v>
      </c>
      <c r="AX84" s="132"/>
      <c r="AY84" s="133">
        <f>AY83/AY67</f>
        <v>0.21706712339356382</v>
      </c>
      <c r="AZ84" s="132"/>
      <c r="BA84" s="133">
        <f>BA83/BA67</f>
        <v>0.23764705882352941</v>
      </c>
      <c r="BB84" s="132"/>
      <c r="BC84" s="133">
        <f>BC83/BC67</f>
        <v>0.25070450261562349</v>
      </c>
      <c r="BD84" s="132"/>
      <c r="BE84" s="133">
        <f>BE83/BE67</f>
        <v>0.2156696640920519</v>
      </c>
      <c r="BF84" s="132"/>
      <c r="BG84" s="133">
        <f>BG83/BG67</f>
        <v>0.20229809266551027</v>
      </c>
      <c r="BH84" s="132"/>
      <c r="BI84" s="133">
        <f>BI83/BI67</f>
        <v>0.20704124787169775</v>
      </c>
      <c r="BJ84" s="132"/>
      <c r="BK84" s="133">
        <f>BK83/BK67</f>
        <v>0.25296826411537177</v>
      </c>
      <c r="BL84" s="132"/>
      <c r="BM84" s="133">
        <f>BM83/BM67</f>
        <v>0.22899800352999045</v>
      </c>
      <c r="BN84" s="132"/>
      <c r="BO84" s="133">
        <f>BO83/BO67</f>
        <v>0.2197827136115296</v>
      </c>
      <c r="BP84" s="132"/>
      <c r="BQ84" s="133">
        <f>BQ83/BQ67</f>
        <v>0.20486480492216388</v>
      </c>
      <c r="BR84" s="132"/>
      <c r="BS84" s="133">
        <f>BS83/BS67</f>
        <v>0.21559507523939803</v>
      </c>
      <c r="BV84" s="132"/>
      <c r="BW84" s="133">
        <f>BW83/BW67</f>
        <v>0.20220926190568148</v>
      </c>
      <c r="BX84" s="132"/>
      <c r="BY84" s="133">
        <f t="shared" ref="BY84" si="94">BY83/BY67</f>
        <v>0.20900189753320686</v>
      </c>
    </row>
    <row r="85" spans="1:81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  <c r="T85" s="132"/>
      <c r="U85" s="133"/>
      <c r="V85" s="132"/>
      <c r="W85" s="133"/>
      <c r="X85" s="132"/>
      <c r="Y85" s="133"/>
      <c r="Z85" s="132"/>
      <c r="AA85" s="133"/>
      <c r="AB85" s="132"/>
      <c r="AC85" s="133"/>
      <c r="AD85" s="132"/>
      <c r="AE85" s="133"/>
      <c r="AF85" s="132"/>
      <c r="AG85" s="133"/>
      <c r="AH85" s="132"/>
      <c r="AI85" s="133"/>
      <c r="AJ85" s="132"/>
      <c r="AK85" s="133"/>
      <c r="AL85" s="132"/>
      <c r="AM85" s="133"/>
      <c r="AN85" s="132"/>
      <c r="AO85" s="133"/>
      <c r="AP85" s="132"/>
      <c r="AQ85" s="133"/>
      <c r="AR85" s="132"/>
      <c r="AS85" s="133"/>
      <c r="AT85" s="132"/>
      <c r="AU85" s="133"/>
      <c r="AV85" s="132"/>
      <c r="AW85" s="133"/>
      <c r="AX85" s="132"/>
      <c r="AY85" s="133"/>
      <c r="AZ85" s="132"/>
      <c r="BA85" s="133"/>
      <c r="BB85" s="132"/>
      <c r="BC85" s="133"/>
      <c r="BD85" s="132"/>
      <c r="BE85" s="133"/>
      <c r="BF85" s="132"/>
      <c r="BG85" s="133"/>
      <c r="BH85" s="132"/>
      <c r="BI85" s="133"/>
      <c r="BJ85" s="132"/>
      <c r="BK85" s="133"/>
      <c r="BL85" s="132"/>
      <c r="BM85" s="133"/>
      <c r="BN85" s="132"/>
      <c r="BO85" s="133"/>
      <c r="BP85" s="132"/>
      <c r="BQ85" s="133"/>
      <c r="BR85" s="132"/>
      <c r="BS85" s="133"/>
      <c r="BV85" s="132"/>
      <c r="BW85" s="133"/>
      <c r="BX85" s="132"/>
      <c r="BY85" s="133"/>
    </row>
    <row r="86" spans="1:81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0.46783630635872492</v>
      </c>
      <c r="H86" s="141"/>
      <c r="I86" s="142">
        <f>I83-I72</f>
        <v>0.32686205688588416</v>
      </c>
      <c r="J86" s="141"/>
      <c r="K86" s="142">
        <f>K83-K72</f>
        <v>0.3111270303354805</v>
      </c>
      <c r="L86" s="141"/>
      <c r="M86" s="142">
        <f>M83-M72</f>
        <v>0.3167314775951971</v>
      </c>
      <c r="N86" s="141"/>
      <c r="O86" s="142">
        <f>O83-O72</f>
        <v>3.7357875774196525E-2</v>
      </c>
      <c r="P86" s="141"/>
      <c r="Q86" s="142">
        <f>Q83-Q72</f>
        <v>0.25161928603415251</v>
      </c>
      <c r="R86" s="141"/>
      <c r="S86" s="142">
        <f>S83-S72</f>
        <v>0.15001604697170667</v>
      </c>
      <c r="T86" s="141"/>
      <c r="U86" s="142">
        <f>U83-U72</f>
        <v>0.2588798434996647</v>
      </c>
      <c r="V86" s="141"/>
      <c r="W86" s="142">
        <f>W83-W72</f>
        <v>0.41859799655408447</v>
      </c>
      <c r="X86" s="141"/>
      <c r="Y86" s="142">
        <f>Y83-Y72</f>
        <v>0.43607373625461848</v>
      </c>
      <c r="Z86" s="141"/>
      <c r="AA86" s="142">
        <f>AA83-AA72</f>
        <v>0.46340552257052087</v>
      </c>
      <c r="AB86" s="141"/>
      <c r="AC86" s="142">
        <f>AC83-AC72</f>
        <v>0.77033480336521798</v>
      </c>
      <c r="AD86" s="141"/>
      <c r="AE86" s="142">
        <f>AE83-AE72</f>
        <v>0.63072675415649604</v>
      </c>
      <c r="AF86" s="141"/>
      <c r="AG86" s="142">
        <f>AG83-AG72</f>
        <v>0.41926747090878147</v>
      </c>
      <c r="AH86" s="141"/>
      <c r="AI86" s="142">
        <f>AI83-AI72</f>
        <v>0.66312720426795624</v>
      </c>
      <c r="AJ86" s="141"/>
      <c r="AK86" s="142">
        <f>AK83-AK72</f>
        <v>0.17147469521154537</v>
      </c>
      <c r="AL86" s="141"/>
      <c r="AM86" s="142">
        <f>AM83-AM72</f>
        <v>0.48696563854263725</v>
      </c>
      <c r="AN86" s="141"/>
      <c r="AO86" s="142">
        <f>AO83-AO72</f>
        <v>0.66708709934815724</v>
      </c>
      <c r="AP86" s="141"/>
      <c r="AQ86" s="142">
        <f>AQ83-AQ72</f>
        <v>0.69652988441199404</v>
      </c>
      <c r="AR86" s="141"/>
      <c r="AS86" s="142">
        <f>AS83-AS72</f>
        <v>0.75269824241112337</v>
      </c>
      <c r="AT86" s="141"/>
      <c r="AU86" s="142">
        <f>AU83-AU72</f>
        <v>0.75118257770060448</v>
      </c>
      <c r="AV86" s="141"/>
      <c r="AW86" s="142">
        <f>AW83-AW72</f>
        <v>0.85817061794093141</v>
      </c>
      <c r="AX86" s="141"/>
      <c r="AY86" s="142">
        <f>AY83-AY72</f>
        <v>0.86067817508915989</v>
      </c>
      <c r="AZ86" s="141"/>
      <c r="BA86" s="142">
        <f>BA83-BA72</f>
        <v>0.97399473006996407</v>
      </c>
      <c r="BB86" s="141"/>
      <c r="BC86" s="142">
        <f>BC83-BC72</f>
        <v>1.027796762734132</v>
      </c>
      <c r="BD86" s="141"/>
      <c r="BE86" s="142">
        <f>BE83-BE72</f>
        <v>0.88311609945572211</v>
      </c>
      <c r="BF86" s="141"/>
      <c r="BG86" s="142">
        <f>BG83-BG72</f>
        <v>0.82385285451741952</v>
      </c>
      <c r="BH86" s="141"/>
      <c r="BI86" s="142">
        <f>BI83-BI72</f>
        <v>0.8440112641437163</v>
      </c>
      <c r="BJ86" s="141"/>
      <c r="BK86" s="142">
        <f>BK83-BK72</f>
        <v>1.0392010831793308</v>
      </c>
      <c r="BL86" s="141"/>
      <c r="BM86" s="142">
        <f>BM83-BM72</f>
        <v>0.93732747569146024</v>
      </c>
      <c r="BN86" s="141"/>
      <c r="BO86" s="142">
        <f>BO83-BO72</f>
        <v>0.8981624935380017</v>
      </c>
      <c r="BP86" s="141"/>
      <c r="BQ86" s="142">
        <f>BQ83-BQ72</f>
        <v>0.83476138160819735</v>
      </c>
      <c r="BR86" s="141"/>
      <c r="BS86" s="142">
        <f>BS83-BS72</f>
        <v>0.88036503045644254</v>
      </c>
      <c r="BV86" s="141"/>
      <c r="BW86" s="142">
        <f>BW83-BW72</f>
        <v>0.82347532378814714</v>
      </c>
      <c r="BX86" s="141"/>
      <c r="BY86" s="142">
        <f t="shared" ref="BY86" si="95">BY83-BY72</f>
        <v>0.85234402520512997</v>
      </c>
    </row>
    <row r="87" spans="1:81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0.11327755601906173</v>
      </c>
      <c r="H87" s="132"/>
      <c r="I87" s="133">
        <f>I86/I67</f>
        <v>7.9143355178180191E-2</v>
      </c>
      <c r="J87" s="132"/>
      <c r="K87" s="133">
        <f>K86/K67</f>
        <v>7.5333421388736208E-2</v>
      </c>
      <c r="L87" s="132"/>
      <c r="M87" s="133">
        <f>M86/M67</f>
        <v>7.6690430410459351E-2</v>
      </c>
      <c r="N87" s="132"/>
      <c r="O87" s="133">
        <f>O86/O67</f>
        <v>9.0454905022267617E-3</v>
      </c>
      <c r="P87" s="132"/>
      <c r="Q87" s="133">
        <f>Q86/Q67</f>
        <v>6.0924766594225792E-2</v>
      </c>
      <c r="R87" s="132"/>
      <c r="S87" s="133">
        <f>S86/S67</f>
        <v>3.6323498056103312E-2</v>
      </c>
      <c r="T87" s="132"/>
      <c r="U87" s="133">
        <f>U86/U67</f>
        <v>6.268277082316337E-2</v>
      </c>
      <c r="V87" s="132"/>
      <c r="W87" s="133">
        <f>W86/W67</f>
        <v>0.1013554471075265</v>
      </c>
      <c r="X87" s="132"/>
      <c r="Y87" s="133">
        <f>Y86/Y67</f>
        <v>0.10558686107860012</v>
      </c>
      <c r="Z87" s="132"/>
      <c r="AA87" s="133">
        <f>AA86/AA67</f>
        <v>0.11220472701465396</v>
      </c>
      <c r="AB87" s="132"/>
      <c r="AC87" s="133">
        <f>AC86/AC67</f>
        <v>0.18652174415622713</v>
      </c>
      <c r="AD87" s="132"/>
      <c r="AE87" s="1143">
        <f>AE86/AE67</f>
        <v>0.15271834241077387</v>
      </c>
      <c r="AF87" s="132"/>
      <c r="AG87" s="1143">
        <f>AG86/AG67</f>
        <v>0.10151754743554031</v>
      </c>
      <c r="AH87" s="132"/>
      <c r="AI87" s="1143">
        <f>AI86/AI67</f>
        <v>0.16056348771621218</v>
      </c>
      <c r="AJ87" s="132"/>
      <c r="AK87" s="1143">
        <f>AK86/AK67</f>
        <v>4.1519296661391134E-2</v>
      </c>
      <c r="AL87" s="132"/>
      <c r="AM87" s="1143">
        <f>AM86/AM67</f>
        <v>0.11790935557933105</v>
      </c>
      <c r="AN87" s="132"/>
      <c r="AO87" s="1143">
        <f>AO86/AO67</f>
        <v>0.16152230008429957</v>
      </c>
      <c r="AP87" s="132"/>
      <c r="AQ87" s="133">
        <f>AQ86/AQ67</f>
        <v>0.16865130373171769</v>
      </c>
      <c r="AR87" s="132"/>
      <c r="AS87" s="133">
        <f>AS86/AS67</f>
        <v>0.18225139041431559</v>
      </c>
      <c r="AT87" s="132"/>
      <c r="AU87" s="133">
        <f>AU86/AU67</f>
        <v>0.18188440138029166</v>
      </c>
      <c r="AV87" s="132"/>
      <c r="AW87" s="133">
        <f>AW86/AW67</f>
        <v>0.20778949586947493</v>
      </c>
      <c r="AX87" s="132"/>
      <c r="AY87" s="133">
        <f>AY86/AY67</f>
        <v>0.20839665256396123</v>
      </c>
      <c r="AZ87" s="132"/>
      <c r="BA87" s="133">
        <f>BA86/BA67</f>
        <v>0.22917523060469744</v>
      </c>
      <c r="BB87" s="132"/>
      <c r="BC87" s="133">
        <f>BC86/BC67</f>
        <v>0.24183453240803107</v>
      </c>
      <c r="BD87" s="132"/>
      <c r="BE87" s="133">
        <f>BE86/BE67</f>
        <v>0.20779202340134639</v>
      </c>
      <c r="BF87" s="132"/>
      <c r="BG87" s="133">
        <f>BG86/BG67</f>
        <v>0.19384773047468695</v>
      </c>
      <c r="BH87" s="132"/>
      <c r="BI87" s="133">
        <f>BI86/BI67</f>
        <v>0.19859088568087443</v>
      </c>
      <c r="BJ87" s="132"/>
      <c r="BK87" s="133">
        <f>BK86/BK67</f>
        <v>0.24451790192454842</v>
      </c>
      <c r="BL87" s="132"/>
      <c r="BM87" s="133">
        <f>BM86/BM67</f>
        <v>0.22054764133916713</v>
      </c>
      <c r="BN87" s="132"/>
      <c r="BO87" s="133">
        <f>BO86/BO67</f>
        <v>0.21133235142070628</v>
      </c>
      <c r="BP87" s="132"/>
      <c r="BQ87" s="133">
        <f>BQ86/BQ67</f>
        <v>0.19641444273134057</v>
      </c>
      <c r="BR87" s="132"/>
      <c r="BS87" s="133">
        <f>BS86/BS67</f>
        <v>0.20714471304857471</v>
      </c>
      <c r="BV87" s="132"/>
      <c r="BW87" s="133">
        <f>BW86/BW67</f>
        <v>0.19375889971485816</v>
      </c>
      <c r="BX87" s="132"/>
      <c r="BY87" s="133">
        <f t="shared" ref="BY87" si="96">BY86/BY67</f>
        <v>0.20055153534238351</v>
      </c>
    </row>
    <row r="88" spans="1:81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132"/>
      <c r="O88" s="133"/>
      <c r="P88" s="132"/>
      <c r="Q88" s="133"/>
      <c r="R88" s="132"/>
      <c r="S88" s="133"/>
      <c r="T88" s="132"/>
      <c r="U88" s="133"/>
      <c r="V88" s="132"/>
      <c r="W88" s="133"/>
      <c r="X88" s="132"/>
      <c r="Y88" s="133"/>
      <c r="Z88" s="132"/>
      <c r="AA88" s="133"/>
      <c r="AB88" s="132"/>
      <c r="AC88" s="133"/>
      <c r="AD88" s="132"/>
      <c r="AE88" s="133"/>
      <c r="AF88" s="132"/>
      <c r="AG88" s="133"/>
      <c r="AH88" s="132"/>
      <c r="AI88" s="133"/>
      <c r="AJ88" s="132"/>
      <c r="AK88" s="133"/>
      <c r="AL88" s="132"/>
      <c r="AM88" s="133"/>
      <c r="AN88" s="132"/>
      <c r="AO88" s="133"/>
      <c r="AP88" s="132"/>
      <c r="AQ88" s="133"/>
      <c r="AR88" s="132"/>
      <c r="AS88" s="133"/>
      <c r="AT88" s="132"/>
      <c r="AU88" s="133"/>
      <c r="AV88" s="132"/>
      <c r="AW88" s="133"/>
      <c r="AX88" s="132"/>
      <c r="AY88" s="133"/>
      <c r="AZ88" s="132"/>
      <c r="BA88" s="133"/>
      <c r="BB88" s="132"/>
      <c r="BC88" s="133"/>
      <c r="BD88" s="132"/>
      <c r="BE88" s="133"/>
      <c r="BF88" s="132"/>
      <c r="BG88" s="133"/>
      <c r="BH88" s="132"/>
      <c r="BI88" s="133"/>
      <c r="BJ88" s="132"/>
      <c r="BK88" s="133"/>
      <c r="BL88" s="132"/>
      <c r="BM88" s="133"/>
      <c r="BN88" s="132"/>
      <c r="BO88" s="133"/>
      <c r="BP88" s="132"/>
      <c r="BQ88" s="133"/>
      <c r="BR88" s="132"/>
      <c r="BS88" s="133"/>
      <c r="BV88" s="132"/>
      <c r="BW88" s="133"/>
      <c r="BX88" s="132"/>
      <c r="BY88" s="133"/>
    </row>
    <row r="89" spans="1:81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0.46783630635872492</v>
      </c>
      <c r="H89" s="146"/>
      <c r="I89" s="147">
        <f>I86</f>
        <v>0.32686205688588416</v>
      </c>
      <c r="J89" s="146"/>
      <c r="K89" s="147">
        <f>K86</f>
        <v>0.3111270303354805</v>
      </c>
      <c r="L89" s="146"/>
      <c r="M89" s="147">
        <f>M86</f>
        <v>0.3167314775951971</v>
      </c>
      <c r="N89" s="146"/>
      <c r="O89" s="147">
        <f>O86</f>
        <v>3.7357875774196525E-2</v>
      </c>
      <c r="P89" s="146"/>
      <c r="Q89" s="147">
        <f>Q86</f>
        <v>0.25161928603415251</v>
      </c>
      <c r="R89" s="146"/>
      <c r="S89" s="147">
        <f>S86</f>
        <v>0.15001604697170667</v>
      </c>
      <c r="T89" s="146"/>
      <c r="U89" s="147">
        <f>U86</f>
        <v>0.2588798434996647</v>
      </c>
      <c r="V89" s="146"/>
      <c r="W89" s="147">
        <f>W86</f>
        <v>0.41859799655408447</v>
      </c>
      <c r="X89" s="146"/>
      <c r="Y89" s="147">
        <f>Y86</f>
        <v>0.43607373625461848</v>
      </c>
      <c r="Z89" s="146"/>
      <c r="AA89" s="147">
        <f>AA86</f>
        <v>0.46340552257052087</v>
      </c>
      <c r="AB89" s="146"/>
      <c r="AC89" s="147">
        <f>AC86</f>
        <v>0.77033480336521798</v>
      </c>
      <c r="AD89" s="146"/>
      <c r="AE89" s="147">
        <f>AE86</f>
        <v>0.63072675415649604</v>
      </c>
      <c r="AF89" s="146"/>
      <c r="AG89" s="147">
        <f>AG86</f>
        <v>0.41926747090878147</v>
      </c>
      <c r="AH89" s="146"/>
      <c r="AI89" s="147">
        <f>AI86</f>
        <v>0.66312720426795624</v>
      </c>
      <c r="AJ89" s="146"/>
      <c r="AK89" s="147">
        <f>AK86</f>
        <v>0.17147469521154537</v>
      </c>
      <c r="AL89" s="146"/>
      <c r="AM89" s="147">
        <f>AM86</f>
        <v>0.48696563854263725</v>
      </c>
      <c r="AN89" s="146"/>
      <c r="AO89" s="147">
        <f>AO86</f>
        <v>0.66708709934815724</v>
      </c>
      <c r="AP89" s="146"/>
      <c r="AQ89" s="147">
        <f>AQ86</f>
        <v>0.69652988441199404</v>
      </c>
      <c r="AR89" s="146"/>
      <c r="AS89" s="147">
        <f>AS86</f>
        <v>0.75269824241112337</v>
      </c>
      <c r="AT89" s="146"/>
      <c r="AU89" s="147">
        <f>AU86</f>
        <v>0.75118257770060448</v>
      </c>
      <c r="AV89" s="146"/>
      <c r="AW89" s="147">
        <f>AW86</f>
        <v>0.85817061794093141</v>
      </c>
      <c r="AX89" s="146"/>
      <c r="AY89" s="147">
        <f>AY86</f>
        <v>0.86067817508915989</v>
      </c>
      <c r="AZ89" s="146"/>
      <c r="BA89" s="147">
        <f>BA86</f>
        <v>0.97399473006996407</v>
      </c>
      <c r="BB89" s="146"/>
      <c r="BC89" s="147">
        <f>BC86</f>
        <v>1.027796762734132</v>
      </c>
      <c r="BD89" s="146"/>
      <c r="BE89" s="147">
        <f>BE86</f>
        <v>0.88311609945572211</v>
      </c>
      <c r="BF89" s="146"/>
      <c r="BG89" s="147">
        <f>BG86</f>
        <v>0.82385285451741952</v>
      </c>
      <c r="BH89" s="146"/>
      <c r="BI89" s="147">
        <f>BI86</f>
        <v>0.8440112641437163</v>
      </c>
      <c r="BJ89" s="146"/>
      <c r="BK89" s="147">
        <f>BK86</f>
        <v>1.0392010831793308</v>
      </c>
      <c r="BL89" s="146"/>
      <c r="BM89" s="147">
        <f>BM86</f>
        <v>0.93732747569146024</v>
      </c>
      <c r="BN89" s="146"/>
      <c r="BO89" s="147">
        <f>BO86</f>
        <v>0.8981624935380017</v>
      </c>
      <c r="BP89" s="146"/>
      <c r="BQ89" s="147">
        <f>BQ86</f>
        <v>0.83476138160819735</v>
      </c>
      <c r="BR89" s="146"/>
      <c r="BS89" s="147">
        <f>BS86</f>
        <v>0.88036503045644254</v>
      </c>
      <c r="BV89" s="146"/>
      <c r="BW89" s="147">
        <f>BW86</f>
        <v>0.82347532378814714</v>
      </c>
      <c r="BX89" s="146"/>
      <c r="BY89" s="147">
        <f t="shared" ref="BY89" si="97">BY86</f>
        <v>0.85234402520512997</v>
      </c>
    </row>
    <row r="90" spans="1:81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0.11327755601906173</v>
      </c>
      <c r="H90" s="132"/>
      <c r="I90" s="133">
        <f>I89/I67</f>
        <v>7.9143355178180191E-2</v>
      </c>
      <c r="J90" s="132"/>
      <c r="K90" s="133">
        <f>K89/K67</f>
        <v>7.5333421388736208E-2</v>
      </c>
      <c r="L90" s="132"/>
      <c r="M90" s="133">
        <f>M89/M67</f>
        <v>7.6690430410459351E-2</v>
      </c>
      <c r="N90" s="132"/>
      <c r="O90" s="133">
        <f>O89/O67</f>
        <v>9.0454905022267617E-3</v>
      </c>
      <c r="P90" s="132"/>
      <c r="Q90" s="133">
        <f>Q89/Q67</f>
        <v>6.0924766594225792E-2</v>
      </c>
      <c r="R90" s="132"/>
      <c r="S90" s="133">
        <f>S89/S67</f>
        <v>3.6323498056103312E-2</v>
      </c>
      <c r="T90" s="132"/>
      <c r="U90" s="133">
        <f>U89/U67</f>
        <v>6.268277082316337E-2</v>
      </c>
      <c r="V90" s="132"/>
      <c r="W90" s="133">
        <f>W89/W67</f>
        <v>0.1013554471075265</v>
      </c>
      <c r="X90" s="132"/>
      <c r="Y90" s="133">
        <f>Y89/Y67</f>
        <v>0.10558686107860012</v>
      </c>
      <c r="Z90" s="132"/>
      <c r="AA90" s="133">
        <f>AA89/AA67</f>
        <v>0.11220472701465396</v>
      </c>
      <c r="AB90" s="132"/>
      <c r="AC90" s="133">
        <f>AC89/AC67</f>
        <v>0.18652174415622713</v>
      </c>
      <c r="AD90" s="132"/>
      <c r="AE90" s="1143">
        <f>AE89/AE67</f>
        <v>0.15271834241077387</v>
      </c>
      <c r="AF90" s="132"/>
      <c r="AG90" s="1143">
        <f>AG89/AG67</f>
        <v>0.10151754743554031</v>
      </c>
      <c r="AH90" s="132"/>
      <c r="AI90" s="1143">
        <f>AI89/AI67</f>
        <v>0.16056348771621218</v>
      </c>
      <c r="AJ90" s="132"/>
      <c r="AK90" s="1143">
        <f>AK89/AK67</f>
        <v>4.1519296661391134E-2</v>
      </c>
      <c r="AL90" s="132"/>
      <c r="AM90" s="1143">
        <f>AM89/AM67</f>
        <v>0.11790935557933105</v>
      </c>
      <c r="AN90" s="132"/>
      <c r="AO90" s="1143">
        <f>AO89/AO67</f>
        <v>0.16152230008429957</v>
      </c>
      <c r="AP90" s="132"/>
      <c r="AQ90" s="133">
        <f>AQ89/AQ67</f>
        <v>0.16865130373171769</v>
      </c>
      <c r="AR90" s="132"/>
      <c r="AS90" s="133">
        <f>AS89/AS67</f>
        <v>0.18225139041431559</v>
      </c>
      <c r="AT90" s="132"/>
      <c r="AU90" s="133">
        <f>AU89/AU67</f>
        <v>0.18188440138029166</v>
      </c>
      <c r="AV90" s="132"/>
      <c r="AW90" s="133">
        <f>AW89/AW67</f>
        <v>0.20778949586947493</v>
      </c>
      <c r="AX90" s="132"/>
      <c r="AY90" s="133">
        <f>AY89/AY67</f>
        <v>0.20839665256396123</v>
      </c>
      <c r="AZ90" s="132"/>
      <c r="BA90" s="133">
        <f>BA89/BA67</f>
        <v>0.22917523060469744</v>
      </c>
      <c r="BB90" s="132"/>
      <c r="BC90" s="133">
        <f>BC89/BC67</f>
        <v>0.24183453240803107</v>
      </c>
      <c r="BD90" s="132"/>
      <c r="BE90" s="133">
        <f>BE89/BE67</f>
        <v>0.20779202340134639</v>
      </c>
      <c r="BF90" s="132"/>
      <c r="BG90" s="133">
        <f>BG89/BG67</f>
        <v>0.19384773047468695</v>
      </c>
      <c r="BH90" s="132"/>
      <c r="BI90" s="133">
        <f>BI89/BI67</f>
        <v>0.19859088568087443</v>
      </c>
      <c r="BJ90" s="132"/>
      <c r="BK90" s="133">
        <f>BK89/BK67</f>
        <v>0.24451790192454842</v>
      </c>
      <c r="BL90" s="132"/>
      <c r="BM90" s="133">
        <f>BM89/BM67</f>
        <v>0.22054764133916713</v>
      </c>
      <c r="BN90" s="132"/>
      <c r="BO90" s="133">
        <f>BO89/BO67</f>
        <v>0.21133235142070628</v>
      </c>
      <c r="BP90" s="132"/>
      <c r="BQ90" s="133">
        <f>BQ89/BQ67</f>
        <v>0.19641444273134057</v>
      </c>
      <c r="BR90" s="132"/>
      <c r="BS90" s="133">
        <f>BS89/BS67</f>
        <v>0.20714471304857471</v>
      </c>
      <c r="BV90" s="132"/>
      <c r="BW90" s="133">
        <f>BW89/BW67</f>
        <v>0.19375889971485816</v>
      </c>
      <c r="BX90" s="132"/>
      <c r="BY90" s="133">
        <f t="shared" ref="BY90" si="98">BY89/BY67</f>
        <v>0.20055153534238351</v>
      </c>
    </row>
    <row r="91" spans="1:81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132"/>
      <c r="O91" s="133"/>
      <c r="P91" s="132"/>
      <c r="Q91" s="133"/>
      <c r="R91" s="132"/>
      <c r="S91" s="133"/>
      <c r="T91" s="132"/>
      <c r="U91" s="133"/>
      <c r="V91" s="132"/>
      <c r="W91" s="133"/>
      <c r="X91" s="132"/>
      <c r="Y91" s="133"/>
      <c r="Z91" s="132"/>
      <c r="AA91" s="133"/>
      <c r="AB91" s="132"/>
      <c r="AC91" s="133"/>
      <c r="AD91" s="132"/>
      <c r="AE91" s="133"/>
      <c r="AF91" s="132"/>
      <c r="AG91" s="133"/>
      <c r="AH91" s="132"/>
      <c r="AI91" s="133"/>
      <c r="AJ91" s="132"/>
      <c r="AK91" s="133"/>
      <c r="AL91" s="132"/>
      <c r="AM91" s="133"/>
      <c r="AN91" s="132"/>
      <c r="AO91" s="133"/>
      <c r="AP91" s="132"/>
      <c r="AQ91" s="133"/>
      <c r="AR91" s="132"/>
      <c r="AS91" s="133"/>
      <c r="AT91" s="132"/>
      <c r="AU91" s="133"/>
      <c r="AV91" s="132"/>
      <c r="AW91" s="133"/>
      <c r="AX91" s="132"/>
      <c r="AY91" s="133"/>
      <c r="AZ91" s="132"/>
      <c r="BA91" s="133"/>
      <c r="BB91" s="132"/>
      <c r="BC91" s="133"/>
      <c r="BD91" s="132"/>
      <c r="BE91" s="133"/>
      <c r="BF91" s="132"/>
      <c r="BG91" s="133"/>
      <c r="BH91" s="132"/>
      <c r="BI91" s="133"/>
      <c r="BJ91" s="132"/>
      <c r="BK91" s="133"/>
      <c r="BL91" s="132"/>
      <c r="BM91" s="133"/>
      <c r="BN91" s="132"/>
      <c r="BO91" s="133"/>
      <c r="BP91" s="132"/>
      <c r="BQ91" s="133"/>
      <c r="BR91" s="132"/>
      <c r="BS91" s="133"/>
      <c r="BV91" s="132"/>
      <c r="BW91" s="133"/>
      <c r="BX91" s="132"/>
      <c r="BY91" s="133"/>
    </row>
    <row r="92" spans="1:81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0.3</v>
      </c>
      <c r="AX92" s="256"/>
      <c r="AY92" s="257">
        <v>0.3</v>
      </c>
      <c r="AZ92" s="256"/>
      <c r="BA92" s="257">
        <v>0.3</v>
      </c>
      <c r="BB92" s="256"/>
      <c r="BC92" s="257">
        <v>0.3</v>
      </c>
      <c r="BD92" s="256"/>
      <c r="BE92" s="257">
        <v>0.3</v>
      </c>
      <c r="BF92" s="256"/>
      <c r="BG92" s="257">
        <v>0.3</v>
      </c>
      <c r="BH92" s="256"/>
      <c r="BI92" s="257">
        <v>0.3</v>
      </c>
      <c r="BJ92" s="256"/>
      <c r="BK92" s="257">
        <v>0.57499999999999996</v>
      </c>
      <c r="BL92" s="256"/>
      <c r="BM92" s="257">
        <v>0.85</v>
      </c>
      <c r="BN92" s="256"/>
      <c r="BO92" s="257">
        <v>0.85</v>
      </c>
      <c r="BP92" s="256"/>
      <c r="BQ92" s="257">
        <v>0.85</v>
      </c>
      <c r="BR92" s="256"/>
      <c r="BS92" s="257">
        <v>0.85</v>
      </c>
      <c r="BV92" s="256"/>
      <c r="BW92" s="257">
        <v>0.85</v>
      </c>
      <c r="BX92" s="256"/>
      <c r="BY92" s="257">
        <v>0.85</v>
      </c>
      <c r="CC92" s="1089">
        <f>(0.85+0.3)/2</f>
        <v>0.57499999999999996</v>
      </c>
    </row>
    <row r="93" spans="1:81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0.46783630635872492</v>
      </c>
      <c r="H93" s="146"/>
      <c r="I93" s="147">
        <f>I89-I92</f>
        <v>0.32686205688588416</v>
      </c>
      <c r="J93" s="146"/>
      <c r="K93" s="147">
        <f>K89-K92</f>
        <v>0.3111270303354805</v>
      </c>
      <c r="L93" s="146"/>
      <c r="M93" s="147">
        <f>M89-M92</f>
        <v>0.3167314775951971</v>
      </c>
      <c r="N93" s="146"/>
      <c r="O93" s="147">
        <f>O89-O92</f>
        <v>3.7357875774196525E-2</v>
      </c>
      <c r="P93" s="146"/>
      <c r="Q93" s="147">
        <f>Q89-Q92</f>
        <v>0.25161928603415251</v>
      </c>
      <c r="R93" s="146"/>
      <c r="S93" s="147">
        <f>S89-S92</f>
        <v>0.15001604697170667</v>
      </c>
      <c r="T93" s="146"/>
      <c r="U93" s="147">
        <f>U89-U92</f>
        <v>0.2588798434996647</v>
      </c>
      <c r="V93" s="146"/>
      <c r="W93" s="147">
        <f>W89-W92</f>
        <v>0.41859799655408447</v>
      </c>
      <c r="X93" s="146"/>
      <c r="Y93" s="147">
        <f>Y89-Y92</f>
        <v>0.43607373625461848</v>
      </c>
      <c r="Z93" s="146"/>
      <c r="AA93" s="147">
        <f>AA89-AA92</f>
        <v>0.46340552257052087</v>
      </c>
      <c r="AB93" s="146"/>
      <c r="AC93" s="147">
        <f>AC89-AC92</f>
        <v>0.77033480336521798</v>
      </c>
      <c r="AD93" s="146"/>
      <c r="AE93" s="147">
        <f>AE89-AE92</f>
        <v>0.63072675415649604</v>
      </c>
      <c r="AF93" s="146"/>
      <c r="AG93" s="147">
        <f>AG89-AG92</f>
        <v>0.41926747090878147</v>
      </c>
      <c r="AH93" s="146"/>
      <c r="AI93" s="147">
        <f>AI89-AI92</f>
        <v>0.66312720426795624</v>
      </c>
      <c r="AJ93" s="146"/>
      <c r="AK93" s="147">
        <f>AK89-AK92</f>
        <v>0.17147469521154537</v>
      </c>
      <c r="AL93" s="146"/>
      <c r="AM93" s="147">
        <f>AM89-AM92</f>
        <v>0.48696563854263725</v>
      </c>
      <c r="AN93" s="146"/>
      <c r="AO93" s="147">
        <f>AO89-AO92</f>
        <v>0.66708709934815724</v>
      </c>
      <c r="AP93" s="146"/>
      <c r="AQ93" s="147">
        <f>AQ89-AQ92</f>
        <v>0.69652988441199404</v>
      </c>
      <c r="AR93" s="146"/>
      <c r="AS93" s="147">
        <f>AS89-AS92</f>
        <v>0.75269824241112337</v>
      </c>
      <c r="AT93" s="146"/>
      <c r="AU93" s="147">
        <f>AU89-AU92</f>
        <v>0.75118257770060448</v>
      </c>
      <c r="AV93" s="146"/>
      <c r="AW93" s="147">
        <f>AW89-AW92</f>
        <v>0.55817061794093137</v>
      </c>
      <c r="AX93" s="146"/>
      <c r="AY93" s="147">
        <f>AY89-AY92</f>
        <v>0.56067817508915985</v>
      </c>
      <c r="AZ93" s="146"/>
      <c r="BA93" s="147">
        <f>BA89-BA92</f>
        <v>0.67399473006996402</v>
      </c>
      <c r="BB93" s="146"/>
      <c r="BC93" s="147">
        <f>BC89-BC92</f>
        <v>0.72779676273413196</v>
      </c>
      <c r="BD93" s="146"/>
      <c r="BE93" s="147">
        <f>BE89-BE92</f>
        <v>0.58311609945572207</v>
      </c>
      <c r="BF93" s="146"/>
      <c r="BG93" s="147">
        <f>BG89-BG92</f>
        <v>0.52385285451741948</v>
      </c>
      <c r="BH93" s="146"/>
      <c r="BI93" s="147">
        <f>BI89-BI92</f>
        <v>0.54401126414371626</v>
      </c>
      <c r="BJ93" s="146"/>
      <c r="BK93" s="147">
        <f>BK89-BK92</f>
        <v>0.46420108317933084</v>
      </c>
      <c r="BL93" s="146"/>
      <c r="BM93" s="147">
        <f>BM89-BM92</f>
        <v>8.7327475691460266E-2</v>
      </c>
      <c r="BN93" s="146"/>
      <c r="BO93" s="147">
        <f>BO89-BO92</f>
        <v>4.8162493538001727E-2</v>
      </c>
      <c r="BP93" s="146"/>
      <c r="BQ93" s="147">
        <f>BQ89-BQ92</f>
        <v>-1.5238618391802627E-2</v>
      </c>
      <c r="BR93" s="146"/>
      <c r="BS93" s="147">
        <f>BS89-BS92</f>
        <v>3.0365030456442565E-2</v>
      </c>
      <c r="BV93" s="146"/>
      <c r="BW93" s="147">
        <f>BW89-BW92</f>
        <v>-2.6524676211852838E-2</v>
      </c>
      <c r="BX93" s="146"/>
      <c r="BY93" s="147">
        <f t="shared" ref="BY93" si="99">BY89-BY92</f>
        <v>2.3440252051299959E-3</v>
      </c>
    </row>
    <row r="94" spans="1:81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0.11327755601906173</v>
      </c>
      <c r="H94" s="132"/>
      <c r="I94" s="133">
        <f>I93/I67</f>
        <v>7.9143355178180191E-2</v>
      </c>
      <c r="J94" s="132"/>
      <c r="K94" s="133">
        <f>K93/K67</f>
        <v>7.5333421388736208E-2</v>
      </c>
      <c r="L94" s="132"/>
      <c r="M94" s="133">
        <f>M93/M67</f>
        <v>7.6690430410459351E-2</v>
      </c>
      <c r="N94" s="132"/>
      <c r="O94" s="133">
        <f>O93/O67</f>
        <v>9.0454905022267617E-3</v>
      </c>
      <c r="P94" s="132"/>
      <c r="Q94" s="133">
        <f>Q93/Q67</f>
        <v>6.0924766594225792E-2</v>
      </c>
      <c r="R94" s="132"/>
      <c r="S94" s="133">
        <f>S93/S67</f>
        <v>3.6323498056103312E-2</v>
      </c>
      <c r="T94" s="132"/>
      <c r="U94" s="133">
        <f>U93/U67</f>
        <v>6.268277082316337E-2</v>
      </c>
      <c r="V94" s="132"/>
      <c r="W94" s="133">
        <f>W93/W67</f>
        <v>0.1013554471075265</v>
      </c>
      <c r="X94" s="132"/>
      <c r="Y94" s="133">
        <f>Y93/Y67</f>
        <v>0.10558686107860012</v>
      </c>
      <c r="Z94" s="132"/>
      <c r="AA94" s="133">
        <f>AA93/AA67</f>
        <v>0.11220472701465396</v>
      </c>
      <c r="AB94" s="132"/>
      <c r="AC94" s="133">
        <f>AC93/AC67</f>
        <v>0.18652174415622713</v>
      </c>
      <c r="AD94" s="132"/>
      <c r="AE94" s="1143">
        <f>AE93/AE67</f>
        <v>0.15271834241077387</v>
      </c>
      <c r="AF94" s="132"/>
      <c r="AG94" s="1143">
        <f>AG93/AG67</f>
        <v>0.10151754743554031</v>
      </c>
      <c r="AH94" s="132"/>
      <c r="AI94" s="1143">
        <f>AI93/AI67</f>
        <v>0.16056348771621218</v>
      </c>
      <c r="AJ94" s="132"/>
      <c r="AK94" s="1143">
        <f>AK93/AK67</f>
        <v>4.1519296661391134E-2</v>
      </c>
      <c r="AL94" s="132"/>
      <c r="AM94" s="1143">
        <f>AM93/AM67</f>
        <v>0.11790935557933105</v>
      </c>
      <c r="AN94" s="132"/>
      <c r="AO94" s="1143">
        <f>AO93/AO67</f>
        <v>0.16152230008429957</v>
      </c>
      <c r="AP94" s="132"/>
      <c r="AQ94" s="133">
        <f>AQ93/AQ67</f>
        <v>0.16865130373171769</v>
      </c>
      <c r="AR94" s="132"/>
      <c r="AS94" s="133">
        <f>AS93/AS67</f>
        <v>0.18225139041431559</v>
      </c>
      <c r="AT94" s="132"/>
      <c r="AU94" s="133">
        <f>AU93/AU67</f>
        <v>0.18188440138029166</v>
      </c>
      <c r="AV94" s="132"/>
      <c r="AW94" s="133">
        <f>AW93/AW67</f>
        <v>0.13515027068787686</v>
      </c>
      <c r="AX94" s="132"/>
      <c r="AY94" s="133">
        <f>AY93/AY67</f>
        <v>0.13575742738236315</v>
      </c>
      <c r="AZ94" s="132"/>
      <c r="BA94" s="133">
        <f>BA93/BA67</f>
        <v>0.15858699531057976</v>
      </c>
      <c r="BB94" s="132"/>
      <c r="BC94" s="133">
        <f>BC93/BC67</f>
        <v>0.1712462971139134</v>
      </c>
      <c r="BD94" s="132"/>
      <c r="BE94" s="133">
        <f>BE93/BE67</f>
        <v>0.13720378810722872</v>
      </c>
      <c r="BF94" s="132"/>
      <c r="BG94" s="133">
        <f>BG93/BG67</f>
        <v>0.12325949518056929</v>
      </c>
      <c r="BH94" s="132"/>
      <c r="BI94" s="133">
        <f>BI93/BI67</f>
        <v>0.12800265038675676</v>
      </c>
      <c r="BJ94" s="132"/>
      <c r="BK94" s="133">
        <f>BK93/BK67</f>
        <v>0.10922378427748961</v>
      </c>
      <c r="BL94" s="132"/>
      <c r="BM94" s="133">
        <f>BM93/BM67</f>
        <v>2.054764133916712E-2</v>
      </c>
      <c r="BN94" s="132"/>
      <c r="BO94" s="133">
        <f>BO93/BO67</f>
        <v>1.1332351420706288E-2</v>
      </c>
      <c r="BP94" s="132"/>
      <c r="BQ94" s="133">
        <f>BQ93/BQ67</f>
        <v>-3.5855572686594415E-3</v>
      </c>
      <c r="BR94" s="132"/>
      <c r="BS94" s="133">
        <f>BS93/BS67</f>
        <v>7.1447130485747211E-3</v>
      </c>
      <c r="BV94" s="132"/>
      <c r="BW94" s="133">
        <f>BW93/BW67</f>
        <v>-6.2411002851418445E-3</v>
      </c>
      <c r="BX94" s="132"/>
      <c r="BY94" s="133">
        <f t="shared" ref="BY94" si="100">BY93/BY67</f>
        <v>5.5153534238352845E-4</v>
      </c>
    </row>
    <row r="95" spans="1:81" s="65" customFormat="1" ht="6.6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132"/>
      <c r="O95" s="133"/>
      <c r="P95" s="132"/>
      <c r="Q95" s="133"/>
      <c r="R95" s="132"/>
      <c r="S95" s="133"/>
      <c r="T95" s="132"/>
      <c r="U95" s="133"/>
      <c r="V95" s="132"/>
      <c r="W95" s="133"/>
      <c r="X95" s="132"/>
      <c r="Y95" s="133"/>
      <c r="Z95" s="132"/>
      <c r="AA95" s="133"/>
      <c r="AB95" s="132"/>
      <c r="AC95" s="133"/>
      <c r="AD95" s="132"/>
      <c r="AE95" s="133"/>
      <c r="AF95" s="132"/>
      <c r="AG95" s="133"/>
      <c r="AH95" s="132"/>
      <c r="AI95" s="133"/>
      <c r="AJ95" s="132"/>
      <c r="AK95" s="133"/>
      <c r="AL95" s="132"/>
      <c r="AM95" s="133"/>
      <c r="AN95" s="132"/>
      <c r="AO95" s="133"/>
      <c r="AP95" s="132"/>
      <c r="AQ95" s="133"/>
      <c r="AR95" s="132"/>
      <c r="AS95" s="133"/>
      <c r="AT95" s="132"/>
      <c r="AU95" s="133"/>
      <c r="AV95" s="132"/>
      <c r="AW95" s="133"/>
      <c r="AX95" s="132"/>
      <c r="AY95" s="133"/>
      <c r="AZ95" s="132"/>
      <c r="BA95" s="133"/>
      <c r="BB95" s="132"/>
      <c r="BC95" s="133"/>
      <c r="BD95" s="132"/>
      <c r="BE95" s="133"/>
      <c r="BF95" s="132"/>
      <c r="BG95" s="133"/>
      <c r="BH95" s="132"/>
      <c r="BI95" s="133"/>
      <c r="BJ95" s="132"/>
      <c r="BK95" s="133"/>
      <c r="BL95" s="132"/>
      <c r="BM95" s="133"/>
      <c r="BN95" s="132"/>
      <c r="BO95" s="133"/>
      <c r="BP95" s="132"/>
      <c r="BQ95" s="133"/>
      <c r="BR95" s="132"/>
      <c r="BS95" s="133"/>
      <c r="BV95" s="132"/>
      <c r="BW95" s="133"/>
      <c r="BX95" s="132"/>
      <c r="BY95" s="133"/>
    </row>
    <row r="96" spans="1:81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1.6780493010351116E-2</v>
      </c>
      <c r="H96" s="132"/>
      <c r="I96" s="383">
        <f>(I136-I135)/I66</f>
        <v>0.12166034741204479</v>
      </c>
      <c r="J96" s="132"/>
      <c r="K96" s="383">
        <f>(K136-K135)/K66</f>
        <v>5.782438067206281E-2</v>
      </c>
      <c r="L96" s="132"/>
      <c r="M96" s="383">
        <f>(M136-M135)/M66</f>
        <v>-1.416110273530047E-2</v>
      </c>
      <c r="N96" s="132"/>
      <c r="O96" s="383">
        <f>(O136-O135)/O66</f>
        <v>7.9012961116650099E-2</v>
      </c>
      <c r="P96" s="132"/>
      <c r="Q96" s="383">
        <f>(Q136-Q135)/Q66</f>
        <v>1.9753438034014199E-2</v>
      </c>
      <c r="R96" s="132"/>
      <c r="S96" s="383">
        <f>(S136-S135)/S66</f>
        <v>2.0579328615456329E-2</v>
      </c>
      <c r="T96" s="132"/>
      <c r="U96" s="383">
        <f>(U136-U135)/U66</f>
        <v>6.5365329512893783E-3</v>
      </c>
      <c r="V96" s="132"/>
      <c r="W96" s="383">
        <f>(W136-W135)/W66</f>
        <v>-3.9708584930427948E-2</v>
      </c>
      <c r="X96" s="132"/>
      <c r="Y96" s="383">
        <f>(Y136-Y135)/Y66</f>
        <v>-0.10063736641057557</v>
      </c>
      <c r="Z96" s="132"/>
      <c r="AA96" s="383">
        <f>(AA136-AA135)/AA66</f>
        <v>-0.12500256553109124</v>
      </c>
      <c r="AB96" s="132"/>
      <c r="AC96" s="383">
        <f>(AC136-AC135)/AC66</f>
        <v>-0.13071303643763227</v>
      </c>
      <c r="AD96" s="132"/>
      <c r="AE96" s="383">
        <f>(AE136-AE135)/AE66</f>
        <v>-0.16616921530115975</v>
      </c>
      <c r="AF96" s="132"/>
      <c r="AG96" s="383">
        <f>(AG136-AG135)/AG66</f>
        <v>-0.2171711292200233</v>
      </c>
      <c r="AH96" s="132"/>
      <c r="AI96" s="383">
        <f>(AI136-AI135)/AI66</f>
        <v>-0.11009587966923297</v>
      </c>
      <c r="AJ96" s="132"/>
      <c r="AK96" s="383">
        <f>(AK136-AK135)/AK66</f>
        <v>-0.24513752052545157</v>
      </c>
      <c r="AL96" s="132"/>
      <c r="AM96" s="383">
        <f>(AM136-AM135)/AM66</f>
        <v>-0.15416666666666667</v>
      </c>
      <c r="AN96" s="132"/>
      <c r="AO96" s="383">
        <f>(AO136-AO135)/AO66</f>
        <v>-0.21875</v>
      </c>
      <c r="AP96" s="132"/>
      <c r="AQ96" s="383">
        <f>(AQ136-AQ135)/AQ66</f>
        <v>-0.22812499999999999</v>
      </c>
      <c r="AR96" s="132"/>
      <c r="AS96" s="383">
        <f>(AS136-AS135)/AS66</f>
        <v>-0.22812499999999999</v>
      </c>
      <c r="AT96" s="132"/>
      <c r="AU96" s="383">
        <f>(AU136-AU135)/AU66</f>
        <v>-0.22812499999999999</v>
      </c>
      <c r="AV96" s="132"/>
      <c r="AW96" s="383">
        <f>(AW136-AW135)/AW66</f>
        <v>-0.230625</v>
      </c>
      <c r="AX96" s="132"/>
      <c r="AY96" s="383">
        <f>(AY136-AY135)/AY66</f>
        <v>-0.23749999999999999</v>
      </c>
      <c r="AZ96" s="132"/>
      <c r="BA96" s="383">
        <f>(BA136-BA135)/BA66</f>
        <v>-0.14374999999999999</v>
      </c>
      <c r="BB96" s="132"/>
      <c r="BC96" s="383">
        <f>(BC136-BC135)/BC66</f>
        <v>-0.14479166666666668</v>
      </c>
      <c r="BD96" s="132"/>
      <c r="BE96" s="383">
        <f>(BE136-BE135)/BE66</f>
        <v>-0.14585587535165548</v>
      </c>
      <c r="BF96" s="132"/>
      <c r="BG96" s="383">
        <f>(BG136-BG135)/BG66</f>
        <v>-0.15169876650075742</v>
      </c>
      <c r="BH96" s="132"/>
      <c r="BI96" s="383">
        <f>(BI136-BI135)/BI66</f>
        <v>-0.14931832936593811</v>
      </c>
      <c r="BJ96" s="132"/>
      <c r="BK96" s="383">
        <f>(BK136-BK135)/BK66</f>
        <v>-0.14289114910192599</v>
      </c>
      <c r="BL96" s="132"/>
      <c r="BM96" s="383">
        <f>(BM136-BM135)/BM66</f>
        <v>-9.8397593371555306E-2</v>
      </c>
      <c r="BN96" s="132"/>
      <c r="BO96" s="383">
        <f>(BO136-BO135)/BO66</f>
        <v>-0.1164250162302532</v>
      </c>
      <c r="BP96" s="132"/>
      <c r="BQ96" s="383">
        <f>(BQ136-BQ135)/BQ66</f>
        <v>-0.15169876650075742</v>
      </c>
      <c r="BR96" s="132"/>
      <c r="BS96" s="383">
        <f>(BS136-BS135)/BS66</f>
        <v>-0.14893816127315371</v>
      </c>
      <c r="BV96" s="132"/>
      <c r="BW96" s="383">
        <f>(BW136-BW135)/BW66</f>
        <v>-0.14604166666666665</v>
      </c>
      <c r="BX96" s="132"/>
      <c r="BY96" s="383">
        <f t="shared" ref="BY96" si="101">(BY136-BY135)/BY66</f>
        <v>-0.11902185674096516</v>
      </c>
    </row>
    <row r="97" spans="1:77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132"/>
      <c r="O97" s="133"/>
      <c r="P97" s="132"/>
      <c r="Q97" s="133"/>
      <c r="R97" s="132"/>
      <c r="S97" s="133"/>
      <c r="T97" s="132"/>
      <c r="U97" s="133"/>
      <c r="V97" s="132"/>
      <c r="W97" s="133"/>
      <c r="X97" s="132"/>
      <c r="Y97" s="133"/>
      <c r="Z97" s="132"/>
      <c r="AA97" s="133"/>
      <c r="AB97" s="132"/>
      <c r="AC97" s="133"/>
      <c r="AD97" s="132"/>
      <c r="AE97" s="133"/>
      <c r="AF97" s="132"/>
      <c r="AG97" s="133"/>
      <c r="AH97" s="132"/>
      <c r="AI97" s="133"/>
      <c r="AJ97" s="132"/>
      <c r="AK97" s="133"/>
      <c r="AL97" s="132"/>
      <c r="AM97" s="133"/>
      <c r="AN97" s="132"/>
      <c r="AO97" s="133"/>
      <c r="AP97" s="132"/>
      <c r="AQ97" s="133"/>
      <c r="AR97" s="132"/>
      <c r="AS97" s="133"/>
      <c r="AT97" s="132"/>
      <c r="AU97" s="133"/>
      <c r="AV97" s="132"/>
      <c r="AW97" s="133"/>
      <c r="AX97" s="132"/>
      <c r="AY97" s="133"/>
      <c r="AZ97" s="132"/>
      <c r="BA97" s="133"/>
      <c r="BB97" s="132"/>
      <c r="BC97" s="133"/>
      <c r="BD97" s="132"/>
      <c r="BE97" s="133"/>
      <c r="BF97" s="132"/>
      <c r="BG97" s="133"/>
      <c r="BH97" s="132"/>
      <c r="BI97" s="133"/>
      <c r="BJ97" s="132"/>
      <c r="BK97" s="133"/>
      <c r="BL97" s="132"/>
      <c r="BM97" s="133"/>
      <c r="BN97" s="132"/>
      <c r="BO97" s="133"/>
      <c r="BP97" s="132"/>
      <c r="BQ97" s="133"/>
      <c r="BR97" s="132"/>
      <c r="BS97" s="133"/>
      <c r="BV97" s="132"/>
      <c r="BW97" s="133"/>
      <c r="BX97" s="132"/>
      <c r="BY97" s="133"/>
    </row>
    <row r="98" spans="1:77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0.4510558133483738</v>
      </c>
      <c r="H98" s="591"/>
      <c r="I98" s="590">
        <f>I93-I96</f>
        <v>0.20520170947383937</v>
      </c>
      <c r="J98" s="591"/>
      <c r="K98" s="590">
        <f>K93-K96</f>
        <v>0.2533026496634177</v>
      </c>
      <c r="L98" s="591"/>
      <c r="M98" s="590">
        <f>M93-M96</f>
        <v>0.33089258033049757</v>
      </c>
      <c r="N98" s="591"/>
      <c r="O98" s="590">
        <f>O93-O96</f>
        <v>-4.1655085342453574E-2</v>
      </c>
      <c r="P98" s="591"/>
      <c r="Q98" s="590">
        <f>Q93-Q96</f>
        <v>0.23186584800013832</v>
      </c>
      <c r="R98" s="591"/>
      <c r="S98" s="590">
        <f>S93-S96</f>
        <v>0.12943671835625034</v>
      </c>
      <c r="T98" s="591"/>
      <c r="U98" s="590">
        <f>U93-U96</f>
        <v>0.25234331054837533</v>
      </c>
      <c r="V98" s="591"/>
      <c r="W98" s="590">
        <f>W93-W96</f>
        <v>0.45830658148451242</v>
      </c>
      <c r="X98" s="591"/>
      <c r="Y98" s="590">
        <f>Y93-Y96</f>
        <v>0.53671110266519406</v>
      </c>
      <c r="Z98" s="591"/>
      <c r="AA98" s="590">
        <f>AA93-AA96</f>
        <v>0.58840808810161205</v>
      </c>
      <c r="AB98" s="591"/>
      <c r="AC98" s="590">
        <f>AC93-AC96</f>
        <v>0.9010478398028503</v>
      </c>
      <c r="AD98" s="591"/>
      <c r="AE98" s="590">
        <f>AE93-AE96</f>
        <v>0.79689596945765584</v>
      </c>
      <c r="AF98" s="591"/>
      <c r="AG98" s="590">
        <f>AG93-AG96</f>
        <v>0.63643860012880471</v>
      </c>
      <c r="AH98" s="591"/>
      <c r="AI98" s="590">
        <f>AI93-AI96</f>
        <v>0.77322308393718919</v>
      </c>
      <c r="AJ98" s="591"/>
      <c r="AK98" s="590">
        <f>AK93-AK96</f>
        <v>0.41661221573699692</v>
      </c>
      <c r="AL98" s="591"/>
      <c r="AM98" s="590">
        <f>AM93-AM96</f>
        <v>0.64113230520930387</v>
      </c>
      <c r="AN98" s="591"/>
      <c r="AO98" s="590">
        <f>AO93-AO96</f>
        <v>0.88583709934815724</v>
      </c>
      <c r="AP98" s="591"/>
      <c r="AQ98" s="590">
        <f>AQ93-AQ96</f>
        <v>0.92465488441199406</v>
      </c>
      <c r="AR98" s="591"/>
      <c r="AS98" s="590">
        <f>AS93-AS96</f>
        <v>0.9808232424111234</v>
      </c>
      <c r="AT98" s="591"/>
      <c r="AU98" s="590">
        <f>AU93-AU96</f>
        <v>0.9793075777006045</v>
      </c>
      <c r="AV98" s="591"/>
      <c r="AW98" s="590">
        <f>AW93-AW96</f>
        <v>0.78879561794093134</v>
      </c>
      <c r="AX98" s="591"/>
      <c r="AY98" s="590">
        <f>AY93-AY96</f>
        <v>0.79817817508915989</v>
      </c>
      <c r="AZ98" s="591"/>
      <c r="BA98" s="590">
        <f>BA93-BA96</f>
        <v>0.81774473006996407</v>
      </c>
      <c r="BB98" s="591"/>
      <c r="BC98" s="590">
        <f>BC93-BC96</f>
        <v>0.87258842940079862</v>
      </c>
      <c r="BD98" s="591"/>
      <c r="BE98" s="590">
        <f>BE93-BE96</f>
        <v>0.72897197480737752</v>
      </c>
      <c r="BF98" s="591"/>
      <c r="BG98" s="590">
        <f>BG93-BG96</f>
        <v>0.6755516210181769</v>
      </c>
      <c r="BH98" s="591"/>
      <c r="BI98" s="590">
        <f>BI93-BI96</f>
        <v>0.6933295935096544</v>
      </c>
      <c r="BJ98" s="591"/>
      <c r="BK98" s="590">
        <f>BK93-BK96</f>
        <v>0.60709223228125686</v>
      </c>
      <c r="BL98" s="591"/>
      <c r="BM98" s="590">
        <f>BM93-BM96</f>
        <v>0.18572506906301556</v>
      </c>
      <c r="BN98" s="591"/>
      <c r="BO98" s="590">
        <f>BO93-BO96</f>
        <v>0.16458750976825492</v>
      </c>
      <c r="BP98" s="591"/>
      <c r="BQ98" s="590">
        <f>BQ93-BQ96</f>
        <v>0.13646014810895479</v>
      </c>
      <c r="BR98" s="591"/>
      <c r="BS98" s="590">
        <f>BS93-BS96</f>
        <v>0.17930319172959627</v>
      </c>
      <c r="BV98" s="591"/>
      <c r="BW98" s="590">
        <f>BW93-BW96</f>
        <v>0.11951699045481382</v>
      </c>
      <c r="BX98" s="591"/>
      <c r="BY98" s="590">
        <f t="shared" ref="BY98" si="102">BY93-BY96</f>
        <v>0.12136588194609516</v>
      </c>
    </row>
    <row r="99" spans="1:77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0.10921448265093797</v>
      </c>
      <c r="H99" s="159"/>
      <c r="I99" s="1097">
        <f>I98/I67</f>
        <v>4.9685643940396942E-2</v>
      </c>
      <c r="J99" s="159"/>
      <c r="K99" s="1097">
        <f>K98/K67</f>
        <v>6.1332360693321479E-2</v>
      </c>
      <c r="L99" s="159"/>
      <c r="M99" s="1097">
        <f>M98/M67</f>
        <v>8.0119268845156799E-2</v>
      </c>
      <c r="N99" s="159"/>
      <c r="O99" s="1097">
        <f>O98/O67</f>
        <v>-1.0085977080497233E-2</v>
      </c>
      <c r="P99" s="159"/>
      <c r="Q99" s="1097">
        <f>Q98/Q67</f>
        <v>5.6141851816014124E-2</v>
      </c>
      <c r="R99" s="159"/>
      <c r="S99" s="1097">
        <f>S98/S67</f>
        <v>3.134060977148919E-2</v>
      </c>
      <c r="T99" s="159"/>
      <c r="U99" s="1097">
        <f>U98/U67</f>
        <v>6.1100075193311218E-2</v>
      </c>
      <c r="V99" s="159"/>
      <c r="W99" s="1097">
        <f>W98/W67</f>
        <v>0.1109701165822064</v>
      </c>
      <c r="X99" s="159"/>
      <c r="Y99" s="1097">
        <f>Y98/Y67</f>
        <v>0.1299542621465361</v>
      </c>
      <c r="Z99" s="159"/>
      <c r="AA99" s="1097">
        <f>AA98/AA67</f>
        <v>0.14247169203428864</v>
      </c>
      <c r="AB99" s="159"/>
      <c r="AC99" s="1097">
        <f>AC98/AC67</f>
        <v>0.21817138978277248</v>
      </c>
      <c r="AD99" s="159"/>
      <c r="AE99" s="1097">
        <f>AE98/AE67</f>
        <v>0.19295301923914185</v>
      </c>
      <c r="AF99" s="159"/>
      <c r="AG99" s="1097">
        <f>AG98/AG67</f>
        <v>0.15410135596339097</v>
      </c>
      <c r="AH99" s="159"/>
      <c r="AI99" s="1097">
        <f>AI98/AI67</f>
        <v>0.18722108569907728</v>
      </c>
      <c r="AJ99" s="159"/>
      <c r="AK99" s="1097">
        <f>AK98/AK67</f>
        <v>0.10087462850774744</v>
      </c>
      <c r="AL99" s="159"/>
      <c r="AM99" s="1097">
        <f>AM98/AM67</f>
        <v>0.15523784629765228</v>
      </c>
      <c r="AN99" s="159"/>
      <c r="AO99" s="1097">
        <f>AO98/AO67</f>
        <v>0.21448840177921483</v>
      </c>
      <c r="AP99" s="159"/>
      <c r="AQ99" s="1097">
        <f>AQ98/AQ67</f>
        <v>0.22388738121355789</v>
      </c>
      <c r="AR99" s="159"/>
      <c r="AS99" s="1097">
        <f>AS98/AS67</f>
        <v>0.2374874678961558</v>
      </c>
      <c r="AT99" s="159"/>
      <c r="AU99" s="1097">
        <f>AU98/AU67</f>
        <v>0.23712047886213183</v>
      </c>
      <c r="AV99" s="159"/>
      <c r="AW99" s="1097">
        <f>AW98/AW67</f>
        <v>0.19099167504623035</v>
      </c>
      <c r="AX99" s="159"/>
      <c r="AY99" s="1097">
        <f>AY98/AY67</f>
        <v>0.19326348065112831</v>
      </c>
      <c r="AZ99" s="159"/>
      <c r="BA99" s="1097">
        <f>BA98/BA67</f>
        <v>0.19241052472234449</v>
      </c>
      <c r="BB99" s="159"/>
      <c r="BC99" s="1097">
        <f>BC98/BC67</f>
        <v>0.20531492456489378</v>
      </c>
      <c r="BD99" s="159"/>
      <c r="BE99" s="1097">
        <f>BE98/BE67</f>
        <v>0.17152281760173588</v>
      </c>
      <c r="BF99" s="159"/>
      <c r="BG99" s="1097">
        <f>BG98/BG67</f>
        <v>0.15895332259251221</v>
      </c>
      <c r="BH99" s="159"/>
      <c r="BI99" s="1097">
        <f>BI98/BI67</f>
        <v>0.1631363749434481</v>
      </c>
      <c r="BJ99" s="159"/>
      <c r="BK99" s="1097">
        <f>BK98/BK67</f>
        <v>0.14284523112500161</v>
      </c>
      <c r="BL99" s="159"/>
      <c r="BM99" s="1097">
        <f>BM98/BM67</f>
        <v>4.3700016250121307E-2</v>
      </c>
      <c r="BN99" s="159"/>
      <c r="BO99" s="1097">
        <f>BO98/BO67</f>
        <v>3.8726472886648218E-2</v>
      </c>
      <c r="BP99" s="159"/>
      <c r="BQ99" s="1097">
        <f>BQ98/BQ67</f>
        <v>3.2108270143283484E-2</v>
      </c>
      <c r="BR99" s="159"/>
      <c r="BS99" s="1097">
        <f>BS98/BS67</f>
        <v>4.218898628931677E-2</v>
      </c>
      <c r="BV99" s="159"/>
      <c r="BW99" s="1097">
        <f>BW98/BW67</f>
        <v>2.8121644812897369E-2</v>
      </c>
      <c r="BX99" s="159"/>
      <c r="BY99" s="1097">
        <f t="shared" ref="BY99" si="103">BY98/BY67</f>
        <v>2.8556678104963568E-2</v>
      </c>
    </row>
    <row r="100" spans="1:77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620</v>
      </c>
      <c r="BN100" s="251"/>
      <c r="BO100" s="167">
        <v>620</v>
      </c>
      <c r="BP100" s="251"/>
      <c r="BQ100" s="167">
        <v>620</v>
      </c>
      <c r="BR100" s="251"/>
      <c r="BS100" s="167">
        <v>620</v>
      </c>
      <c r="BV100" s="251"/>
      <c r="BW100" s="167">
        <v>620</v>
      </c>
      <c r="BX100" s="251"/>
      <c r="BY100" s="167">
        <v>620</v>
      </c>
    </row>
    <row r="101" spans="1:77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V101" s="164"/>
      <c r="BW101" s="168">
        <v>1150</v>
      </c>
      <c r="BX101" s="164"/>
      <c r="BY101" s="168">
        <v>1150</v>
      </c>
    </row>
    <row r="102" spans="1:77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V102" s="164"/>
      <c r="BW102" s="168">
        <v>750</v>
      </c>
      <c r="BX102" s="164"/>
      <c r="BY102" s="168">
        <v>750</v>
      </c>
    </row>
    <row r="103" spans="1:77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V103" s="164"/>
      <c r="BW103" s="171"/>
      <c r="BX103" s="164"/>
      <c r="BY103" s="171"/>
    </row>
    <row r="104" spans="1:77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>K101-K100</f>
        <v>530</v>
      </c>
      <c r="L104" s="173"/>
      <c r="M104" s="165">
        <f>M101-M100</f>
        <v>530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530</v>
      </c>
      <c r="T104" s="173"/>
      <c r="U104" s="165">
        <f>U101-U100</f>
        <v>530</v>
      </c>
      <c r="V104" s="173"/>
      <c r="W104" s="165">
        <f>W101-W100</f>
        <v>530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530</v>
      </c>
      <c r="AD104" s="173"/>
      <c r="AE104" s="165">
        <f>AE101-AE100</f>
        <v>530</v>
      </c>
      <c r="AF104" s="173"/>
      <c r="AG104" s="165">
        <f>AG101-AG100</f>
        <v>530</v>
      </c>
      <c r="AH104" s="173"/>
      <c r="AI104" s="165">
        <f>AI101-AI100</f>
        <v>530</v>
      </c>
      <c r="AJ104" s="173"/>
      <c r="AK104" s="165">
        <f>AK101-AK100</f>
        <v>530</v>
      </c>
      <c r="AL104" s="173"/>
      <c r="AM104" s="165">
        <f>AM101-AM100</f>
        <v>530</v>
      </c>
      <c r="AN104" s="173"/>
      <c r="AO104" s="165">
        <f>AO101-AO100</f>
        <v>530</v>
      </c>
      <c r="AP104" s="173"/>
      <c r="AQ104" s="165">
        <f>AQ101-AQ100</f>
        <v>530</v>
      </c>
      <c r="AR104" s="173"/>
      <c r="AS104" s="165">
        <f>AS101-AS100</f>
        <v>530</v>
      </c>
      <c r="AT104" s="173"/>
      <c r="AU104" s="165">
        <f>AU101-AU100</f>
        <v>530</v>
      </c>
      <c r="AV104" s="173"/>
      <c r="AW104" s="165">
        <f>AW101-AW100</f>
        <v>530</v>
      </c>
      <c r="AX104" s="173"/>
      <c r="AY104" s="165">
        <f>AY101-AY100</f>
        <v>530</v>
      </c>
      <c r="AZ104" s="173"/>
      <c r="BA104" s="165">
        <f>BA101-BA100</f>
        <v>530</v>
      </c>
      <c r="BB104" s="173"/>
      <c r="BC104" s="165">
        <f>BC101-BC100</f>
        <v>530</v>
      </c>
      <c r="BD104" s="173"/>
      <c r="BE104" s="165">
        <f>BE101-BE100</f>
        <v>530</v>
      </c>
      <c r="BF104" s="173"/>
      <c r="BG104" s="165">
        <f>BG101-BG100</f>
        <v>530</v>
      </c>
      <c r="BH104" s="173"/>
      <c r="BI104" s="165">
        <f>BI101-BI100</f>
        <v>530</v>
      </c>
      <c r="BJ104" s="173"/>
      <c r="BK104" s="165">
        <f>BK101-BK100</f>
        <v>530</v>
      </c>
      <c r="BL104" s="173"/>
      <c r="BM104" s="165">
        <f>BM101-BM100</f>
        <v>530</v>
      </c>
      <c r="BN104" s="173"/>
      <c r="BO104" s="165">
        <f>BO101-BO100</f>
        <v>530</v>
      </c>
      <c r="BP104" s="173"/>
      <c r="BQ104" s="165">
        <f>BQ101-BQ100</f>
        <v>530</v>
      </c>
      <c r="BR104" s="173"/>
      <c r="BS104" s="165">
        <f>BS101-BS100</f>
        <v>530</v>
      </c>
      <c r="BV104" s="173"/>
      <c r="BW104" s="165">
        <f>BW101-BW100</f>
        <v>530</v>
      </c>
      <c r="BX104" s="173"/>
      <c r="BY104" s="165">
        <f t="shared" ref="BY104" si="104">BY101-BY100</f>
        <v>530</v>
      </c>
    </row>
    <row r="105" spans="1:77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0.11041666666666666</v>
      </c>
      <c r="H105" s="177"/>
      <c r="I105" s="178">
        <f>I104/I66</f>
        <v>0.11041666666666666</v>
      </c>
      <c r="J105" s="177"/>
      <c r="K105" s="178">
        <f>K104/K66</f>
        <v>0.11041666666666666</v>
      </c>
      <c r="L105" s="177"/>
      <c r="M105" s="178">
        <f>M104/M66</f>
        <v>0.11041666666666666</v>
      </c>
      <c r="N105" s="177"/>
      <c r="O105" s="178">
        <f>O104/O66</f>
        <v>0.11041666666666666</v>
      </c>
      <c r="P105" s="177"/>
      <c r="Q105" s="178">
        <f>Q104/Q66</f>
        <v>0.11041666666666666</v>
      </c>
      <c r="R105" s="177"/>
      <c r="S105" s="178">
        <f>S104/S66</f>
        <v>0.11041666666666666</v>
      </c>
      <c r="T105" s="177"/>
      <c r="U105" s="178">
        <f>U104/U66</f>
        <v>0.11041666666666666</v>
      </c>
      <c r="V105" s="177"/>
      <c r="W105" s="178">
        <f>W104/W66</f>
        <v>0.11041666666666666</v>
      </c>
      <c r="X105" s="177"/>
      <c r="Y105" s="178">
        <f>Y104/Y66</f>
        <v>0.11041666666666666</v>
      </c>
      <c r="Z105" s="177"/>
      <c r="AA105" s="178">
        <f>AA104/AA66</f>
        <v>0.11041666666666666</v>
      </c>
      <c r="AB105" s="177"/>
      <c r="AC105" s="178">
        <f>AC104/AC66</f>
        <v>0.11041666666666666</v>
      </c>
      <c r="AD105" s="177"/>
      <c r="AE105" s="178">
        <f>AE104/AE66</f>
        <v>0.11041666666666666</v>
      </c>
      <c r="AF105" s="177"/>
      <c r="AG105" s="178">
        <f>AG104/AG66</f>
        <v>0.11041666666666666</v>
      </c>
      <c r="AH105" s="177"/>
      <c r="AI105" s="178">
        <f>AI104/AI66</f>
        <v>0.11041666666666666</v>
      </c>
      <c r="AJ105" s="177"/>
      <c r="AK105" s="178">
        <f>AK104/AK66</f>
        <v>0.11041666666666666</v>
      </c>
      <c r="AL105" s="177"/>
      <c r="AM105" s="178">
        <f>AM104/AM66</f>
        <v>0.11041666666666666</v>
      </c>
      <c r="AN105" s="177"/>
      <c r="AO105" s="178">
        <f>AO104/AO66</f>
        <v>0.11041666666666666</v>
      </c>
      <c r="AP105" s="177"/>
      <c r="AQ105" s="178">
        <f>AQ104/AQ66</f>
        <v>0.11041666666666666</v>
      </c>
      <c r="AR105" s="177"/>
      <c r="AS105" s="178">
        <f>AS104/AS66</f>
        <v>0.11041666666666666</v>
      </c>
      <c r="AT105" s="177"/>
      <c r="AU105" s="178">
        <f>AU104/AU66</f>
        <v>0.11041666666666666</v>
      </c>
      <c r="AV105" s="177"/>
      <c r="AW105" s="178">
        <f>AW104/AW66</f>
        <v>0.11041666666666666</v>
      </c>
      <c r="AX105" s="177"/>
      <c r="AY105" s="178">
        <f>AY104/AY66</f>
        <v>0.11041666666666666</v>
      </c>
      <c r="AZ105" s="177"/>
      <c r="BA105" s="178">
        <f>BA104/BA66</f>
        <v>0.11041666666666666</v>
      </c>
      <c r="BB105" s="177"/>
      <c r="BC105" s="178">
        <f>BC104/BC66</f>
        <v>0.11041666666666666</v>
      </c>
      <c r="BD105" s="177"/>
      <c r="BE105" s="178">
        <f>BE104/BE66</f>
        <v>0.11469378922311188</v>
      </c>
      <c r="BF105" s="177"/>
      <c r="BG105" s="178">
        <f>BG104/BG66</f>
        <v>0.11469378922311188</v>
      </c>
      <c r="BH105" s="177"/>
      <c r="BI105" s="178">
        <f>BI104/BI66</f>
        <v>0.11469378922311188</v>
      </c>
      <c r="BJ105" s="177"/>
      <c r="BK105" s="178">
        <f>BK104/BK66</f>
        <v>0.11469378922311188</v>
      </c>
      <c r="BL105" s="177"/>
      <c r="BM105" s="178">
        <f>BM104/BM66</f>
        <v>0.11469378922311188</v>
      </c>
      <c r="BN105" s="177"/>
      <c r="BO105" s="178">
        <f>BO104/BO66</f>
        <v>0.11469378922311188</v>
      </c>
      <c r="BP105" s="177"/>
      <c r="BQ105" s="178">
        <f>BQ104/BQ66</f>
        <v>0.11469378922311188</v>
      </c>
      <c r="BR105" s="177"/>
      <c r="BS105" s="178">
        <f>BS104/BS66</f>
        <v>0.11469378922311188</v>
      </c>
      <c r="BV105" s="177"/>
      <c r="BW105" s="178">
        <f>BW104/BW66</f>
        <v>0.11041666666666666</v>
      </c>
      <c r="BX105" s="177"/>
      <c r="BY105" s="178">
        <f t="shared" ref="BY105" si="105">BY104/BY66</f>
        <v>0.11469378922311188</v>
      </c>
    </row>
    <row r="106" spans="1:77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8.3333333333333329E-2</v>
      </c>
      <c r="H106" s="177"/>
      <c r="I106" s="178">
        <f>(I101-I102)/I66</f>
        <v>8.3333333333333329E-2</v>
      </c>
      <c r="J106" s="177"/>
      <c r="K106" s="178">
        <f>(K101-K102)/K66</f>
        <v>8.3333333333333329E-2</v>
      </c>
      <c r="L106" s="177"/>
      <c r="M106" s="178">
        <f>(M101-M102)/M66</f>
        <v>8.3333333333333329E-2</v>
      </c>
      <c r="N106" s="177"/>
      <c r="O106" s="178">
        <f>(O101-O102)/O66</f>
        <v>8.3333333333333329E-2</v>
      </c>
      <c r="P106" s="177"/>
      <c r="Q106" s="178">
        <f>(Q101-Q102)/Q66</f>
        <v>8.3333333333333329E-2</v>
      </c>
      <c r="R106" s="177"/>
      <c r="S106" s="178">
        <f>(S101-S102)/S66</f>
        <v>8.3333333333333329E-2</v>
      </c>
      <c r="T106" s="177"/>
      <c r="U106" s="178">
        <f>(U101-U102)/U66</f>
        <v>8.3333333333333329E-2</v>
      </c>
      <c r="V106" s="177"/>
      <c r="W106" s="178">
        <f>(W101-W102)/W66</f>
        <v>8.3333333333333329E-2</v>
      </c>
      <c r="X106" s="177"/>
      <c r="Y106" s="178">
        <f>(Y101-Y102)/Y66</f>
        <v>8.3333333333333329E-2</v>
      </c>
      <c r="Z106" s="177"/>
      <c r="AA106" s="178">
        <f>(AA101-AA102)/AA66</f>
        <v>8.3333333333333329E-2</v>
      </c>
      <c r="AB106" s="177"/>
      <c r="AC106" s="178">
        <f>(AC101-AC102)/AC66</f>
        <v>8.3333333333333329E-2</v>
      </c>
      <c r="AD106" s="177"/>
      <c r="AE106" s="178">
        <f>(AE101-AE102)/AE66</f>
        <v>8.3333333333333329E-2</v>
      </c>
      <c r="AF106" s="177"/>
      <c r="AG106" s="178">
        <f>(AG101-AG102)/AG66</f>
        <v>8.3333333333333329E-2</v>
      </c>
      <c r="AH106" s="177"/>
      <c r="AI106" s="178">
        <f>(AI101-AI102)/AI66</f>
        <v>8.3333333333333329E-2</v>
      </c>
      <c r="AJ106" s="177"/>
      <c r="AK106" s="178">
        <f>(AK101-AK102)/AK66</f>
        <v>8.3333333333333329E-2</v>
      </c>
      <c r="AL106" s="177"/>
      <c r="AM106" s="178">
        <f>(AM101-AM102)/AM66</f>
        <v>8.3333333333333329E-2</v>
      </c>
      <c r="AN106" s="177"/>
      <c r="AO106" s="178">
        <f>(AO101-AO102)/AO66</f>
        <v>8.3333333333333329E-2</v>
      </c>
      <c r="AP106" s="177"/>
      <c r="AQ106" s="178">
        <f>(AQ101-AQ102)/AQ66</f>
        <v>8.3333333333333329E-2</v>
      </c>
      <c r="AR106" s="177"/>
      <c r="AS106" s="178">
        <f>(AS101-AS102)/AS66</f>
        <v>8.3333333333333329E-2</v>
      </c>
      <c r="AT106" s="177"/>
      <c r="AU106" s="178">
        <f>(AU101-AU102)/AU66</f>
        <v>8.3333333333333329E-2</v>
      </c>
      <c r="AV106" s="177"/>
      <c r="AW106" s="178">
        <f>(AW101-AW102)/AW66</f>
        <v>8.3333333333333329E-2</v>
      </c>
      <c r="AX106" s="177"/>
      <c r="AY106" s="178">
        <f>(AY101-AY102)/AY66</f>
        <v>8.3333333333333329E-2</v>
      </c>
      <c r="AZ106" s="177"/>
      <c r="BA106" s="178">
        <f>(BA101-BA102)/BA66</f>
        <v>8.3333333333333329E-2</v>
      </c>
      <c r="BB106" s="177"/>
      <c r="BC106" s="178">
        <f>(BC101-BC102)/BC66</f>
        <v>8.3333333333333329E-2</v>
      </c>
      <c r="BD106" s="177"/>
      <c r="BE106" s="178">
        <f>(BE101-BE102)/BE66</f>
        <v>8.6561350357065567E-2</v>
      </c>
      <c r="BF106" s="177"/>
      <c r="BG106" s="178">
        <f>(BG101-BG102)/BG66</f>
        <v>8.6561350357065567E-2</v>
      </c>
      <c r="BH106" s="177"/>
      <c r="BI106" s="178">
        <f>(BI101-BI102)/BI66</f>
        <v>8.6561350357065567E-2</v>
      </c>
      <c r="BJ106" s="177"/>
      <c r="BK106" s="178">
        <f>(BK101-BK102)/BK66</f>
        <v>8.6561350357065567E-2</v>
      </c>
      <c r="BL106" s="177"/>
      <c r="BM106" s="178">
        <f>(BM101-BM102)/BM66</f>
        <v>8.6561350357065567E-2</v>
      </c>
      <c r="BN106" s="177"/>
      <c r="BO106" s="178">
        <f>(BO101-BO102)/BO66</f>
        <v>8.6561350357065567E-2</v>
      </c>
      <c r="BP106" s="177"/>
      <c r="BQ106" s="178">
        <f>(BQ101-BQ102)/BQ66</f>
        <v>8.6561350357065567E-2</v>
      </c>
      <c r="BR106" s="177"/>
      <c r="BS106" s="178">
        <f>(BS101-BS102)/BS66</f>
        <v>8.6561350357065567E-2</v>
      </c>
      <c r="BV106" s="177"/>
      <c r="BW106" s="178">
        <f>(BW101-BW102)/BW66</f>
        <v>8.3333333333333329E-2</v>
      </c>
      <c r="BX106" s="177"/>
      <c r="BY106" s="178">
        <f t="shared" ref="BY106" si="106">(BY101-BY102)/BY66</f>
        <v>8.6561350357065567E-2</v>
      </c>
    </row>
    <row r="107" spans="1:77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V107" s="180"/>
      <c r="BW107" s="181"/>
      <c r="BX107" s="180"/>
      <c r="BY107" s="181"/>
    </row>
    <row r="108" spans="1:77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1.5404270906126256</v>
      </c>
      <c r="H108" s="186"/>
      <c r="I108" s="187">
        <f>I60-(I101/I66)-I74</f>
        <v>1.4096642351497035</v>
      </c>
      <c r="J108" s="186"/>
      <c r="K108" s="187">
        <f>K60-(K101/K66)-K74</f>
        <v>1.3985524929368718</v>
      </c>
      <c r="L108" s="186"/>
      <c r="M108" s="187">
        <f>M60-(M101/M66)-M74</f>
        <v>1.3898584006763555</v>
      </c>
      <c r="N108" s="186"/>
      <c r="O108" s="187">
        <f>O60-(O101/O66)-O74</f>
        <v>1.1171541773713511</v>
      </c>
      <c r="P108" s="186"/>
      <c r="Q108" s="187">
        <f>Q60-(Q101/Q66)-Q74</f>
        <v>1.347325362610893</v>
      </c>
      <c r="R108" s="186"/>
      <c r="S108" s="187">
        <f>S60-(S101/S66)-S74</f>
        <v>1.2274592687424852</v>
      </c>
      <c r="T108" s="186"/>
      <c r="U108" s="187">
        <f>U60-(U101/U66)-U74</f>
        <v>1.3453504213881078</v>
      </c>
      <c r="V108" s="186"/>
      <c r="W108" s="187">
        <f>W60-(W101/W66)-W74</f>
        <v>1.4954516661167934</v>
      </c>
      <c r="X108" s="186"/>
      <c r="Y108" s="187">
        <f>Y60-(Y101/Y66)-Y74</f>
        <v>1.51272244823517</v>
      </c>
      <c r="Z108" s="186"/>
      <c r="AA108" s="187">
        <f>AA60-(AA101/AA66)-AA74</f>
        <v>1.5414513933535714</v>
      </c>
      <c r="AB108" s="186"/>
      <c r="AC108" s="187">
        <f>AC60-(AC101/AC66)-AC74</f>
        <v>1.7045782698184446</v>
      </c>
      <c r="AD108" s="186"/>
      <c r="AE108" s="187">
        <f>AE60-(AE101/AE66)-AE74</f>
        <v>1.708817992671924</v>
      </c>
      <c r="AF108" s="186"/>
      <c r="AG108" s="187">
        <f>AG60-(AG101/AG66)-AG74</f>
        <v>1.4956008366358433</v>
      </c>
      <c r="AH108" s="186"/>
      <c r="AI108" s="187">
        <f>AI60-(AI101/AI66)-AI74</f>
        <v>1.7380593834069669</v>
      </c>
      <c r="AJ108" s="186"/>
      <c r="AK108" s="187">
        <f>AK60-(AK101/AK66)-AK74</f>
        <v>1.2504166968393058</v>
      </c>
      <c r="AL108" s="186"/>
      <c r="AM108" s="187">
        <f>AM60-(AM101/AM66)-AM74</f>
        <v>1.5622063002863484</v>
      </c>
      <c r="AN108" s="186"/>
      <c r="AO108" s="187">
        <f>AO60-(AO101/AO66)-AO74</f>
        <v>1.7469253657011099</v>
      </c>
      <c r="AP108" s="186"/>
      <c r="AQ108" s="187">
        <f>AQ60-(AQ101/AQ66)-AQ74</f>
        <v>1.7718955672616383</v>
      </c>
      <c r="AR108" s="186"/>
      <c r="AS108" s="187">
        <f>AS60-(AS101/AS66)-AS74</f>
        <v>1.827630421550134</v>
      </c>
      <c r="AT108" s="186"/>
      <c r="AU108" s="187">
        <f>AU60-(AU101/AU66)-AU74</f>
        <v>1.827630421550134</v>
      </c>
      <c r="AV108" s="186"/>
      <c r="AW108" s="187">
        <f>AW60-(AW101/AW66)-AW74</f>
        <v>1.9369038862820855</v>
      </c>
      <c r="AX108" s="186"/>
      <c r="AY108" s="187">
        <f>AY60-(AY101/AY66)-AY74</f>
        <v>1.9369038862820855</v>
      </c>
      <c r="AZ108" s="186"/>
      <c r="BA108" s="187">
        <f>BA60-(BA101/BA66)-BA74</f>
        <v>1.9704166666666674</v>
      </c>
      <c r="BB108" s="186"/>
      <c r="BC108" s="187">
        <f>BC60-(BC101/BC66)-BC74</f>
        <v>2.0259108027830672</v>
      </c>
      <c r="BD108" s="186"/>
      <c r="BE108" s="187">
        <f>BE60-(BE101/BE66)-BE74</f>
        <v>1.8700347220341551</v>
      </c>
      <c r="BF108" s="186"/>
      <c r="BG108" s="187">
        <f>BG60-(BG101/BG66)-BG74</f>
        <v>1.8132055434713532</v>
      </c>
      <c r="BH108" s="186"/>
      <c r="BI108" s="187">
        <f>BI60-(BI101/BI66)-BI74</f>
        <v>1.83336395309765</v>
      </c>
      <c r="BJ108" s="186"/>
      <c r="BK108" s="187">
        <f>BK60-(BK101/BK66)-BK74</f>
        <v>2.0285537721332645</v>
      </c>
      <c r="BL108" s="186"/>
      <c r="BM108" s="187">
        <f>BM60-(BM101/BM66)-BM74</f>
        <v>1.9266801646453939</v>
      </c>
      <c r="BN108" s="186"/>
      <c r="BO108" s="187">
        <f>BO60-(BO101/BO66)-BO74</f>
        <v>1.8875151824919354</v>
      </c>
      <c r="BP108" s="186"/>
      <c r="BQ108" s="187">
        <f>BQ60-(BQ101/BQ66)-BQ74</f>
        <v>1.824114070562131</v>
      </c>
      <c r="BR108" s="186"/>
      <c r="BS108" s="187">
        <f>BS60-(BS101/BS66)-BS74</f>
        <v>1.8697177194103762</v>
      </c>
      <c r="BV108" s="186"/>
      <c r="BW108" s="187">
        <f>BW60-(BW101/BW66)-BW74</f>
        <v>1.8198060297658136</v>
      </c>
      <c r="BX108" s="186"/>
      <c r="BY108" s="187">
        <f t="shared" ref="BY108" si="107">BY60-(BY101/BY66)-BY74</f>
        <v>1.8416967141590637</v>
      </c>
    </row>
    <row r="109" spans="1:77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0.37298476770281491</v>
      </c>
      <c r="H109" s="192"/>
      <c r="I109" s="193">
        <f>I108/I67</f>
        <v>0.34132305935828172</v>
      </c>
      <c r="J109" s="192"/>
      <c r="K109" s="193">
        <f>K108/K67</f>
        <v>0.33863256487575588</v>
      </c>
      <c r="L109" s="192"/>
      <c r="M109" s="193">
        <f>M108/M67</f>
        <v>0.33652745779088511</v>
      </c>
      <c r="N109" s="192"/>
      <c r="O109" s="193">
        <f>O108/O67</f>
        <v>0.27049737950880176</v>
      </c>
      <c r="P109" s="192"/>
      <c r="Q109" s="193">
        <f>Q108/Q67</f>
        <v>0.32622890135856975</v>
      </c>
      <c r="R109" s="192"/>
      <c r="S109" s="193">
        <f>S108/S67</f>
        <v>0.29720563407808359</v>
      </c>
      <c r="T109" s="192"/>
      <c r="U109" s="193">
        <f>U108/U67</f>
        <v>0.32575070735789535</v>
      </c>
      <c r="V109" s="192"/>
      <c r="W109" s="193">
        <f>W108/W67</f>
        <v>0.36209483441084583</v>
      </c>
      <c r="X109" s="192"/>
      <c r="Y109" s="193">
        <f>Y108/Y67</f>
        <v>0.36627662184870946</v>
      </c>
      <c r="Z109" s="192"/>
      <c r="AA109" s="193">
        <f>AA108/AA67</f>
        <v>0.37323278289432721</v>
      </c>
      <c r="AB109" s="192"/>
      <c r="AC109" s="193">
        <f>AC108/AC67</f>
        <v>0.41273081593666944</v>
      </c>
      <c r="AD109" s="192"/>
      <c r="AE109" s="193">
        <f>AE108/AE67</f>
        <v>0.41375738321354094</v>
      </c>
      <c r="AF109" s="192"/>
      <c r="AG109" s="193">
        <f>AG108/AG67</f>
        <v>0.36213095318059163</v>
      </c>
      <c r="AH109" s="192"/>
      <c r="AI109" s="193">
        <f>AI108/AI67</f>
        <v>0.42083762310096051</v>
      </c>
      <c r="AJ109" s="192"/>
      <c r="AK109" s="193">
        <f>AK108/AK67</f>
        <v>0.30276433337513459</v>
      </c>
      <c r="AL109" s="192"/>
      <c r="AM109" s="193">
        <f>AM108/AM67</f>
        <v>0.37825818408870421</v>
      </c>
      <c r="AN109" s="192"/>
      <c r="AO109" s="193">
        <f>AO108/AO67</f>
        <v>0.42298435004869489</v>
      </c>
      <c r="AP109" s="192"/>
      <c r="AQ109" s="193">
        <f>AQ108/AQ67</f>
        <v>0.42903040369531198</v>
      </c>
      <c r="AR109" s="192"/>
      <c r="AS109" s="193">
        <f>AS108/AS67</f>
        <v>0.44252552579906396</v>
      </c>
      <c r="AT109" s="192"/>
      <c r="AU109" s="193">
        <f>AU108/AU67</f>
        <v>0.44252552579906396</v>
      </c>
      <c r="AV109" s="192"/>
      <c r="AW109" s="193">
        <f>AW108/AW67</f>
        <v>0.4689839918358561</v>
      </c>
      <c r="AX109" s="192"/>
      <c r="AY109" s="193">
        <f>AY108/AY67</f>
        <v>0.4689839918358561</v>
      </c>
      <c r="AZ109" s="192"/>
      <c r="BA109" s="193">
        <f>BA108/BA67</f>
        <v>0.46362745098039232</v>
      </c>
      <c r="BB109" s="192"/>
      <c r="BC109" s="193">
        <f>BC108/BC67</f>
        <v>0.47668489477248643</v>
      </c>
      <c r="BD109" s="192"/>
      <c r="BE109" s="193">
        <f>BE108/BE67</f>
        <v>0.44000816989038943</v>
      </c>
      <c r="BF109" s="192"/>
      <c r="BG109" s="193">
        <f>BG108/BG67</f>
        <v>0.42663659846384783</v>
      </c>
      <c r="BH109" s="192"/>
      <c r="BI109" s="193">
        <f>BI108/BI67</f>
        <v>0.43137975367003528</v>
      </c>
      <c r="BJ109" s="192"/>
      <c r="BK109" s="193">
        <f>BK108/BK67</f>
        <v>0.47730676991370929</v>
      </c>
      <c r="BL109" s="192"/>
      <c r="BM109" s="193">
        <f>BM108/BM67</f>
        <v>0.45333650932832797</v>
      </c>
      <c r="BN109" s="192"/>
      <c r="BO109" s="193">
        <f>BO108/BO67</f>
        <v>0.44412121940986715</v>
      </c>
      <c r="BP109" s="192"/>
      <c r="BQ109" s="193">
        <f>BQ108/BQ67</f>
        <v>0.42920331072050144</v>
      </c>
      <c r="BR109" s="192"/>
      <c r="BS109" s="193">
        <f>BS108/BS67</f>
        <v>0.43993358103773561</v>
      </c>
      <c r="BV109" s="192"/>
      <c r="BW109" s="193">
        <f>BW108/BW67</f>
        <v>0.42818965406254439</v>
      </c>
      <c r="BX109" s="192"/>
      <c r="BY109" s="193">
        <f t="shared" ref="BY109" si="108">BY108/BY67</f>
        <v>0.43334040333154439</v>
      </c>
    </row>
    <row r="110" spans="1:77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/>
      <c r="BV110" s="164"/>
      <c r="BW110" s="198"/>
      <c r="BX110" s="164"/>
      <c r="BY110" s="198"/>
    </row>
    <row r="111" spans="1:77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1.6237604239459587</v>
      </c>
      <c r="H111" s="186"/>
      <c r="I111" s="187">
        <f>I60-(I102/I66)-I74</f>
        <v>1.4929975684830366</v>
      </c>
      <c r="J111" s="186"/>
      <c r="K111" s="187">
        <f>K60-(K102/K66)-K74</f>
        <v>1.4818858262702048</v>
      </c>
      <c r="L111" s="186"/>
      <c r="M111" s="187">
        <f>M60-(M102/M66)-M74</f>
        <v>1.4731917340096885</v>
      </c>
      <c r="N111" s="186"/>
      <c r="O111" s="187">
        <f>O60-(O102/O66)-O74</f>
        <v>1.2004875107046842</v>
      </c>
      <c r="P111" s="186"/>
      <c r="Q111" s="187">
        <f>Q60-(Q102/Q66)-Q74</f>
        <v>1.430658695944226</v>
      </c>
      <c r="R111" s="186"/>
      <c r="S111" s="187">
        <f>S60-(S102/S66)-S74</f>
        <v>1.3107926020758183</v>
      </c>
      <c r="T111" s="186"/>
      <c r="U111" s="187">
        <f>U60-(U102/U66)-U74</f>
        <v>1.4286837547214408</v>
      </c>
      <c r="V111" s="186"/>
      <c r="W111" s="187">
        <f>W60-(W102/W66)-W74</f>
        <v>1.5787849994501264</v>
      </c>
      <c r="X111" s="186"/>
      <c r="Y111" s="187">
        <f>Y60-(Y102/Y66)-Y74</f>
        <v>1.596055781568503</v>
      </c>
      <c r="Z111" s="186"/>
      <c r="AA111" s="187">
        <f>AA60-(AA102/AA66)-AA74</f>
        <v>1.6247847266869044</v>
      </c>
      <c r="AB111" s="186"/>
      <c r="AC111" s="187">
        <f>AC60-(AC102/AC66)-AC74</f>
        <v>1.7879116031517777</v>
      </c>
      <c r="AD111" s="186"/>
      <c r="AE111" s="187">
        <f>AE60-(AE102/AE66)-AE74</f>
        <v>1.7921513260052571</v>
      </c>
      <c r="AF111" s="186"/>
      <c r="AG111" s="187">
        <f>AG60-(AG102/AG66)-AG74</f>
        <v>1.5789341699691763</v>
      </c>
      <c r="AH111" s="186"/>
      <c r="AI111" s="187">
        <f>AI60-(AI102/AI66)-AI74</f>
        <v>1.8213927167402999</v>
      </c>
      <c r="AJ111" s="186"/>
      <c r="AK111" s="187">
        <f>AK60-(AK102/AK66)-AK74</f>
        <v>1.3337500301726388</v>
      </c>
      <c r="AL111" s="186"/>
      <c r="AM111" s="187">
        <f>AM60-(AM102/AM66)-AM74</f>
        <v>1.6455396336196815</v>
      </c>
      <c r="AN111" s="186"/>
      <c r="AO111" s="187">
        <f>AO60-(AO102/AO66)-AO74</f>
        <v>1.8302586990344429</v>
      </c>
      <c r="AP111" s="186"/>
      <c r="AQ111" s="187">
        <f>AQ60-(AQ102/AQ66)-AQ74</f>
        <v>1.8552289005949714</v>
      </c>
      <c r="AR111" s="186"/>
      <c r="AS111" s="187">
        <f>AS60-(AS102/AS66)-AS74</f>
        <v>1.910963754883467</v>
      </c>
      <c r="AT111" s="186"/>
      <c r="AU111" s="187">
        <f>AU60-(AU102/AU66)-AU74</f>
        <v>1.910963754883467</v>
      </c>
      <c r="AV111" s="186"/>
      <c r="AW111" s="187">
        <f>AW60-(AW102/AW66)-AW74</f>
        <v>2.0202372196154186</v>
      </c>
      <c r="AX111" s="186"/>
      <c r="AY111" s="187">
        <f>AY60-(AY102/AY66)-AY74</f>
        <v>2.0202372196154186</v>
      </c>
      <c r="AZ111" s="186"/>
      <c r="BA111" s="187">
        <f>BA60-(BA102/BA66)-BA74</f>
        <v>2.0537500000000004</v>
      </c>
      <c r="BB111" s="186"/>
      <c r="BC111" s="187">
        <f>BC60-(BC102/BC66)-BC74</f>
        <v>2.1092441361164003</v>
      </c>
      <c r="BD111" s="186"/>
      <c r="BE111" s="187">
        <f>BE60-(BE102/BE66)-BE74</f>
        <v>1.9565960723912208</v>
      </c>
      <c r="BF111" s="186"/>
      <c r="BG111" s="187">
        <f>BG60-(BG102/BG66)-BG74</f>
        <v>1.8997668938284189</v>
      </c>
      <c r="BH111" s="186"/>
      <c r="BI111" s="187">
        <f>BI60-(BI102/BI66)-BI74</f>
        <v>1.9199253034547157</v>
      </c>
      <c r="BJ111" s="186"/>
      <c r="BK111" s="187">
        <f>BK60-(BK102/BK66)-BK74</f>
        <v>2.1151151224903302</v>
      </c>
      <c r="BL111" s="186"/>
      <c r="BM111" s="187">
        <f>BM60-(BM102/BM66)-BM74</f>
        <v>2.0132415150024596</v>
      </c>
      <c r="BN111" s="186"/>
      <c r="BO111" s="187">
        <f>BO60-(BO102/BO66)-BO74</f>
        <v>1.9740765328490011</v>
      </c>
      <c r="BP111" s="186"/>
      <c r="BQ111" s="187">
        <f>BQ60-(BQ102/BQ66)-BQ74</f>
        <v>1.9106754209191967</v>
      </c>
      <c r="BR111" s="186"/>
      <c r="BS111" s="187">
        <f>BS60-(BS102/BS66)-BS74</f>
        <v>1.9562790697674419</v>
      </c>
      <c r="BV111" s="186"/>
      <c r="BW111" s="187">
        <f>BW60-(BW102/BW66)-BW74</f>
        <v>1.9031393630991467</v>
      </c>
      <c r="BX111" s="186"/>
      <c r="BY111" s="187">
        <f t="shared" ref="BY111" si="109">BY60-(BY102/BY66)-BY74</f>
        <v>1.9282580645161294</v>
      </c>
    </row>
    <row r="112" spans="1:77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0.39316233025325875</v>
      </c>
      <c r="H112" s="192"/>
      <c r="I112" s="193">
        <f>I111/I67</f>
        <v>0.36150062190872556</v>
      </c>
      <c r="J112" s="192"/>
      <c r="K112" s="193">
        <f>K111/K67</f>
        <v>0.35881012742619972</v>
      </c>
      <c r="L112" s="192"/>
      <c r="M112" s="193">
        <f>M111/M67</f>
        <v>0.35670502034132895</v>
      </c>
      <c r="N112" s="192"/>
      <c r="O112" s="193">
        <f>O111/O67</f>
        <v>0.29067494205924554</v>
      </c>
      <c r="P112" s="192"/>
      <c r="Q112" s="193">
        <f>Q111/Q67</f>
        <v>0.34640646390901358</v>
      </c>
      <c r="R112" s="192"/>
      <c r="S112" s="193">
        <f>S111/S67</f>
        <v>0.31738319662852743</v>
      </c>
      <c r="T112" s="192"/>
      <c r="U112" s="193">
        <f>U111/U67</f>
        <v>0.34592826990833919</v>
      </c>
      <c r="V112" s="192"/>
      <c r="W112" s="193">
        <f>W111/W67</f>
        <v>0.38227239696128967</v>
      </c>
      <c r="X112" s="192"/>
      <c r="Y112" s="193">
        <f>Y111/Y67</f>
        <v>0.3864541843991533</v>
      </c>
      <c r="Z112" s="192"/>
      <c r="AA112" s="193">
        <f>AA111/AA67</f>
        <v>0.39341034544477105</v>
      </c>
      <c r="AB112" s="192"/>
      <c r="AC112" s="193">
        <f>AC111/AC67</f>
        <v>0.43290837848711322</v>
      </c>
      <c r="AD112" s="192"/>
      <c r="AE112" s="193">
        <f>AE111/AE67</f>
        <v>0.43393494576398478</v>
      </c>
      <c r="AF112" s="192"/>
      <c r="AG112" s="193">
        <f>AG111/AG67</f>
        <v>0.38230851573103547</v>
      </c>
      <c r="AH112" s="192"/>
      <c r="AI112" s="193">
        <f>AI111/AI67</f>
        <v>0.44101518565140435</v>
      </c>
      <c r="AJ112" s="192"/>
      <c r="AK112" s="193">
        <f>AK111/AK67</f>
        <v>0.32294189592557843</v>
      </c>
      <c r="AL112" s="192"/>
      <c r="AM112" s="193">
        <f>AM111/AM67</f>
        <v>0.39843574663914805</v>
      </c>
      <c r="AN112" s="192"/>
      <c r="AO112" s="193">
        <f>AO111/AO67</f>
        <v>0.44316191259913873</v>
      </c>
      <c r="AP112" s="192"/>
      <c r="AQ112" s="193">
        <f>AQ111/AQ67</f>
        <v>0.44920796624575576</v>
      </c>
      <c r="AR112" s="192"/>
      <c r="AS112" s="193">
        <f>AS111/AS67</f>
        <v>0.4627030883495078</v>
      </c>
      <c r="AT112" s="192"/>
      <c r="AU112" s="193">
        <f>AU111/AU67</f>
        <v>0.4627030883495078</v>
      </c>
      <c r="AV112" s="192"/>
      <c r="AW112" s="193">
        <f>AW111/AW67</f>
        <v>0.48916155438629993</v>
      </c>
      <c r="AX112" s="192"/>
      <c r="AY112" s="193">
        <f>AY111/AY67</f>
        <v>0.48916155438629993</v>
      </c>
      <c r="AZ112" s="192"/>
      <c r="BA112" s="193">
        <f>BA111/BA67</f>
        <v>0.48323529411764715</v>
      </c>
      <c r="BB112" s="192"/>
      <c r="BC112" s="193">
        <f>BC111/BC67</f>
        <v>0.49629273790974127</v>
      </c>
      <c r="BD112" s="192"/>
      <c r="BE112" s="193">
        <f>BE111/BE67</f>
        <v>0.46037554644499312</v>
      </c>
      <c r="BF112" s="192"/>
      <c r="BG112" s="193">
        <f>BG111/BG67</f>
        <v>0.44700397501845152</v>
      </c>
      <c r="BH112" s="192"/>
      <c r="BI112" s="193">
        <f>BI111/BI67</f>
        <v>0.45174713022463897</v>
      </c>
      <c r="BJ112" s="192"/>
      <c r="BK112" s="193">
        <f>BK111/BK67</f>
        <v>0.49767414646831298</v>
      </c>
      <c r="BL112" s="192"/>
      <c r="BM112" s="193">
        <f>BM111/BM67</f>
        <v>0.47370388588293166</v>
      </c>
      <c r="BN112" s="192"/>
      <c r="BO112" s="193">
        <f>BO111/BO67</f>
        <v>0.46448859596447084</v>
      </c>
      <c r="BP112" s="192"/>
      <c r="BQ112" s="193">
        <f>BQ111/BQ67</f>
        <v>0.44957068727510513</v>
      </c>
      <c r="BR112" s="192"/>
      <c r="BS112" s="193">
        <f>BS111/BS67</f>
        <v>0.4603009575923393</v>
      </c>
      <c r="BV112" s="192"/>
      <c r="BW112" s="193">
        <f>BW111/BW67</f>
        <v>0.44779749719979922</v>
      </c>
      <c r="BX112" s="192"/>
      <c r="BY112" s="193">
        <f t="shared" ref="BY112" si="110">BY111/BY67</f>
        <v>0.45370777988614808</v>
      </c>
    </row>
    <row r="113" spans="1:77" s="4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V113" s="173"/>
      <c r="BW113" s="165"/>
      <c r="BX113" s="173"/>
      <c r="BY113" s="165"/>
    </row>
    <row r="114" spans="1:77" s="65" customFormat="1" ht="18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459.73724614418319</v>
      </c>
      <c r="H114" s="202" t="s">
        <v>111</v>
      </c>
      <c r="I114" s="203">
        <f>I116/I79</f>
        <v>459.26113007733579</v>
      </c>
      <c r="J114" s="202" t="s">
        <v>111</v>
      </c>
      <c r="K114" s="203">
        <f>K116/K79</f>
        <v>459.38000975813765</v>
      </c>
      <c r="L114" s="202" t="s">
        <v>111</v>
      </c>
      <c r="M114" s="203">
        <f>M116/M79</f>
        <v>458.98413029860097</v>
      </c>
      <c r="N114" s="202" t="s">
        <v>111</v>
      </c>
      <c r="O114" s="203">
        <f>O116/O79</f>
        <v>454.12704385304789</v>
      </c>
      <c r="P114" s="202" t="s">
        <v>111</v>
      </c>
      <c r="Q114" s="203">
        <f>Q116/Q79</f>
        <v>453.06174606419955</v>
      </c>
      <c r="R114" s="202" t="s">
        <v>111</v>
      </c>
      <c r="S114" s="203">
        <f>S116/S79</f>
        <v>447.38133386741436</v>
      </c>
      <c r="T114" s="202" t="s">
        <v>111</v>
      </c>
      <c r="U114" s="203">
        <f>U116/U79</f>
        <v>449.69198141789536</v>
      </c>
      <c r="V114" s="202" t="s">
        <v>111</v>
      </c>
      <c r="W114" s="203">
        <f>W116/W79</f>
        <v>446.3307175633438</v>
      </c>
      <c r="X114" s="202" t="s">
        <v>111</v>
      </c>
      <c r="Y114" s="203">
        <f>Y116/Y79</f>
        <v>439.62576209625121</v>
      </c>
      <c r="Z114" s="202" t="s">
        <v>111</v>
      </c>
      <c r="AA114" s="203">
        <f>AA116/AA79</f>
        <v>435.78619367209973</v>
      </c>
      <c r="AB114" s="202" t="s">
        <v>111</v>
      </c>
      <c r="AC114" s="203">
        <f>AC116/AC79</f>
        <v>436.1534276387377</v>
      </c>
      <c r="AD114" s="202" t="s">
        <v>111</v>
      </c>
      <c r="AE114" s="203">
        <f>AE116/AE79</f>
        <v>441.12745417780974</v>
      </c>
      <c r="AF114" s="202" t="s">
        <v>111</v>
      </c>
      <c r="AG114" s="203">
        <f>AG116/AG79</f>
        <v>445.35981710953553</v>
      </c>
      <c r="AH114" s="202" t="s">
        <v>111</v>
      </c>
      <c r="AI114" s="203">
        <f>AI116/AI79</f>
        <v>442.10310965630106</v>
      </c>
      <c r="AJ114" s="202" t="s">
        <v>111</v>
      </c>
      <c r="AK114" s="203">
        <f>AK116/AK79</f>
        <v>449.61802517331904</v>
      </c>
      <c r="AL114" s="202" t="s">
        <v>111</v>
      </c>
      <c r="AM114" s="203">
        <f>AM116/AM79</f>
        <v>451.03003856302007</v>
      </c>
      <c r="AN114" s="202" t="s">
        <v>111</v>
      </c>
      <c r="AO114" s="203">
        <f>AO116/AO79</f>
        <v>448.25698211774159</v>
      </c>
      <c r="AP114" s="202" t="s">
        <v>111</v>
      </c>
      <c r="AQ114" s="203">
        <f>AQ116/AQ79</f>
        <v>446.56549520766771</v>
      </c>
      <c r="AR114" s="202" t="s">
        <v>111</v>
      </c>
      <c r="AS114" s="203">
        <f>AS116/AS79</f>
        <v>442.78682068784451</v>
      </c>
      <c r="AT114" s="202" t="s">
        <v>111</v>
      </c>
      <c r="AU114" s="203">
        <f>AU116/AU79</f>
        <v>442.78682068784451</v>
      </c>
      <c r="AV114" s="202" t="s">
        <v>111</v>
      </c>
      <c r="AW114" s="203">
        <f>AW116/AW79</f>
        <v>441.05803716987276</v>
      </c>
      <c r="AX114" s="202" t="s">
        <v>111</v>
      </c>
      <c r="AY114" s="203">
        <f>AY116/AY79</f>
        <v>434.65760834977402</v>
      </c>
      <c r="AZ114" s="202" t="s">
        <v>111</v>
      </c>
      <c r="BA114" s="203">
        <f>BA116/BA79</f>
        <v>435.05481547581104</v>
      </c>
      <c r="BB114" s="202" t="s">
        <v>111</v>
      </c>
      <c r="BC114" s="203">
        <f>BC116/BC79</f>
        <v>437.8865979381444</v>
      </c>
      <c r="BD114" s="202" t="s">
        <v>111</v>
      </c>
      <c r="BE114" s="203">
        <f>BE116/BE79</f>
        <v>435.97901424720834</v>
      </c>
      <c r="BF114" s="202" t="s">
        <v>111</v>
      </c>
      <c r="BG114" s="203">
        <f>BG116/BG79</f>
        <v>434.00101904337299</v>
      </c>
      <c r="BH114" s="202" t="s">
        <v>111</v>
      </c>
      <c r="BI114" s="203">
        <f>BI116/BI79</f>
        <v>428.13258636788049</v>
      </c>
      <c r="BJ114" s="202" t="s">
        <v>111</v>
      </c>
      <c r="BK114" s="203">
        <f>BK116/BK79</f>
        <v>424.68226192668999</v>
      </c>
      <c r="BL114" s="202" t="s">
        <v>111</v>
      </c>
      <c r="BM114" s="203">
        <f>BM116/BM79</f>
        <v>425.03535415641909</v>
      </c>
      <c r="BN114" s="202" t="s">
        <v>111</v>
      </c>
      <c r="BO114" s="203">
        <f>BO116/BO79</f>
        <v>429.68622784493016</v>
      </c>
      <c r="BP114" s="202" t="s">
        <v>111</v>
      </c>
      <c r="BQ114" s="203">
        <f>BQ116/BQ79</f>
        <v>439.35513228889033</v>
      </c>
      <c r="BR114" s="202" t="s">
        <v>111</v>
      </c>
      <c r="BS114" s="203">
        <f>BS116/BS79</f>
        <v>437.69864341085275</v>
      </c>
      <c r="BV114" s="202" t="s">
        <v>111</v>
      </c>
      <c r="BW114" s="203">
        <f>BW116/BW79</f>
        <v>458.42976012481313</v>
      </c>
      <c r="BX114" s="202" t="s">
        <v>111</v>
      </c>
      <c r="BY114" s="203">
        <f t="shared" ref="BY114" si="111">BY116/BY79</f>
        <v>437.35967741935485</v>
      </c>
    </row>
    <row r="115" spans="1:77" s="65" customFormat="1" ht="18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9.5778592946704835E-2</v>
      </c>
      <c r="H115" s="202" t="s">
        <v>111</v>
      </c>
      <c r="I115" s="203">
        <f>I114/I66</f>
        <v>9.5679402099444963E-2</v>
      </c>
      <c r="J115" s="202" t="s">
        <v>111</v>
      </c>
      <c r="K115" s="203">
        <f>K114/K66</f>
        <v>9.5704168699612013E-2</v>
      </c>
      <c r="L115" s="202" t="s">
        <v>111</v>
      </c>
      <c r="M115" s="203">
        <f>M114/M66</f>
        <v>9.562169381220853E-2</v>
      </c>
      <c r="N115" s="202" t="s">
        <v>111</v>
      </c>
      <c r="O115" s="203">
        <f>O114/O66</f>
        <v>9.4609800802718316E-2</v>
      </c>
      <c r="P115" s="202" t="s">
        <v>111</v>
      </c>
      <c r="Q115" s="203">
        <f>Q114/Q66</f>
        <v>9.4387863763374907E-2</v>
      </c>
      <c r="R115" s="202" t="s">
        <v>111</v>
      </c>
      <c r="S115" s="203">
        <f>S114/S66</f>
        <v>9.3204444555711322E-2</v>
      </c>
      <c r="T115" s="202" t="s">
        <v>111</v>
      </c>
      <c r="U115" s="203">
        <f>U114/U66</f>
        <v>9.368582946206154E-2</v>
      </c>
      <c r="V115" s="202" t="s">
        <v>111</v>
      </c>
      <c r="W115" s="203">
        <f>W114/W66</f>
        <v>9.2985566159029961E-2</v>
      </c>
      <c r="X115" s="202" t="s">
        <v>111</v>
      </c>
      <c r="Y115" s="203">
        <f>Y114/Y66</f>
        <v>9.1588700436719003E-2</v>
      </c>
      <c r="Z115" s="202" t="s">
        <v>111</v>
      </c>
      <c r="AA115" s="203">
        <f>AA114/AA66</f>
        <v>9.0788790348354104E-2</v>
      </c>
      <c r="AB115" s="202" t="s">
        <v>111</v>
      </c>
      <c r="AC115" s="203">
        <f>AC114/AC66</f>
        <v>9.0865297424737021E-2</v>
      </c>
      <c r="AD115" s="202" t="s">
        <v>111</v>
      </c>
      <c r="AE115" s="203">
        <f>AE114/AE66</f>
        <v>9.1901552953710358E-2</v>
      </c>
      <c r="AF115" s="202" t="s">
        <v>111</v>
      </c>
      <c r="AG115" s="203">
        <f>AG114/AG66</f>
        <v>9.2783295231153237E-2</v>
      </c>
      <c r="AH115" s="202" t="s">
        <v>111</v>
      </c>
      <c r="AI115" s="203">
        <f>AI114/AI66</f>
        <v>9.2104814511729388E-2</v>
      </c>
      <c r="AJ115" s="202" t="s">
        <v>111</v>
      </c>
      <c r="AK115" s="203">
        <f>AK114/AK66</f>
        <v>9.3670421911108137E-2</v>
      </c>
      <c r="AL115" s="202" t="s">
        <v>111</v>
      </c>
      <c r="AM115" s="203">
        <f>AM114/AM66</f>
        <v>9.3964591367295847E-2</v>
      </c>
      <c r="AN115" s="202" t="s">
        <v>111</v>
      </c>
      <c r="AO115" s="203">
        <f>AO114/AO66</f>
        <v>9.3386871274529493E-2</v>
      </c>
      <c r="AP115" s="202" t="s">
        <v>111</v>
      </c>
      <c r="AQ115" s="203">
        <f>AQ114/AQ66</f>
        <v>9.3034478168264101E-2</v>
      </c>
      <c r="AR115" s="202" t="s">
        <v>111</v>
      </c>
      <c r="AS115" s="203">
        <f>AS114/AS66</f>
        <v>9.2247254309967608E-2</v>
      </c>
      <c r="AT115" s="202" t="s">
        <v>111</v>
      </c>
      <c r="AU115" s="203">
        <f>AU114/AU66</f>
        <v>9.2247254309967608E-2</v>
      </c>
      <c r="AV115" s="202" t="s">
        <v>111</v>
      </c>
      <c r="AW115" s="203">
        <f>AW114/AW66</f>
        <v>9.1887091077056823E-2</v>
      </c>
      <c r="AX115" s="202" t="s">
        <v>111</v>
      </c>
      <c r="AY115" s="203">
        <f>AY114/AY66</f>
        <v>9.0553668406202922E-2</v>
      </c>
      <c r="AZ115" s="202" t="s">
        <v>111</v>
      </c>
      <c r="BA115" s="203">
        <f>BA114/BA66</f>
        <v>9.0636419890793962E-2</v>
      </c>
      <c r="BB115" s="202" t="s">
        <v>111</v>
      </c>
      <c r="BC115" s="203">
        <f>BC114/BC66</f>
        <v>9.1226374570446744E-2</v>
      </c>
      <c r="BD115" s="202" t="s">
        <v>111</v>
      </c>
      <c r="BE115" s="203">
        <f>BE114/BE66</f>
        <v>9.4347330501451707E-2</v>
      </c>
      <c r="BF115" s="202" t="s">
        <v>111</v>
      </c>
      <c r="BG115" s="203">
        <f>BG114/BG66</f>
        <v>9.3919285661842239E-2</v>
      </c>
      <c r="BH115" s="202" t="s">
        <v>111</v>
      </c>
      <c r="BI115" s="203">
        <f>BI114/BI66</f>
        <v>9.264933701966685E-2</v>
      </c>
      <c r="BJ115" s="202" t="s">
        <v>111</v>
      </c>
      <c r="BK115" s="203">
        <f>BK114/BK66</f>
        <v>9.1902675162668257E-2</v>
      </c>
      <c r="BL115" s="202" t="s">
        <v>111</v>
      </c>
      <c r="BM115" s="203">
        <f>BM114/BM66</f>
        <v>9.1979085513183095E-2</v>
      </c>
      <c r="BN115" s="202" t="s">
        <v>111</v>
      </c>
      <c r="BO115" s="203">
        <f>BO114/BO66</f>
        <v>9.2985550280227258E-2</v>
      </c>
      <c r="BP115" s="202" t="s">
        <v>111</v>
      </c>
      <c r="BQ115" s="203">
        <f>BQ114/BQ66</f>
        <v>9.5077933843083814E-2</v>
      </c>
      <c r="BR115" s="202" t="s">
        <v>111</v>
      </c>
      <c r="BS115" s="203">
        <f>BS114/BS66</f>
        <v>9.4719464057747838E-2</v>
      </c>
      <c r="BV115" s="202" t="s">
        <v>111</v>
      </c>
      <c r="BW115" s="203">
        <f>BW114/BW66</f>
        <v>9.5506200026002741E-2</v>
      </c>
      <c r="BX115" s="202" t="s">
        <v>111</v>
      </c>
      <c r="BY115" s="203">
        <f t="shared" ref="BY115" si="112">BY114/BY66</f>
        <v>9.4646110672874886E-2</v>
      </c>
    </row>
    <row r="116" spans="1:77" s="65" customFormat="1" ht="18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6587575.0000000009</v>
      </c>
      <c r="H116" s="202" t="s">
        <v>114</v>
      </c>
      <c r="I116" s="204">
        <f>I117*I66</f>
        <v>6591775.0000000009</v>
      </c>
      <c r="J116" s="202" t="s">
        <v>114</v>
      </c>
      <c r="K116" s="204">
        <f>K117*K66</f>
        <v>6590725.0000000009</v>
      </c>
      <c r="L116" s="202" t="s">
        <v>114</v>
      </c>
      <c r="M116" s="204">
        <f>M117*M66</f>
        <v>6594225</v>
      </c>
      <c r="N116" s="202" t="s">
        <v>114</v>
      </c>
      <c r="O116" s="204">
        <f>O117*O66</f>
        <v>6637975.0000000009</v>
      </c>
      <c r="P116" s="202" t="s">
        <v>114</v>
      </c>
      <c r="Q116" s="204">
        <f>Q117*Q66</f>
        <v>6647775</v>
      </c>
      <c r="R116" s="202" t="s">
        <v>114</v>
      </c>
      <c r="S116" s="204">
        <f>S117*S66</f>
        <v>6701325</v>
      </c>
      <c r="T116" s="202" t="s">
        <v>114</v>
      </c>
      <c r="U116" s="204">
        <f>U117*U66</f>
        <v>6679275</v>
      </c>
      <c r="V116" s="202" t="s">
        <v>114</v>
      </c>
      <c r="W116" s="204">
        <f>W117*W66</f>
        <v>6711475.0000000009</v>
      </c>
      <c r="X116" s="202" t="s">
        <v>114</v>
      </c>
      <c r="Y116" s="204">
        <f>Y117*Y66</f>
        <v>6778150.0000000009</v>
      </c>
      <c r="Z116" s="202" t="s">
        <v>114</v>
      </c>
      <c r="AA116" s="204">
        <f>AA117*AA66</f>
        <v>6817875</v>
      </c>
      <c r="AB116" s="202" t="s">
        <v>114</v>
      </c>
      <c r="AC116" s="204">
        <f>AC117*AC66</f>
        <v>6814024.9999999991</v>
      </c>
      <c r="AD116" s="202" t="s">
        <v>114</v>
      </c>
      <c r="AE116" s="204">
        <f>AE117*AE66</f>
        <v>6762925.0000000009</v>
      </c>
      <c r="AF116" s="202" t="s">
        <v>114</v>
      </c>
      <c r="AG116" s="204">
        <f>AG117*AG66</f>
        <v>6720925.0000000009</v>
      </c>
      <c r="AH116" s="202" t="s">
        <v>114</v>
      </c>
      <c r="AI116" s="204">
        <f>AI117*AI66</f>
        <v>6753124.9999999991</v>
      </c>
      <c r="AJ116" s="202" t="s">
        <v>114</v>
      </c>
      <c r="AK116" s="204">
        <f>AK117*AK66</f>
        <v>6679975.0000000009</v>
      </c>
      <c r="AL116" s="202" t="s">
        <v>114</v>
      </c>
      <c r="AM116" s="204">
        <f>AM117*AM66</f>
        <v>6666675</v>
      </c>
      <c r="AN116" s="202" t="s">
        <v>114</v>
      </c>
      <c r="AO116" s="204">
        <f>AO117*AO66</f>
        <v>6692925</v>
      </c>
      <c r="AP116" s="202" t="s">
        <v>114</v>
      </c>
      <c r="AQ116" s="204">
        <f>AQ117*AQ66</f>
        <v>6709200</v>
      </c>
      <c r="AR116" s="202" t="s">
        <v>114</v>
      </c>
      <c r="AS116" s="204">
        <f>AS117*AS66</f>
        <v>6746299.9999999991</v>
      </c>
      <c r="AT116" s="202" t="s">
        <v>114</v>
      </c>
      <c r="AU116" s="204">
        <f>AU117*AU66</f>
        <v>6746299.9999999991</v>
      </c>
      <c r="AV116" s="202" t="s">
        <v>114</v>
      </c>
      <c r="AW116" s="204">
        <f>AW117*AW66</f>
        <v>6763624.9999999991</v>
      </c>
      <c r="AX116" s="202" t="s">
        <v>114</v>
      </c>
      <c r="AY116" s="204">
        <f>AY117*AY66</f>
        <v>6829774.9999999991</v>
      </c>
      <c r="AZ116" s="202" t="s">
        <v>114</v>
      </c>
      <c r="BA116" s="204">
        <f>BA117*BA66</f>
        <v>6825574.9999999991</v>
      </c>
      <c r="BB116" s="202" t="s">
        <v>114</v>
      </c>
      <c r="BC116" s="204">
        <f>BC117*BC66</f>
        <v>6796000.0000000009</v>
      </c>
      <c r="BD116" s="202" t="s">
        <v>114</v>
      </c>
      <c r="BE116" s="204">
        <f>BE117*BE66</f>
        <v>6793425</v>
      </c>
      <c r="BF116" s="202" t="s">
        <v>114</v>
      </c>
      <c r="BG116" s="204">
        <f>BG117*BG66</f>
        <v>6814249.9999999991</v>
      </c>
      <c r="BH116" s="202" t="s">
        <v>114</v>
      </c>
      <c r="BI116" s="204">
        <f>BI117*BI66</f>
        <v>6877950</v>
      </c>
      <c r="BJ116" s="202" t="s">
        <v>114</v>
      </c>
      <c r="BK116" s="204">
        <f>BK117*BK66</f>
        <v>6916800</v>
      </c>
      <c r="BL116" s="202" t="s">
        <v>114</v>
      </c>
      <c r="BM116" s="204">
        <f>BM117*BM66</f>
        <v>6912775</v>
      </c>
      <c r="BN116" s="202" t="s">
        <v>114</v>
      </c>
      <c r="BO116" s="204">
        <f>BO117*BO66</f>
        <v>6860800</v>
      </c>
      <c r="BP116" s="202" t="s">
        <v>114</v>
      </c>
      <c r="BQ116" s="204">
        <f>BQ117*BQ66</f>
        <v>6758600</v>
      </c>
      <c r="BR116" s="202" t="s">
        <v>114</v>
      </c>
      <c r="BS116" s="204">
        <f>BS117*BS66</f>
        <v>6775575.0000000009</v>
      </c>
      <c r="BV116" s="202" t="s">
        <v>114</v>
      </c>
      <c r="BW116" s="204">
        <f>BW117*BW66</f>
        <v>7052025</v>
      </c>
      <c r="BX116" s="202" t="s">
        <v>114</v>
      </c>
      <c r="BY116" s="204">
        <f t="shared" ref="BY116" si="113">BY117*BY66</f>
        <v>6779075</v>
      </c>
    </row>
    <row r="117" spans="1:77" s="65" customFormat="1" ht="18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1372.4114583333335</v>
      </c>
      <c r="H117" s="202" t="s">
        <v>114</v>
      </c>
      <c r="I117" s="204">
        <f>SUM(I118:I123)</f>
        <v>1373.2864583333335</v>
      </c>
      <c r="J117" s="202" t="s">
        <v>114</v>
      </c>
      <c r="K117" s="204">
        <f>SUM(K118:K123)</f>
        <v>1373.0677083333335</v>
      </c>
      <c r="L117" s="202" t="s">
        <v>114</v>
      </c>
      <c r="M117" s="204">
        <f>SUM(M118:M123)</f>
        <v>1373.796875</v>
      </c>
      <c r="N117" s="202" t="s">
        <v>114</v>
      </c>
      <c r="O117" s="204">
        <f>SUM(O118:O123)</f>
        <v>1382.9114583333335</v>
      </c>
      <c r="P117" s="202" t="s">
        <v>114</v>
      </c>
      <c r="Q117" s="204">
        <f>SUM(Q118:Q123)</f>
        <v>1384.953125</v>
      </c>
      <c r="R117" s="202" t="s">
        <v>114</v>
      </c>
      <c r="S117" s="204">
        <f>SUM(S118:S123)</f>
        <v>1396.109375</v>
      </c>
      <c r="T117" s="202" t="s">
        <v>114</v>
      </c>
      <c r="U117" s="204">
        <f>SUM(U118:U123)</f>
        <v>1391.515625</v>
      </c>
      <c r="V117" s="202" t="s">
        <v>114</v>
      </c>
      <c r="W117" s="204">
        <f>SUM(W118:W123)</f>
        <v>1398.2239583333335</v>
      </c>
      <c r="X117" s="202" t="s">
        <v>114</v>
      </c>
      <c r="Y117" s="204">
        <f>SUM(Y118:Y123)</f>
        <v>1412.1145833333335</v>
      </c>
      <c r="Z117" s="202" t="s">
        <v>114</v>
      </c>
      <c r="AA117" s="204">
        <f>SUM(AA118:AA123)</f>
        <v>1420.390625</v>
      </c>
      <c r="AB117" s="202" t="s">
        <v>114</v>
      </c>
      <c r="AC117" s="204">
        <f>SUM(AC118:AC123)</f>
        <v>1419.5885416666665</v>
      </c>
      <c r="AD117" s="202" t="s">
        <v>114</v>
      </c>
      <c r="AE117" s="204">
        <f>SUM(AE118:AE123)</f>
        <v>1408.9427083333335</v>
      </c>
      <c r="AF117" s="202" t="s">
        <v>114</v>
      </c>
      <c r="AG117" s="204">
        <f>SUM(AG118:AG123)</f>
        <v>1400.1927083333335</v>
      </c>
      <c r="AH117" s="202" t="s">
        <v>114</v>
      </c>
      <c r="AI117" s="204">
        <f>SUM(AI118:AI123)</f>
        <v>1406.9010416666665</v>
      </c>
      <c r="AJ117" s="202" t="s">
        <v>114</v>
      </c>
      <c r="AK117" s="204">
        <f>SUM(AK118:AK123)</f>
        <v>1391.6614583333335</v>
      </c>
      <c r="AL117" s="202" t="s">
        <v>114</v>
      </c>
      <c r="AM117" s="204">
        <f>SUM(AM118:AM123)</f>
        <v>1388.890625</v>
      </c>
      <c r="AN117" s="202" t="s">
        <v>114</v>
      </c>
      <c r="AO117" s="204">
        <f>SUM(AO118:AO123)</f>
        <v>1394.359375</v>
      </c>
      <c r="AP117" s="202" t="s">
        <v>114</v>
      </c>
      <c r="AQ117" s="204">
        <f>SUM(AQ118:AQ123)</f>
        <v>1397.75</v>
      </c>
      <c r="AR117" s="202" t="s">
        <v>114</v>
      </c>
      <c r="AS117" s="204">
        <f>SUM(AS118:AS123)</f>
        <v>1405.4791666666665</v>
      </c>
      <c r="AT117" s="202" t="s">
        <v>114</v>
      </c>
      <c r="AU117" s="204">
        <f>SUM(AU118:AU123)</f>
        <v>1405.4791666666665</v>
      </c>
      <c r="AV117" s="202" t="s">
        <v>114</v>
      </c>
      <c r="AW117" s="204">
        <f>SUM(AW118:AW123)</f>
        <v>1409.0885416666665</v>
      </c>
      <c r="AX117" s="202" t="s">
        <v>114</v>
      </c>
      <c r="AY117" s="204">
        <f>SUM(AY118:AY123)</f>
        <v>1422.8697916666665</v>
      </c>
      <c r="AZ117" s="202" t="s">
        <v>114</v>
      </c>
      <c r="BA117" s="204">
        <f>SUM(BA118:BA123)</f>
        <v>1421.9947916666665</v>
      </c>
      <c r="BB117" s="202" t="s">
        <v>114</v>
      </c>
      <c r="BC117" s="204">
        <f>SUM(BC118:BC123)</f>
        <v>1415.8333333333335</v>
      </c>
      <c r="BD117" s="202" t="s">
        <v>114</v>
      </c>
      <c r="BE117" s="204">
        <f>SUM(BE118:BE123)</f>
        <v>1470.1201038736203</v>
      </c>
      <c r="BF117" s="202" t="s">
        <v>114</v>
      </c>
      <c r="BG117" s="204">
        <f>SUM(BG118:BG123)</f>
        <v>1474.626704176585</v>
      </c>
      <c r="BH117" s="202" t="s">
        <v>114</v>
      </c>
      <c r="BI117" s="204">
        <f>SUM(BI118:BI123)</f>
        <v>1488.4115992209479</v>
      </c>
      <c r="BJ117" s="202" t="s">
        <v>114</v>
      </c>
      <c r="BK117" s="204">
        <f>SUM(BK118:BK123)</f>
        <v>1496.8188703743779</v>
      </c>
      <c r="BL117" s="202" t="s">
        <v>114</v>
      </c>
      <c r="BM117" s="204">
        <f>SUM(BM118:BM123)</f>
        <v>1495.9478467864099</v>
      </c>
      <c r="BN117" s="202" t="s">
        <v>114</v>
      </c>
      <c r="BO117" s="204">
        <f>SUM(BO118:BO123)</f>
        <v>1484.7002813243887</v>
      </c>
      <c r="BP117" s="202" t="s">
        <v>114</v>
      </c>
      <c r="BQ117" s="204">
        <f>SUM(BQ118:BQ123)</f>
        <v>1462.5838563081584</v>
      </c>
      <c r="BR117" s="202" t="s">
        <v>114</v>
      </c>
      <c r="BS117" s="204">
        <f>SUM(BS118:BS123)</f>
        <v>1466.2573036139365</v>
      </c>
      <c r="BV117" s="202" t="s">
        <v>114</v>
      </c>
      <c r="BW117" s="204">
        <f>SUM(BW118:BW123)</f>
        <v>1469.171875</v>
      </c>
      <c r="BX117" s="202" t="s">
        <v>114</v>
      </c>
      <c r="BY117" s="204">
        <f t="shared" ref="BY117" si="114">SUM(BY118:BY123)</f>
        <v>1467.0147154295607</v>
      </c>
    </row>
    <row r="118" spans="1:77" s="65" customFormat="1" ht="18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V118" s="202" t="s">
        <v>114</v>
      </c>
      <c r="BW118" s="204">
        <v>75</v>
      </c>
      <c r="BX118" s="202" t="s">
        <v>114</v>
      </c>
      <c r="BY118" s="204">
        <v>75</v>
      </c>
    </row>
    <row r="119" spans="1:77" s="65" customFormat="1" ht="18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404.16666666666669</v>
      </c>
      <c r="H119" s="202" t="s">
        <v>114</v>
      </c>
      <c r="I119" s="204">
        <f>1940000/I66</f>
        <v>404.16666666666669</v>
      </c>
      <c r="J119" s="202" t="s">
        <v>114</v>
      </c>
      <c r="K119" s="204">
        <f>1940000/K66</f>
        <v>404.16666666666669</v>
      </c>
      <c r="L119" s="202" t="s">
        <v>114</v>
      </c>
      <c r="M119" s="204">
        <f>1940000/M66</f>
        <v>404.16666666666669</v>
      </c>
      <c r="N119" s="202" t="s">
        <v>114</v>
      </c>
      <c r="O119" s="204">
        <f>1940000/O66</f>
        <v>404.16666666666669</v>
      </c>
      <c r="P119" s="202" t="s">
        <v>114</v>
      </c>
      <c r="Q119" s="204">
        <f>1940000/Q66</f>
        <v>404.16666666666669</v>
      </c>
      <c r="R119" s="202" t="s">
        <v>114</v>
      </c>
      <c r="S119" s="204">
        <f>1940000/S66</f>
        <v>404.16666666666669</v>
      </c>
      <c r="T119" s="202" t="s">
        <v>114</v>
      </c>
      <c r="U119" s="204">
        <f>1940000/U66</f>
        <v>404.16666666666669</v>
      </c>
      <c r="V119" s="202" t="s">
        <v>114</v>
      </c>
      <c r="W119" s="204">
        <f>1940000/W66</f>
        <v>404.16666666666669</v>
      </c>
      <c r="X119" s="202" t="s">
        <v>114</v>
      </c>
      <c r="Y119" s="204">
        <f>1940000/Y66</f>
        <v>404.16666666666669</v>
      </c>
      <c r="Z119" s="202" t="s">
        <v>114</v>
      </c>
      <c r="AA119" s="204">
        <f>1940000/AA66</f>
        <v>404.16666666666669</v>
      </c>
      <c r="AB119" s="202" t="s">
        <v>114</v>
      </c>
      <c r="AC119" s="204">
        <f>1940000/AC66</f>
        <v>404.16666666666669</v>
      </c>
      <c r="AD119" s="202" t="s">
        <v>114</v>
      </c>
      <c r="AE119" s="204">
        <f>1940000/AE66</f>
        <v>404.16666666666669</v>
      </c>
      <c r="AF119" s="202" t="s">
        <v>114</v>
      </c>
      <c r="AG119" s="204">
        <f>1940000/AG66</f>
        <v>404.16666666666669</v>
      </c>
      <c r="AH119" s="202" t="s">
        <v>114</v>
      </c>
      <c r="AI119" s="204">
        <f>1940000/AI66</f>
        <v>404.16666666666669</v>
      </c>
      <c r="AJ119" s="202" t="s">
        <v>114</v>
      </c>
      <c r="AK119" s="204">
        <f>1940000/AK66</f>
        <v>404.16666666666669</v>
      </c>
      <c r="AL119" s="202" t="s">
        <v>114</v>
      </c>
      <c r="AM119" s="204">
        <f>1940000/AM66</f>
        <v>404.16666666666669</v>
      </c>
      <c r="AN119" s="202" t="s">
        <v>114</v>
      </c>
      <c r="AO119" s="204">
        <f>1940000/AO66</f>
        <v>404.16666666666669</v>
      </c>
      <c r="AP119" s="202" t="s">
        <v>114</v>
      </c>
      <c r="AQ119" s="204">
        <f>1940000/AQ66</f>
        <v>404.16666666666669</v>
      </c>
      <c r="AR119" s="202" t="s">
        <v>114</v>
      </c>
      <c r="AS119" s="204">
        <f>1940000/AS66</f>
        <v>404.16666666666669</v>
      </c>
      <c r="AT119" s="202" t="s">
        <v>114</v>
      </c>
      <c r="AU119" s="204">
        <f>1940000/AU66</f>
        <v>404.16666666666669</v>
      </c>
      <c r="AV119" s="202" t="s">
        <v>114</v>
      </c>
      <c r="AW119" s="204">
        <f>1940000/AW66</f>
        <v>404.16666666666669</v>
      </c>
      <c r="AX119" s="202" t="s">
        <v>114</v>
      </c>
      <c r="AY119" s="204">
        <f>1940000/AY66</f>
        <v>404.16666666666669</v>
      </c>
      <c r="AZ119" s="202" t="s">
        <v>114</v>
      </c>
      <c r="BA119" s="204">
        <f>1940000/BA66</f>
        <v>404.16666666666669</v>
      </c>
      <c r="BB119" s="202" t="s">
        <v>114</v>
      </c>
      <c r="BC119" s="204">
        <f>1940000/BC66</f>
        <v>404.16666666666669</v>
      </c>
      <c r="BD119" s="202" t="s">
        <v>114</v>
      </c>
      <c r="BE119" s="204">
        <f>1940000/BE66</f>
        <v>419.82254923176799</v>
      </c>
      <c r="BF119" s="202" t="s">
        <v>114</v>
      </c>
      <c r="BG119" s="204">
        <f>1940000/BG66</f>
        <v>419.82254923176799</v>
      </c>
      <c r="BH119" s="202" t="s">
        <v>114</v>
      </c>
      <c r="BI119" s="204">
        <f>1940000/BI66</f>
        <v>419.82254923176799</v>
      </c>
      <c r="BJ119" s="202" t="s">
        <v>114</v>
      </c>
      <c r="BK119" s="204">
        <f>1940000/BK66</f>
        <v>419.82254923176799</v>
      </c>
      <c r="BL119" s="202" t="s">
        <v>114</v>
      </c>
      <c r="BM119" s="204">
        <f>1940000/BM66</f>
        <v>419.82254923176799</v>
      </c>
      <c r="BN119" s="202" t="s">
        <v>114</v>
      </c>
      <c r="BO119" s="204">
        <f>1940000/BO66</f>
        <v>419.82254923176799</v>
      </c>
      <c r="BP119" s="202" t="s">
        <v>114</v>
      </c>
      <c r="BQ119" s="204">
        <f>1940000/BQ66</f>
        <v>419.82254923176799</v>
      </c>
      <c r="BR119" s="202" t="s">
        <v>114</v>
      </c>
      <c r="BS119" s="204">
        <f>1940000/BS66</f>
        <v>419.82254923176799</v>
      </c>
      <c r="BV119" s="202" t="s">
        <v>114</v>
      </c>
      <c r="BW119" s="204">
        <f>2150000/BW66</f>
        <v>447.91666666666669</v>
      </c>
      <c r="BX119" s="202" t="s">
        <v>114</v>
      </c>
      <c r="BY119" s="204">
        <f t="shared" ref="BY119" si="115">1940000/BY66</f>
        <v>419.82254923176799</v>
      </c>
    </row>
    <row r="120" spans="1:77" s="65" customFormat="1" ht="18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57.291666666666664</v>
      </c>
      <c r="H120" s="202" t="s">
        <v>114</v>
      </c>
      <c r="I120" s="204">
        <f>275000/I66</f>
        <v>57.291666666666664</v>
      </c>
      <c r="J120" s="202" t="s">
        <v>114</v>
      </c>
      <c r="K120" s="204">
        <f>275000/K66</f>
        <v>57.291666666666664</v>
      </c>
      <c r="L120" s="202" t="s">
        <v>114</v>
      </c>
      <c r="M120" s="204">
        <f>275000/M66</f>
        <v>57.291666666666664</v>
      </c>
      <c r="N120" s="202" t="s">
        <v>114</v>
      </c>
      <c r="O120" s="204">
        <f>275000/O66</f>
        <v>57.291666666666664</v>
      </c>
      <c r="P120" s="202" t="s">
        <v>114</v>
      </c>
      <c r="Q120" s="204">
        <f>275000/Q66</f>
        <v>57.291666666666664</v>
      </c>
      <c r="R120" s="202" t="s">
        <v>114</v>
      </c>
      <c r="S120" s="204">
        <f>275000/S66</f>
        <v>57.291666666666664</v>
      </c>
      <c r="T120" s="202" t="s">
        <v>114</v>
      </c>
      <c r="U120" s="204">
        <f>275000/U66</f>
        <v>57.291666666666664</v>
      </c>
      <c r="V120" s="202" t="s">
        <v>114</v>
      </c>
      <c r="W120" s="204">
        <f>275000/W66</f>
        <v>57.291666666666664</v>
      </c>
      <c r="X120" s="202" t="s">
        <v>114</v>
      </c>
      <c r="Y120" s="204">
        <f>275000/Y66</f>
        <v>57.291666666666664</v>
      </c>
      <c r="Z120" s="202" t="s">
        <v>114</v>
      </c>
      <c r="AA120" s="204">
        <f>275000/AA66</f>
        <v>57.291666666666664</v>
      </c>
      <c r="AB120" s="202" t="s">
        <v>114</v>
      </c>
      <c r="AC120" s="204">
        <f>275000/AC66</f>
        <v>57.291666666666664</v>
      </c>
      <c r="AD120" s="202" t="s">
        <v>114</v>
      </c>
      <c r="AE120" s="204">
        <f>275000/AE66</f>
        <v>57.291666666666664</v>
      </c>
      <c r="AF120" s="202" t="s">
        <v>114</v>
      </c>
      <c r="AG120" s="204">
        <f>275000/AG66</f>
        <v>57.291666666666664</v>
      </c>
      <c r="AH120" s="202" t="s">
        <v>114</v>
      </c>
      <c r="AI120" s="204">
        <f>275000/AI66</f>
        <v>57.291666666666664</v>
      </c>
      <c r="AJ120" s="202" t="s">
        <v>114</v>
      </c>
      <c r="AK120" s="204">
        <f>275000/AK66</f>
        <v>57.291666666666664</v>
      </c>
      <c r="AL120" s="202" t="s">
        <v>114</v>
      </c>
      <c r="AM120" s="204">
        <f>275000/AM66</f>
        <v>57.291666666666664</v>
      </c>
      <c r="AN120" s="202" t="s">
        <v>114</v>
      </c>
      <c r="AO120" s="204">
        <f>275000/AO66</f>
        <v>57.291666666666664</v>
      </c>
      <c r="AP120" s="202" t="s">
        <v>114</v>
      </c>
      <c r="AQ120" s="204">
        <f>275000/AQ66</f>
        <v>57.291666666666664</v>
      </c>
      <c r="AR120" s="202" t="s">
        <v>114</v>
      </c>
      <c r="AS120" s="204">
        <f>275000/AS66</f>
        <v>57.291666666666664</v>
      </c>
      <c r="AT120" s="202" t="s">
        <v>114</v>
      </c>
      <c r="AU120" s="204">
        <f>275000/AU66</f>
        <v>57.291666666666664</v>
      </c>
      <c r="AV120" s="202" t="s">
        <v>114</v>
      </c>
      <c r="AW120" s="204">
        <f>275000/AW66</f>
        <v>57.291666666666664</v>
      </c>
      <c r="AX120" s="202" t="s">
        <v>114</v>
      </c>
      <c r="AY120" s="204">
        <f>275000/AY66</f>
        <v>57.291666666666664</v>
      </c>
      <c r="AZ120" s="202" t="s">
        <v>114</v>
      </c>
      <c r="BA120" s="204">
        <f>275000/BA66</f>
        <v>57.291666666666664</v>
      </c>
      <c r="BB120" s="202" t="s">
        <v>114</v>
      </c>
      <c r="BC120" s="204">
        <f>275000/BC66</f>
        <v>57.291666666666664</v>
      </c>
      <c r="BD120" s="202" t="s">
        <v>114</v>
      </c>
      <c r="BE120" s="204">
        <f>275000/BE66</f>
        <v>59.510928370482581</v>
      </c>
      <c r="BF120" s="202" t="s">
        <v>114</v>
      </c>
      <c r="BG120" s="204">
        <f>275000/BG66</f>
        <v>59.510928370482581</v>
      </c>
      <c r="BH120" s="202" t="s">
        <v>114</v>
      </c>
      <c r="BI120" s="204">
        <f>275000/BI66</f>
        <v>59.510928370482581</v>
      </c>
      <c r="BJ120" s="202" t="s">
        <v>114</v>
      </c>
      <c r="BK120" s="204">
        <f>275000/BK66</f>
        <v>59.510928370482581</v>
      </c>
      <c r="BL120" s="202" t="s">
        <v>114</v>
      </c>
      <c r="BM120" s="204">
        <f>275000/BM66</f>
        <v>59.510928370482581</v>
      </c>
      <c r="BN120" s="202" t="s">
        <v>114</v>
      </c>
      <c r="BO120" s="204">
        <f>275000/BO66</f>
        <v>59.510928370482581</v>
      </c>
      <c r="BP120" s="202" t="s">
        <v>114</v>
      </c>
      <c r="BQ120" s="204">
        <f>275000/BQ66</f>
        <v>59.510928370482581</v>
      </c>
      <c r="BR120" s="202" t="s">
        <v>114</v>
      </c>
      <c r="BS120" s="204">
        <f>275000/BS66</f>
        <v>59.510928370482581</v>
      </c>
      <c r="BV120" s="202" t="s">
        <v>114</v>
      </c>
      <c r="BW120" s="204">
        <f>300000/BW66</f>
        <v>62.5</v>
      </c>
      <c r="BX120" s="202" t="s">
        <v>114</v>
      </c>
      <c r="BY120" s="204">
        <f t="shared" ref="BY120" si="116">275000/BY66</f>
        <v>59.510928370482581</v>
      </c>
    </row>
    <row r="121" spans="1:77" s="65" customFormat="1" ht="18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266.66666666666669</v>
      </c>
      <c r="H121" s="202" t="s">
        <v>114</v>
      </c>
      <c r="I121" s="204">
        <f>1280000/I66</f>
        <v>266.66666666666669</v>
      </c>
      <c r="J121" s="202" t="s">
        <v>114</v>
      </c>
      <c r="K121" s="204">
        <f>1280000/K66</f>
        <v>266.66666666666669</v>
      </c>
      <c r="L121" s="202" t="s">
        <v>114</v>
      </c>
      <c r="M121" s="204">
        <f>1280000/M66</f>
        <v>266.66666666666669</v>
      </c>
      <c r="N121" s="202" t="s">
        <v>114</v>
      </c>
      <c r="O121" s="204">
        <f>1280000/O66</f>
        <v>266.66666666666669</v>
      </c>
      <c r="P121" s="202" t="s">
        <v>114</v>
      </c>
      <c r="Q121" s="204">
        <f>1280000/Q66</f>
        <v>266.66666666666669</v>
      </c>
      <c r="R121" s="202" t="s">
        <v>114</v>
      </c>
      <c r="S121" s="204">
        <f>1280000/S66</f>
        <v>266.66666666666669</v>
      </c>
      <c r="T121" s="202" t="s">
        <v>114</v>
      </c>
      <c r="U121" s="204">
        <f>1280000/U66</f>
        <v>266.66666666666669</v>
      </c>
      <c r="V121" s="202" t="s">
        <v>114</v>
      </c>
      <c r="W121" s="204">
        <f>1280000/W66</f>
        <v>266.66666666666669</v>
      </c>
      <c r="X121" s="202" t="s">
        <v>114</v>
      </c>
      <c r="Y121" s="204">
        <f>1280000/Y66</f>
        <v>266.66666666666669</v>
      </c>
      <c r="Z121" s="202" t="s">
        <v>114</v>
      </c>
      <c r="AA121" s="204">
        <f>1280000/AA66</f>
        <v>266.66666666666669</v>
      </c>
      <c r="AB121" s="202" t="s">
        <v>114</v>
      </c>
      <c r="AC121" s="204">
        <f>1280000/AC66</f>
        <v>266.66666666666669</v>
      </c>
      <c r="AD121" s="202" t="s">
        <v>114</v>
      </c>
      <c r="AE121" s="204">
        <f>1280000/AE66</f>
        <v>266.66666666666669</v>
      </c>
      <c r="AF121" s="202" t="s">
        <v>114</v>
      </c>
      <c r="AG121" s="204">
        <f>1280000/AG66</f>
        <v>266.66666666666669</v>
      </c>
      <c r="AH121" s="202" t="s">
        <v>114</v>
      </c>
      <c r="AI121" s="204">
        <f>1280000/AI66</f>
        <v>266.66666666666669</v>
      </c>
      <c r="AJ121" s="202" t="s">
        <v>114</v>
      </c>
      <c r="AK121" s="204">
        <f>1280000/AK66</f>
        <v>266.66666666666669</v>
      </c>
      <c r="AL121" s="202" t="s">
        <v>114</v>
      </c>
      <c r="AM121" s="204">
        <f>1280000/AM66</f>
        <v>266.66666666666669</v>
      </c>
      <c r="AN121" s="202" t="s">
        <v>114</v>
      </c>
      <c r="AO121" s="204">
        <f>1280000/AO66</f>
        <v>266.66666666666669</v>
      </c>
      <c r="AP121" s="202" t="s">
        <v>114</v>
      </c>
      <c r="AQ121" s="204">
        <f>1280000/AQ66</f>
        <v>266.66666666666669</v>
      </c>
      <c r="AR121" s="202" t="s">
        <v>114</v>
      </c>
      <c r="AS121" s="204">
        <f>1280000/AS66</f>
        <v>266.66666666666669</v>
      </c>
      <c r="AT121" s="202" t="s">
        <v>114</v>
      </c>
      <c r="AU121" s="204">
        <f>1280000/AU66</f>
        <v>266.66666666666669</v>
      </c>
      <c r="AV121" s="202" t="s">
        <v>114</v>
      </c>
      <c r="AW121" s="204">
        <f>1280000/AW66</f>
        <v>266.66666666666669</v>
      </c>
      <c r="AX121" s="202" t="s">
        <v>114</v>
      </c>
      <c r="AY121" s="204">
        <f>1280000/AY66</f>
        <v>266.66666666666669</v>
      </c>
      <c r="AZ121" s="202" t="s">
        <v>114</v>
      </c>
      <c r="BA121" s="204">
        <f>1280000/BA66</f>
        <v>266.66666666666669</v>
      </c>
      <c r="BB121" s="202" t="s">
        <v>114</v>
      </c>
      <c r="BC121" s="204">
        <f>1280000/BC66</f>
        <v>266.66666666666669</v>
      </c>
      <c r="BD121" s="202" t="s">
        <v>114</v>
      </c>
      <c r="BE121" s="204">
        <f>1280000/BE66</f>
        <v>276.99632114260982</v>
      </c>
      <c r="BF121" s="202" t="s">
        <v>114</v>
      </c>
      <c r="BG121" s="204">
        <f>1280000/BG66</f>
        <v>276.99632114260982</v>
      </c>
      <c r="BH121" s="202" t="s">
        <v>114</v>
      </c>
      <c r="BI121" s="204">
        <f>1280000/BI66</f>
        <v>276.99632114260982</v>
      </c>
      <c r="BJ121" s="202" t="s">
        <v>114</v>
      </c>
      <c r="BK121" s="204">
        <f>1280000/BK66</f>
        <v>276.99632114260982</v>
      </c>
      <c r="BL121" s="202" t="s">
        <v>114</v>
      </c>
      <c r="BM121" s="204">
        <f>1280000/BM66</f>
        <v>276.99632114260982</v>
      </c>
      <c r="BN121" s="202" t="s">
        <v>114</v>
      </c>
      <c r="BO121" s="204">
        <f>1280000/BO66</f>
        <v>276.99632114260982</v>
      </c>
      <c r="BP121" s="202" t="s">
        <v>114</v>
      </c>
      <c r="BQ121" s="204">
        <f>1280000/BQ66</f>
        <v>276.99632114260982</v>
      </c>
      <c r="BR121" s="202" t="s">
        <v>114</v>
      </c>
      <c r="BS121" s="204">
        <f>1280000/BS66</f>
        <v>276.99632114260982</v>
      </c>
      <c r="BV121" s="202" t="s">
        <v>114</v>
      </c>
      <c r="BW121" s="204">
        <f t="shared" ref="BW121" si="117">1280000/BW66</f>
        <v>266.66666666666669</v>
      </c>
      <c r="BX121" s="202" t="s">
        <v>114</v>
      </c>
      <c r="BY121" s="204">
        <f t="shared" ref="BY121" si="118">1280000/BY66</f>
        <v>276.99632114260982</v>
      </c>
    </row>
    <row r="122" spans="1:77" s="65" customFormat="1" ht="18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46.875</v>
      </c>
      <c r="H122" s="202" t="s">
        <v>114</v>
      </c>
      <c r="I122" s="204">
        <f>225000/I66</f>
        <v>46.875</v>
      </c>
      <c r="J122" s="202" t="s">
        <v>114</v>
      </c>
      <c r="K122" s="204">
        <f>225000/K66</f>
        <v>46.875</v>
      </c>
      <c r="L122" s="202" t="s">
        <v>114</v>
      </c>
      <c r="M122" s="204">
        <f>225000/M66</f>
        <v>46.875</v>
      </c>
      <c r="N122" s="202" t="s">
        <v>114</v>
      </c>
      <c r="O122" s="204">
        <f>225000/O66</f>
        <v>46.875</v>
      </c>
      <c r="P122" s="202" t="s">
        <v>114</v>
      </c>
      <c r="Q122" s="204">
        <f>225000/Q66</f>
        <v>46.875</v>
      </c>
      <c r="R122" s="202" t="s">
        <v>114</v>
      </c>
      <c r="S122" s="204">
        <f>225000/S66</f>
        <v>46.875</v>
      </c>
      <c r="T122" s="202" t="s">
        <v>114</v>
      </c>
      <c r="U122" s="204">
        <f>225000/U66</f>
        <v>46.875</v>
      </c>
      <c r="V122" s="202" t="s">
        <v>114</v>
      </c>
      <c r="W122" s="204">
        <f>225000/W66</f>
        <v>46.875</v>
      </c>
      <c r="X122" s="202" t="s">
        <v>114</v>
      </c>
      <c r="Y122" s="204">
        <f>225000/Y66</f>
        <v>46.875</v>
      </c>
      <c r="Z122" s="202" t="s">
        <v>114</v>
      </c>
      <c r="AA122" s="204">
        <f>225000/AA66</f>
        <v>46.875</v>
      </c>
      <c r="AB122" s="202" t="s">
        <v>114</v>
      </c>
      <c r="AC122" s="204">
        <f>225000/AC66</f>
        <v>46.875</v>
      </c>
      <c r="AD122" s="202" t="s">
        <v>114</v>
      </c>
      <c r="AE122" s="204">
        <f>225000/AE66</f>
        <v>46.875</v>
      </c>
      <c r="AF122" s="202" t="s">
        <v>114</v>
      </c>
      <c r="AG122" s="204">
        <f>225000/AG66</f>
        <v>46.875</v>
      </c>
      <c r="AH122" s="202" t="s">
        <v>114</v>
      </c>
      <c r="AI122" s="204">
        <f>225000/AI66</f>
        <v>46.875</v>
      </c>
      <c r="AJ122" s="202" t="s">
        <v>114</v>
      </c>
      <c r="AK122" s="204">
        <f>225000/AK66</f>
        <v>46.875</v>
      </c>
      <c r="AL122" s="202" t="s">
        <v>114</v>
      </c>
      <c r="AM122" s="204">
        <f>225000/AM66</f>
        <v>46.875</v>
      </c>
      <c r="AN122" s="202" t="s">
        <v>114</v>
      </c>
      <c r="AO122" s="204">
        <f>225000/AO66</f>
        <v>46.875</v>
      </c>
      <c r="AP122" s="202" t="s">
        <v>114</v>
      </c>
      <c r="AQ122" s="204">
        <f>225000/AQ66</f>
        <v>46.875</v>
      </c>
      <c r="AR122" s="202" t="s">
        <v>114</v>
      </c>
      <c r="AS122" s="204">
        <f>225000/AS66</f>
        <v>46.875</v>
      </c>
      <c r="AT122" s="202" t="s">
        <v>114</v>
      </c>
      <c r="AU122" s="204">
        <f>225000/AU66</f>
        <v>46.875</v>
      </c>
      <c r="AV122" s="202" t="s">
        <v>114</v>
      </c>
      <c r="AW122" s="204">
        <f>225000/AW66</f>
        <v>46.875</v>
      </c>
      <c r="AX122" s="202" t="s">
        <v>114</v>
      </c>
      <c r="AY122" s="204">
        <f>225000/AY66</f>
        <v>46.875</v>
      </c>
      <c r="AZ122" s="202" t="s">
        <v>114</v>
      </c>
      <c r="BA122" s="204">
        <f>225000/BA66</f>
        <v>46.875</v>
      </c>
      <c r="BB122" s="202" t="s">
        <v>114</v>
      </c>
      <c r="BC122" s="204">
        <f>225000/BC66</f>
        <v>46.875</v>
      </c>
      <c r="BD122" s="202" t="s">
        <v>114</v>
      </c>
      <c r="BE122" s="204">
        <f>225000/BE66</f>
        <v>48.690759575849384</v>
      </c>
      <c r="BF122" s="202" t="s">
        <v>114</v>
      </c>
      <c r="BG122" s="204">
        <f>225000/BG66</f>
        <v>48.690759575849384</v>
      </c>
      <c r="BH122" s="202" t="s">
        <v>114</v>
      </c>
      <c r="BI122" s="204">
        <f>225000/BI66</f>
        <v>48.690759575849384</v>
      </c>
      <c r="BJ122" s="202" t="s">
        <v>114</v>
      </c>
      <c r="BK122" s="204">
        <f>225000/BK66</f>
        <v>48.690759575849384</v>
      </c>
      <c r="BL122" s="202" t="s">
        <v>114</v>
      </c>
      <c r="BM122" s="204">
        <f>225000/BM66</f>
        <v>48.690759575849384</v>
      </c>
      <c r="BN122" s="202" t="s">
        <v>114</v>
      </c>
      <c r="BO122" s="204">
        <f>225000/BO66</f>
        <v>48.690759575849384</v>
      </c>
      <c r="BP122" s="202" t="s">
        <v>114</v>
      </c>
      <c r="BQ122" s="204">
        <f>225000/BQ66</f>
        <v>48.690759575849384</v>
      </c>
      <c r="BR122" s="202" t="s">
        <v>114</v>
      </c>
      <c r="BS122" s="204">
        <f>225000/BS66</f>
        <v>48.690759575849384</v>
      </c>
      <c r="BV122" s="202" t="s">
        <v>114</v>
      </c>
      <c r="BW122" s="204">
        <f>(225000+45000)/BW66</f>
        <v>56.25</v>
      </c>
      <c r="BX122" s="202" t="s">
        <v>114</v>
      </c>
      <c r="BY122" s="204">
        <f t="shared" ref="BY122" si="119">225000/BY66</f>
        <v>48.690759575849384</v>
      </c>
    </row>
    <row r="123" spans="1:77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522.41145833333337</v>
      </c>
      <c r="H123" s="208" t="s">
        <v>114</v>
      </c>
      <c r="I123" s="209">
        <f>(175*I79)/I66</f>
        <v>523.28645833333337</v>
      </c>
      <c r="J123" s="208" t="s">
        <v>114</v>
      </c>
      <c r="K123" s="209">
        <f>(175*K79)/K66</f>
        <v>523.06770833333337</v>
      </c>
      <c r="L123" s="208" t="s">
        <v>114</v>
      </c>
      <c r="M123" s="209">
        <f>(175*M79)/M66</f>
        <v>523.796875</v>
      </c>
      <c r="N123" s="208" t="s">
        <v>114</v>
      </c>
      <c r="O123" s="209">
        <f>(175*O79)/O66</f>
        <v>532.91145833333337</v>
      </c>
      <c r="P123" s="208" t="s">
        <v>114</v>
      </c>
      <c r="Q123" s="209">
        <f>(175*Q79)/Q66</f>
        <v>534.953125</v>
      </c>
      <c r="R123" s="208" t="s">
        <v>114</v>
      </c>
      <c r="S123" s="209">
        <f>(175*S79)/S66</f>
        <v>546.109375</v>
      </c>
      <c r="T123" s="208" t="s">
        <v>114</v>
      </c>
      <c r="U123" s="209">
        <f>(175*U79)/U66</f>
        <v>541.515625</v>
      </c>
      <c r="V123" s="208" t="s">
        <v>114</v>
      </c>
      <c r="W123" s="209">
        <f>(175*W79)/W66</f>
        <v>548.22395833333337</v>
      </c>
      <c r="X123" s="208" t="s">
        <v>114</v>
      </c>
      <c r="Y123" s="209">
        <f>(175*Y79)/Y66</f>
        <v>562.11458333333337</v>
      </c>
      <c r="Z123" s="208" t="s">
        <v>114</v>
      </c>
      <c r="AA123" s="209">
        <f>(175*AA79)/AA66</f>
        <v>570.390625</v>
      </c>
      <c r="AB123" s="208" t="s">
        <v>114</v>
      </c>
      <c r="AC123" s="209">
        <f>(175*AC79)/AC66</f>
        <v>569.58854166666663</v>
      </c>
      <c r="AD123" s="208" t="s">
        <v>114</v>
      </c>
      <c r="AE123" s="209">
        <f>(175*AE79)/AE66</f>
        <v>558.94270833333337</v>
      </c>
      <c r="AF123" s="208" t="s">
        <v>114</v>
      </c>
      <c r="AG123" s="209">
        <f>(175*AG79)/AG66</f>
        <v>550.19270833333337</v>
      </c>
      <c r="AH123" s="208" t="s">
        <v>114</v>
      </c>
      <c r="AI123" s="209">
        <f>(175*AI79)/AI66</f>
        <v>556.90104166666663</v>
      </c>
      <c r="AJ123" s="208" t="s">
        <v>114</v>
      </c>
      <c r="AK123" s="209">
        <f>(175*AK79)/AK66</f>
        <v>541.66145833333337</v>
      </c>
      <c r="AL123" s="208" t="s">
        <v>114</v>
      </c>
      <c r="AM123" s="209">
        <f>(175*AM79)/AM66</f>
        <v>538.890625</v>
      </c>
      <c r="AN123" s="208" t="s">
        <v>114</v>
      </c>
      <c r="AO123" s="209">
        <f>(175*AO79)/AO66</f>
        <v>544.359375</v>
      </c>
      <c r="AP123" s="208" t="s">
        <v>114</v>
      </c>
      <c r="AQ123" s="209">
        <f>(175*AQ79)/AQ66</f>
        <v>547.75</v>
      </c>
      <c r="AR123" s="208" t="s">
        <v>114</v>
      </c>
      <c r="AS123" s="209">
        <f>(175*AS79)/AS66</f>
        <v>555.47916666666663</v>
      </c>
      <c r="AT123" s="208" t="s">
        <v>114</v>
      </c>
      <c r="AU123" s="209">
        <f>(175*AU79)/AU66</f>
        <v>555.47916666666663</v>
      </c>
      <c r="AV123" s="208" t="s">
        <v>114</v>
      </c>
      <c r="AW123" s="209">
        <f>(175*AW79)/AW66</f>
        <v>559.08854166666663</v>
      </c>
      <c r="AX123" s="208" t="s">
        <v>114</v>
      </c>
      <c r="AY123" s="209">
        <f>(175*AY79)/AY66</f>
        <v>572.86979166666663</v>
      </c>
      <c r="AZ123" s="208" t="s">
        <v>114</v>
      </c>
      <c r="BA123" s="209">
        <f>(175*BA79)/BA66</f>
        <v>571.99479166666663</v>
      </c>
      <c r="BB123" s="208" t="s">
        <v>114</v>
      </c>
      <c r="BC123" s="209">
        <f>(175*BC79)/BC66</f>
        <v>565.83333333333337</v>
      </c>
      <c r="BD123" s="208" t="s">
        <v>114</v>
      </c>
      <c r="BE123" s="209">
        <f>(175*BE79)/BE66</f>
        <v>590.09954555291063</v>
      </c>
      <c r="BF123" s="208" t="s">
        <v>114</v>
      </c>
      <c r="BG123" s="209">
        <f>(175*BG79)/BG66</f>
        <v>594.6061458558753</v>
      </c>
      <c r="BH123" s="208" t="s">
        <v>114</v>
      </c>
      <c r="BI123" s="209">
        <f>(175*BI79)/BI66</f>
        <v>608.39104090023807</v>
      </c>
      <c r="BJ123" s="208" t="s">
        <v>114</v>
      </c>
      <c r="BK123" s="209">
        <f>(175*BK79)/BK66</f>
        <v>616.79831205366804</v>
      </c>
      <c r="BL123" s="208" t="s">
        <v>114</v>
      </c>
      <c r="BM123" s="209">
        <f>(175*BM79)/BM66</f>
        <v>615.92728846570003</v>
      </c>
      <c r="BN123" s="208" t="s">
        <v>114</v>
      </c>
      <c r="BO123" s="209">
        <f>(175*BO79)/BO66</f>
        <v>604.67972300367887</v>
      </c>
      <c r="BP123" s="208" t="s">
        <v>114</v>
      </c>
      <c r="BQ123" s="209">
        <f>(175*BQ79)/BQ66</f>
        <v>582.56329798744855</v>
      </c>
      <c r="BR123" s="208" t="s">
        <v>114</v>
      </c>
      <c r="BS123" s="209">
        <f>(175*BS79)/BS66</f>
        <v>586.23674529322659</v>
      </c>
      <c r="BV123" s="208" t="s">
        <v>114</v>
      </c>
      <c r="BW123" s="209">
        <f t="shared" ref="BW123" si="120">(175*BW79)/BW66</f>
        <v>560.83854166666663</v>
      </c>
      <c r="BX123" s="208" t="s">
        <v>114</v>
      </c>
      <c r="BY123" s="209">
        <f t="shared" ref="BY123" si="121">(175*BY79)/BY66</f>
        <v>586.99415710885091</v>
      </c>
    </row>
    <row r="124" spans="1:77" ht="15" customHeight="1" outlineLevel="2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164"/>
      <c r="O124" s="165"/>
      <c r="P124" s="164"/>
      <c r="Q124" s="165"/>
      <c r="R124" s="164"/>
      <c r="S124" s="165"/>
      <c r="T124" s="164"/>
      <c r="U124" s="165"/>
      <c r="V124" s="164"/>
      <c r="W124" s="165"/>
      <c r="X124" s="164"/>
      <c r="Y124" s="165"/>
      <c r="Z124" s="164"/>
      <c r="AA124" s="165"/>
      <c r="AB124" s="164"/>
      <c r="AC124" s="165"/>
      <c r="AD124" s="164"/>
      <c r="AE124" s="165"/>
      <c r="AF124" s="164"/>
      <c r="AG124" s="165"/>
      <c r="AH124" s="164"/>
      <c r="AI124" s="165"/>
      <c r="AJ124" s="164"/>
      <c r="AK124" s="165"/>
      <c r="AL124" s="164"/>
      <c r="AM124" s="165"/>
      <c r="AN124" s="164"/>
      <c r="AO124" s="165"/>
      <c r="AP124" s="164"/>
      <c r="AQ124" s="165"/>
      <c r="AR124" s="164"/>
      <c r="AS124" s="165"/>
      <c r="AT124" s="164"/>
      <c r="AU124" s="165"/>
      <c r="AV124" s="164"/>
      <c r="AW124" s="165"/>
      <c r="AX124" s="164"/>
      <c r="AY124" s="165"/>
      <c r="AZ124" s="164"/>
      <c r="BA124" s="165"/>
      <c r="BB124" s="164"/>
      <c r="BC124" s="165"/>
      <c r="BD124" s="164"/>
      <c r="BE124" s="165"/>
      <c r="BF124" s="164"/>
      <c r="BG124" s="165"/>
      <c r="BH124" s="164"/>
      <c r="BI124" s="165"/>
      <c r="BJ124" s="164"/>
      <c r="BK124" s="165"/>
      <c r="BL124" s="164"/>
      <c r="BM124" s="165"/>
      <c r="BN124" s="164"/>
      <c r="BO124" s="165"/>
      <c r="BP124" s="164"/>
      <c r="BQ124" s="165"/>
      <c r="BR124" s="164"/>
      <c r="BS124" s="165"/>
      <c r="BV124" s="164"/>
      <c r="BW124" s="165"/>
      <c r="BX124" s="164"/>
      <c r="BY124" s="165"/>
    </row>
    <row r="125" spans="1:77" ht="15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291156</v>
      </c>
      <c r="H125" s="214"/>
      <c r="I125" s="215">
        <v>291156</v>
      </c>
      <c r="J125" s="214"/>
      <c r="K125" s="215">
        <v>291156</v>
      </c>
      <c r="L125" s="214"/>
      <c r="M125" s="215">
        <v>291156</v>
      </c>
      <c r="N125" s="214"/>
      <c r="O125" s="215">
        <v>291156</v>
      </c>
      <c r="P125" s="214"/>
      <c r="Q125" s="215">
        <v>291156</v>
      </c>
      <c r="R125" s="214"/>
      <c r="S125" s="215">
        <v>291156</v>
      </c>
      <c r="T125" s="214"/>
      <c r="U125" s="215">
        <v>291156</v>
      </c>
      <c r="V125" s="214"/>
      <c r="W125" s="215">
        <v>291156</v>
      </c>
      <c r="X125" s="214"/>
      <c r="Y125" s="215">
        <v>291156</v>
      </c>
      <c r="Z125" s="214"/>
      <c r="AA125" s="215">
        <v>291156</v>
      </c>
      <c r="AB125" s="214"/>
      <c r="AC125" s="215">
        <v>291156</v>
      </c>
      <c r="AD125" s="214"/>
      <c r="AE125" s="215">
        <v>291156</v>
      </c>
      <c r="AF125" s="214"/>
      <c r="AG125" s="215">
        <v>291156</v>
      </c>
      <c r="AH125" s="214"/>
      <c r="AI125" s="215">
        <v>291156</v>
      </c>
      <c r="AJ125" s="214"/>
      <c r="AK125" s="215">
        <v>291156</v>
      </c>
      <c r="AL125" s="214"/>
      <c r="AM125" s="215">
        <v>291156</v>
      </c>
      <c r="AN125" s="214"/>
      <c r="AO125" s="215">
        <v>291156</v>
      </c>
      <c r="AP125" s="214"/>
      <c r="AQ125" s="215">
        <v>291156</v>
      </c>
      <c r="AR125" s="214"/>
      <c r="AS125" s="215">
        <v>291156</v>
      </c>
      <c r="AT125" s="214"/>
      <c r="AU125" s="215">
        <v>291156</v>
      </c>
      <c r="AV125" s="214"/>
      <c r="AW125" s="215">
        <v>291156</v>
      </c>
      <c r="AX125" s="214"/>
      <c r="AY125" s="215">
        <v>291156</v>
      </c>
      <c r="AZ125" s="214"/>
      <c r="BA125" s="215">
        <v>291156</v>
      </c>
      <c r="BB125" s="214"/>
      <c r="BC125" s="215">
        <v>291156</v>
      </c>
      <c r="BD125" s="214"/>
      <c r="BE125" s="215">
        <v>291156</v>
      </c>
      <c r="BF125" s="214"/>
      <c r="BG125" s="215">
        <v>291156</v>
      </c>
      <c r="BH125" s="214"/>
      <c r="BI125" s="215">
        <v>291156</v>
      </c>
      <c r="BJ125" s="214"/>
      <c r="BK125" s="215">
        <v>291156</v>
      </c>
      <c r="BL125" s="214"/>
      <c r="BM125" s="215">
        <v>291156</v>
      </c>
      <c r="BN125" s="214"/>
      <c r="BO125" s="215">
        <v>291156</v>
      </c>
      <c r="BP125" s="214"/>
      <c r="BQ125" s="215">
        <v>291156</v>
      </c>
      <c r="BR125" s="214"/>
      <c r="BS125" s="215">
        <v>291156</v>
      </c>
      <c r="BV125" s="214"/>
      <c r="BW125" s="215">
        <v>291156</v>
      </c>
      <c r="BX125" s="214"/>
      <c r="BY125" s="215">
        <v>291156</v>
      </c>
    </row>
    <row r="126" spans="1:77" ht="15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/>
      <c r="P126" s="214"/>
      <c r="Q126" s="215"/>
      <c r="R126" s="214"/>
      <c r="S126" s="215"/>
      <c r="T126" s="214"/>
      <c r="U126" s="215"/>
      <c r="V126" s="214"/>
      <c r="W126" s="215"/>
      <c r="X126" s="214"/>
      <c r="Y126" s="215"/>
      <c r="Z126" s="214"/>
      <c r="AA126" s="215"/>
      <c r="AB126" s="214"/>
      <c r="AC126" s="215"/>
      <c r="AD126" s="214"/>
      <c r="AE126" s="215"/>
      <c r="AF126" s="214"/>
      <c r="AG126" s="215"/>
      <c r="AH126" s="214"/>
      <c r="AI126" s="215"/>
      <c r="AJ126" s="214"/>
      <c r="AK126" s="215"/>
      <c r="AL126" s="214"/>
      <c r="AM126" s="215"/>
      <c r="AN126" s="214"/>
      <c r="AO126" s="215"/>
      <c r="AP126" s="214"/>
      <c r="AQ126" s="215"/>
      <c r="AR126" s="214"/>
      <c r="AS126" s="215"/>
      <c r="AT126" s="214"/>
      <c r="AU126" s="215"/>
      <c r="AV126" s="214"/>
      <c r="AW126" s="215"/>
      <c r="AX126" s="214"/>
      <c r="AY126" s="215"/>
      <c r="AZ126" s="214"/>
      <c r="BA126" s="215"/>
      <c r="BB126" s="214"/>
      <c r="BC126" s="215"/>
      <c r="BD126" s="214"/>
      <c r="BE126" s="215"/>
      <c r="BF126" s="214"/>
      <c r="BG126" s="215"/>
      <c r="BH126" s="214"/>
      <c r="BI126" s="215"/>
      <c r="BJ126" s="214"/>
      <c r="BK126" s="215"/>
      <c r="BL126" s="214"/>
      <c r="BM126" s="215"/>
      <c r="BN126" s="214"/>
      <c r="BO126" s="215"/>
      <c r="BP126" s="214"/>
      <c r="BQ126" s="215"/>
      <c r="BR126" s="214"/>
      <c r="BS126" s="215"/>
      <c r="BV126" s="214"/>
      <c r="BW126" s="215"/>
      <c r="BX126" s="214"/>
      <c r="BY126" s="215"/>
    </row>
    <row r="127" spans="1:77" ht="15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/>
      <c r="P127" s="214"/>
      <c r="Q127" s="215"/>
      <c r="R127" s="214"/>
      <c r="S127" s="215"/>
      <c r="T127" s="214"/>
      <c r="U127" s="215"/>
      <c r="V127" s="214"/>
      <c r="W127" s="215"/>
      <c r="X127" s="214"/>
      <c r="Y127" s="215"/>
      <c r="Z127" s="214"/>
      <c r="AA127" s="215"/>
      <c r="AB127" s="214"/>
      <c r="AC127" s="215"/>
      <c r="AD127" s="214"/>
      <c r="AE127" s="215"/>
      <c r="AF127" s="214"/>
      <c r="AG127" s="215"/>
      <c r="AH127" s="214"/>
      <c r="AI127" s="215"/>
      <c r="AJ127" s="214"/>
      <c r="AK127" s="215"/>
      <c r="AL127" s="214"/>
      <c r="AM127" s="215"/>
      <c r="AN127" s="214"/>
      <c r="AO127" s="215"/>
      <c r="AP127" s="214"/>
      <c r="AQ127" s="215"/>
      <c r="AR127" s="214"/>
      <c r="AS127" s="215"/>
      <c r="AT127" s="214"/>
      <c r="AU127" s="215"/>
      <c r="AV127" s="214"/>
      <c r="AW127" s="215"/>
      <c r="AX127" s="214"/>
      <c r="AY127" s="215"/>
      <c r="AZ127" s="214"/>
      <c r="BA127" s="215"/>
      <c r="BB127" s="214"/>
      <c r="BC127" s="215"/>
      <c r="BD127" s="214"/>
      <c r="BE127" s="215"/>
      <c r="BF127" s="214"/>
      <c r="BG127" s="215"/>
      <c r="BH127" s="214"/>
      <c r="BI127" s="215"/>
      <c r="BJ127" s="214"/>
      <c r="BK127" s="215"/>
      <c r="BL127" s="214"/>
      <c r="BM127" s="215"/>
      <c r="BN127" s="214"/>
      <c r="BO127" s="215"/>
      <c r="BP127" s="214"/>
      <c r="BQ127" s="215"/>
      <c r="BR127" s="214"/>
      <c r="BS127" s="215"/>
      <c r="BV127" s="214"/>
      <c r="BW127" s="215"/>
      <c r="BX127" s="214"/>
      <c r="BY127" s="215"/>
    </row>
    <row r="128" spans="1:77" ht="15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413556</v>
      </c>
      <c r="H128" s="219"/>
      <c r="I128" s="220">
        <v>413556</v>
      </c>
      <c r="J128" s="219"/>
      <c r="K128" s="220">
        <v>413556</v>
      </c>
      <c r="L128" s="219"/>
      <c r="M128" s="220">
        <v>413556</v>
      </c>
      <c r="N128" s="219"/>
      <c r="O128" s="220">
        <v>413556</v>
      </c>
      <c r="P128" s="219"/>
      <c r="Q128" s="220">
        <v>413556</v>
      </c>
      <c r="R128" s="219"/>
      <c r="S128" s="220">
        <v>413556</v>
      </c>
      <c r="T128" s="219"/>
      <c r="U128" s="220">
        <v>413556</v>
      </c>
      <c r="V128" s="219"/>
      <c r="W128" s="220">
        <v>413556</v>
      </c>
      <c r="X128" s="219"/>
      <c r="Y128" s="220">
        <v>413556</v>
      </c>
      <c r="Z128" s="219"/>
      <c r="AA128" s="220">
        <v>413556</v>
      </c>
      <c r="AB128" s="219"/>
      <c r="AC128" s="220">
        <v>413556</v>
      </c>
      <c r="AD128" s="219"/>
      <c r="AE128" s="220">
        <v>413556</v>
      </c>
      <c r="AF128" s="219"/>
      <c r="AG128" s="220">
        <v>413556</v>
      </c>
      <c r="AH128" s="219"/>
      <c r="AI128" s="220">
        <v>413556</v>
      </c>
      <c r="AJ128" s="219"/>
      <c r="AK128" s="220">
        <v>413556</v>
      </c>
      <c r="AL128" s="219"/>
      <c r="AM128" s="220">
        <v>413556</v>
      </c>
      <c r="AN128" s="219"/>
      <c r="AO128" s="220">
        <v>413556</v>
      </c>
      <c r="AP128" s="219"/>
      <c r="AQ128" s="220">
        <v>413556</v>
      </c>
      <c r="AR128" s="219"/>
      <c r="AS128" s="220">
        <v>413556</v>
      </c>
      <c r="AT128" s="219"/>
      <c r="AU128" s="220">
        <v>413556</v>
      </c>
      <c r="AV128" s="219"/>
      <c r="AW128" s="220">
        <v>413556</v>
      </c>
      <c r="AX128" s="219"/>
      <c r="AY128" s="220">
        <v>413556</v>
      </c>
      <c r="AZ128" s="219"/>
      <c r="BA128" s="220">
        <v>413556</v>
      </c>
      <c r="BB128" s="219"/>
      <c r="BC128" s="220">
        <v>413556</v>
      </c>
      <c r="BD128" s="219"/>
      <c r="BE128" s="220">
        <v>413556</v>
      </c>
      <c r="BF128" s="219"/>
      <c r="BG128" s="220">
        <v>413556</v>
      </c>
      <c r="BH128" s="219"/>
      <c r="BI128" s="220">
        <v>413556</v>
      </c>
      <c r="BJ128" s="219"/>
      <c r="BK128" s="220">
        <v>413556</v>
      </c>
      <c r="BL128" s="219"/>
      <c r="BM128" s="220">
        <v>413556</v>
      </c>
      <c r="BN128" s="219"/>
      <c r="BO128" s="220">
        <v>413556</v>
      </c>
      <c r="BP128" s="219"/>
      <c r="BQ128" s="220">
        <v>413556</v>
      </c>
      <c r="BR128" s="219"/>
      <c r="BS128" s="220">
        <v>413556</v>
      </c>
      <c r="BV128" s="219"/>
      <c r="BW128" s="220">
        <v>413556</v>
      </c>
      <c r="BX128" s="219"/>
      <c r="BY128" s="220">
        <v>413556</v>
      </c>
    </row>
    <row r="129" spans="1:77" ht="15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34463</v>
      </c>
      <c r="H129" s="219"/>
      <c r="I129" s="221">
        <f>I128/I10</f>
        <v>34463</v>
      </c>
      <c r="J129" s="219"/>
      <c r="K129" s="221">
        <f>K128/K10</f>
        <v>34463</v>
      </c>
      <c r="L129" s="219"/>
      <c r="M129" s="221">
        <f>M128/M10</f>
        <v>34463</v>
      </c>
      <c r="N129" s="219"/>
      <c r="O129" s="221">
        <f>O128/O10</f>
        <v>34463</v>
      </c>
      <c r="P129" s="219"/>
      <c r="Q129" s="221">
        <f>Q128/Q10</f>
        <v>34463</v>
      </c>
      <c r="R129" s="219"/>
      <c r="S129" s="221">
        <f>S128/S10</f>
        <v>34463</v>
      </c>
      <c r="T129" s="219"/>
      <c r="U129" s="221">
        <f>U128/U10</f>
        <v>34463</v>
      </c>
      <c r="V129" s="219"/>
      <c r="W129" s="221">
        <f>W128/W10</f>
        <v>34463</v>
      </c>
      <c r="X129" s="219"/>
      <c r="Y129" s="221">
        <f>Y128/Y10</f>
        <v>34463</v>
      </c>
      <c r="Z129" s="219"/>
      <c r="AA129" s="221">
        <f>AA128/AA10</f>
        <v>34463</v>
      </c>
      <c r="AB129" s="219"/>
      <c r="AC129" s="221">
        <f>AC128/AC10</f>
        <v>34463</v>
      </c>
      <c r="AD129" s="219"/>
      <c r="AE129" s="221">
        <f>AE128/AE10</f>
        <v>34463</v>
      </c>
      <c r="AF129" s="219"/>
      <c r="AG129" s="221">
        <f>AG128/AG10</f>
        <v>34463</v>
      </c>
      <c r="AH129" s="219"/>
      <c r="AI129" s="221">
        <f>AI128/AI10</f>
        <v>34463</v>
      </c>
      <c r="AJ129" s="219"/>
      <c r="AK129" s="221">
        <f>AK128/AK10</f>
        <v>34463</v>
      </c>
      <c r="AL129" s="219"/>
      <c r="AM129" s="221">
        <f>AM128/AM10</f>
        <v>34463</v>
      </c>
      <c r="AN129" s="219"/>
      <c r="AO129" s="221">
        <f>AO128/AO10</f>
        <v>34463</v>
      </c>
      <c r="AP129" s="219"/>
      <c r="AQ129" s="221">
        <f>AQ128/AQ10</f>
        <v>34463</v>
      </c>
      <c r="AR129" s="219"/>
      <c r="AS129" s="221">
        <f>AS128/AS10</f>
        <v>34463</v>
      </c>
      <c r="AT129" s="219"/>
      <c r="AU129" s="221">
        <f>AU128/AU10</f>
        <v>34463</v>
      </c>
      <c r="AV129" s="219"/>
      <c r="AW129" s="221">
        <f>AW128/AW10</f>
        <v>34463</v>
      </c>
      <c r="AX129" s="219"/>
      <c r="AY129" s="221">
        <f>AY128/AY10</f>
        <v>34463</v>
      </c>
      <c r="AZ129" s="219"/>
      <c r="BA129" s="221">
        <f>BA128/BA10</f>
        <v>34463</v>
      </c>
      <c r="BB129" s="219"/>
      <c r="BC129" s="221">
        <f>BC128/BC10</f>
        <v>34463</v>
      </c>
      <c r="BD129" s="219"/>
      <c r="BE129" s="221">
        <f>BE128/BE10</f>
        <v>34463</v>
      </c>
      <c r="BF129" s="219"/>
      <c r="BG129" s="221">
        <f>BG128/BG10</f>
        <v>34463</v>
      </c>
      <c r="BH129" s="219"/>
      <c r="BI129" s="221">
        <f>BI128/BI10</f>
        <v>34463</v>
      </c>
      <c r="BJ129" s="219"/>
      <c r="BK129" s="221">
        <f>BK128/BK10</f>
        <v>34463</v>
      </c>
      <c r="BL129" s="219"/>
      <c r="BM129" s="221">
        <f>BM128/BM10</f>
        <v>34463</v>
      </c>
      <c r="BN129" s="219"/>
      <c r="BO129" s="221">
        <f>BO128/BO10</f>
        <v>34463</v>
      </c>
      <c r="BP129" s="219"/>
      <c r="BQ129" s="221">
        <f>BQ128/BQ10</f>
        <v>34463</v>
      </c>
      <c r="BR129" s="219"/>
      <c r="BS129" s="221">
        <f>BS128/BS10</f>
        <v>34463</v>
      </c>
      <c r="BV129" s="219"/>
      <c r="BW129" s="221">
        <f>BW128/BW10</f>
        <v>34463</v>
      </c>
      <c r="BX129" s="219"/>
      <c r="BY129" s="221">
        <f t="shared" ref="BY129" si="122">BY128/BY10</f>
        <v>34463</v>
      </c>
    </row>
    <row r="130" spans="1:77" ht="15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7.1797916666666666</v>
      </c>
      <c r="H130" s="222"/>
      <c r="I130" s="220">
        <f>I129/I66</f>
        <v>7.1797916666666666</v>
      </c>
      <c r="J130" s="222"/>
      <c r="K130" s="220">
        <f>K129/K66</f>
        <v>7.1797916666666666</v>
      </c>
      <c r="L130" s="222"/>
      <c r="M130" s="220">
        <f>M129/M66</f>
        <v>7.1797916666666666</v>
      </c>
      <c r="N130" s="222"/>
      <c r="O130" s="220">
        <f>O129/O66</f>
        <v>7.1797916666666666</v>
      </c>
      <c r="P130" s="222"/>
      <c r="Q130" s="220">
        <f>Q129/Q66</f>
        <v>7.1797916666666666</v>
      </c>
      <c r="R130" s="222"/>
      <c r="S130" s="220">
        <f>S129/S66</f>
        <v>7.1797916666666666</v>
      </c>
      <c r="T130" s="222"/>
      <c r="U130" s="220">
        <f>U129/U66</f>
        <v>7.1797916666666666</v>
      </c>
      <c r="V130" s="222"/>
      <c r="W130" s="220">
        <f>W129/W66</f>
        <v>7.1797916666666666</v>
      </c>
      <c r="X130" s="222"/>
      <c r="Y130" s="220">
        <f>Y129/Y66</f>
        <v>7.1797916666666666</v>
      </c>
      <c r="Z130" s="222"/>
      <c r="AA130" s="220">
        <f>AA129/AA66</f>
        <v>7.1797916666666666</v>
      </c>
      <c r="AB130" s="222"/>
      <c r="AC130" s="220">
        <f>AC129/AC66</f>
        <v>7.1797916666666666</v>
      </c>
      <c r="AD130" s="222"/>
      <c r="AE130" s="220">
        <f>AE129/AE66</f>
        <v>7.1797916666666666</v>
      </c>
      <c r="AF130" s="222"/>
      <c r="AG130" s="220">
        <f>AG129/AG66</f>
        <v>7.1797916666666666</v>
      </c>
      <c r="AH130" s="222"/>
      <c r="AI130" s="220">
        <f>AI129/AI66</f>
        <v>7.1797916666666666</v>
      </c>
      <c r="AJ130" s="222"/>
      <c r="AK130" s="220">
        <f>AK129/AK66</f>
        <v>7.1797916666666666</v>
      </c>
      <c r="AL130" s="222"/>
      <c r="AM130" s="220">
        <f>AM129/AM66</f>
        <v>7.1797916666666666</v>
      </c>
      <c r="AN130" s="222"/>
      <c r="AO130" s="220">
        <f>AO129/AO66</f>
        <v>7.1797916666666666</v>
      </c>
      <c r="AP130" s="222"/>
      <c r="AQ130" s="220">
        <f>AQ129/AQ66</f>
        <v>7.1797916666666666</v>
      </c>
      <c r="AR130" s="222"/>
      <c r="AS130" s="220">
        <f>AS129/AS66</f>
        <v>7.1797916666666666</v>
      </c>
      <c r="AT130" s="222"/>
      <c r="AU130" s="220">
        <f>AU129/AU66</f>
        <v>7.1797916666666666</v>
      </c>
      <c r="AV130" s="222"/>
      <c r="AW130" s="220">
        <f>AW129/AW66</f>
        <v>7.1797916666666666</v>
      </c>
      <c r="AX130" s="222"/>
      <c r="AY130" s="220">
        <f>AY129/AY66</f>
        <v>7.1797916666666666</v>
      </c>
      <c r="AZ130" s="222"/>
      <c r="BA130" s="220">
        <f>BA129/BA66</f>
        <v>7.1797916666666666</v>
      </c>
      <c r="BB130" s="222"/>
      <c r="BC130" s="220">
        <f>BC129/BC66</f>
        <v>7.1797916666666666</v>
      </c>
      <c r="BD130" s="222"/>
      <c r="BE130" s="220">
        <f>BE129/BE66</f>
        <v>7.4579095433888769</v>
      </c>
      <c r="BF130" s="222"/>
      <c r="BG130" s="220">
        <f>BG129/BG66</f>
        <v>7.4579095433888769</v>
      </c>
      <c r="BH130" s="222"/>
      <c r="BI130" s="220">
        <f>BI129/BI66</f>
        <v>7.4579095433888769</v>
      </c>
      <c r="BJ130" s="222"/>
      <c r="BK130" s="220">
        <f>BK129/BK66</f>
        <v>7.4579095433888769</v>
      </c>
      <c r="BL130" s="222"/>
      <c r="BM130" s="220">
        <f>BM129/BM66</f>
        <v>7.4579095433888769</v>
      </c>
      <c r="BN130" s="222"/>
      <c r="BO130" s="220">
        <f>BO129/BO66</f>
        <v>7.4579095433888769</v>
      </c>
      <c r="BP130" s="222"/>
      <c r="BQ130" s="220">
        <f>BQ129/BQ66</f>
        <v>7.4579095433888769</v>
      </c>
      <c r="BR130" s="222"/>
      <c r="BS130" s="220">
        <f>BS129/BS66</f>
        <v>7.4579095433888769</v>
      </c>
      <c r="BV130" s="222"/>
      <c r="BW130" s="220">
        <f>BW129/BW66</f>
        <v>7.1797916666666666</v>
      </c>
      <c r="BX130" s="222"/>
      <c r="BY130" s="220">
        <f t="shared" ref="BY130" si="123">BY129/BY66</f>
        <v>7.4579095433888769</v>
      </c>
    </row>
    <row r="131" spans="1:77" ht="15" customHeight="1" outlineLevel="3" x14ac:dyDescent="0.45">
      <c r="A131" s="561"/>
      <c r="B131" s="1187"/>
      <c r="C131" s="582" t="s">
        <v>387</v>
      </c>
      <c r="D131" s="583"/>
      <c r="E131" s="584" t="s">
        <v>123</v>
      </c>
      <c r="F131" s="585"/>
      <c r="G131" s="586">
        <f>INDEX(Table5[#All],MATCH(F$4,Table5[[#All],[SKU]],0),MATCH(LEFT(F$3,3),Table5[#Headers],0))</f>
        <v>28800</v>
      </c>
      <c r="H131" s="585"/>
      <c r="I131" s="586">
        <f>INDEX(Table5[#All],MATCH(H$4,Table5[[#All],[SKU]],0),MATCH(LEFT(H$3,3),Table5[#Headers],0))</f>
        <v>28500</v>
      </c>
      <c r="J131" s="585"/>
      <c r="K131" s="586">
        <f>INDEX(Table5[#All],MATCH(J$4,Table5[[#All],[SKU]],0),MATCH(LEFT(J$3,3),Table5[#Headers],0))</f>
        <v>28800</v>
      </c>
      <c r="L131" s="585"/>
      <c r="M131" s="586">
        <f>INDEX(Table5[#All],MATCH(L$4,Table5[[#All],[SKU]],0),MATCH(LEFT(L$3,3),Table5[#Headers],0))</f>
        <v>55716</v>
      </c>
      <c r="N131" s="585"/>
      <c r="O131" s="586">
        <f>INDEX(Table5[#All],MATCH(N$4,Table5[[#All],[SKU]],0),MATCH(LEFT(N$3,3),Table5[#Headers],0))</f>
        <v>55452</v>
      </c>
      <c r="P131" s="585"/>
      <c r="Q131" s="586">
        <f>INDEX(Table5[#All],MATCH(P$4,Table5[[#All],[SKU]],0),MATCH(LEFT(P$3,3),Table5[#Headers],0))</f>
        <v>54540</v>
      </c>
      <c r="R131" s="585"/>
      <c r="S131" s="586">
        <f>INDEX(Table5[#All],MATCH(R$4,Table5[[#All],[SKU]],0),MATCH(LEFT(R$3,3),Table5[#Headers],0))</f>
        <v>115500</v>
      </c>
      <c r="T131" s="585"/>
      <c r="U131" s="586">
        <f>INDEX(Table5[#All],MATCH(T$4,Table5[[#All],[SKU]],0),MATCH(LEFT(T$3,3),Table5[#Headers],0))</f>
        <v>28620</v>
      </c>
      <c r="V131" s="585"/>
      <c r="W131" s="586">
        <f>INDEX(Table5[#All],MATCH(V$4,Table5[[#All],[SKU]],0),MATCH(LEFT(V$3,3),Table5[#Headers],0))</f>
        <v>28800</v>
      </c>
      <c r="X131" s="585"/>
      <c r="Y131" s="586">
        <f>INDEX(Table5[#All],MATCH(X$4,Table5[[#All],[SKU]],0),MATCH(LEFT(X$3,3),Table5[#Headers],0))</f>
        <v>27900</v>
      </c>
      <c r="Z131" s="585"/>
      <c r="AA131" s="586">
        <f>INDEX(Table5[#All],MATCH(Z$4,Table5[[#All],[SKU]],0),MATCH(LEFT(Z$3,3),Table5[#Headers],0))</f>
        <v>103644</v>
      </c>
      <c r="AB131" s="585"/>
      <c r="AC131" s="586">
        <f>INDEX(Table5[#All],MATCH(AB$4,Table5[[#All],[SKU]],0),MATCH(LEFT(AB$3,3),Table5[#Headers],0))</f>
        <v>205392</v>
      </c>
      <c r="AD131" s="585"/>
      <c r="AE131" s="586">
        <f>'Sales Volume'!P10</f>
        <v>56424</v>
      </c>
      <c r="AF131" s="585"/>
      <c r="AG131" s="586">
        <f>'Sales Volume'!Q10</f>
        <v>28800</v>
      </c>
      <c r="AH131" s="585"/>
      <c r="AI131" s="586">
        <f>'Sales Volume'!R10</f>
        <v>112212</v>
      </c>
      <c r="AJ131" s="585"/>
      <c r="AK131" s="586">
        <f>'Sales Volume'!S10</f>
        <v>4944</v>
      </c>
      <c r="AL131" s="585"/>
      <c r="AM131" s="586">
        <f>'Sales Volume'!T10</f>
        <v>113400</v>
      </c>
      <c r="AN131" s="585"/>
      <c r="AO131" s="586">
        <f>'Sales Volume'!U10</f>
        <v>139344</v>
      </c>
      <c r="AP131" s="585"/>
      <c r="AQ131" s="586">
        <f>'Sales Volume'!V10</f>
        <v>110028</v>
      </c>
      <c r="AR131" s="585"/>
      <c r="AS131" s="586">
        <f>'Sales Volume'!V10</f>
        <v>110028</v>
      </c>
      <c r="AT131" s="585"/>
      <c r="AU131" s="586">
        <f>'Sales Volume'!X10</f>
        <v>277500</v>
      </c>
      <c r="AV131" s="585"/>
      <c r="AW131" s="586">
        <f>'Sales Volume'!Z10</f>
        <v>0</v>
      </c>
      <c r="AX131" s="585"/>
      <c r="AY131" s="586">
        <f>'Sales Volume'!AB10</f>
        <v>0</v>
      </c>
      <c r="AZ131" s="585"/>
      <c r="BA131" s="586">
        <f>'Sales Volume'!AD10</f>
        <v>0</v>
      </c>
      <c r="BB131" s="585"/>
      <c r="BC131" s="586">
        <f>'Sales Volume'!AF10</f>
        <v>0</v>
      </c>
      <c r="BD131" s="585"/>
      <c r="BE131" s="586">
        <f>'Sales Volume'!AH10</f>
        <v>0</v>
      </c>
      <c r="BF131" s="585"/>
      <c r="BG131" s="586">
        <f>'Sales Volume'!AJ10</f>
        <v>0</v>
      </c>
      <c r="BH131" s="585"/>
      <c r="BI131" s="586">
        <f>'Sales Volume'!AL10</f>
        <v>0</v>
      </c>
      <c r="BJ131" s="585"/>
      <c r="BK131" s="586">
        <f>'Sales Volume'!AN10</f>
        <v>0</v>
      </c>
      <c r="BL131" s="585"/>
      <c r="BM131" s="586">
        <f>'Sales Volume'!AP10</f>
        <v>0</v>
      </c>
      <c r="BN131" s="585"/>
      <c r="BO131" s="586">
        <f>'Sales Volume'!AR10</f>
        <v>0</v>
      </c>
      <c r="BP131" s="585"/>
      <c r="BQ131" s="586">
        <f>'Sales Volume'!AT10</f>
        <v>0</v>
      </c>
      <c r="BR131" s="585"/>
      <c r="BS131" s="586">
        <f>'Sales Volume'!AV10</f>
        <v>0</v>
      </c>
      <c r="BV131" s="585"/>
      <c r="BW131" s="586">
        <f>'Sales Volume'!AN10</f>
        <v>0</v>
      </c>
      <c r="BX131" s="585"/>
      <c r="BY131" s="586">
        <f>'Sales Volume'!AX10</f>
        <v>0</v>
      </c>
    </row>
    <row r="132" spans="1:77" ht="15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2400</v>
      </c>
      <c r="H132" s="585"/>
      <c r="I132" s="586">
        <f>I131/I10</f>
        <v>2375</v>
      </c>
      <c r="J132" s="585"/>
      <c r="K132" s="586">
        <f>K131/K10</f>
        <v>2400</v>
      </c>
      <c r="L132" s="585"/>
      <c r="M132" s="586">
        <f>M131/M10</f>
        <v>4643</v>
      </c>
      <c r="N132" s="585"/>
      <c r="O132" s="586">
        <f>O131/O10</f>
        <v>4621</v>
      </c>
      <c r="P132" s="585"/>
      <c r="Q132" s="586">
        <f>Q131/Q10</f>
        <v>4545</v>
      </c>
      <c r="R132" s="585"/>
      <c r="S132" s="586">
        <f>S131/S10</f>
        <v>9625</v>
      </c>
      <c r="T132" s="585"/>
      <c r="U132" s="586">
        <f>U131/U10</f>
        <v>2385</v>
      </c>
      <c r="V132" s="585"/>
      <c r="W132" s="586">
        <f>W131/W10</f>
        <v>2400</v>
      </c>
      <c r="X132" s="585"/>
      <c r="Y132" s="586">
        <f>Y131/Y10</f>
        <v>2325</v>
      </c>
      <c r="Z132" s="585"/>
      <c r="AA132" s="586">
        <f>AA131/AA10</f>
        <v>8637</v>
      </c>
      <c r="AB132" s="585"/>
      <c r="AC132" s="586">
        <f>AC131/AC10</f>
        <v>17116</v>
      </c>
      <c r="AD132" s="585"/>
      <c r="AE132" s="586">
        <f>AE131/AE10</f>
        <v>4702</v>
      </c>
      <c r="AF132" s="585"/>
      <c r="AG132" s="586">
        <f>AG131/AG10</f>
        <v>2400</v>
      </c>
      <c r="AH132" s="585"/>
      <c r="AI132" s="586">
        <f>AI131/AI10</f>
        <v>9351</v>
      </c>
      <c r="AJ132" s="585"/>
      <c r="AK132" s="586">
        <f>AK131/AK10</f>
        <v>412</v>
      </c>
      <c r="AL132" s="585"/>
      <c r="AM132" s="586">
        <f>AM131/AM10</f>
        <v>9450</v>
      </c>
      <c r="AN132" s="585"/>
      <c r="AO132" s="586">
        <f>AO131/AO10</f>
        <v>11612</v>
      </c>
      <c r="AP132" s="585"/>
      <c r="AQ132" s="586">
        <f>AQ131/AQ10</f>
        <v>9169</v>
      </c>
      <c r="AR132" s="585"/>
      <c r="AS132" s="586">
        <f>AS131/AS10</f>
        <v>9169</v>
      </c>
      <c r="AT132" s="585"/>
      <c r="AU132" s="586">
        <f>AU131/AU10</f>
        <v>23125</v>
      </c>
      <c r="AV132" s="585"/>
      <c r="AW132" s="586">
        <f>AW131/AW10</f>
        <v>0</v>
      </c>
      <c r="AX132" s="585"/>
      <c r="AY132" s="586">
        <f>AY131/AY10</f>
        <v>0</v>
      </c>
      <c r="AZ132" s="585"/>
      <c r="BA132" s="586">
        <f>BA131/BA10</f>
        <v>0</v>
      </c>
      <c r="BB132" s="585"/>
      <c r="BC132" s="586">
        <f>BC131/BC10</f>
        <v>0</v>
      </c>
      <c r="BD132" s="585"/>
      <c r="BE132" s="586">
        <f>BE131/BE10</f>
        <v>0</v>
      </c>
      <c r="BF132" s="585"/>
      <c r="BG132" s="586">
        <f>BG131/BG10</f>
        <v>0</v>
      </c>
      <c r="BH132" s="585"/>
      <c r="BI132" s="586">
        <f>BI131/BI10</f>
        <v>0</v>
      </c>
      <c r="BJ132" s="585"/>
      <c r="BK132" s="586">
        <f>BK131/BK10</f>
        <v>0</v>
      </c>
      <c r="BL132" s="585"/>
      <c r="BM132" s="586">
        <f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>BS131/BS10</f>
        <v>0</v>
      </c>
      <c r="BV132" s="585"/>
      <c r="BW132" s="586">
        <f>BW131/BW10</f>
        <v>0</v>
      </c>
      <c r="BX132" s="585"/>
      <c r="BY132" s="586">
        <f t="shared" ref="BY132" si="124">BY131/BY10</f>
        <v>0</v>
      </c>
    </row>
    <row r="133" spans="1:77" ht="15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0.5</v>
      </c>
      <c r="H133" s="585"/>
      <c r="I133" s="586">
        <f>I132/I66</f>
        <v>0.49479166666666669</v>
      </c>
      <c r="J133" s="585"/>
      <c r="K133" s="586">
        <f>K132/K66</f>
        <v>0.5</v>
      </c>
      <c r="L133" s="585"/>
      <c r="M133" s="586">
        <f>M132/M66</f>
        <v>0.96729166666666666</v>
      </c>
      <c r="N133" s="585"/>
      <c r="O133" s="586">
        <f>O132/O66</f>
        <v>0.96270833333333339</v>
      </c>
      <c r="P133" s="585"/>
      <c r="Q133" s="586">
        <f>Q132/Q66</f>
        <v>0.94687500000000002</v>
      </c>
      <c r="R133" s="585"/>
      <c r="S133" s="586">
        <f>S132/S66</f>
        <v>2.0052083333333335</v>
      </c>
      <c r="T133" s="585"/>
      <c r="U133" s="586">
        <f>U132/U66</f>
        <v>0.49687500000000001</v>
      </c>
      <c r="V133" s="585"/>
      <c r="W133" s="586">
        <f>W132/W66</f>
        <v>0.5</v>
      </c>
      <c r="X133" s="585"/>
      <c r="Y133" s="586">
        <f>Y132/Y66</f>
        <v>0.484375</v>
      </c>
      <c r="Z133" s="585"/>
      <c r="AA133" s="586">
        <f>AA132/AA66</f>
        <v>1.7993749999999999</v>
      </c>
      <c r="AB133" s="585"/>
      <c r="AC133" s="586">
        <f>AC132/AC66</f>
        <v>3.5658333333333334</v>
      </c>
      <c r="AD133" s="585"/>
      <c r="AE133" s="586">
        <f>AE132/AE66</f>
        <v>0.97958333333333336</v>
      </c>
      <c r="AF133" s="585"/>
      <c r="AG133" s="586">
        <f>AG132/AG66</f>
        <v>0.5</v>
      </c>
      <c r="AH133" s="585"/>
      <c r="AI133" s="586">
        <f>AI132/AI66</f>
        <v>1.9481250000000001</v>
      </c>
      <c r="AJ133" s="585"/>
      <c r="AK133" s="586">
        <f>AK132/AK66</f>
        <v>8.5833333333333331E-2</v>
      </c>
      <c r="AL133" s="585"/>
      <c r="AM133" s="586">
        <f>AM132/AM66</f>
        <v>1.96875</v>
      </c>
      <c r="AN133" s="585"/>
      <c r="AO133" s="586">
        <f>AO132/AO66</f>
        <v>2.4191666666666665</v>
      </c>
      <c r="AP133" s="585"/>
      <c r="AQ133" s="586">
        <f>AQ132/AQ66</f>
        <v>1.9102083333333333</v>
      </c>
      <c r="AR133" s="585"/>
      <c r="AS133" s="586">
        <f>AS132/AS66</f>
        <v>1.9102083333333333</v>
      </c>
      <c r="AT133" s="585"/>
      <c r="AU133" s="586">
        <f>AU132/AU66</f>
        <v>4.817708333333333</v>
      </c>
      <c r="AV133" s="585"/>
      <c r="AW133" s="586">
        <f>AW132/AW66</f>
        <v>0</v>
      </c>
      <c r="AX133" s="585"/>
      <c r="AY133" s="586">
        <f>AY132/AY66</f>
        <v>0</v>
      </c>
      <c r="AZ133" s="585"/>
      <c r="BA133" s="586">
        <f>BA132/BA66</f>
        <v>0</v>
      </c>
      <c r="BB133" s="585"/>
      <c r="BC133" s="586">
        <f>BC132/BC66</f>
        <v>0</v>
      </c>
      <c r="BD133" s="585"/>
      <c r="BE133" s="586">
        <f>BE132/BE66</f>
        <v>0</v>
      </c>
      <c r="BF133" s="585"/>
      <c r="BG133" s="586">
        <f>BG132/BG66</f>
        <v>0</v>
      </c>
      <c r="BH133" s="585"/>
      <c r="BI133" s="586">
        <f>BI132/BI66</f>
        <v>0</v>
      </c>
      <c r="BJ133" s="585"/>
      <c r="BK133" s="586">
        <f>BK132/BK66</f>
        <v>0</v>
      </c>
      <c r="BL133" s="585"/>
      <c r="BM133" s="586">
        <f>BM132/BM66</f>
        <v>0</v>
      </c>
      <c r="BN133" s="585"/>
      <c r="BO133" s="586">
        <f>BO132/BO66</f>
        <v>0</v>
      </c>
      <c r="BP133" s="585"/>
      <c r="BQ133" s="586">
        <f>BQ132/BQ66</f>
        <v>0</v>
      </c>
      <c r="BR133" s="585"/>
      <c r="BS133" s="586">
        <f>BS132/BS66</f>
        <v>0</v>
      </c>
      <c r="BV133" s="585"/>
      <c r="BW133" s="586">
        <f>BW132/BW66</f>
        <v>0</v>
      </c>
      <c r="BX133" s="585"/>
      <c r="BY133" s="586">
        <f t="shared" ref="BY133" si="125">BY132/BY66</f>
        <v>0</v>
      </c>
    </row>
    <row r="134" spans="1:77" outlineLevel="2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177"/>
      <c r="O134" s="178"/>
      <c r="P134" s="177"/>
      <c r="Q134" s="178"/>
      <c r="R134" s="177"/>
      <c r="S134" s="178"/>
      <c r="T134" s="177"/>
      <c r="U134" s="178"/>
      <c r="V134" s="177"/>
      <c r="W134" s="178"/>
      <c r="X134" s="177"/>
      <c r="Y134" s="178"/>
      <c r="Z134" s="177"/>
      <c r="AA134" s="178"/>
      <c r="AB134" s="177"/>
      <c r="AC134" s="178"/>
      <c r="AD134" s="177"/>
      <c r="AE134" s="178"/>
      <c r="AF134" s="177"/>
      <c r="AG134" s="178"/>
      <c r="AH134" s="177"/>
      <c r="AI134" s="178"/>
      <c r="AJ134" s="177"/>
      <c r="AK134" s="178"/>
      <c r="AL134" s="177"/>
      <c r="AM134" s="178"/>
      <c r="AN134" s="177"/>
      <c r="AO134" s="178"/>
      <c r="AP134" s="177"/>
      <c r="AQ134" s="178"/>
      <c r="AR134" s="177"/>
      <c r="AS134" s="178"/>
      <c r="AT134" s="177"/>
      <c r="AU134" s="178"/>
      <c r="AV134" s="177"/>
      <c r="AW134" s="178"/>
      <c r="AX134" s="177"/>
      <c r="AY134" s="178"/>
      <c r="AZ134" s="177"/>
      <c r="BA134" s="178"/>
      <c r="BB134" s="177"/>
      <c r="BC134" s="178"/>
      <c r="BD134" s="177"/>
      <c r="BE134" s="178"/>
      <c r="BF134" s="177"/>
      <c r="BG134" s="178"/>
      <c r="BH134" s="177"/>
      <c r="BI134" s="178"/>
      <c r="BJ134" s="177"/>
      <c r="BK134" s="178"/>
      <c r="BL134" s="177"/>
      <c r="BM134" s="178"/>
      <c r="BN134" s="177"/>
      <c r="BO134" s="178"/>
      <c r="BP134" s="177"/>
      <c r="BQ134" s="178"/>
      <c r="BR134" s="177"/>
      <c r="BS134" s="178"/>
      <c r="BV134" s="177"/>
      <c r="BW134" s="178"/>
      <c r="BX134" s="177"/>
      <c r="BY134" s="178"/>
    </row>
    <row r="135" spans="1:77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180"/>
      <c r="I135" s="384">
        <f>I64</f>
        <v>1200</v>
      </c>
      <c r="J135" s="180"/>
      <c r="K135" s="384">
        <f>K64</f>
        <v>1200</v>
      </c>
      <c r="L135" s="180"/>
      <c r="M135" s="384">
        <f>M64</f>
        <v>1200</v>
      </c>
      <c r="N135" s="180"/>
      <c r="O135" s="384">
        <f>O64</f>
        <v>1200</v>
      </c>
      <c r="P135" s="180"/>
      <c r="Q135" s="384">
        <f>Q64</f>
        <v>1200</v>
      </c>
      <c r="R135" s="180"/>
      <c r="S135" s="384">
        <f>S64</f>
        <v>1200</v>
      </c>
      <c r="T135" s="180"/>
      <c r="U135" s="384">
        <f>U64</f>
        <v>1200</v>
      </c>
      <c r="V135" s="180"/>
      <c r="W135" s="384">
        <f>W64</f>
        <v>1200</v>
      </c>
      <c r="X135" s="180"/>
      <c r="Y135" s="384">
        <f>Y64</f>
        <v>1200</v>
      </c>
      <c r="Z135" s="180"/>
      <c r="AA135" s="384">
        <f>AA64</f>
        <v>1200</v>
      </c>
      <c r="AB135" s="180"/>
      <c r="AC135" s="384">
        <f>AC64</f>
        <v>1200</v>
      </c>
      <c r="AD135" s="180"/>
      <c r="AE135" s="384">
        <f>AE64</f>
        <v>1200</v>
      </c>
      <c r="AF135" s="180"/>
      <c r="AG135" s="384">
        <f>AG64</f>
        <v>1200</v>
      </c>
      <c r="AH135" s="180"/>
      <c r="AI135" s="384">
        <f>AI64</f>
        <v>1200</v>
      </c>
      <c r="AJ135" s="180"/>
      <c r="AK135" s="384">
        <f>AK64</f>
        <v>1200</v>
      </c>
      <c r="AL135" s="180"/>
      <c r="AM135" s="384">
        <f>AM64</f>
        <v>1200</v>
      </c>
      <c r="AN135" s="180"/>
      <c r="AO135" s="384">
        <f>AO64</f>
        <v>1200</v>
      </c>
      <c r="AP135" s="180"/>
      <c r="AQ135" s="384">
        <f>AQ64</f>
        <v>1200</v>
      </c>
      <c r="AR135" s="180"/>
      <c r="AS135" s="384">
        <f>AS64</f>
        <v>1200</v>
      </c>
      <c r="AT135" s="180"/>
      <c r="AU135" s="384">
        <f>AU64</f>
        <v>1200</v>
      </c>
      <c r="AV135" s="180"/>
      <c r="AW135" s="384">
        <f>AW64</f>
        <v>1200</v>
      </c>
      <c r="AX135" s="180"/>
      <c r="AY135" s="384">
        <f>AY64</f>
        <v>1200</v>
      </c>
      <c r="AZ135" s="180"/>
      <c r="BA135" s="384">
        <f>BA64</f>
        <v>750</v>
      </c>
      <c r="BB135" s="180"/>
      <c r="BC135" s="384">
        <f>BC64</f>
        <v>750</v>
      </c>
      <c r="BD135" s="180"/>
      <c r="BE135" s="384">
        <f>BE64</f>
        <v>750</v>
      </c>
      <c r="BF135" s="180"/>
      <c r="BG135" s="384">
        <f>BG64</f>
        <v>750</v>
      </c>
      <c r="BH135" s="180"/>
      <c r="BI135" s="384">
        <f>BI64</f>
        <v>750</v>
      </c>
      <c r="BJ135" s="180"/>
      <c r="BK135" s="384">
        <f>BK64</f>
        <v>750</v>
      </c>
      <c r="BL135" s="180"/>
      <c r="BM135" s="384">
        <f>BM64</f>
        <v>750</v>
      </c>
      <c r="BN135" s="180"/>
      <c r="BO135" s="384">
        <f>BO64</f>
        <v>750</v>
      </c>
      <c r="BP135" s="180"/>
      <c r="BQ135" s="384">
        <f>BQ64</f>
        <v>750</v>
      </c>
      <c r="BR135" s="180"/>
      <c r="BS135" s="384">
        <f>BS64</f>
        <v>750</v>
      </c>
      <c r="BV135" s="180"/>
      <c r="BW135" s="384">
        <f>BW64</f>
        <v>750</v>
      </c>
      <c r="BX135" s="180"/>
      <c r="BY135" s="384">
        <f t="shared" ref="BY135" si="126">BY64</f>
        <v>750</v>
      </c>
    </row>
    <row r="136" spans="1:77" outlineLevel="3" x14ac:dyDescent="0.45">
      <c r="A136" s="561"/>
      <c r="B136" s="1187"/>
      <c r="C136" s="161" t="s">
        <v>388</v>
      </c>
      <c r="D136" s="162"/>
      <c r="E136" s="179"/>
      <c r="F136" s="180"/>
      <c r="G136" s="224">
        <v>1280.5463664496854</v>
      </c>
      <c r="H136" s="180"/>
      <c r="I136" s="224">
        <v>1783.969667577815</v>
      </c>
      <c r="J136" s="180"/>
      <c r="K136" s="224">
        <v>1477.5570272259015</v>
      </c>
      <c r="L136" s="180"/>
      <c r="M136" s="224">
        <v>1132.0267068705577</v>
      </c>
      <c r="N136" s="180"/>
      <c r="O136" s="224">
        <v>1579.2622133599205</v>
      </c>
      <c r="P136" s="180"/>
      <c r="Q136" s="224">
        <v>1294.8165025632682</v>
      </c>
      <c r="R136" s="180"/>
      <c r="S136" s="224">
        <v>1298.7807773541904</v>
      </c>
      <c r="T136" s="180"/>
      <c r="U136" s="224">
        <v>1231.375358166189</v>
      </c>
      <c r="V136" s="180"/>
      <c r="W136" s="224">
        <v>1009.3987923339458</v>
      </c>
      <c r="X136" s="180"/>
      <c r="Y136" s="224">
        <v>716.94064122923726</v>
      </c>
      <c r="Z136" s="180"/>
      <c r="AA136" s="224">
        <v>599.98768545076211</v>
      </c>
      <c r="AB136" s="180"/>
      <c r="AC136" s="224">
        <v>572.57742509936509</v>
      </c>
      <c r="AD136" s="180"/>
      <c r="AE136" s="384">
        <v>402.3877665544332</v>
      </c>
      <c r="AF136" s="380"/>
      <c r="AG136" s="384">
        <v>157.57857974388824</v>
      </c>
      <c r="AH136" s="380"/>
      <c r="AI136" s="384">
        <v>671.53977758768178</v>
      </c>
      <c r="AJ136" s="380"/>
      <c r="AK136" s="384">
        <v>23.339901477832512</v>
      </c>
      <c r="AL136" s="380"/>
      <c r="AM136" s="384">
        <v>460</v>
      </c>
      <c r="AN136" s="380"/>
      <c r="AO136" s="384">
        <v>150</v>
      </c>
      <c r="AP136" s="380"/>
      <c r="AQ136" s="384">
        <v>105</v>
      </c>
      <c r="AR136" s="380"/>
      <c r="AS136" s="384">
        <v>105</v>
      </c>
      <c r="AT136" s="380"/>
      <c r="AU136" s="384">
        <v>105</v>
      </c>
      <c r="AV136" s="380"/>
      <c r="AW136" s="384">
        <v>93</v>
      </c>
      <c r="AX136" s="380"/>
      <c r="AY136" s="384">
        <v>60</v>
      </c>
      <c r="AZ136" s="380"/>
      <c r="BA136" s="384">
        <v>60</v>
      </c>
      <c r="BB136" s="380"/>
      <c r="BC136" s="384">
        <v>55</v>
      </c>
      <c r="BD136" s="380"/>
      <c r="BE136" s="384">
        <v>76</v>
      </c>
      <c r="BF136" s="380"/>
      <c r="BG136" s="384">
        <v>49</v>
      </c>
      <c r="BH136" s="380"/>
      <c r="BI136" s="384">
        <v>60</v>
      </c>
      <c r="BJ136" s="380"/>
      <c r="BK136" s="384">
        <v>89.7</v>
      </c>
      <c r="BL136" s="380"/>
      <c r="BM136" s="384">
        <v>295.30472103004291</v>
      </c>
      <c r="BN136" s="380"/>
      <c r="BO136" s="384">
        <v>212</v>
      </c>
      <c r="BP136" s="380"/>
      <c r="BQ136" s="384">
        <v>49</v>
      </c>
      <c r="BR136" s="380"/>
      <c r="BS136" s="384">
        <v>61.756756756756758</v>
      </c>
      <c r="BV136" s="380"/>
      <c r="BW136" s="384">
        <v>49</v>
      </c>
      <c r="BX136" s="380"/>
      <c r="BY136" s="384">
        <v>200</v>
      </c>
    </row>
    <row r="137" spans="1:77" ht="14.45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180"/>
      <c r="I137" s="224" t="e">
        <f>#REF!</f>
        <v>#REF!</v>
      </c>
      <c r="J137" s="180"/>
      <c r="K137" s="224" t="e">
        <f>#REF!</f>
        <v>#REF!</v>
      </c>
      <c r="L137" s="180"/>
      <c r="M137" s="224" t="e">
        <f>#REF!</f>
        <v>#REF!</v>
      </c>
      <c r="N137" s="180"/>
      <c r="O137" s="224" t="e">
        <f>#REF!</f>
        <v>#REF!</v>
      </c>
      <c r="P137" s="180"/>
      <c r="Q137" s="224" t="e">
        <f>#REF!</f>
        <v>#REF!</v>
      </c>
      <c r="R137" s="180"/>
      <c r="S137" s="224" t="e">
        <f>#REF!</f>
        <v>#REF!</v>
      </c>
      <c r="T137" s="180"/>
      <c r="U137" s="224" t="e">
        <f>#REF!</f>
        <v>#REF!</v>
      </c>
      <c r="V137" s="180"/>
      <c r="W137" s="224" t="e">
        <f>#REF!</f>
        <v>#REF!</v>
      </c>
      <c r="X137" s="180"/>
      <c r="Y137" s="224" t="e">
        <f>#REF!</f>
        <v>#REF!</v>
      </c>
      <c r="Z137" s="180"/>
      <c r="AA137" s="224" t="e">
        <f>#REF!</f>
        <v>#REF!</v>
      </c>
      <c r="AB137" s="180"/>
      <c r="AC137" s="224" t="e">
        <f>#REF!</f>
        <v>#REF!</v>
      </c>
      <c r="AD137" s="180"/>
      <c r="AE137" s="224" t="e">
        <f>#REF!</f>
        <v>#REF!</v>
      </c>
      <c r="AF137" s="180"/>
      <c r="AG137" s="224" t="e">
        <f>#REF!</f>
        <v>#REF!</v>
      </c>
      <c r="AH137" s="180"/>
      <c r="AI137" s="224" t="e">
        <f>#REF!</f>
        <v>#REF!</v>
      </c>
      <c r="AJ137" s="180"/>
      <c r="AK137" s="224" t="e">
        <f>#REF!</f>
        <v>#REF!</v>
      </c>
      <c r="AL137" s="180"/>
      <c r="AM137" s="224" t="e">
        <f>#REF!</f>
        <v>#REF!</v>
      </c>
      <c r="AN137" s="180"/>
      <c r="AO137" s="224" t="e">
        <f>#REF!</f>
        <v>#REF!</v>
      </c>
      <c r="AP137" s="180"/>
      <c r="AQ137" s="224" t="e">
        <f>#REF!</f>
        <v>#REF!</v>
      </c>
      <c r="AR137" s="180"/>
      <c r="AS137" s="224" t="e">
        <f>#REF!</f>
        <v>#REF!</v>
      </c>
      <c r="AT137" s="180"/>
      <c r="AU137" s="224" t="e">
        <f>#REF!</f>
        <v>#REF!</v>
      </c>
      <c r="AV137" s="180"/>
      <c r="AW137" s="224" t="e">
        <f>#REF!</f>
        <v>#REF!</v>
      </c>
      <c r="AX137" s="180"/>
      <c r="AY137" s="224" t="e">
        <f>#REF!</f>
        <v>#REF!</v>
      </c>
      <c r="AZ137" s="180"/>
      <c r="BA137" s="224" t="e">
        <f>#REF!</f>
        <v>#REF!</v>
      </c>
      <c r="BB137" s="180"/>
      <c r="BC137" s="224" t="e">
        <f>#REF!</f>
        <v>#REF!</v>
      </c>
      <c r="BD137" s="180"/>
      <c r="BE137" s="224" t="e">
        <f>#REF!</f>
        <v>#REF!</v>
      </c>
      <c r="BF137" s="180"/>
      <c r="BG137" s="224" t="e">
        <f>#REF!</f>
        <v>#REF!</v>
      </c>
      <c r="BH137" s="180"/>
      <c r="BI137" s="224" t="e">
        <f>#REF!</f>
        <v>#REF!</v>
      </c>
      <c r="BJ137" s="180"/>
      <c r="BK137" s="224" t="e">
        <f>#REF!</f>
        <v>#REF!</v>
      </c>
      <c r="BL137" s="180"/>
      <c r="BM137" s="224" t="e">
        <f>#REF!</f>
        <v>#REF!</v>
      </c>
      <c r="BN137" s="180"/>
      <c r="BO137" s="224" t="e">
        <f>#REF!</f>
        <v>#REF!</v>
      </c>
      <c r="BP137" s="180"/>
      <c r="BQ137" s="224" t="e">
        <f>#REF!</f>
        <v>#REF!</v>
      </c>
      <c r="BR137" s="180"/>
      <c r="BS137" s="224" t="e">
        <f>#REF!</f>
        <v>#REF!</v>
      </c>
      <c r="BV137" s="180"/>
      <c r="BW137" s="224" t="e">
        <f>#REF!</f>
        <v>#REF!</v>
      </c>
      <c r="BX137" s="180"/>
      <c r="BY137" s="224" t="e">
        <f>#REF!</f>
        <v>#REF!</v>
      </c>
    </row>
    <row r="138" spans="1:77" ht="14.45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180"/>
      <c r="I138" s="224">
        <v>750</v>
      </c>
      <c r="J138" s="180"/>
      <c r="K138" s="224">
        <v>750</v>
      </c>
      <c r="L138" s="180"/>
      <c r="M138" s="224">
        <v>750</v>
      </c>
      <c r="N138" s="180"/>
      <c r="O138" s="224">
        <v>750</v>
      </c>
      <c r="P138" s="180"/>
      <c r="Q138" s="224">
        <v>750</v>
      </c>
      <c r="R138" s="180"/>
      <c r="S138" s="224">
        <v>750</v>
      </c>
      <c r="T138" s="180"/>
      <c r="U138" s="224">
        <v>750</v>
      </c>
      <c r="V138" s="180"/>
      <c r="W138" s="224">
        <v>750</v>
      </c>
      <c r="X138" s="180"/>
      <c r="Y138" s="224">
        <v>750</v>
      </c>
      <c r="Z138" s="180"/>
      <c r="AA138" s="224">
        <v>750</v>
      </c>
      <c r="AB138" s="180"/>
      <c r="AC138" s="224">
        <v>750</v>
      </c>
      <c r="AD138" s="180"/>
      <c r="AE138" s="224">
        <v>750</v>
      </c>
      <c r="AF138" s="180"/>
      <c r="AG138" s="224">
        <v>750</v>
      </c>
      <c r="AH138" s="180"/>
      <c r="AI138" s="224">
        <v>750</v>
      </c>
      <c r="AJ138" s="180"/>
      <c r="AK138" s="224">
        <v>750</v>
      </c>
      <c r="AL138" s="180"/>
      <c r="AM138" s="224">
        <v>750</v>
      </c>
      <c r="AN138" s="180"/>
      <c r="AO138" s="224">
        <v>750</v>
      </c>
      <c r="AP138" s="180"/>
      <c r="AQ138" s="224">
        <v>750</v>
      </c>
      <c r="AR138" s="180"/>
      <c r="AS138" s="224">
        <v>750</v>
      </c>
      <c r="AT138" s="180"/>
      <c r="AU138" s="224">
        <v>750</v>
      </c>
      <c r="AV138" s="180"/>
      <c r="AW138" s="224">
        <v>750</v>
      </c>
      <c r="AX138" s="180"/>
      <c r="AY138" s="224">
        <v>750</v>
      </c>
      <c r="AZ138" s="180"/>
      <c r="BA138" s="224">
        <v>750</v>
      </c>
      <c r="BB138" s="180"/>
      <c r="BC138" s="224">
        <v>750</v>
      </c>
      <c r="BD138" s="180"/>
      <c r="BE138" s="224">
        <v>750</v>
      </c>
      <c r="BF138" s="180"/>
      <c r="BG138" s="224">
        <v>750</v>
      </c>
      <c r="BH138" s="180"/>
      <c r="BI138" s="224">
        <v>750</v>
      </c>
      <c r="BJ138" s="180"/>
      <c r="BK138" s="224">
        <v>750</v>
      </c>
      <c r="BL138" s="180"/>
      <c r="BM138" s="224">
        <v>750</v>
      </c>
      <c r="BN138" s="180"/>
      <c r="BO138" s="224">
        <v>750</v>
      </c>
      <c r="BP138" s="180"/>
      <c r="BQ138" s="224">
        <v>750</v>
      </c>
      <c r="BR138" s="180"/>
      <c r="BS138" s="224">
        <v>750</v>
      </c>
      <c r="BV138" s="180"/>
      <c r="BW138" s="224">
        <v>750</v>
      </c>
      <c r="BX138" s="180"/>
      <c r="BY138" s="224">
        <v>750</v>
      </c>
    </row>
    <row r="139" spans="1:77" ht="14.45" customHeight="1" outlineLevel="4" x14ac:dyDescent="0.45">
      <c r="A139" s="561"/>
      <c r="B139" s="1187"/>
      <c r="C139" s="225" t="s">
        <v>130</v>
      </c>
      <c r="D139" s="162"/>
      <c r="E139" s="179"/>
      <c r="F139" s="164"/>
      <c r="G139" s="171"/>
      <c r="H139" s="164"/>
      <c r="I139" s="171"/>
      <c r="J139" s="164"/>
      <c r="K139" s="171"/>
      <c r="L139" s="164"/>
      <c r="M139" s="171"/>
      <c r="N139" s="164"/>
      <c r="O139" s="171"/>
      <c r="P139" s="164"/>
      <c r="Q139" s="171"/>
      <c r="R139" s="164"/>
      <c r="S139" s="171"/>
      <c r="T139" s="164"/>
      <c r="U139" s="171"/>
      <c r="V139" s="164"/>
      <c r="W139" s="171"/>
      <c r="X139" s="164"/>
      <c r="Y139" s="171"/>
      <c r="Z139" s="164"/>
      <c r="AA139" s="171"/>
      <c r="AB139" s="164"/>
      <c r="AC139" s="171"/>
      <c r="AD139" s="164"/>
      <c r="AE139" s="171"/>
      <c r="AF139" s="164"/>
      <c r="AG139" s="171"/>
      <c r="AH139" s="164"/>
      <c r="AI139" s="171"/>
      <c r="AJ139" s="164"/>
      <c r="AK139" s="171"/>
      <c r="AL139" s="164"/>
      <c r="AM139" s="171"/>
      <c r="AN139" s="164"/>
      <c r="AO139" s="171"/>
      <c r="AP139" s="164"/>
      <c r="AQ139" s="171"/>
      <c r="AR139" s="164"/>
      <c r="AS139" s="171"/>
      <c r="AT139" s="164"/>
      <c r="AU139" s="171"/>
      <c r="AV139" s="164"/>
      <c r="AW139" s="171"/>
      <c r="AX139" s="164"/>
      <c r="AY139" s="171"/>
      <c r="AZ139" s="164"/>
      <c r="BA139" s="171"/>
      <c r="BB139" s="164"/>
      <c r="BC139" s="171"/>
      <c r="BD139" s="164"/>
      <c r="BE139" s="171"/>
      <c r="BF139" s="164"/>
      <c r="BG139" s="171"/>
      <c r="BH139" s="164"/>
      <c r="BI139" s="171"/>
      <c r="BJ139" s="164"/>
      <c r="BK139" s="171"/>
      <c r="BL139" s="164"/>
      <c r="BM139" s="171"/>
      <c r="BN139" s="164"/>
      <c r="BO139" s="171"/>
      <c r="BP139" s="164"/>
      <c r="BQ139" s="171"/>
      <c r="BR139" s="164"/>
      <c r="BS139" s="171"/>
      <c r="BV139" s="164"/>
      <c r="BW139" s="171"/>
      <c r="BX139" s="164"/>
      <c r="BY139" s="171"/>
    </row>
    <row r="140" spans="1:77" outlineLevel="3" x14ac:dyDescent="0.45">
      <c r="A140" s="561"/>
      <c r="B140" s="1187"/>
      <c r="C140" s="170"/>
      <c r="D140" s="162"/>
      <c r="E140" s="176"/>
      <c r="F140" s="177"/>
      <c r="G140" s="178"/>
      <c r="H140" s="177"/>
      <c r="I140" s="178"/>
      <c r="J140" s="177"/>
      <c r="K140" s="178"/>
      <c r="L140" s="177"/>
      <c r="M140" s="178"/>
      <c r="N140" s="177"/>
      <c r="O140" s="178"/>
      <c r="P140" s="177"/>
      <c r="Q140" s="178"/>
      <c r="R140" s="177"/>
      <c r="S140" s="178"/>
      <c r="T140" s="177"/>
      <c r="U140" s="178"/>
      <c r="V140" s="177"/>
      <c r="W140" s="178"/>
      <c r="X140" s="177"/>
      <c r="Y140" s="178"/>
      <c r="Z140" s="177"/>
      <c r="AA140" s="178"/>
      <c r="AB140" s="177"/>
      <c r="AC140" s="178"/>
      <c r="AD140" s="177"/>
      <c r="AE140" s="178"/>
      <c r="AF140" s="177"/>
      <c r="AG140" s="178"/>
      <c r="AH140" s="177"/>
      <c r="AI140" s="178"/>
      <c r="AJ140" s="177"/>
      <c r="AK140" s="178"/>
      <c r="AL140" s="177"/>
      <c r="AM140" s="178"/>
      <c r="AN140" s="177"/>
      <c r="AO140" s="178"/>
      <c r="AP140" s="177"/>
      <c r="AQ140" s="178"/>
      <c r="AR140" s="177"/>
      <c r="AS140" s="178"/>
      <c r="AT140" s="177"/>
      <c r="AU140" s="178"/>
      <c r="AV140" s="177"/>
      <c r="AW140" s="178"/>
      <c r="AX140" s="177"/>
      <c r="AY140" s="178"/>
      <c r="AZ140" s="177"/>
      <c r="BA140" s="178"/>
      <c r="BB140" s="177"/>
      <c r="BC140" s="178"/>
      <c r="BD140" s="177"/>
      <c r="BE140" s="178"/>
      <c r="BF140" s="177"/>
      <c r="BG140" s="178"/>
      <c r="BH140" s="177"/>
      <c r="BI140" s="178"/>
      <c r="BJ140" s="177"/>
      <c r="BK140" s="178"/>
      <c r="BL140" s="177"/>
      <c r="BM140" s="178"/>
      <c r="BN140" s="177"/>
      <c r="BO140" s="178"/>
      <c r="BP140" s="177"/>
      <c r="BQ140" s="178"/>
      <c r="BR140" s="177"/>
      <c r="BS140" s="178"/>
      <c r="BV140" s="177"/>
      <c r="BW140" s="178"/>
      <c r="BX140" s="177"/>
      <c r="BY140" s="178"/>
    </row>
    <row r="141" spans="1:77" outlineLevel="3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80.546366449685365</v>
      </c>
      <c r="H141" s="229"/>
      <c r="I141" s="230">
        <f>I136-I135</f>
        <v>583.96966757781502</v>
      </c>
      <c r="J141" s="229"/>
      <c r="K141" s="230">
        <f>K136-K135</f>
        <v>277.55702722590149</v>
      </c>
      <c r="L141" s="229"/>
      <c r="M141" s="230">
        <f>M136-M135</f>
        <v>-67.973293129442254</v>
      </c>
      <c r="N141" s="229"/>
      <c r="O141" s="230">
        <f>O136-O135</f>
        <v>379.26221335992045</v>
      </c>
      <c r="P141" s="229"/>
      <c r="Q141" s="230">
        <f>Q136-Q135</f>
        <v>94.816502563268159</v>
      </c>
      <c r="R141" s="229"/>
      <c r="S141" s="230">
        <f>S136-S135</f>
        <v>98.780777354190377</v>
      </c>
      <c r="T141" s="229"/>
      <c r="U141" s="230">
        <f>U136-U135</f>
        <v>31.375358166189017</v>
      </c>
      <c r="V141" s="229"/>
      <c r="W141" s="230">
        <f>W136-W135</f>
        <v>-190.60120766605417</v>
      </c>
      <c r="X141" s="229"/>
      <c r="Y141" s="230">
        <f>Y136-Y135</f>
        <v>-483.05935877076274</v>
      </c>
      <c r="Z141" s="229"/>
      <c r="AA141" s="230">
        <f>AA136-AA135</f>
        <v>-600.01231454923789</v>
      </c>
      <c r="AB141" s="229"/>
      <c r="AC141" s="230">
        <f>AC136-AC135</f>
        <v>-627.42257490063491</v>
      </c>
      <c r="AD141" s="229"/>
      <c r="AE141" s="230">
        <f>AE136-AE135</f>
        <v>-797.61223344556674</v>
      </c>
      <c r="AF141" s="229"/>
      <c r="AG141" s="230">
        <f>AG136-AG135</f>
        <v>-1042.4214202561118</v>
      </c>
      <c r="AH141" s="229"/>
      <c r="AI141" s="230">
        <f>AI136-AI135</f>
        <v>-528.46022241231822</v>
      </c>
      <c r="AJ141" s="229"/>
      <c r="AK141" s="230">
        <f>AK136-AK135</f>
        <v>-1176.6600985221676</v>
      </c>
      <c r="AL141" s="229"/>
      <c r="AM141" s="230">
        <f>AM136-AM135</f>
        <v>-740</v>
      </c>
      <c r="AN141" s="229"/>
      <c r="AO141" s="230">
        <f>AO136-AO135</f>
        <v>-1050</v>
      </c>
      <c r="AP141" s="229"/>
      <c r="AQ141" s="230">
        <f>AQ136-AQ135</f>
        <v>-1095</v>
      </c>
      <c r="AR141" s="229"/>
      <c r="AS141" s="230">
        <f>AS136-AS135</f>
        <v>-1095</v>
      </c>
      <c r="AT141" s="229"/>
      <c r="AU141" s="230">
        <f>AU136-AU135</f>
        <v>-1095</v>
      </c>
      <c r="AV141" s="229"/>
      <c r="AW141" s="230">
        <f>AW136-AW135</f>
        <v>-1107</v>
      </c>
      <c r="AX141" s="229"/>
      <c r="AY141" s="230">
        <f>AY136-AY135</f>
        <v>-1140</v>
      </c>
      <c r="AZ141" s="229"/>
      <c r="BA141" s="230">
        <f>BA136-BA135</f>
        <v>-690</v>
      </c>
      <c r="BB141" s="229"/>
      <c r="BC141" s="230">
        <f>BC136-BC135</f>
        <v>-695</v>
      </c>
      <c r="BD141" s="229"/>
      <c r="BE141" s="230">
        <f>BE136-BE135</f>
        <v>-674</v>
      </c>
      <c r="BF141" s="229"/>
      <c r="BG141" s="230">
        <f>BG136-BG135</f>
        <v>-701</v>
      </c>
      <c r="BH141" s="229"/>
      <c r="BI141" s="230">
        <f>BI136-BI135</f>
        <v>-690</v>
      </c>
      <c r="BJ141" s="229"/>
      <c r="BK141" s="230">
        <f>BK136-BK135</f>
        <v>-660.3</v>
      </c>
      <c r="BL141" s="229"/>
      <c r="BM141" s="230">
        <f>BM136-BM135</f>
        <v>-454.69527896995709</v>
      </c>
      <c r="BN141" s="229"/>
      <c r="BO141" s="230">
        <f>BO136-BO135</f>
        <v>-538</v>
      </c>
      <c r="BP141" s="229"/>
      <c r="BQ141" s="230">
        <f>BQ136-BQ135</f>
        <v>-701</v>
      </c>
      <c r="BR141" s="229"/>
      <c r="BS141" s="230">
        <f>BS136-BS135</f>
        <v>-688.24324324324323</v>
      </c>
      <c r="BV141" s="229"/>
      <c r="BW141" s="230">
        <f>BW136-BW135</f>
        <v>-701</v>
      </c>
      <c r="BX141" s="229"/>
      <c r="BY141" s="230">
        <f t="shared" ref="BY141" si="127">BY136-BY135</f>
        <v>-550</v>
      </c>
    </row>
    <row r="142" spans="1:77" outlineLevel="3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578.30613061573058</v>
      </c>
      <c r="H142" s="229"/>
      <c r="I142" s="230">
        <f>I141*I130</f>
        <v>4192.7805528612998</v>
      </c>
      <c r="J142" s="229"/>
      <c r="K142" s="230">
        <f>K141*K130</f>
        <v>1992.8016311013007</v>
      </c>
      <c r="L142" s="229"/>
      <c r="M142" s="230">
        <f>M141*M130</f>
        <v>-488.03408356666006</v>
      </c>
      <c r="N142" s="229"/>
      <c r="O142" s="230">
        <f>O141*O130</f>
        <v>2723.0236789631122</v>
      </c>
      <c r="P142" s="229"/>
      <c r="Q142" s="230">
        <f>Q141*Q130</f>
        <v>680.76273496623139</v>
      </c>
      <c r="R142" s="229"/>
      <c r="S142" s="230">
        <f>S141*S130</f>
        <v>709.22540207447139</v>
      </c>
      <c r="T142" s="229"/>
      <c r="U142" s="230">
        <f>U141*U130</f>
        <v>225.26853510028585</v>
      </c>
      <c r="V142" s="229"/>
      <c r="W142" s="230">
        <f>W141*W130</f>
        <v>-1368.4769624573385</v>
      </c>
      <c r="X142" s="229"/>
      <c r="Y142" s="230">
        <f>Y141*Y130</f>
        <v>-3468.2655586076658</v>
      </c>
      <c r="Z142" s="229"/>
      <c r="AA142" s="230">
        <f>AA141*AA130</f>
        <v>-4307.963415897997</v>
      </c>
      <c r="AB142" s="229"/>
      <c r="AC142" s="230">
        <f>AC141*AC130</f>
        <v>-4504.7633747501213</v>
      </c>
      <c r="AD142" s="229"/>
      <c r="AE142" s="230">
        <f>AE141*AE130</f>
        <v>-5726.6896669238677</v>
      </c>
      <c r="AF142" s="229"/>
      <c r="AG142" s="230">
        <f>AG141*AG130</f>
        <v>-7484.3686263096624</v>
      </c>
      <c r="AH142" s="229"/>
      <c r="AI142" s="230">
        <f>AI141*AI130</f>
        <v>-3794.2343010407753</v>
      </c>
      <c r="AJ142" s="229"/>
      <c r="AK142" s="230">
        <f>AK141*AK130</f>
        <v>-8448.1743698686369</v>
      </c>
      <c r="AL142" s="229"/>
      <c r="AM142" s="230">
        <f>AM141*AM130</f>
        <v>-5313.0458333333336</v>
      </c>
      <c r="AN142" s="229"/>
      <c r="AO142" s="230">
        <f>AO141*AO130</f>
        <v>-7538.78125</v>
      </c>
      <c r="AP142" s="229"/>
      <c r="AQ142" s="230">
        <f>AQ141*AQ130</f>
        <v>-7861.8718749999998</v>
      </c>
      <c r="AR142" s="229"/>
      <c r="AS142" s="230">
        <f>AS141*AS130</f>
        <v>-7861.8718749999998</v>
      </c>
      <c r="AT142" s="229"/>
      <c r="AU142" s="230">
        <f>AU141*AU130</f>
        <v>-7861.8718749999998</v>
      </c>
      <c r="AV142" s="229"/>
      <c r="AW142" s="230">
        <f>AW141*AW130</f>
        <v>-7948.0293750000001</v>
      </c>
      <c r="AX142" s="229"/>
      <c r="AY142" s="230">
        <f>AY141*AY130</f>
        <v>-8184.9624999999996</v>
      </c>
      <c r="AZ142" s="229"/>
      <c r="BA142" s="230">
        <f>BA141*BA130</f>
        <v>-4954.0562499999996</v>
      </c>
      <c r="BB142" s="229"/>
      <c r="BC142" s="230">
        <f>BC141*BC130</f>
        <v>-4989.9552083333328</v>
      </c>
      <c r="BD142" s="229"/>
      <c r="BE142" s="230">
        <f>BE141*BE130</f>
        <v>-5026.6310322441032</v>
      </c>
      <c r="BF142" s="229"/>
      <c r="BG142" s="230">
        <f>BG141*BG130</f>
        <v>-5227.9945899156028</v>
      </c>
      <c r="BH142" s="229"/>
      <c r="BI142" s="230">
        <f>BI141*BI130</f>
        <v>-5145.9575849383255</v>
      </c>
      <c r="BJ142" s="229"/>
      <c r="BK142" s="230">
        <f>BK141*BK130</f>
        <v>-4924.4576714996747</v>
      </c>
      <c r="BL142" s="229"/>
      <c r="BM142" s="230">
        <f>BM141*BM130</f>
        <v>-3391.0762603639105</v>
      </c>
      <c r="BN142" s="229"/>
      <c r="BO142" s="230">
        <f>BO141*BO130</f>
        <v>-4012.3553343432159</v>
      </c>
      <c r="BP142" s="229"/>
      <c r="BQ142" s="230">
        <f>BQ141*BQ130</f>
        <v>-5227.9945899156028</v>
      </c>
      <c r="BR142" s="229"/>
      <c r="BS142" s="230">
        <f>BS141*BS130</f>
        <v>-5132.8558519566959</v>
      </c>
      <c r="BV142" s="229"/>
      <c r="BW142" s="230">
        <f>BW141*BW130</f>
        <v>-5033.0339583333334</v>
      </c>
      <c r="BX142" s="229"/>
      <c r="BY142" s="230">
        <f t="shared" ref="BY142" si="128">BY141*BY130</f>
        <v>-4101.8502488638824</v>
      </c>
    </row>
    <row r="143" spans="1:77" outlineLevel="2" x14ac:dyDescent="0.4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235"/>
      <c r="O143" s="236"/>
      <c r="P143" s="235"/>
      <c r="Q143" s="236"/>
      <c r="R143" s="235"/>
      <c r="S143" s="236"/>
      <c r="T143" s="235"/>
      <c r="U143" s="236"/>
      <c r="V143" s="235"/>
      <c r="W143" s="236"/>
      <c r="X143" s="235"/>
      <c r="Y143" s="236"/>
      <c r="Z143" s="235"/>
      <c r="AA143" s="236"/>
      <c r="AB143" s="235"/>
      <c r="AC143" s="236"/>
      <c r="AD143" s="235"/>
      <c r="AE143" s="236"/>
      <c r="AF143" s="235"/>
      <c r="AG143" s="236"/>
      <c r="AH143" s="235"/>
      <c r="AI143" s="236"/>
      <c r="AJ143" s="235"/>
      <c r="AK143" s="236"/>
      <c r="AL143" s="235"/>
      <c r="AM143" s="236"/>
      <c r="AN143" s="235"/>
      <c r="AO143" s="236"/>
      <c r="AP143" s="235"/>
      <c r="AQ143" s="236"/>
      <c r="AR143" s="235"/>
      <c r="AS143" s="236"/>
      <c r="AT143" s="235"/>
      <c r="AU143" s="236"/>
      <c r="AV143" s="235"/>
      <c r="AW143" s="236"/>
      <c r="AX143" s="235"/>
      <c r="AY143" s="236"/>
      <c r="AZ143" s="235"/>
      <c r="BA143" s="236"/>
      <c r="BB143" s="235"/>
      <c r="BC143" s="236"/>
      <c r="BD143" s="235"/>
      <c r="BE143" s="236"/>
      <c r="BF143" s="235"/>
      <c r="BG143" s="236"/>
      <c r="BH143" s="235"/>
      <c r="BI143" s="236"/>
      <c r="BJ143" s="235"/>
      <c r="BK143" s="236"/>
      <c r="BL143" s="235"/>
      <c r="BM143" s="236"/>
      <c r="BN143" s="235"/>
      <c r="BO143" s="236"/>
      <c r="BP143" s="235"/>
      <c r="BQ143" s="236"/>
      <c r="BR143" s="235"/>
      <c r="BS143" s="236"/>
      <c r="BV143" s="235"/>
      <c r="BW143" s="236"/>
      <c r="BX143" s="235"/>
      <c r="BY143" s="236"/>
    </row>
    <row r="144" spans="1:77" ht="15.75" customHeight="1" outlineLevel="3" thickBot="1" x14ac:dyDescent="0.5">
      <c r="A144" s="561"/>
      <c r="B144" s="1188"/>
      <c r="C144" s="301" t="s">
        <v>391</v>
      </c>
      <c r="D144" s="302"/>
      <c r="E144" s="303"/>
      <c r="F144" s="304"/>
      <c r="G144" s="305">
        <f>G98*G129</f>
        <v>15544.736495425006</v>
      </c>
      <c r="H144" s="304"/>
      <c r="I144" s="305">
        <f t="shared" ref="I144" si="129">I98*I129</f>
        <v>7071.8665135969259</v>
      </c>
      <c r="J144" s="304"/>
      <c r="K144" s="305">
        <f t="shared" ref="K144" si="130">K98*K129</f>
        <v>8729.5692153503642</v>
      </c>
      <c r="L144" s="304"/>
      <c r="M144" s="305">
        <f t="shared" ref="M144" si="131">M98*M129</f>
        <v>11403.550995929938</v>
      </c>
      <c r="N144" s="304"/>
      <c r="O144" s="305">
        <f t="shared" ref="O144" si="132">O98*O129</f>
        <v>-1435.5592061569776</v>
      </c>
      <c r="P144" s="304"/>
      <c r="Q144" s="305">
        <f t="shared" ref="Q144" si="133">Q98*Q129</f>
        <v>7990.7927196287665</v>
      </c>
      <c r="R144" s="304"/>
      <c r="S144" s="305">
        <f t="shared" ref="S144" si="134">S98*S129</f>
        <v>4460.7776247114552</v>
      </c>
      <c r="T144" s="304"/>
      <c r="U144" s="305">
        <f t="shared" ref="U144" si="135">U98*U129</f>
        <v>8696.5075114286592</v>
      </c>
      <c r="V144" s="304"/>
      <c r="W144" s="305">
        <f t="shared" ref="W144" si="136">W98*W129</f>
        <v>15794.619717700751</v>
      </c>
      <c r="X144" s="304"/>
      <c r="Y144" s="305">
        <f t="shared" ref="Y144" si="137">Y98*Y129</f>
        <v>18496.674731150582</v>
      </c>
      <c r="Z144" s="304"/>
      <c r="AA144" s="305">
        <f t="shared" ref="AA144" si="138">AA98*AA129</f>
        <v>20278.307940245857</v>
      </c>
      <c r="AB144" s="304"/>
      <c r="AC144" s="305">
        <f t="shared" ref="AC144" si="139">AC98*AC129</f>
        <v>31052.81170312563</v>
      </c>
      <c r="AD144" s="304"/>
      <c r="AE144" s="305">
        <f>AE98*AE132</f>
        <v>3747.0048483898977</v>
      </c>
      <c r="AF144" s="304"/>
      <c r="AG144" s="305">
        <f>AG98*AG132</f>
        <v>1527.4526403091313</v>
      </c>
      <c r="AH144" s="304"/>
      <c r="AI144" s="305">
        <f>AI98*AI132</f>
        <v>7230.4090578966561</v>
      </c>
      <c r="AJ144" s="304"/>
      <c r="AK144" s="305">
        <f>AK98*AK132</f>
        <v>171.64423288364273</v>
      </c>
      <c r="AL144" s="304"/>
      <c r="AM144" s="305">
        <f>AM98*AM132</f>
        <v>6058.7002842279217</v>
      </c>
      <c r="AN144" s="304"/>
      <c r="AO144" s="305">
        <f>AO98*AO132</f>
        <v>10286.340397630802</v>
      </c>
      <c r="AP144" s="304"/>
      <c r="AQ144" s="305">
        <f>AQ98*AQ132</f>
        <v>8478.1606351735736</v>
      </c>
      <c r="AR144" s="304"/>
      <c r="AS144" s="305">
        <f>AS98*AS132</f>
        <v>8993.1683096675897</v>
      </c>
      <c r="AT144" s="304"/>
      <c r="AU144" s="305">
        <f>AU98*AU132</f>
        <v>22646.487734326478</v>
      </c>
      <c r="AV144" s="304"/>
      <c r="AW144" s="305">
        <f>AW98*AW132</f>
        <v>0</v>
      </c>
      <c r="AX144" s="304"/>
      <c r="AY144" s="305">
        <f>AY98*AY132</f>
        <v>0</v>
      </c>
      <c r="AZ144" s="304"/>
      <c r="BA144" s="305">
        <f>BA98*BA132</f>
        <v>0</v>
      </c>
      <c r="BB144" s="304"/>
      <c r="BC144" s="305">
        <f>BC98*BC132</f>
        <v>0</v>
      </c>
      <c r="BD144" s="304"/>
      <c r="BE144" s="305">
        <f>BE98*BE132</f>
        <v>0</v>
      </c>
      <c r="BF144" s="304"/>
      <c r="BG144" s="305">
        <f>BG98*BG132</f>
        <v>0</v>
      </c>
      <c r="BH144" s="304"/>
      <c r="BI144" s="305">
        <f>BI98*BI132</f>
        <v>0</v>
      </c>
      <c r="BJ144" s="304"/>
      <c r="BK144" s="305">
        <f>BK98*BK132</f>
        <v>0</v>
      </c>
      <c r="BL144" s="304"/>
      <c r="BM144" s="305">
        <f>BM98*BM132</f>
        <v>0</v>
      </c>
      <c r="BN144" s="304"/>
      <c r="BO144" s="305">
        <f>BO98*BO132</f>
        <v>0</v>
      </c>
      <c r="BP144" s="304"/>
      <c r="BQ144" s="305">
        <f>BQ98*BQ132</f>
        <v>0</v>
      </c>
      <c r="BR144" s="304"/>
      <c r="BS144" s="305">
        <f>BS98*BS132</f>
        <v>0</v>
      </c>
      <c r="BV144" s="304"/>
      <c r="BW144" s="305">
        <f>BW98*BW132</f>
        <v>0</v>
      </c>
      <c r="BX144" s="304"/>
      <c r="BY144" s="305">
        <f>BY98*BY132</f>
        <v>0</v>
      </c>
    </row>
    <row r="145" spans="11:11" ht="14.65" outlineLevel="2" thickTop="1" x14ac:dyDescent="0.45"/>
    <row r="146" spans="11:11" outlineLevel="2" x14ac:dyDescent="0.45"/>
    <row r="147" spans="11:11" outlineLevel="1" x14ac:dyDescent="0.45">
      <c r="K147" s="1105"/>
    </row>
    <row r="148" spans="11:11" x14ac:dyDescent="0.45">
      <c r="K148" s="1105"/>
    </row>
    <row r="149" spans="11:11" x14ac:dyDescent="0.45">
      <c r="K149" s="1017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258">
    <mergeCell ref="BR2:BS2"/>
    <mergeCell ref="BR3:BS3"/>
    <mergeCell ref="BR4:BS5"/>
    <mergeCell ref="BR6:BS6"/>
    <mergeCell ref="BR7:BS7"/>
    <mergeCell ref="BR8:BS8"/>
    <mergeCell ref="BR9:BS9"/>
    <mergeCell ref="BJ2:BK2"/>
    <mergeCell ref="BJ3:BK3"/>
    <mergeCell ref="BJ4:BK5"/>
    <mergeCell ref="BJ6:BK6"/>
    <mergeCell ref="BJ7:BK7"/>
    <mergeCell ref="BJ8:BK8"/>
    <mergeCell ref="BJ9:BK9"/>
    <mergeCell ref="BL2:BM2"/>
    <mergeCell ref="BL3:BM3"/>
    <mergeCell ref="BL4:BM5"/>
    <mergeCell ref="BL6:BM6"/>
    <mergeCell ref="BL7:BM7"/>
    <mergeCell ref="BL8:BM8"/>
    <mergeCell ref="BL9:BM9"/>
    <mergeCell ref="BN2:BO2"/>
    <mergeCell ref="BN3:BO3"/>
    <mergeCell ref="BN4:BO5"/>
    <mergeCell ref="BH2:BI2"/>
    <mergeCell ref="BH3:BI3"/>
    <mergeCell ref="BH4:BI5"/>
    <mergeCell ref="BH6:BI6"/>
    <mergeCell ref="BH7:BI7"/>
    <mergeCell ref="BH8:BI8"/>
    <mergeCell ref="BH9:BI9"/>
    <mergeCell ref="BF2:BG2"/>
    <mergeCell ref="BF3:BG3"/>
    <mergeCell ref="BF4:BG5"/>
    <mergeCell ref="BF6:BG6"/>
    <mergeCell ref="BF7:BG7"/>
    <mergeCell ref="BF8:BG8"/>
    <mergeCell ref="BF9:BG9"/>
    <mergeCell ref="BB2:BC2"/>
    <mergeCell ref="BB3:BC3"/>
    <mergeCell ref="BB4:BC5"/>
    <mergeCell ref="BB6:BC6"/>
    <mergeCell ref="BB7:BC7"/>
    <mergeCell ref="BB8:BC8"/>
    <mergeCell ref="BB9:BC9"/>
    <mergeCell ref="BD2:BE2"/>
    <mergeCell ref="BD3:BE3"/>
    <mergeCell ref="BD4:BE5"/>
    <mergeCell ref="BD6:BE6"/>
    <mergeCell ref="BD7:BE7"/>
    <mergeCell ref="BD8:BE8"/>
    <mergeCell ref="BD9:BE9"/>
    <mergeCell ref="AP2:AQ2"/>
    <mergeCell ref="AP3:AQ3"/>
    <mergeCell ref="AP4:AQ5"/>
    <mergeCell ref="AP6:AQ6"/>
    <mergeCell ref="AP7:AQ7"/>
    <mergeCell ref="AP8:AQ8"/>
    <mergeCell ref="AP9:AQ9"/>
    <mergeCell ref="CC64:CD67"/>
    <mergeCell ref="AX9:AY9"/>
    <mergeCell ref="AX2:AY2"/>
    <mergeCell ref="AX3:AY3"/>
    <mergeCell ref="AX4:AY5"/>
    <mergeCell ref="AX6:AY6"/>
    <mergeCell ref="AX7:AY7"/>
    <mergeCell ref="AX8:AY8"/>
    <mergeCell ref="CC60:CD63"/>
    <mergeCell ref="AZ3:BA3"/>
    <mergeCell ref="AZ4:BA5"/>
    <mergeCell ref="AZ6:BA6"/>
    <mergeCell ref="AZ7:BA7"/>
    <mergeCell ref="AZ8:BA8"/>
    <mergeCell ref="AZ9:BA9"/>
    <mergeCell ref="AZ2:BA2"/>
    <mergeCell ref="AT2:AU2"/>
    <mergeCell ref="AT3:AU3"/>
    <mergeCell ref="AT4:AU5"/>
    <mergeCell ref="AT6:AU6"/>
    <mergeCell ref="AT7:AU7"/>
    <mergeCell ref="AT8:AU8"/>
    <mergeCell ref="AT9:AU9"/>
    <mergeCell ref="AR2:AS2"/>
    <mergeCell ref="AR3:AS3"/>
    <mergeCell ref="AR4:AS5"/>
    <mergeCell ref="AR6:AS6"/>
    <mergeCell ref="AR7:AS7"/>
    <mergeCell ref="AR8:AS8"/>
    <mergeCell ref="AR9:AS9"/>
    <mergeCell ref="AV9:AW9"/>
    <mergeCell ref="AV8:AW8"/>
    <mergeCell ref="AV7:AW7"/>
    <mergeCell ref="AV6:AW6"/>
    <mergeCell ref="AV4:AW5"/>
    <mergeCell ref="AV3:AW3"/>
    <mergeCell ref="AV2:AW2"/>
    <mergeCell ref="AF9:AG9"/>
    <mergeCell ref="AH9:AI9"/>
    <mergeCell ref="AF6:AG6"/>
    <mergeCell ref="AH6:AI6"/>
    <mergeCell ref="AJ2:AK2"/>
    <mergeCell ref="AL2:AM2"/>
    <mergeCell ref="AN2:AO2"/>
    <mergeCell ref="AJ3:AK3"/>
    <mergeCell ref="AL3:AM3"/>
    <mergeCell ref="AN3:AO3"/>
    <mergeCell ref="AJ4:AK5"/>
    <mergeCell ref="AL4:AM5"/>
    <mergeCell ref="AN4:AO5"/>
    <mergeCell ref="AJ6:AK6"/>
    <mergeCell ref="AL6:AM6"/>
    <mergeCell ref="AN6:AO6"/>
    <mergeCell ref="AJ7:AK7"/>
    <mergeCell ref="AJ8:AK8"/>
    <mergeCell ref="AL8:AM8"/>
    <mergeCell ref="AN8:AO8"/>
    <mergeCell ref="AJ9:AK9"/>
    <mergeCell ref="AL9:AM9"/>
    <mergeCell ref="AN9:AO9"/>
    <mergeCell ref="AL7:AM7"/>
    <mergeCell ref="AD7:AE7"/>
    <mergeCell ref="AF7:AG7"/>
    <mergeCell ref="AH7:AI7"/>
    <mergeCell ref="AD8:AE8"/>
    <mergeCell ref="AF8:AG8"/>
    <mergeCell ref="AH8:AI8"/>
    <mergeCell ref="AN7:AO7"/>
    <mergeCell ref="AF2:AG2"/>
    <mergeCell ref="AH2:AI2"/>
    <mergeCell ref="AD3:AE3"/>
    <mergeCell ref="AF3:AG3"/>
    <mergeCell ref="AH3:AI3"/>
    <mergeCell ref="AD4:AE5"/>
    <mergeCell ref="AF4:AG5"/>
    <mergeCell ref="AH4:AI5"/>
    <mergeCell ref="B40:B46"/>
    <mergeCell ref="F9:G9"/>
    <mergeCell ref="H9:I9"/>
    <mergeCell ref="J9:K9"/>
    <mergeCell ref="L9:M9"/>
    <mergeCell ref="N9:O9"/>
    <mergeCell ref="X7:Y7"/>
    <mergeCell ref="Z7:AA7"/>
    <mergeCell ref="AB7:AC7"/>
    <mergeCell ref="F8:G8"/>
    <mergeCell ref="H8:I8"/>
    <mergeCell ref="J8:K8"/>
    <mergeCell ref="L8:M8"/>
    <mergeCell ref="N8:O8"/>
    <mergeCell ref="P8:Q8"/>
    <mergeCell ref="R8:S8"/>
    <mergeCell ref="B71:B84"/>
    <mergeCell ref="B100:B113"/>
    <mergeCell ref="B124:B144"/>
    <mergeCell ref="AD2:AE2"/>
    <mergeCell ref="AD6:AE6"/>
    <mergeCell ref="AD9:AE9"/>
    <mergeCell ref="AB9:AC9"/>
    <mergeCell ref="D12:E12"/>
    <mergeCell ref="B15:B21"/>
    <mergeCell ref="B22:B27"/>
    <mergeCell ref="B28:B33"/>
    <mergeCell ref="B34:B39"/>
    <mergeCell ref="P9:Q9"/>
    <mergeCell ref="R9:S9"/>
    <mergeCell ref="T9:U9"/>
    <mergeCell ref="V9:W9"/>
    <mergeCell ref="X9:Y9"/>
    <mergeCell ref="Z9:AA9"/>
    <mergeCell ref="T8:U8"/>
    <mergeCell ref="V8:W8"/>
    <mergeCell ref="X8:Y8"/>
    <mergeCell ref="Z8:AA8"/>
    <mergeCell ref="AB8:AC8"/>
    <mergeCell ref="T7:U7"/>
    <mergeCell ref="B47:B70"/>
    <mergeCell ref="F4:G5"/>
    <mergeCell ref="H4:I5"/>
    <mergeCell ref="J4:K5"/>
    <mergeCell ref="L4:M5"/>
    <mergeCell ref="N4:O5"/>
    <mergeCell ref="P4:Q5"/>
    <mergeCell ref="B6:B13"/>
    <mergeCell ref="F6:G6"/>
    <mergeCell ref="H6:I6"/>
    <mergeCell ref="J6:K6"/>
    <mergeCell ref="L6:M6"/>
    <mergeCell ref="N6:O6"/>
    <mergeCell ref="F7:G7"/>
    <mergeCell ref="H7:I7"/>
    <mergeCell ref="J7:K7"/>
    <mergeCell ref="L7:M7"/>
    <mergeCell ref="F3:G3"/>
    <mergeCell ref="H3:I3"/>
    <mergeCell ref="J3:K3"/>
    <mergeCell ref="L3:M3"/>
    <mergeCell ref="N3:O3"/>
    <mergeCell ref="P3:Q3"/>
    <mergeCell ref="BV2:BW2"/>
    <mergeCell ref="BV3:BW3"/>
    <mergeCell ref="N7:O7"/>
    <mergeCell ref="P7:Q7"/>
    <mergeCell ref="F2:G2"/>
    <mergeCell ref="H2:I2"/>
    <mergeCell ref="J2:K2"/>
    <mergeCell ref="L2:M2"/>
    <mergeCell ref="N2:O2"/>
    <mergeCell ref="P2:Q2"/>
    <mergeCell ref="R3:S3"/>
    <mergeCell ref="V7:W7"/>
    <mergeCell ref="P6:Q6"/>
    <mergeCell ref="R6:S6"/>
    <mergeCell ref="T6:U6"/>
    <mergeCell ref="V6:W6"/>
    <mergeCell ref="X6:Y6"/>
    <mergeCell ref="Z6:AA6"/>
    <mergeCell ref="X4:Y5"/>
    <mergeCell ref="Z4:AA5"/>
    <mergeCell ref="AB4:AC5"/>
    <mergeCell ref="R4:S5"/>
    <mergeCell ref="T4:U5"/>
    <mergeCell ref="V4:W5"/>
    <mergeCell ref="AB6:AC6"/>
    <mergeCell ref="R7:S7"/>
    <mergeCell ref="T3:U3"/>
    <mergeCell ref="V3:W3"/>
    <mergeCell ref="R2:S2"/>
    <mergeCell ref="T2:U2"/>
    <mergeCell ref="V2:W2"/>
    <mergeCell ref="X2:Y2"/>
    <mergeCell ref="Z2:AA2"/>
    <mergeCell ref="AB2:AC2"/>
    <mergeCell ref="X3:Y3"/>
    <mergeCell ref="Z3:AA3"/>
    <mergeCell ref="AB3:AC3"/>
    <mergeCell ref="BN6:BO6"/>
    <mergeCell ref="BN7:BO7"/>
    <mergeCell ref="BN8:BO8"/>
    <mergeCell ref="BN9:BO9"/>
    <mergeCell ref="BP2:BQ2"/>
    <mergeCell ref="BP3:BQ3"/>
    <mergeCell ref="BP4:BQ5"/>
    <mergeCell ref="BP6:BQ6"/>
    <mergeCell ref="BP7:BQ7"/>
    <mergeCell ref="BP8:BQ8"/>
    <mergeCell ref="BP9:BQ9"/>
    <mergeCell ref="BX2:BY2"/>
    <mergeCell ref="BX3:BY3"/>
    <mergeCell ref="BX4:BY5"/>
    <mergeCell ref="BX6:BY6"/>
    <mergeCell ref="BX7:BY7"/>
    <mergeCell ref="BX8:BY8"/>
    <mergeCell ref="BX9:BY9"/>
    <mergeCell ref="BV4:BW5"/>
    <mergeCell ref="BV6:BW6"/>
    <mergeCell ref="BV7:BW7"/>
    <mergeCell ref="BV8:BW8"/>
    <mergeCell ref="BV9:BW9"/>
  </mergeCells>
  <pageMargins left="0.7" right="0.7" top="0.75" bottom="0.75" header="0.3" footer="0.3"/>
  <pageSetup paperSize="8" scale="62" fitToWidth="0" orientation="portrait" verticalDpi="598" r:id="rId1"/>
  <customProperties>
    <customPr name="_pios_id" r:id="rId2"/>
  </customProperties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7735-5EE6-421F-A98E-AA8AE6939280}">
  <sheetPr>
    <pageSetUpPr fitToPage="1"/>
  </sheetPr>
  <dimension ref="A1:T178"/>
  <sheetViews>
    <sheetView showGridLines="0" zoomScale="85" zoomScaleNormal="85" zoomScaleSheetLayoutView="80" workbookViewId="0">
      <pane xSplit="5" ySplit="6" topLeftCell="F85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4" x14ac:dyDescent="0.45"/>
  <cols>
    <col min="1" max="1" width="2.1328125" customWidth="1"/>
    <col min="2" max="2" width="9.1328125" customWidth="1"/>
    <col min="3" max="3" width="33.265625" customWidth="1"/>
    <col min="4" max="4" width="10.86328125" customWidth="1"/>
    <col min="5" max="5" width="14" customWidth="1"/>
    <col min="6" max="6" width="3.1328125" customWidth="1"/>
    <col min="7" max="10" width="12.86328125" customWidth="1"/>
    <col min="11" max="11" width="4" customWidth="1"/>
    <col min="12" max="15" width="12.86328125" customWidth="1"/>
    <col min="16" max="16" width="3.59765625" customWidth="1"/>
    <col min="17" max="20" width="12.86328125" hidden="1" customWidth="1"/>
  </cols>
  <sheetData>
    <row r="1" spans="1:20" x14ac:dyDescent="0.45">
      <c r="G1" s="1285"/>
      <c r="H1" s="1286"/>
      <c r="I1" s="1286"/>
      <c r="J1" s="1287"/>
      <c r="K1" s="283"/>
      <c r="L1" s="1285"/>
      <c r="M1" s="1286"/>
      <c r="N1" s="1286"/>
      <c r="O1" s="1287"/>
      <c r="P1" s="4"/>
      <c r="Q1" s="1284" t="s">
        <v>732</v>
      </c>
      <c r="R1" s="1284"/>
      <c r="S1" s="1284"/>
      <c r="T1" s="1284"/>
    </row>
    <row r="2" spans="1:20" ht="16.899999999999999" customHeight="1" thickBot="1" x14ac:dyDescent="0.5">
      <c r="G2" s="1231" t="str">
        <f>G4</f>
        <v>PMKS 12</v>
      </c>
      <c r="H2" s="1231"/>
      <c r="I2" s="1231" t="str">
        <f>I4</f>
        <v>PMKS 12</v>
      </c>
      <c r="J2" s="1231"/>
      <c r="K2" s="1172"/>
      <c r="L2" s="1231" t="str">
        <f>L4</f>
        <v>PMKF 12</v>
      </c>
      <c r="M2" s="1231"/>
      <c r="N2" s="1231" t="str">
        <f>N4</f>
        <v>PMKF 12</v>
      </c>
      <c r="O2" s="1231"/>
      <c r="P2" s="4"/>
      <c r="Q2" s="1231" t="str">
        <f>Q4</f>
        <v>PMKS 12</v>
      </c>
      <c r="R2" s="1231"/>
      <c r="S2" s="1231" t="str">
        <f>S4</f>
        <v>PMKF 12</v>
      </c>
      <c r="T2" s="1231"/>
    </row>
    <row r="3" spans="1:20" s="4" customFormat="1" ht="24" customHeight="1" thickTop="1" thickBot="1" x14ac:dyDescent="0.5">
      <c r="A3" s="561"/>
      <c r="B3" s="2" t="s">
        <v>0</v>
      </c>
      <c r="C3" s="3"/>
      <c r="E3" s="5"/>
      <c r="G3" s="1256" t="s">
        <v>750</v>
      </c>
      <c r="H3" s="1257"/>
      <c r="I3" s="1256" t="s">
        <v>727</v>
      </c>
      <c r="J3" s="1257"/>
      <c r="L3" s="1256" t="s">
        <v>750</v>
      </c>
      <c r="M3" s="1257"/>
      <c r="N3" s="1256" t="s">
        <v>727</v>
      </c>
      <c r="O3" s="1257"/>
      <c r="Q3" s="1256" t="s">
        <v>708</v>
      </c>
      <c r="R3" s="1257"/>
      <c r="S3" s="1256" t="s">
        <v>708</v>
      </c>
      <c r="T3" s="1257"/>
    </row>
    <row r="4" spans="1:20" s="4" customFormat="1" ht="13.15" customHeight="1" thickTop="1" x14ac:dyDescent="0.45">
      <c r="A4" s="561"/>
      <c r="B4" s="2"/>
      <c r="C4" s="3"/>
      <c r="D4" s="6"/>
      <c r="E4" s="245"/>
      <c r="G4" s="1275" t="s">
        <v>748</v>
      </c>
      <c r="H4" s="1276"/>
      <c r="I4" s="1275" t="s">
        <v>748</v>
      </c>
      <c r="J4" s="1276"/>
      <c r="L4" s="1275" t="s">
        <v>749</v>
      </c>
      <c r="M4" s="1276"/>
      <c r="N4" s="1275" t="s">
        <v>749</v>
      </c>
      <c r="O4" s="1276"/>
      <c r="Q4" s="1275" t="s">
        <v>748</v>
      </c>
      <c r="R4" s="1276"/>
      <c r="S4" s="1275" t="s">
        <v>749</v>
      </c>
      <c r="T4" s="1276"/>
    </row>
    <row r="5" spans="1:20" s="4" customFormat="1" ht="14.65" thickBot="1" x14ac:dyDescent="0.5">
      <c r="A5" s="561"/>
      <c r="B5" s="7"/>
      <c r="E5" s="245"/>
      <c r="G5" s="1238"/>
      <c r="H5" s="1239"/>
      <c r="I5" s="1238"/>
      <c r="J5" s="1239"/>
      <c r="L5" s="1238"/>
      <c r="M5" s="1239"/>
      <c r="N5" s="1238"/>
      <c r="O5" s="1239"/>
      <c r="Q5" s="1238"/>
      <c r="R5" s="1239"/>
      <c r="S5" s="1238"/>
      <c r="T5" s="1239"/>
    </row>
    <row r="6" spans="1:20" s="7" customFormat="1" ht="15.75" hidden="1" customHeight="1" thickTop="1" x14ac:dyDescent="0.45">
      <c r="A6" s="561"/>
      <c r="B6" s="1202" t="s">
        <v>5</v>
      </c>
      <c r="C6" s="8" t="s">
        <v>6</v>
      </c>
      <c r="D6" s="9"/>
      <c r="E6" s="246"/>
      <c r="G6" s="1205"/>
      <c r="H6" s="1206"/>
      <c r="I6" s="1205"/>
      <c r="J6" s="1206"/>
      <c r="K6" s="4"/>
      <c r="L6" s="1205"/>
      <c r="M6" s="1206"/>
      <c r="N6" s="1205"/>
      <c r="O6" s="1206"/>
      <c r="P6" s="4"/>
      <c r="Q6" s="1205"/>
      <c r="R6" s="1206"/>
      <c r="S6" s="1205"/>
      <c r="T6" s="1206"/>
    </row>
    <row r="7" spans="1:20" s="7" customFormat="1" ht="36.75" customHeight="1" thickTop="1" x14ac:dyDescent="0.45">
      <c r="A7" s="561"/>
      <c r="B7" s="1203"/>
      <c r="C7" s="10" t="s">
        <v>11</v>
      </c>
      <c r="D7" s="11"/>
      <c r="E7" s="247"/>
      <c r="G7" s="1282">
        <v>437902</v>
      </c>
      <c r="H7" s="1283"/>
      <c r="I7" s="1282">
        <v>437902</v>
      </c>
      <c r="J7" s="1283"/>
      <c r="K7" s="4"/>
      <c r="L7" s="1282">
        <v>437842</v>
      </c>
      <c r="M7" s="1283"/>
      <c r="N7" s="1282">
        <v>437842</v>
      </c>
      <c r="O7" s="1283"/>
      <c r="P7" s="4"/>
      <c r="Q7" s="1282">
        <v>437902</v>
      </c>
      <c r="R7" s="1283"/>
      <c r="S7" s="1282">
        <v>437842</v>
      </c>
      <c r="T7" s="1283"/>
    </row>
    <row r="8" spans="1:20" s="7" customFormat="1" x14ac:dyDescent="0.45">
      <c r="A8" s="561"/>
      <c r="B8" s="1203"/>
      <c r="C8" s="12" t="s">
        <v>12</v>
      </c>
      <c r="D8" s="11"/>
      <c r="E8" s="11"/>
      <c r="G8" s="1269">
        <f>H60</f>
        <v>4.8495744680851072</v>
      </c>
      <c r="H8" s="1270"/>
      <c r="I8" s="1269">
        <f>J60</f>
        <v>4.8495744680851072</v>
      </c>
      <c r="J8" s="1270"/>
      <c r="K8" s="4"/>
      <c r="L8" s="1269">
        <f>M60</f>
        <v>4.8495744680851072</v>
      </c>
      <c r="M8" s="1270"/>
      <c r="N8" s="1269">
        <f>O60</f>
        <v>4.8495744680851072</v>
      </c>
      <c r="O8" s="1270"/>
      <c r="P8" s="4"/>
      <c r="Q8" s="1269">
        <f>R60</f>
        <v>4.8495744680851072</v>
      </c>
      <c r="R8" s="1270"/>
      <c r="S8" s="1269">
        <f>T60</f>
        <v>4.8495744680851072</v>
      </c>
      <c r="T8" s="1270"/>
    </row>
    <row r="9" spans="1:20" s="7" customFormat="1" x14ac:dyDescent="0.45">
      <c r="A9" s="561"/>
      <c r="B9" s="1203"/>
      <c r="C9" s="13" t="s">
        <v>14</v>
      </c>
      <c r="D9" s="14"/>
      <c r="E9" s="14"/>
      <c r="G9" s="1271" t="str">
        <f>CONCATENATE("TP $",TEXT(H57,"#,##0.00"),"/ctn")</f>
        <v>TP $1.30/ctn</v>
      </c>
      <c r="H9" s="1272"/>
      <c r="I9" s="1271" t="str">
        <f>CONCATENATE("TP $",TEXT(J57,"#,##0.00"),"/ctn")</f>
        <v>TP $1.30/ctn</v>
      </c>
      <c r="J9" s="1272"/>
      <c r="K9" s="4"/>
      <c r="L9" s="1271" t="str">
        <f>CONCATENATE("TP $",TEXT(M57,"#,##0.00"),"/ctn")</f>
        <v>TP $1.30/ctn</v>
      </c>
      <c r="M9" s="1272"/>
      <c r="N9" s="1271" t="str">
        <f>CONCATENATE("TP $",TEXT(O57,"#,##0.00"),"/ctn")</f>
        <v>TP $1.30/ctn</v>
      </c>
      <c r="O9" s="1272"/>
      <c r="P9" s="4"/>
      <c r="Q9" s="1271" t="str">
        <f>CONCATENATE("TP $",TEXT(R57,"#,##0.00"),"/ctn")</f>
        <v>TP $1.30/ctn</v>
      </c>
      <c r="R9" s="1272"/>
      <c r="S9" s="1271" t="str">
        <f>CONCATENATE("TP $",TEXT(T57,"#,##0.00"),"/ctn")</f>
        <v>TP $1.30/ctn</v>
      </c>
      <c r="T9" s="1272"/>
    </row>
    <row r="10" spans="1:20" s="4" customFormat="1" x14ac:dyDescent="0.45">
      <c r="A10" s="561"/>
      <c r="B10" s="1203"/>
      <c r="C10" s="15" t="s">
        <v>23</v>
      </c>
      <c r="D10" s="16"/>
      <c r="E10" s="16"/>
      <c r="G10" s="348" t="str">
        <f>RIGHT(G2,2)</f>
        <v>12</v>
      </c>
      <c r="H10" s="349" t="str">
        <f>+G10</f>
        <v>12</v>
      </c>
      <c r="I10" s="348" t="str">
        <f>RIGHT(I2,2)</f>
        <v>12</v>
      </c>
      <c r="J10" s="349" t="str">
        <f>+I10</f>
        <v>12</v>
      </c>
      <c r="L10" s="348" t="str">
        <f>RIGHT(L2,2)</f>
        <v>12</v>
      </c>
      <c r="M10" s="349" t="str">
        <f>+L10</f>
        <v>12</v>
      </c>
      <c r="N10" s="348" t="str">
        <f>RIGHT(N2,2)</f>
        <v>12</v>
      </c>
      <c r="O10" s="349" t="str">
        <f>+N10</f>
        <v>12</v>
      </c>
      <c r="Q10" s="348" t="str">
        <f>RIGHT(Q2,2)</f>
        <v>12</v>
      </c>
      <c r="R10" s="349" t="str">
        <f>+Q10</f>
        <v>12</v>
      </c>
      <c r="S10" s="348" t="str">
        <f>RIGHT(S2,2)</f>
        <v>12</v>
      </c>
      <c r="T10" s="349" t="str">
        <f>+S10</f>
        <v>12</v>
      </c>
    </row>
    <row r="11" spans="1:20" s="4" customFormat="1" x14ac:dyDescent="0.45">
      <c r="A11" s="561"/>
      <c r="B11" s="1203"/>
      <c r="C11" s="19" t="s">
        <v>24</v>
      </c>
      <c r="D11" s="20"/>
      <c r="E11" s="20"/>
      <c r="G11" s="21" t="s">
        <v>25</v>
      </c>
      <c r="H11" s="22" t="s">
        <v>26</v>
      </c>
      <c r="I11" s="21" t="s">
        <v>25</v>
      </c>
      <c r="J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Q11" s="21" t="s">
        <v>25</v>
      </c>
      <c r="R11" s="22" t="s">
        <v>26</v>
      </c>
      <c r="S11" s="21" t="s">
        <v>25</v>
      </c>
      <c r="T11" s="22" t="s">
        <v>26</v>
      </c>
    </row>
    <row r="12" spans="1:20" s="4" customFormat="1" x14ac:dyDescent="0.45">
      <c r="A12" s="561"/>
      <c r="B12" s="1203"/>
      <c r="C12" s="15" t="s">
        <v>27</v>
      </c>
      <c r="D12" s="1192"/>
      <c r="E12" s="1193"/>
      <c r="G12" s="350">
        <v>4068.66</v>
      </c>
      <c r="H12" s="351"/>
      <c r="I12" s="350">
        <v>4068.66</v>
      </c>
      <c r="J12" s="351"/>
      <c r="L12" s="350">
        <v>4068.66</v>
      </c>
      <c r="M12" s="351"/>
      <c r="N12" s="350">
        <v>4068.66</v>
      </c>
      <c r="O12" s="351"/>
      <c r="Q12" s="350">
        <v>4000</v>
      </c>
      <c r="R12" s="351"/>
      <c r="S12" s="350">
        <v>4000</v>
      </c>
      <c r="T12" s="351"/>
    </row>
    <row r="13" spans="1:20" s="4" customFormat="1" x14ac:dyDescent="0.45">
      <c r="A13" s="561"/>
      <c r="B13" s="1204"/>
      <c r="C13" s="25"/>
      <c r="D13" s="26"/>
      <c r="E13" s="26"/>
      <c r="G13" s="352"/>
      <c r="H13" s="353"/>
      <c r="I13" s="352"/>
      <c r="J13" s="353"/>
      <c r="L13" s="352"/>
      <c r="M13" s="353"/>
      <c r="N13" s="352"/>
      <c r="O13" s="353"/>
      <c r="Q13" s="352"/>
      <c r="R13" s="353"/>
      <c r="S13" s="352"/>
      <c r="T13" s="353"/>
    </row>
    <row r="14" spans="1:20" s="4" customFormat="1" x14ac:dyDescent="0.45">
      <c r="A14" s="561"/>
      <c r="B14" s="29"/>
      <c r="C14" s="15"/>
      <c r="D14" s="16"/>
      <c r="E14" s="16"/>
      <c r="G14" s="354"/>
      <c r="H14" s="355"/>
      <c r="I14" s="354"/>
      <c r="J14" s="355"/>
      <c r="L14" s="354"/>
      <c r="M14" s="355"/>
      <c r="N14" s="354"/>
      <c r="O14" s="355"/>
      <c r="Q14" s="354"/>
      <c r="R14" s="355"/>
      <c r="S14" s="354"/>
      <c r="T14" s="355"/>
    </row>
    <row r="15" spans="1:20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G15" s="31">
        <v>2400</v>
      </c>
      <c r="H15" s="32">
        <f>+G15/G12</f>
        <v>0.58987479907389662</v>
      </c>
      <c r="I15" s="31">
        <v>2400</v>
      </c>
      <c r="J15" s="32">
        <f>+I15/I12</f>
        <v>0.58987479907389662</v>
      </c>
      <c r="L15" s="31">
        <v>2400</v>
      </c>
      <c r="M15" s="32">
        <f>+L15/L12</f>
        <v>0.58987479907389662</v>
      </c>
      <c r="N15" s="31">
        <v>2400</v>
      </c>
      <c r="O15" s="32">
        <f>+N15/N12</f>
        <v>0.58987479907389662</v>
      </c>
      <c r="Q15" s="31">
        <v>2700</v>
      </c>
      <c r="R15" s="32">
        <f>+Q15/Q12</f>
        <v>0.67500000000000004</v>
      </c>
      <c r="S15" s="31">
        <v>2700</v>
      </c>
      <c r="T15" s="32">
        <f>+S15/S12</f>
        <v>0.67500000000000004</v>
      </c>
    </row>
    <row r="16" spans="1:20" s="4" customFormat="1" ht="18" customHeight="1" x14ac:dyDescent="0.45">
      <c r="A16" s="561"/>
      <c r="B16" s="1194"/>
      <c r="C16" s="33" t="s">
        <v>30</v>
      </c>
      <c r="D16" s="20"/>
      <c r="E16" s="30"/>
      <c r="G16" s="31">
        <f t="shared" ref="G16:T16" si="0">+G15*G10</f>
        <v>28800</v>
      </c>
      <c r="H16" s="32">
        <f t="shared" si="0"/>
        <v>7.0784975888867594</v>
      </c>
      <c r="I16" s="31">
        <f t="shared" ref="I16:J16" si="1">+I15*I10</f>
        <v>28800</v>
      </c>
      <c r="J16" s="32">
        <f t="shared" si="1"/>
        <v>7.0784975888867594</v>
      </c>
      <c r="L16" s="31">
        <f t="shared" si="0"/>
        <v>28800</v>
      </c>
      <c r="M16" s="32">
        <f t="shared" si="0"/>
        <v>7.0784975888867594</v>
      </c>
      <c r="N16" s="31">
        <f t="shared" ref="N16:O16" si="2">+N15*N10</f>
        <v>28800</v>
      </c>
      <c r="O16" s="32">
        <f t="shared" si="2"/>
        <v>7.0784975888867594</v>
      </c>
      <c r="Q16" s="31">
        <f t="shared" si="0"/>
        <v>32400</v>
      </c>
      <c r="R16" s="32">
        <f t="shared" si="0"/>
        <v>8.1000000000000014</v>
      </c>
      <c r="S16" s="31">
        <f t="shared" si="0"/>
        <v>32400</v>
      </c>
      <c r="T16" s="32">
        <f t="shared" si="0"/>
        <v>8.1000000000000014</v>
      </c>
    </row>
    <row r="17" spans="1:20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G17" s="350">
        <v>0</v>
      </c>
      <c r="H17" s="351">
        <v>0</v>
      </c>
      <c r="I17" s="350">
        <v>0</v>
      </c>
      <c r="J17" s="351">
        <v>0</v>
      </c>
      <c r="L17" s="350">
        <v>0</v>
      </c>
      <c r="M17" s="351">
        <v>0</v>
      </c>
      <c r="N17" s="350">
        <v>0</v>
      </c>
      <c r="O17" s="351">
        <v>0</v>
      </c>
      <c r="Q17" s="350">
        <v>0</v>
      </c>
      <c r="R17" s="351">
        <v>0</v>
      </c>
      <c r="S17" s="350">
        <v>0</v>
      </c>
      <c r="T17" s="351">
        <v>0</v>
      </c>
    </row>
    <row r="18" spans="1:20" s="4" customFormat="1" ht="18" customHeight="1" x14ac:dyDescent="0.45">
      <c r="A18" s="561"/>
      <c r="B18" s="1194"/>
      <c r="C18" s="15" t="s">
        <v>33</v>
      </c>
      <c r="D18" s="16"/>
      <c r="E18" s="16"/>
      <c r="G18" s="356">
        <v>0</v>
      </c>
      <c r="H18" s="357">
        <v>0</v>
      </c>
      <c r="I18" s="356">
        <v>0</v>
      </c>
      <c r="J18" s="357">
        <v>0</v>
      </c>
      <c r="L18" s="356">
        <v>0</v>
      </c>
      <c r="M18" s="357">
        <v>0</v>
      </c>
      <c r="N18" s="356">
        <v>0</v>
      </c>
      <c r="O18" s="357">
        <v>0</v>
      </c>
      <c r="Q18" s="356">
        <v>0</v>
      </c>
      <c r="R18" s="357">
        <v>0</v>
      </c>
      <c r="S18" s="356">
        <v>0</v>
      </c>
      <c r="T18" s="357">
        <v>0</v>
      </c>
    </row>
    <row r="19" spans="1:20" s="4" customFormat="1" ht="18" customHeight="1" x14ac:dyDescent="0.45">
      <c r="A19" s="561"/>
      <c r="B19" s="1194"/>
      <c r="C19" s="19" t="s">
        <v>34</v>
      </c>
      <c r="D19" s="20"/>
      <c r="E19" s="30"/>
      <c r="G19" s="38">
        <f t="shared" ref="G19:T19" si="3">G15-G17</f>
        <v>2400</v>
      </c>
      <c r="H19" s="32">
        <f t="shared" si="3"/>
        <v>0.58987479907389662</v>
      </c>
      <c r="I19" s="38">
        <f t="shared" ref="I19:J19" si="4">I15-I17</f>
        <v>2400</v>
      </c>
      <c r="J19" s="32">
        <f t="shared" si="4"/>
        <v>0.58987479907389662</v>
      </c>
      <c r="L19" s="38">
        <f t="shared" si="3"/>
        <v>2400</v>
      </c>
      <c r="M19" s="32">
        <f t="shared" si="3"/>
        <v>0.58987479907389662</v>
      </c>
      <c r="N19" s="38">
        <f t="shared" ref="N19:O19" si="5">N15-N17</f>
        <v>2400</v>
      </c>
      <c r="O19" s="32">
        <f t="shared" si="5"/>
        <v>0.58987479907389662</v>
      </c>
      <c r="Q19" s="38">
        <f t="shared" si="3"/>
        <v>2700</v>
      </c>
      <c r="R19" s="32">
        <f t="shared" si="3"/>
        <v>0.67500000000000004</v>
      </c>
      <c r="S19" s="38">
        <f t="shared" si="3"/>
        <v>2700</v>
      </c>
      <c r="T19" s="32">
        <f t="shared" si="3"/>
        <v>0.67500000000000004</v>
      </c>
    </row>
    <row r="20" spans="1:20" s="4" customFormat="1" ht="18" customHeight="1" x14ac:dyDescent="0.45">
      <c r="A20" s="561"/>
      <c r="B20" s="1194"/>
      <c r="C20" s="19" t="s">
        <v>35</v>
      </c>
      <c r="D20" s="20"/>
      <c r="E20" s="30"/>
      <c r="G20" s="39">
        <f t="shared" ref="G20:T20" si="6">1/(1+G18)*G16</f>
        <v>28800</v>
      </c>
      <c r="H20" s="40">
        <f t="shared" si="6"/>
        <v>7.0784975888867594</v>
      </c>
      <c r="I20" s="39">
        <f t="shared" ref="I20:J20" si="7">1/(1+I18)*I16</f>
        <v>28800</v>
      </c>
      <c r="J20" s="40">
        <f t="shared" si="7"/>
        <v>7.0784975888867594</v>
      </c>
      <c r="L20" s="39">
        <f t="shared" si="6"/>
        <v>28800</v>
      </c>
      <c r="M20" s="40">
        <f t="shared" si="6"/>
        <v>7.0784975888867594</v>
      </c>
      <c r="N20" s="39">
        <f t="shared" ref="N20:O20" si="8">1/(1+N18)*N16</f>
        <v>28800</v>
      </c>
      <c r="O20" s="40">
        <f t="shared" si="8"/>
        <v>7.0784975888867594</v>
      </c>
      <c r="Q20" s="39">
        <f t="shared" si="6"/>
        <v>32400</v>
      </c>
      <c r="R20" s="40">
        <f t="shared" si="6"/>
        <v>8.1000000000000014</v>
      </c>
      <c r="S20" s="39">
        <f t="shared" si="6"/>
        <v>32400</v>
      </c>
      <c r="T20" s="40">
        <f t="shared" si="6"/>
        <v>8.1000000000000014</v>
      </c>
    </row>
    <row r="21" spans="1:20" s="4" customFormat="1" ht="18" customHeight="1" x14ac:dyDescent="0.45">
      <c r="A21" s="561"/>
      <c r="B21" s="1195"/>
      <c r="C21" s="25"/>
      <c r="D21" s="26"/>
      <c r="E21" s="26"/>
      <c r="G21" s="352"/>
      <c r="H21" s="358"/>
      <c r="I21" s="352"/>
      <c r="J21" s="358"/>
      <c r="L21" s="352"/>
      <c r="M21" s="358"/>
      <c r="N21" s="352"/>
      <c r="O21" s="358"/>
      <c r="Q21" s="352"/>
      <c r="R21" s="358"/>
      <c r="S21" s="352"/>
      <c r="T21" s="358"/>
    </row>
    <row r="22" spans="1:20" s="4" customFormat="1" ht="18" customHeight="1" x14ac:dyDescent="0.45">
      <c r="A22" s="561"/>
      <c r="B22" s="1196" t="s">
        <v>36</v>
      </c>
      <c r="C22" s="15"/>
      <c r="D22" s="16"/>
      <c r="E22" s="16"/>
      <c r="G22" s="359"/>
      <c r="H22" s="360"/>
      <c r="I22" s="359"/>
      <c r="J22" s="360"/>
      <c r="L22" s="359"/>
      <c r="M22" s="360"/>
      <c r="N22" s="359"/>
      <c r="O22" s="360"/>
      <c r="Q22" s="359"/>
      <c r="R22" s="360"/>
      <c r="S22" s="359"/>
      <c r="T22" s="360"/>
    </row>
    <row r="23" spans="1:20" s="49" customFormat="1" ht="18" customHeight="1" x14ac:dyDescent="0.45">
      <c r="A23" s="561"/>
      <c r="B23" s="1187"/>
      <c r="C23" s="44" t="s">
        <v>37</v>
      </c>
      <c r="D23" s="45"/>
      <c r="E23" s="46"/>
      <c r="G23" s="361">
        <f t="shared" ref="G23:T23" si="9">G24/G20</f>
        <v>0.20887166666666671</v>
      </c>
      <c r="H23" s="362">
        <f t="shared" si="9"/>
        <v>0.20887166666666679</v>
      </c>
      <c r="I23" s="361">
        <f t="shared" ref="I23:J23" si="10">I24/I20</f>
        <v>0.15236250000000004</v>
      </c>
      <c r="J23" s="362">
        <f t="shared" si="10"/>
        <v>0.15236250000000007</v>
      </c>
      <c r="K23" s="4"/>
      <c r="L23" s="361">
        <f t="shared" si="9"/>
        <v>0.20887166666666671</v>
      </c>
      <c r="M23" s="362">
        <f t="shared" si="9"/>
        <v>0.20887166666666679</v>
      </c>
      <c r="N23" s="361">
        <f t="shared" ref="N23:O23" si="11">N24/N20</f>
        <v>0.15236250000000004</v>
      </c>
      <c r="O23" s="362">
        <f t="shared" si="11"/>
        <v>0.15236250000000007</v>
      </c>
      <c r="P23" s="4"/>
      <c r="Q23" s="361">
        <f t="shared" si="9"/>
        <v>0.32098765432098764</v>
      </c>
      <c r="R23" s="362">
        <f t="shared" si="9"/>
        <v>0.32098765432098775</v>
      </c>
      <c r="S23" s="361">
        <f t="shared" si="9"/>
        <v>0.32098765432098764</v>
      </c>
      <c r="T23" s="362">
        <f t="shared" si="9"/>
        <v>0.32098765432098775</v>
      </c>
    </row>
    <row r="24" spans="1:20" s="4" customFormat="1" ht="18" customHeight="1" x14ac:dyDescent="0.45">
      <c r="A24" s="561"/>
      <c r="B24" s="1187"/>
      <c r="C24" s="15" t="s">
        <v>38</v>
      </c>
      <c r="D24" s="16"/>
      <c r="E24" s="35"/>
      <c r="G24" s="363">
        <f t="shared" ref="G24:T24" si="12">G20-G26</f>
        <v>6015.5040000000008</v>
      </c>
      <c r="H24" s="351">
        <f t="shared" si="12"/>
        <v>1.4784975888867598</v>
      </c>
      <c r="I24" s="363">
        <f t="shared" ref="I24:J24" si="13">I20-I26</f>
        <v>4388.0400000000009</v>
      </c>
      <c r="J24" s="351">
        <f t="shared" si="13"/>
        <v>1.0784975888867594</v>
      </c>
      <c r="L24" s="363">
        <f t="shared" si="12"/>
        <v>6015.5040000000008</v>
      </c>
      <c r="M24" s="351">
        <f t="shared" si="12"/>
        <v>1.4784975888867598</v>
      </c>
      <c r="N24" s="363">
        <f t="shared" ref="N24:O24" si="14">N20-N26</f>
        <v>4388.0400000000009</v>
      </c>
      <c r="O24" s="351">
        <f t="shared" si="14"/>
        <v>1.0784975888867594</v>
      </c>
      <c r="Q24" s="363">
        <f t="shared" si="12"/>
        <v>10400</v>
      </c>
      <c r="R24" s="351">
        <f t="shared" si="12"/>
        <v>2.6000000000000014</v>
      </c>
      <c r="S24" s="363">
        <f t="shared" si="12"/>
        <v>10400</v>
      </c>
      <c r="T24" s="351">
        <f t="shared" si="12"/>
        <v>2.6000000000000014</v>
      </c>
    </row>
    <row r="25" spans="1:20" s="4" customFormat="1" ht="18" customHeight="1" x14ac:dyDescent="0.45">
      <c r="A25" s="561"/>
      <c r="B25" s="1187"/>
      <c r="C25" s="51" t="s">
        <v>39</v>
      </c>
      <c r="D25" s="52"/>
      <c r="E25" s="53"/>
      <c r="G25" s="54">
        <f t="shared" ref="G25:T25" si="15">G26</f>
        <v>22784.495999999999</v>
      </c>
      <c r="H25" s="55">
        <f t="shared" si="15"/>
        <v>5.6</v>
      </c>
      <c r="I25" s="54">
        <f t="shared" si="15"/>
        <v>24411.96</v>
      </c>
      <c r="J25" s="55">
        <f t="shared" si="15"/>
        <v>6</v>
      </c>
      <c r="L25" s="54">
        <f t="shared" si="15"/>
        <v>22784.495999999999</v>
      </c>
      <c r="M25" s="55">
        <f t="shared" si="15"/>
        <v>5.6</v>
      </c>
      <c r="N25" s="54">
        <f t="shared" si="15"/>
        <v>24411.96</v>
      </c>
      <c r="O25" s="55">
        <f t="shared" si="15"/>
        <v>6</v>
      </c>
      <c r="Q25" s="54">
        <f t="shared" si="15"/>
        <v>22000</v>
      </c>
      <c r="R25" s="55">
        <f t="shared" si="15"/>
        <v>5.5</v>
      </c>
      <c r="S25" s="54">
        <f t="shared" si="15"/>
        <v>22000</v>
      </c>
      <c r="T25" s="55">
        <f t="shared" si="15"/>
        <v>5.5</v>
      </c>
    </row>
    <row r="26" spans="1:20" s="4" customFormat="1" ht="18" customHeight="1" x14ac:dyDescent="0.45">
      <c r="A26" s="561"/>
      <c r="B26" s="1187"/>
      <c r="C26" s="56" t="s">
        <v>40</v>
      </c>
      <c r="D26" s="52"/>
      <c r="E26" s="53"/>
      <c r="G26" s="54">
        <f>H26*G12</f>
        <v>22784.495999999999</v>
      </c>
      <c r="H26" s="57">
        <v>5.6</v>
      </c>
      <c r="I26" s="54">
        <f>J26*I12</f>
        <v>24411.96</v>
      </c>
      <c r="J26" s="57">
        <v>6</v>
      </c>
      <c r="L26" s="54">
        <f>M26*L12</f>
        <v>22784.495999999999</v>
      </c>
      <c r="M26" s="57">
        <v>5.6</v>
      </c>
      <c r="N26" s="54">
        <f>O26*N12</f>
        <v>24411.96</v>
      </c>
      <c r="O26" s="57">
        <v>6</v>
      </c>
      <c r="Q26" s="54">
        <f>R26*Q12</f>
        <v>22000</v>
      </c>
      <c r="R26" s="55">
        <v>5.5</v>
      </c>
      <c r="S26" s="54">
        <f>T26*S12</f>
        <v>22000</v>
      </c>
      <c r="T26" s="55">
        <v>5.5</v>
      </c>
    </row>
    <row r="27" spans="1:20" s="4" customFormat="1" ht="18" customHeight="1" x14ac:dyDescent="0.45">
      <c r="A27" s="561"/>
      <c r="B27" s="1189"/>
      <c r="C27" s="15"/>
      <c r="D27" s="16"/>
      <c r="E27" s="16"/>
      <c r="G27" s="359"/>
      <c r="H27" s="355"/>
      <c r="I27" s="359"/>
      <c r="J27" s="355"/>
      <c r="L27" s="359"/>
      <c r="M27" s="355"/>
      <c r="N27" s="359"/>
      <c r="O27" s="355"/>
      <c r="Q27" s="359"/>
      <c r="R27" s="355"/>
      <c r="S27" s="359"/>
      <c r="T27" s="355"/>
    </row>
    <row r="28" spans="1:20" s="4" customFormat="1" ht="18" customHeight="1" x14ac:dyDescent="0.45">
      <c r="A28" s="561"/>
      <c r="B28" s="1197" t="s">
        <v>41</v>
      </c>
      <c r="C28" s="58"/>
      <c r="D28" s="59"/>
      <c r="E28" s="59"/>
      <c r="G28" s="364"/>
      <c r="H28" s="360"/>
      <c r="I28" s="364"/>
      <c r="J28" s="360"/>
      <c r="L28" s="364"/>
      <c r="M28" s="360"/>
      <c r="N28" s="364"/>
      <c r="O28" s="360"/>
      <c r="Q28" s="364"/>
      <c r="R28" s="360"/>
      <c r="S28" s="364"/>
      <c r="T28" s="360"/>
    </row>
    <row r="29" spans="1:20" s="49" customFormat="1" ht="18" customHeight="1" x14ac:dyDescent="0.45">
      <c r="A29" s="561"/>
      <c r="B29" s="1194"/>
      <c r="C29" s="44" t="s">
        <v>42</v>
      </c>
      <c r="D29" s="45"/>
      <c r="E29" s="46"/>
      <c r="G29" s="361">
        <f t="shared" ref="G29:T29" si="16">G30/G26</f>
        <v>6.2499999999999958E-2</v>
      </c>
      <c r="H29" s="362">
        <f t="shared" si="16"/>
        <v>6.2499999999999938E-2</v>
      </c>
      <c r="I29" s="361">
        <f t="shared" ref="I29:J29" si="17">I30/I26</f>
        <v>8.3333333333333412E-2</v>
      </c>
      <c r="J29" s="362">
        <f t="shared" si="17"/>
        <v>8.3333333333333329E-2</v>
      </c>
      <c r="K29" s="4"/>
      <c r="L29" s="361">
        <f t="shared" si="16"/>
        <v>6.2499999999999958E-2</v>
      </c>
      <c r="M29" s="362">
        <f t="shared" si="16"/>
        <v>6.2499999999999938E-2</v>
      </c>
      <c r="N29" s="361">
        <f t="shared" ref="N29:O29" si="18">N30/N26</f>
        <v>8.3333333333333412E-2</v>
      </c>
      <c r="O29" s="362">
        <f t="shared" si="18"/>
        <v>8.3333333333333329E-2</v>
      </c>
      <c r="P29" s="4"/>
      <c r="Q29" s="361">
        <f t="shared" si="16"/>
        <v>0</v>
      </c>
      <c r="R29" s="362">
        <f t="shared" si="16"/>
        <v>0</v>
      </c>
      <c r="S29" s="361">
        <f t="shared" si="16"/>
        <v>0</v>
      </c>
      <c r="T29" s="362">
        <f t="shared" si="16"/>
        <v>0</v>
      </c>
    </row>
    <row r="30" spans="1:20" s="4" customFormat="1" ht="18" customHeight="1" x14ac:dyDescent="0.45">
      <c r="A30" s="561"/>
      <c r="B30" s="1194"/>
      <c r="C30" s="15" t="s">
        <v>43</v>
      </c>
      <c r="D30" s="16"/>
      <c r="E30" s="35"/>
      <c r="G30" s="363">
        <f t="shared" ref="G30:T30" si="19">G26-G32</f>
        <v>1424.030999999999</v>
      </c>
      <c r="H30" s="351">
        <f t="shared" si="19"/>
        <v>0.34999999999999964</v>
      </c>
      <c r="I30" s="363">
        <f t="shared" ref="I30:J30" si="20">I26-I32</f>
        <v>2034.3300000000017</v>
      </c>
      <c r="J30" s="351">
        <f t="shared" si="20"/>
        <v>0.5</v>
      </c>
      <c r="L30" s="363">
        <f t="shared" si="19"/>
        <v>1424.030999999999</v>
      </c>
      <c r="M30" s="351">
        <f t="shared" si="19"/>
        <v>0.34999999999999964</v>
      </c>
      <c r="N30" s="363">
        <f t="shared" ref="N30:O30" si="21">N26-N32</f>
        <v>2034.3300000000017</v>
      </c>
      <c r="O30" s="351">
        <f t="shared" si="21"/>
        <v>0.5</v>
      </c>
      <c r="Q30" s="363">
        <f t="shared" si="19"/>
        <v>0</v>
      </c>
      <c r="R30" s="351">
        <f t="shared" si="19"/>
        <v>0</v>
      </c>
      <c r="S30" s="363">
        <f t="shared" si="19"/>
        <v>0</v>
      </c>
      <c r="T30" s="351">
        <f t="shared" si="19"/>
        <v>0</v>
      </c>
    </row>
    <row r="31" spans="1:20" s="4" customFormat="1" ht="18" customHeight="1" x14ac:dyDescent="0.45">
      <c r="A31" s="561"/>
      <c r="B31" s="1194"/>
      <c r="C31" s="51" t="s">
        <v>44</v>
      </c>
      <c r="D31" s="52"/>
      <c r="E31" s="53"/>
      <c r="G31" s="54">
        <f>+G32</f>
        <v>21360.465</v>
      </c>
      <c r="H31" s="55">
        <f>H32</f>
        <v>5.25</v>
      </c>
      <c r="I31" s="54">
        <f>+I32</f>
        <v>22377.629999999997</v>
      </c>
      <c r="J31" s="55">
        <f>J32</f>
        <v>5.5</v>
      </c>
      <c r="L31" s="54">
        <f>+L32</f>
        <v>21360.465</v>
      </c>
      <c r="M31" s="55">
        <f>M32</f>
        <v>5.25</v>
      </c>
      <c r="N31" s="54">
        <f>+N32</f>
        <v>22377.629999999997</v>
      </c>
      <c r="O31" s="55">
        <f>O32</f>
        <v>5.5</v>
      </c>
      <c r="Q31" s="54">
        <f>+Q32</f>
        <v>22000</v>
      </c>
      <c r="R31" s="55">
        <f>R32</f>
        <v>5.5</v>
      </c>
      <c r="S31" s="54">
        <f>+S32</f>
        <v>22000</v>
      </c>
      <c r="T31" s="55">
        <f>T32</f>
        <v>5.5</v>
      </c>
    </row>
    <row r="32" spans="1:20" s="4" customFormat="1" ht="18" customHeight="1" x14ac:dyDescent="0.45">
      <c r="A32" s="561"/>
      <c r="B32" s="1194"/>
      <c r="C32" s="56" t="s">
        <v>45</v>
      </c>
      <c r="D32" s="52"/>
      <c r="E32" s="53"/>
      <c r="G32" s="54">
        <f>H32*G12</f>
        <v>21360.465</v>
      </c>
      <c r="H32" s="55">
        <v>5.25</v>
      </c>
      <c r="I32" s="54">
        <f>J32*I12</f>
        <v>22377.629999999997</v>
      </c>
      <c r="J32" s="55">
        <v>5.5</v>
      </c>
      <c r="L32" s="54">
        <f>M32*L12</f>
        <v>21360.465</v>
      </c>
      <c r="M32" s="55">
        <v>5.25</v>
      </c>
      <c r="N32" s="54">
        <f>O32*N12</f>
        <v>22377.629999999997</v>
      </c>
      <c r="O32" s="55">
        <v>5.5</v>
      </c>
      <c r="Q32" s="54">
        <f>R32*Q12</f>
        <v>22000</v>
      </c>
      <c r="R32" s="55">
        <v>5.5</v>
      </c>
      <c r="S32" s="54">
        <f>T32*S12</f>
        <v>22000</v>
      </c>
      <c r="T32" s="55">
        <v>5.5</v>
      </c>
    </row>
    <row r="33" spans="1:20" s="4" customFormat="1" ht="18" customHeight="1" x14ac:dyDescent="0.45">
      <c r="A33" s="561"/>
      <c r="B33" s="1195"/>
      <c r="C33" s="25"/>
      <c r="D33" s="26"/>
      <c r="E33" s="26"/>
      <c r="G33" s="365"/>
      <c r="H33" s="358"/>
      <c r="I33" s="365"/>
      <c r="J33" s="358"/>
      <c r="L33" s="365"/>
      <c r="M33" s="358"/>
      <c r="N33" s="365"/>
      <c r="O33" s="358"/>
      <c r="Q33" s="365"/>
      <c r="R33" s="358"/>
      <c r="S33" s="365"/>
      <c r="T33" s="358"/>
    </row>
    <row r="34" spans="1:20" s="4" customFormat="1" ht="18" hidden="1" customHeight="1" outlineLevel="1" x14ac:dyDescent="0.45">
      <c r="A34" s="561"/>
      <c r="B34" s="1197" t="s">
        <v>373</v>
      </c>
      <c r="C34" s="58"/>
      <c r="D34" s="59"/>
      <c r="E34" s="59"/>
      <c r="G34" s="364"/>
      <c r="H34" s="360"/>
      <c r="I34" s="364"/>
      <c r="J34" s="360"/>
      <c r="L34" s="364"/>
      <c r="M34" s="360"/>
      <c r="N34" s="364"/>
      <c r="O34" s="360"/>
      <c r="Q34" s="364"/>
      <c r="R34" s="360"/>
      <c r="S34" s="364"/>
      <c r="T34" s="360"/>
    </row>
    <row r="35" spans="1:20" s="49" customFormat="1" ht="18" hidden="1" customHeight="1" outlineLevel="1" x14ac:dyDescent="0.45">
      <c r="A35" s="561"/>
      <c r="B35" s="1194"/>
      <c r="C35" s="44" t="s">
        <v>374</v>
      </c>
      <c r="D35" s="45"/>
      <c r="E35" s="46"/>
      <c r="G35" s="361"/>
      <c r="H35" s="362"/>
      <c r="I35" s="361"/>
      <c r="J35" s="362"/>
      <c r="K35" s="4"/>
      <c r="L35" s="361"/>
      <c r="M35" s="362"/>
      <c r="N35" s="361"/>
      <c r="O35" s="362"/>
      <c r="P35" s="4"/>
      <c r="Q35" s="361"/>
      <c r="R35" s="362"/>
      <c r="S35" s="361"/>
      <c r="T35" s="362"/>
    </row>
    <row r="36" spans="1:20" s="4" customFormat="1" ht="18" hidden="1" customHeight="1" outlineLevel="1" x14ac:dyDescent="0.45">
      <c r="A36" s="561"/>
      <c r="B36" s="1194"/>
      <c r="C36" s="71" t="s">
        <v>375</v>
      </c>
      <c r="D36" s="16"/>
      <c r="E36" s="35"/>
      <c r="G36" s="363"/>
      <c r="H36" s="351"/>
      <c r="I36" s="363"/>
      <c r="J36" s="351"/>
      <c r="L36" s="363"/>
      <c r="M36" s="351"/>
      <c r="N36" s="363"/>
      <c r="O36" s="351"/>
      <c r="Q36" s="363"/>
      <c r="R36" s="351"/>
      <c r="S36" s="363"/>
      <c r="T36" s="351"/>
    </row>
    <row r="37" spans="1:20" s="4" customFormat="1" ht="18" hidden="1" customHeight="1" outlineLevel="1" x14ac:dyDescent="0.45">
      <c r="A37" s="561"/>
      <c r="B37" s="1194"/>
      <c r="C37" s="56" t="s">
        <v>376</v>
      </c>
      <c r="D37" s="52"/>
      <c r="E37" s="53"/>
      <c r="G37" s="54"/>
      <c r="H37" s="55"/>
      <c r="I37" s="54"/>
      <c r="J37" s="55"/>
      <c r="L37" s="54"/>
      <c r="M37" s="55"/>
      <c r="N37" s="54"/>
      <c r="O37" s="55"/>
      <c r="Q37" s="54"/>
      <c r="R37" s="55"/>
      <c r="S37" s="54"/>
      <c r="T37" s="55"/>
    </row>
    <row r="38" spans="1:20" s="4" customFormat="1" ht="18" hidden="1" customHeight="1" outlineLevel="1" x14ac:dyDescent="0.45">
      <c r="A38" s="561"/>
      <c r="B38" s="1194"/>
      <c r="C38" s="56" t="s">
        <v>377</v>
      </c>
      <c r="D38" s="52"/>
      <c r="E38" s="53"/>
      <c r="G38" s="54"/>
      <c r="H38" s="55"/>
      <c r="I38" s="54"/>
      <c r="J38" s="55"/>
      <c r="L38" s="54"/>
      <c r="M38" s="55"/>
      <c r="N38" s="54"/>
      <c r="O38" s="55"/>
      <c r="Q38" s="54"/>
      <c r="R38" s="55"/>
      <c r="S38" s="54"/>
      <c r="T38" s="55"/>
    </row>
    <row r="39" spans="1:20" s="4" customFormat="1" ht="18" hidden="1" customHeight="1" outlineLevel="1" x14ac:dyDescent="0.45">
      <c r="A39" s="561"/>
      <c r="B39" s="1195"/>
      <c r="C39" s="25"/>
      <c r="D39" s="26"/>
      <c r="E39" s="26"/>
      <c r="G39" s="365"/>
      <c r="H39" s="358"/>
      <c r="I39" s="365"/>
      <c r="J39" s="358"/>
      <c r="L39" s="365"/>
      <c r="M39" s="358"/>
      <c r="N39" s="365"/>
      <c r="O39" s="358"/>
      <c r="Q39" s="365"/>
      <c r="R39" s="358"/>
      <c r="S39" s="365"/>
      <c r="T39" s="358"/>
    </row>
    <row r="40" spans="1:20" s="4" customFormat="1" ht="18" customHeight="1" outlineLevel="1" x14ac:dyDescent="0.45">
      <c r="A40" s="561"/>
      <c r="B40" s="1197" t="s">
        <v>46</v>
      </c>
      <c r="C40" s="58"/>
      <c r="D40" s="59"/>
      <c r="E40" s="59"/>
      <c r="G40" s="364"/>
      <c r="H40" s="360"/>
      <c r="I40" s="364"/>
      <c r="J40" s="360"/>
      <c r="L40" s="364"/>
      <c r="M40" s="360"/>
      <c r="N40" s="364"/>
      <c r="O40" s="360"/>
      <c r="Q40" s="364"/>
      <c r="R40" s="360"/>
      <c r="S40" s="364"/>
      <c r="T40" s="360"/>
    </row>
    <row r="41" spans="1:20" s="4" customFormat="1" ht="18" customHeight="1" outlineLevel="1" x14ac:dyDescent="0.45">
      <c r="A41" s="561"/>
      <c r="B41" s="1194"/>
      <c r="C41" s="71" t="s">
        <v>177</v>
      </c>
      <c r="D41" s="16"/>
      <c r="E41" s="16"/>
      <c r="G41" s="430">
        <f>G42-H54*G12</f>
        <v>425.44923073694349</v>
      </c>
      <c r="H41" s="24">
        <f>H42-H54</f>
        <v>0.10456740812379123</v>
      </c>
      <c r="I41" s="430">
        <f>I42-J54*I12</f>
        <v>517.91877619149068</v>
      </c>
      <c r="J41" s="24">
        <f>J42-J54</f>
        <v>0.12729468085106371</v>
      </c>
      <c r="L41" s="430">
        <f>L42-M54*L12</f>
        <v>425.44923073694349</v>
      </c>
      <c r="M41" s="24">
        <f>M42-M54</f>
        <v>0.10456740812379123</v>
      </c>
      <c r="N41" s="430">
        <f>N42-O54*N12</f>
        <v>517.91877619149068</v>
      </c>
      <c r="O41" s="24">
        <f>O42-O54</f>
        <v>0.12729468085106371</v>
      </c>
      <c r="Q41" s="430">
        <f>Q42-R54*Q12</f>
        <v>509.17872340425492</v>
      </c>
      <c r="R41" s="24">
        <f>R42-R54</f>
        <v>0.12729468085106371</v>
      </c>
      <c r="S41" s="430">
        <f>S42-T54*S12</f>
        <v>509.17872340425492</v>
      </c>
      <c r="T41" s="24">
        <f>T42-T54</f>
        <v>0.12729468085106371</v>
      </c>
    </row>
    <row r="42" spans="1:20" s="4" customFormat="1" ht="18" customHeight="1" outlineLevel="1" x14ac:dyDescent="0.45">
      <c r="A42" s="561"/>
      <c r="B42" s="1194"/>
      <c r="C42" s="71" t="s">
        <v>378</v>
      </c>
      <c r="D42" s="16"/>
      <c r="E42" s="16"/>
      <c r="G42" s="42">
        <f t="shared" ref="G42:T42" si="22">G32-G32/1.1</f>
        <v>1941.8604545454546</v>
      </c>
      <c r="H42" s="24">
        <f t="shared" si="22"/>
        <v>0.47727272727272751</v>
      </c>
      <c r="I42" s="42">
        <f t="shared" ref="I42:J42" si="23">I32-I32/1.1</f>
        <v>2034.3300000000017</v>
      </c>
      <c r="J42" s="24">
        <f t="shared" si="23"/>
        <v>0.5</v>
      </c>
      <c r="L42" s="42">
        <f t="shared" si="22"/>
        <v>1941.8604545454546</v>
      </c>
      <c r="M42" s="24">
        <f t="shared" si="22"/>
        <v>0.47727272727272751</v>
      </c>
      <c r="N42" s="42">
        <f t="shared" ref="N42:O42" si="24">N32-N32/1.1</f>
        <v>2034.3300000000017</v>
      </c>
      <c r="O42" s="24">
        <f t="shared" si="24"/>
        <v>0.5</v>
      </c>
      <c r="Q42" s="42">
        <f t="shared" si="22"/>
        <v>2000</v>
      </c>
      <c r="R42" s="24">
        <f t="shared" si="22"/>
        <v>0.5</v>
      </c>
      <c r="S42" s="42">
        <f t="shared" si="22"/>
        <v>2000</v>
      </c>
      <c r="T42" s="24">
        <f t="shared" si="22"/>
        <v>0.5</v>
      </c>
    </row>
    <row r="43" spans="1:20" s="65" customFormat="1" ht="18" customHeight="1" outlineLevel="1" x14ac:dyDescent="0.45">
      <c r="A43" s="561"/>
      <c r="B43" s="1194"/>
      <c r="C43" s="62" t="s">
        <v>47</v>
      </c>
      <c r="D43" s="63"/>
      <c r="E43" s="64"/>
      <c r="G43" s="361">
        <f t="shared" ref="G43:T43" si="25">+G44/G32</f>
        <v>0.12622768720641039</v>
      </c>
      <c r="H43" s="362">
        <f t="shared" si="25"/>
        <v>0.12622768720641034</v>
      </c>
      <c r="I43" s="361">
        <f t="shared" ref="I43:J43" si="26">+I44/I32</f>
        <v>0.16181237911025106</v>
      </c>
      <c r="J43" s="362">
        <f t="shared" si="26"/>
        <v>0.16181237911025123</v>
      </c>
      <c r="K43" s="4"/>
      <c r="L43" s="361">
        <f t="shared" si="25"/>
        <v>0.12622768720641039</v>
      </c>
      <c r="M43" s="362">
        <f t="shared" si="25"/>
        <v>0.12622768720641034</v>
      </c>
      <c r="N43" s="361">
        <f t="shared" ref="N43:O43" si="27">+N44/N32</f>
        <v>0.16181237911025106</v>
      </c>
      <c r="O43" s="362">
        <f t="shared" si="27"/>
        <v>0.16181237911025123</v>
      </c>
      <c r="P43" s="4"/>
      <c r="Q43" s="361">
        <f t="shared" si="25"/>
        <v>0.16181237911025123</v>
      </c>
      <c r="R43" s="362">
        <f t="shared" si="25"/>
        <v>0.16181237911025123</v>
      </c>
      <c r="S43" s="361">
        <f t="shared" si="25"/>
        <v>0.16181237911025123</v>
      </c>
      <c r="T43" s="362">
        <f t="shared" si="25"/>
        <v>0.16181237911025123</v>
      </c>
    </row>
    <row r="44" spans="1:20" s="4" customFormat="1" ht="18" customHeight="1" outlineLevel="1" x14ac:dyDescent="0.45">
      <c r="A44" s="561" t="s">
        <v>379</v>
      </c>
      <c r="B44" s="1194"/>
      <c r="C44" s="15" t="s">
        <v>48</v>
      </c>
      <c r="D44" s="16"/>
      <c r="E44" s="35"/>
      <c r="G44" s="42">
        <f t="shared" ref="G44:T44" si="28">+G32-G45-G41</f>
        <v>2696.2820946034772</v>
      </c>
      <c r="H44" s="24">
        <f t="shared" si="28"/>
        <v>0.6626953578336543</v>
      </c>
      <c r="I44" s="42">
        <f t="shared" ref="I44:J44" si="29">+I32-I45-I41</f>
        <v>3620.9775491489272</v>
      </c>
      <c r="J44" s="24">
        <f t="shared" si="29"/>
        <v>0.88996808510638181</v>
      </c>
      <c r="L44" s="42">
        <f t="shared" si="28"/>
        <v>2696.2820946034772</v>
      </c>
      <c r="M44" s="24">
        <f t="shared" si="28"/>
        <v>0.6626953578336543</v>
      </c>
      <c r="N44" s="42">
        <f t="shared" ref="N44:O44" si="30">+N32-N45-N41</f>
        <v>3620.9775491489272</v>
      </c>
      <c r="O44" s="24">
        <f t="shared" si="30"/>
        <v>0.88996808510638181</v>
      </c>
      <c r="Q44" s="42">
        <f t="shared" si="28"/>
        <v>3559.872340425527</v>
      </c>
      <c r="R44" s="24">
        <f t="shared" si="28"/>
        <v>0.88996808510638181</v>
      </c>
      <c r="S44" s="42">
        <f t="shared" si="28"/>
        <v>3559.872340425527</v>
      </c>
      <c r="T44" s="24">
        <f t="shared" si="28"/>
        <v>0.88996808510638181</v>
      </c>
    </row>
    <row r="45" spans="1:20" s="4" customFormat="1" ht="18" customHeight="1" outlineLevel="1" x14ac:dyDescent="0.45">
      <c r="A45" s="561"/>
      <c r="B45" s="1194"/>
      <c r="C45" s="19" t="s">
        <v>49</v>
      </c>
      <c r="D45" s="20"/>
      <c r="E45" s="30"/>
      <c r="G45" s="66">
        <f>+H49*G12</f>
        <v>18238.733674659579</v>
      </c>
      <c r="H45" s="32">
        <f>+H49</f>
        <v>4.4827372340425544</v>
      </c>
      <c r="I45" s="66">
        <f>+J49*I12</f>
        <v>18238.733674659579</v>
      </c>
      <c r="J45" s="32">
        <f>+J49</f>
        <v>4.4827372340425544</v>
      </c>
      <c r="L45" s="66">
        <f>+M49*L12</f>
        <v>18238.733674659579</v>
      </c>
      <c r="M45" s="32">
        <f>+M49</f>
        <v>4.4827372340425544</v>
      </c>
      <c r="N45" s="66">
        <f>+O49*N12</f>
        <v>18238.733674659579</v>
      </c>
      <c r="O45" s="32">
        <f>+O49</f>
        <v>4.4827372340425544</v>
      </c>
      <c r="Q45" s="66">
        <f>+R49*Q12</f>
        <v>17930.948936170218</v>
      </c>
      <c r="R45" s="32">
        <f>+R49</f>
        <v>4.4827372340425544</v>
      </c>
      <c r="S45" s="66">
        <f>+T49*S12</f>
        <v>17930.948936170218</v>
      </c>
      <c r="T45" s="32">
        <f>+T49</f>
        <v>4.4827372340425544</v>
      </c>
    </row>
    <row r="46" spans="1:20" s="4" customFormat="1" ht="18" customHeight="1" outlineLevel="1" x14ac:dyDescent="0.45">
      <c r="A46" s="561"/>
      <c r="B46" s="1195"/>
      <c r="C46" s="67" t="s">
        <v>50</v>
      </c>
      <c r="D46" s="26"/>
      <c r="E46" s="26"/>
      <c r="G46" s="352">
        <v>0</v>
      </c>
      <c r="H46" s="358"/>
      <c r="I46" s="352">
        <v>0</v>
      </c>
      <c r="J46" s="358"/>
      <c r="L46" s="352">
        <v>0</v>
      </c>
      <c r="M46" s="358"/>
      <c r="N46" s="352">
        <v>0</v>
      </c>
      <c r="O46" s="358"/>
      <c r="Q46" s="352">
        <v>0</v>
      </c>
      <c r="R46" s="358"/>
      <c r="S46" s="352">
        <v>0</v>
      </c>
      <c r="T46" s="358"/>
    </row>
    <row r="47" spans="1:20" s="4" customFormat="1" ht="18" customHeight="1" outlineLevel="1" x14ac:dyDescent="0.45">
      <c r="A47" s="561"/>
      <c r="B47" s="1183" t="s">
        <v>51</v>
      </c>
      <c r="C47" s="554" t="s">
        <v>380</v>
      </c>
      <c r="D47" s="555"/>
      <c r="E47" s="555"/>
      <c r="G47" s="364"/>
      <c r="H47" s="366"/>
      <c r="I47" s="364"/>
      <c r="J47" s="366"/>
      <c r="L47" s="364"/>
      <c r="M47" s="366"/>
      <c r="N47" s="364"/>
      <c r="O47" s="366"/>
      <c r="Q47" s="364"/>
      <c r="R47" s="366"/>
      <c r="S47" s="364"/>
      <c r="T47" s="366"/>
    </row>
    <row r="48" spans="1:20" s="4" customFormat="1" ht="18" customHeight="1" outlineLevel="1" x14ac:dyDescent="0.45">
      <c r="A48" s="561"/>
      <c r="B48" s="1184"/>
      <c r="C48" s="19" t="s">
        <v>52</v>
      </c>
      <c r="D48" s="20"/>
      <c r="E48" s="30" t="s">
        <v>53</v>
      </c>
      <c r="G48" s="69">
        <f t="shared" ref="G48:T48" si="31">+G49/G10</f>
        <v>1519.8944728882982</v>
      </c>
      <c r="H48" s="70">
        <f t="shared" si="31"/>
        <v>0.37356143617021287</v>
      </c>
      <c r="I48" s="69">
        <f t="shared" ref="I48:J48" si="32">+I49/I10</f>
        <v>1519.8944728882982</v>
      </c>
      <c r="J48" s="70">
        <f t="shared" si="32"/>
        <v>0.37356143617021287</v>
      </c>
      <c r="L48" s="69">
        <f t="shared" si="31"/>
        <v>1519.8944728882982</v>
      </c>
      <c r="M48" s="70">
        <f t="shared" si="31"/>
        <v>0.37356143617021287</v>
      </c>
      <c r="N48" s="69">
        <f t="shared" ref="N48:O48" si="33">+N49/N10</f>
        <v>1519.8944728882982</v>
      </c>
      <c r="O48" s="70">
        <f t="shared" si="33"/>
        <v>0.37356143617021287</v>
      </c>
      <c r="Q48" s="69">
        <f t="shared" si="31"/>
        <v>1494.2457446808514</v>
      </c>
      <c r="R48" s="70">
        <f t="shared" si="31"/>
        <v>0.37356143617021287</v>
      </c>
      <c r="S48" s="69">
        <f t="shared" si="31"/>
        <v>1494.2457446808514</v>
      </c>
      <c r="T48" s="70">
        <f t="shared" si="31"/>
        <v>0.37356143617021287</v>
      </c>
    </row>
    <row r="49" spans="1:20" s="4" customFormat="1" ht="18" customHeight="1" outlineLevel="1" x14ac:dyDescent="0.45">
      <c r="A49" s="561"/>
      <c r="B49" s="1184"/>
      <c r="C49" s="19" t="s">
        <v>54</v>
      </c>
      <c r="D49" s="20"/>
      <c r="E49" s="30" t="s">
        <v>53</v>
      </c>
      <c r="G49" s="69">
        <f>+H49*G12</f>
        <v>18238.733674659579</v>
      </c>
      <c r="H49" s="70">
        <f>+H50+H52+H56+H54</f>
        <v>4.4827372340425544</v>
      </c>
      <c r="I49" s="69">
        <f>+J49*I12</f>
        <v>18238.733674659579</v>
      </c>
      <c r="J49" s="70">
        <f>+J50+J52+J56+J54</f>
        <v>4.4827372340425544</v>
      </c>
      <c r="L49" s="69">
        <f>+M49*L12</f>
        <v>18238.733674659579</v>
      </c>
      <c r="M49" s="70">
        <f>+M50+M52+M56+M54</f>
        <v>4.4827372340425544</v>
      </c>
      <c r="N49" s="69">
        <f>+O49*N12</f>
        <v>18238.733674659579</v>
      </c>
      <c r="O49" s="70">
        <f>+O50+O52+O56+O54</f>
        <v>4.4827372340425544</v>
      </c>
      <c r="Q49" s="69">
        <f>+R49*Q12</f>
        <v>17930.948936170218</v>
      </c>
      <c r="R49" s="70">
        <f>+R50+R52+R56+R54</f>
        <v>4.4827372340425544</v>
      </c>
      <c r="S49" s="69">
        <f>+T49*S12</f>
        <v>17930.948936170218</v>
      </c>
      <c r="T49" s="70">
        <f>+T50+T52+T56+T54</f>
        <v>4.4827372340425544</v>
      </c>
    </row>
    <row r="50" spans="1:20" s="4" customFormat="1" ht="18" customHeight="1" outlineLevel="1" x14ac:dyDescent="0.45">
      <c r="A50" s="561"/>
      <c r="B50" s="1184"/>
      <c r="C50" s="71" t="s">
        <v>55</v>
      </c>
      <c r="D50" s="16"/>
      <c r="E50" s="35" t="s">
        <v>53</v>
      </c>
      <c r="G50" s="367"/>
      <c r="H50" s="368">
        <f>+H51*H56</f>
        <v>0.17747872340425538</v>
      </c>
      <c r="I50" s="367"/>
      <c r="J50" s="368">
        <f>+J51*J56</f>
        <v>0.17747872340425538</v>
      </c>
      <c r="L50" s="367"/>
      <c r="M50" s="368">
        <f>+M51*M56</f>
        <v>0.17747872340425538</v>
      </c>
      <c r="N50" s="367"/>
      <c r="O50" s="368">
        <f>+O51*O56</f>
        <v>0.17747872340425538</v>
      </c>
      <c r="Q50" s="367"/>
      <c r="R50" s="368">
        <f>+R51*R56</f>
        <v>0.17747872340425538</v>
      </c>
      <c r="S50" s="367"/>
      <c r="T50" s="368">
        <f>+T51*T56</f>
        <v>0.17747872340425538</v>
      </c>
    </row>
    <row r="51" spans="1:20" s="4" customFormat="1" ht="18" customHeight="1" outlineLevel="1" x14ac:dyDescent="0.45">
      <c r="A51" s="561"/>
      <c r="B51" s="1184"/>
      <c r="C51" s="15" t="s">
        <v>56</v>
      </c>
      <c r="D51" s="16"/>
      <c r="E51" s="16"/>
      <c r="G51" s="361"/>
      <c r="H51" s="1081">
        <v>0.05</v>
      </c>
      <c r="I51" s="361"/>
      <c r="J51" s="1081">
        <v>0.05</v>
      </c>
      <c r="L51" s="361"/>
      <c r="M51" s="1081">
        <v>0.05</v>
      </c>
      <c r="N51" s="361"/>
      <c r="O51" s="1081">
        <v>0.05</v>
      </c>
      <c r="Q51" s="361"/>
      <c r="R51" s="1081">
        <v>0.05</v>
      </c>
      <c r="S51" s="361"/>
      <c r="T51" s="1081">
        <v>0.05</v>
      </c>
    </row>
    <row r="52" spans="1:20" s="4" customFormat="1" ht="18" customHeight="1" outlineLevel="1" x14ac:dyDescent="0.45">
      <c r="A52" s="561"/>
      <c r="B52" s="1184"/>
      <c r="C52" s="71" t="s">
        <v>57</v>
      </c>
      <c r="D52" s="526">
        <v>651</v>
      </c>
      <c r="E52" s="35" t="s">
        <v>53</v>
      </c>
      <c r="G52" s="367"/>
      <c r="H52" s="368">
        <f>$D$53/H66</f>
        <v>0.38297872340425532</v>
      </c>
      <c r="I52" s="367"/>
      <c r="J52" s="368">
        <f>$D$53/J66</f>
        <v>0.38297872340425532</v>
      </c>
      <c r="L52" s="367"/>
      <c r="M52" s="368">
        <f>$D$53/M66</f>
        <v>0.38297872340425532</v>
      </c>
      <c r="N52" s="367"/>
      <c r="O52" s="368">
        <f>$D$53/O66</f>
        <v>0.38297872340425532</v>
      </c>
      <c r="Q52" s="367"/>
      <c r="R52" s="368">
        <f>$D$53/R66</f>
        <v>0.38297872340425532</v>
      </c>
      <c r="S52" s="367"/>
      <c r="T52" s="368">
        <f>$D$53/T66</f>
        <v>0.38297872340425532</v>
      </c>
    </row>
    <row r="53" spans="1:20" s="4" customFormat="1" ht="18" customHeight="1" outlineLevel="1" x14ac:dyDescent="0.45">
      <c r="A53" s="561"/>
      <c r="B53" s="1184"/>
      <c r="C53" s="71" t="s">
        <v>58</v>
      </c>
      <c r="D53" s="76">
        <v>1800</v>
      </c>
      <c r="E53" s="16"/>
      <c r="G53" s="361"/>
      <c r="H53" s="1081">
        <f>H52/H56</f>
        <v>0.10789426362165075</v>
      </c>
      <c r="I53" s="361"/>
      <c r="J53" s="1081">
        <f>J52/J56</f>
        <v>0.10789426362165075</v>
      </c>
      <c r="L53" s="361"/>
      <c r="M53" s="1081">
        <f>M52/M56</f>
        <v>0.10789426362165075</v>
      </c>
      <c r="N53" s="361"/>
      <c r="O53" s="1081">
        <f>O52/O56</f>
        <v>0.10789426362165075</v>
      </c>
      <c r="Q53" s="361"/>
      <c r="R53" s="1081">
        <f>R52/R56</f>
        <v>0.10789426362165075</v>
      </c>
      <c r="S53" s="361"/>
      <c r="T53" s="1081">
        <f>T52/T56</f>
        <v>0.10789426362165075</v>
      </c>
    </row>
    <row r="54" spans="1:20" s="4" customFormat="1" ht="18" customHeight="1" outlineLevel="1" x14ac:dyDescent="0.45">
      <c r="A54" s="561"/>
      <c r="B54" s="1184"/>
      <c r="C54" s="77" t="s">
        <v>59</v>
      </c>
      <c r="D54" s="76"/>
      <c r="E54" s="16"/>
      <c r="G54" s="371"/>
      <c r="H54" s="368">
        <f>(H55*(H56+H50))</f>
        <v>0.37270531914893629</v>
      </c>
      <c r="I54" s="371"/>
      <c r="J54" s="368">
        <f>(J55*(J56+J50))</f>
        <v>0.37270531914893629</v>
      </c>
      <c r="L54" s="371"/>
      <c r="M54" s="368">
        <f>(M55*(M56+M50))</f>
        <v>0.37270531914893629</v>
      </c>
      <c r="N54" s="371"/>
      <c r="O54" s="368">
        <f>(O55*(O56+O50))</f>
        <v>0.37270531914893629</v>
      </c>
      <c r="Q54" s="371"/>
      <c r="R54" s="368">
        <f>(R55*(R56+R50))</f>
        <v>0.37270531914893629</v>
      </c>
      <c r="S54" s="371"/>
      <c r="T54" s="368">
        <f>(T55*(T56+T50))</f>
        <v>0.37270531914893629</v>
      </c>
    </row>
    <row r="55" spans="1:20" s="4" customFormat="1" ht="18" customHeight="1" outlineLevel="1" x14ac:dyDescent="0.45">
      <c r="A55" s="561"/>
      <c r="B55" s="1184"/>
      <c r="C55" s="77" t="s">
        <v>60</v>
      </c>
      <c r="D55" s="76"/>
      <c r="E55" s="16"/>
      <c r="G55" s="361"/>
      <c r="H55" s="1081">
        <v>0.1</v>
      </c>
      <c r="I55" s="361"/>
      <c r="J55" s="1081">
        <v>0.1</v>
      </c>
      <c r="L55" s="361"/>
      <c r="M55" s="1081">
        <v>0.1</v>
      </c>
      <c r="N55" s="361"/>
      <c r="O55" s="1081">
        <v>0.1</v>
      </c>
      <c r="Q55" s="361"/>
      <c r="R55" s="1081">
        <v>0.1</v>
      </c>
      <c r="S55" s="361"/>
      <c r="T55" s="1081">
        <v>0.1</v>
      </c>
    </row>
    <row r="56" spans="1:20" s="4" customFormat="1" ht="18" customHeight="1" outlineLevel="1" x14ac:dyDescent="0.45">
      <c r="A56" s="561"/>
      <c r="B56" s="1184"/>
      <c r="C56" s="78" t="s">
        <v>61</v>
      </c>
      <c r="D56" s="79"/>
      <c r="E56" s="80" t="s">
        <v>53</v>
      </c>
      <c r="G56" s="81"/>
      <c r="H56" s="82">
        <f>H60-H57+H58</f>
        <v>3.5495744680851073</v>
      </c>
      <c r="I56" s="81"/>
      <c r="J56" s="82">
        <f>J60-J57+J58</f>
        <v>3.5495744680851073</v>
      </c>
      <c r="L56" s="81"/>
      <c r="M56" s="82">
        <f>M60-M57+M58</f>
        <v>3.5495744680851073</v>
      </c>
      <c r="N56" s="81"/>
      <c r="O56" s="82">
        <f>O60-O57+O58</f>
        <v>3.5495744680851073</v>
      </c>
      <c r="Q56" s="81"/>
      <c r="R56" s="82">
        <f>R60-R57+R58</f>
        <v>3.5495744680851073</v>
      </c>
      <c r="S56" s="81"/>
      <c r="T56" s="82">
        <f>T60-T57+T58</f>
        <v>3.5495744680851073</v>
      </c>
    </row>
    <row r="57" spans="1:20" s="4" customFormat="1" ht="18" customHeight="1" outlineLevel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G57" s="85"/>
      <c r="H57" s="86">
        <v>1.3</v>
      </c>
      <c r="I57" s="85"/>
      <c r="J57" s="86">
        <v>1.3</v>
      </c>
      <c r="L57" s="85"/>
      <c r="M57" s="86">
        <v>1.3</v>
      </c>
      <c r="N57" s="85"/>
      <c r="O57" s="86">
        <v>1.3</v>
      </c>
      <c r="Q57" s="85"/>
      <c r="R57" s="86">
        <v>1.3</v>
      </c>
      <c r="S57" s="85"/>
      <c r="T57" s="86">
        <v>1.3</v>
      </c>
    </row>
    <row r="58" spans="1:20" s="4" customFormat="1" ht="18" customHeight="1" outlineLevel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G58" s="85"/>
      <c r="H58" s="86">
        <v>0</v>
      </c>
      <c r="I58" s="85"/>
      <c r="J58" s="86">
        <v>0</v>
      </c>
      <c r="L58" s="85"/>
      <c r="M58" s="86">
        <v>0</v>
      </c>
      <c r="N58" s="85"/>
      <c r="O58" s="86">
        <v>0</v>
      </c>
      <c r="Q58" s="85"/>
      <c r="R58" s="86">
        <v>0</v>
      </c>
      <c r="S58" s="85"/>
      <c r="T58" s="86">
        <v>0</v>
      </c>
    </row>
    <row r="59" spans="1:20" s="4" customFormat="1" ht="18" customHeight="1" outlineLevel="1" x14ac:dyDescent="0.45">
      <c r="A59" s="561"/>
      <c r="B59" s="1184"/>
      <c r="C59" s="87" t="s">
        <v>64</v>
      </c>
      <c r="D59" s="83"/>
      <c r="E59" s="84" t="s">
        <v>53</v>
      </c>
      <c r="G59" s="85"/>
      <c r="H59" s="86">
        <f>+H62+H65+H67</f>
        <v>4.8495744680851063</v>
      </c>
      <c r="I59" s="85"/>
      <c r="J59" s="86">
        <f>+J62+J65+J67</f>
        <v>4.8495744680851063</v>
      </c>
      <c r="L59" s="85"/>
      <c r="M59" s="86">
        <f>+M62+M65+M67</f>
        <v>4.8495744680851063</v>
      </c>
      <c r="N59" s="85"/>
      <c r="O59" s="86">
        <f>+O62+O65+O67</f>
        <v>4.8495744680851063</v>
      </c>
      <c r="Q59" s="85"/>
      <c r="R59" s="86">
        <f>+R62+R65+R67</f>
        <v>4.8495744680851063</v>
      </c>
      <c r="S59" s="85"/>
      <c r="T59" s="86">
        <f>+T62+T65+T67</f>
        <v>4.8495744680851063</v>
      </c>
    </row>
    <row r="60" spans="1:20" s="4" customFormat="1" ht="18" customHeight="1" outlineLevel="1" x14ac:dyDescent="0.45">
      <c r="A60" s="561"/>
      <c r="B60" s="1184"/>
      <c r="C60" s="78" t="s">
        <v>65</v>
      </c>
      <c r="D60" s="79"/>
      <c r="E60" s="80" t="s">
        <v>53</v>
      </c>
      <c r="G60" s="81"/>
      <c r="H60" s="82">
        <f>H65+H67+H62</f>
        <v>4.8495744680851072</v>
      </c>
      <c r="I60" s="81"/>
      <c r="J60" s="82">
        <f>J65+J67+J62</f>
        <v>4.8495744680851072</v>
      </c>
      <c r="L60" s="81"/>
      <c r="M60" s="82">
        <f>M65+M67+M62</f>
        <v>4.8495744680851072</v>
      </c>
      <c r="N60" s="81"/>
      <c r="O60" s="82">
        <f>O65+O67+O62</f>
        <v>4.8495744680851072</v>
      </c>
      <c r="Q60" s="81"/>
      <c r="R60" s="82">
        <f>R65+R67+R62</f>
        <v>4.8495744680851072</v>
      </c>
      <c r="S60" s="81"/>
      <c r="T60" s="82">
        <f>T65+T67+T62</f>
        <v>4.8495744680851072</v>
      </c>
    </row>
    <row r="61" spans="1:20" s="4" customFormat="1" ht="18" customHeight="1" outlineLevel="2" x14ac:dyDescent="0.45">
      <c r="A61" s="561"/>
      <c r="B61" s="1184"/>
      <c r="C61" s="12" t="s">
        <v>66</v>
      </c>
      <c r="D61" s="11"/>
      <c r="E61" s="16"/>
      <c r="G61" s="359"/>
      <c r="H61" s="372"/>
      <c r="I61" s="359"/>
      <c r="J61" s="372"/>
      <c r="L61" s="359"/>
      <c r="M61" s="372"/>
      <c r="N61" s="359"/>
      <c r="O61" s="372"/>
      <c r="Q61" s="359"/>
      <c r="R61" s="372"/>
      <c r="S61" s="359"/>
      <c r="T61" s="372"/>
    </row>
    <row r="62" spans="1:20" s="4" customFormat="1" ht="18" customHeight="1" outlineLevel="2" x14ac:dyDescent="0.45">
      <c r="A62" s="561"/>
      <c r="B62" s="1184"/>
      <c r="C62" s="71" t="s">
        <v>385</v>
      </c>
      <c r="D62" s="16"/>
      <c r="E62" s="35" t="s">
        <v>68</v>
      </c>
      <c r="G62" s="373"/>
      <c r="H62" s="374">
        <v>-0.01</v>
      </c>
      <c r="I62" s="373"/>
      <c r="J62" s="374">
        <v>-0.01</v>
      </c>
      <c r="L62" s="373"/>
      <c r="M62" s="374">
        <v>-0.01</v>
      </c>
      <c r="N62" s="373"/>
      <c r="O62" s="374">
        <v>-0.01</v>
      </c>
      <c r="Q62" s="373"/>
      <c r="R62" s="374">
        <v>-0.01</v>
      </c>
      <c r="S62" s="373"/>
      <c r="T62" s="374">
        <v>-0.01</v>
      </c>
    </row>
    <row r="63" spans="1:20" s="4" customFormat="1" ht="18" customHeight="1" outlineLevel="2" x14ac:dyDescent="0.45">
      <c r="A63" s="561"/>
      <c r="B63" s="1184"/>
      <c r="C63" s="15" t="s">
        <v>67</v>
      </c>
      <c r="D63" s="16"/>
      <c r="E63" s="35" t="s">
        <v>68</v>
      </c>
      <c r="G63" s="373"/>
      <c r="H63" s="374">
        <f>0.0425/100*(6.2-H57)</f>
        <v>2.0825000000000001E-3</v>
      </c>
      <c r="I63" s="373"/>
      <c r="J63" s="374">
        <f>0.0425/100*(6.2-J57)</f>
        <v>2.0825000000000001E-3</v>
      </c>
      <c r="L63" s="373"/>
      <c r="M63" s="374">
        <f>0.0425/100*(6.2-M57)</f>
        <v>2.0825000000000001E-3</v>
      </c>
      <c r="N63" s="373"/>
      <c r="O63" s="374">
        <f>0.0425/100*(6.2-O57)</f>
        <v>2.0825000000000001E-3</v>
      </c>
      <c r="Q63" s="373"/>
      <c r="R63" s="374">
        <f>0.0425/100*(6.2-R57)</f>
        <v>2.0825000000000001E-3</v>
      </c>
      <c r="S63" s="373"/>
      <c r="T63" s="374">
        <f>0.0425/100*(6.2-T57)</f>
        <v>2.0825000000000001E-3</v>
      </c>
    </row>
    <row r="64" spans="1:20" s="4" customFormat="1" ht="18" customHeight="1" outlineLevel="2" x14ac:dyDescent="0.45">
      <c r="A64" s="561"/>
      <c r="B64" s="1184"/>
      <c r="C64" s="15" t="s">
        <v>69</v>
      </c>
      <c r="D64" s="34" t="s">
        <v>70</v>
      </c>
      <c r="E64" s="16"/>
      <c r="G64" s="359"/>
      <c r="H64" s="91">
        <v>750</v>
      </c>
      <c r="I64" s="359"/>
      <c r="J64" s="91">
        <v>750</v>
      </c>
      <c r="L64" s="359"/>
      <c r="M64" s="91">
        <v>750</v>
      </c>
      <c r="N64" s="359"/>
      <c r="O64" s="91">
        <v>750</v>
      </c>
      <c r="Q64" s="359"/>
      <c r="R64" s="91">
        <v>750</v>
      </c>
      <c r="S64" s="359"/>
      <c r="T64" s="91">
        <v>750</v>
      </c>
    </row>
    <row r="65" spans="1:20" s="97" customFormat="1" ht="18" customHeight="1" outlineLevel="2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G65" s="375"/>
      <c r="H65" s="376">
        <f>+H64/H66</f>
        <v>0.15957446808510639</v>
      </c>
      <c r="I65" s="375"/>
      <c r="J65" s="376">
        <f>+J64/J66</f>
        <v>0.15957446808510639</v>
      </c>
      <c r="K65" s="4"/>
      <c r="L65" s="375"/>
      <c r="M65" s="376">
        <f>+M64/M66</f>
        <v>0.15957446808510639</v>
      </c>
      <c r="N65" s="375"/>
      <c r="O65" s="376">
        <f>+O64/O66</f>
        <v>0.15957446808510639</v>
      </c>
      <c r="P65" s="4"/>
      <c r="Q65" s="375"/>
      <c r="R65" s="376">
        <f>+R64/R66</f>
        <v>0.15957446808510639</v>
      </c>
      <c r="S65" s="375"/>
      <c r="T65" s="376">
        <f>+T64/T66</f>
        <v>0.15957446808510639</v>
      </c>
    </row>
    <row r="66" spans="1:20" s="4" customFormat="1" ht="18" customHeight="1" outlineLevel="2" x14ac:dyDescent="0.45">
      <c r="A66" s="561"/>
      <c r="B66" s="1184"/>
      <c r="C66" s="15" t="s">
        <v>71</v>
      </c>
      <c r="D66" s="16"/>
      <c r="E66" s="35" t="s">
        <v>68</v>
      </c>
      <c r="G66" s="359"/>
      <c r="H66" s="372">
        <v>4700</v>
      </c>
      <c r="I66" s="359"/>
      <c r="J66" s="372">
        <v>4700</v>
      </c>
      <c r="L66" s="359"/>
      <c r="M66" s="372">
        <v>4700</v>
      </c>
      <c r="N66" s="359"/>
      <c r="O66" s="372">
        <v>4700</v>
      </c>
      <c r="Q66" s="359"/>
      <c r="R66" s="372">
        <v>4700</v>
      </c>
      <c r="S66" s="359"/>
      <c r="T66" s="372">
        <v>4700</v>
      </c>
    </row>
    <row r="67" spans="1:20" s="7" customFormat="1" ht="18" customHeight="1" outlineLevel="2" x14ac:dyDescent="0.45">
      <c r="A67" s="561"/>
      <c r="B67" s="1184"/>
      <c r="C67" s="78" t="s">
        <v>72</v>
      </c>
      <c r="D67" s="79"/>
      <c r="E67" s="80" t="s">
        <v>68</v>
      </c>
      <c r="G67" s="81"/>
      <c r="H67" s="82">
        <v>4.7</v>
      </c>
      <c r="I67" s="81"/>
      <c r="J67" s="82">
        <v>4.7</v>
      </c>
      <c r="K67" s="4"/>
      <c r="L67" s="81"/>
      <c r="M67" s="82">
        <v>4.7</v>
      </c>
      <c r="N67" s="81"/>
      <c r="O67" s="82">
        <v>4.7</v>
      </c>
      <c r="P67" s="4"/>
      <c r="Q67" s="81"/>
      <c r="R67" s="82">
        <v>4.7</v>
      </c>
      <c r="S67" s="81"/>
      <c r="T67" s="82">
        <v>4.7</v>
      </c>
    </row>
    <row r="68" spans="1:20" s="7" customFormat="1" ht="18" customHeight="1" outlineLevel="2" x14ac:dyDescent="0.45">
      <c r="A68" s="561"/>
      <c r="B68" s="1184"/>
      <c r="C68" s="78" t="s">
        <v>73</v>
      </c>
      <c r="D68" s="79"/>
      <c r="E68" s="80" t="s">
        <v>68</v>
      </c>
      <c r="G68" s="81"/>
      <c r="H68" s="82">
        <f>H56-H65</f>
        <v>3.390000000000001</v>
      </c>
      <c r="I68" s="81"/>
      <c r="J68" s="82">
        <f>J56-J65</f>
        <v>3.390000000000001</v>
      </c>
      <c r="K68" s="4"/>
      <c r="L68" s="81"/>
      <c r="M68" s="82">
        <f>M56-M65</f>
        <v>3.390000000000001</v>
      </c>
      <c r="N68" s="81"/>
      <c r="O68" s="82">
        <f>O56-O65</f>
        <v>3.390000000000001</v>
      </c>
      <c r="P68" s="4"/>
      <c r="Q68" s="81"/>
      <c r="R68" s="82">
        <f>R56-R65</f>
        <v>3.390000000000001</v>
      </c>
      <c r="S68" s="81"/>
      <c r="T68" s="82">
        <f>T56-T65</f>
        <v>3.390000000000001</v>
      </c>
    </row>
    <row r="69" spans="1:20" s="103" customFormat="1" ht="18" customHeight="1" outlineLevel="2" x14ac:dyDescent="0.45">
      <c r="A69" s="561"/>
      <c r="B69" s="1184"/>
      <c r="C69" s="98"/>
      <c r="D69" s="99"/>
      <c r="E69" s="100" t="s">
        <v>74</v>
      </c>
      <c r="G69" s="101"/>
      <c r="H69" s="102">
        <f>+H67/H10</f>
        <v>0.39166666666666666</v>
      </c>
      <c r="I69" s="101"/>
      <c r="J69" s="102">
        <f>+J67/J10</f>
        <v>0.39166666666666666</v>
      </c>
      <c r="K69" s="4"/>
      <c r="L69" s="101"/>
      <c r="M69" s="102">
        <f>+M67/M10</f>
        <v>0.39166666666666666</v>
      </c>
      <c r="N69" s="101"/>
      <c r="O69" s="102">
        <f>+O67/O10</f>
        <v>0.39166666666666666</v>
      </c>
      <c r="P69" s="4"/>
      <c r="Q69" s="101"/>
      <c r="R69" s="102">
        <f>+R67/R10</f>
        <v>0.39166666666666666</v>
      </c>
      <c r="S69" s="101"/>
      <c r="T69" s="102">
        <f>+T67/T10</f>
        <v>0.39166666666666666</v>
      </c>
    </row>
    <row r="70" spans="1:20" s="4" customFormat="1" ht="18" customHeight="1" outlineLevel="2" thickBot="1" x14ac:dyDescent="0.5">
      <c r="A70" s="561"/>
      <c r="B70" s="1184"/>
      <c r="C70" s="104"/>
      <c r="D70" s="105"/>
      <c r="E70" s="105"/>
      <c r="G70" s="377"/>
      <c r="H70" s="378"/>
      <c r="I70" s="377"/>
      <c r="J70" s="378"/>
      <c r="L70" s="377"/>
      <c r="M70" s="378"/>
      <c r="N70" s="377"/>
      <c r="O70" s="378"/>
      <c r="Q70" s="377"/>
      <c r="R70" s="378"/>
      <c r="S70" s="377"/>
      <c r="T70" s="378"/>
    </row>
    <row r="71" spans="1:20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G71" s="111"/>
      <c r="H71" s="112">
        <f>H74+H72</f>
        <v>2.8093102766080742</v>
      </c>
      <c r="I71" s="111"/>
      <c r="J71" s="112">
        <f>J74+J72</f>
        <v>2.8340910623379405</v>
      </c>
      <c r="L71" s="111"/>
      <c r="M71" s="112">
        <f>M74+M72</f>
        <v>2.7860844701564615</v>
      </c>
      <c r="N71" s="111"/>
      <c r="O71" s="112">
        <f>O74+O72</f>
        <v>2.6590347137278725</v>
      </c>
      <c r="Q71" s="111"/>
      <c r="R71" s="112">
        <f>R74+R72</f>
        <v>2.8093102766080742</v>
      </c>
      <c r="S71" s="111"/>
      <c r="T71" s="112">
        <f>T74+T72</f>
        <v>2.7860844701564615</v>
      </c>
    </row>
    <row r="72" spans="1:20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G72" s="116"/>
      <c r="H72" s="117">
        <v>3.7697373382267897E-2</v>
      </c>
      <c r="I72" s="116"/>
      <c r="J72" s="117">
        <v>3.7697373382267897E-2</v>
      </c>
      <c r="L72" s="116"/>
      <c r="M72" s="117">
        <v>3.7697373382267897E-2</v>
      </c>
      <c r="N72" s="116"/>
      <c r="O72" s="117">
        <v>3.7697373382267897E-2</v>
      </c>
      <c r="Q72" s="116"/>
      <c r="R72" s="117">
        <v>3.7697373382267897E-2</v>
      </c>
      <c r="S72" s="116"/>
      <c r="T72" s="117">
        <v>3.7697373382267897E-2</v>
      </c>
    </row>
    <row r="73" spans="1:20" s="4" customFormat="1" ht="18" customHeight="1" outlineLevel="1" x14ac:dyDescent="0.45">
      <c r="A73" s="561"/>
      <c r="B73" s="1241"/>
      <c r="C73" s="16"/>
      <c r="D73" s="16"/>
      <c r="E73" s="16"/>
      <c r="G73" s="359"/>
      <c r="H73" s="379"/>
      <c r="I73" s="359"/>
      <c r="J73" s="379"/>
      <c r="L73" s="359"/>
      <c r="M73" s="379"/>
      <c r="N73" s="359"/>
      <c r="O73" s="379"/>
      <c r="Q73" s="359"/>
      <c r="R73" s="379"/>
      <c r="S73" s="359"/>
      <c r="T73" s="379"/>
    </row>
    <row r="74" spans="1:20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G74" s="66"/>
      <c r="H74" s="70">
        <f>H76/H79</f>
        <v>2.7716129032258063</v>
      </c>
      <c r="I74" s="66"/>
      <c r="J74" s="70">
        <f>J76/J79</f>
        <v>2.7963936889556726</v>
      </c>
      <c r="L74" s="66"/>
      <c r="M74" s="70">
        <f>M76/M79</f>
        <v>2.7483870967741937</v>
      </c>
      <c r="N74" s="66"/>
      <c r="O74" s="70">
        <f>O76/O79</f>
        <v>2.6213373403456046</v>
      </c>
      <c r="Q74" s="66"/>
      <c r="R74" s="70">
        <f>R76/R79</f>
        <v>2.7716129032258063</v>
      </c>
      <c r="S74" s="66"/>
      <c r="T74" s="70">
        <f>T76/T79</f>
        <v>2.7483870967741937</v>
      </c>
    </row>
    <row r="75" spans="1:20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G75" s="124"/>
      <c r="H75" s="125">
        <f>+H74/H10</f>
        <v>0.23096774193548386</v>
      </c>
      <c r="I75" s="124"/>
      <c r="J75" s="125">
        <f>+J74/J10</f>
        <v>0.23303280741297272</v>
      </c>
      <c r="K75" s="4"/>
      <c r="L75" s="124"/>
      <c r="M75" s="125">
        <f>+M74/M10</f>
        <v>0.22903225806451613</v>
      </c>
      <c r="N75" s="124"/>
      <c r="O75" s="125">
        <f>+O74/O10</f>
        <v>0.21844477836213372</v>
      </c>
      <c r="P75" s="4"/>
      <c r="Q75" s="124"/>
      <c r="R75" s="125">
        <f>+R74/R10</f>
        <v>0.23096774193548386</v>
      </c>
      <c r="S75" s="124"/>
      <c r="T75" s="125">
        <f>+T74/T10</f>
        <v>0.22903225806451613</v>
      </c>
    </row>
    <row r="76" spans="1:20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G76" s="380"/>
      <c r="H76" s="374">
        <f>H77*H10</f>
        <v>42960</v>
      </c>
      <c r="I76" s="380"/>
      <c r="J76" s="374">
        <f>J77*J10</f>
        <v>44664</v>
      </c>
      <c r="L76" s="380"/>
      <c r="M76" s="374">
        <f>M77*M10</f>
        <v>42600</v>
      </c>
      <c r="N76" s="380"/>
      <c r="O76" s="374">
        <f>O77*O10</f>
        <v>41868</v>
      </c>
      <c r="Q76" s="380"/>
      <c r="R76" s="374">
        <f>R77*R10</f>
        <v>42960</v>
      </c>
      <c r="S76" s="380"/>
      <c r="T76" s="374">
        <f>T77*T10</f>
        <v>42600</v>
      </c>
    </row>
    <row r="77" spans="1:20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G77" s="380"/>
      <c r="H77" s="90">
        <v>3580</v>
      </c>
      <c r="I77" s="380"/>
      <c r="J77" s="90">
        <v>3722</v>
      </c>
      <c r="L77" s="380"/>
      <c r="M77" s="90">
        <v>3550</v>
      </c>
      <c r="N77" s="380"/>
      <c r="O77" s="90">
        <v>3489</v>
      </c>
      <c r="Q77" s="380"/>
      <c r="R77" s="90">
        <v>3580</v>
      </c>
      <c r="S77" s="380"/>
      <c r="T77" s="90">
        <v>3550</v>
      </c>
    </row>
    <row r="78" spans="1:20" s="4" customFormat="1" ht="18" customHeight="1" outlineLevel="1" x14ac:dyDescent="0.45">
      <c r="A78" s="561"/>
      <c r="B78" s="1241"/>
      <c r="C78" s="259"/>
      <c r="D78" s="16"/>
      <c r="E78" s="126"/>
      <c r="G78" s="380"/>
      <c r="H78" s="374"/>
      <c r="I78" s="380"/>
      <c r="J78" s="374"/>
      <c r="L78" s="380"/>
      <c r="M78" s="374"/>
      <c r="N78" s="380"/>
      <c r="O78" s="374"/>
      <c r="Q78" s="380"/>
      <c r="R78" s="374"/>
      <c r="S78" s="380"/>
      <c r="T78" s="374"/>
    </row>
    <row r="79" spans="1:20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G79" s="359"/>
      <c r="H79" s="372">
        <v>15500</v>
      </c>
      <c r="I79" s="359"/>
      <c r="J79" s="372">
        <v>15972</v>
      </c>
      <c r="L79" s="359"/>
      <c r="M79" s="372">
        <v>15500</v>
      </c>
      <c r="N79" s="359"/>
      <c r="O79" s="372">
        <v>15972</v>
      </c>
      <c r="Q79" s="359"/>
      <c r="R79" s="372">
        <v>15500</v>
      </c>
      <c r="S79" s="359"/>
      <c r="T79" s="372">
        <v>15500</v>
      </c>
    </row>
    <row r="80" spans="1:20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G80" s="363"/>
      <c r="H80" s="368">
        <f>+H67-H74</f>
        <v>1.9283870967741938</v>
      </c>
      <c r="I80" s="363"/>
      <c r="J80" s="368">
        <f>+J67-J74</f>
        <v>1.9036063110443275</v>
      </c>
      <c r="L80" s="363"/>
      <c r="M80" s="368">
        <f>+M67-M74</f>
        <v>1.9516129032258065</v>
      </c>
      <c r="N80" s="363"/>
      <c r="O80" s="368">
        <f>+O67-O74</f>
        <v>2.0786626596543956</v>
      </c>
      <c r="Q80" s="363"/>
      <c r="R80" s="368">
        <f>+R67-R74</f>
        <v>1.9283870967741938</v>
      </c>
      <c r="S80" s="363"/>
      <c r="T80" s="368">
        <f>+T67-T74</f>
        <v>1.9516129032258065</v>
      </c>
    </row>
    <row r="81" spans="1:20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G81" s="363"/>
      <c r="H81" s="368">
        <f>+H80/H10</f>
        <v>0.16069892473118283</v>
      </c>
      <c r="I81" s="363"/>
      <c r="J81" s="368">
        <f>+J80/J10</f>
        <v>0.15863385925369397</v>
      </c>
      <c r="L81" s="363"/>
      <c r="M81" s="368">
        <f>+M80/M10</f>
        <v>0.16263440860215053</v>
      </c>
      <c r="N81" s="363"/>
      <c r="O81" s="368">
        <f>+O80/O10</f>
        <v>0.17322188830453297</v>
      </c>
      <c r="Q81" s="363"/>
      <c r="R81" s="368">
        <f>+R80/R10</f>
        <v>0.16069892473118283</v>
      </c>
      <c r="S81" s="363"/>
      <c r="T81" s="368">
        <f>+T80/T10</f>
        <v>0.16263440860215053</v>
      </c>
    </row>
    <row r="82" spans="1:20" s="65" customFormat="1" ht="18" customHeight="1" outlineLevel="1" x14ac:dyDescent="0.45">
      <c r="A82" s="561"/>
      <c r="B82" s="1241"/>
      <c r="C82" s="131" t="s">
        <v>85</v>
      </c>
      <c r="D82" s="131"/>
      <c r="E82" s="131"/>
      <c r="G82" s="381"/>
      <c r="H82" s="382">
        <f>+H80/H67</f>
        <v>0.41029512697323273</v>
      </c>
      <c r="I82" s="381"/>
      <c r="J82" s="382">
        <f>+J80/J67</f>
        <v>0.40502261937113349</v>
      </c>
      <c r="K82" s="4"/>
      <c r="L82" s="381"/>
      <c r="M82" s="382">
        <f>+M80/M67</f>
        <v>0.41523678792038432</v>
      </c>
      <c r="N82" s="381"/>
      <c r="O82" s="382">
        <f>+O80/O67</f>
        <v>0.44226865099029689</v>
      </c>
      <c r="P82" s="4"/>
      <c r="Q82" s="381"/>
      <c r="R82" s="382">
        <f>+R80/R67</f>
        <v>0.41029512697323273</v>
      </c>
      <c r="S82" s="381"/>
      <c r="T82" s="382">
        <f>+T80/T67</f>
        <v>0.41523678792038432</v>
      </c>
    </row>
    <row r="83" spans="1:20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G83" s="137"/>
      <c r="H83" s="138">
        <f>H80-H57</f>
        <v>0.6283870967741938</v>
      </c>
      <c r="I83" s="137"/>
      <c r="J83" s="138">
        <f>J80-J57</f>
        <v>0.60360631104432749</v>
      </c>
      <c r="K83" s="4"/>
      <c r="L83" s="137"/>
      <c r="M83" s="138">
        <f>M80-M57</f>
        <v>0.65161290322580645</v>
      </c>
      <c r="N83" s="137"/>
      <c r="O83" s="138">
        <f>O80-O57</f>
        <v>0.77866265965439552</v>
      </c>
      <c r="P83" s="4"/>
      <c r="Q83" s="137"/>
      <c r="R83" s="138">
        <f>R80-R57</f>
        <v>0.6283870967741938</v>
      </c>
      <c r="S83" s="137"/>
      <c r="T83" s="138">
        <f>T80-T57</f>
        <v>0.65161290322580645</v>
      </c>
    </row>
    <row r="84" spans="1:20" s="65" customFormat="1" ht="18" customHeight="1" outlineLevel="1" x14ac:dyDescent="0.45">
      <c r="A84" s="561"/>
      <c r="B84" s="1241"/>
      <c r="C84" s="131" t="s">
        <v>87</v>
      </c>
      <c r="D84" s="131"/>
      <c r="E84" s="131"/>
      <c r="G84" s="381"/>
      <c r="H84" s="382">
        <f>H83/H67</f>
        <v>0.13369938229238165</v>
      </c>
      <c r="I84" s="381"/>
      <c r="J84" s="382">
        <f>J83/J67</f>
        <v>0.12842687469028244</v>
      </c>
      <c r="K84" s="4"/>
      <c r="L84" s="381"/>
      <c r="M84" s="382">
        <f>M83/M67</f>
        <v>0.13864104323953327</v>
      </c>
      <c r="N84" s="381"/>
      <c r="O84" s="382">
        <f>O83/O67</f>
        <v>0.16567290630944584</v>
      </c>
      <c r="P84" s="4"/>
      <c r="Q84" s="381"/>
      <c r="R84" s="382">
        <f>R83/R67</f>
        <v>0.13369938229238165</v>
      </c>
      <c r="S84" s="381"/>
      <c r="T84" s="382">
        <f>T83/T67</f>
        <v>0.13864104323953327</v>
      </c>
    </row>
    <row r="85" spans="1:20" s="65" customFormat="1" ht="6.75" customHeight="1" outlineLevel="1" x14ac:dyDescent="0.45">
      <c r="A85" s="561"/>
      <c r="B85" s="266"/>
      <c r="C85" s="131"/>
      <c r="D85" s="131"/>
      <c r="E85" s="131"/>
      <c r="G85" s="381"/>
      <c r="H85" s="382"/>
      <c r="I85" s="381"/>
      <c r="J85" s="382"/>
      <c r="K85" s="4"/>
      <c r="L85" s="381"/>
      <c r="M85" s="382"/>
      <c r="N85" s="381"/>
      <c r="O85" s="382"/>
      <c r="P85" s="4"/>
      <c r="Q85" s="381"/>
      <c r="R85" s="382"/>
      <c r="S85" s="381"/>
      <c r="T85" s="382"/>
    </row>
    <row r="86" spans="1:20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G86" s="141"/>
      <c r="H86" s="142">
        <f>H83-H72</f>
        <v>0.59068972339192594</v>
      </c>
      <c r="I86" s="141"/>
      <c r="J86" s="142">
        <f>J83-J72</f>
        <v>0.56590893766205963</v>
      </c>
      <c r="K86" s="4"/>
      <c r="L86" s="141"/>
      <c r="M86" s="142">
        <f>M83-M72</f>
        <v>0.61391552984353859</v>
      </c>
      <c r="N86" s="141"/>
      <c r="O86" s="142">
        <f>O83-O72</f>
        <v>0.74096528627212765</v>
      </c>
      <c r="P86" s="4"/>
      <c r="Q86" s="141"/>
      <c r="R86" s="142">
        <f>R83-R72</f>
        <v>0.59068972339192594</v>
      </c>
      <c r="S86" s="141"/>
      <c r="T86" s="142">
        <f>T83-T72</f>
        <v>0.61391552984353859</v>
      </c>
    </row>
    <row r="87" spans="1:20" s="65" customFormat="1" ht="18" customHeight="1" outlineLevel="1" x14ac:dyDescent="0.45">
      <c r="A87" s="561"/>
      <c r="B87" s="266"/>
      <c r="C87" s="131" t="s">
        <v>89</v>
      </c>
      <c r="D87" s="131"/>
      <c r="E87" s="131"/>
      <c r="G87" s="381"/>
      <c r="H87" s="382">
        <f>H86/H67</f>
        <v>0.12567866455147361</v>
      </c>
      <c r="I87" s="381"/>
      <c r="J87" s="382">
        <f>J86/J67</f>
        <v>0.12040615694937438</v>
      </c>
      <c r="K87" s="4"/>
      <c r="L87" s="381"/>
      <c r="M87" s="382">
        <f>M86/M67</f>
        <v>0.13062032549862523</v>
      </c>
      <c r="N87" s="381"/>
      <c r="O87" s="382">
        <f>O86/O67</f>
        <v>0.1576521885685378</v>
      </c>
      <c r="P87" s="4"/>
      <c r="Q87" s="381"/>
      <c r="R87" s="382">
        <f>R86/R67</f>
        <v>0.12567866455147361</v>
      </c>
      <c r="S87" s="381"/>
      <c r="T87" s="382">
        <f>T86/T67</f>
        <v>0.13062032549862523</v>
      </c>
    </row>
    <row r="88" spans="1:20" s="65" customFormat="1" ht="6.75" customHeight="1" outlineLevel="1" x14ac:dyDescent="0.45">
      <c r="A88" s="561"/>
      <c r="B88" s="266"/>
      <c r="C88" s="131"/>
      <c r="D88" s="131"/>
      <c r="E88" s="131"/>
      <c r="G88" s="381"/>
      <c r="H88" s="382"/>
      <c r="I88" s="381"/>
      <c r="J88" s="382"/>
      <c r="K88" s="4"/>
      <c r="L88" s="381"/>
      <c r="M88" s="382"/>
      <c r="N88" s="381"/>
      <c r="O88" s="382"/>
      <c r="P88" s="4"/>
      <c r="Q88" s="381"/>
      <c r="R88" s="382"/>
      <c r="S88" s="381"/>
      <c r="T88" s="382"/>
    </row>
    <row r="89" spans="1:20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G89" s="146"/>
      <c r="H89" s="147">
        <f>H86</f>
        <v>0.59068972339192594</v>
      </c>
      <c r="I89" s="146"/>
      <c r="J89" s="147">
        <f>J86</f>
        <v>0.56590893766205963</v>
      </c>
      <c r="K89" s="4"/>
      <c r="L89" s="146"/>
      <c r="M89" s="147">
        <f>M86</f>
        <v>0.61391552984353859</v>
      </c>
      <c r="N89" s="146"/>
      <c r="O89" s="147">
        <f>O86</f>
        <v>0.74096528627212765</v>
      </c>
      <c r="P89" s="4"/>
      <c r="Q89" s="146"/>
      <c r="R89" s="147">
        <f>R86</f>
        <v>0.59068972339192594</v>
      </c>
      <c r="S89" s="146"/>
      <c r="T89" s="147">
        <f>T86</f>
        <v>0.61391552984353859</v>
      </c>
    </row>
    <row r="90" spans="1:20" s="283" customFormat="1" ht="18" customHeight="1" outlineLevel="1" x14ac:dyDescent="0.45">
      <c r="A90" s="561"/>
      <c r="B90" s="266"/>
      <c r="C90" s="132" t="s">
        <v>91</v>
      </c>
      <c r="D90" s="131"/>
      <c r="E90" s="131"/>
      <c r="G90" s="381"/>
      <c r="H90" s="382">
        <f>H89/H67</f>
        <v>0.12567866455147361</v>
      </c>
      <c r="I90" s="381"/>
      <c r="J90" s="382">
        <f>J89/J67</f>
        <v>0.12040615694937438</v>
      </c>
      <c r="K90" s="4"/>
      <c r="L90" s="381"/>
      <c r="M90" s="382">
        <f>M89/M67</f>
        <v>0.13062032549862523</v>
      </c>
      <c r="N90" s="381"/>
      <c r="O90" s="382">
        <f>O89/O67</f>
        <v>0.1576521885685378</v>
      </c>
      <c r="P90" s="4"/>
      <c r="Q90" s="381"/>
      <c r="R90" s="382">
        <f>R89/R67</f>
        <v>0.12567866455147361</v>
      </c>
      <c r="S90" s="381"/>
      <c r="T90" s="382">
        <f>T89/T67</f>
        <v>0.13062032549862523</v>
      </c>
    </row>
    <row r="91" spans="1:20" s="283" customFormat="1" ht="6.75" customHeight="1" outlineLevel="1" x14ac:dyDescent="0.45">
      <c r="A91" s="561"/>
      <c r="B91" s="266"/>
      <c r="C91" s="131"/>
      <c r="D91" s="131"/>
      <c r="E91" s="131"/>
      <c r="G91" s="381"/>
      <c r="H91" s="382"/>
      <c r="I91" s="381"/>
      <c r="J91" s="382"/>
      <c r="K91" s="4"/>
      <c r="L91" s="381"/>
      <c r="M91" s="382"/>
      <c r="N91" s="381"/>
      <c r="O91" s="382"/>
      <c r="P91" s="4"/>
      <c r="Q91" s="381"/>
      <c r="R91" s="382"/>
      <c r="S91" s="381"/>
      <c r="T91" s="382"/>
    </row>
    <row r="92" spans="1:20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G92" s="256"/>
      <c r="H92" s="257"/>
      <c r="I92" s="256"/>
      <c r="J92" s="257"/>
      <c r="K92" s="4"/>
      <c r="L92" s="256"/>
      <c r="M92" s="257"/>
      <c r="N92" s="256"/>
      <c r="O92" s="257"/>
      <c r="P92" s="4"/>
      <c r="Q92" s="256"/>
      <c r="R92" s="257"/>
      <c r="S92" s="256"/>
      <c r="T92" s="257"/>
    </row>
    <row r="93" spans="1:20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G93" s="146"/>
      <c r="H93" s="147">
        <f>H89-H92</f>
        <v>0.59068972339192594</v>
      </c>
      <c r="I93" s="146"/>
      <c r="J93" s="147">
        <f>J89-J92</f>
        <v>0.56590893766205963</v>
      </c>
      <c r="K93" s="4"/>
      <c r="L93" s="146"/>
      <c r="M93" s="147">
        <f>M89-M92</f>
        <v>0.61391552984353859</v>
      </c>
      <c r="N93" s="146"/>
      <c r="O93" s="147">
        <f>O89-O92</f>
        <v>0.74096528627212765</v>
      </c>
      <c r="P93" s="4"/>
      <c r="Q93" s="146"/>
      <c r="R93" s="147">
        <f>R89-R92</f>
        <v>0.59068972339192594</v>
      </c>
      <c r="S93" s="146"/>
      <c r="T93" s="147">
        <f>T89-T92</f>
        <v>0.61391552984353859</v>
      </c>
    </row>
    <row r="94" spans="1:20" s="65" customFormat="1" ht="18" customHeight="1" outlineLevel="1" x14ac:dyDescent="0.45">
      <c r="A94" s="561"/>
      <c r="B94" s="266"/>
      <c r="C94" s="131" t="s">
        <v>93</v>
      </c>
      <c r="D94" s="131"/>
      <c r="E94" s="149"/>
      <c r="G94" s="381"/>
      <c r="H94" s="382">
        <f>H93/H67</f>
        <v>0.12567866455147361</v>
      </c>
      <c r="I94" s="381"/>
      <c r="J94" s="382">
        <f>J93/J67</f>
        <v>0.12040615694937438</v>
      </c>
      <c r="K94" s="4"/>
      <c r="L94" s="381"/>
      <c r="M94" s="382">
        <f>M93/M67</f>
        <v>0.13062032549862523</v>
      </c>
      <c r="N94" s="381"/>
      <c r="O94" s="382">
        <f>O93/O67</f>
        <v>0.1576521885685378</v>
      </c>
      <c r="P94" s="4"/>
      <c r="Q94" s="381"/>
      <c r="R94" s="382">
        <f>R93/R67</f>
        <v>0.12567866455147361</v>
      </c>
      <c r="S94" s="381"/>
      <c r="T94" s="382">
        <f>T93/T67</f>
        <v>0.13062032549862523</v>
      </c>
    </row>
    <row r="95" spans="1:20" s="65" customFormat="1" ht="6.6" customHeight="1" outlineLevel="1" x14ac:dyDescent="0.45">
      <c r="A95" s="561"/>
      <c r="B95" s="266"/>
      <c r="C95" s="131"/>
      <c r="D95" s="131"/>
      <c r="E95" s="131"/>
      <c r="G95" s="381"/>
      <c r="H95" s="382"/>
      <c r="I95" s="381"/>
      <c r="J95" s="382"/>
      <c r="K95" s="4"/>
      <c r="L95" s="381"/>
      <c r="M95" s="382"/>
      <c r="N95" s="381"/>
      <c r="O95" s="382"/>
      <c r="P95" s="4"/>
      <c r="Q95" s="381"/>
      <c r="R95" s="382"/>
      <c r="S95" s="381"/>
      <c r="T95" s="382"/>
    </row>
    <row r="96" spans="1:20" s="65" customFormat="1" ht="18" customHeight="1" outlineLevel="1" x14ac:dyDescent="0.45">
      <c r="A96" s="561"/>
      <c r="B96" s="266"/>
      <c r="C96" s="262" t="s">
        <v>94</v>
      </c>
      <c r="D96" s="131"/>
      <c r="E96" s="131"/>
      <c r="G96" s="381"/>
      <c r="H96" s="383">
        <f>(H136-H135)/H66</f>
        <v>-0.11702127659574468</v>
      </c>
      <c r="I96" s="381"/>
      <c r="J96" s="383">
        <f>(J136-J135)/J66</f>
        <v>-0.15808510638297874</v>
      </c>
      <c r="K96" s="4"/>
      <c r="L96" s="381"/>
      <c r="M96" s="383">
        <f>(M136-M135)/M66</f>
        <v>-0.11702127659574468</v>
      </c>
      <c r="N96" s="381"/>
      <c r="O96" s="383">
        <f>(O136-O135)/O66</f>
        <v>-0.15808510638297874</v>
      </c>
      <c r="P96" s="4"/>
      <c r="Q96" s="381"/>
      <c r="R96" s="383">
        <f>(R136-R135)/R66</f>
        <v>-0.13829787234042554</v>
      </c>
      <c r="S96" s="381"/>
      <c r="T96" s="383">
        <f>(T136-T135)/T66</f>
        <v>-0.13829787234042554</v>
      </c>
    </row>
    <row r="97" spans="1:20" s="65" customFormat="1" ht="6.75" customHeight="1" outlineLevel="1" x14ac:dyDescent="0.45">
      <c r="A97" s="561"/>
      <c r="B97" s="266"/>
      <c r="C97" s="131"/>
      <c r="D97" s="131"/>
      <c r="E97" s="131"/>
      <c r="G97" s="381"/>
      <c r="H97" s="382"/>
      <c r="I97" s="381"/>
      <c r="J97" s="382"/>
      <c r="K97" s="4"/>
      <c r="L97" s="381"/>
      <c r="M97" s="382"/>
      <c r="N97" s="381"/>
      <c r="O97" s="382"/>
      <c r="P97" s="4"/>
      <c r="Q97" s="381"/>
      <c r="R97" s="382"/>
      <c r="S97" s="381"/>
      <c r="T97" s="382"/>
    </row>
    <row r="98" spans="1:20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G98" s="591"/>
      <c r="H98" s="590">
        <f>H93-H96</f>
        <v>0.70771099998767062</v>
      </c>
      <c r="I98" s="591"/>
      <c r="J98" s="590">
        <f>J93-J96</f>
        <v>0.72399404404503831</v>
      </c>
      <c r="K98" s="4"/>
      <c r="L98" s="591"/>
      <c r="M98" s="590">
        <f>M93-M96</f>
        <v>0.73093680643928327</v>
      </c>
      <c r="N98" s="591"/>
      <c r="O98" s="590">
        <f>O93-O96</f>
        <v>0.89905039265510633</v>
      </c>
      <c r="P98" s="4"/>
      <c r="Q98" s="591"/>
      <c r="R98" s="590">
        <f>R93-R96</f>
        <v>0.7289875957323515</v>
      </c>
      <c r="S98" s="591"/>
      <c r="T98" s="590">
        <f>T93-T96</f>
        <v>0.75221340218396415</v>
      </c>
    </row>
    <row r="99" spans="1:20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G99" s="159"/>
      <c r="H99" s="1097">
        <f>H98/H67</f>
        <v>0.15057680850801503</v>
      </c>
      <c r="I99" s="159"/>
      <c r="J99" s="1097">
        <f>J98/J67</f>
        <v>0.15404128596702943</v>
      </c>
      <c r="K99" s="4"/>
      <c r="L99" s="159"/>
      <c r="M99" s="1097">
        <f>M98/M67</f>
        <v>0.15551846945516665</v>
      </c>
      <c r="N99" s="159"/>
      <c r="O99" s="1097">
        <f>O98/O67</f>
        <v>0.19128731758619283</v>
      </c>
      <c r="P99" s="4"/>
      <c r="Q99" s="159"/>
      <c r="R99" s="1097">
        <f>R98/R67</f>
        <v>0.15510374377284075</v>
      </c>
      <c r="S99" s="159"/>
      <c r="T99" s="1097">
        <f>T98/T67</f>
        <v>0.16004540471999237</v>
      </c>
    </row>
    <row r="100" spans="1:20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G100" s="251"/>
      <c r="H100" s="167">
        <v>620</v>
      </c>
      <c r="I100" s="251"/>
      <c r="J100" s="167">
        <v>620</v>
      </c>
      <c r="L100" s="251"/>
      <c r="M100" s="167">
        <v>620</v>
      </c>
      <c r="N100" s="251"/>
      <c r="O100" s="167">
        <v>620</v>
      </c>
      <c r="Q100" s="251"/>
      <c r="R100" s="167">
        <v>620</v>
      </c>
      <c r="S100" s="251"/>
      <c r="T100" s="167">
        <v>620</v>
      </c>
    </row>
    <row r="101" spans="1:20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G101" s="164"/>
      <c r="H101" s="168">
        <v>1150</v>
      </c>
      <c r="I101" s="164"/>
      <c r="J101" s="168">
        <v>1150</v>
      </c>
      <c r="L101" s="164"/>
      <c r="M101" s="168">
        <v>1150</v>
      </c>
      <c r="N101" s="164"/>
      <c r="O101" s="168">
        <v>1150</v>
      </c>
      <c r="Q101" s="164"/>
      <c r="R101" s="168">
        <v>1150</v>
      </c>
      <c r="S101" s="164"/>
      <c r="T101" s="168">
        <v>1150</v>
      </c>
    </row>
    <row r="102" spans="1:20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G102" s="164"/>
      <c r="H102" s="168">
        <v>750</v>
      </c>
      <c r="I102" s="164"/>
      <c r="J102" s="168">
        <v>750</v>
      </c>
      <c r="L102" s="164"/>
      <c r="M102" s="168">
        <v>750</v>
      </c>
      <c r="N102" s="164"/>
      <c r="O102" s="168">
        <v>750</v>
      </c>
      <c r="Q102" s="164"/>
      <c r="R102" s="168">
        <v>750</v>
      </c>
      <c r="S102" s="164"/>
      <c r="T102" s="168">
        <v>750</v>
      </c>
    </row>
    <row r="103" spans="1:20" s="4" customFormat="1" ht="18" customHeight="1" outlineLevel="2" x14ac:dyDescent="0.45">
      <c r="A103" s="561"/>
      <c r="B103" s="1187"/>
      <c r="C103" s="170"/>
      <c r="D103" s="162"/>
      <c r="E103" s="162"/>
      <c r="G103" s="164"/>
      <c r="H103" s="171"/>
      <c r="I103" s="164"/>
      <c r="J103" s="171"/>
      <c r="L103" s="164"/>
      <c r="M103" s="171"/>
      <c r="N103" s="164"/>
      <c r="O103" s="171"/>
      <c r="Q103" s="164"/>
      <c r="R103" s="171"/>
      <c r="S103" s="164"/>
      <c r="T103" s="171"/>
    </row>
    <row r="104" spans="1:20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G104" s="173"/>
      <c r="H104" s="165">
        <f>H101-H100</f>
        <v>530</v>
      </c>
      <c r="I104" s="173"/>
      <c r="J104" s="165">
        <f>J101-J100</f>
        <v>530</v>
      </c>
      <c r="L104" s="173"/>
      <c r="M104" s="165">
        <f>M101-M100</f>
        <v>530</v>
      </c>
      <c r="N104" s="173"/>
      <c r="O104" s="165">
        <f>O101-O100</f>
        <v>530</v>
      </c>
      <c r="Q104" s="173"/>
      <c r="R104" s="165">
        <f>R101-R100</f>
        <v>530</v>
      </c>
      <c r="S104" s="173"/>
      <c r="T104" s="165">
        <f>T101-T100</f>
        <v>530</v>
      </c>
    </row>
    <row r="105" spans="1:20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G105" s="177"/>
      <c r="H105" s="178">
        <f>H104/H66</f>
        <v>0.11276595744680851</v>
      </c>
      <c r="I105" s="177"/>
      <c r="J105" s="178">
        <f>J104/J66</f>
        <v>0.11276595744680851</v>
      </c>
      <c r="K105" s="4"/>
      <c r="L105" s="177"/>
      <c r="M105" s="178">
        <f>M104/M66</f>
        <v>0.11276595744680851</v>
      </c>
      <c r="N105" s="177"/>
      <c r="O105" s="178">
        <f>O104/O66</f>
        <v>0.11276595744680851</v>
      </c>
      <c r="P105" s="4"/>
      <c r="Q105" s="177"/>
      <c r="R105" s="178">
        <f>R104/R66</f>
        <v>0.11276595744680851</v>
      </c>
      <c r="S105" s="177"/>
      <c r="T105" s="178">
        <f>T104/T66</f>
        <v>0.11276595744680851</v>
      </c>
    </row>
    <row r="106" spans="1:20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G106" s="177"/>
      <c r="H106" s="178">
        <f>(H101-H102)/H66</f>
        <v>8.5106382978723402E-2</v>
      </c>
      <c r="I106" s="177"/>
      <c r="J106" s="178">
        <f>(J101-J102)/J66</f>
        <v>8.5106382978723402E-2</v>
      </c>
      <c r="K106" s="4"/>
      <c r="L106" s="177"/>
      <c r="M106" s="178">
        <f>(M101-M102)/M66</f>
        <v>8.5106382978723402E-2</v>
      </c>
      <c r="N106" s="177"/>
      <c r="O106" s="178">
        <f>(O101-O102)/O66</f>
        <v>8.5106382978723402E-2</v>
      </c>
      <c r="P106" s="4"/>
      <c r="Q106" s="177"/>
      <c r="R106" s="178">
        <f>(R101-R102)/R66</f>
        <v>8.5106382978723402E-2</v>
      </c>
      <c r="S106" s="177"/>
      <c r="T106" s="178">
        <f>(T101-T102)/T66</f>
        <v>8.5106382978723402E-2</v>
      </c>
    </row>
    <row r="107" spans="1:20" s="4" customFormat="1" ht="18" customHeight="1" outlineLevel="2" x14ac:dyDescent="0.45">
      <c r="A107" s="561"/>
      <c r="B107" s="1187"/>
      <c r="C107" s="170"/>
      <c r="D107" s="162"/>
      <c r="E107" s="179"/>
      <c r="G107" s="180"/>
      <c r="H107" s="181"/>
      <c r="I107" s="180"/>
      <c r="J107" s="181"/>
      <c r="L107" s="180"/>
      <c r="M107" s="181"/>
      <c r="N107" s="180"/>
      <c r="O107" s="181"/>
      <c r="Q107" s="180"/>
      <c r="R107" s="181"/>
      <c r="S107" s="180"/>
      <c r="T107" s="181"/>
    </row>
    <row r="108" spans="1:20" s="4" customFormat="1" ht="18" customHeight="1" outlineLevel="2" x14ac:dyDescent="0.45">
      <c r="A108" s="561"/>
      <c r="B108" s="1187"/>
      <c r="C108" s="183" t="s">
        <v>106</v>
      </c>
      <c r="D108" s="184"/>
      <c r="E108" s="185"/>
      <c r="G108" s="186"/>
      <c r="H108" s="187">
        <f>H60-(H101/H66)-H74</f>
        <v>1.833280713795471</v>
      </c>
      <c r="I108" s="186"/>
      <c r="J108" s="187">
        <f>J60-(J101/J66)-J74</f>
        <v>1.8084999280656047</v>
      </c>
      <c r="L108" s="186"/>
      <c r="M108" s="187">
        <f>M60-(M101/M66)-M74</f>
        <v>1.8565065202470836</v>
      </c>
      <c r="N108" s="186"/>
      <c r="O108" s="187">
        <f>O60-(O101/O66)-O74</f>
        <v>1.9835562766756727</v>
      </c>
      <c r="Q108" s="186"/>
      <c r="R108" s="187">
        <f>R60-(R101/R66)-R74</f>
        <v>1.833280713795471</v>
      </c>
      <c r="S108" s="186"/>
      <c r="T108" s="187">
        <f>T60-(T101/T66)-T74</f>
        <v>1.8565065202470836</v>
      </c>
    </row>
    <row r="109" spans="1:20" s="4" customFormat="1" ht="18" customHeight="1" outlineLevel="2" x14ac:dyDescent="0.45">
      <c r="A109" s="561"/>
      <c r="B109" s="1187"/>
      <c r="C109" s="190" t="s">
        <v>107</v>
      </c>
      <c r="D109" s="184"/>
      <c r="E109" s="191"/>
      <c r="G109" s="192"/>
      <c r="H109" s="193">
        <f>H108/H67</f>
        <v>0.3900597263394619</v>
      </c>
      <c r="I109" s="192"/>
      <c r="J109" s="193">
        <f>J108/J67</f>
        <v>0.38478721873736266</v>
      </c>
      <c r="L109" s="192"/>
      <c r="M109" s="193">
        <f>M108/M67</f>
        <v>0.39500138728661355</v>
      </c>
      <c r="N109" s="192"/>
      <c r="O109" s="193">
        <f>O108/O67</f>
        <v>0.42203325035652611</v>
      </c>
      <c r="Q109" s="192"/>
      <c r="R109" s="193">
        <f>R108/R67</f>
        <v>0.3900597263394619</v>
      </c>
      <c r="S109" s="192"/>
      <c r="T109" s="193">
        <f>T108/T67</f>
        <v>0.39500138728661355</v>
      </c>
    </row>
    <row r="110" spans="1:20" s="162" customFormat="1" ht="18" customHeight="1" outlineLevel="2" x14ac:dyDescent="0.45">
      <c r="A110" s="561"/>
      <c r="B110" s="1187"/>
      <c r="C110" s="196"/>
      <c r="E110" s="197"/>
      <c r="G110" s="164"/>
      <c r="H110" s="198"/>
      <c r="I110" s="164"/>
      <c r="J110" s="198"/>
      <c r="K110" s="4"/>
      <c r="L110" s="164"/>
      <c r="M110" s="198"/>
      <c r="N110" s="164"/>
      <c r="O110" s="198"/>
      <c r="P110" s="4"/>
      <c r="Q110" s="164"/>
      <c r="R110" s="198"/>
      <c r="S110" s="164"/>
      <c r="T110" s="198"/>
    </row>
    <row r="111" spans="1:20" s="4" customFormat="1" ht="18" customHeight="1" outlineLevel="2" x14ac:dyDescent="0.45">
      <c r="A111" s="561"/>
      <c r="B111" s="1187"/>
      <c r="C111" s="183" t="s">
        <v>108</v>
      </c>
      <c r="D111" s="184"/>
      <c r="E111" s="185"/>
      <c r="G111" s="186"/>
      <c r="H111" s="187">
        <f>H60-(H102/H66)-H74</f>
        <v>1.9183870967741941</v>
      </c>
      <c r="I111" s="186"/>
      <c r="J111" s="187">
        <f>J60-(J102/J66)-J74</f>
        <v>1.8936063110443278</v>
      </c>
      <c r="L111" s="186"/>
      <c r="M111" s="187">
        <f>M60-(M102/M66)-M74</f>
        <v>1.9416129032258067</v>
      </c>
      <c r="N111" s="186"/>
      <c r="O111" s="187">
        <f>O60-(O102/O66)-O74</f>
        <v>2.0686626596543958</v>
      </c>
      <c r="Q111" s="186"/>
      <c r="R111" s="187">
        <f>R60-(R102/R66)-R74</f>
        <v>1.9183870967741941</v>
      </c>
      <c r="S111" s="186"/>
      <c r="T111" s="187">
        <f>T60-(T102/T66)-T74</f>
        <v>1.9416129032258067</v>
      </c>
    </row>
    <row r="112" spans="1:20" s="4" customFormat="1" ht="18" customHeight="1" outlineLevel="2" x14ac:dyDescent="0.45">
      <c r="A112" s="561"/>
      <c r="B112" s="1187"/>
      <c r="C112" s="190" t="s">
        <v>109</v>
      </c>
      <c r="D112" s="184"/>
      <c r="E112" s="191"/>
      <c r="G112" s="192"/>
      <c r="H112" s="193">
        <f>H111/H67</f>
        <v>0.40816746739876469</v>
      </c>
      <c r="I112" s="192"/>
      <c r="J112" s="193">
        <f>J111/J67</f>
        <v>0.40289495979666545</v>
      </c>
      <c r="L112" s="192"/>
      <c r="M112" s="193">
        <f>M111/M67</f>
        <v>0.41310912834591629</v>
      </c>
      <c r="N112" s="192"/>
      <c r="O112" s="193">
        <f>O111/O67</f>
        <v>0.44014099141582885</v>
      </c>
      <c r="Q112" s="192"/>
      <c r="R112" s="193">
        <f>R111/R67</f>
        <v>0.40816746739876469</v>
      </c>
      <c r="S112" s="192"/>
      <c r="T112" s="193">
        <f>T111/T67</f>
        <v>0.41310912834591629</v>
      </c>
    </row>
    <row r="113" spans="1:20" s="4" customFormat="1" ht="18" customHeight="1" outlineLevel="2" x14ac:dyDescent="0.45">
      <c r="A113" s="561"/>
      <c r="B113" s="1187"/>
      <c r="C113" s="170"/>
      <c r="D113" s="162"/>
      <c r="E113" s="197"/>
      <c r="G113" s="173"/>
      <c r="H113" s="165"/>
      <c r="I113" s="173"/>
      <c r="J113" s="165"/>
      <c r="L113" s="173"/>
      <c r="M113" s="165"/>
      <c r="N113" s="173"/>
      <c r="O113" s="165"/>
      <c r="Q113" s="173"/>
      <c r="R113" s="165"/>
      <c r="S113" s="173"/>
      <c r="T113" s="165"/>
    </row>
    <row r="114" spans="1:20" s="65" customFormat="1" ht="18" customHeight="1" outlineLevel="3" x14ac:dyDescent="0.45">
      <c r="A114" s="561"/>
      <c r="B114" s="199"/>
      <c r="C114" s="200" t="s">
        <v>110</v>
      </c>
      <c r="D114" s="201"/>
      <c r="E114" s="201"/>
      <c r="G114" s="202" t="s">
        <v>111</v>
      </c>
      <c r="H114" s="203">
        <f>H116/H79</f>
        <v>437.74193548387098</v>
      </c>
      <c r="I114" s="202" t="s">
        <v>111</v>
      </c>
      <c r="J114" s="203">
        <f>J116/J79</f>
        <v>429.97746055597293</v>
      </c>
      <c r="K114" s="4"/>
      <c r="L114" s="202" t="s">
        <v>111</v>
      </c>
      <c r="M114" s="203">
        <f>M116/M79</f>
        <v>437.74193548387098</v>
      </c>
      <c r="N114" s="202" t="s">
        <v>111</v>
      </c>
      <c r="O114" s="203">
        <f>O116/O79</f>
        <v>429.97746055597293</v>
      </c>
      <c r="P114" s="4"/>
      <c r="Q114" s="202" t="s">
        <v>111</v>
      </c>
      <c r="R114" s="203">
        <f>R116/R79</f>
        <v>437.74193548387098</v>
      </c>
      <c r="S114" s="202" t="s">
        <v>111</v>
      </c>
      <c r="T114" s="203">
        <f>T116/T79</f>
        <v>437.74193548387098</v>
      </c>
    </row>
    <row r="115" spans="1:20" s="65" customFormat="1" ht="18" customHeight="1" outlineLevel="3" x14ac:dyDescent="0.45">
      <c r="A115" s="561"/>
      <c r="B115" s="199"/>
      <c r="C115" s="200" t="s">
        <v>112</v>
      </c>
      <c r="D115" s="201"/>
      <c r="E115" s="201"/>
      <c r="G115" s="202" t="s">
        <v>111</v>
      </c>
      <c r="H115" s="203">
        <f>H114/H66</f>
        <v>9.3136582017844888E-2</v>
      </c>
      <c r="I115" s="202" t="s">
        <v>111</v>
      </c>
      <c r="J115" s="203">
        <f>J114/J66</f>
        <v>9.1484566075738918E-2</v>
      </c>
      <c r="K115" s="4"/>
      <c r="L115" s="202" t="s">
        <v>111</v>
      </c>
      <c r="M115" s="203">
        <f>M114/M66</f>
        <v>9.3136582017844888E-2</v>
      </c>
      <c r="N115" s="202" t="s">
        <v>111</v>
      </c>
      <c r="O115" s="203">
        <f>O114/O66</f>
        <v>9.1484566075738918E-2</v>
      </c>
      <c r="P115" s="4"/>
      <c r="Q115" s="202" t="s">
        <v>111</v>
      </c>
      <c r="R115" s="203">
        <f>R114/R66</f>
        <v>9.3136582017844888E-2</v>
      </c>
      <c r="S115" s="202" t="s">
        <v>111</v>
      </c>
      <c r="T115" s="203">
        <f>T114/T66</f>
        <v>9.3136582017844888E-2</v>
      </c>
    </row>
    <row r="116" spans="1:20" s="65" customFormat="1" ht="18" customHeight="1" outlineLevel="3" x14ac:dyDescent="0.45">
      <c r="A116" s="561"/>
      <c r="B116" s="199"/>
      <c r="C116" s="200" t="s">
        <v>113</v>
      </c>
      <c r="D116" s="201"/>
      <c r="E116" s="201"/>
      <c r="G116" s="202" t="s">
        <v>114</v>
      </c>
      <c r="H116" s="204">
        <f>H117*H66</f>
        <v>6785000</v>
      </c>
      <c r="I116" s="202" t="s">
        <v>114</v>
      </c>
      <c r="J116" s="204">
        <f>J117*J66</f>
        <v>6867600</v>
      </c>
      <c r="K116" s="4"/>
      <c r="L116" s="202" t="s">
        <v>114</v>
      </c>
      <c r="M116" s="204">
        <f>M117*M66</f>
        <v>6785000</v>
      </c>
      <c r="N116" s="202" t="s">
        <v>114</v>
      </c>
      <c r="O116" s="204">
        <f>O117*O66</f>
        <v>6867600</v>
      </c>
      <c r="P116" s="4"/>
      <c r="Q116" s="202" t="s">
        <v>114</v>
      </c>
      <c r="R116" s="204">
        <f>R117*R66</f>
        <v>6785000</v>
      </c>
      <c r="S116" s="202" t="s">
        <v>114</v>
      </c>
      <c r="T116" s="204">
        <f>T117*T66</f>
        <v>6785000</v>
      </c>
    </row>
    <row r="117" spans="1:20" s="65" customFormat="1" ht="18" customHeight="1" outlineLevel="3" x14ac:dyDescent="0.45">
      <c r="A117" s="561"/>
      <c r="B117" s="199"/>
      <c r="C117" s="200" t="s">
        <v>115</v>
      </c>
      <c r="D117" s="201"/>
      <c r="E117" s="201"/>
      <c r="G117" s="202" t="s">
        <v>114</v>
      </c>
      <c r="H117" s="204">
        <f>SUM(H118:H123)</f>
        <v>1443.6170212765958</v>
      </c>
      <c r="I117" s="202" t="s">
        <v>114</v>
      </c>
      <c r="J117" s="204">
        <f>SUM(J118:J123)</f>
        <v>1461.1914893617022</v>
      </c>
      <c r="K117" s="4"/>
      <c r="L117" s="202" t="s">
        <v>114</v>
      </c>
      <c r="M117" s="204">
        <f>SUM(M118:M123)</f>
        <v>1443.6170212765958</v>
      </c>
      <c r="N117" s="202" t="s">
        <v>114</v>
      </c>
      <c r="O117" s="204">
        <f>SUM(O118:O123)</f>
        <v>1461.1914893617022</v>
      </c>
      <c r="P117" s="4"/>
      <c r="Q117" s="202" t="s">
        <v>114</v>
      </c>
      <c r="R117" s="204">
        <f>SUM(R118:R123)</f>
        <v>1443.6170212765958</v>
      </c>
      <c r="S117" s="202" t="s">
        <v>114</v>
      </c>
      <c r="T117" s="204">
        <f>SUM(T118:T123)</f>
        <v>1443.6170212765958</v>
      </c>
    </row>
    <row r="118" spans="1:20" s="65" customFormat="1" ht="18" customHeight="1" outlineLevel="3" x14ac:dyDescent="0.45">
      <c r="A118" s="561"/>
      <c r="B118" s="199"/>
      <c r="C118" s="200" t="s">
        <v>116</v>
      </c>
      <c r="D118" s="201"/>
      <c r="E118" s="201"/>
      <c r="G118" s="202" t="s">
        <v>114</v>
      </c>
      <c r="H118" s="204">
        <v>75</v>
      </c>
      <c r="I118" s="202" t="s">
        <v>114</v>
      </c>
      <c r="J118" s="204">
        <v>75</v>
      </c>
      <c r="K118" s="4"/>
      <c r="L118" s="202" t="s">
        <v>114</v>
      </c>
      <c r="M118" s="204">
        <v>75</v>
      </c>
      <c r="N118" s="202" t="s">
        <v>114</v>
      </c>
      <c r="O118" s="204">
        <v>75</v>
      </c>
      <c r="P118" s="4"/>
      <c r="Q118" s="202" t="s">
        <v>114</v>
      </c>
      <c r="R118" s="204">
        <v>75</v>
      </c>
      <c r="S118" s="202" t="s">
        <v>114</v>
      </c>
      <c r="T118" s="204">
        <v>75</v>
      </c>
    </row>
    <row r="119" spans="1:20" s="65" customFormat="1" ht="18" customHeight="1" outlineLevel="3" x14ac:dyDescent="0.45">
      <c r="A119" s="561"/>
      <c r="B119" s="199"/>
      <c r="C119" s="200" t="s">
        <v>117</v>
      </c>
      <c r="D119" s="201"/>
      <c r="E119" s="201"/>
      <c r="G119" s="202" t="s">
        <v>114</v>
      </c>
      <c r="H119" s="204">
        <f>1940000/H66</f>
        <v>412.7659574468085</v>
      </c>
      <c r="I119" s="202" t="s">
        <v>114</v>
      </c>
      <c r="J119" s="204">
        <f>1940000/J66</f>
        <v>412.7659574468085</v>
      </c>
      <c r="K119" s="4"/>
      <c r="L119" s="202" t="s">
        <v>114</v>
      </c>
      <c r="M119" s="204">
        <f>1940000/M66</f>
        <v>412.7659574468085</v>
      </c>
      <c r="N119" s="202" t="s">
        <v>114</v>
      </c>
      <c r="O119" s="204">
        <f>1940000/O66</f>
        <v>412.7659574468085</v>
      </c>
      <c r="P119" s="4"/>
      <c r="Q119" s="202" t="s">
        <v>114</v>
      </c>
      <c r="R119" s="204">
        <f>1940000/R66</f>
        <v>412.7659574468085</v>
      </c>
      <c r="S119" s="202" t="s">
        <v>114</v>
      </c>
      <c r="T119" s="204">
        <f>1940000/T66</f>
        <v>412.7659574468085</v>
      </c>
    </row>
    <row r="120" spans="1:20" s="65" customFormat="1" ht="18" customHeight="1" outlineLevel="3" x14ac:dyDescent="0.45">
      <c r="A120" s="561"/>
      <c r="B120" s="199"/>
      <c r="C120" s="200" t="s">
        <v>118</v>
      </c>
      <c r="D120" s="201"/>
      <c r="E120" s="201"/>
      <c r="G120" s="202" t="s">
        <v>114</v>
      </c>
      <c r="H120" s="204">
        <f>275000/H66</f>
        <v>58.51063829787234</v>
      </c>
      <c r="I120" s="202" t="s">
        <v>114</v>
      </c>
      <c r="J120" s="204">
        <f>275000/J66</f>
        <v>58.51063829787234</v>
      </c>
      <c r="K120" s="4"/>
      <c r="L120" s="202" t="s">
        <v>114</v>
      </c>
      <c r="M120" s="204">
        <f>275000/M66</f>
        <v>58.51063829787234</v>
      </c>
      <c r="N120" s="202" t="s">
        <v>114</v>
      </c>
      <c r="O120" s="204">
        <f>275000/O66</f>
        <v>58.51063829787234</v>
      </c>
      <c r="P120" s="4"/>
      <c r="Q120" s="202" t="s">
        <v>114</v>
      </c>
      <c r="R120" s="204">
        <f>275000/R66</f>
        <v>58.51063829787234</v>
      </c>
      <c r="S120" s="202" t="s">
        <v>114</v>
      </c>
      <c r="T120" s="204">
        <f>275000/T66</f>
        <v>58.51063829787234</v>
      </c>
    </row>
    <row r="121" spans="1:20" s="65" customFormat="1" ht="18" customHeight="1" outlineLevel="3" x14ac:dyDescent="0.45">
      <c r="A121" s="561"/>
      <c r="B121" s="199"/>
      <c r="C121" s="200" t="s">
        <v>119</v>
      </c>
      <c r="D121" s="201"/>
      <c r="E121" s="201"/>
      <c r="G121" s="202" t="s">
        <v>114</v>
      </c>
      <c r="H121" s="204">
        <f>1280000/H66</f>
        <v>272.34042553191489</v>
      </c>
      <c r="I121" s="202" t="s">
        <v>114</v>
      </c>
      <c r="J121" s="204">
        <f>1280000/J66</f>
        <v>272.34042553191489</v>
      </c>
      <c r="K121" s="4"/>
      <c r="L121" s="202" t="s">
        <v>114</v>
      </c>
      <c r="M121" s="204">
        <f>1280000/M66</f>
        <v>272.34042553191489</v>
      </c>
      <c r="N121" s="202" t="s">
        <v>114</v>
      </c>
      <c r="O121" s="204">
        <f>1280000/O66</f>
        <v>272.34042553191489</v>
      </c>
      <c r="P121" s="4"/>
      <c r="Q121" s="202" t="s">
        <v>114</v>
      </c>
      <c r="R121" s="204">
        <f>1280000/R66</f>
        <v>272.34042553191489</v>
      </c>
      <c r="S121" s="202" t="s">
        <v>114</v>
      </c>
      <c r="T121" s="204">
        <f>1280000/T66</f>
        <v>272.34042553191489</v>
      </c>
    </row>
    <row r="122" spans="1:20" s="65" customFormat="1" ht="18" customHeight="1" outlineLevel="3" x14ac:dyDescent="0.45">
      <c r="A122" s="561"/>
      <c r="B122" s="199"/>
      <c r="C122" s="200" t="s">
        <v>120</v>
      </c>
      <c r="D122" s="201"/>
      <c r="E122" s="201"/>
      <c r="G122" s="202" t="s">
        <v>114</v>
      </c>
      <c r="H122" s="204">
        <f>225000/H66</f>
        <v>47.872340425531917</v>
      </c>
      <c r="I122" s="202" t="s">
        <v>114</v>
      </c>
      <c r="J122" s="204">
        <f>225000/J66</f>
        <v>47.872340425531917</v>
      </c>
      <c r="K122" s="4"/>
      <c r="L122" s="202" t="s">
        <v>114</v>
      </c>
      <c r="M122" s="204">
        <f>225000/M66</f>
        <v>47.872340425531917</v>
      </c>
      <c r="N122" s="202" t="s">
        <v>114</v>
      </c>
      <c r="O122" s="204">
        <f>225000/O66</f>
        <v>47.872340425531917</v>
      </c>
      <c r="P122" s="4"/>
      <c r="Q122" s="202" t="s">
        <v>114</v>
      </c>
      <c r="R122" s="204">
        <f>225000/R66</f>
        <v>47.872340425531917</v>
      </c>
      <c r="S122" s="202" t="s">
        <v>114</v>
      </c>
      <c r="T122" s="204">
        <f>225000/T66</f>
        <v>47.872340425531917</v>
      </c>
    </row>
    <row r="123" spans="1:20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G123" s="208" t="s">
        <v>114</v>
      </c>
      <c r="H123" s="209">
        <f>(175*H79)/H66</f>
        <v>577.12765957446811</v>
      </c>
      <c r="I123" s="208" t="s">
        <v>114</v>
      </c>
      <c r="J123" s="209">
        <f>(175*J79)/J66</f>
        <v>594.70212765957444</v>
      </c>
      <c r="L123" s="208" t="s">
        <v>114</v>
      </c>
      <c r="M123" s="209">
        <f>(175*M79)/M66</f>
        <v>577.12765957446811</v>
      </c>
      <c r="N123" s="208" t="s">
        <v>114</v>
      </c>
      <c r="O123" s="209">
        <f>(175*O79)/O66</f>
        <v>594.70212765957444</v>
      </c>
      <c r="Q123" s="208" t="s">
        <v>114</v>
      </c>
      <c r="R123" s="209">
        <f>(175*R79)/R66</f>
        <v>577.12765957446811</v>
      </c>
      <c r="S123" s="208" t="s">
        <v>114</v>
      </c>
      <c r="T123" s="209">
        <f>(175*T79)/T66</f>
        <v>577.12765957446811</v>
      </c>
    </row>
    <row r="124" spans="1:20" ht="15" customHeight="1" outlineLevel="2" thickTop="1" x14ac:dyDescent="0.45">
      <c r="A124" s="561"/>
      <c r="B124" s="1187"/>
      <c r="C124" s="161"/>
      <c r="D124" s="162"/>
      <c r="E124" s="210"/>
      <c r="G124" s="359"/>
      <c r="H124" s="368"/>
      <c r="I124" s="359"/>
      <c r="J124" s="368"/>
      <c r="K124" s="4"/>
      <c r="L124" s="359"/>
      <c r="M124" s="368"/>
      <c r="N124" s="359"/>
      <c r="O124" s="368"/>
      <c r="P124" s="4"/>
      <c r="Q124" s="359"/>
      <c r="R124" s="368"/>
      <c r="S124" s="359"/>
      <c r="T124" s="368"/>
    </row>
    <row r="125" spans="1:20" ht="15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G125" s="214"/>
      <c r="H125" s="215">
        <v>154272</v>
      </c>
      <c r="I125" s="214"/>
      <c r="J125" s="215">
        <v>154272</v>
      </c>
      <c r="K125" s="4"/>
      <c r="L125" s="214"/>
      <c r="M125" s="215">
        <v>154272</v>
      </c>
      <c r="N125" s="214"/>
      <c r="O125" s="215">
        <v>154272</v>
      </c>
      <c r="P125" s="4"/>
      <c r="Q125" s="214"/>
      <c r="R125" s="215">
        <v>154272</v>
      </c>
      <c r="S125" s="214"/>
      <c r="T125" s="215">
        <v>154272</v>
      </c>
    </row>
    <row r="126" spans="1:20" ht="15" customHeight="1" outlineLevel="4" x14ac:dyDescent="0.45">
      <c r="A126" s="561"/>
      <c r="B126" s="1187"/>
      <c r="C126" s="211"/>
      <c r="D126" s="212"/>
      <c r="E126" s="213" t="s">
        <v>125</v>
      </c>
      <c r="G126" s="214"/>
      <c r="H126" s="215">
        <f>H125/H10</f>
        <v>12856</v>
      </c>
      <c r="I126" s="214"/>
      <c r="J126" s="215">
        <f>J125/J10</f>
        <v>12856</v>
      </c>
      <c r="K126" s="4"/>
      <c r="L126" s="214"/>
      <c r="M126" s="215">
        <f>M125/M10</f>
        <v>12856</v>
      </c>
      <c r="N126" s="214"/>
      <c r="O126" s="215">
        <f>O125/O10</f>
        <v>12856</v>
      </c>
      <c r="P126" s="4"/>
      <c r="Q126" s="214"/>
      <c r="R126" s="215">
        <f>R125/R10</f>
        <v>12856</v>
      </c>
      <c r="S126" s="214"/>
      <c r="T126" s="215">
        <f>T125/T10</f>
        <v>12856</v>
      </c>
    </row>
    <row r="127" spans="1:20" ht="15" customHeight="1" outlineLevel="4" x14ac:dyDescent="0.45">
      <c r="A127" s="561"/>
      <c r="B127" s="1187"/>
      <c r="C127" s="211"/>
      <c r="D127" s="212"/>
      <c r="E127" s="213" t="s">
        <v>126</v>
      </c>
      <c r="G127" s="214"/>
      <c r="H127" s="215">
        <f>H126/H66</f>
        <v>2.7353191489361701</v>
      </c>
      <c r="I127" s="214"/>
      <c r="J127" s="215">
        <f>J126/J66</f>
        <v>2.7353191489361701</v>
      </c>
      <c r="K127" s="4"/>
      <c r="L127" s="214"/>
      <c r="M127" s="215">
        <f>M126/M66</f>
        <v>2.7353191489361701</v>
      </c>
      <c r="N127" s="214"/>
      <c r="O127" s="215">
        <f>O126/O66</f>
        <v>2.7353191489361701</v>
      </c>
      <c r="P127" s="4"/>
      <c r="Q127" s="214"/>
      <c r="R127" s="215">
        <f>R126/R66</f>
        <v>2.7353191489361701</v>
      </c>
      <c r="S127" s="214"/>
      <c r="T127" s="215">
        <f>T126/T66</f>
        <v>2.7353191489361701</v>
      </c>
    </row>
    <row r="128" spans="1:20" ht="15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G128" s="219"/>
      <c r="H128" s="220">
        <v>192132</v>
      </c>
      <c r="I128" s="219"/>
      <c r="J128" s="220">
        <v>192132</v>
      </c>
      <c r="K128" s="4"/>
      <c r="L128" s="219"/>
      <c r="M128" s="220">
        <v>192132</v>
      </c>
      <c r="N128" s="219"/>
      <c r="O128" s="220">
        <v>192132</v>
      </c>
      <c r="P128" s="4"/>
      <c r="Q128" s="219"/>
      <c r="R128" s="220">
        <v>192132</v>
      </c>
      <c r="S128" s="219"/>
      <c r="T128" s="220">
        <v>192132</v>
      </c>
    </row>
    <row r="129" spans="1:20" ht="15" customHeight="1" outlineLevel="4" x14ac:dyDescent="0.45">
      <c r="A129" s="561"/>
      <c r="B129" s="1187"/>
      <c r="C129" s="216"/>
      <c r="D129" s="217"/>
      <c r="E129" s="218" t="s">
        <v>125</v>
      </c>
      <c r="G129" s="219"/>
      <c r="H129" s="221">
        <f>H128/H10</f>
        <v>16011</v>
      </c>
      <c r="I129" s="219"/>
      <c r="J129" s="221">
        <f>J128/J10</f>
        <v>16011</v>
      </c>
      <c r="K129" s="4"/>
      <c r="L129" s="219"/>
      <c r="M129" s="221">
        <f>M128/M10</f>
        <v>16011</v>
      </c>
      <c r="N129" s="219"/>
      <c r="O129" s="221">
        <f>O128/O10</f>
        <v>16011</v>
      </c>
      <c r="P129" s="4"/>
      <c r="Q129" s="219"/>
      <c r="R129" s="221">
        <f>R128/R10</f>
        <v>16011</v>
      </c>
      <c r="S129" s="219"/>
      <c r="T129" s="221">
        <f>T128/T10</f>
        <v>16011</v>
      </c>
    </row>
    <row r="130" spans="1:20" ht="15" customHeight="1" outlineLevel="4" x14ac:dyDescent="0.45">
      <c r="A130" s="561"/>
      <c r="B130" s="1187"/>
      <c r="C130" s="216"/>
      <c r="D130" s="217"/>
      <c r="E130" s="218" t="s">
        <v>126</v>
      </c>
      <c r="G130" s="222"/>
      <c r="H130" s="220">
        <f>H129/H66</f>
        <v>3.406595744680851</v>
      </c>
      <c r="I130" s="222"/>
      <c r="J130" s="220">
        <f>J129/J66</f>
        <v>3.406595744680851</v>
      </c>
      <c r="K130" s="4"/>
      <c r="L130" s="222"/>
      <c r="M130" s="220">
        <f>M129/M66</f>
        <v>3.406595744680851</v>
      </c>
      <c r="N130" s="222"/>
      <c r="O130" s="220">
        <f>O129/O66</f>
        <v>3.406595744680851</v>
      </c>
      <c r="P130" s="4"/>
      <c r="Q130" s="222"/>
      <c r="R130" s="220">
        <f>R129/R66</f>
        <v>3.406595744680851</v>
      </c>
      <c r="S130" s="222"/>
      <c r="T130" s="220">
        <f>T129/T66</f>
        <v>3.406595744680851</v>
      </c>
    </row>
    <row r="131" spans="1:20" ht="15" customHeight="1" outlineLevel="3" x14ac:dyDescent="0.45">
      <c r="A131" s="561"/>
      <c r="B131" s="1187"/>
      <c r="C131" s="582" t="s">
        <v>387</v>
      </c>
      <c r="D131" s="583"/>
      <c r="E131" s="584" t="s">
        <v>123</v>
      </c>
      <c r="G131" s="585"/>
      <c r="H131" s="586">
        <v>0</v>
      </c>
      <c r="I131" s="585"/>
      <c r="J131" s="586">
        <v>0</v>
      </c>
      <c r="K131" s="4"/>
      <c r="L131" s="585"/>
      <c r="M131" s="586">
        <v>0</v>
      </c>
      <c r="N131" s="585"/>
      <c r="O131" s="586">
        <v>0</v>
      </c>
      <c r="P131" s="4"/>
      <c r="Q131" s="585"/>
      <c r="R131" s="586">
        <v>0</v>
      </c>
      <c r="S131" s="585"/>
      <c r="T131" s="586">
        <v>0</v>
      </c>
    </row>
    <row r="132" spans="1:20" ht="15" customHeight="1" outlineLevel="3" x14ac:dyDescent="0.45">
      <c r="A132" s="561"/>
      <c r="B132" s="1187"/>
      <c r="C132" s="582"/>
      <c r="D132" s="583"/>
      <c r="E132" s="584" t="s">
        <v>125</v>
      </c>
      <c r="G132" s="585"/>
      <c r="H132" s="586">
        <f>H131/H10</f>
        <v>0</v>
      </c>
      <c r="I132" s="585"/>
      <c r="J132" s="586">
        <f>J131/J10</f>
        <v>0</v>
      </c>
      <c r="K132" s="4"/>
      <c r="L132" s="585"/>
      <c r="M132" s="586">
        <f>M131/M10</f>
        <v>0</v>
      </c>
      <c r="N132" s="585"/>
      <c r="O132" s="586">
        <f>O131/O10</f>
        <v>0</v>
      </c>
      <c r="P132" s="4"/>
      <c r="Q132" s="585"/>
      <c r="R132" s="586">
        <f>R131/R10</f>
        <v>0</v>
      </c>
      <c r="S132" s="585"/>
      <c r="T132" s="586">
        <f>T131/T10</f>
        <v>0</v>
      </c>
    </row>
    <row r="133" spans="1:20" ht="15" customHeight="1" outlineLevel="3" x14ac:dyDescent="0.45">
      <c r="A133" s="561"/>
      <c r="B133" s="1187"/>
      <c r="C133" s="582"/>
      <c r="D133" s="583"/>
      <c r="E133" s="584" t="s">
        <v>126</v>
      </c>
      <c r="G133" s="585"/>
      <c r="H133" s="586">
        <f>H132/H66</f>
        <v>0</v>
      </c>
      <c r="I133" s="585"/>
      <c r="J133" s="586">
        <f>J132/J66</f>
        <v>0</v>
      </c>
      <c r="K133" s="4"/>
      <c r="L133" s="585"/>
      <c r="M133" s="586">
        <f>M132/M66</f>
        <v>0</v>
      </c>
      <c r="N133" s="585"/>
      <c r="O133" s="586">
        <f>O132/O66</f>
        <v>0</v>
      </c>
      <c r="P133" s="4"/>
      <c r="Q133" s="585"/>
      <c r="R133" s="586">
        <f>R132/R66</f>
        <v>0</v>
      </c>
      <c r="S133" s="585"/>
      <c r="T133" s="586">
        <f>T132/T66</f>
        <v>0</v>
      </c>
    </row>
    <row r="134" spans="1:20" outlineLevel="2" x14ac:dyDescent="0.45">
      <c r="A134" s="561"/>
      <c r="B134" s="1187"/>
      <c r="C134" s="223"/>
      <c r="D134" s="175"/>
      <c r="E134" s="176"/>
      <c r="G134" s="375"/>
      <c r="H134" s="376"/>
      <c r="I134" s="375"/>
      <c r="J134" s="376"/>
      <c r="K134" s="4"/>
      <c r="L134" s="375"/>
      <c r="M134" s="376"/>
      <c r="N134" s="375"/>
      <c r="O134" s="376"/>
      <c r="P134" s="4"/>
      <c r="Q134" s="375"/>
      <c r="R134" s="376"/>
      <c r="S134" s="375"/>
      <c r="T134" s="376"/>
    </row>
    <row r="135" spans="1:20" outlineLevel="3" x14ac:dyDescent="0.45">
      <c r="A135" s="561"/>
      <c r="B135" s="1187"/>
      <c r="C135" s="161" t="s">
        <v>127</v>
      </c>
      <c r="D135" s="162"/>
      <c r="E135" s="179" t="s">
        <v>128</v>
      </c>
      <c r="G135" s="380"/>
      <c r="H135" s="384">
        <f>H64</f>
        <v>750</v>
      </c>
      <c r="I135" s="380"/>
      <c r="J135" s="384">
        <f>J64</f>
        <v>750</v>
      </c>
      <c r="K135" s="4"/>
      <c r="L135" s="380"/>
      <c r="M135" s="384">
        <f>M64</f>
        <v>750</v>
      </c>
      <c r="N135" s="380"/>
      <c r="O135" s="384">
        <f>O64</f>
        <v>750</v>
      </c>
      <c r="P135" s="4"/>
      <c r="Q135" s="380"/>
      <c r="R135" s="384">
        <f>R64</f>
        <v>750</v>
      </c>
      <c r="S135" s="380"/>
      <c r="T135" s="384">
        <f>T64</f>
        <v>750</v>
      </c>
    </row>
    <row r="136" spans="1:20" outlineLevel="3" x14ac:dyDescent="0.45">
      <c r="A136" s="561"/>
      <c r="B136" s="1187"/>
      <c r="C136" s="161" t="s">
        <v>388</v>
      </c>
      <c r="D136" s="162"/>
      <c r="E136" s="179"/>
      <c r="G136" s="380"/>
      <c r="H136" s="384">
        <v>200</v>
      </c>
      <c r="I136" s="380"/>
      <c r="J136" s="384">
        <v>7</v>
      </c>
      <c r="K136" s="4"/>
      <c r="L136" s="380"/>
      <c r="M136" s="384">
        <v>200</v>
      </c>
      <c r="N136" s="380"/>
      <c r="O136" s="384">
        <v>7</v>
      </c>
      <c r="P136" s="4"/>
      <c r="Q136" s="380"/>
      <c r="R136" s="384">
        <v>100</v>
      </c>
      <c r="S136" s="380"/>
      <c r="T136" s="384">
        <v>100</v>
      </c>
    </row>
    <row r="137" spans="1:20" ht="14.45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G137" s="380"/>
      <c r="H137" s="384">
        <f>F137</f>
        <v>0</v>
      </c>
      <c r="I137" s="380"/>
      <c r="J137" s="384">
        <f>H137</f>
        <v>0</v>
      </c>
      <c r="K137" s="4"/>
      <c r="L137" s="380"/>
      <c r="M137" s="384">
        <f>H137</f>
        <v>0</v>
      </c>
      <c r="N137" s="380"/>
      <c r="O137" s="384">
        <f>J137</f>
        <v>0</v>
      </c>
      <c r="P137" s="4"/>
      <c r="Q137" s="380"/>
      <c r="R137" s="384">
        <f>M137</f>
        <v>0</v>
      </c>
      <c r="S137" s="380"/>
      <c r="T137" s="384">
        <f>R137</f>
        <v>0</v>
      </c>
    </row>
    <row r="138" spans="1:20" ht="14.45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G138" s="380"/>
      <c r="H138" s="384">
        <v>750</v>
      </c>
      <c r="I138" s="380"/>
      <c r="J138" s="384">
        <v>750</v>
      </c>
      <c r="K138" s="4"/>
      <c r="L138" s="380"/>
      <c r="M138" s="384">
        <v>750</v>
      </c>
      <c r="N138" s="380"/>
      <c r="O138" s="384">
        <v>750</v>
      </c>
      <c r="P138" s="4"/>
      <c r="Q138" s="380"/>
      <c r="R138" s="384">
        <v>750</v>
      </c>
      <c r="S138" s="380"/>
      <c r="T138" s="384">
        <v>750</v>
      </c>
    </row>
    <row r="139" spans="1:20" ht="14.45" customHeight="1" outlineLevel="4" x14ac:dyDescent="0.45">
      <c r="A139" s="561"/>
      <c r="B139" s="1187"/>
      <c r="C139" s="225" t="s">
        <v>130</v>
      </c>
      <c r="D139" s="162"/>
      <c r="E139" s="179"/>
      <c r="G139" s="359"/>
      <c r="H139" s="372"/>
      <c r="I139" s="359"/>
      <c r="J139" s="372"/>
      <c r="K139" s="4"/>
      <c r="L139" s="359"/>
      <c r="M139" s="372"/>
      <c r="N139" s="359"/>
      <c r="O139" s="372"/>
      <c r="P139" s="4"/>
      <c r="Q139" s="359"/>
      <c r="R139" s="372"/>
      <c r="S139" s="359"/>
      <c r="T139" s="372"/>
    </row>
    <row r="140" spans="1:20" outlineLevel="3" x14ac:dyDescent="0.45">
      <c r="A140" s="561"/>
      <c r="B140" s="1187"/>
      <c r="C140" s="170"/>
      <c r="D140" s="162"/>
      <c r="E140" s="176"/>
      <c r="G140" s="375"/>
      <c r="H140" s="376"/>
      <c r="I140" s="375"/>
      <c r="J140" s="376"/>
      <c r="K140" s="4"/>
      <c r="L140" s="375"/>
      <c r="M140" s="376"/>
      <c r="N140" s="375"/>
      <c r="O140" s="376"/>
      <c r="P140" s="4"/>
      <c r="Q140" s="375"/>
      <c r="R140" s="376"/>
      <c r="S140" s="375"/>
      <c r="T140" s="376"/>
    </row>
    <row r="141" spans="1:20" outlineLevel="3" x14ac:dyDescent="0.45">
      <c r="A141" s="561"/>
      <c r="B141" s="1187"/>
      <c r="C141" s="226" t="s">
        <v>131</v>
      </c>
      <c r="D141" s="227"/>
      <c r="E141" s="228" t="s">
        <v>132</v>
      </c>
      <c r="G141" s="229"/>
      <c r="H141" s="230">
        <f>H136-H135</f>
        <v>-550</v>
      </c>
      <c r="I141" s="229"/>
      <c r="J141" s="230">
        <f>J136-J135</f>
        <v>-743</v>
      </c>
      <c r="K141" s="4"/>
      <c r="L141" s="229"/>
      <c r="M141" s="230">
        <f>M136-M135</f>
        <v>-550</v>
      </c>
      <c r="N141" s="229"/>
      <c r="O141" s="230">
        <f>O136-O135</f>
        <v>-743</v>
      </c>
      <c r="P141" s="4"/>
      <c r="Q141" s="229"/>
      <c r="R141" s="230">
        <f>R136-R135</f>
        <v>-650</v>
      </c>
      <c r="S141" s="229"/>
      <c r="T141" s="230">
        <f>T136-T135</f>
        <v>-650</v>
      </c>
    </row>
    <row r="142" spans="1:20" outlineLevel="3" x14ac:dyDescent="0.45">
      <c r="A142" s="561"/>
      <c r="B142" s="1187"/>
      <c r="C142" s="232"/>
      <c r="D142" s="227"/>
      <c r="E142" s="228" t="s">
        <v>133</v>
      </c>
      <c r="G142" s="229"/>
      <c r="H142" s="588">
        <f>H141*H133</f>
        <v>0</v>
      </c>
      <c r="I142" s="229"/>
      <c r="J142" s="588">
        <f>J141*J133</f>
        <v>0</v>
      </c>
      <c r="K142" s="4"/>
      <c r="L142" s="229"/>
      <c r="M142" s="588">
        <f>M141*M133</f>
        <v>0</v>
      </c>
      <c r="N142" s="229"/>
      <c r="O142" s="588">
        <f>O141*O133</f>
        <v>0</v>
      </c>
      <c r="P142" s="4"/>
      <c r="Q142" s="229"/>
      <c r="R142" s="588">
        <f>R141*R133</f>
        <v>0</v>
      </c>
      <c r="S142" s="229"/>
      <c r="T142" s="588">
        <f>T141*T133</f>
        <v>0</v>
      </c>
    </row>
    <row r="143" spans="1:20" outlineLevel="2" x14ac:dyDescent="0.45">
      <c r="A143" s="561"/>
      <c r="B143" s="1187"/>
      <c r="C143" s="233"/>
      <c r="D143" s="234"/>
      <c r="E143" s="234"/>
      <c r="G143" s="381"/>
      <c r="H143" s="385"/>
      <c r="I143" s="381"/>
      <c r="J143" s="385"/>
      <c r="K143" s="4"/>
      <c r="L143" s="381"/>
      <c r="M143" s="385"/>
      <c r="N143" s="381"/>
      <c r="O143" s="385"/>
      <c r="P143" s="4"/>
      <c r="Q143" s="381"/>
      <c r="R143" s="385"/>
      <c r="S143" s="381"/>
      <c r="T143" s="385"/>
    </row>
    <row r="144" spans="1:20" ht="15.75" customHeight="1" outlineLevel="3" thickBot="1" x14ac:dyDescent="0.5">
      <c r="A144" s="561"/>
      <c r="B144" s="1188"/>
      <c r="C144" s="301" t="s">
        <v>391</v>
      </c>
      <c r="D144" s="302"/>
      <c r="E144" s="303"/>
      <c r="G144" s="304"/>
      <c r="H144" s="305">
        <f>H98*H132</f>
        <v>0</v>
      </c>
      <c r="I144" s="304"/>
      <c r="J144" s="305">
        <f>J98*J132</f>
        <v>0</v>
      </c>
      <c r="K144" s="4"/>
      <c r="L144" s="304"/>
      <c r="M144" s="305">
        <f>M98*M132</f>
        <v>0</v>
      </c>
      <c r="N144" s="304"/>
      <c r="O144" s="305">
        <f>O98*O132</f>
        <v>0</v>
      </c>
      <c r="P144" s="4"/>
      <c r="Q144" s="304"/>
      <c r="R144" s="305">
        <f>R98*R132</f>
        <v>0</v>
      </c>
      <c r="S144" s="304"/>
      <c r="T144" s="305">
        <f>T98*T132</f>
        <v>0</v>
      </c>
    </row>
    <row r="145" spans="11:16" ht="14.65" outlineLevel="2" thickTop="1" x14ac:dyDescent="0.45">
      <c r="K145" s="4"/>
      <c r="P145" s="4"/>
    </row>
    <row r="146" spans="11:16" outlineLevel="2" x14ac:dyDescent="0.45">
      <c r="K146" s="4"/>
      <c r="P146" s="4"/>
    </row>
    <row r="147" spans="11:16" outlineLevel="1" x14ac:dyDescent="0.45">
      <c r="K147" s="4"/>
      <c r="P147" s="4"/>
    </row>
    <row r="148" spans="11:16" x14ac:dyDescent="0.45">
      <c r="K148" s="4"/>
      <c r="P148" s="4"/>
    </row>
    <row r="149" spans="11:16" x14ac:dyDescent="0.45">
      <c r="K149" s="4"/>
      <c r="P149" s="4"/>
    </row>
    <row r="150" spans="11:16" x14ac:dyDescent="0.45">
      <c r="K150" s="4"/>
      <c r="P150" s="4"/>
    </row>
    <row r="151" spans="11:16" x14ac:dyDescent="0.45">
      <c r="K151" s="4"/>
      <c r="P151" s="4"/>
    </row>
    <row r="152" spans="11:16" x14ac:dyDescent="0.45">
      <c r="K152" s="4"/>
      <c r="P152" s="4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56">
    <mergeCell ref="Q1:T1"/>
    <mergeCell ref="G2:H2"/>
    <mergeCell ref="L2:M2"/>
    <mergeCell ref="Q2:R2"/>
    <mergeCell ref="S2:T2"/>
    <mergeCell ref="N2:O2"/>
    <mergeCell ref="I2:J2"/>
    <mergeCell ref="G1:J1"/>
    <mergeCell ref="L1:O1"/>
    <mergeCell ref="G3:H3"/>
    <mergeCell ref="L3:M3"/>
    <mergeCell ref="Q3:R3"/>
    <mergeCell ref="S3:T3"/>
    <mergeCell ref="N3:O3"/>
    <mergeCell ref="I3:J3"/>
    <mergeCell ref="G4:H5"/>
    <mergeCell ref="L4:M5"/>
    <mergeCell ref="Q4:R5"/>
    <mergeCell ref="S4:T5"/>
    <mergeCell ref="N4:O5"/>
    <mergeCell ref="I4:J5"/>
    <mergeCell ref="S6:T6"/>
    <mergeCell ref="G6:H6"/>
    <mergeCell ref="L6:M6"/>
    <mergeCell ref="Q6:R6"/>
    <mergeCell ref="N6:O6"/>
    <mergeCell ref="Q8:R8"/>
    <mergeCell ref="S8:T8"/>
    <mergeCell ref="I8:J8"/>
    <mergeCell ref="N8:O8"/>
    <mergeCell ref="L7:M7"/>
    <mergeCell ref="Q7:R7"/>
    <mergeCell ref="S7:T7"/>
    <mergeCell ref="N7:O7"/>
    <mergeCell ref="B34:B39"/>
    <mergeCell ref="I9:J9"/>
    <mergeCell ref="N9:O9"/>
    <mergeCell ref="G9:H9"/>
    <mergeCell ref="L9:M9"/>
    <mergeCell ref="B6:B13"/>
    <mergeCell ref="I6:J6"/>
    <mergeCell ref="I7:J7"/>
    <mergeCell ref="G8:H8"/>
    <mergeCell ref="L8:M8"/>
    <mergeCell ref="G7:H7"/>
    <mergeCell ref="S9:T9"/>
    <mergeCell ref="D12:E12"/>
    <mergeCell ref="B15:B21"/>
    <mergeCell ref="B22:B27"/>
    <mergeCell ref="B28:B33"/>
    <mergeCell ref="Q9:R9"/>
    <mergeCell ref="B40:B46"/>
    <mergeCell ref="B47:B70"/>
    <mergeCell ref="B71:B84"/>
    <mergeCell ref="B100:B113"/>
    <mergeCell ref="B124:B144"/>
  </mergeCells>
  <pageMargins left="0.7" right="0.7" top="0.75" bottom="0.75" header="0.3" footer="0.3"/>
  <pageSetup paperSize="8" scale="53" fitToWidth="0" orientation="portrait" verticalDpi="598" r:id="rId1"/>
  <customProperties>
    <customPr name="_pios_id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1741-7903-4BC7-9558-224F7FA43E0D}">
  <dimension ref="A1:BY198"/>
  <sheetViews>
    <sheetView zoomScale="74" zoomScaleNormal="115" workbookViewId="0">
      <pane xSplit="5" ySplit="5" topLeftCell="BF90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3" outlineLevelCol="2" x14ac:dyDescent="0.45"/>
  <cols>
    <col min="1" max="1" width="2" customWidth="1"/>
    <col min="2" max="2" width="9" customWidth="1"/>
    <col min="3" max="3" width="29.86328125" customWidth="1"/>
    <col min="4" max="4" width="11" customWidth="1"/>
    <col min="5" max="5" width="11.73046875" customWidth="1"/>
    <col min="6" max="6" width="12.73046875" hidden="1" customWidth="1" outlineLevel="1" collapsed="1"/>
    <col min="7" max="7" width="13.265625" hidden="1" customWidth="1" outlineLevel="1"/>
    <col min="8" max="8" width="12.73046875" hidden="1" customWidth="1" collapsed="1"/>
    <col min="9" max="9" width="13.265625" hidden="1" customWidth="1"/>
    <col min="10" max="10" width="11.59765625" hidden="1" customWidth="1" outlineLevel="2" collapsed="1"/>
    <col min="11" max="11" width="13.73046875" hidden="1" customWidth="1" outlineLevel="2"/>
    <col min="12" max="12" width="11.59765625" hidden="1" customWidth="1" outlineLevel="1" collapsed="1"/>
    <col min="13" max="13" width="13.73046875" hidden="1" customWidth="1" outlineLevel="1"/>
    <col min="14" max="15" width="13.73046875" hidden="1" customWidth="1" outlineLevel="2"/>
    <col min="16" max="16" width="13.73046875" hidden="1" customWidth="1" outlineLevel="1" collapsed="1"/>
    <col min="17" max="17" width="13.73046875" hidden="1" customWidth="1" outlineLevel="1"/>
    <col min="18" max="19" width="14.86328125" hidden="1" customWidth="1" outlineLevel="1"/>
    <col min="20" max="21" width="14.86328125" hidden="1" customWidth="1" outlineLevel="2"/>
    <col min="22" max="22" width="14.86328125" hidden="1" customWidth="1" outlineLevel="1" collapsed="1"/>
    <col min="23" max="23" width="14.86328125" hidden="1" customWidth="1" outlineLevel="1"/>
    <col min="24" max="25" width="13.73046875" hidden="1" customWidth="1" outlineLevel="2"/>
    <col min="26" max="26" width="13.73046875" hidden="1" customWidth="1" outlineLevel="1" collapsed="1"/>
    <col min="27" max="27" width="13.73046875" hidden="1" customWidth="1" outlineLevel="1"/>
    <col min="28" max="29" width="13.73046875" hidden="1" customWidth="1" outlineLevel="2"/>
    <col min="30" max="30" width="13.73046875" hidden="1" customWidth="1" outlineLevel="1" collapsed="1"/>
    <col min="31" max="31" width="13.73046875" hidden="1" customWidth="1" outlineLevel="1"/>
    <col min="32" max="33" width="13.73046875" hidden="1" customWidth="1" outlineLevel="2"/>
    <col min="34" max="34" width="13.73046875" hidden="1" customWidth="1" outlineLevel="1" collapsed="1"/>
    <col min="35" max="35" width="13.73046875" hidden="1" customWidth="1" outlineLevel="1"/>
    <col min="36" max="37" width="12.86328125" hidden="1" customWidth="1" outlineLevel="2"/>
    <col min="38" max="38" width="13.73046875" hidden="1" customWidth="1" outlineLevel="1" collapsed="1"/>
    <col min="39" max="39" width="13.73046875" hidden="1" customWidth="1" outlineLevel="1"/>
    <col min="40" max="40" width="12.59765625" hidden="1" customWidth="1" outlineLevel="2" collapsed="1"/>
    <col min="41" max="41" width="12.59765625" hidden="1" customWidth="1" outlineLevel="2"/>
    <col min="42" max="42" width="13.73046875" hidden="1" customWidth="1" outlineLevel="1" collapsed="1"/>
    <col min="43" max="43" width="13.73046875" hidden="1" customWidth="1" outlineLevel="1"/>
    <col min="44" max="45" width="13.73046875" hidden="1" customWidth="1" outlineLevel="2"/>
    <col min="46" max="46" width="13.73046875" hidden="1" customWidth="1" outlineLevel="1" collapsed="1"/>
    <col min="47" max="47" width="13.73046875" hidden="1" customWidth="1" outlineLevel="1"/>
    <col min="48" max="49" width="13.73046875" hidden="1" customWidth="1" outlineLevel="2"/>
    <col min="50" max="50" width="13.73046875" hidden="1" customWidth="1" outlineLevel="1" collapsed="1"/>
    <col min="51" max="51" width="13.73046875" hidden="1" customWidth="1" outlineLevel="1"/>
    <col min="52" max="53" width="14.1328125" hidden="1" customWidth="1" outlineLevel="1"/>
    <col min="54" max="70" width="14.1328125" customWidth="1" outlineLevel="1"/>
    <col min="72" max="75" width="14.1328125" hidden="1" customWidth="1" outlineLevel="1"/>
    <col min="76" max="76" width="9.1328125" collapsed="1"/>
  </cols>
  <sheetData>
    <row r="1" spans="1:76" x14ac:dyDescent="0.45">
      <c r="J1" s="1173"/>
      <c r="K1" s="1173"/>
      <c r="L1" s="1173"/>
      <c r="M1" s="1173"/>
      <c r="N1" s="1173"/>
      <c r="O1" s="1173"/>
      <c r="P1" s="1173"/>
      <c r="Q1" s="1173"/>
      <c r="X1" s="1173"/>
      <c r="Y1" s="1173"/>
      <c r="Z1" s="1173"/>
      <c r="AA1" s="1173"/>
      <c r="AB1" s="1173"/>
      <c r="AC1" s="1173"/>
      <c r="AD1" s="1173"/>
      <c r="AE1" s="1173"/>
      <c r="AF1" s="1173"/>
      <c r="AG1" s="1173"/>
      <c r="AH1" s="1173"/>
      <c r="AI1" s="1173"/>
      <c r="AL1" s="1173"/>
      <c r="AM1" s="1173"/>
      <c r="AP1" s="1173"/>
      <c r="AQ1" s="1173"/>
      <c r="AR1" s="1173"/>
      <c r="AS1" s="1173"/>
      <c r="AT1" s="1173"/>
      <c r="AU1" s="1173"/>
      <c r="AV1" s="1173"/>
      <c r="AW1" s="1173"/>
      <c r="AX1" s="1173"/>
      <c r="AY1" s="1173"/>
    </row>
    <row r="2" spans="1:76" ht="15.75" customHeight="1" thickBot="1" x14ac:dyDescent="0.5">
      <c r="F2" s="1273" t="str">
        <f t="shared" ref="F2" si="0">F4</f>
        <v>IHAG VLOK 40</v>
      </c>
      <c r="G2" s="1273"/>
      <c r="H2" s="1273" t="str">
        <f t="shared" ref="H2" si="1">H4</f>
        <v>IHAG VLOK 40</v>
      </c>
      <c r="I2" s="1273"/>
      <c r="J2" s="1273" t="str">
        <f t="shared" ref="J2" si="2">J4</f>
        <v>GSS VLOK 40</v>
      </c>
      <c r="K2" s="1273"/>
      <c r="L2" s="620"/>
      <c r="M2" s="620"/>
      <c r="N2" s="620"/>
      <c r="O2" s="620"/>
      <c r="P2" s="620"/>
      <c r="Q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1231" t="str">
        <f>AJ4</f>
        <v>PMAJ LOKAL 24</v>
      </c>
      <c r="AK2" s="1231"/>
      <c r="AL2" s="620"/>
      <c r="AM2" s="620"/>
      <c r="AN2" s="1273" t="str">
        <f>AN4</f>
        <v>KBGN LOKAL 40</v>
      </c>
      <c r="AO2" s="1273"/>
      <c r="AP2" s="620"/>
      <c r="AQ2" s="620"/>
      <c r="AR2" s="620"/>
      <c r="AS2" s="620"/>
      <c r="AT2" s="620"/>
      <c r="AU2" s="620"/>
      <c r="AV2" s="620"/>
      <c r="AW2" s="620"/>
      <c r="AX2" s="620"/>
      <c r="AY2" s="620"/>
      <c r="BB2" s="1309" t="s">
        <v>731</v>
      </c>
      <c r="BC2" s="1309"/>
      <c r="BD2" s="1309"/>
      <c r="BE2" s="1309"/>
      <c r="BF2" s="1309"/>
      <c r="BG2" s="1309"/>
      <c r="BH2" s="1309"/>
      <c r="BI2" s="1309"/>
      <c r="BT2" s="1309" t="s">
        <v>732</v>
      </c>
      <c r="BU2" s="1309"/>
      <c r="BV2" s="1309"/>
      <c r="BW2" s="1309"/>
    </row>
    <row r="3" spans="1:76" s="4" customFormat="1" ht="32.65" customHeight="1" thickTop="1" thickBot="1" x14ac:dyDescent="0.5">
      <c r="A3" s="561"/>
      <c r="B3" s="2" t="s">
        <v>0</v>
      </c>
      <c r="C3" s="3"/>
      <c r="E3" s="5"/>
      <c r="F3" s="1318" t="s">
        <v>399</v>
      </c>
      <c r="G3" s="1264"/>
      <c r="H3" s="1318" t="s">
        <v>400</v>
      </c>
      <c r="I3" s="1264"/>
      <c r="J3" s="1318" t="s">
        <v>399</v>
      </c>
      <c r="K3" s="1264"/>
      <c r="L3" s="1318" t="s">
        <v>400</v>
      </c>
      <c r="M3" s="1264"/>
      <c r="N3" s="1318" t="s">
        <v>399</v>
      </c>
      <c r="O3" s="1264"/>
      <c r="P3" s="1318" t="s">
        <v>400</v>
      </c>
      <c r="Q3" s="1264"/>
      <c r="R3" s="1318" t="s">
        <v>733</v>
      </c>
      <c r="S3" s="1264"/>
      <c r="T3" s="1318" t="s">
        <v>734</v>
      </c>
      <c r="U3" s="1264"/>
      <c r="V3" s="1318" t="s">
        <v>733</v>
      </c>
      <c r="W3" s="1264"/>
      <c r="X3" s="1256" t="s">
        <v>399</v>
      </c>
      <c r="Y3" s="1257"/>
      <c r="Z3" s="1256" t="s">
        <v>400</v>
      </c>
      <c r="AA3" s="1257"/>
      <c r="AB3" s="1263" t="s">
        <v>399</v>
      </c>
      <c r="AC3" s="1264"/>
      <c r="AD3" s="1263" t="s">
        <v>451</v>
      </c>
      <c r="AE3" s="1264"/>
      <c r="AF3" s="1256" t="s">
        <v>343</v>
      </c>
      <c r="AG3" s="1257"/>
      <c r="AH3" s="1256" t="s">
        <v>344</v>
      </c>
      <c r="AI3" s="1257"/>
      <c r="AJ3" s="1256" t="s">
        <v>399</v>
      </c>
      <c r="AK3" s="1257"/>
      <c r="AL3" s="1256" t="s">
        <v>400</v>
      </c>
      <c r="AM3" s="1257"/>
      <c r="AN3" s="1263" t="s">
        <v>399</v>
      </c>
      <c r="AO3" s="1264"/>
      <c r="AP3" s="1263" t="s">
        <v>451</v>
      </c>
      <c r="AQ3" s="1264"/>
      <c r="AR3" s="1263" t="s">
        <v>399</v>
      </c>
      <c r="AS3" s="1264"/>
      <c r="AT3" s="1263" t="s">
        <v>451</v>
      </c>
      <c r="AU3" s="1264"/>
      <c r="AV3" s="1263" t="s">
        <v>397</v>
      </c>
      <c r="AW3" s="1264"/>
      <c r="AX3" s="1263" t="s">
        <v>451</v>
      </c>
      <c r="AY3" s="1264"/>
      <c r="AZ3" s="1256" t="s">
        <v>518</v>
      </c>
      <c r="BA3" s="1257"/>
      <c r="BB3" s="1256" t="s">
        <v>735</v>
      </c>
      <c r="BC3" s="1257"/>
      <c r="BD3" s="1256" t="s">
        <v>746</v>
      </c>
      <c r="BE3" s="1257"/>
      <c r="BF3" s="1256" t="s">
        <v>726</v>
      </c>
      <c r="BG3" s="1257"/>
      <c r="BH3" s="1256" t="s">
        <v>747</v>
      </c>
      <c r="BI3" s="1257"/>
      <c r="BJ3"/>
      <c r="BK3" s="1256" t="s">
        <v>735</v>
      </c>
      <c r="BL3" s="1257"/>
      <c r="BM3" s="1256" t="s">
        <v>746</v>
      </c>
      <c r="BN3" s="1257"/>
      <c r="BO3" s="1256" t="s">
        <v>726</v>
      </c>
      <c r="BP3" s="1257"/>
      <c r="BQ3" s="1256" t="s">
        <v>747</v>
      </c>
      <c r="BR3" s="1257"/>
      <c r="BT3" s="1256" t="s">
        <v>735</v>
      </c>
      <c r="BU3" s="1257"/>
      <c r="BV3" s="1256" t="s">
        <v>735</v>
      </c>
      <c r="BW3" s="1257"/>
    </row>
    <row r="4" spans="1:76" s="4" customFormat="1" ht="21.75" thickTop="1" thickBot="1" x14ac:dyDescent="0.5">
      <c r="A4" s="561"/>
      <c r="B4" s="2"/>
      <c r="C4" s="3"/>
      <c r="D4" s="6"/>
      <c r="E4" s="245"/>
      <c r="F4" s="1310" t="s">
        <v>715</v>
      </c>
      <c r="G4" s="1311"/>
      <c r="H4" s="1310" t="s">
        <v>715</v>
      </c>
      <c r="I4" s="1311"/>
      <c r="J4" s="1305" t="s">
        <v>714</v>
      </c>
      <c r="K4" s="1306"/>
      <c r="L4" s="1305" t="s">
        <v>714</v>
      </c>
      <c r="M4" s="1306"/>
      <c r="N4" s="1314" t="s">
        <v>716</v>
      </c>
      <c r="O4" s="1315"/>
      <c r="P4" s="1314" t="s">
        <v>716</v>
      </c>
      <c r="Q4" s="1315"/>
      <c r="R4" s="1305" t="s">
        <v>736</v>
      </c>
      <c r="S4" s="1306"/>
      <c r="T4" s="1305" t="s">
        <v>737</v>
      </c>
      <c r="U4" s="1306"/>
      <c r="V4" s="1305" t="s">
        <v>737</v>
      </c>
      <c r="W4" s="1306"/>
      <c r="X4" s="1275" t="s">
        <v>738</v>
      </c>
      <c r="Y4" s="1276"/>
      <c r="Z4" s="1275" t="s">
        <v>738</v>
      </c>
      <c r="AA4" s="1276"/>
      <c r="AB4" s="1301" t="s">
        <v>739</v>
      </c>
      <c r="AC4" s="1302"/>
      <c r="AD4" s="1301" t="s">
        <v>739</v>
      </c>
      <c r="AE4" s="1302"/>
      <c r="AF4" s="1296" t="s">
        <v>137</v>
      </c>
      <c r="AG4" s="1297"/>
      <c r="AH4" s="1296" t="s">
        <v>137</v>
      </c>
      <c r="AI4" s="1297"/>
      <c r="AJ4" s="1300" t="s">
        <v>138</v>
      </c>
      <c r="AK4" s="1300"/>
      <c r="AL4" s="1300" t="s">
        <v>138</v>
      </c>
      <c r="AM4" s="1300"/>
      <c r="AN4" s="1301" t="s">
        <v>452</v>
      </c>
      <c r="AO4" s="1302"/>
      <c r="AP4" s="1301" t="s">
        <v>452</v>
      </c>
      <c r="AQ4" s="1302"/>
      <c r="AR4" s="1275" t="s">
        <v>740</v>
      </c>
      <c r="AS4" s="1276"/>
      <c r="AT4" s="1275" t="s">
        <v>740</v>
      </c>
      <c r="AU4" s="1276"/>
      <c r="AV4" s="1292" t="s">
        <v>454</v>
      </c>
      <c r="AW4" s="1293"/>
      <c r="AX4" s="1292" t="s">
        <v>454</v>
      </c>
      <c r="AY4" s="1293"/>
      <c r="AZ4" s="1275" t="s">
        <v>519</v>
      </c>
      <c r="BA4" s="1276"/>
      <c r="BB4" s="1258" t="s">
        <v>741</v>
      </c>
      <c r="BC4" s="1259"/>
      <c r="BD4" s="1258" t="s">
        <v>741</v>
      </c>
      <c r="BE4" s="1259"/>
      <c r="BF4" s="1258" t="s">
        <v>741</v>
      </c>
      <c r="BG4" s="1259"/>
      <c r="BH4" s="1258" t="s">
        <v>741</v>
      </c>
      <c r="BI4" s="1259"/>
      <c r="BJ4"/>
      <c r="BK4" s="1258" t="s">
        <v>742</v>
      </c>
      <c r="BL4" s="1259"/>
      <c r="BM4" s="1258" t="s">
        <v>742</v>
      </c>
      <c r="BN4" s="1259"/>
      <c r="BO4" s="1258" t="s">
        <v>742</v>
      </c>
      <c r="BP4" s="1259"/>
      <c r="BQ4" s="1258" t="s">
        <v>742</v>
      </c>
      <c r="BR4" s="1259"/>
      <c r="BT4" s="1258" t="s">
        <v>741</v>
      </c>
      <c r="BU4" s="1259"/>
      <c r="BV4" s="1258" t="s">
        <v>742</v>
      </c>
      <c r="BW4" s="1259"/>
    </row>
    <row r="5" spans="1:76" s="4" customFormat="1" ht="15" thickTop="1" thickBot="1" x14ac:dyDescent="0.5">
      <c r="A5" s="561"/>
      <c r="B5" s="7"/>
      <c r="E5" s="245"/>
      <c r="F5" s="1312"/>
      <c r="G5" s="1313"/>
      <c r="H5" s="1312"/>
      <c r="I5" s="1313"/>
      <c r="J5" s="1307"/>
      <c r="K5" s="1308"/>
      <c r="L5" s="1307"/>
      <c r="M5" s="1308"/>
      <c r="N5" s="1316"/>
      <c r="O5" s="1317"/>
      <c r="P5" s="1316"/>
      <c r="Q5" s="1317"/>
      <c r="R5" s="1307"/>
      <c r="S5" s="1308"/>
      <c r="T5" s="1307"/>
      <c r="U5" s="1308"/>
      <c r="V5" s="1307"/>
      <c r="W5" s="1308"/>
      <c r="X5" s="1238"/>
      <c r="Y5" s="1239"/>
      <c r="Z5" s="1238"/>
      <c r="AA5" s="1239"/>
      <c r="AB5" s="1303"/>
      <c r="AC5" s="1304"/>
      <c r="AD5" s="1303"/>
      <c r="AE5" s="1304"/>
      <c r="AF5" s="1298"/>
      <c r="AG5" s="1299"/>
      <c r="AH5" s="1298"/>
      <c r="AI5" s="1299"/>
      <c r="AJ5" s="1300"/>
      <c r="AK5" s="1300"/>
      <c r="AL5" s="1300"/>
      <c r="AM5" s="1300"/>
      <c r="AN5" s="1303"/>
      <c r="AO5" s="1304"/>
      <c r="AP5" s="1303"/>
      <c r="AQ5" s="1304"/>
      <c r="AR5" s="1238"/>
      <c r="AS5" s="1239"/>
      <c r="AT5" s="1238"/>
      <c r="AU5" s="1239"/>
      <c r="AV5" s="1294"/>
      <c r="AW5" s="1295"/>
      <c r="AX5" s="1294"/>
      <c r="AY5" s="1295"/>
      <c r="AZ5" s="1238"/>
      <c r="BA5" s="1239"/>
      <c r="BB5" s="1260"/>
      <c r="BC5" s="1261"/>
      <c r="BD5" s="1260"/>
      <c r="BE5" s="1261"/>
      <c r="BF5" s="1260"/>
      <c r="BG5" s="1261"/>
      <c r="BH5" s="1260"/>
      <c r="BI5" s="1261"/>
      <c r="BJ5"/>
      <c r="BK5" s="1260"/>
      <c r="BL5" s="1261"/>
      <c r="BM5" s="1260"/>
      <c r="BN5" s="1261"/>
      <c r="BO5" s="1260"/>
      <c r="BP5" s="1261"/>
      <c r="BQ5" s="1260"/>
      <c r="BR5" s="1261"/>
      <c r="BT5" s="1260"/>
      <c r="BU5" s="1261"/>
      <c r="BV5" s="1260"/>
      <c r="BW5" s="1261"/>
    </row>
    <row r="6" spans="1:76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34"/>
      <c r="G6" s="1206"/>
      <c r="H6" s="1234"/>
      <c r="I6" s="1206"/>
      <c r="J6" s="1234"/>
      <c r="K6" s="1206"/>
      <c r="L6" s="1234"/>
      <c r="M6" s="1206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05"/>
      <c r="Y6" s="1206"/>
      <c r="Z6" s="1205"/>
      <c r="AA6" s="1206"/>
      <c r="AB6" s="1265"/>
      <c r="AC6" s="1266"/>
      <c r="AD6" s="1265"/>
      <c r="AE6" s="1266"/>
      <c r="AF6" s="1205"/>
      <c r="AG6" s="1206"/>
      <c r="AH6" s="1205"/>
      <c r="AI6" s="1206"/>
      <c r="AJ6" s="1205"/>
      <c r="AK6" s="1206"/>
      <c r="AL6" s="1205"/>
      <c r="AM6" s="1206"/>
      <c r="AN6" s="1265"/>
      <c r="AO6" s="1266"/>
      <c r="AP6" s="1265"/>
      <c r="AQ6" s="1266"/>
      <c r="AR6" s="1265"/>
      <c r="AS6" s="1266"/>
      <c r="AT6" s="1265"/>
      <c r="AU6" s="1266"/>
      <c r="AV6" s="1265"/>
      <c r="AW6" s="1266"/>
      <c r="AX6" s="1265"/>
      <c r="AY6" s="1266"/>
      <c r="AZ6" s="1205"/>
      <c r="BA6" s="1206"/>
      <c r="BB6" s="1288"/>
      <c r="BC6" s="1289"/>
      <c r="BD6" s="1288"/>
      <c r="BE6" s="1289"/>
      <c r="BF6" s="1288"/>
      <c r="BG6" s="1289"/>
      <c r="BH6" s="1288"/>
      <c r="BI6" s="1289"/>
      <c r="BJ6"/>
      <c r="BK6" s="1288"/>
      <c r="BL6" s="1289"/>
      <c r="BM6" s="1288"/>
      <c r="BN6" s="1289"/>
      <c r="BO6" s="1288"/>
      <c r="BP6" s="1289"/>
      <c r="BQ6" s="1288"/>
      <c r="BR6" s="1289"/>
      <c r="BT6" s="1288"/>
      <c r="BU6" s="1289"/>
      <c r="BV6" s="1288"/>
      <c r="BW6" s="1289"/>
    </row>
    <row r="7" spans="1:76" s="7" customFormat="1" ht="36.75" customHeight="1" x14ac:dyDescent="0.45">
      <c r="A7" s="561"/>
      <c r="B7" s="1203"/>
      <c r="C7" s="10" t="s">
        <v>11</v>
      </c>
      <c r="D7" s="11"/>
      <c r="E7" s="247"/>
      <c r="F7" s="1267">
        <v>435560</v>
      </c>
      <c r="G7" s="1268"/>
      <c r="H7" s="1267">
        <v>435560</v>
      </c>
      <c r="I7" s="1268"/>
      <c r="J7" s="1267">
        <v>435550</v>
      </c>
      <c r="K7" s="1268"/>
      <c r="L7" s="1267">
        <v>435550</v>
      </c>
      <c r="M7" s="1268"/>
      <c r="N7" s="1267">
        <v>435557</v>
      </c>
      <c r="O7" s="1268"/>
      <c r="P7" s="1267">
        <v>435557</v>
      </c>
      <c r="Q7" s="1268"/>
      <c r="R7" s="1267">
        <v>436677</v>
      </c>
      <c r="S7" s="1268"/>
      <c r="T7" s="1290" t="s">
        <v>743</v>
      </c>
      <c r="U7" s="1291"/>
      <c r="V7" s="1290" t="s">
        <v>744</v>
      </c>
      <c r="W7" s="1291"/>
      <c r="X7" s="1267">
        <v>411565</v>
      </c>
      <c r="Y7" s="1268"/>
      <c r="Z7" s="1267">
        <v>411565</v>
      </c>
      <c r="AA7" s="1268"/>
      <c r="AB7" s="1267">
        <v>194687</v>
      </c>
      <c r="AC7" s="1268"/>
      <c r="AD7" s="1267">
        <v>194687</v>
      </c>
      <c r="AE7" s="1268"/>
      <c r="AF7" s="1200">
        <v>184763</v>
      </c>
      <c r="AG7" s="1201"/>
      <c r="AH7" s="1200">
        <v>184763</v>
      </c>
      <c r="AI7" s="1201"/>
      <c r="AJ7" s="1200">
        <v>136915</v>
      </c>
      <c r="AK7" s="1201"/>
      <c r="AL7" s="1200">
        <v>136915</v>
      </c>
      <c r="AM7" s="1201"/>
      <c r="AN7" s="1267">
        <v>106661</v>
      </c>
      <c r="AO7" s="1268"/>
      <c r="AP7" s="1267">
        <v>106661</v>
      </c>
      <c r="AQ7" s="1268"/>
      <c r="AR7" s="1267">
        <v>435563</v>
      </c>
      <c r="AS7" s="1268"/>
      <c r="AT7" s="1267">
        <v>435563</v>
      </c>
      <c r="AU7" s="1268"/>
      <c r="AV7" s="1267">
        <v>100488</v>
      </c>
      <c r="AW7" s="1268"/>
      <c r="AX7" s="1267">
        <v>100488</v>
      </c>
      <c r="AY7" s="1268"/>
      <c r="AZ7" s="1279" t="s">
        <v>745</v>
      </c>
      <c r="BA7" s="1201"/>
      <c r="BB7" s="1279">
        <v>437319</v>
      </c>
      <c r="BC7" s="1201"/>
      <c r="BD7" s="1279">
        <v>437319</v>
      </c>
      <c r="BE7" s="1201"/>
      <c r="BF7" s="1279">
        <v>437319</v>
      </c>
      <c r="BG7" s="1201"/>
      <c r="BH7" s="1279">
        <v>437319</v>
      </c>
      <c r="BI7" s="1201"/>
      <c r="BJ7"/>
      <c r="BK7" s="1279">
        <v>437318</v>
      </c>
      <c r="BL7" s="1201"/>
      <c r="BM7" s="1279">
        <v>437318</v>
      </c>
      <c r="BN7" s="1201"/>
      <c r="BO7" s="1279">
        <v>437318</v>
      </c>
      <c r="BP7" s="1201"/>
      <c r="BQ7" s="1279">
        <v>437318</v>
      </c>
      <c r="BR7" s="1201"/>
      <c r="BT7" s="1279">
        <v>437319</v>
      </c>
      <c r="BU7" s="1201"/>
      <c r="BV7" s="1279">
        <v>437318</v>
      </c>
      <c r="BW7" s="1201"/>
    </row>
    <row r="8" spans="1:76" s="7" customFormat="1" x14ac:dyDescent="0.45">
      <c r="A8" s="561"/>
      <c r="B8" s="1203"/>
      <c r="C8" s="12" t="s">
        <v>12</v>
      </c>
      <c r="D8" s="11"/>
      <c r="E8" s="11"/>
      <c r="F8" s="1269">
        <f t="shared" ref="F8" si="3">G59</f>
        <v>6.05</v>
      </c>
      <c r="G8" s="1270"/>
      <c r="H8" s="1269">
        <f t="shared" ref="H8" si="4">I59</f>
        <v>6.0466546730245234</v>
      </c>
      <c r="I8" s="1270"/>
      <c r="J8" s="1269">
        <f t="shared" ref="J8" si="5">K59</f>
        <v>6.0499173553719015</v>
      </c>
      <c r="K8" s="1270"/>
      <c r="L8" s="1269">
        <f t="shared" ref="L8" si="6">M59</f>
        <v>6.0436983471074388</v>
      </c>
      <c r="M8" s="1270"/>
      <c r="N8" s="1269">
        <f t="shared" ref="N8" si="7">O59</f>
        <v>6.0532448099173557</v>
      </c>
      <c r="O8" s="1270"/>
      <c r="P8" s="1269">
        <f t="shared" ref="P8" si="8">Q59</f>
        <v>6.05</v>
      </c>
      <c r="Q8" s="1270"/>
      <c r="R8" s="1269">
        <f t="shared" ref="R8" si="9">S59</f>
        <v>6.0536983471074386</v>
      </c>
      <c r="S8" s="1270"/>
      <c r="T8" s="1269">
        <f t="shared" ref="T8" si="10">U59</f>
        <v>6.0536983471074386</v>
      </c>
      <c r="U8" s="1270"/>
      <c r="V8" s="1269">
        <f t="shared" ref="V8" si="11">W59</f>
        <v>6.0536983471074386</v>
      </c>
      <c r="W8" s="1270"/>
      <c r="X8" s="1269">
        <f t="shared" ref="X8" si="12">Y59</f>
        <v>4.8529149797570845</v>
      </c>
      <c r="Y8" s="1270"/>
      <c r="Z8" s="1269">
        <f t="shared" ref="Z8" si="13">AA59</f>
        <v>4.8518218623481779</v>
      </c>
      <c r="AA8" s="1270"/>
      <c r="AB8" s="1269">
        <f t="shared" ref="AB8" si="14">AC59</f>
        <v>4.3499999999999996</v>
      </c>
      <c r="AC8" s="1270"/>
      <c r="AD8" s="1269">
        <f t="shared" ref="AD8" si="15">AE59</f>
        <v>4.3986910000000004</v>
      </c>
      <c r="AE8" s="1270"/>
      <c r="AF8" s="1269">
        <f t="shared" ref="AF8" si="16">AG59</f>
        <v>4.38</v>
      </c>
      <c r="AG8" s="1270"/>
      <c r="AH8" s="1269">
        <f t="shared" ref="AH8" si="17">AI59</f>
        <v>4.4000000000000004</v>
      </c>
      <c r="AI8" s="1270"/>
      <c r="AJ8" s="1269">
        <f t="shared" ref="AJ8" si="18">AK59</f>
        <v>6.5536025000000002</v>
      </c>
      <c r="AK8" s="1270"/>
      <c r="AL8" s="1269">
        <f t="shared" ref="AL8" si="19">AM59</f>
        <v>6.55</v>
      </c>
      <c r="AM8" s="1270"/>
      <c r="AN8" s="1269">
        <f t="shared" ref="AN8" si="20">AO59</f>
        <v>6.0474287499999999</v>
      </c>
      <c r="AO8" s="1270"/>
      <c r="AP8" s="1269">
        <f t="shared" ref="AP8" si="21">AQ59</f>
        <v>6.0474287499999999</v>
      </c>
      <c r="AQ8" s="1270"/>
      <c r="AR8" s="1269">
        <f t="shared" ref="AR8" si="22">AS59</f>
        <v>6.0474287499999999</v>
      </c>
      <c r="AS8" s="1270"/>
      <c r="AT8" s="1269">
        <f t="shared" ref="AT8" si="23">AU59</f>
        <v>6.0435714285714282</v>
      </c>
      <c r="AU8" s="1270"/>
      <c r="AV8" s="1269">
        <f t="shared" ref="AV8" si="24">AW59</f>
        <v>6.0474287499999999</v>
      </c>
      <c r="AW8" s="1270"/>
      <c r="AX8" s="1269">
        <f t="shared" ref="AX8" si="25">AY59</f>
        <v>6.0435714285714282</v>
      </c>
      <c r="AY8" s="1270"/>
      <c r="AZ8" s="1269">
        <f t="shared" ref="AZ8" si="26">BA59</f>
        <v>4.4000000000000004</v>
      </c>
      <c r="BA8" s="1270"/>
      <c r="BB8" s="1269">
        <f t="shared" ref="BB8" si="27">BC59</f>
        <v>6.3993103448275868</v>
      </c>
      <c r="BC8" s="1270"/>
      <c r="BD8" s="1269">
        <f t="shared" ref="BD8" si="28">BE59</f>
        <v>6.3993103448275868</v>
      </c>
      <c r="BE8" s="1270"/>
      <c r="BF8" s="1269">
        <f t="shared" ref="BF8" si="29">BG59</f>
        <v>6.3993103448275868</v>
      </c>
      <c r="BG8" s="1270"/>
      <c r="BH8" s="1269">
        <f t="shared" ref="BH8" si="30">BI59</f>
        <v>6.3993103448275868</v>
      </c>
      <c r="BI8" s="1270"/>
      <c r="BJ8"/>
      <c r="BK8" s="1269">
        <f t="shared" ref="BK8" si="31">BL59</f>
        <v>6.3993103448275868</v>
      </c>
      <c r="BL8" s="1270"/>
      <c r="BM8" s="1269">
        <f t="shared" ref="BM8" si="32">BN59</f>
        <v>6.3993103448275868</v>
      </c>
      <c r="BN8" s="1270"/>
      <c r="BO8" s="1269">
        <f t="shared" ref="BO8" si="33">BP59</f>
        <v>6.3993103448275868</v>
      </c>
      <c r="BP8" s="1270"/>
      <c r="BQ8" s="1269">
        <f t="shared" ref="BQ8" si="34">BR59</f>
        <v>6.3993103448275868</v>
      </c>
      <c r="BR8" s="1270"/>
      <c r="BT8" s="1269">
        <f t="shared" ref="BT8" si="35">BU59</f>
        <v>6.3993103448275868</v>
      </c>
      <c r="BU8" s="1270"/>
      <c r="BV8" s="1269">
        <f t="shared" ref="BV8" si="36">BW59</f>
        <v>6.3993103448275868</v>
      </c>
      <c r="BW8" s="1270"/>
    </row>
    <row r="9" spans="1:76" s="7" customFormat="1" x14ac:dyDescent="0.45">
      <c r="A9" s="561"/>
      <c r="B9" s="1203"/>
      <c r="C9" s="13" t="s">
        <v>14</v>
      </c>
      <c r="D9" s="14"/>
      <c r="E9" s="14"/>
      <c r="F9" s="1271" t="str">
        <f t="shared" ref="F9" si="37">CONCATENATE("TP $",TEXT(G56,"#,##0.00"),"/ctn")</f>
        <v>TP $5.40/ctn</v>
      </c>
      <c r="G9" s="1272"/>
      <c r="H9" s="1271" t="str">
        <f t="shared" ref="H9" si="38">CONCATENATE("TP $",TEXT(I56,"#,##0.00"),"/ctn")</f>
        <v>TP $5.40/ctn</v>
      </c>
      <c r="I9" s="1272"/>
      <c r="J9" s="1271" t="str">
        <f t="shared" ref="J9" si="39">CONCATENATE("TP $",TEXT(K56,"#,##0.00"),"/ctn")</f>
        <v>TP $5.25/ctn</v>
      </c>
      <c r="K9" s="1272"/>
      <c r="L9" s="1271" t="str">
        <f t="shared" ref="L9" si="40">CONCATENATE("TP $",TEXT(M56,"#,##0.00"),"/ctn")</f>
        <v>TP $5.25/ctn</v>
      </c>
      <c r="M9" s="1272"/>
      <c r="N9" s="1271" t="str">
        <f t="shared" ref="N9" si="41">CONCATENATE("TP $",TEXT(O56,"#,##0.00"),"/ctn")</f>
        <v>TP $5.25/ctn</v>
      </c>
      <c r="O9" s="1272"/>
      <c r="P9" s="1271" t="str">
        <f t="shared" ref="P9" si="42">CONCATENATE("TP $",TEXT(Q56,"#,##0.00"),"/ctn")</f>
        <v>TP $5.25/ctn</v>
      </c>
      <c r="Q9" s="1272"/>
      <c r="R9" s="1271" t="str">
        <f t="shared" ref="R9" si="43">CONCATENATE("TP $",TEXT(S56,"#,##0.00"),"/ctn")</f>
        <v>TP $5.25/ctn</v>
      </c>
      <c r="S9" s="1272"/>
      <c r="T9" s="1271" t="str">
        <f t="shared" ref="T9" si="44">CONCATENATE("TP $",TEXT(U56,"#,##0.00"),"/ctn")</f>
        <v>TP $5.25/ctn</v>
      </c>
      <c r="U9" s="1272"/>
      <c r="V9" s="1271" t="str">
        <f t="shared" ref="V9" si="45">CONCATENATE("TP $",TEXT(W56,"#,##0.00"),"/ctn")</f>
        <v>TP $5.25/ctn</v>
      </c>
      <c r="W9" s="1272"/>
      <c r="X9" s="1271" t="str">
        <f t="shared" ref="X9" si="46">CONCATENATE("TP $",TEXT(Y56,"#,##0.00"),"/ctn")</f>
        <v>TP $3.70/ctn</v>
      </c>
      <c r="Y9" s="1272"/>
      <c r="Z9" s="1271" t="str">
        <f t="shared" ref="Z9" si="47">CONCATENATE("TP $",TEXT(AA56,"#,##0.00"),"/ctn")</f>
        <v>TP $3.70/ctn</v>
      </c>
      <c r="AA9" s="1272"/>
      <c r="AB9" s="1271" t="str">
        <f t="shared" ref="AB9" si="48">CONCATENATE("TP $",TEXT(AC56,"#,##0.00"),"/ctn")</f>
        <v>TP $3.05/ctn</v>
      </c>
      <c r="AC9" s="1272"/>
      <c r="AD9" s="1271" t="str">
        <f t="shared" ref="AD9" si="49">CONCATENATE("TP $",TEXT(AE56,"#,##0.00"),"/ctn")</f>
        <v>TP $3.05/ctn</v>
      </c>
      <c r="AE9" s="1272"/>
      <c r="AF9" s="1271" t="str">
        <f t="shared" ref="AF9" si="50">CONCATENATE("TP $",TEXT(AG56,"#,##0.00"),"/ctn")</f>
        <v>TP $3.05/ctn</v>
      </c>
      <c r="AG9" s="1272"/>
      <c r="AH9" s="1271" t="str">
        <f t="shared" ref="AH9" si="51">CONCATENATE("TP $",TEXT(AI56,"#,##0.00"),"/ctn")</f>
        <v>TP $3.05/ctn</v>
      </c>
      <c r="AI9" s="1272"/>
      <c r="AJ9" s="1271" t="str">
        <f t="shared" ref="AJ9" si="52">CONCATENATE("TP $",TEXT(AK56,"#,##0.00"),"/ctn")</f>
        <v>TP $4.75/ctn</v>
      </c>
      <c r="AK9" s="1272"/>
      <c r="AL9" s="1271" t="str">
        <f t="shared" ref="AL9" si="53">CONCATENATE("TP $",TEXT(AM56,"#,##0.00"),"/ctn")</f>
        <v>TP $4.75/ctn</v>
      </c>
      <c r="AM9" s="1272"/>
      <c r="AN9" s="1271" t="str">
        <f t="shared" ref="AN9" si="54">CONCATENATE("TP $",TEXT(AO56,"#,##0.00"),"/ctn")</f>
        <v>TP $6.05/ctn</v>
      </c>
      <c r="AO9" s="1272"/>
      <c r="AP9" s="1271" t="str">
        <f t="shared" ref="AP9" si="55">CONCATENATE("TP $",TEXT(AQ56,"#,##0.00"),"/ctn")</f>
        <v>TP $6.05/ctn</v>
      </c>
      <c r="AQ9" s="1272"/>
      <c r="AR9" s="1271" t="str">
        <f t="shared" ref="AR9" si="56">CONCATENATE("TP $",TEXT(AS56,"#,##0.00"),"/ctn")</f>
        <v>TP $6.05/ctn</v>
      </c>
      <c r="AS9" s="1272"/>
      <c r="AT9" s="1271" t="str">
        <f t="shared" ref="AT9" si="57">CONCATENATE("TP $",TEXT(AU56,"#,##0.00"),"/ctn")</f>
        <v>TP $6.05/ctn</v>
      </c>
      <c r="AU9" s="1272"/>
      <c r="AV9" s="1271" t="str">
        <f t="shared" ref="AV9" si="58">CONCATENATE("TP $",TEXT(AW56,"#,##0.00"),"/ctn")</f>
        <v>TP $6.05/ctn</v>
      </c>
      <c r="AW9" s="1272"/>
      <c r="AX9" s="1271" t="str">
        <f t="shared" ref="AX9" si="59">CONCATENATE("TP $",TEXT(AY56,"#,##0.00"),"/ctn")</f>
        <v>TP $6.05/ctn</v>
      </c>
      <c r="AY9" s="1272"/>
      <c r="AZ9" s="1271" t="str">
        <f t="shared" ref="AZ9" si="60">CONCATENATE("TP $",TEXT(BA56,"#,##0.00"),"/ctn")</f>
        <v>TP $3.35/ctn</v>
      </c>
      <c r="BA9" s="1272"/>
      <c r="BB9" s="1271" t="str">
        <f>CONCATENATE("TP $",TEXT(BC57,"#,##0.00"),"/ctn")</f>
        <v>TP $1.00/ctn</v>
      </c>
      <c r="BC9" s="1272"/>
      <c r="BD9" s="1271" t="str">
        <f>CONCATENATE("TP $",TEXT(BE57,"#,##0.00"),"/ctn")</f>
        <v>TP $1.00/ctn</v>
      </c>
      <c r="BE9" s="1272"/>
      <c r="BF9" s="1271" t="str">
        <f>CONCATENATE("TP $",TEXT(BG57,"#,##0.00"),"/ctn")</f>
        <v>TP $1.00/ctn</v>
      </c>
      <c r="BG9" s="1272"/>
      <c r="BH9" s="1271" t="str">
        <f>CONCATENATE("TP $",TEXT(BI57,"#,##0.00"),"/ctn")</f>
        <v>TP $1.00/ctn</v>
      </c>
      <c r="BI9" s="1272"/>
      <c r="BJ9"/>
      <c r="BK9" s="1271" t="str">
        <f>CONCATENATE("TP $",TEXT(BL57,"#,##0.00"),"/ctn")</f>
        <v>TP $1.00/ctn</v>
      </c>
      <c r="BL9" s="1272"/>
      <c r="BM9" s="1271" t="str">
        <f>CONCATENATE("TP $",TEXT(BN57,"#,##0.00"),"/ctn")</f>
        <v>TP $1.00/ctn</v>
      </c>
      <c r="BN9" s="1272"/>
      <c r="BO9" s="1271" t="str">
        <f>CONCATENATE("TP $",TEXT(BP57,"#,##0.00"),"/ctn")</f>
        <v>TP $1.00/ctn</v>
      </c>
      <c r="BP9" s="1272"/>
      <c r="BQ9" s="1271" t="str">
        <f>CONCATENATE("TP $",TEXT(BR57,"#,##0.00"),"/ctn")</f>
        <v>TP $1.00/ctn</v>
      </c>
      <c r="BR9" s="1272"/>
      <c r="BT9" s="1271" t="str">
        <f>CONCATENATE("TP $",TEXT(BU57,"#,##0.00"),"/ctn")</f>
        <v>TP $1.00/ctn</v>
      </c>
      <c r="BU9" s="1272"/>
      <c r="BV9" s="1271" t="str">
        <f>CONCATENATE("TP $",TEXT(BW57,"#,##0.00"),"/ctn")</f>
        <v>TP $1.00/ctn</v>
      </c>
      <c r="BW9" s="1272"/>
    </row>
    <row r="10" spans="1:76" s="4" customFormat="1" x14ac:dyDescent="0.45">
      <c r="A10" s="561"/>
      <c r="B10" s="1203"/>
      <c r="C10" s="15" t="s">
        <v>23</v>
      </c>
      <c r="D10" s="16"/>
      <c r="E10" s="16"/>
      <c r="F10" s="348" t="str">
        <f t="shared" ref="F10" si="61">RIGHT(F2,2)</f>
        <v>40</v>
      </c>
      <c r="G10" s="349" t="str">
        <f t="shared" ref="G10" si="62">+F10</f>
        <v>40</v>
      </c>
      <c r="H10" s="348" t="str">
        <f t="shared" ref="H10" si="63">RIGHT(H2,2)</f>
        <v>40</v>
      </c>
      <c r="I10" s="349" t="str">
        <f t="shared" ref="I10" si="64">+H10</f>
        <v>40</v>
      </c>
      <c r="J10" s="348" t="str">
        <f t="shared" ref="J10" si="65">RIGHT(J2,2)</f>
        <v>40</v>
      </c>
      <c r="K10" s="349" t="str">
        <f t="shared" ref="K10" si="66">+J10</f>
        <v>40</v>
      </c>
      <c r="L10" s="348">
        <v>40</v>
      </c>
      <c r="M10" s="349">
        <v>40</v>
      </c>
      <c r="N10" s="348">
        <v>40</v>
      </c>
      <c r="O10" s="349">
        <f t="shared" ref="O10" si="67">+N10</f>
        <v>40</v>
      </c>
      <c r="P10" s="348">
        <f>O10</f>
        <v>40</v>
      </c>
      <c r="Q10" s="349">
        <f>+P10</f>
        <v>40</v>
      </c>
      <c r="R10" s="348">
        <v>40</v>
      </c>
      <c r="S10" s="349">
        <f>+R10</f>
        <v>40</v>
      </c>
      <c r="T10" s="348">
        <v>40</v>
      </c>
      <c r="U10" s="349">
        <f>+T10</f>
        <v>40</v>
      </c>
      <c r="V10" s="348">
        <v>40</v>
      </c>
      <c r="W10" s="349">
        <f>+V10</f>
        <v>40</v>
      </c>
      <c r="X10" s="349">
        <v>12</v>
      </c>
      <c r="Y10" s="349">
        <v>12</v>
      </c>
      <c r="Z10" s="349">
        <f t="shared" ref="Z10:AA10" si="68">+Y10</f>
        <v>12</v>
      </c>
      <c r="AA10" s="349">
        <f t="shared" si="68"/>
        <v>12</v>
      </c>
      <c r="AB10" s="348">
        <v>12</v>
      </c>
      <c r="AC10" s="349">
        <f>+AB10</f>
        <v>12</v>
      </c>
      <c r="AD10" s="348">
        <f>AC10</f>
        <v>12</v>
      </c>
      <c r="AE10" s="349">
        <f>+AD10</f>
        <v>12</v>
      </c>
      <c r="AF10" s="252">
        <v>12</v>
      </c>
      <c r="AG10" s="253">
        <f t="shared" ref="AG10" si="69">+AF10</f>
        <v>12</v>
      </c>
      <c r="AH10" s="252">
        <v>12</v>
      </c>
      <c r="AI10" s="253">
        <f t="shared" ref="AI10" si="70">+AH10</f>
        <v>12</v>
      </c>
      <c r="AJ10" s="252" t="str">
        <f t="shared" ref="AJ10" si="71">RIGHT(AJ2,2)</f>
        <v>24</v>
      </c>
      <c r="AK10" s="253" t="str">
        <f t="shared" ref="AK10:AM10" si="72">+AJ10</f>
        <v>24</v>
      </c>
      <c r="AL10" s="253" t="str">
        <f t="shared" si="72"/>
        <v>24</v>
      </c>
      <c r="AM10" s="253" t="str">
        <f t="shared" si="72"/>
        <v>24</v>
      </c>
      <c r="AN10" s="348" t="str">
        <f>RIGHT(AN2,2)</f>
        <v>40</v>
      </c>
      <c r="AO10" s="349" t="str">
        <f>+AN10</f>
        <v>40</v>
      </c>
      <c r="AP10" s="348">
        <v>40</v>
      </c>
      <c r="AQ10" s="349">
        <v>40</v>
      </c>
      <c r="AR10" s="348">
        <f>AQ10</f>
        <v>40</v>
      </c>
      <c r="AS10" s="349">
        <f>+AR10</f>
        <v>40</v>
      </c>
      <c r="AT10" s="348">
        <f>AW10</f>
        <v>40</v>
      </c>
      <c r="AU10" s="349">
        <f>+AT10</f>
        <v>40</v>
      </c>
      <c r="AV10" s="348">
        <f>AS10</f>
        <v>40</v>
      </c>
      <c r="AW10" s="349">
        <f>+AV10</f>
        <v>40</v>
      </c>
      <c r="AX10" s="348">
        <f>AU10</f>
        <v>40</v>
      </c>
      <c r="AY10" s="349">
        <f>+AX10</f>
        <v>40</v>
      </c>
      <c r="AZ10" s="252">
        <v>12</v>
      </c>
      <c r="BA10" s="253">
        <f t="shared" ref="BA10" si="73">+AZ10</f>
        <v>12</v>
      </c>
      <c r="BB10" s="252">
        <v>20</v>
      </c>
      <c r="BC10" s="253">
        <f t="shared" ref="BC10" si="74">+BB10</f>
        <v>20</v>
      </c>
      <c r="BD10" s="252">
        <v>20</v>
      </c>
      <c r="BE10" s="253">
        <f t="shared" ref="BE10" si="75">+BD10</f>
        <v>20</v>
      </c>
      <c r="BF10" s="252">
        <v>20</v>
      </c>
      <c r="BG10" s="253">
        <f t="shared" ref="BG10" si="76">+BF10</f>
        <v>20</v>
      </c>
      <c r="BH10" s="252">
        <v>20</v>
      </c>
      <c r="BI10" s="253">
        <f t="shared" ref="BI10" si="77">+BH10</f>
        <v>20</v>
      </c>
      <c r="BJ10"/>
      <c r="BK10" s="252">
        <v>20</v>
      </c>
      <c r="BL10" s="253">
        <f t="shared" ref="BL10" si="78">+BK10</f>
        <v>20</v>
      </c>
      <c r="BM10" s="252">
        <v>20</v>
      </c>
      <c r="BN10" s="253">
        <f t="shared" ref="BN10" si="79">+BM10</f>
        <v>20</v>
      </c>
      <c r="BO10" s="252">
        <v>20</v>
      </c>
      <c r="BP10" s="253">
        <f t="shared" ref="BP10" si="80">+BO10</f>
        <v>20</v>
      </c>
      <c r="BQ10" s="252">
        <v>20</v>
      </c>
      <c r="BR10" s="253">
        <f t="shared" ref="BR10" si="81">+BQ10</f>
        <v>20</v>
      </c>
      <c r="BT10" s="252">
        <v>20</v>
      </c>
      <c r="BU10" s="253">
        <f t="shared" ref="BU10" si="82">+BT10</f>
        <v>20</v>
      </c>
      <c r="BV10" s="252">
        <v>20</v>
      </c>
      <c r="BW10" s="253">
        <f t="shared" ref="BW10" si="83">+BV10</f>
        <v>20</v>
      </c>
    </row>
    <row r="11" spans="1:76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/>
      <c r="BK11" s="21" t="s">
        <v>25</v>
      </c>
      <c r="BL11" s="22" t="s">
        <v>26</v>
      </c>
      <c r="BM11" s="21" t="s">
        <v>25</v>
      </c>
      <c r="BN11" s="22" t="s">
        <v>26</v>
      </c>
      <c r="BO11" s="21" t="s">
        <v>25</v>
      </c>
      <c r="BP11" s="22" t="s">
        <v>26</v>
      </c>
      <c r="BQ11" s="21" t="s">
        <v>25</v>
      </c>
      <c r="BR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</row>
    <row r="12" spans="1:76" s="4" customFormat="1" x14ac:dyDescent="0.45">
      <c r="A12" s="561"/>
      <c r="B12" s="1203"/>
      <c r="C12" s="15" t="s">
        <v>27</v>
      </c>
      <c r="D12" s="1192">
        <v>44407</v>
      </c>
      <c r="E12" s="1193"/>
      <c r="F12" s="350">
        <v>4068.66</v>
      </c>
      <c r="G12" s="351"/>
      <c r="H12" s="350">
        <v>4068.66</v>
      </c>
      <c r="I12" s="351"/>
      <c r="J12" s="350">
        <v>4068.66</v>
      </c>
      <c r="K12" s="351"/>
      <c r="L12" s="350">
        <v>4068.66</v>
      </c>
      <c r="M12" s="351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23">
        <v>4068.66</v>
      </c>
      <c r="AG12" s="24"/>
      <c r="AH12" s="23">
        <v>4068.66</v>
      </c>
      <c r="AI12" s="24"/>
      <c r="AJ12" s="23">
        <v>4068.66</v>
      </c>
      <c r="AK12" s="24"/>
      <c r="AL12" s="23">
        <v>4068.66</v>
      </c>
      <c r="AM12" s="24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23">
        <v>4068.66</v>
      </c>
      <c r="BA12" s="24"/>
      <c r="BB12" s="23">
        <v>4068.66</v>
      </c>
      <c r="BC12" s="24"/>
      <c r="BD12" s="23">
        <v>4068.66</v>
      </c>
      <c r="BE12" s="24"/>
      <c r="BF12" s="23">
        <v>4068.66</v>
      </c>
      <c r="BG12" s="24"/>
      <c r="BH12" s="23">
        <v>4068.66</v>
      </c>
      <c r="BI12" s="24"/>
      <c r="BJ12"/>
      <c r="BK12" s="23">
        <v>4068.66</v>
      </c>
      <c r="BL12" s="24"/>
      <c r="BM12" s="23">
        <v>4068.66</v>
      </c>
      <c r="BN12" s="24"/>
      <c r="BO12" s="23">
        <v>4068.66</v>
      </c>
      <c r="BP12" s="24"/>
      <c r="BQ12" s="23">
        <v>4068.66</v>
      </c>
      <c r="BR12" s="24"/>
      <c r="BT12" s="23">
        <v>4068.66</v>
      </c>
      <c r="BU12" s="24"/>
      <c r="BV12" s="23">
        <v>4068.66</v>
      </c>
      <c r="BW12" s="24"/>
      <c r="BX12" s="1174"/>
    </row>
    <row r="13" spans="1:76" s="4" customFormat="1" x14ac:dyDescent="0.45">
      <c r="A13" s="561"/>
      <c r="B13" s="1204"/>
      <c r="C13" s="25"/>
      <c r="D13" s="26"/>
      <c r="E13" s="26"/>
      <c r="F13" s="352"/>
      <c r="G13" s="353"/>
      <c r="H13" s="352"/>
      <c r="I13" s="353"/>
      <c r="J13" s="352"/>
      <c r="K13" s="353"/>
      <c r="L13" s="352"/>
      <c r="M13" s="353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27"/>
      <c r="AG13" s="28"/>
      <c r="AH13" s="27"/>
      <c r="AI13" s="28"/>
      <c r="AJ13" s="27"/>
      <c r="AK13" s="28"/>
      <c r="AL13" s="27"/>
      <c r="AM13" s="28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27"/>
      <c r="BA13" s="28"/>
      <c r="BB13" s="27"/>
      <c r="BC13" s="28"/>
      <c r="BD13" s="27"/>
      <c r="BE13" s="28"/>
      <c r="BF13" s="27"/>
      <c r="BG13" s="28"/>
      <c r="BH13" s="27"/>
      <c r="BI13" s="28"/>
      <c r="BJ13"/>
      <c r="BK13" s="27"/>
      <c r="BL13" s="28"/>
      <c r="BM13" s="27"/>
      <c r="BN13" s="28"/>
      <c r="BO13" s="27"/>
      <c r="BP13" s="28"/>
      <c r="BQ13" s="27"/>
      <c r="BR13" s="28"/>
      <c r="BT13" s="27"/>
      <c r="BU13" s="28"/>
      <c r="BV13" s="27"/>
      <c r="BW13" s="28"/>
    </row>
    <row r="14" spans="1:76" s="4" customFormat="1" x14ac:dyDescent="0.45">
      <c r="A14" s="561"/>
      <c r="B14" s="29"/>
      <c r="C14" s="15"/>
      <c r="D14" s="16"/>
      <c r="E14" s="16"/>
      <c r="F14" s="354"/>
      <c r="G14" s="355"/>
      <c r="H14" s="354"/>
      <c r="I14" s="355"/>
      <c r="J14" s="354"/>
      <c r="K14" s="355"/>
      <c r="L14" s="354"/>
      <c r="M14" s="355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17"/>
      <c r="AG14" s="18"/>
      <c r="AH14" s="17"/>
      <c r="AI14" s="18"/>
      <c r="AJ14" s="17"/>
      <c r="AK14" s="18"/>
      <c r="AL14" s="17"/>
      <c r="AM14" s="18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17"/>
      <c r="BA14" s="18"/>
      <c r="BB14" s="17"/>
      <c r="BC14" s="18"/>
      <c r="BD14" s="17"/>
      <c r="BE14" s="18"/>
      <c r="BF14" s="17"/>
      <c r="BG14" s="18"/>
      <c r="BH14" s="17"/>
      <c r="BI14" s="18"/>
      <c r="BJ14"/>
      <c r="BK14" s="17"/>
      <c r="BL14" s="18"/>
      <c r="BM14" s="17"/>
      <c r="BN14" s="18"/>
      <c r="BO14" s="17"/>
      <c r="BP14" s="18"/>
      <c r="BQ14" s="17"/>
      <c r="BR14" s="18"/>
      <c r="BT14" s="17"/>
      <c r="BU14" s="18"/>
      <c r="BV14" s="17"/>
      <c r="BW14" s="18"/>
    </row>
    <row r="15" spans="1:76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 t="shared" ref="G15" si="84">+F15/F12</f>
        <v>0.24578116628079025</v>
      </c>
      <c r="H15" s="31">
        <v>1000</v>
      </c>
      <c r="I15" s="32">
        <f t="shared" ref="I15" si="85">+H15/H12</f>
        <v>0.24578116628079025</v>
      </c>
      <c r="J15" s="31">
        <v>1000</v>
      </c>
      <c r="K15" s="32">
        <f t="shared" ref="K15:M15" si="86">+J15/J12</f>
        <v>0.24578116628079025</v>
      </c>
      <c r="L15" s="31">
        <v>1000</v>
      </c>
      <c r="M15" s="32">
        <f t="shared" si="86"/>
        <v>0.24578116628079025</v>
      </c>
      <c r="N15" s="31">
        <v>1000</v>
      </c>
      <c r="O15" s="32">
        <f t="shared" ref="O15" si="87">+N15/N12</f>
        <v>0.24578116628079025</v>
      </c>
      <c r="P15" s="31">
        <v>1000</v>
      </c>
      <c r="Q15" s="32">
        <f t="shared" ref="Q15" si="88"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3250</v>
      </c>
      <c r="Y15" s="32">
        <f t="shared" ref="Y15" si="89">+X15/X12</f>
        <v>0.79878879041256834</v>
      </c>
      <c r="Z15" s="31">
        <v>3250</v>
      </c>
      <c r="AA15" s="32">
        <f t="shared" ref="AA15" si="90">+Z15/Z12</f>
        <v>0.79878879041256834</v>
      </c>
      <c r="AB15" s="31">
        <v>2000</v>
      </c>
      <c r="AC15" s="32">
        <f>+AB15/AB12</f>
        <v>0.4915623325615805</v>
      </c>
      <c r="AD15" s="31">
        <v>2000</v>
      </c>
      <c r="AE15" s="32">
        <f>+AD15/AD12</f>
        <v>0.4915623325615805</v>
      </c>
      <c r="AF15" s="31">
        <v>2000</v>
      </c>
      <c r="AG15" s="32">
        <f t="shared" ref="AG15" si="91">+AF15/AF12</f>
        <v>0.4915623325615805</v>
      </c>
      <c r="AH15" s="31">
        <v>2000</v>
      </c>
      <c r="AI15" s="32">
        <f t="shared" ref="AI15" si="92">+AH15/AH12</f>
        <v>0.4915623325615805</v>
      </c>
      <c r="AJ15" s="31">
        <v>2000</v>
      </c>
      <c r="AK15" s="32">
        <f t="shared" ref="AK15" si="93">+AJ15/AJ12</f>
        <v>0.4915623325615805</v>
      </c>
      <c r="AL15" s="31">
        <v>2000</v>
      </c>
      <c r="AM15" s="32">
        <f t="shared" ref="AM15" si="94">+AL15/AL12</f>
        <v>0.4915623325615805</v>
      </c>
      <c r="AN15" s="31">
        <v>1200</v>
      </c>
      <c r="AO15" s="32">
        <f>+AN15/AN12</f>
        <v>0.29493739953694831</v>
      </c>
      <c r="AP15" s="31">
        <v>1200</v>
      </c>
      <c r="AQ15" s="32">
        <f>+AP15/AP12</f>
        <v>0.29493739953694831</v>
      </c>
      <c r="AR15" s="31">
        <v>1200</v>
      </c>
      <c r="AS15" s="32">
        <f>+AR15/AR12</f>
        <v>0.29493739953694831</v>
      </c>
      <c r="AT15" s="31">
        <v>1200</v>
      </c>
      <c r="AU15" s="32">
        <f>+AT15/AT12</f>
        <v>0.29493739953694831</v>
      </c>
      <c r="AV15" s="31">
        <v>1200</v>
      </c>
      <c r="AW15" s="32">
        <f>+AV15/AV12</f>
        <v>0.29493739953694831</v>
      </c>
      <c r="AX15" s="31">
        <v>1200</v>
      </c>
      <c r="AY15" s="32">
        <f>+AX15/AX12</f>
        <v>0.29493739953694831</v>
      </c>
      <c r="AZ15" s="31">
        <v>2500</v>
      </c>
      <c r="BA15" s="32">
        <f t="shared" ref="BA15" si="95">+AZ15/AZ12</f>
        <v>0.61445291570197558</v>
      </c>
      <c r="BB15" s="31">
        <v>2000</v>
      </c>
      <c r="BC15" s="32">
        <f t="shared" ref="BC15" si="96">+BB15/BB12</f>
        <v>0.4915623325615805</v>
      </c>
      <c r="BD15" s="31">
        <v>2000</v>
      </c>
      <c r="BE15" s="32">
        <f t="shared" ref="BE15" si="97">+BD15/BD12</f>
        <v>0.4915623325615805</v>
      </c>
      <c r="BF15" s="31">
        <v>2000</v>
      </c>
      <c r="BG15" s="32">
        <f t="shared" ref="BG15" si="98">+BF15/BF12</f>
        <v>0.4915623325615805</v>
      </c>
      <c r="BH15" s="31">
        <v>2000</v>
      </c>
      <c r="BI15" s="32">
        <f t="shared" ref="BI15" si="99">+BH15/BH12</f>
        <v>0.4915623325615805</v>
      </c>
      <c r="BJ15"/>
      <c r="BK15" s="31">
        <v>2000</v>
      </c>
      <c r="BL15" s="32">
        <f t="shared" ref="BL15" si="100">+BK15/BK12</f>
        <v>0.4915623325615805</v>
      </c>
      <c r="BM15" s="31">
        <v>2000</v>
      </c>
      <c r="BN15" s="32">
        <f t="shared" ref="BN15" si="101">+BM15/BM12</f>
        <v>0.4915623325615805</v>
      </c>
      <c r="BO15" s="31">
        <v>2000</v>
      </c>
      <c r="BP15" s="32">
        <f t="shared" ref="BP15" si="102">+BO15/BO12</f>
        <v>0.4915623325615805</v>
      </c>
      <c r="BQ15" s="31">
        <v>2000</v>
      </c>
      <c r="BR15" s="32">
        <f t="shared" ref="BR15" si="103">+BQ15/BQ12</f>
        <v>0.4915623325615805</v>
      </c>
      <c r="BT15" s="31">
        <v>2400</v>
      </c>
      <c r="BU15" s="32">
        <f t="shared" ref="BU15" si="104">+BT15/BT12</f>
        <v>0.58987479907389662</v>
      </c>
      <c r="BV15" s="31">
        <v>2400</v>
      </c>
      <c r="BW15" s="32">
        <f t="shared" ref="BW15" si="105">+BV15/BV12</f>
        <v>0.58987479907389662</v>
      </c>
    </row>
    <row r="16" spans="1:76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BI16" si="106">+F15*F10</f>
        <v>40000</v>
      </c>
      <c r="G16" s="32">
        <f t="shared" si="106"/>
        <v>9.8312466512316092</v>
      </c>
      <c r="H16" s="31">
        <f t="shared" si="106"/>
        <v>40000</v>
      </c>
      <c r="I16" s="32">
        <f t="shared" si="106"/>
        <v>9.8312466512316092</v>
      </c>
      <c r="J16" s="31">
        <f t="shared" si="106"/>
        <v>40000</v>
      </c>
      <c r="K16" s="32">
        <f t="shared" si="106"/>
        <v>9.8312466512316092</v>
      </c>
      <c r="L16" s="31">
        <f t="shared" si="106"/>
        <v>40000</v>
      </c>
      <c r="M16" s="32">
        <f t="shared" si="106"/>
        <v>9.8312466512316092</v>
      </c>
      <c r="N16" s="31">
        <f t="shared" si="106"/>
        <v>40000</v>
      </c>
      <c r="O16" s="32">
        <f t="shared" si="106"/>
        <v>9.8312466512316092</v>
      </c>
      <c r="P16" s="31">
        <f t="shared" si="106"/>
        <v>40000</v>
      </c>
      <c r="Q16" s="32">
        <f t="shared" si="106"/>
        <v>9.8312466512316092</v>
      </c>
      <c r="R16" s="31">
        <f t="shared" si="106"/>
        <v>40000</v>
      </c>
      <c r="S16" s="32">
        <f t="shared" si="106"/>
        <v>9.8312466512316092</v>
      </c>
      <c r="T16" s="31">
        <f t="shared" si="106"/>
        <v>40000</v>
      </c>
      <c r="U16" s="32">
        <f t="shared" si="106"/>
        <v>9.8312466512316092</v>
      </c>
      <c r="V16" s="31">
        <f t="shared" si="106"/>
        <v>40000</v>
      </c>
      <c r="W16" s="32">
        <f t="shared" si="106"/>
        <v>9.8312466512316092</v>
      </c>
      <c r="X16" s="31">
        <f t="shared" si="106"/>
        <v>39000</v>
      </c>
      <c r="Y16" s="32">
        <f t="shared" si="106"/>
        <v>9.5854654849508201</v>
      </c>
      <c r="Z16" s="31">
        <f t="shared" si="106"/>
        <v>39000</v>
      </c>
      <c r="AA16" s="32">
        <f t="shared" si="106"/>
        <v>9.5854654849508201</v>
      </c>
      <c r="AB16" s="31">
        <f t="shared" si="106"/>
        <v>24000</v>
      </c>
      <c r="AC16" s="32">
        <f t="shared" si="106"/>
        <v>5.8987479907389657</v>
      </c>
      <c r="AD16" s="31">
        <f t="shared" si="106"/>
        <v>24000</v>
      </c>
      <c r="AE16" s="32">
        <f t="shared" si="106"/>
        <v>5.8987479907389657</v>
      </c>
      <c r="AF16" s="31">
        <f t="shared" si="106"/>
        <v>24000</v>
      </c>
      <c r="AG16" s="32">
        <f t="shared" si="106"/>
        <v>5.8987479907389657</v>
      </c>
      <c r="AH16" s="31">
        <f t="shared" si="106"/>
        <v>24000</v>
      </c>
      <c r="AI16" s="32">
        <f t="shared" si="106"/>
        <v>5.8987479907389657</v>
      </c>
      <c r="AJ16" s="31">
        <f t="shared" si="106"/>
        <v>48000</v>
      </c>
      <c r="AK16" s="32">
        <f t="shared" si="106"/>
        <v>11.797495981477931</v>
      </c>
      <c r="AL16" s="31">
        <f t="shared" si="106"/>
        <v>48000</v>
      </c>
      <c r="AM16" s="32">
        <f t="shared" si="106"/>
        <v>11.797495981477931</v>
      </c>
      <c r="AN16" s="31">
        <f t="shared" si="106"/>
        <v>48000</v>
      </c>
      <c r="AO16" s="32">
        <f t="shared" si="106"/>
        <v>11.797495981477933</v>
      </c>
      <c r="AP16" s="31">
        <f t="shared" si="106"/>
        <v>48000</v>
      </c>
      <c r="AQ16" s="32">
        <f t="shared" si="106"/>
        <v>11.797495981477933</v>
      </c>
      <c r="AR16" s="31">
        <f t="shared" si="106"/>
        <v>48000</v>
      </c>
      <c r="AS16" s="32">
        <f t="shared" si="106"/>
        <v>11.797495981477933</v>
      </c>
      <c r="AT16" s="31">
        <f>+AT15*AT10</f>
        <v>48000</v>
      </c>
      <c r="AU16" s="32">
        <f>+AU15*AU10</f>
        <v>11.797495981477933</v>
      </c>
      <c r="AV16" s="31">
        <f t="shared" si="106"/>
        <v>48000</v>
      </c>
      <c r="AW16" s="32">
        <f t="shared" si="106"/>
        <v>11.797495981477933</v>
      </c>
      <c r="AX16" s="31">
        <f t="shared" si="106"/>
        <v>48000</v>
      </c>
      <c r="AY16" s="32">
        <f t="shared" si="106"/>
        <v>11.797495981477933</v>
      </c>
      <c r="AZ16" s="31">
        <f t="shared" si="106"/>
        <v>30000</v>
      </c>
      <c r="BA16" s="32">
        <f t="shared" si="106"/>
        <v>7.3734349884237069</v>
      </c>
      <c r="BB16" s="31">
        <f t="shared" si="106"/>
        <v>40000</v>
      </c>
      <c r="BC16" s="32">
        <f t="shared" si="106"/>
        <v>9.8312466512316092</v>
      </c>
      <c r="BD16" s="31">
        <f t="shared" ref="BD16:BG16" si="107">+BD15*BD10</f>
        <v>40000</v>
      </c>
      <c r="BE16" s="32">
        <f t="shared" si="107"/>
        <v>9.8312466512316092</v>
      </c>
      <c r="BF16" s="31">
        <f t="shared" si="107"/>
        <v>40000</v>
      </c>
      <c r="BG16" s="32">
        <f t="shared" si="107"/>
        <v>9.8312466512316092</v>
      </c>
      <c r="BH16" s="31">
        <f t="shared" si="106"/>
        <v>40000</v>
      </c>
      <c r="BI16" s="32">
        <f t="shared" si="106"/>
        <v>9.8312466512316092</v>
      </c>
      <c r="BJ16"/>
      <c r="BK16" s="31">
        <f t="shared" ref="BK16:BL16" si="108">+BK15*BK10</f>
        <v>40000</v>
      </c>
      <c r="BL16" s="32">
        <f t="shared" si="108"/>
        <v>9.8312466512316092</v>
      </c>
      <c r="BM16" s="31">
        <f t="shared" ref="BM16:BR16" si="109">+BM15*BM10</f>
        <v>40000</v>
      </c>
      <c r="BN16" s="32">
        <f t="shared" si="109"/>
        <v>9.8312466512316092</v>
      </c>
      <c r="BO16" s="31">
        <f t="shared" si="109"/>
        <v>40000</v>
      </c>
      <c r="BP16" s="32">
        <f t="shared" si="109"/>
        <v>9.8312466512316092</v>
      </c>
      <c r="BQ16" s="31">
        <f t="shared" si="109"/>
        <v>40000</v>
      </c>
      <c r="BR16" s="32">
        <f t="shared" si="109"/>
        <v>9.8312466512316092</v>
      </c>
      <c r="BT16" s="31">
        <f t="shared" ref="BT16:BW16" si="110">+BT15*BT10</f>
        <v>48000</v>
      </c>
      <c r="BU16" s="32">
        <f t="shared" si="110"/>
        <v>11.797495981477933</v>
      </c>
      <c r="BV16" s="31">
        <f t="shared" si="110"/>
        <v>48000</v>
      </c>
      <c r="BW16" s="32">
        <f t="shared" si="110"/>
        <v>11.797495981477933</v>
      </c>
    </row>
    <row r="17" spans="1:77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350">
        <v>0</v>
      </c>
      <c r="G17" s="351">
        <v>0</v>
      </c>
      <c r="H17" s="350">
        <v>0</v>
      </c>
      <c r="I17" s="351">
        <v>0</v>
      </c>
      <c r="J17" s="350">
        <v>0</v>
      </c>
      <c r="K17" s="351">
        <v>0</v>
      </c>
      <c r="L17" s="350">
        <v>0</v>
      </c>
      <c r="M17" s="351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23">
        <v>0</v>
      </c>
      <c r="AG17" s="24">
        <v>0</v>
      </c>
      <c r="AH17" s="23">
        <v>0</v>
      </c>
      <c r="AI17" s="24">
        <v>0</v>
      </c>
      <c r="AJ17" s="23">
        <v>0</v>
      </c>
      <c r="AK17" s="24">
        <v>0</v>
      </c>
      <c r="AL17" s="23">
        <v>0</v>
      </c>
      <c r="AM17" s="24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23">
        <v>0</v>
      </c>
      <c r="BA17" s="24">
        <v>0</v>
      </c>
      <c r="BB17" s="23">
        <v>0</v>
      </c>
      <c r="BC17" s="24">
        <v>0</v>
      </c>
      <c r="BD17" s="23">
        <v>0</v>
      </c>
      <c r="BE17" s="24">
        <v>0</v>
      </c>
      <c r="BF17" s="23">
        <v>0</v>
      </c>
      <c r="BG17" s="24">
        <v>0</v>
      </c>
      <c r="BH17" s="23">
        <v>0</v>
      </c>
      <c r="BI17" s="24">
        <v>0</v>
      </c>
      <c r="BJ17"/>
      <c r="BK17" s="23">
        <v>0</v>
      </c>
      <c r="BL17" s="24">
        <v>0</v>
      </c>
      <c r="BM17" s="23">
        <v>0</v>
      </c>
      <c r="BN17" s="24">
        <v>0</v>
      </c>
      <c r="BO17" s="23">
        <v>0</v>
      </c>
      <c r="BP17" s="24">
        <v>0</v>
      </c>
      <c r="BQ17" s="23">
        <v>0</v>
      </c>
      <c r="BR17" s="24">
        <v>0</v>
      </c>
      <c r="BT17" s="23">
        <v>0</v>
      </c>
      <c r="BU17" s="24">
        <v>0</v>
      </c>
      <c r="BV17" s="23">
        <v>0</v>
      </c>
      <c r="BW17" s="24">
        <v>0</v>
      </c>
    </row>
    <row r="18" spans="1:77" s="4" customFormat="1" ht="18" customHeight="1" x14ac:dyDescent="0.45">
      <c r="A18" s="561"/>
      <c r="B18" s="1194"/>
      <c r="C18" s="15" t="s">
        <v>33</v>
      </c>
      <c r="D18" s="16"/>
      <c r="E18" s="16"/>
      <c r="F18" s="356">
        <v>0</v>
      </c>
      <c r="G18" s="357">
        <v>0</v>
      </c>
      <c r="H18" s="356">
        <v>0</v>
      </c>
      <c r="I18" s="357">
        <v>0</v>
      </c>
      <c r="J18" s="356">
        <v>0</v>
      </c>
      <c r="K18" s="357">
        <v>0</v>
      </c>
      <c r="L18" s="356">
        <v>0</v>
      </c>
      <c r="M18" s="35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6">
        <v>0</v>
      </c>
      <c r="AG18" s="37">
        <v>0</v>
      </c>
      <c r="AH18" s="36">
        <v>0</v>
      </c>
      <c r="AI18" s="37">
        <v>0</v>
      </c>
      <c r="AJ18" s="36">
        <v>0</v>
      </c>
      <c r="AK18" s="37">
        <v>0</v>
      </c>
      <c r="AL18" s="36">
        <v>0</v>
      </c>
      <c r="AM18" s="3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6">
        <v>0</v>
      </c>
      <c r="BA18" s="37">
        <v>0</v>
      </c>
      <c r="BB18" s="36">
        <v>0</v>
      </c>
      <c r="BC18" s="37">
        <v>0</v>
      </c>
      <c r="BD18" s="36">
        <v>0</v>
      </c>
      <c r="BE18" s="37">
        <v>0</v>
      </c>
      <c r="BF18" s="36">
        <v>0</v>
      </c>
      <c r="BG18" s="37">
        <v>0</v>
      </c>
      <c r="BH18" s="36">
        <v>0</v>
      </c>
      <c r="BI18" s="37">
        <v>0</v>
      </c>
      <c r="BJ18"/>
      <c r="BK18" s="36">
        <v>0</v>
      </c>
      <c r="BL18" s="37">
        <v>0</v>
      </c>
      <c r="BM18" s="36">
        <v>0</v>
      </c>
      <c r="BN18" s="37">
        <v>0</v>
      </c>
      <c r="BO18" s="36">
        <v>0</v>
      </c>
      <c r="BP18" s="37">
        <v>0</v>
      </c>
      <c r="BQ18" s="36">
        <v>0</v>
      </c>
      <c r="BR18" s="37">
        <v>0</v>
      </c>
      <c r="BT18" s="36">
        <v>0</v>
      </c>
      <c r="BU18" s="37">
        <v>0</v>
      </c>
      <c r="BV18" s="36">
        <v>0</v>
      </c>
      <c r="BW18" s="37">
        <v>0</v>
      </c>
    </row>
    <row r="19" spans="1:77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BI19" si="111">F15-F17</f>
        <v>1000</v>
      </c>
      <c r="G19" s="32">
        <f t="shared" si="111"/>
        <v>0.24578116628079025</v>
      </c>
      <c r="H19" s="38">
        <f t="shared" si="111"/>
        <v>1000</v>
      </c>
      <c r="I19" s="32">
        <f t="shared" si="111"/>
        <v>0.24578116628079025</v>
      </c>
      <c r="J19" s="38">
        <f t="shared" si="111"/>
        <v>1000</v>
      </c>
      <c r="K19" s="32">
        <f t="shared" si="111"/>
        <v>0.24578116628079025</v>
      </c>
      <c r="L19" s="38">
        <f t="shared" si="111"/>
        <v>1000</v>
      </c>
      <c r="M19" s="32">
        <f t="shared" si="111"/>
        <v>0.24578116628079025</v>
      </c>
      <c r="N19" s="38">
        <f t="shared" si="111"/>
        <v>1000</v>
      </c>
      <c r="O19" s="32">
        <f t="shared" si="111"/>
        <v>0.24578116628079025</v>
      </c>
      <c r="P19" s="38">
        <f t="shared" si="111"/>
        <v>1000</v>
      </c>
      <c r="Q19" s="32">
        <f t="shared" si="111"/>
        <v>0.24578116628079025</v>
      </c>
      <c r="R19" s="38">
        <f t="shared" si="111"/>
        <v>1000</v>
      </c>
      <c r="S19" s="32">
        <f t="shared" si="111"/>
        <v>0.24578116628079025</v>
      </c>
      <c r="T19" s="38">
        <f t="shared" si="111"/>
        <v>1000</v>
      </c>
      <c r="U19" s="32">
        <f t="shared" si="111"/>
        <v>0.24578116628079025</v>
      </c>
      <c r="V19" s="38">
        <f t="shared" si="111"/>
        <v>1000</v>
      </c>
      <c r="W19" s="32">
        <f t="shared" si="111"/>
        <v>0.24578116628079025</v>
      </c>
      <c r="X19" s="38">
        <f t="shared" si="111"/>
        <v>3250</v>
      </c>
      <c r="Y19" s="32">
        <f t="shared" si="111"/>
        <v>0.79878879041256834</v>
      </c>
      <c r="Z19" s="38">
        <f t="shared" si="111"/>
        <v>3250</v>
      </c>
      <c r="AA19" s="32">
        <f t="shared" si="111"/>
        <v>0.79878879041256834</v>
      </c>
      <c r="AB19" s="38">
        <f t="shared" si="111"/>
        <v>2000</v>
      </c>
      <c r="AC19" s="32">
        <f t="shared" si="111"/>
        <v>0.4915623325615805</v>
      </c>
      <c r="AD19" s="38">
        <f t="shared" si="111"/>
        <v>2000</v>
      </c>
      <c r="AE19" s="32">
        <f t="shared" si="111"/>
        <v>0.4915623325615805</v>
      </c>
      <c r="AF19" s="38">
        <f t="shared" si="111"/>
        <v>2000</v>
      </c>
      <c r="AG19" s="32">
        <f t="shared" si="111"/>
        <v>0.4915623325615805</v>
      </c>
      <c r="AH19" s="38">
        <f t="shared" si="111"/>
        <v>2000</v>
      </c>
      <c r="AI19" s="32">
        <f t="shared" si="111"/>
        <v>0.4915623325615805</v>
      </c>
      <c r="AJ19" s="38">
        <f t="shared" si="111"/>
        <v>2000</v>
      </c>
      <c r="AK19" s="32">
        <f t="shared" si="111"/>
        <v>0.4915623325615805</v>
      </c>
      <c r="AL19" s="38">
        <f t="shared" si="111"/>
        <v>2000</v>
      </c>
      <c r="AM19" s="32">
        <f t="shared" si="111"/>
        <v>0.4915623325615805</v>
      </c>
      <c r="AN19" s="38">
        <f t="shared" si="111"/>
        <v>1200</v>
      </c>
      <c r="AO19" s="32">
        <f t="shared" si="111"/>
        <v>0.29493739953694831</v>
      </c>
      <c r="AP19" s="38">
        <f t="shared" si="111"/>
        <v>1200</v>
      </c>
      <c r="AQ19" s="32">
        <f t="shared" si="111"/>
        <v>0.29493739953694831</v>
      </c>
      <c r="AR19" s="38">
        <f t="shared" si="111"/>
        <v>1200</v>
      </c>
      <c r="AS19" s="32">
        <f t="shared" si="111"/>
        <v>0.29493739953694831</v>
      </c>
      <c r="AT19" s="38">
        <f>AT15-AT17</f>
        <v>1200</v>
      </c>
      <c r="AU19" s="32">
        <f>AU15-AU17</f>
        <v>0.29493739953694831</v>
      </c>
      <c r="AV19" s="38">
        <f t="shared" si="111"/>
        <v>1200</v>
      </c>
      <c r="AW19" s="32">
        <f t="shared" si="111"/>
        <v>0.29493739953694831</v>
      </c>
      <c r="AX19" s="38">
        <f t="shared" si="111"/>
        <v>1200</v>
      </c>
      <c r="AY19" s="32">
        <f t="shared" si="111"/>
        <v>0.29493739953694831</v>
      </c>
      <c r="AZ19" s="38">
        <f t="shared" si="111"/>
        <v>2500</v>
      </c>
      <c r="BA19" s="32">
        <f t="shared" si="111"/>
        <v>0.61445291570197558</v>
      </c>
      <c r="BB19" s="38">
        <f t="shared" si="111"/>
        <v>2000</v>
      </c>
      <c r="BC19" s="32">
        <f t="shared" si="111"/>
        <v>0.4915623325615805</v>
      </c>
      <c r="BD19" s="38">
        <f t="shared" ref="BD19:BG19" si="112">BD15-BD17</f>
        <v>2000</v>
      </c>
      <c r="BE19" s="32">
        <f t="shared" si="112"/>
        <v>0.4915623325615805</v>
      </c>
      <c r="BF19" s="38">
        <f t="shared" si="112"/>
        <v>2000</v>
      </c>
      <c r="BG19" s="32">
        <f t="shared" si="112"/>
        <v>0.4915623325615805</v>
      </c>
      <c r="BH19" s="38">
        <f t="shared" si="111"/>
        <v>2000</v>
      </c>
      <c r="BI19" s="32">
        <f t="shared" si="111"/>
        <v>0.4915623325615805</v>
      </c>
      <c r="BJ19"/>
      <c r="BK19" s="38">
        <f t="shared" ref="BK19:BL19" si="113">BK15-BK17</f>
        <v>2000</v>
      </c>
      <c r="BL19" s="32">
        <f t="shared" si="113"/>
        <v>0.4915623325615805</v>
      </c>
      <c r="BM19" s="38">
        <f t="shared" ref="BM19:BR19" si="114">BM15-BM17</f>
        <v>2000</v>
      </c>
      <c r="BN19" s="32">
        <f t="shared" si="114"/>
        <v>0.4915623325615805</v>
      </c>
      <c r="BO19" s="38">
        <f t="shared" si="114"/>
        <v>2000</v>
      </c>
      <c r="BP19" s="32">
        <f t="shared" si="114"/>
        <v>0.4915623325615805</v>
      </c>
      <c r="BQ19" s="38">
        <f t="shared" si="114"/>
        <v>2000</v>
      </c>
      <c r="BR19" s="32">
        <f t="shared" si="114"/>
        <v>0.4915623325615805</v>
      </c>
      <c r="BT19" s="38">
        <f t="shared" ref="BT19:BW19" si="115">BT15-BT17</f>
        <v>2400</v>
      </c>
      <c r="BU19" s="32">
        <f t="shared" si="115"/>
        <v>0.58987479907389662</v>
      </c>
      <c r="BV19" s="38">
        <f t="shared" si="115"/>
        <v>2400</v>
      </c>
      <c r="BW19" s="32">
        <f t="shared" si="115"/>
        <v>0.58987479907389662</v>
      </c>
    </row>
    <row r="20" spans="1:77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BI20" si="116">1/(1+F18)*F16</f>
        <v>40000</v>
      </c>
      <c r="G20" s="40">
        <f t="shared" si="116"/>
        <v>9.8312466512316092</v>
      </c>
      <c r="H20" s="39">
        <f t="shared" si="116"/>
        <v>40000</v>
      </c>
      <c r="I20" s="40">
        <f t="shared" si="116"/>
        <v>9.8312466512316092</v>
      </c>
      <c r="J20" s="39">
        <f t="shared" si="116"/>
        <v>40000</v>
      </c>
      <c r="K20" s="40">
        <f t="shared" si="116"/>
        <v>9.8312466512316092</v>
      </c>
      <c r="L20" s="39">
        <f t="shared" si="116"/>
        <v>40000</v>
      </c>
      <c r="M20" s="40">
        <f t="shared" si="116"/>
        <v>9.8312466512316092</v>
      </c>
      <c r="N20" s="39">
        <f t="shared" si="116"/>
        <v>40000</v>
      </c>
      <c r="O20" s="40">
        <f t="shared" si="116"/>
        <v>9.8312466512316092</v>
      </c>
      <c r="P20" s="39">
        <f t="shared" si="116"/>
        <v>40000</v>
      </c>
      <c r="Q20" s="40">
        <f t="shared" si="116"/>
        <v>9.8312466512316092</v>
      </c>
      <c r="R20" s="39">
        <f t="shared" si="116"/>
        <v>40000</v>
      </c>
      <c r="S20" s="40">
        <f t="shared" si="116"/>
        <v>9.8312466512316092</v>
      </c>
      <c r="T20" s="39">
        <f t="shared" si="116"/>
        <v>40000</v>
      </c>
      <c r="U20" s="40">
        <f t="shared" si="116"/>
        <v>9.8312466512316092</v>
      </c>
      <c r="V20" s="39">
        <f t="shared" si="116"/>
        <v>40000</v>
      </c>
      <c r="W20" s="40">
        <f t="shared" si="116"/>
        <v>9.8312466512316092</v>
      </c>
      <c r="X20" s="39">
        <f t="shared" si="116"/>
        <v>39000</v>
      </c>
      <c r="Y20" s="40">
        <f t="shared" si="116"/>
        <v>9.5854654849508201</v>
      </c>
      <c r="Z20" s="39">
        <f t="shared" si="116"/>
        <v>39000</v>
      </c>
      <c r="AA20" s="40">
        <f t="shared" si="116"/>
        <v>9.5854654849508201</v>
      </c>
      <c r="AB20" s="39">
        <f t="shared" si="116"/>
        <v>24000</v>
      </c>
      <c r="AC20" s="40">
        <f t="shared" si="116"/>
        <v>5.8987479907389657</v>
      </c>
      <c r="AD20" s="39">
        <f t="shared" si="116"/>
        <v>24000</v>
      </c>
      <c r="AE20" s="40">
        <f t="shared" si="116"/>
        <v>5.8987479907389657</v>
      </c>
      <c r="AF20" s="39">
        <f t="shared" si="116"/>
        <v>24000</v>
      </c>
      <c r="AG20" s="40">
        <f t="shared" si="116"/>
        <v>5.8987479907389657</v>
      </c>
      <c r="AH20" s="39">
        <f t="shared" si="116"/>
        <v>24000</v>
      </c>
      <c r="AI20" s="40">
        <f t="shared" si="116"/>
        <v>5.8987479907389657</v>
      </c>
      <c r="AJ20" s="39">
        <f t="shared" si="116"/>
        <v>48000</v>
      </c>
      <c r="AK20" s="40">
        <f t="shared" si="116"/>
        <v>11.797495981477931</v>
      </c>
      <c r="AL20" s="39">
        <f t="shared" si="116"/>
        <v>48000</v>
      </c>
      <c r="AM20" s="40">
        <f t="shared" si="116"/>
        <v>11.797495981477931</v>
      </c>
      <c r="AN20" s="39">
        <f t="shared" si="116"/>
        <v>48000</v>
      </c>
      <c r="AO20" s="40">
        <f t="shared" si="116"/>
        <v>11.797495981477933</v>
      </c>
      <c r="AP20" s="39">
        <f t="shared" si="116"/>
        <v>48000</v>
      </c>
      <c r="AQ20" s="40">
        <f t="shared" si="116"/>
        <v>11.797495981477933</v>
      </c>
      <c r="AR20" s="39">
        <f t="shared" si="116"/>
        <v>48000</v>
      </c>
      <c r="AS20" s="40">
        <f t="shared" si="116"/>
        <v>11.797495981477933</v>
      </c>
      <c r="AT20" s="39">
        <f>1/(1+AT18)*AT16</f>
        <v>48000</v>
      </c>
      <c r="AU20" s="40">
        <f>1/(1+AU18)*AU16</f>
        <v>11.797495981477933</v>
      </c>
      <c r="AV20" s="39">
        <f t="shared" si="116"/>
        <v>48000</v>
      </c>
      <c r="AW20" s="40">
        <f t="shared" si="116"/>
        <v>11.797495981477933</v>
      </c>
      <c r="AX20" s="39">
        <f t="shared" si="116"/>
        <v>48000</v>
      </c>
      <c r="AY20" s="40">
        <f t="shared" si="116"/>
        <v>11.797495981477933</v>
      </c>
      <c r="AZ20" s="39">
        <f t="shared" si="116"/>
        <v>30000</v>
      </c>
      <c r="BA20" s="40">
        <f t="shared" si="116"/>
        <v>7.3734349884237069</v>
      </c>
      <c r="BB20" s="39">
        <f t="shared" si="116"/>
        <v>40000</v>
      </c>
      <c r="BC20" s="40">
        <f t="shared" si="116"/>
        <v>9.8312466512316092</v>
      </c>
      <c r="BD20" s="39">
        <f t="shared" ref="BD20:BG20" si="117">1/(1+BD18)*BD16</f>
        <v>40000</v>
      </c>
      <c r="BE20" s="40">
        <f t="shared" si="117"/>
        <v>9.8312466512316092</v>
      </c>
      <c r="BF20" s="39">
        <f t="shared" si="117"/>
        <v>40000</v>
      </c>
      <c r="BG20" s="40">
        <f t="shared" si="117"/>
        <v>9.8312466512316092</v>
      </c>
      <c r="BH20" s="39">
        <f t="shared" si="116"/>
        <v>40000</v>
      </c>
      <c r="BI20" s="40">
        <f t="shared" si="116"/>
        <v>9.8312466512316092</v>
      </c>
      <c r="BJ20"/>
      <c r="BK20" s="39">
        <f t="shared" ref="BK20:BL20" si="118">1/(1+BK18)*BK16</f>
        <v>40000</v>
      </c>
      <c r="BL20" s="40">
        <f t="shared" si="118"/>
        <v>9.8312466512316092</v>
      </c>
      <c r="BM20" s="39">
        <f t="shared" ref="BM20:BR20" si="119">1/(1+BM18)*BM16</f>
        <v>40000</v>
      </c>
      <c r="BN20" s="40">
        <f t="shared" si="119"/>
        <v>9.8312466512316092</v>
      </c>
      <c r="BO20" s="39">
        <f t="shared" si="119"/>
        <v>40000</v>
      </c>
      <c r="BP20" s="40">
        <f t="shared" si="119"/>
        <v>9.8312466512316092</v>
      </c>
      <c r="BQ20" s="39">
        <f t="shared" si="119"/>
        <v>40000</v>
      </c>
      <c r="BR20" s="40">
        <f t="shared" si="119"/>
        <v>9.8312466512316092</v>
      </c>
      <c r="BT20" s="39">
        <f t="shared" ref="BT20:BW20" si="120">1/(1+BT18)*BT16</f>
        <v>48000</v>
      </c>
      <c r="BU20" s="40">
        <f t="shared" si="120"/>
        <v>11.797495981477933</v>
      </c>
      <c r="BV20" s="39">
        <f t="shared" si="120"/>
        <v>48000</v>
      </c>
      <c r="BW20" s="40">
        <f t="shared" si="120"/>
        <v>11.797495981477933</v>
      </c>
    </row>
    <row r="21" spans="1:77" s="4" customFormat="1" ht="18" customHeight="1" x14ac:dyDescent="0.45">
      <c r="A21" s="561"/>
      <c r="B21" s="1195"/>
      <c r="C21" s="25"/>
      <c r="D21" s="26"/>
      <c r="E21" s="26"/>
      <c r="F21" s="352"/>
      <c r="G21" s="358"/>
      <c r="H21" s="352"/>
      <c r="I21" s="358"/>
      <c r="J21" s="352"/>
      <c r="K21" s="358"/>
      <c r="L21" s="352"/>
      <c r="M21" s="358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27"/>
      <c r="AG21" s="41"/>
      <c r="AH21" s="27"/>
      <c r="AI21" s="41"/>
      <c r="AJ21" s="27"/>
      <c r="AK21" s="41"/>
      <c r="AL21" s="27"/>
      <c r="AM21" s="41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27"/>
      <c r="BA21" s="41"/>
      <c r="BB21" s="27"/>
      <c r="BC21" s="41"/>
      <c r="BD21" s="27"/>
      <c r="BE21" s="41"/>
      <c r="BF21" s="27"/>
      <c r="BG21" s="41"/>
      <c r="BH21" s="27"/>
      <c r="BI21" s="41"/>
      <c r="BJ21"/>
      <c r="BK21" s="27"/>
      <c r="BL21" s="41"/>
      <c r="BM21" s="27"/>
      <c r="BN21" s="41"/>
      <c r="BO21" s="27"/>
      <c r="BP21" s="41"/>
      <c r="BQ21" s="27"/>
      <c r="BR21" s="41"/>
      <c r="BT21" s="27"/>
      <c r="BU21" s="41"/>
      <c r="BV21" s="27"/>
      <c r="BW21" s="41"/>
    </row>
    <row r="22" spans="1:77" s="4" customFormat="1" ht="18" customHeight="1" x14ac:dyDescent="0.45">
      <c r="A22" s="561"/>
      <c r="B22" s="1196" t="s">
        <v>36</v>
      </c>
      <c r="C22" s="15"/>
      <c r="D22" s="16"/>
      <c r="E22" s="16"/>
      <c r="F22" s="359"/>
      <c r="G22" s="360"/>
      <c r="H22" s="359"/>
      <c r="I22" s="360"/>
      <c r="J22" s="359"/>
      <c r="K22" s="360"/>
      <c r="L22" s="359"/>
      <c r="M22" s="360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42"/>
      <c r="AG22" s="43"/>
      <c r="AH22" s="42"/>
      <c r="AI22" s="43"/>
      <c r="AJ22" s="42"/>
      <c r="AK22" s="43"/>
      <c r="AL22" s="42"/>
      <c r="AM22" s="43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42"/>
      <c r="BA22" s="43"/>
      <c r="BB22" s="42"/>
      <c r="BC22" s="43"/>
      <c r="BD22" s="42"/>
      <c r="BE22" s="43"/>
      <c r="BF22" s="42"/>
      <c r="BG22" s="43"/>
      <c r="BH22" s="42"/>
      <c r="BI22" s="43"/>
      <c r="BJ22"/>
      <c r="BK22" s="42"/>
      <c r="BL22" s="43"/>
      <c r="BM22" s="42"/>
      <c r="BN22" s="43"/>
      <c r="BO22" s="42"/>
      <c r="BP22" s="43"/>
      <c r="BQ22" s="42"/>
      <c r="BR22" s="43"/>
      <c r="BT22" s="42"/>
      <c r="BU22" s="43"/>
      <c r="BV22" s="42"/>
      <c r="BW22" s="43"/>
    </row>
    <row r="23" spans="1:77" s="49" customFormat="1" ht="18" customHeight="1" x14ac:dyDescent="0.45">
      <c r="A23" s="561"/>
      <c r="B23" s="1187"/>
      <c r="C23" s="44" t="s">
        <v>37</v>
      </c>
      <c r="D23" s="45"/>
      <c r="E23" s="46"/>
      <c r="F23" s="361">
        <f t="shared" ref="F23:BI23" si="121">F24/F20</f>
        <v>0.19334856250000002</v>
      </c>
      <c r="G23" s="362">
        <f t="shared" si="121"/>
        <v>0.19334856249999999</v>
      </c>
      <c r="H23" s="361">
        <f t="shared" si="121"/>
        <v>0.19334856250000002</v>
      </c>
      <c r="I23" s="362">
        <f t="shared" si="121"/>
        <v>0.19334856249999999</v>
      </c>
      <c r="J23" s="361">
        <v>0.19589147499999998</v>
      </c>
      <c r="K23" s="362">
        <v>0.19589147499999993</v>
      </c>
      <c r="L23" s="361">
        <v>0.19589147499999998</v>
      </c>
      <c r="M23" s="362">
        <v>0.19589147499999993</v>
      </c>
      <c r="N23" s="361">
        <f t="shared" ref="N23:AM23" si="122">N24/N20</f>
        <v>0.19589147499999998</v>
      </c>
      <c r="O23" s="362">
        <f t="shared" si="122"/>
        <v>0.19589147499999993</v>
      </c>
      <c r="P23" s="361">
        <f t="shared" si="122"/>
        <v>0.19589147499999998</v>
      </c>
      <c r="Q23" s="362">
        <f t="shared" si="122"/>
        <v>0.19589147499999993</v>
      </c>
      <c r="R23" s="361">
        <f t="shared" si="122"/>
        <v>0.19589147499999998</v>
      </c>
      <c r="S23" s="362">
        <f t="shared" si="122"/>
        <v>0.19589147499999993</v>
      </c>
      <c r="T23" s="361">
        <f t="shared" si="122"/>
        <v>0.19589147499999998</v>
      </c>
      <c r="U23" s="362">
        <f t="shared" si="122"/>
        <v>0.19589147499999993</v>
      </c>
      <c r="V23" s="361">
        <f t="shared" si="122"/>
        <v>0.19589147499999998</v>
      </c>
      <c r="W23" s="362">
        <f t="shared" si="122"/>
        <v>0.19589147499999993</v>
      </c>
      <c r="X23" s="361">
        <f t="shared" si="122"/>
        <v>0.35615384615384604</v>
      </c>
      <c r="Y23" s="362">
        <f t="shared" si="122"/>
        <v>0.3561538461538461</v>
      </c>
      <c r="Z23" s="361">
        <f t="shared" si="122"/>
        <v>0.35615384615384604</v>
      </c>
      <c r="AA23" s="362">
        <f t="shared" si="122"/>
        <v>0.3561538461538461</v>
      </c>
      <c r="AB23" s="361">
        <f t="shared" si="122"/>
        <v>0.25</v>
      </c>
      <c r="AC23" s="362">
        <f t="shared" si="122"/>
        <v>0.24999999999999997</v>
      </c>
      <c r="AD23" s="361">
        <f t="shared" si="122"/>
        <v>0.25</v>
      </c>
      <c r="AE23" s="362">
        <f t="shared" si="122"/>
        <v>0.24999999999999997</v>
      </c>
      <c r="AF23" s="47">
        <f t="shared" si="122"/>
        <v>0.25</v>
      </c>
      <c r="AG23" s="48">
        <f t="shared" si="122"/>
        <v>0.24999999999999997</v>
      </c>
      <c r="AH23" s="47">
        <f t="shared" si="122"/>
        <v>0.25</v>
      </c>
      <c r="AI23" s="48">
        <f t="shared" si="122"/>
        <v>0.24999999999999997</v>
      </c>
      <c r="AJ23" s="47">
        <f t="shared" si="122"/>
        <v>0.24062500000000001</v>
      </c>
      <c r="AK23" s="48">
        <f t="shared" si="122"/>
        <v>0.24062499999999995</v>
      </c>
      <c r="AL23" s="47">
        <f t="shared" si="122"/>
        <v>0.24062500000000001</v>
      </c>
      <c r="AM23" s="48">
        <f t="shared" si="122"/>
        <v>0.24062499999999995</v>
      </c>
      <c r="AN23" s="361">
        <f t="shared" si="121"/>
        <v>0.11121504854368928</v>
      </c>
      <c r="AO23" s="362">
        <f t="shared" si="121"/>
        <v>0.11121504854368941</v>
      </c>
      <c r="AP23" s="361">
        <f t="shared" si="121"/>
        <v>0.11121504854368928</v>
      </c>
      <c r="AQ23" s="362">
        <f t="shared" si="121"/>
        <v>0.11121504854368941</v>
      </c>
      <c r="AR23" s="361">
        <f t="shared" si="121"/>
        <v>0.11121504854368928</v>
      </c>
      <c r="AS23" s="362">
        <f t="shared" si="121"/>
        <v>0.11121504854368941</v>
      </c>
      <c r="AT23" s="361">
        <f>AT24/AT20</f>
        <v>0.11121504854368928</v>
      </c>
      <c r="AU23" s="362">
        <f>AU24/AU20</f>
        <v>0.11121504854368941</v>
      </c>
      <c r="AV23" s="361">
        <f t="shared" si="121"/>
        <v>0.11121504854368928</v>
      </c>
      <c r="AW23" s="362">
        <f t="shared" si="121"/>
        <v>0.11121504854368941</v>
      </c>
      <c r="AX23" s="361">
        <f t="shared" si="121"/>
        <v>0.11121504854368928</v>
      </c>
      <c r="AY23" s="362">
        <f t="shared" si="121"/>
        <v>0.11121504854368941</v>
      </c>
      <c r="AZ23" s="47">
        <f t="shared" si="121"/>
        <v>0.32</v>
      </c>
      <c r="BA23" s="48">
        <f t="shared" si="121"/>
        <v>0.3199999999999999</v>
      </c>
      <c r="BB23" s="47">
        <f t="shared" si="121"/>
        <v>0.18626800000000002</v>
      </c>
      <c r="BC23" s="48">
        <f t="shared" si="121"/>
        <v>0.18626799999999999</v>
      </c>
      <c r="BD23" s="47">
        <f t="shared" ref="BD23:BG23" si="123">BD24/BD20</f>
        <v>0.18626800000000002</v>
      </c>
      <c r="BE23" s="48">
        <f t="shared" si="123"/>
        <v>0.18626799999999999</v>
      </c>
      <c r="BF23" s="47">
        <f t="shared" si="123"/>
        <v>0.18626800000000002</v>
      </c>
      <c r="BG23" s="48">
        <f t="shared" si="123"/>
        <v>0.18626799999999999</v>
      </c>
      <c r="BH23" s="47">
        <f t="shared" si="121"/>
        <v>0.18626800000000002</v>
      </c>
      <c r="BI23" s="48">
        <f t="shared" si="121"/>
        <v>0.18626799999999999</v>
      </c>
      <c r="BJ23"/>
      <c r="BK23" s="47">
        <f t="shared" ref="BK23:BL23" si="124">BK24/BK20</f>
        <v>0.18626800000000002</v>
      </c>
      <c r="BL23" s="48">
        <f t="shared" si="124"/>
        <v>0.18626799999999999</v>
      </c>
      <c r="BM23" s="47">
        <f t="shared" ref="BM23:BR23" si="125">BM24/BM20</f>
        <v>0.18626800000000002</v>
      </c>
      <c r="BN23" s="48">
        <f t="shared" si="125"/>
        <v>0.18626799999999999</v>
      </c>
      <c r="BO23" s="47">
        <f t="shared" si="125"/>
        <v>0.18626800000000002</v>
      </c>
      <c r="BP23" s="48">
        <f t="shared" si="125"/>
        <v>0.18626799999999999</v>
      </c>
      <c r="BQ23" s="47">
        <f t="shared" si="125"/>
        <v>0.18626800000000002</v>
      </c>
      <c r="BR23" s="48">
        <f t="shared" si="125"/>
        <v>0.18626799999999999</v>
      </c>
      <c r="BT23" s="47">
        <f t="shared" ref="BT23:BW23" si="126">BT24/BT20</f>
        <v>0.31341362499999997</v>
      </c>
      <c r="BU23" s="48">
        <f t="shared" si="126"/>
        <v>0.31341362500000014</v>
      </c>
      <c r="BV23" s="47">
        <f t="shared" si="126"/>
        <v>0.31341362499999997</v>
      </c>
      <c r="BW23" s="48">
        <f t="shared" si="126"/>
        <v>0.31341362500000014</v>
      </c>
    </row>
    <row r="24" spans="1:77" s="4" customFormat="1" ht="18" customHeight="1" x14ac:dyDescent="0.45">
      <c r="A24" s="561"/>
      <c r="B24" s="1187"/>
      <c r="C24" s="15" t="s">
        <v>38</v>
      </c>
      <c r="D24" s="16"/>
      <c r="E24" s="35"/>
      <c r="F24" s="363">
        <f t="shared" ref="F24:BI24" si="127">F20-F26</f>
        <v>7733.942500000001</v>
      </c>
      <c r="G24" s="351">
        <f t="shared" si="127"/>
        <v>1.9008574075985702</v>
      </c>
      <c r="H24" s="363">
        <f t="shared" si="127"/>
        <v>7733.942500000001</v>
      </c>
      <c r="I24" s="351">
        <f t="shared" si="127"/>
        <v>1.9008574075985702</v>
      </c>
      <c r="J24" s="363">
        <v>7835.6589999999997</v>
      </c>
      <c r="K24" s="351">
        <v>1.9258574075985697</v>
      </c>
      <c r="L24" s="363">
        <v>7835.6589999999997</v>
      </c>
      <c r="M24" s="351">
        <v>1.9258574075985697</v>
      </c>
      <c r="N24" s="363">
        <f t="shared" ref="N24:AM24" si="128">N20-N26</f>
        <v>7835.6589999999997</v>
      </c>
      <c r="O24" s="351">
        <f t="shared" si="128"/>
        <v>1.9258574075985697</v>
      </c>
      <c r="P24" s="363">
        <f t="shared" si="128"/>
        <v>7835.6589999999997</v>
      </c>
      <c r="Q24" s="351">
        <f t="shared" si="128"/>
        <v>1.9258574075985697</v>
      </c>
      <c r="R24" s="363">
        <f t="shared" si="128"/>
        <v>7835.6589999999997</v>
      </c>
      <c r="S24" s="351">
        <f t="shared" si="128"/>
        <v>1.9258574075985697</v>
      </c>
      <c r="T24" s="363">
        <f t="shared" si="128"/>
        <v>7835.6589999999997</v>
      </c>
      <c r="U24" s="351">
        <f t="shared" si="128"/>
        <v>1.9258574075985697</v>
      </c>
      <c r="V24" s="363">
        <f t="shared" si="128"/>
        <v>7835.6589999999997</v>
      </c>
      <c r="W24" s="351">
        <f t="shared" si="128"/>
        <v>1.9258574075985697</v>
      </c>
      <c r="X24" s="363">
        <f t="shared" si="128"/>
        <v>13889.999999999996</v>
      </c>
      <c r="Y24" s="351">
        <f t="shared" si="128"/>
        <v>3.413900399640176</v>
      </c>
      <c r="Z24" s="363">
        <f t="shared" si="128"/>
        <v>13889.999999999996</v>
      </c>
      <c r="AA24" s="351">
        <f t="shared" si="128"/>
        <v>3.413900399640176</v>
      </c>
      <c r="AB24" s="363">
        <f t="shared" si="128"/>
        <v>6000</v>
      </c>
      <c r="AC24" s="351">
        <f t="shared" si="128"/>
        <v>1.4746869976847412</v>
      </c>
      <c r="AD24" s="363">
        <f t="shared" si="128"/>
        <v>6000</v>
      </c>
      <c r="AE24" s="351">
        <f t="shared" si="128"/>
        <v>1.4746869976847412</v>
      </c>
      <c r="AF24" s="50">
        <f t="shared" si="128"/>
        <v>6000</v>
      </c>
      <c r="AG24" s="24">
        <f t="shared" si="128"/>
        <v>1.4746869976847412</v>
      </c>
      <c r="AH24" s="50">
        <f t="shared" si="128"/>
        <v>6000</v>
      </c>
      <c r="AI24" s="24">
        <f t="shared" si="128"/>
        <v>1.4746869976847412</v>
      </c>
      <c r="AJ24" s="50">
        <f t="shared" si="128"/>
        <v>11550</v>
      </c>
      <c r="AK24" s="24">
        <f t="shared" si="128"/>
        <v>2.8387724705431268</v>
      </c>
      <c r="AL24" s="50">
        <f t="shared" si="128"/>
        <v>11550</v>
      </c>
      <c r="AM24" s="24">
        <f t="shared" si="128"/>
        <v>2.8387724705431268</v>
      </c>
      <c r="AN24" s="363">
        <f t="shared" si="127"/>
        <v>5338.3223300970858</v>
      </c>
      <c r="AO24" s="351">
        <f t="shared" si="127"/>
        <v>1.312059088274049</v>
      </c>
      <c r="AP24" s="363">
        <f t="shared" si="127"/>
        <v>5338.3223300970858</v>
      </c>
      <c r="AQ24" s="351">
        <f t="shared" si="127"/>
        <v>1.312059088274049</v>
      </c>
      <c r="AR24" s="363">
        <f t="shared" si="127"/>
        <v>5338.3223300970858</v>
      </c>
      <c r="AS24" s="351">
        <f t="shared" si="127"/>
        <v>1.312059088274049</v>
      </c>
      <c r="AT24" s="363">
        <f>AT20-AT26</f>
        <v>5338.3223300970858</v>
      </c>
      <c r="AU24" s="351">
        <f>AU20-AU26</f>
        <v>1.312059088274049</v>
      </c>
      <c r="AV24" s="363">
        <f t="shared" si="127"/>
        <v>5338.3223300970858</v>
      </c>
      <c r="AW24" s="351">
        <f t="shared" si="127"/>
        <v>1.312059088274049</v>
      </c>
      <c r="AX24" s="363">
        <f t="shared" si="127"/>
        <v>5338.3223300970858</v>
      </c>
      <c r="AY24" s="351">
        <f t="shared" si="127"/>
        <v>1.312059088274049</v>
      </c>
      <c r="AZ24" s="50">
        <f t="shared" si="127"/>
        <v>9600</v>
      </c>
      <c r="BA24" s="24">
        <f t="shared" si="127"/>
        <v>2.3594991962955856</v>
      </c>
      <c r="BB24" s="50">
        <f t="shared" si="127"/>
        <v>7450.7200000000012</v>
      </c>
      <c r="BC24" s="24">
        <f t="shared" si="127"/>
        <v>1.8312466512316092</v>
      </c>
      <c r="BD24" s="50">
        <f t="shared" ref="BD24:BG24" si="129">BD20-BD26</f>
        <v>7450.7200000000012</v>
      </c>
      <c r="BE24" s="24">
        <f t="shared" si="129"/>
        <v>1.8312466512316092</v>
      </c>
      <c r="BF24" s="50">
        <f t="shared" si="129"/>
        <v>7450.7200000000012</v>
      </c>
      <c r="BG24" s="24">
        <f t="shared" si="129"/>
        <v>1.8312466512316092</v>
      </c>
      <c r="BH24" s="50">
        <f t="shared" si="127"/>
        <v>7450.7200000000012</v>
      </c>
      <c r="BI24" s="24">
        <f t="shared" si="127"/>
        <v>1.8312466512316092</v>
      </c>
      <c r="BJ24"/>
      <c r="BK24" s="50">
        <f t="shared" ref="BK24:BL24" si="130">BK20-BK26</f>
        <v>7450.7200000000012</v>
      </c>
      <c r="BL24" s="24">
        <f t="shared" si="130"/>
        <v>1.8312466512316092</v>
      </c>
      <c r="BM24" s="50">
        <f t="shared" ref="BM24:BR24" si="131">BM20-BM26</f>
        <v>7450.7200000000012</v>
      </c>
      <c r="BN24" s="24">
        <f t="shared" si="131"/>
        <v>1.8312466512316092</v>
      </c>
      <c r="BO24" s="50">
        <f t="shared" si="131"/>
        <v>7450.7200000000012</v>
      </c>
      <c r="BP24" s="24">
        <f t="shared" si="131"/>
        <v>1.8312466512316092</v>
      </c>
      <c r="BQ24" s="50">
        <f t="shared" si="131"/>
        <v>7450.7200000000012</v>
      </c>
      <c r="BR24" s="24">
        <f t="shared" si="131"/>
        <v>1.8312466512316092</v>
      </c>
      <c r="BT24" s="50">
        <f t="shared" ref="BT24:BW24" si="132">BT20-BT26</f>
        <v>15043.853999999999</v>
      </c>
      <c r="BU24" s="24">
        <f t="shared" si="132"/>
        <v>3.6974959814779336</v>
      </c>
      <c r="BV24" s="50">
        <f t="shared" si="132"/>
        <v>15043.853999999999</v>
      </c>
      <c r="BW24" s="24">
        <f t="shared" si="132"/>
        <v>3.6974959814779336</v>
      </c>
    </row>
    <row r="25" spans="1:77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BW25" si="133">F26</f>
        <v>32266.057499999999</v>
      </c>
      <c r="G25" s="55">
        <f t="shared" si="133"/>
        <v>7.930389243633039</v>
      </c>
      <c r="H25" s="54">
        <f t="shared" si="133"/>
        <v>32266.057499999999</v>
      </c>
      <c r="I25" s="55">
        <f t="shared" si="133"/>
        <v>7.930389243633039</v>
      </c>
      <c r="J25" s="54">
        <v>32164.341</v>
      </c>
      <c r="K25" s="55">
        <v>7.9053892436330395</v>
      </c>
      <c r="L25" s="54">
        <v>32164.341</v>
      </c>
      <c r="M25" s="55">
        <v>7.9053892436330395</v>
      </c>
      <c r="N25" s="54">
        <v>32164.341</v>
      </c>
      <c r="O25" s="55">
        <v>7.9053892436330395</v>
      </c>
      <c r="P25" s="54">
        <v>32164.341</v>
      </c>
      <c r="Q25" s="55">
        <v>7.9053892436330395</v>
      </c>
      <c r="R25" s="54">
        <f t="shared" ref="R25:AM25" si="134">R26</f>
        <v>32164.341</v>
      </c>
      <c r="S25" s="55">
        <f t="shared" si="134"/>
        <v>7.9053892436330395</v>
      </c>
      <c r="T25" s="54">
        <f t="shared" si="134"/>
        <v>32164.341</v>
      </c>
      <c r="U25" s="55">
        <f t="shared" si="134"/>
        <v>7.9053892436330395</v>
      </c>
      <c r="V25" s="54">
        <f t="shared" si="134"/>
        <v>32164.341</v>
      </c>
      <c r="W25" s="55">
        <f t="shared" si="134"/>
        <v>7.9053892436330395</v>
      </c>
      <c r="X25" s="54">
        <f t="shared" si="134"/>
        <v>25110.000000000004</v>
      </c>
      <c r="Y25" s="55">
        <f t="shared" si="134"/>
        <v>6.1715650853106441</v>
      </c>
      <c r="Z25" s="54">
        <f t="shared" si="134"/>
        <v>25110.000000000004</v>
      </c>
      <c r="AA25" s="55">
        <f t="shared" si="134"/>
        <v>6.1715650853106441</v>
      </c>
      <c r="AB25" s="54">
        <f t="shared" si="134"/>
        <v>18000</v>
      </c>
      <c r="AC25" s="55">
        <f t="shared" si="134"/>
        <v>4.4240609930542245</v>
      </c>
      <c r="AD25" s="54">
        <f t="shared" si="134"/>
        <v>18000</v>
      </c>
      <c r="AE25" s="55">
        <f t="shared" si="134"/>
        <v>4.4240609930542245</v>
      </c>
      <c r="AF25" s="54">
        <f t="shared" si="134"/>
        <v>18000</v>
      </c>
      <c r="AG25" s="55">
        <f t="shared" si="134"/>
        <v>4.4240609930542245</v>
      </c>
      <c r="AH25" s="54">
        <f t="shared" si="134"/>
        <v>18000</v>
      </c>
      <c r="AI25" s="55">
        <f t="shared" si="134"/>
        <v>4.4240609930542245</v>
      </c>
      <c r="AJ25" s="54">
        <f t="shared" si="134"/>
        <v>36450</v>
      </c>
      <c r="AK25" s="55">
        <f t="shared" si="134"/>
        <v>8.9587235109348047</v>
      </c>
      <c r="AL25" s="54">
        <f t="shared" si="134"/>
        <v>36450</v>
      </c>
      <c r="AM25" s="55">
        <f t="shared" si="134"/>
        <v>8.9587235109348047</v>
      </c>
      <c r="AN25" s="54">
        <f t="shared" si="133"/>
        <v>42661.677669902914</v>
      </c>
      <c r="AO25" s="55">
        <f t="shared" si="133"/>
        <v>10.485436893203884</v>
      </c>
      <c r="AP25" s="54">
        <f t="shared" si="133"/>
        <v>42661.677669902914</v>
      </c>
      <c r="AQ25" s="55">
        <f t="shared" si="133"/>
        <v>10.485436893203884</v>
      </c>
      <c r="AR25" s="54">
        <f t="shared" si="133"/>
        <v>42661.677669902914</v>
      </c>
      <c r="AS25" s="55">
        <f t="shared" si="133"/>
        <v>10.485436893203884</v>
      </c>
      <c r="AT25" s="54">
        <f>AT26</f>
        <v>42661.677669902914</v>
      </c>
      <c r="AU25" s="55">
        <f>AU26</f>
        <v>10.485436893203884</v>
      </c>
      <c r="AV25" s="54">
        <f t="shared" si="133"/>
        <v>42661.677669902914</v>
      </c>
      <c r="AW25" s="55">
        <f t="shared" si="133"/>
        <v>10.485436893203884</v>
      </c>
      <c r="AX25" s="54">
        <f t="shared" si="133"/>
        <v>42661.677669902914</v>
      </c>
      <c r="AY25" s="55">
        <f t="shared" si="133"/>
        <v>10.485436893203884</v>
      </c>
      <c r="AZ25" s="54">
        <f t="shared" si="133"/>
        <v>20400</v>
      </c>
      <c r="BA25" s="55">
        <f t="shared" si="133"/>
        <v>5.0139357921281213</v>
      </c>
      <c r="BB25" s="54">
        <f t="shared" si="133"/>
        <v>32549.279999999999</v>
      </c>
      <c r="BC25" s="55">
        <f t="shared" si="133"/>
        <v>8</v>
      </c>
      <c r="BD25" s="54">
        <f t="shared" si="133"/>
        <v>32549.279999999999</v>
      </c>
      <c r="BE25" s="55">
        <f t="shared" si="133"/>
        <v>8</v>
      </c>
      <c r="BF25" s="54">
        <f t="shared" si="133"/>
        <v>32549.279999999999</v>
      </c>
      <c r="BG25" s="55">
        <f t="shared" si="133"/>
        <v>8</v>
      </c>
      <c r="BH25" s="54">
        <f t="shared" si="133"/>
        <v>32549.279999999999</v>
      </c>
      <c r="BI25" s="55">
        <f t="shared" si="133"/>
        <v>8</v>
      </c>
      <c r="BJ25"/>
      <c r="BK25" s="54">
        <f t="shared" si="133"/>
        <v>32549.279999999999</v>
      </c>
      <c r="BL25" s="55">
        <f t="shared" si="133"/>
        <v>8</v>
      </c>
      <c r="BM25" s="54">
        <f t="shared" si="133"/>
        <v>32549.279999999999</v>
      </c>
      <c r="BN25" s="55">
        <f t="shared" si="133"/>
        <v>8</v>
      </c>
      <c r="BO25" s="54">
        <f t="shared" si="133"/>
        <v>32549.279999999999</v>
      </c>
      <c r="BP25" s="55">
        <f t="shared" si="133"/>
        <v>8</v>
      </c>
      <c r="BQ25" s="54">
        <f t="shared" si="133"/>
        <v>32549.279999999999</v>
      </c>
      <c r="BR25" s="55">
        <f t="shared" si="133"/>
        <v>8</v>
      </c>
      <c r="BT25" s="54">
        <f t="shared" si="133"/>
        <v>32956.146000000001</v>
      </c>
      <c r="BU25" s="55">
        <v>8.1</v>
      </c>
      <c r="BV25" s="54">
        <f t="shared" si="133"/>
        <v>32956.146000000001</v>
      </c>
      <c r="BW25" s="55">
        <f t="shared" si="133"/>
        <v>8.1</v>
      </c>
      <c r="BY25" s="1174"/>
    </row>
    <row r="26" spans="1:77" s="4" customFormat="1" ht="18" customHeight="1" x14ac:dyDescent="0.45">
      <c r="A26" s="561"/>
      <c r="B26" s="1187"/>
      <c r="C26" s="56" t="s">
        <v>40</v>
      </c>
      <c r="D26" s="52"/>
      <c r="E26" s="53"/>
      <c r="F26" s="54">
        <v>32266.057499999999</v>
      </c>
      <c r="G26" s="57">
        <f t="shared" ref="G26" si="135">+F26/F12</f>
        <v>7.930389243633039</v>
      </c>
      <c r="H26" s="54">
        <v>32266.057499999999</v>
      </c>
      <c r="I26" s="57">
        <f t="shared" ref="I26" si="136">+H26/H12</f>
        <v>7.930389243633039</v>
      </c>
      <c r="J26" s="54">
        <v>32164.341</v>
      </c>
      <c r="K26" s="57">
        <v>7.9053892436330395</v>
      </c>
      <c r="L26" s="54">
        <v>32164.341</v>
      </c>
      <c r="M26" s="57">
        <v>7.9053892436330395</v>
      </c>
      <c r="N26" s="54">
        <v>32164.341</v>
      </c>
      <c r="O26" s="57">
        <v>7.9053892436330395</v>
      </c>
      <c r="P26" s="54">
        <v>32164.341</v>
      </c>
      <c r="Q26" s="57">
        <v>7.9053892436330395</v>
      </c>
      <c r="R26" s="54">
        <v>32164.341</v>
      </c>
      <c r="S26" s="57">
        <v>7.9053892436330395</v>
      </c>
      <c r="T26" s="54">
        <v>32164.341</v>
      </c>
      <c r="U26" s="57">
        <v>7.9053892436330395</v>
      </c>
      <c r="V26" s="54">
        <v>32164.341</v>
      </c>
      <c r="W26" s="57">
        <v>7.9053892436330395</v>
      </c>
      <c r="X26" s="54">
        <v>25110.000000000004</v>
      </c>
      <c r="Y26" s="57">
        <f t="shared" ref="Y26" si="137">+X26/X12</f>
        <v>6.1715650853106441</v>
      </c>
      <c r="Z26" s="54">
        <v>25110.000000000004</v>
      </c>
      <c r="AA26" s="57">
        <f t="shared" ref="AA26" si="138">+Z26/Z12</f>
        <v>6.1715650853106441</v>
      </c>
      <c r="AB26" s="54">
        <f>1500*12</f>
        <v>18000</v>
      </c>
      <c r="AC26" s="57">
        <f>+AB26/AB12</f>
        <v>4.4240609930542245</v>
      </c>
      <c r="AD26" s="54">
        <f>1500*12</f>
        <v>18000</v>
      </c>
      <c r="AE26" s="57">
        <f>+AD26/AD12</f>
        <v>4.4240609930542245</v>
      </c>
      <c r="AF26" s="54">
        <f>1500*12</f>
        <v>18000</v>
      </c>
      <c r="AG26" s="57">
        <f t="shared" ref="AG26" si="139">+AF26/AF12</f>
        <v>4.4240609930542245</v>
      </c>
      <c r="AH26" s="54">
        <f>1500*12</f>
        <v>18000</v>
      </c>
      <c r="AI26" s="57">
        <f t="shared" ref="AI26" si="140">+AH26/AH12</f>
        <v>4.4240609930542245</v>
      </c>
      <c r="AJ26" s="54">
        <v>36450</v>
      </c>
      <c r="AK26" s="57">
        <f t="shared" ref="AK26" si="141">+AJ26/AJ12</f>
        <v>8.9587235109348047</v>
      </c>
      <c r="AL26" s="54">
        <v>36450</v>
      </c>
      <c r="AM26" s="57">
        <f t="shared" ref="AM26" si="142">+AL26/AL12</f>
        <v>8.9587235109348047</v>
      </c>
      <c r="AN26" s="54">
        <f>AN12*(10.8*100/103)</f>
        <v>42661.677669902914</v>
      </c>
      <c r="AO26" s="57">
        <f>+AN26/AN12</f>
        <v>10.485436893203884</v>
      </c>
      <c r="AP26" s="54">
        <f>AP12*(10.8*100/103)</f>
        <v>42661.677669902914</v>
      </c>
      <c r="AQ26" s="57">
        <f>+AP26/AP12</f>
        <v>10.485436893203884</v>
      </c>
      <c r="AR26" s="54">
        <f>AR12*(10.8*100/103)</f>
        <v>42661.677669902914</v>
      </c>
      <c r="AS26" s="57">
        <f>+AR26/AR12</f>
        <v>10.485436893203884</v>
      </c>
      <c r="AT26" s="54">
        <f>AT12*(10.8*100/103)</f>
        <v>42661.677669902914</v>
      </c>
      <c r="AU26" s="57">
        <f>+AT26/AT12</f>
        <v>10.485436893203884</v>
      </c>
      <c r="AV26" s="54">
        <f>AV12*(10.8*100/103)</f>
        <v>42661.677669902914</v>
      </c>
      <c r="AW26" s="57">
        <f>+AV26/AV12</f>
        <v>10.485436893203884</v>
      </c>
      <c r="AX26" s="54">
        <f>AX12*(10.8*100/103)</f>
        <v>42661.677669902914</v>
      </c>
      <c r="AY26" s="57">
        <f>+AX26/AX12</f>
        <v>10.485436893203884</v>
      </c>
      <c r="AZ26" s="54">
        <f>1700*12</f>
        <v>20400</v>
      </c>
      <c r="BA26" s="57">
        <f t="shared" ref="BA26" si="143">+AZ26/AZ12</f>
        <v>5.0139357921281213</v>
      </c>
      <c r="BB26" s="54">
        <f>BC26*BB12</f>
        <v>32549.279999999999</v>
      </c>
      <c r="BC26" s="57">
        <v>8</v>
      </c>
      <c r="BD26" s="54">
        <f>BE26*BD12</f>
        <v>32549.279999999999</v>
      </c>
      <c r="BE26" s="57">
        <v>8</v>
      </c>
      <c r="BF26" s="54">
        <f>BG26*BF12</f>
        <v>32549.279999999999</v>
      </c>
      <c r="BG26" s="57">
        <v>8</v>
      </c>
      <c r="BH26" s="54">
        <f>BI26*BH12</f>
        <v>32549.279999999999</v>
      </c>
      <c r="BI26" s="57">
        <v>8</v>
      </c>
      <c r="BJ26"/>
      <c r="BK26" s="54">
        <f>BL26*BK12</f>
        <v>32549.279999999999</v>
      </c>
      <c r="BL26" s="57">
        <v>8</v>
      </c>
      <c r="BM26" s="54">
        <f>BN26*BM12</f>
        <v>32549.279999999999</v>
      </c>
      <c r="BN26" s="57">
        <v>8</v>
      </c>
      <c r="BO26" s="54">
        <f>BP26*BO12</f>
        <v>32549.279999999999</v>
      </c>
      <c r="BP26" s="57">
        <v>8</v>
      </c>
      <c r="BQ26" s="54">
        <f>BR26*BQ12</f>
        <v>32549.279999999999</v>
      </c>
      <c r="BR26" s="57">
        <v>8</v>
      </c>
      <c r="BT26" s="54">
        <f>BU26*BT12</f>
        <v>32956.146000000001</v>
      </c>
      <c r="BU26" s="55">
        <v>8.1</v>
      </c>
      <c r="BV26" s="54">
        <f>BW26*BV12</f>
        <v>32956.146000000001</v>
      </c>
      <c r="BW26" s="55">
        <v>8.1</v>
      </c>
    </row>
    <row r="27" spans="1:77" s="4" customFormat="1" ht="18" customHeight="1" x14ac:dyDescent="0.45">
      <c r="A27" s="561"/>
      <c r="B27" s="1189"/>
      <c r="C27" s="15"/>
      <c r="D27" s="16"/>
      <c r="E27" s="16"/>
      <c r="F27" s="359"/>
      <c r="G27" s="355"/>
      <c r="H27" s="359"/>
      <c r="I27" s="355"/>
      <c r="J27" s="359"/>
      <c r="K27" s="355"/>
      <c r="L27" s="359"/>
      <c r="M27" s="355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42"/>
      <c r="AG27" s="18"/>
      <c r="AH27" s="42"/>
      <c r="AI27" s="18"/>
      <c r="AJ27" s="42"/>
      <c r="AK27" s="18"/>
      <c r="AL27" s="42"/>
      <c r="AM27" s="18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42"/>
      <c r="BA27" s="18"/>
      <c r="BB27" s="42"/>
      <c r="BC27" s="18"/>
      <c r="BD27" s="42"/>
      <c r="BE27" s="18"/>
      <c r="BF27" s="42"/>
      <c r="BG27" s="18"/>
      <c r="BH27" s="42"/>
      <c r="BI27" s="18"/>
      <c r="BJ27"/>
      <c r="BK27" s="42"/>
      <c r="BL27" s="18"/>
      <c r="BM27" s="42"/>
      <c r="BN27" s="18"/>
      <c r="BO27" s="42"/>
      <c r="BP27" s="18"/>
      <c r="BQ27" s="42"/>
      <c r="BR27" s="18"/>
      <c r="BT27" s="42"/>
      <c r="BU27" s="18"/>
      <c r="BV27" s="42"/>
      <c r="BW27" s="18"/>
    </row>
    <row r="28" spans="1:77" s="4" customFormat="1" ht="18" customHeight="1" x14ac:dyDescent="0.45">
      <c r="A28" s="561"/>
      <c r="B28" s="1197" t="s">
        <v>41</v>
      </c>
      <c r="C28" s="58"/>
      <c r="D28" s="59"/>
      <c r="E28" s="59"/>
      <c r="F28" s="364"/>
      <c r="G28" s="360"/>
      <c r="H28" s="364"/>
      <c r="I28" s="360"/>
      <c r="J28" s="364"/>
      <c r="K28" s="360"/>
      <c r="L28" s="364"/>
      <c r="M28" s="360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60"/>
      <c r="AG28" s="43"/>
      <c r="AH28" s="60"/>
      <c r="AI28" s="43"/>
      <c r="AJ28" s="60"/>
      <c r="AK28" s="43"/>
      <c r="AL28" s="60"/>
      <c r="AM28" s="43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60"/>
      <c r="BA28" s="43"/>
      <c r="BB28" s="60"/>
      <c r="BC28" s="43"/>
      <c r="BD28" s="60"/>
      <c r="BE28" s="43"/>
      <c r="BF28" s="60"/>
      <c r="BG28" s="43"/>
      <c r="BH28" s="60"/>
      <c r="BI28" s="43"/>
      <c r="BJ28"/>
      <c r="BK28" s="60"/>
      <c r="BL28" s="43"/>
      <c r="BM28" s="60"/>
      <c r="BN28" s="43"/>
      <c r="BO28" s="60"/>
      <c r="BP28" s="43"/>
      <c r="BQ28" s="60"/>
      <c r="BR28" s="43"/>
      <c r="BT28" s="60"/>
      <c r="BU28" s="43"/>
      <c r="BV28" s="60"/>
      <c r="BW28" s="43"/>
    </row>
    <row r="29" spans="1:77" s="49" customFormat="1" ht="18" customHeight="1" x14ac:dyDescent="0.45">
      <c r="A29" s="561"/>
      <c r="B29" s="1194"/>
      <c r="C29" s="44" t="s">
        <v>42</v>
      </c>
      <c r="D29" s="45"/>
      <c r="E29" s="46"/>
      <c r="F29" s="361">
        <f t="shared" ref="F29:AM29" si="144">F30/F26</f>
        <v>6.7560289005062404E-2</v>
      </c>
      <c r="G29" s="362">
        <f t="shared" si="144"/>
        <v>6.7560289005062474E-2</v>
      </c>
      <c r="H29" s="361">
        <f t="shared" si="144"/>
        <v>6.7560289005062404E-2</v>
      </c>
      <c r="I29" s="362">
        <f t="shared" si="144"/>
        <v>6.7560289005062474E-2</v>
      </c>
      <c r="J29" s="361">
        <f t="shared" si="144"/>
        <v>7.1804444407090329E-2</v>
      </c>
      <c r="K29" s="362">
        <f t="shared" si="144"/>
        <v>7.180444440709037E-2</v>
      </c>
      <c r="L29" s="361">
        <f t="shared" si="144"/>
        <v>7.1804444407090329E-2</v>
      </c>
      <c r="M29" s="362">
        <f t="shared" si="144"/>
        <v>7.180444440709037E-2</v>
      </c>
      <c r="N29" s="361">
        <f t="shared" si="144"/>
        <v>7.1804444407090329E-2</v>
      </c>
      <c r="O29" s="362">
        <f t="shared" si="144"/>
        <v>7.180444440709037E-2</v>
      </c>
      <c r="P29" s="361">
        <f t="shared" si="144"/>
        <v>7.1804444407090329E-2</v>
      </c>
      <c r="Q29" s="362">
        <f t="shared" si="144"/>
        <v>7.180444440709037E-2</v>
      </c>
      <c r="R29" s="361">
        <f t="shared" si="144"/>
        <v>7.1804444407090329E-2</v>
      </c>
      <c r="S29" s="362">
        <f t="shared" si="144"/>
        <v>7.180444440709037E-2</v>
      </c>
      <c r="T29" s="361">
        <f t="shared" si="144"/>
        <v>7.1804444407090329E-2</v>
      </c>
      <c r="U29" s="362">
        <f t="shared" si="144"/>
        <v>7.180444440709037E-2</v>
      </c>
      <c r="V29" s="361">
        <f t="shared" si="144"/>
        <v>7.1804444407090329E-2</v>
      </c>
      <c r="W29" s="362">
        <f t="shared" si="144"/>
        <v>7.180444440709037E-2</v>
      </c>
      <c r="X29" s="361">
        <f t="shared" si="144"/>
        <v>2.7799283154122039E-2</v>
      </c>
      <c r="Y29" s="362">
        <f t="shared" si="144"/>
        <v>2.7799283154122063E-2</v>
      </c>
      <c r="Z29" s="361">
        <f t="shared" si="144"/>
        <v>2.7799283154122039E-2</v>
      </c>
      <c r="AA29" s="362">
        <f t="shared" si="144"/>
        <v>2.7799283154122063E-2</v>
      </c>
      <c r="AB29" s="361">
        <f t="shared" si="144"/>
        <v>0.10527152777777792</v>
      </c>
      <c r="AC29" s="362">
        <f t="shared" si="144"/>
        <v>0.1052715277777779</v>
      </c>
      <c r="AD29" s="361">
        <f t="shared" si="144"/>
        <v>0.10527152777777792</v>
      </c>
      <c r="AE29" s="362">
        <f t="shared" si="144"/>
        <v>0.1052715277777779</v>
      </c>
      <c r="AF29" s="47">
        <f t="shared" si="144"/>
        <v>0.10527152777777782</v>
      </c>
      <c r="AG29" s="48">
        <f t="shared" si="144"/>
        <v>0.1052715277777778</v>
      </c>
      <c r="AH29" s="47">
        <f t="shared" si="144"/>
        <v>0.10527152777777782</v>
      </c>
      <c r="AI29" s="48">
        <f t="shared" si="144"/>
        <v>0.1052715277777778</v>
      </c>
      <c r="AJ29" s="47">
        <f t="shared" si="144"/>
        <v>8.2139917695473047E-2</v>
      </c>
      <c r="AK29" s="48">
        <f t="shared" si="144"/>
        <v>8.2139917695473019E-2</v>
      </c>
      <c r="AL29" s="47">
        <f t="shared" si="144"/>
        <v>8.2139917695473047E-2</v>
      </c>
      <c r="AM29" s="48">
        <f t="shared" si="144"/>
        <v>8.2139917695473019E-2</v>
      </c>
      <c r="AN29" s="361"/>
      <c r="AO29" s="362"/>
      <c r="AP29" s="361"/>
      <c r="AQ29" s="362"/>
      <c r="AR29" s="361"/>
      <c r="AS29" s="362"/>
      <c r="AT29" s="361"/>
      <c r="AU29" s="362"/>
      <c r="AV29" s="361"/>
      <c r="AW29" s="362"/>
      <c r="AX29" s="361"/>
      <c r="AY29" s="362"/>
      <c r="AZ29" s="47">
        <f t="shared" ref="AZ29:BI29" si="145">AZ30/AZ26</f>
        <v>5.2640441176470668E-2</v>
      </c>
      <c r="BA29" s="48">
        <f t="shared" si="145"/>
        <v>5.2640441176470688E-2</v>
      </c>
      <c r="BB29" s="47">
        <f t="shared" si="145"/>
        <v>2.5000000000000001E-2</v>
      </c>
      <c r="BC29" s="48">
        <f t="shared" si="145"/>
        <v>2.5000000000000022E-2</v>
      </c>
      <c r="BD29" s="47">
        <f t="shared" ref="BD29:BG29" si="146">BD30/BD26</f>
        <v>2.5000000000000001E-2</v>
      </c>
      <c r="BE29" s="48">
        <f t="shared" si="146"/>
        <v>2.5000000000000022E-2</v>
      </c>
      <c r="BF29" s="47">
        <f t="shared" si="146"/>
        <v>2.5000000000000001E-2</v>
      </c>
      <c r="BG29" s="48">
        <f t="shared" si="146"/>
        <v>2.5000000000000022E-2</v>
      </c>
      <c r="BH29" s="47">
        <f t="shared" si="145"/>
        <v>2.5000000000000001E-2</v>
      </c>
      <c r="BI29" s="48">
        <f t="shared" si="145"/>
        <v>2.5000000000000022E-2</v>
      </c>
      <c r="BJ29"/>
      <c r="BK29" s="47">
        <f t="shared" ref="BK29:BL29" si="147">BK30/BK26</f>
        <v>2.5000000000000001E-2</v>
      </c>
      <c r="BL29" s="48">
        <f t="shared" si="147"/>
        <v>2.5000000000000022E-2</v>
      </c>
      <c r="BM29" s="47">
        <f t="shared" ref="BM29:BR29" si="148">BM30/BM26</f>
        <v>2.5000000000000001E-2</v>
      </c>
      <c r="BN29" s="48">
        <f t="shared" si="148"/>
        <v>2.5000000000000022E-2</v>
      </c>
      <c r="BO29" s="47">
        <f t="shared" si="148"/>
        <v>2.5000000000000001E-2</v>
      </c>
      <c r="BP29" s="48">
        <f t="shared" si="148"/>
        <v>2.5000000000000022E-2</v>
      </c>
      <c r="BQ29" s="47">
        <f t="shared" si="148"/>
        <v>2.5000000000000001E-2</v>
      </c>
      <c r="BR29" s="48">
        <f t="shared" si="148"/>
        <v>2.5000000000000022E-2</v>
      </c>
      <c r="BT29" s="47">
        <f t="shared" ref="BT29:BW29" si="149">BT30/BT26</f>
        <v>0</v>
      </c>
      <c r="BU29" s="48">
        <f t="shared" si="149"/>
        <v>0</v>
      </c>
      <c r="BV29" s="47">
        <f t="shared" si="149"/>
        <v>0</v>
      </c>
      <c r="BW29" s="48">
        <f t="shared" si="149"/>
        <v>0</v>
      </c>
    </row>
    <row r="30" spans="1:77" s="4" customFormat="1" ht="18" customHeight="1" x14ac:dyDescent="0.45">
      <c r="A30" s="561"/>
      <c r="B30" s="1194"/>
      <c r="C30" s="15" t="s">
        <v>43</v>
      </c>
      <c r="D30" s="16"/>
      <c r="E30" s="35"/>
      <c r="F30" s="363">
        <f t="shared" ref="F30:AM30" si="150">F26-F32</f>
        <v>2179.9041697539615</v>
      </c>
      <c r="G30" s="351">
        <f t="shared" si="150"/>
        <v>0.53577938922248691</v>
      </c>
      <c r="H30" s="363">
        <f t="shared" si="150"/>
        <v>2179.9041697539615</v>
      </c>
      <c r="I30" s="351">
        <f t="shared" si="150"/>
        <v>0.53577938922248691</v>
      </c>
      <c r="J30" s="363">
        <f t="shared" si="150"/>
        <v>2309.5426352251961</v>
      </c>
      <c r="K30" s="351">
        <f t="shared" si="150"/>
        <v>0.56764208246085879</v>
      </c>
      <c r="L30" s="363">
        <f t="shared" si="150"/>
        <v>2309.5426352251961</v>
      </c>
      <c r="M30" s="351">
        <f t="shared" si="150"/>
        <v>0.56764208246085879</v>
      </c>
      <c r="N30" s="363">
        <f t="shared" si="150"/>
        <v>2309.5426352251961</v>
      </c>
      <c r="O30" s="351">
        <f t="shared" si="150"/>
        <v>0.56764208246085879</v>
      </c>
      <c r="P30" s="363">
        <f t="shared" si="150"/>
        <v>2309.5426352251961</v>
      </c>
      <c r="Q30" s="351">
        <f t="shared" si="150"/>
        <v>0.56764208246085879</v>
      </c>
      <c r="R30" s="363">
        <f t="shared" si="150"/>
        <v>2309.5426352251961</v>
      </c>
      <c r="S30" s="351">
        <f t="shared" si="150"/>
        <v>0.56764208246085879</v>
      </c>
      <c r="T30" s="363">
        <f t="shared" si="150"/>
        <v>2309.5426352251961</v>
      </c>
      <c r="U30" s="351">
        <f t="shared" si="150"/>
        <v>0.56764208246085879</v>
      </c>
      <c r="V30" s="363">
        <f t="shared" si="150"/>
        <v>2309.5426352251961</v>
      </c>
      <c r="W30" s="351">
        <f t="shared" si="150"/>
        <v>0.56764208246085879</v>
      </c>
      <c r="X30" s="363">
        <f t="shared" si="150"/>
        <v>698.04000000000451</v>
      </c>
      <c r="Y30" s="351">
        <f t="shared" si="150"/>
        <v>0.17156508531064407</v>
      </c>
      <c r="Z30" s="363">
        <f t="shared" si="150"/>
        <v>698.04000000000451</v>
      </c>
      <c r="AA30" s="351">
        <f t="shared" si="150"/>
        <v>0.17156508531064407</v>
      </c>
      <c r="AB30" s="363">
        <f t="shared" si="150"/>
        <v>1894.8875000000025</v>
      </c>
      <c r="AC30" s="351">
        <f t="shared" si="150"/>
        <v>0.46572765972089147</v>
      </c>
      <c r="AD30" s="363">
        <f t="shared" si="150"/>
        <v>1894.8875000000025</v>
      </c>
      <c r="AE30" s="351">
        <f t="shared" si="150"/>
        <v>0.46572765972089147</v>
      </c>
      <c r="AF30" s="50">
        <f t="shared" si="150"/>
        <v>1894.8875000000007</v>
      </c>
      <c r="AG30" s="24">
        <f t="shared" si="150"/>
        <v>0.46572765972089103</v>
      </c>
      <c r="AH30" s="50">
        <f t="shared" si="150"/>
        <v>1894.8875000000007</v>
      </c>
      <c r="AI30" s="24">
        <f t="shared" si="150"/>
        <v>0.46572765972089103</v>
      </c>
      <c r="AJ30" s="50">
        <f t="shared" si="150"/>
        <v>2993.9999999999927</v>
      </c>
      <c r="AK30" s="24">
        <f t="shared" si="150"/>
        <v>0.73586881184468389</v>
      </c>
      <c r="AL30" s="50">
        <f t="shared" si="150"/>
        <v>2993.9999999999927</v>
      </c>
      <c r="AM30" s="24">
        <f t="shared" si="150"/>
        <v>0.73586881184468389</v>
      </c>
      <c r="AN30" s="363"/>
      <c r="AO30" s="351"/>
      <c r="AP30" s="363"/>
      <c r="AQ30" s="351"/>
      <c r="AR30" s="363"/>
      <c r="AS30" s="351"/>
      <c r="AT30" s="363"/>
      <c r="AU30" s="351"/>
      <c r="AV30" s="363"/>
      <c r="AW30" s="351"/>
      <c r="AX30" s="363"/>
      <c r="AY30" s="351"/>
      <c r="AZ30" s="50">
        <f t="shared" ref="AZ30:BI30" si="151">AZ26-AZ32</f>
        <v>1073.8650000000016</v>
      </c>
      <c r="BA30" s="24">
        <f t="shared" si="151"/>
        <v>0.26393579212812135</v>
      </c>
      <c r="BB30" s="50">
        <f t="shared" si="151"/>
        <v>813.73199999999997</v>
      </c>
      <c r="BC30" s="24">
        <f t="shared" si="151"/>
        <v>0.20000000000000018</v>
      </c>
      <c r="BD30" s="50">
        <f t="shared" ref="BD30:BG30" si="152">BD26-BD32</f>
        <v>813.73199999999997</v>
      </c>
      <c r="BE30" s="24">
        <f t="shared" si="152"/>
        <v>0.20000000000000018</v>
      </c>
      <c r="BF30" s="50">
        <f t="shared" si="152"/>
        <v>813.73199999999997</v>
      </c>
      <c r="BG30" s="24">
        <f t="shared" si="152"/>
        <v>0.20000000000000018</v>
      </c>
      <c r="BH30" s="50">
        <f t="shared" si="151"/>
        <v>813.73199999999997</v>
      </c>
      <c r="BI30" s="24">
        <f t="shared" si="151"/>
        <v>0.20000000000000018</v>
      </c>
      <c r="BJ30"/>
      <c r="BK30" s="50">
        <f t="shared" ref="BK30:BL30" si="153">BK26-BK32</f>
        <v>813.73199999999997</v>
      </c>
      <c r="BL30" s="24">
        <f t="shared" si="153"/>
        <v>0.20000000000000018</v>
      </c>
      <c r="BM30" s="50">
        <f t="shared" ref="BM30:BR30" si="154">BM26-BM32</f>
        <v>813.73199999999997</v>
      </c>
      <c r="BN30" s="24">
        <f t="shared" si="154"/>
        <v>0.20000000000000018</v>
      </c>
      <c r="BO30" s="50">
        <f t="shared" si="154"/>
        <v>813.73199999999997</v>
      </c>
      <c r="BP30" s="24">
        <f t="shared" si="154"/>
        <v>0.20000000000000018</v>
      </c>
      <c r="BQ30" s="50">
        <f t="shared" si="154"/>
        <v>813.73199999999997</v>
      </c>
      <c r="BR30" s="24">
        <f t="shared" si="154"/>
        <v>0.20000000000000018</v>
      </c>
      <c r="BT30" s="50">
        <f t="shared" ref="BT30:BW30" si="155">BT26-BT32</f>
        <v>0</v>
      </c>
      <c r="BU30" s="24">
        <f t="shared" si="155"/>
        <v>0</v>
      </c>
      <c r="BV30" s="50">
        <f t="shared" si="155"/>
        <v>0</v>
      </c>
      <c r="BW30" s="24">
        <f t="shared" si="155"/>
        <v>0</v>
      </c>
    </row>
    <row r="31" spans="1:77" s="4" customFormat="1" ht="18" customHeight="1" x14ac:dyDescent="0.45">
      <c r="A31" s="561"/>
      <c r="B31" s="1194"/>
      <c r="C31" s="51" t="s">
        <v>44</v>
      </c>
      <c r="D31" s="52"/>
      <c r="E31" s="53"/>
      <c r="F31" s="54">
        <f t="shared" ref="F31:H31" si="156">+F32</f>
        <v>30086.153330246038</v>
      </c>
      <c r="G31" s="55">
        <f t="shared" ref="G31:I31" si="157">G32</f>
        <v>7.3946098544105521</v>
      </c>
      <c r="H31" s="54">
        <f t="shared" si="156"/>
        <v>30086.153330246038</v>
      </c>
      <c r="I31" s="55">
        <f t="shared" si="157"/>
        <v>7.3946098544105521</v>
      </c>
      <c r="J31" s="54">
        <f t="shared" ref="J31" si="158">+J32</f>
        <v>29854.798364774804</v>
      </c>
      <c r="K31" s="55">
        <f t="shared" ref="K31" si="159">K32</f>
        <v>7.3377471611721807</v>
      </c>
      <c r="L31" s="54">
        <f t="shared" ref="L31" si="160">+L32</f>
        <v>29854.798364774804</v>
      </c>
      <c r="M31" s="55">
        <f t="shared" ref="M31" si="161">M32</f>
        <v>7.3377471611721807</v>
      </c>
      <c r="N31" s="54">
        <f t="shared" ref="N31" si="162">+N32</f>
        <v>29854.798364774804</v>
      </c>
      <c r="O31" s="55">
        <f t="shared" ref="O31" si="163">O32</f>
        <v>7.3377471611721807</v>
      </c>
      <c r="P31" s="54">
        <f t="shared" ref="P31" si="164">+P32</f>
        <v>29854.798364774804</v>
      </c>
      <c r="Q31" s="55">
        <f t="shared" ref="Q31" si="165">Q32</f>
        <v>7.3377471611721807</v>
      </c>
      <c r="R31" s="54">
        <f>+R32</f>
        <v>29854.798364774804</v>
      </c>
      <c r="S31" s="55">
        <f>S32</f>
        <v>7.3377471611721807</v>
      </c>
      <c r="T31" s="54">
        <f>+T32</f>
        <v>29854.798364774804</v>
      </c>
      <c r="U31" s="55">
        <f>U32</f>
        <v>7.3377471611721807</v>
      </c>
      <c r="V31" s="54">
        <f>+V32</f>
        <v>29854.798364774804</v>
      </c>
      <c r="W31" s="55">
        <f>W32</f>
        <v>7.3377471611721807</v>
      </c>
      <c r="X31" s="54">
        <f t="shared" ref="X31:Z31" si="166">+X32</f>
        <v>24411.96</v>
      </c>
      <c r="Y31" s="55">
        <f t="shared" ref="Y31:AA31" si="167">Y32</f>
        <v>6</v>
      </c>
      <c r="Z31" s="54">
        <f t="shared" si="166"/>
        <v>24411.96</v>
      </c>
      <c r="AA31" s="55">
        <f t="shared" si="167"/>
        <v>6</v>
      </c>
      <c r="AB31" s="54">
        <f>+AB32</f>
        <v>16105.112499999997</v>
      </c>
      <c r="AC31" s="55">
        <f>AC32</f>
        <v>3.958333333333333</v>
      </c>
      <c r="AD31" s="54">
        <f>+AD32</f>
        <v>16105.112499999997</v>
      </c>
      <c r="AE31" s="55">
        <f>AE32</f>
        <v>3.958333333333333</v>
      </c>
      <c r="AF31" s="54">
        <f t="shared" ref="AF31:AH31" si="168">+AF32</f>
        <v>16105.112499999999</v>
      </c>
      <c r="AG31" s="55">
        <f t="shared" ref="AG31:AI31" si="169">AG32</f>
        <v>3.9583333333333335</v>
      </c>
      <c r="AH31" s="54">
        <f t="shared" si="168"/>
        <v>16105.112499999999</v>
      </c>
      <c r="AI31" s="55">
        <f t="shared" si="169"/>
        <v>3.9583333333333335</v>
      </c>
      <c r="AJ31" s="54">
        <f t="shared" ref="AJ31:AL31" si="170">+AJ32</f>
        <v>33456.000000000007</v>
      </c>
      <c r="AK31" s="55">
        <f t="shared" ref="AK31:AM31" si="171">AK32</f>
        <v>8.2228546990901208</v>
      </c>
      <c r="AL31" s="54">
        <f t="shared" si="170"/>
        <v>33456.000000000007</v>
      </c>
      <c r="AM31" s="55">
        <f t="shared" si="171"/>
        <v>8.2228546990901208</v>
      </c>
      <c r="AN31" s="54"/>
      <c r="AO31" s="55"/>
      <c r="AP31" s="54"/>
      <c r="AQ31" s="55"/>
      <c r="AR31" s="54"/>
      <c r="AS31" s="55"/>
      <c r="AT31" s="54"/>
      <c r="AU31" s="55"/>
      <c r="AV31" s="54"/>
      <c r="AW31" s="55"/>
      <c r="AX31" s="54"/>
      <c r="AY31" s="55"/>
      <c r="AZ31" s="54">
        <f t="shared" ref="AZ31:BH31" si="172">+AZ32</f>
        <v>19326.134999999998</v>
      </c>
      <c r="BA31" s="55">
        <f t="shared" ref="BA31:BI31" si="173">BA32</f>
        <v>4.75</v>
      </c>
      <c r="BB31" s="54">
        <f t="shared" si="172"/>
        <v>31735.547999999999</v>
      </c>
      <c r="BC31" s="55">
        <v>7.8</v>
      </c>
      <c r="BD31" s="54">
        <f t="shared" si="172"/>
        <v>31735.547999999999</v>
      </c>
      <c r="BE31" s="55">
        <v>7.8</v>
      </c>
      <c r="BF31" s="54">
        <f t="shared" si="172"/>
        <v>31735.547999999999</v>
      </c>
      <c r="BG31" s="55">
        <v>7.8</v>
      </c>
      <c r="BH31" s="54">
        <f t="shared" si="172"/>
        <v>31735.547999999999</v>
      </c>
      <c r="BI31" s="55">
        <f t="shared" si="173"/>
        <v>7.8</v>
      </c>
      <c r="BJ31"/>
      <c r="BK31" s="54">
        <f t="shared" ref="BK31:BQ31" si="174">+BK32</f>
        <v>31735.547999999999</v>
      </c>
      <c r="BL31" s="55">
        <f t="shared" ref="BL31:BR31" si="175">BL32</f>
        <v>7.8</v>
      </c>
      <c r="BM31" s="54">
        <f t="shared" si="174"/>
        <v>31735.547999999999</v>
      </c>
      <c r="BN31" s="55">
        <f t="shared" si="175"/>
        <v>7.8</v>
      </c>
      <c r="BO31" s="54">
        <f t="shared" si="174"/>
        <v>31735.547999999999</v>
      </c>
      <c r="BP31" s="55">
        <f t="shared" si="175"/>
        <v>7.8</v>
      </c>
      <c r="BQ31" s="54">
        <f t="shared" si="174"/>
        <v>31735.547999999999</v>
      </c>
      <c r="BR31" s="55">
        <f t="shared" si="175"/>
        <v>7.8</v>
      </c>
      <c r="BT31" s="54">
        <f t="shared" ref="BT31:BV31" si="176">+BT32</f>
        <v>32956.146000000001</v>
      </c>
      <c r="BU31" s="55">
        <f t="shared" ref="BU31:BW31" si="177">BU32</f>
        <v>8.1</v>
      </c>
      <c r="BV31" s="54">
        <f t="shared" si="176"/>
        <v>32956.146000000001</v>
      </c>
      <c r="BW31" s="55">
        <f t="shared" si="177"/>
        <v>8.1</v>
      </c>
    </row>
    <row r="32" spans="1:77" s="4" customFormat="1" ht="18" customHeight="1" x14ac:dyDescent="0.45">
      <c r="A32" s="561"/>
      <c r="B32" s="1194"/>
      <c r="C32" s="56" t="s">
        <v>45</v>
      </c>
      <c r="D32" s="52"/>
      <c r="E32" s="53"/>
      <c r="F32" s="54">
        <f t="shared" ref="F32" si="178">G32*F12</f>
        <v>30086.153330246038</v>
      </c>
      <c r="G32" s="55">
        <v>7.3946098544105521</v>
      </c>
      <c r="H32" s="54">
        <f t="shared" ref="H32" si="179">I32*H12</f>
        <v>30086.153330246038</v>
      </c>
      <c r="I32" s="55">
        <v>7.3946098544105521</v>
      </c>
      <c r="J32" s="54">
        <f t="shared" ref="J32:L32" si="180">K32*J12</f>
        <v>29854.798364774804</v>
      </c>
      <c r="K32" s="55">
        <v>7.3377471611721807</v>
      </c>
      <c r="L32" s="54">
        <f t="shared" si="180"/>
        <v>29854.798364774804</v>
      </c>
      <c r="M32" s="55">
        <v>7.3377471611721807</v>
      </c>
      <c r="N32" s="54">
        <f t="shared" ref="N32" si="181">O32*N12</f>
        <v>29854.798364774804</v>
      </c>
      <c r="O32" s="55">
        <v>7.3377471611721807</v>
      </c>
      <c r="P32" s="54">
        <f t="shared" ref="P32:Q32" si="182">N32</f>
        <v>29854.798364774804</v>
      </c>
      <c r="Q32" s="55">
        <f t="shared" si="182"/>
        <v>7.3377471611721807</v>
      </c>
      <c r="R32" s="54">
        <f>S32*R12</f>
        <v>29854.798364774804</v>
      </c>
      <c r="S32" s="55">
        <v>7.3377471611721807</v>
      </c>
      <c r="T32" s="54">
        <f>U32*T12</f>
        <v>29854.798364774804</v>
      </c>
      <c r="U32" s="55">
        <v>7.3377471611721807</v>
      </c>
      <c r="V32" s="54">
        <f>W32*V12</f>
        <v>29854.798364774804</v>
      </c>
      <c r="W32" s="55">
        <v>7.3377471611721807</v>
      </c>
      <c r="X32" s="54">
        <f t="shared" ref="X32" si="183">Y32*X12</f>
        <v>24411.96</v>
      </c>
      <c r="Y32" s="55">
        <v>6</v>
      </c>
      <c r="Z32" s="54">
        <f t="shared" ref="Z32" si="184">AA32*Z12</f>
        <v>24411.96</v>
      </c>
      <c r="AA32" s="55">
        <v>6</v>
      </c>
      <c r="AB32" s="54">
        <f>AB12*4.75*5/6</f>
        <v>16105.112499999997</v>
      </c>
      <c r="AC32" s="55">
        <f>+AB32/AB12</f>
        <v>3.958333333333333</v>
      </c>
      <c r="AD32" s="54">
        <f>AD12*4.75*5/6</f>
        <v>16105.112499999997</v>
      </c>
      <c r="AE32" s="55">
        <f>+AD32/AD12</f>
        <v>3.958333333333333</v>
      </c>
      <c r="AF32" s="54">
        <f t="shared" ref="AF32" si="185">AG32*AF12</f>
        <v>16105.112499999999</v>
      </c>
      <c r="AG32" s="55">
        <f>4.75*5/6</f>
        <v>3.9583333333333335</v>
      </c>
      <c r="AH32" s="54">
        <f t="shared" ref="AH32" si="186">AI32*AH12</f>
        <v>16105.112499999999</v>
      </c>
      <c r="AI32" s="55">
        <f>4.75*5/6</f>
        <v>3.9583333333333335</v>
      </c>
      <c r="AJ32" s="54">
        <v>33456.000000000007</v>
      </c>
      <c r="AK32" s="55">
        <f t="shared" ref="AK32" si="187">+AJ32/AJ12</f>
        <v>8.2228546990901208</v>
      </c>
      <c r="AL32" s="54">
        <v>33456.000000000007</v>
      </c>
      <c r="AM32" s="55">
        <f t="shared" ref="AM32" si="188">+AL32/AL12</f>
        <v>8.2228546990901208</v>
      </c>
      <c r="AN32" s="54"/>
      <c r="AO32" s="55"/>
      <c r="AP32" s="54"/>
      <c r="AQ32" s="55"/>
      <c r="AR32" s="54"/>
      <c r="AS32" s="55"/>
      <c r="AT32" s="54"/>
      <c r="AU32" s="55"/>
      <c r="AV32" s="54"/>
      <c r="AW32" s="55"/>
      <c r="AX32" s="54"/>
      <c r="AY32" s="55"/>
      <c r="AZ32" s="54">
        <f t="shared" ref="AZ32" si="189">BA32*AZ12</f>
        <v>19326.134999999998</v>
      </c>
      <c r="BA32" s="55">
        <v>4.75</v>
      </c>
      <c r="BB32" s="54">
        <f t="shared" ref="BB32" si="190">BC32*BB12</f>
        <v>31735.547999999999</v>
      </c>
      <c r="BC32" s="55">
        <v>7.8</v>
      </c>
      <c r="BD32" s="54">
        <f t="shared" ref="BD32" si="191">BE32*BD12</f>
        <v>31735.547999999999</v>
      </c>
      <c r="BE32" s="55">
        <v>7.8</v>
      </c>
      <c r="BF32" s="54">
        <f t="shared" ref="BF32" si="192">BG32*BF12</f>
        <v>31735.547999999999</v>
      </c>
      <c r="BG32" s="55">
        <v>7.8</v>
      </c>
      <c r="BH32" s="54">
        <f t="shared" ref="BH32" si="193">BI32*BH12</f>
        <v>31735.547999999999</v>
      </c>
      <c r="BI32" s="55">
        <v>7.8</v>
      </c>
      <c r="BJ32"/>
      <c r="BK32" s="54">
        <f t="shared" ref="BK32" si="194">BL32*BK12</f>
        <v>31735.547999999999</v>
      </c>
      <c r="BL32" s="55">
        <v>7.8</v>
      </c>
      <c r="BM32" s="54">
        <f t="shared" ref="BM32" si="195">BN32*BM12</f>
        <v>31735.547999999999</v>
      </c>
      <c r="BN32" s="55">
        <v>7.8</v>
      </c>
      <c r="BO32" s="54">
        <f t="shared" ref="BO32" si="196">BP32*BO12</f>
        <v>31735.547999999999</v>
      </c>
      <c r="BP32" s="55">
        <v>7.8</v>
      </c>
      <c r="BQ32" s="54">
        <f t="shared" ref="BQ32" si="197">BR32*BQ12</f>
        <v>31735.547999999999</v>
      </c>
      <c r="BR32" s="55">
        <v>7.8</v>
      </c>
      <c r="BT32" s="54">
        <f t="shared" ref="BT32" si="198">BU32*BT12</f>
        <v>32956.146000000001</v>
      </c>
      <c r="BU32" s="55">
        <v>8.1</v>
      </c>
      <c r="BV32" s="54">
        <f t="shared" ref="BV32" si="199">BW32*BV12</f>
        <v>32956.146000000001</v>
      </c>
      <c r="BW32" s="55">
        <v>8.1</v>
      </c>
    </row>
    <row r="33" spans="1:75" s="4" customFormat="1" ht="18" customHeight="1" x14ac:dyDescent="0.45">
      <c r="A33" s="561"/>
      <c r="B33" s="1195"/>
      <c r="C33" s="25"/>
      <c r="D33" s="26"/>
      <c r="E33" s="26"/>
      <c r="F33" s="553"/>
      <c r="G33" s="358"/>
      <c r="H33" s="553"/>
      <c r="I33" s="358"/>
      <c r="J33" s="365"/>
      <c r="K33" s="358"/>
      <c r="L33" s="365"/>
      <c r="M33" s="358"/>
      <c r="N33" s="365"/>
      <c r="O33" s="358"/>
      <c r="P33" s="365"/>
      <c r="Q33" s="358"/>
      <c r="R33" s="365"/>
      <c r="S33" s="358"/>
      <c r="T33" s="365"/>
      <c r="U33" s="358"/>
      <c r="V33" s="365"/>
      <c r="W33" s="358"/>
      <c r="X33" s="365"/>
      <c r="Y33" s="358"/>
      <c r="Z33" s="365"/>
      <c r="AA33" s="358"/>
      <c r="AB33" s="365"/>
      <c r="AC33" s="358"/>
      <c r="AD33" s="365"/>
      <c r="AE33" s="358"/>
      <c r="AF33" s="61"/>
      <c r="AG33" s="41"/>
      <c r="AH33" s="61"/>
      <c r="AI33" s="41"/>
      <c r="AJ33" s="61"/>
      <c r="AK33" s="41"/>
      <c r="AL33" s="61"/>
      <c r="AM33" s="41"/>
      <c r="AN33" s="365"/>
      <c r="AO33" s="358"/>
      <c r="AP33" s="365"/>
      <c r="AQ33" s="358"/>
      <c r="AR33" s="365"/>
      <c r="AS33" s="358"/>
      <c r="AT33" s="365"/>
      <c r="AU33" s="358"/>
      <c r="AV33" s="365"/>
      <c r="AW33" s="358"/>
      <c r="AX33" s="365"/>
      <c r="AY33" s="358"/>
      <c r="AZ33" s="61"/>
      <c r="BA33" s="41"/>
      <c r="BB33" s="61"/>
      <c r="BC33" s="41"/>
      <c r="BD33" s="61"/>
      <c r="BE33" s="41"/>
      <c r="BF33" s="61"/>
      <c r="BG33" s="41"/>
      <c r="BH33" s="61"/>
      <c r="BI33" s="41"/>
      <c r="BJ33"/>
      <c r="BK33" s="61"/>
      <c r="BL33" s="41"/>
      <c r="BM33" s="61"/>
      <c r="BN33" s="41"/>
      <c r="BO33" s="61"/>
      <c r="BP33" s="41"/>
      <c r="BQ33" s="61"/>
      <c r="BR33" s="41"/>
      <c r="BT33" s="61"/>
      <c r="BU33" s="41"/>
      <c r="BV33" s="61"/>
      <c r="BW33" s="41"/>
    </row>
    <row r="34" spans="1:75" s="4" customFormat="1" ht="18" customHeight="1" x14ac:dyDescent="0.45">
      <c r="A34" s="561"/>
      <c r="B34" s="1175"/>
      <c r="C34" s="15"/>
      <c r="D34" s="16"/>
      <c r="E34" s="16"/>
      <c r="F34" s="1020"/>
      <c r="G34" s="355"/>
      <c r="H34" s="1020"/>
      <c r="I34" s="355"/>
      <c r="J34" s="359"/>
      <c r="K34" s="355"/>
      <c r="L34" s="359"/>
      <c r="M34" s="355"/>
      <c r="N34" s="359"/>
      <c r="O34" s="355"/>
      <c r="P34" s="359"/>
      <c r="Q34" s="355"/>
      <c r="R34" s="359"/>
      <c r="S34" s="355"/>
      <c r="T34" s="359"/>
      <c r="U34" s="355"/>
      <c r="V34" s="359"/>
      <c r="W34" s="355"/>
      <c r="X34" s="359"/>
      <c r="Y34" s="355"/>
      <c r="Z34" s="359"/>
      <c r="AA34" s="355"/>
      <c r="AB34" s="359"/>
      <c r="AC34" s="355"/>
      <c r="AD34" s="359"/>
      <c r="AE34" s="355"/>
      <c r="AF34" s="42"/>
      <c r="AG34" s="18"/>
      <c r="AH34" s="42"/>
      <c r="AI34" s="18"/>
      <c r="AJ34" s="42"/>
      <c r="AK34" s="18"/>
      <c r="AL34" s="42"/>
      <c r="AM34" s="18"/>
      <c r="AN34" s="359"/>
      <c r="AO34" s="355"/>
      <c r="AP34" s="359"/>
      <c r="AQ34" s="355"/>
      <c r="AR34" s="359"/>
      <c r="AS34" s="355"/>
      <c r="AT34" s="359"/>
      <c r="AU34" s="355"/>
      <c r="AV34" s="359"/>
      <c r="AW34" s="355"/>
      <c r="AX34" s="359"/>
      <c r="AY34" s="355"/>
      <c r="AZ34" s="42"/>
      <c r="BA34" s="18"/>
      <c r="BB34" s="42"/>
      <c r="BC34" s="18"/>
      <c r="BD34" s="42"/>
      <c r="BE34" s="18"/>
      <c r="BF34" s="42"/>
      <c r="BG34" s="18"/>
      <c r="BH34" s="42"/>
      <c r="BI34" s="18"/>
      <c r="BJ34"/>
      <c r="BK34" s="42"/>
      <c r="BL34" s="18"/>
      <c r="BM34" s="42"/>
      <c r="BN34" s="18"/>
      <c r="BO34" s="42"/>
      <c r="BP34" s="18"/>
      <c r="BQ34" s="42"/>
      <c r="BR34" s="18"/>
      <c r="BT34" s="42"/>
      <c r="BU34" s="18"/>
      <c r="BV34" s="42"/>
      <c r="BW34" s="18"/>
    </row>
    <row r="35" spans="1:75" s="4" customFormat="1" ht="18" customHeight="1" x14ac:dyDescent="0.45">
      <c r="A35" s="561"/>
      <c r="B35" s="1175"/>
      <c r="C35" s="15"/>
      <c r="D35" s="16"/>
      <c r="E35" s="16"/>
      <c r="F35" s="1020"/>
      <c r="G35" s="355"/>
      <c r="H35" s="1020"/>
      <c r="I35" s="355"/>
      <c r="J35" s="359"/>
      <c r="K35" s="355"/>
      <c r="L35" s="359"/>
      <c r="M35" s="355"/>
      <c r="N35" s="359"/>
      <c r="O35" s="355"/>
      <c r="P35" s="359"/>
      <c r="Q35" s="355"/>
      <c r="R35" s="359"/>
      <c r="S35" s="355"/>
      <c r="T35" s="359"/>
      <c r="U35" s="355"/>
      <c r="V35" s="359"/>
      <c r="W35" s="355"/>
      <c r="X35" s="359"/>
      <c r="Y35" s="355"/>
      <c r="Z35" s="359"/>
      <c r="AA35" s="355"/>
      <c r="AB35" s="359"/>
      <c r="AC35" s="355"/>
      <c r="AD35" s="359"/>
      <c r="AE35" s="355"/>
      <c r="AF35" s="42"/>
      <c r="AG35" s="18"/>
      <c r="AH35" s="42"/>
      <c r="AI35" s="18"/>
      <c r="AJ35" s="42"/>
      <c r="AK35" s="18"/>
      <c r="AL35" s="42"/>
      <c r="AM35" s="18"/>
      <c r="AN35" s="359"/>
      <c r="AO35" s="355"/>
      <c r="AP35" s="359"/>
      <c r="AQ35" s="355"/>
      <c r="AR35" s="359"/>
      <c r="AS35" s="355"/>
      <c r="AT35" s="359"/>
      <c r="AU35" s="355"/>
      <c r="AV35" s="359"/>
      <c r="AW35" s="355"/>
      <c r="AX35" s="359"/>
      <c r="AY35" s="355"/>
      <c r="AZ35" s="42"/>
      <c r="BA35" s="18"/>
      <c r="BB35" s="42"/>
      <c r="BC35" s="18"/>
      <c r="BD35" s="42"/>
      <c r="BE35" s="18"/>
      <c r="BF35" s="42"/>
      <c r="BG35" s="18"/>
      <c r="BH35" s="42"/>
      <c r="BI35" s="18"/>
      <c r="BJ35"/>
      <c r="BK35" s="42"/>
      <c r="BL35" s="18"/>
      <c r="BM35" s="42"/>
      <c r="BN35" s="18"/>
      <c r="BO35" s="42"/>
      <c r="BP35" s="18"/>
      <c r="BQ35" s="42"/>
      <c r="BR35" s="18"/>
      <c r="BT35" s="42"/>
      <c r="BU35" s="18"/>
      <c r="BV35" s="42"/>
      <c r="BW35" s="18"/>
    </row>
    <row r="36" spans="1:75" s="4" customFormat="1" ht="18" customHeight="1" x14ac:dyDescent="0.45">
      <c r="A36" s="561"/>
      <c r="B36" s="1175"/>
      <c r="C36" s="15"/>
      <c r="D36" s="16"/>
      <c r="E36" s="16"/>
      <c r="F36" s="1020"/>
      <c r="G36" s="355"/>
      <c r="H36" s="1020"/>
      <c r="I36" s="355"/>
      <c r="J36" s="359"/>
      <c r="K36" s="355"/>
      <c r="L36" s="359"/>
      <c r="M36" s="355"/>
      <c r="N36" s="359"/>
      <c r="O36" s="355"/>
      <c r="P36" s="359"/>
      <c r="Q36" s="355"/>
      <c r="R36" s="359"/>
      <c r="S36" s="355"/>
      <c r="T36" s="359"/>
      <c r="U36" s="355"/>
      <c r="V36" s="359"/>
      <c r="W36" s="355"/>
      <c r="X36" s="359"/>
      <c r="Y36" s="355"/>
      <c r="Z36" s="359"/>
      <c r="AA36" s="355"/>
      <c r="AB36" s="359"/>
      <c r="AC36" s="355"/>
      <c r="AD36" s="359"/>
      <c r="AE36" s="355"/>
      <c r="AF36" s="42"/>
      <c r="AG36" s="18"/>
      <c r="AH36" s="42"/>
      <c r="AI36" s="18"/>
      <c r="AJ36" s="42"/>
      <c r="AK36" s="18"/>
      <c r="AL36" s="42"/>
      <c r="AM36" s="18"/>
      <c r="AN36" s="359"/>
      <c r="AO36" s="355"/>
      <c r="AP36" s="359"/>
      <c r="AQ36" s="355"/>
      <c r="AR36" s="359"/>
      <c r="AS36" s="355"/>
      <c r="AT36" s="359"/>
      <c r="AU36" s="355"/>
      <c r="AV36" s="359"/>
      <c r="AW36" s="355"/>
      <c r="AX36" s="359"/>
      <c r="AY36" s="355"/>
      <c r="AZ36" s="42"/>
      <c r="BA36" s="18"/>
      <c r="BB36" s="42"/>
      <c r="BC36" s="18"/>
      <c r="BD36" s="42"/>
      <c r="BE36" s="18"/>
      <c r="BF36" s="42"/>
      <c r="BG36" s="18"/>
      <c r="BH36" s="42"/>
      <c r="BI36" s="18"/>
      <c r="BJ36"/>
      <c r="BK36" s="42"/>
      <c r="BL36" s="18"/>
      <c r="BM36" s="42"/>
      <c r="BN36" s="18"/>
      <c r="BO36" s="42"/>
      <c r="BP36" s="18"/>
      <c r="BQ36" s="42"/>
      <c r="BR36" s="18"/>
      <c r="BT36" s="42"/>
      <c r="BU36" s="18"/>
      <c r="BV36" s="42"/>
      <c r="BW36" s="18"/>
    </row>
    <row r="37" spans="1:75" s="4" customFormat="1" ht="18" customHeight="1" x14ac:dyDescent="0.45">
      <c r="A37" s="561"/>
      <c r="B37" s="1175"/>
      <c r="C37" s="15"/>
      <c r="D37" s="16"/>
      <c r="E37" s="16"/>
      <c r="F37" s="1020"/>
      <c r="G37" s="355"/>
      <c r="H37" s="1020"/>
      <c r="I37" s="355"/>
      <c r="J37" s="359"/>
      <c r="K37" s="355"/>
      <c r="L37" s="359"/>
      <c r="M37" s="355"/>
      <c r="N37" s="359"/>
      <c r="O37" s="355"/>
      <c r="P37" s="359"/>
      <c r="Q37" s="355"/>
      <c r="R37" s="359"/>
      <c r="S37" s="355"/>
      <c r="T37" s="359"/>
      <c r="U37" s="355"/>
      <c r="V37" s="359"/>
      <c r="W37" s="355"/>
      <c r="X37" s="359"/>
      <c r="Y37" s="355"/>
      <c r="Z37" s="359"/>
      <c r="AA37" s="355"/>
      <c r="AB37" s="359"/>
      <c r="AC37" s="355"/>
      <c r="AD37" s="359"/>
      <c r="AE37" s="355"/>
      <c r="AF37" s="42"/>
      <c r="AG37" s="18"/>
      <c r="AH37" s="42"/>
      <c r="AI37" s="18"/>
      <c r="AJ37" s="42"/>
      <c r="AK37" s="18"/>
      <c r="AL37" s="42"/>
      <c r="AM37" s="18"/>
      <c r="AN37" s="359"/>
      <c r="AO37" s="355"/>
      <c r="AP37" s="359"/>
      <c r="AQ37" s="355"/>
      <c r="AR37" s="359"/>
      <c r="AS37" s="355"/>
      <c r="AT37" s="359"/>
      <c r="AU37" s="355"/>
      <c r="AV37" s="359"/>
      <c r="AW37" s="355"/>
      <c r="AX37" s="359"/>
      <c r="AY37" s="355"/>
      <c r="AZ37" s="42"/>
      <c r="BA37" s="18"/>
      <c r="BB37" s="42"/>
      <c r="BC37" s="18"/>
      <c r="BD37" s="42"/>
      <c r="BE37" s="18"/>
      <c r="BF37" s="42"/>
      <c r="BG37" s="18"/>
      <c r="BH37" s="42"/>
      <c r="BI37" s="18"/>
      <c r="BJ37"/>
      <c r="BK37" s="42"/>
      <c r="BL37" s="18"/>
      <c r="BM37" s="42"/>
      <c r="BN37" s="18"/>
      <c r="BO37" s="42"/>
      <c r="BP37" s="18"/>
      <c r="BQ37" s="42"/>
      <c r="BR37" s="18"/>
      <c r="BT37" s="42"/>
      <c r="BU37" s="18"/>
      <c r="BV37" s="42"/>
      <c r="BW37" s="18"/>
    </row>
    <row r="38" spans="1:75" s="4" customFormat="1" ht="18" customHeight="1" x14ac:dyDescent="0.45">
      <c r="A38" s="561"/>
      <c r="B38" s="1175"/>
      <c r="C38" s="15"/>
      <c r="D38" s="16"/>
      <c r="E38" s="16"/>
      <c r="F38" s="1020"/>
      <c r="G38" s="355"/>
      <c r="H38" s="1020"/>
      <c r="I38" s="355"/>
      <c r="J38" s="359"/>
      <c r="K38" s="355"/>
      <c r="L38" s="359"/>
      <c r="M38" s="355"/>
      <c r="N38" s="359"/>
      <c r="O38" s="355"/>
      <c r="P38" s="359"/>
      <c r="Q38" s="355"/>
      <c r="R38" s="359"/>
      <c r="S38" s="355"/>
      <c r="T38" s="359"/>
      <c r="U38" s="355"/>
      <c r="V38" s="359"/>
      <c r="W38" s="355"/>
      <c r="X38" s="359"/>
      <c r="Y38" s="355"/>
      <c r="Z38" s="359"/>
      <c r="AA38" s="355"/>
      <c r="AB38" s="359"/>
      <c r="AC38" s="355"/>
      <c r="AD38" s="359"/>
      <c r="AE38" s="355"/>
      <c r="AF38" s="42"/>
      <c r="AG38" s="18"/>
      <c r="AH38" s="42"/>
      <c r="AI38" s="18"/>
      <c r="AJ38" s="42"/>
      <c r="AK38" s="18"/>
      <c r="AL38" s="42"/>
      <c r="AM38" s="18"/>
      <c r="AN38" s="359"/>
      <c r="AO38" s="355"/>
      <c r="AP38" s="359"/>
      <c r="AQ38" s="355"/>
      <c r="AR38" s="359"/>
      <c r="AS38" s="355"/>
      <c r="AT38" s="359"/>
      <c r="AU38" s="355"/>
      <c r="AV38" s="359"/>
      <c r="AW38" s="355"/>
      <c r="AX38" s="359"/>
      <c r="AY38" s="355"/>
      <c r="AZ38" s="42"/>
      <c r="BA38" s="18"/>
      <c r="BB38" s="42"/>
      <c r="BC38" s="18"/>
      <c r="BD38" s="42"/>
      <c r="BE38" s="18"/>
      <c r="BF38" s="42"/>
      <c r="BG38" s="18"/>
      <c r="BH38" s="42"/>
      <c r="BI38" s="18"/>
      <c r="BJ38"/>
      <c r="BK38" s="42"/>
      <c r="BL38" s="18"/>
      <c r="BM38" s="42"/>
      <c r="BN38" s="18"/>
      <c r="BO38" s="42"/>
      <c r="BP38" s="18"/>
      <c r="BQ38" s="42"/>
      <c r="BR38" s="18"/>
      <c r="BT38" s="42"/>
      <c r="BU38" s="18"/>
      <c r="BV38" s="42"/>
      <c r="BW38" s="18"/>
    </row>
    <row r="39" spans="1:75" s="4" customFormat="1" ht="18" customHeight="1" x14ac:dyDescent="0.45">
      <c r="A39" s="561"/>
      <c r="B39" s="1175"/>
      <c r="C39" s="15"/>
      <c r="D39" s="16"/>
      <c r="E39" s="16"/>
      <c r="F39" s="1020"/>
      <c r="G39" s="355"/>
      <c r="H39" s="1020"/>
      <c r="I39" s="355"/>
      <c r="J39" s="359"/>
      <c r="K39" s="355"/>
      <c r="L39" s="359"/>
      <c r="M39" s="355"/>
      <c r="N39" s="359"/>
      <c r="O39" s="355"/>
      <c r="P39" s="359"/>
      <c r="Q39" s="355"/>
      <c r="R39" s="359"/>
      <c r="S39" s="355"/>
      <c r="T39" s="359"/>
      <c r="U39" s="355"/>
      <c r="V39" s="359"/>
      <c r="W39" s="355"/>
      <c r="X39" s="359"/>
      <c r="Y39" s="355"/>
      <c r="Z39" s="359"/>
      <c r="AA39" s="355"/>
      <c r="AB39" s="359"/>
      <c r="AC39" s="355"/>
      <c r="AD39" s="359"/>
      <c r="AE39" s="355"/>
      <c r="AF39" s="42"/>
      <c r="AG39" s="18"/>
      <c r="AH39" s="42"/>
      <c r="AI39" s="18"/>
      <c r="AJ39" s="42"/>
      <c r="AK39" s="18"/>
      <c r="AL39" s="42"/>
      <c r="AM39" s="18"/>
      <c r="AN39" s="359"/>
      <c r="AO39" s="355"/>
      <c r="AP39" s="359"/>
      <c r="AQ39" s="355"/>
      <c r="AR39" s="359"/>
      <c r="AS39" s="355"/>
      <c r="AT39" s="359"/>
      <c r="AU39" s="355"/>
      <c r="AV39" s="359"/>
      <c r="AW39" s="355"/>
      <c r="AX39" s="359"/>
      <c r="AY39" s="355"/>
      <c r="AZ39" s="42"/>
      <c r="BA39" s="18"/>
      <c r="BB39" s="42"/>
      <c r="BC39" s="18"/>
      <c r="BD39" s="42"/>
      <c r="BE39" s="18"/>
      <c r="BF39" s="42"/>
      <c r="BG39" s="18"/>
      <c r="BH39" s="42"/>
      <c r="BI39" s="18"/>
      <c r="BJ39"/>
      <c r="BK39" s="42"/>
      <c r="BL39" s="18"/>
      <c r="BM39" s="42"/>
      <c r="BN39" s="18"/>
      <c r="BO39" s="42"/>
      <c r="BP39" s="18"/>
      <c r="BQ39" s="42"/>
      <c r="BR39" s="18"/>
      <c r="BT39" s="42"/>
      <c r="BU39" s="18"/>
      <c r="BV39" s="42"/>
      <c r="BW39" s="18"/>
    </row>
    <row r="40" spans="1:75" s="4" customFormat="1" ht="18" customHeight="1" x14ac:dyDescent="0.45">
      <c r="A40" s="561"/>
      <c r="B40" s="1197" t="s">
        <v>46</v>
      </c>
      <c r="C40" s="58"/>
      <c r="D40" s="59"/>
      <c r="E40" s="59"/>
      <c r="F40" s="364"/>
      <c r="G40" s="360"/>
      <c r="H40" s="364"/>
      <c r="I40" s="360"/>
      <c r="J40" s="364"/>
      <c r="K40" s="360"/>
      <c r="L40" s="364"/>
      <c r="M40" s="360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60"/>
      <c r="AG40" s="43"/>
      <c r="AH40" s="60"/>
      <c r="AI40" s="43"/>
      <c r="AJ40" s="60"/>
      <c r="AK40" s="43"/>
      <c r="AL40" s="60"/>
      <c r="AM40" s="43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60"/>
      <c r="BA40" s="43"/>
      <c r="BB40" s="60"/>
      <c r="BC40" s="43"/>
      <c r="BD40" s="60"/>
      <c r="BE40" s="43"/>
      <c r="BF40" s="60"/>
      <c r="BG40" s="43"/>
      <c r="BH40" s="60"/>
      <c r="BI40" s="43"/>
      <c r="BJ40"/>
      <c r="BK40" s="60"/>
      <c r="BL40" s="43"/>
      <c r="BM40" s="60"/>
      <c r="BN40" s="43"/>
      <c r="BO40" s="60"/>
      <c r="BP40" s="43"/>
      <c r="BQ40" s="60"/>
      <c r="BR40" s="43"/>
      <c r="BT40" s="60"/>
      <c r="BU40" s="43"/>
      <c r="BV40" s="60"/>
      <c r="BW40" s="43"/>
    </row>
    <row r="41" spans="1:75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427.19418286068776</v>
      </c>
      <c r="G41" s="24">
        <f t="shared" ref="G41" si="200">G42-G54</f>
        <v>0.10499628449186882</v>
      </c>
      <c r="H41" s="430">
        <f>H42-I54*H12</f>
        <v>429.60378299965214</v>
      </c>
      <c r="I41" s="24">
        <f t="shared" ref="I41" si="201">I42-I54</f>
        <v>0.10558851882429388</v>
      </c>
      <c r="J41" s="430">
        <f>J42-K54*J12</f>
        <v>471.25906016961335</v>
      </c>
      <c r="K41" s="24">
        <f>K42-K54</f>
        <v>0.11582660142887635</v>
      </c>
      <c r="L41" s="430">
        <f>L42-M54*L12</f>
        <v>472.96266758634329</v>
      </c>
      <c r="M41" s="24">
        <f>M42-M54</f>
        <v>0.11624531604664479</v>
      </c>
      <c r="N41" s="430">
        <f>N42-O54*N12</f>
        <v>471.25906016961335</v>
      </c>
      <c r="O41" s="24">
        <f>O42-O54</f>
        <v>0.11582660142887635</v>
      </c>
      <c r="P41" s="430">
        <f>P42-Q54*P12</f>
        <v>471.22375361589457</v>
      </c>
      <c r="Q41" s="24">
        <f>Q42-Q54</f>
        <v>0.11581792374292599</v>
      </c>
      <c r="R41" s="430">
        <f>R42-S54*R12</f>
        <v>469.6437853369689</v>
      </c>
      <c r="S41" s="24">
        <f>S42-S54</f>
        <v>0.11542959729664493</v>
      </c>
      <c r="T41" s="430">
        <f>T42-U54*T12</f>
        <v>469.6437853369689</v>
      </c>
      <c r="U41" s="24">
        <f>U42-U54</f>
        <v>0.11542959729664493</v>
      </c>
      <c r="V41" s="430">
        <f>V42-W54*V12</f>
        <v>469.6437853369689</v>
      </c>
      <c r="W41" s="24">
        <f>W42-W54</f>
        <v>0.11542959729664493</v>
      </c>
      <c r="X41" s="430">
        <f>X42-Y54*X12</f>
        <v>637.34937444755406</v>
      </c>
      <c r="Y41" s="24">
        <f>Y42-Y54</f>
        <v>0.15664847258005193</v>
      </c>
      <c r="Z41" s="430">
        <f>Z42-AA54*Z12</f>
        <v>637.81636437063116</v>
      </c>
      <c r="AA41" s="24">
        <f>AA42-AA54</f>
        <v>0.15676324990798718</v>
      </c>
      <c r="AB41" s="430">
        <f>AB42-AC54*AB12</f>
        <v>160.55355438993729</v>
      </c>
      <c r="AC41" s="24">
        <f>AC42-AC54</f>
        <v>3.9461039848485313E-2</v>
      </c>
      <c r="AD41" s="430">
        <f>AD42-AE54*AD12</f>
        <v>161.12184956126202</v>
      </c>
      <c r="AE41" s="24">
        <f>AE42-AE54</f>
        <v>3.9600716098485256E-2</v>
      </c>
      <c r="AF41" s="430">
        <f>AF42-AG54*AF12</f>
        <v>161.11277136363719</v>
      </c>
      <c r="AG41" s="24">
        <f t="shared" ref="AG41" si="202">AG42-AG54</f>
        <v>3.9598484848485327E-2</v>
      </c>
      <c r="AH41" s="430">
        <f>AH42-AI54*AH12</f>
        <v>161.11277136363697</v>
      </c>
      <c r="AI41" s="24">
        <f t="shared" ref="AI41" si="203">AI42-AI54</f>
        <v>3.9598484848485271E-2</v>
      </c>
      <c r="AJ41" s="430">
        <f>AJ42-AK54*AJ12</f>
        <v>1010.6713489512977</v>
      </c>
      <c r="AK41" s="24">
        <f t="shared" ref="AK41:AM41" si="204">AK42-AK54</f>
        <v>0.24840398287183002</v>
      </c>
      <c r="AL41" s="430">
        <f>AL42-AM54*AL12</f>
        <v>1012.2103704545477</v>
      </c>
      <c r="AM41" s="24">
        <f t="shared" si="204"/>
        <v>0.24878224537183002</v>
      </c>
      <c r="AN41" s="430">
        <f>AN42-AO54*AN12</f>
        <v>1293.7180686275428</v>
      </c>
      <c r="AO41" s="24">
        <f>AO42-AO54</f>
        <v>0.31797153574580772</v>
      </c>
      <c r="AP41" s="430">
        <f>AP42-AQ54*AP12</f>
        <v>1293.7180686275428</v>
      </c>
      <c r="AQ41" s="24">
        <f>AQ42-AQ54</f>
        <v>0.31797153574580772</v>
      </c>
      <c r="AR41" s="430">
        <f>AR42-AS54*AR12</f>
        <v>1293.7180686275428</v>
      </c>
      <c r="AS41" s="24">
        <f>AS42-AS54</f>
        <v>0.31797153574580772</v>
      </c>
      <c r="AT41" s="430">
        <f>AT42-AU54*AT12</f>
        <v>1295.3659522149183</v>
      </c>
      <c r="AU41" s="24">
        <f>AU42-AU54</f>
        <v>0.31837655449580782</v>
      </c>
      <c r="AV41" s="430">
        <f>AV42-AW54*AV12</f>
        <v>1293.7180686275428</v>
      </c>
      <c r="AW41" s="24">
        <f>AW42-AW54</f>
        <v>0.31797153574580772</v>
      </c>
      <c r="AX41" s="430">
        <f>AX42-AY54*AX12</f>
        <v>1295.3659522149183</v>
      </c>
      <c r="AY41" s="24">
        <f>AY42-AY54</f>
        <v>0.31837655449580782</v>
      </c>
      <c r="AZ41" s="430">
        <f>AZ42-BA54*AZ12</f>
        <v>325.77020863636358</v>
      </c>
      <c r="BA41" s="24">
        <f>BA42-BA54</f>
        <v>8.0068181818182482E-2</v>
      </c>
      <c r="BB41" s="430">
        <f>BB42-BC54*BB12</f>
        <v>578.11959818182186</v>
      </c>
      <c r="BC41" s="24">
        <f>BC42-BC54</f>
        <v>0.14209090909090982</v>
      </c>
      <c r="BD41" s="430">
        <f>BD42-BE54*BD12</f>
        <v>578.11959818182186</v>
      </c>
      <c r="BE41" s="24">
        <f>BE42-BE54</f>
        <v>0.14209090909090982</v>
      </c>
      <c r="BF41" s="430">
        <f>BF42-BG54*BF12</f>
        <v>578.11959818182186</v>
      </c>
      <c r="BG41" s="24">
        <f>BG42-BG54</f>
        <v>0.14209090909090982</v>
      </c>
      <c r="BH41" s="430">
        <f>BH42-BI54*BH12</f>
        <v>578.11959818182186</v>
      </c>
      <c r="BI41" s="24">
        <f>BI42-BI54</f>
        <v>0.14209090909090982</v>
      </c>
      <c r="BJ41"/>
      <c r="BK41" s="430">
        <f>BK42-BL54*BK12</f>
        <v>578.11959818182186</v>
      </c>
      <c r="BL41" s="24">
        <f>BL42-BL54</f>
        <v>0.14209090909090982</v>
      </c>
      <c r="BM41" s="430">
        <f>BM42-BN54*BM12</f>
        <v>578.11959818182186</v>
      </c>
      <c r="BN41" s="24">
        <f>BN42-BN54</f>
        <v>0.14209090909090982</v>
      </c>
      <c r="BO41" s="430">
        <f>BO42-BP54*BO12</f>
        <v>578.11959818182186</v>
      </c>
      <c r="BP41" s="24">
        <f>BP42-BP54</f>
        <v>0.14209090909090982</v>
      </c>
      <c r="BQ41" s="430">
        <f>BQ42-BR54*BQ12</f>
        <v>578.11959818182186</v>
      </c>
      <c r="BR41" s="24">
        <f>BR42-BR54</f>
        <v>0.14209090909090982</v>
      </c>
      <c r="BT41" s="430">
        <f>BT42-BU54*BT12</f>
        <v>689.08305272727557</v>
      </c>
      <c r="BU41" s="24">
        <f>BU42-BU54</f>
        <v>0.16936363636363716</v>
      </c>
      <c r="BV41" s="430">
        <f>BV42-BW54*BV12</f>
        <v>689.08305272727557</v>
      </c>
      <c r="BW41" s="24">
        <f>BW42-BW54</f>
        <v>0.16936363636363716</v>
      </c>
    </row>
    <row r="42" spans="1:75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AZ42" si="205">F32-F32/1.1</f>
        <v>2735.1048482041879</v>
      </c>
      <c r="G42" s="24">
        <f t="shared" si="205"/>
        <v>0.67223725949186885</v>
      </c>
      <c r="H42" s="42">
        <f t="shared" si="205"/>
        <v>2735.1048482041879</v>
      </c>
      <c r="I42" s="24">
        <f t="shared" si="205"/>
        <v>0.67223725949186885</v>
      </c>
      <c r="J42" s="42">
        <f t="shared" si="205"/>
        <v>2714.0725786158946</v>
      </c>
      <c r="K42" s="24">
        <f t="shared" si="205"/>
        <v>0.66706792374292601</v>
      </c>
      <c r="L42" s="42">
        <f t="shared" si="205"/>
        <v>2714.0725786158946</v>
      </c>
      <c r="M42" s="24">
        <f t="shared" si="205"/>
        <v>0.66706792374292601</v>
      </c>
      <c r="N42" s="42">
        <f t="shared" si="205"/>
        <v>2714.0725786158946</v>
      </c>
      <c r="O42" s="24">
        <f t="shared" si="205"/>
        <v>0.66706792374292601</v>
      </c>
      <c r="P42" s="42">
        <f t="shared" si="205"/>
        <v>2714.0725786158946</v>
      </c>
      <c r="Q42" s="24">
        <f t="shared" si="205"/>
        <v>0.66706792374292601</v>
      </c>
      <c r="R42" s="42">
        <f t="shared" si="205"/>
        <v>2714.0725786158946</v>
      </c>
      <c r="S42" s="24">
        <f t="shared" si="205"/>
        <v>0.66706792374292601</v>
      </c>
      <c r="T42" s="42">
        <f t="shared" si="205"/>
        <v>2714.0725786158946</v>
      </c>
      <c r="U42" s="24">
        <f t="shared" si="205"/>
        <v>0.66706792374292601</v>
      </c>
      <c r="V42" s="42">
        <f t="shared" si="205"/>
        <v>2714.0725786158946</v>
      </c>
      <c r="W42" s="24">
        <f t="shared" si="205"/>
        <v>0.66706792374292601</v>
      </c>
      <c r="X42" s="42">
        <f t="shared" si="205"/>
        <v>2219.2690909090925</v>
      </c>
      <c r="Y42" s="24">
        <f t="shared" si="205"/>
        <v>0.54545454545454586</v>
      </c>
      <c r="Z42" s="42">
        <f t="shared" si="205"/>
        <v>2219.2690909090925</v>
      </c>
      <c r="AA42" s="24">
        <f t="shared" si="205"/>
        <v>0.54545454545454586</v>
      </c>
      <c r="AB42" s="42">
        <f t="shared" si="205"/>
        <v>1464.1011363636371</v>
      </c>
      <c r="AC42" s="24">
        <f t="shared" si="205"/>
        <v>0.35984848484848531</v>
      </c>
      <c r="AD42" s="42">
        <f t="shared" si="205"/>
        <v>1464.1011363636371</v>
      </c>
      <c r="AE42" s="24">
        <f t="shared" si="205"/>
        <v>0.35984848484848531</v>
      </c>
      <c r="AF42" s="42">
        <f t="shared" si="205"/>
        <v>1464.1011363636371</v>
      </c>
      <c r="AG42" s="24">
        <f t="shared" si="205"/>
        <v>0.35984848484848531</v>
      </c>
      <c r="AH42" s="42">
        <f t="shared" si="205"/>
        <v>1464.1011363636371</v>
      </c>
      <c r="AI42" s="24">
        <f t="shared" si="205"/>
        <v>0.35984848484848531</v>
      </c>
      <c r="AJ42" s="42">
        <f t="shared" si="205"/>
        <v>3041.4545454545478</v>
      </c>
      <c r="AK42" s="24">
        <f t="shared" si="205"/>
        <v>0.74753224537183005</v>
      </c>
      <c r="AL42" s="42">
        <f t="shared" si="205"/>
        <v>3041.4545454545478</v>
      </c>
      <c r="AM42" s="24">
        <f t="shared" si="205"/>
        <v>0.74753224537183005</v>
      </c>
      <c r="AN42" s="42">
        <f t="shared" ref="AN42:AY42" si="206">AN26-AN26/1.1</f>
        <v>3878.3343336275429</v>
      </c>
      <c r="AO42" s="24">
        <f t="shared" si="206"/>
        <v>0.95322153574580781</v>
      </c>
      <c r="AP42" s="42">
        <f t="shared" si="206"/>
        <v>3878.3343336275429</v>
      </c>
      <c r="AQ42" s="24">
        <f t="shared" si="206"/>
        <v>0.95322153574580781</v>
      </c>
      <c r="AR42" s="42">
        <f t="shared" si="206"/>
        <v>3878.3343336275429</v>
      </c>
      <c r="AS42" s="24">
        <f t="shared" si="206"/>
        <v>0.95322153574580781</v>
      </c>
      <c r="AT42" s="42">
        <f t="shared" si="206"/>
        <v>3878.3343336275429</v>
      </c>
      <c r="AU42" s="24">
        <f t="shared" si="206"/>
        <v>0.95322153574580781</v>
      </c>
      <c r="AV42" s="42">
        <f t="shared" si="206"/>
        <v>3878.3343336275429</v>
      </c>
      <c r="AW42" s="24">
        <f t="shared" si="206"/>
        <v>0.95322153574580781</v>
      </c>
      <c r="AX42" s="42">
        <f t="shared" si="206"/>
        <v>3878.3343336275429</v>
      </c>
      <c r="AY42" s="24">
        <f t="shared" si="206"/>
        <v>0.95322153574580781</v>
      </c>
      <c r="AZ42" s="42">
        <f t="shared" si="205"/>
        <v>1756.9213636363638</v>
      </c>
      <c r="BA42" s="24">
        <f>BA32-BA32/1.1</f>
        <v>0.43181818181818254</v>
      </c>
      <c r="BB42" s="42">
        <f t="shared" ref="BB42:BD42" si="207">BB32-BB32/1.1</f>
        <v>2885.049818181822</v>
      </c>
      <c r="BC42" s="24">
        <f>BC32-BC32/1.1</f>
        <v>0.70909090909090988</v>
      </c>
      <c r="BD42" s="42">
        <f t="shared" si="207"/>
        <v>2885.049818181822</v>
      </c>
      <c r="BE42" s="24">
        <f>BE32-BE32/1.1</f>
        <v>0.70909090909090988</v>
      </c>
      <c r="BF42" s="42">
        <f t="shared" ref="BF42" si="208">BF32-BF32/1.1</f>
        <v>2885.049818181822</v>
      </c>
      <c r="BG42" s="24">
        <f>BG32-BG32/1.1</f>
        <v>0.70909090909090988</v>
      </c>
      <c r="BH42" s="42">
        <f t="shared" ref="BH42" si="209">BH32-BH32/1.1</f>
        <v>2885.049818181822</v>
      </c>
      <c r="BI42" s="24">
        <f>BI32-BI32/1.1</f>
        <v>0.70909090909090988</v>
      </c>
      <c r="BJ42"/>
      <c r="BK42" s="42">
        <f t="shared" ref="BK42:BM42" si="210">BK32-BK32/1.1</f>
        <v>2885.049818181822</v>
      </c>
      <c r="BL42" s="24">
        <f>BL32-BL32/1.1</f>
        <v>0.70909090909090988</v>
      </c>
      <c r="BM42" s="42">
        <f t="shared" si="210"/>
        <v>2885.049818181822</v>
      </c>
      <c r="BN42" s="24">
        <f>BN32-BN32/1.1</f>
        <v>0.70909090909090988</v>
      </c>
      <c r="BO42" s="42">
        <f t="shared" ref="BO42" si="211">BO32-BO32/1.1</f>
        <v>2885.049818181822</v>
      </c>
      <c r="BP42" s="24">
        <f>BP32-BP32/1.1</f>
        <v>0.70909090909090988</v>
      </c>
      <c r="BQ42" s="42">
        <f t="shared" ref="BQ42" si="212">BQ32-BQ32/1.1</f>
        <v>2885.049818181822</v>
      </c>
      <c r="BR42" s="24">
        <f>BR32-BR32/1.1</f>
        <v>0.70909090909090988</v>
      </c>
      <c r="BT42" s="42">
        <f t="shared" ref="BT42" si="213">BT32-BT32/1.1</f>
        <v>2996.0132727272758</v>
      </c>
      <c r="BU42" s="24">
        <f>BU32-BU32/1.1</f>
        <v>0.73636363636363722</v>
      </c>
      <c r="BV42" s="42">
        <f t="shared" ref="BV42" si="214">BV32-BV32/1.1</f>
        <v>2996.0132727272758</v>
      </c>
      <c r="BW42" s="24">
        <f>BW32-BW32/1.1</f>
        <v>0.73636363636363722</v>
      </c>
    </row>
    <row r="43" spans="1:75" s="65" customFormat="1" ht="18" customHeight="1" x14ac:dyDescent="0.45">
      <c r="A43" s="561"/>
      <c r="B43" s="1194"/>
      <c r="C43" s="62" t="s">
        <v>47</v>
      </c>
      <c r="D43" s="63"/>
      <c r="E43" s="64"/>
      <c r="F43" s="361">
        <f t="shared" ref="F43:AM43" si="215">+F44/F32</f>
        <v>7.3421127292297855E-2</v>
      </c>
      <c r="G43" s="362">
        <f t="shared" si="215"/>
        <v>7.3421127292297883E-2</v>
      </c>
      <c r="H43" s="361">
        <f t="shared" si="215"/>
        <v>7.6464071007996307E-2</v>
      </c>
      <c r="I43" s="362">
        <f t="shared" si="215"/>
        <v>7.646407100799632E-2</v>
      </c>
      <c r="J43" s="361">
        <f t="shared" si="215"/>
        <v>9.4496303293195028E-2</v>
      </c>
      <c r="K43" s="361">
        <f t="shared" si="215"/>
        <v>9.4496303293195041E-2</v>
      </c>
      <c r="L43" s="361">
        <f t="shared" si="215"/>
        <v>9.5066934317365667E-2</v>
      </c>
      <c r="M43" s="362">
        <f t="shared" si="215"/>
        <v>9.5066934317365681E-2</v>
      </c>
      <c r="N43" s="361">
        <f t="shared" si="215"/>
        <v>9.4496303293195028E-2</v>
      </c>
      <c r="O43" s="362">
        <f t="shared" si="215"/>
        <v>9.4496303293195041E-2</v>
      </c>
      <c r="P43" s="361">
        <f t="shared" si="215"/>
        <v>9.4484477203034434E-2</v>
      </c>
      <c r="Q43" s="362">
        <f t="shared" si="215"/>
        <v>9.4484477203034503E-2</v>
      </c>
      <c r="R43" s="361">
        <f t="shared" si="215"/>
        <v>9.3955259668344865E-2</v>
      </c>
      <c r="S43" s="362">
        <f t="shared" si="215"/>
        <v>9.3955259668344865E-2</v>
      </c>
      <c r="T43" s="361">
        <f t="shared" si="215"/>
        <v>9.3955259668344865E-2</v>
      </c>
      <c r="U43" s="362">
        <f t="shared" si="215"/>
        <v>9.3955259668344865E-2</v>
      </c>
      <c r="V43" s="361">
        <f t="shared" si="215"/>
        <v>9.3955259668344865E-2</v>
      </c>
      <c r="W43" s="362">
        <f t="shared" si="215"/>
        <v>9.3955259668344865E-2</v>
      </c>
      <c r="X43" s="361">
        <f t="shared" si="215"/>
        <v>0.200352042694148</v>
      </c>
      <c r="Y43" s="362">
        <f t="shared" si="215"/>
        <v>0.20035204269414805</v>
      </c>
      <c r="Z43" s="361">
        <f t="shared" si="215"/>
        <v>0.20054333824070678</v>
      </c>
      <c r="AA43" s="362">
        <f t="shared" si="215"/>
        <v>0.20054333824070672</v>
      </c>
      <c r="AB43" s="361">
        <f t="shared" si="215"/>
        <v>4.9542059330141995E-3</v>
      </c>
      <c r="AC43" s="362">
        <f t="shared" si="215"/>
        <v>4.9542059330141682E-3</v>
      </c>
      <c r="AD43" s="361">
        <f t="shared" si="215"/>
        <v>5.3070722488034235E-3</v>
      </c>
      <c r="AE43" s="362">
        <f t="shared" si="215"/>
        <v>5.3070722488034548E-3</v>
      </c>
      <c r="AF43" s="47">
        <f t="shared" si="215"/>
        <v>5.3014354066985613E-3</v>
      </c>
      <c r="AG43" s="48">
        <f t="shared" si="215"/>
        <v>5.3014354066985249E-3</v>
      </c>
      <c r="AH43" s="47">
        <f t="shared" si="215"/>
        <v>5.3014354066983497E-3</v>
      </c>
      <c r="AI43" s="48">
        <f t="shared" si="215"/>
        <v>5.301435406698315E-3</v>
      </c>
      <c r="AJ43" s="47">
        <f t="shared" si="215"/>
        <v>0.21088051439242458</v>
      </c>
      <c r="AK43" s="48">
        <f t="shared" si="215"/>
        <v>0.21088051439242458</v>
      </c>
      <c r="AL43" s="47">
        <f t="shared" si="215"/>
        <v>0.21134052799334818</v>
      </c>
      <c r="AM43" s="48">
        <f t="shared" si="215"/>
        <v>0.21134052799334824</v>
      </c>
      <c r="AN43" s="361">
        <f t="shared" ref="AN43:AY43" si="216">+AN44/AN26</f>
        <v>0.26086380003741111</v>
      </c>
      <c r="AO43" s="361">
        <f t="shared" si="216"/>
        <v>0.26086380003741122</v>
      </c>
      <c r="AP43" s="361">
        <f t="shared" si="216"/>
        <v>0.26086380003741111</v>
      </c>
      <c r="AQ43" s="361">
        <f t="shared" si="216"/>
        <v>0.26086380003741122</v>
      </c>
      <c r="AR43" s="361">
        <f t="shared" si="216"/>
        <v>0.2623776154401154</v>
      </c>
      <c r="AS43" s="361">
        <f t="shared" si="216"/>
        <v>0.26237761544011551</v>
      </c>
      <c r="AT43" s="361">
        <f t="shared" si="216"/>
        <v>0.26276388332205991</v>
      </c>
      <c r="AU43" s="361">
        <f t="shared" si="216"/>
        <v>0.26276388332206002</v>
      </c>
      <c r="AV43" s="361">
        <f t="shared" si="216"/>
        <v>0.2623776154401154</v>
      </c>
      <c r="AW43" s="361">
        <f t="shared" si="216"/>
        <v>0.26237761544011551</v>
      </c>
      <c r="AX43" s="361">
        <f t="shared" si="216"/>
        <v>0.26276388332205991</v>
      </c>
      <c r="AY43" s="361">
        <f t="shared" si="216"/>
        <v>0.26276388332206002</v>
      </c>
      <c r="AZ43" s="47">
        <f t="shared" ref="AZ43:BI43" si="217">+AZ44/AZ32</f>
        <v>8.9617224880382512E-2</v>
      </c>
      <c r="BA43" s="48">
        <f t="shared" si="217"/>
        <v>8.9617224880382429E-2</v>
      </c>
      <c r="BB43" s="47">
        <f t="shared" si="217"/>
        <v>0.14238003375934385</v>
      </c>
      <c r="BC43" s="48">
        <f t="shared" si="217"/>
        <v>0.14238003375934394</v>
      </c>
      <c r="BD43" s="47">
        <f t="shared" ref="BD43:BG43" si="218">+BD44/BD32</f>
        <v>0.14238003375934385</v>
      </c>
      <c r="BE43" s="48">
        <f t="shared" si="218"/>
        <v>0.14238003375934394</v>
      </c>
      <c r="BF43" s="47">
        <f t="shared" si="218"/>
        <v>0.14238003375934385</v>
      </c>
      <c r="BG43" s="48">
        <f t="shared" si="218"/>
        <v>0.14238003375934394</v>
      </c>
      <c r="BH43" s="47">
        <f t="shared" si="217"/>
        <v>0.14238003375934385</v>
      </c>
      <c r="BI43" s="48">
        <f t="shared" si="217"/>
        <v>0.14238003375934394</v>
      </c>
      <c r="BJ43"/>
      <c r="BK43" s="47">
        <f t="shared" ref="BK43:BL43" si="219">+BK44/BK32</f>
        <v>0.14238003375934385</v>
      </c>
      <c r="BL43" s="48">
        <f t="shared" si="219"/>
        <v>0.14238003375934394</v>
      </c>
      <c r="BM43" s="47">
        <f t="shared" ref="BM43:BR43" si="220">+BM44/BM32</f>
        <v>0.14238003375934385</v>
      </c>
      <c r="BN43" s="48">
        <f t="shared" si="220"/>
        <v>0.14238003375934394</v>
      </c>
      <c r="BO43" s="47">
        <f t="shared" si="220"/>
        <v>0.14238003375934385</v>
      </c>
      <c r="BP43" s="48">
        <f t="shared" si="220"/>
        <v>0.14238003375934394</v>
      </c>
      <c r="BQ43" s="47">
        <f t="shared" si="220"/>
        <v>0.14238003375934385</v>
      </c>
      <c r="BR43" s="48">
        <f t="shared" si="220"/>
        <v>0.14238003375934394</v>
      </c>
      <c r="BT43" s="47">
        <f t="shared" ref="BT43:BW43" si="221">+BT44/BT32</f>
        <v>0.17077673284569819</v>
      </c>
      <c r="BU43" s="48">
        <f t="shared" si="221"/>
        <v>0.17077673284569819</v>
      </c>
      <c r="BV43" s="47">
        <f t="shared" si="221"/>
        <v>0.17077673284569819</v>
      </c>
      <c r="BW43" s="48">
        <f t="shared" si="221"/>
        <v>0.17077673284569819</v>
      </c>
    </row>
    <row r="44" spans="1:75" s="4" customFormat="1" ht="18" customHeight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AM44" si="222">+F32-F45-F41</f>
        <v>2208.9592933955855</v>
      </c>
      <c r="G44" s="24">
        <f t="shared" si="222"/>
        <v>0.54292059139755744</v>
      </c>
      <c r="H44" s="42">
        <f t="shared" si="222"/>
        <v>2300.5097646013974</v>
      </c>
      <c r="I44" s="24">
        <f t="shared" si="222"/>
        <v>0.56542197298407781</v>
      </c>
      <c r="J44" s="42">
        <f t="shared" si="222"/>
        <v>2821.168081034943</v>
      </c>
      <c r="K44" s="24">
        <f t="shared" si="222"/>
        <v>0.69338998123090734</v>
      </c>
      <c r="L44" s="42">
        <f t="shared" si="222"/>
        <v>2838.2041552022424</v>
      </c>
      <c r="M44" s="24">
        <f t="shared" si="222"/>
        <v>0.69757712740859223</v>
      </c>
      <c r="N44" s="42">
        <f t="shared" si="222"/>
        <v>2821.168081034943</v>
      </c>
      <c r="O44" s="24">
        <f t="shared" si="222"/>
        <v>0.69338998123090734</v>
      </c>
      <c r="P44" s="42">
        <f t="shared" si="222"/>
        <v>2820.8150154977548</v>
      </c>
      <c r="Q44" s="24">
        <f t="shared" si="222"/>
        <v>0.69330320437140402</v>
      </c>
      <c r="R44" s="42">
        <f t="shared" si="222"/>
        <v>2805.0153327084945</v>
      </c>
      <c r="S44" s="24">
        <f t="shared" si="222"/>
        <v>0.68941993990859263</v>
      </c>
      <c r="T44" s="42">
        <f t="shared" si="222"/>
        <v>2805.0153327084945</v>
      </c>
      <c r="U44" s="24">
        <f t="shared" si="222"/>
        <v>0.68941993990859263</v>
      </c>
      <c r="V44" s="42">
        <f t="shared" si="222"/>
        <v>2805.0153327084945</v>
      </c>
      <c r="W44" s="24">
        <f t="shared" si="222"/>
        <v>0.68941993990859263</v>
      </c>
      <c r="X44" s="42">
        <f t="shared" si="222"/>
        <v>4890.9860521678329</v>
      </c>
      <c r="Y44" s="24">
        <f t="shared" si="222"/>
        <v>1.2021122561648883</v>
      </c>
      <c r="Z44" s="42">
        <f t="shared" si="222"/>
        <v>4895.655951398604</v>
      </c>
      <c r="AA44" s="24">
        <f t="shared" si="222"/>
        <v>1.2032600294442404</v>
      </c>
      <c r="AB44" s="42">
        <f t="shared" si="222"/>
        <v>79.788043899361128</v>
      </c>
      <c r="AC44" s="24">
        <f t="shared" si="222"/>
        <v>1.9610398484847746E-2</v>
      </c>
      <c r="AD44" s="42">
        <f t="shared" si="222"/>
        <v>85.470995612607112</v>
      </c>
      <c r="AE44" s="24">
        <f t="shared" si="222"/>
        <v>2.1007160984847006E-2</v>
      </c>
      <c r="AF44" s="42">
        <f t="shared" si="222"/>
        <v>85.380213636363578</v>
      </c>
      <c r="AG44" s="24">
        <f t="shared" si="222"/>
        <v>2.0984848484848329E-2</v>
      </c>
      <c r="AH44" s="42">
        <f t="shared" si="222"/>
        <v>85.380213636360168</v>
      </c>
      <c r="AI44" s="24">
        <f t="shared" si="222"/>
        <v>2.0984848484847496E-2</v>
      </c>
      <c r="AJ44" s="42">
        <f t="shared" si="222"/>
        <v>7055.2184895129585</v>
      </c>
      <c r="AK44" s="24">
        <f t="shared" si="222"/>
        <v>1.7340398287182903</v>
      </c>
      <c r="AL44" s="42">
        <f t="shared" si="222"/>
        <v>7070.6087045454587</v>
      </c>
      <c r="AM44" s="24">
        <f t="shared" si="222"/>
        <v>1.7378224537182907</v>
      </c>
      <c r="AN44" s="42">
        <f t="shared" ref="AN44:AY44" si="223">+AN26-AN45-AN41</f>
        <v>11128.887352942042</v>
      </c>
      <c r="AO44" s="24">
        <f t="shared" si="223"/>
        <v>2.7352709130136326</v>
      </c>
      <c r="AP44" s="42">
        <f t="shared" si="223"/>
        <v>11128.887352942042</v>
      </c>
      <c r="AQ44" s="24">
        <f t="shared" si="223"/>
        <v>2.7352709130136326</v>
      </c>
      <c r="AR44" s="42">
        <f t="shared" si="223"/>
        <v>11193.469257703946</v>
      </c>
      <c r="AS44" s="24">
        <f t="shared" si="223"/>
        <v>2.7511439288866484</v>
      </c>
      <c r="AT44" s="42">
        <f t="shared" si="223"/>
        <v>11209.948093577699</v>
      </c>
      <c r="AU44" s="24">
        <f t="shared" si="223"/>
        <v>2.7551941163866487</v>
      </c>
      <c r="AV44" s="42">
        <f t="shared" si="223"/>
        <v>11193.469257703946</v>
      </c>
      <c r="AW44" s="24">
        <f t="shared" si="223"/>
        <v>2.7511439288866484</v>
      </c>
      <c r="AX44" s="42">
        <f t="shared" si="223"/>
        <v>11209.948093577699</v>
      </c>
      <c r="AY44" s="24">
        <f t="shared" si="223"/>
        <v>2.7551941163866487</v>
      </c>
      <c r="AZ44" s="42">
        <f t="shared" ref="AZ44:BI44" si="224">+AZ32-AZ45-AZ41</f>
        <v>1731.9545863636311</v>
      </c>
      <c r="BA44" s="24">
        <f t="shared" si="224"/>
        <v>0.42568181818181655</v>
      </c>
      <c r="BB44" s="42">
        <f t="shared" si="224"/>
        <v>4518.5083956112776</v>
      </c>
      <c r="BC44" s="24">
        <f t="shared" si="224"/>
        <v>1.1105642633228827</v>
      </c>
      <c r="BD44" s="42">
        <f t="shared" ref="BD44:BG44" si="225">+BD32-BD45-BD41</f>
        <v>4518.5083956112776</v>
      </c>
      <c r="BE44" s="24">
        <f t="shared" si="225"/>
        <v>1.1105642633228827</v>
      </c>
      <c r="BF44" s="42">
        <f t="shared" si="225"/>
        <v>4518.5083956112776</v>
      </c>
      <c r="BG44" s="24">
        <f t="shared" si="225"/>
        <v>1.1105642633228827</v>
      </c>
      <c r="BH44" s="42">
        <f t="shared" si="224"/>
        <v>4518.5083956112776</v>
      </c>
      <c r="BI44" s="24">
        <f t="shared" si="224"/>
        <v>1.1105642633228827</v>
      </c>
      <c r="BJ44"/>
      <c r="BK44" s="42">
        <f t="shared" ref="BK44:BL44" si="226">+BK32-BK45-BK41</f>
        <v>4518.5083956112776</v>
      </c>
      <c r="BL44" s="24">
        <f t="shared" si="226"/>
        <v>1.1105642633228827</v>
      </c>
      <c r="BM44" s="42">
        <f t="shared" ref="BM44:BR44" si="227">+BM32-BM45-BM41</f>
        <v>4518.5083956112776</v>
      </c>
      <c r="BN44" s="24">
        <f t="shared" si="227"/>
        <v>1.1105642633228827</v>
      </c>
      <c r="BO44" s="42">
        <f t="shared" si="227"/>
        <v>4518.5083956112776</v>
      </c>
      <c r="BP44" s="24">
        <f t="shared" si="227"/>
        <v>1.1105642633228827</v>
      </c>
      <c r="BQ44" s="42">
        <f t="shared" si="227"/>
        <v>4518.5083956112776</v>
      </c>
      <c r="BR44" s="24">
        <f t="shared" si="227"/>
        <v>1.1105642633228827</v>
      </c>
      <c r="BT44" s="42">
        <f t="shared" ref="BT44:BW44" si="228">+BT32-BT45-BT41</f>
        <v>5628.1429410658257</v>
      </c>
      <c r="BU44" s="24">
        <f t="shared" si="228"/>
        <v>1.3832915360501552</v>
      </c>
      <c r="BV44" s="42">
        <f t="shared" si="228"/>
        <v>5628.1429410658257</v>
      </c>
      <c r="BW44" s="24">
        <f t="shared" si="228"/>
        <v>1.3832915360501552</v>
      </c>
    </row>
    <row r="45" spans="1:75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27449.999853989764</v>
      </c>
      <c r="G45" s="32">
        <f>+G49</f>
        <v>6.7466929785211258</v>
      </c>
      <c r="H45" s="66">
        <f>+I49*H12</f>
        <v>27356.039782644988</v>
      </c>
      <c r="I45" s="32">
        <f>+I49</f>
        <v>6.7235993626021804</v>
      </c>
      <c r="J45" s="66">
        <f>+K49*J12</f>
        <v>26562.371223570248</v>
      </c>
      <c r="K45" s="32">
        <f>+K49</f>
        <v>6.528530578512397</v>
      </c>
      <c r="L45" s="66">
        <f>+M49*L12</f>
        <v>26543.631541986219</v>
      </c>
      <c r="M45" s="32">
        <f>+M49</f>
        <v>6.5239247177169437</v>
      </c>
      <c r="N45" s="66">
        <f>+O49*N12</f>
        <v>26562.371223570248</v>
      </c>
      <c r="O45" s="32">
        <f>+O49</f>
        <v>6.528530578512397</v>
      </c>
      <c r="P45" s="66">
        <f>+Q49*P12</f>
        <v>26562.759595661155</v>
      </c>
      <c r="Q45" s="32">
        <f>+Q49</f>
        <v>6.5286260330578507</v>
      </c>
      <c r="R45" s="66">
        <f>+S49*R12</f>
        <v>26580.139246729341</v>
      </c>
      <c r="S45" s="32">
        <f>+S49</f>
        <v>6.5328976239669432</v>
      </c>
      <c r="T45" s="66">
        <f>+U49*T12</f>
        <v>26580.139246729341</v>
      </c>
      <c r="U45" s="32">
        <f>+U49</f>
        <v>6.5328976239669432</v>
      </c>
      <c r="V45" s="66">
        <f>+W49*V12</f>
        <v>26580.139246729341</v>
      </c>
      <c r="W45" s="32">
        <f>+W49</f>
        <v>6.5328976239669432</v>
      </c>
      <c r="X45" s="66">
        <f>+Y49*X12</f>
        <v>18883.624573384612</v>
      </c>
      <c r="Y45" s="32">
        <f>+Y49</f>
        <v>4.6412392712550599</v>
      </c>
      <c r="Z45" s="66">
        <f>+AA49*Z12</f>
        <v>18878.487684230764</v>
      </c>
      <c r="AA45" s="32">
        <f>+AA49</f>
        <v>4.6399767206477724</v>
      </c>
      <c r="AB45" s="66">
        <f>+AC49*AB12</f>
        <v>15864.770901710699</v>
      </c>
      <c r="AC45" s="32">
        <f>+AC49</f>
        <v>3.899261895</v>
      </c>
      <c r="AD45" s="66">
        <f>+AE49*AD12</f>
        <v>15858.519654826128</v>
      </c>
      <c r="AE45" s="32">
        <f>+AE49</f>
        <v>3.8977254562500008</v>
      </c>
      <c r="AF45" s="66">
        <f>+AG49*AF12</f>
        <v>15858.619514999999</v>
      </c>
      <c r="AG45" s="32">
        <f>+AG49</f>
        <v>3.8977499999999998</v>
      </c>
      <c r="AH45" s="66">
        <f>+AI49*AH12</f>
        <v>15858.619515000002</v>
      </c>
      <c r="AI45" s="32">
        <f>+AI49</f>
        <v>3.8977500000000007</v>
      </c>
      <c r="AJ45" s="66">
        <f>+AK49*AJ12</f>
        <v>25390.110161535751</v>
      </c>
      <c r="AK45" s="32">
        <f>+AK49</f>
        <v>6.2404108875000004</v>
      </c>
      <c r="AL45" s="66">
        <f>+AM49*AL12</f>
        <v>25373.180925000001</v>
      </c>
      <c r="AM45" s="32">
        <f>+AM49</f>
        <v>6.2362500000000001</v>
      </c>
      <c r="AN45" s="66">
        <f>+AO49*AN12</f>
        <v>30239.07224833333</v>
      </c>
      <c r="AO45" s="32">
        <f>+AO49</f>
        <v>7.4321944444444439</v>
      </c>
      <c r="AP45" s="66">
        <f>+AQ49*AP12</f>
        <v>30239.07224833333</v>
      </c>
      <c r="AQ45" s="32">
        <f>+AQ49</f>
        <v>7.4321944444444439</v>
      </c>
      <c r="AR45" s="66">
        <f>+AS49*AR12</f>
        <v>30174.490343571426</v>
      </c>
      <c r="AS45" s="32">
        <f>+AS49</f>
        <v>7.4163214285714281</v>
      </c>
      <c r="AT45" s="66">
        <f>+AU49*AT12</f>
        <v>30156.363624110298</v>
      </c>
      <c r="AU45" s="32">
        <f>+AU49</f>
        <v>7.4118662223214278</v>
      </c>
      <c r="AV45" s="66">
        <f>+AW49*AV12</f>
        <v>30174.490343571426</v>
      </c>
      <c r="AW45" s="32">
        <f>+AW49</f>
        <v>7.4163214285714281</v>
      </c>
      <c r="AX45" s="66">
        <f>+AY49*AX12</f>
        <v>30156.363624110298</v>
      </c>
      <c r="AY45" s="32">
        <f>+AY49</f>
        <v>7.4118662223214278</v>
      </c>
      <c r="AZ45" s="66">
        <f>+BA49*AZ12</f>
        <v>17268.410205000004</v>
      </c>
      <c r="BA45" s="32">
        <f>+BA49</f>
        <v>4.244250000000001</v>
      </c>
      <c r="BB45" s="66">
        <f>+BC45*BB12</f>
        <v>26638.920006206899</v>
      </c>
      <c r="BC45" s="32">
        <f>BC49</f>
        <v>6.5473448275862074</v>
      </c>
      <c r="BD45" s="66">
        <f>+BE45*BD12</f>
        <v>26638.920006206899</v>
      </c>
      <c r="BE45" s="32">
        <f>BE49</f>
        <v>6.5473448275862074</v>
      </c>
      <c r="BF45" s="66">
        <f>+BG45*BF12</f>
        <v>26638.920006206899</v>
      </c>
      <c r="BG45" s="32">
        <f>BG49</f>
        <v>6.5473448275862074</v>
      </c>
      <c r="BH45" s="66">
        <f>+BI45*BH12</f>
        <v>26638.920006206899</v>
      </c>
      <c r="BI45" s="32">
        <f>BI49</f>
        <v>6.5473448275862074</v>
      </c>
      <c r="BJ45"/>
      <c r="BK45" s="66">
        <f>+BL45*BK12</f>
        <v>26638.920006206899</v>
      </c>
      <c r="BL45" s="32">
        <f>BL49</f>
        <v>6.5473448275862074</v>
      </c>
      <c r="BM45" s="66">
        <f>+BN45*BM12</f>
        <v>26638.920006206899</v>
      </c>
      <c r="BN45" s="32">
        <f>BN49</f>
        <v>6.5473448275862074</v>
      </c>
      <c r="BO45" s="66">
        <f>+BP45*BO12</f>
        <v>26638.920006206899</v>
      </c>
      <c r="BP45" s="32">
        <f>BP49</f>
        <v>6.5473448275862074</v>
      </c>
      <c r="BQ45" s="66">
        <f>+BR45*BQ12</f>
        <v>26638.920006206899</v>
      </c>
      <c r="BR45" s="32">
        <f>BR49</f>
        <v>6.5473448275862074</v>
      </c>
      <c r="BT45" s="66">
        <f>+BU45*BT12</f>
        <v>26638.920006206899</v>
      </c>
      <c r="BU45" s="32">
        <f>BU49</f>
        <v>6.5473448275862074</v>
      </c>
      <c r="BV45" s="66">
        <f>+BW45*BV12</f>
        <v>26638.920006206899</v>
      </c>
      <c r="BW45" s="32">
        <f>BW49</f>
        <v>6.5473448275862074</v>
      </c>
    </row>
    <row r="46" spans="1:75" s="4" customFormat="1" ht="18" customHeight="1" x14ac:dyDescent="0.45">
      <c r="A46" s="561"/>
      <c r="B46" s="1195"/>
      <c r="C46" s="67" t="s">
        <v>50</v>
      </c>
      <c r="D46" s="26"/>
      <c r="E46" s="26"/>
      <c r="F46" s="352">
        <v>0</v>
      </c>
      <c r="G46" s="358"/>
      <c r="H46" s="352">
        <v>0</v>
      </c>
      <c r="I46" s="358"/>
      <c r="J46" s="352">
        <v>0</v>
      </c>
      <c r="K46" s="358"/>
      <c r="L46" s="352">
        <v>0</v>
      </c>
      <c r="M46" s="358"/>
      <c r="N46" s="27">
        <v>0</v>
      </c>
      <c r="O46" s="41"/>
      <c r="P46" s="27">
        <v>0</v>
      </c>
      <c r="Q46" s="41"/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352">
        <v>0</v>
      </c>
      <c r="AO46" s="358"/>
      <c r="AP46" s="352">
        <v>0</v>
      </c>
      <c r="AQ46" s="358"/>
      <c r="AR46" s="352">
        <v>0</v>
      </c>
      <c r="AS46" s="358"/>
      <c r="AT46" s="352">
        <v>0</v>
      </c>
      <c r="AU46" s="358"/>
      <c r="AV46" s="352">
        <v>0</v>
      </c>
      <c r="AW46" s="358"/>
      <c r="AX46" s="352">
        <v>0</v>
      </c>
      <c r="AY46" s="358"/>
      <c r="AZ46" s="27">
        <v>0</v>
      </c>
      <c r="BA46" s="41"/>
      <c r="BB46" s="27">
        <v>0</v>
      </c>
      <c r="BC46" s="41"/>
      <c r="BD46" s="27">
        <v>0</v>
      </c>
      <c r="BE46" s="41"/>
      <c r="BF46" s="27">
        <v>0</v>
      </c>
      <c r="BG46" s="41"/>
      <c r="BH46" s="27">
        <v>0</v>
      </c>
      <c r="BI46" s="41"/>
      <c r="BJ46"/>
      <c r="BK46" s="27">
        <v>0</v>
      </c>
      <c r="BL46" s="41"/>
      <c r="BM46" s="27">
        <v>0</v>
      </c>
      <c r="BN46" s="41"/>
      <c r="BO46" s="27">
        <v>0</v>
      </c>
      <c r="BP46" s="41"/>
      <c r="BQ46" s="27">
        <v>0</v>
      </c>
      <c r="BR46" s="41"/>
      <c r="BT46" s="27">
        <v>0</v>
      </c>
      <c r="BU46" s="41"/>
      <c r="BV46" s="27">
        <v>0</v>
      </c>
      <c r="BW46" s="41"/>
    </row>
    <row r="47" spans="1:75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364"/>
      <c r="G47" s="366"/>
      <c r="H47" s="364"/>
      <c r="I47" s="366"/>
      <c r="J47" s="558"/>
      <c r="K47" s="557">
        <f t="shared" ref="K47:M47" si="229">120000000/40*K31</f>
        <v>22013241.48351654</v>
      </c>
      <c r="L47" s="558"/>
      <c r="M47" s="557">
        <f t="shared" si="229"/>
        <v>22013241.48351654</v>
      </c>
      <c r="N47" s="364"/>
      <c r="O47" s="366"/>
      <c r="P47" s="364"/>
      <c r="Q47" s="366"/>
      <c r="R47" s="558"/>
      <c r="S47" s="557">
        <f>120000000/40*S31</f>
        <v>22013241.48351654</v>
      </c>
      <c r="T47" s="558"/>
      <c r="U47" s="557">
        <f>120000000/40*U31</f>
        <v>22013241.48351654</v>
      </c>
      <c r="V47" s="558"/>
      <c r="W47" s="557">
        <f>120000000/40*W31</f>
        <v>22013241.48351654</v>
      </c>
      <c r="X47" s="364"/>
      <c r="Y47" s="366"/>
      <c r="Z47" s="364"/>
      <c r="AA47" s="366"/>
      <c r="AB47" s="364"/>
      <c r="AC47" s="366"/>
      <c r="AD47" s="364"/>
      <c r="AE47" s="366"/>
      <c r="AF47" s="60"/>
      <c r="AG47" s="68"/>
      <c r="AH47" s="60"/>
      <c r="AI47" s="68"/>
      <c r="AJ47" s="60"/>
      <c r="AK47" s="68"/>
      <c r="AL47" s="60"/>
      <c r="AM47" s="68"/>
      <c r="AN47" s="558"/>
      <c r="AO47" s="557">
        <f>120000000/40*AO44</f>
        <v>8205812.7390408982</v>
      </c>
      <c r="AP47" s="558"/>
      <c r="AQ47" s="557">
        <f>120000000/40*AQ44</f>
        <v>8205812.7390408982</v>
      </c>
      <c r="AR47" s="558"/>
      <c r="AS47" s="557">
        <f>120000000/40*AS44</f>
        <v>8253431.7866599448</v>
      </c>
      <c r="AT47" s="558"/>
      <c r="AU47" s="557">
        <f>120000000/40*AU44</f>
        <v>8265582.3491599457</v>
      </c>
      <c r="AV47" s="558"/>
      <c r="AW47" s="557">
        <f>120000000/40*AW44</f>
        <v>8253431.7866599448</v>
      </c>
      <c r="AX47" s="558"/>
      <c r="AY47" s="557">
        <f>120000000/40*AY44</f>
        <v>8265582.3491599457</v>
      </c>
      <c r="AZ47" s="60"/>
      <c r="BA47" s="68"/>
      <c r="BB47" s="60"/>
      <c r="BC47" s="68"/>
      <c r="BD47" s="60"/>
      <c r="BE47" s="68"/>
      <c r="BF47" s="60"/>
      <c r="BG47" s="68"/>
      <c r="BH47" s="60"/>
      <c r="BI47" s="68"/>
      <c r="BJ47"/>
      <c r="BK47" s="60"/>
      <c r="BL47" s="68"/>
      <c r="BM47" s="60"/>
      <c r="BN47" s="68"/>
      <c r="BO47" s="60"/>
      <c r="BP47" s="68"/>
      <c r="BQ47" s="60"/>
      <c r="BR47" s="68"/>
      <c r="BT47" s="60"/>
      <c r="BU47" s="68"/>
      <c r="BV47" s="60"/>
      <c r="BW47" s="68"/>
    </row>
    <row r="48" spans="1:75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BI48" si="230">+F49/F10</f>
        <v>686.24999634974415</v>
      </c>
      <c r="G48" s="70">
        <f t="shared" si="230"/>
        <v>0.16866732446302815</v>
      </c>
      <c r="H48" s="69">
        <f t="shared" si="230"/>
        <v>683.90099456612472</v>
      </c>
      <c r="I48" s="70">
        <f t="shared" si="230"/>
        <v>0.16808998406505452</v>
      </c>
      <c r="J48" s="69">
        <f t="shared" si="230"/>
        <v>664.05928058925622</v>
      </c>
      <c r="K48" s="70">
        <f t="shared" si="230"/>
        <v>0.16321326446280993</v>
      </c>
      <c r="L48" s="69">
        <f t="shared" si="230"/>
        <v>663.59078854965549</v>
      </c>
      <c r="M48" s="70">
        <f t="shared" si="230"/>
        <v>0.16309811794292359</v>
      </c>
      <c r="N48" s="69">
        <f t="shared" si="230"/>
        <v>664.05928058925622</v>
      </c>
      <c r="O48" s="70">
        <f t="shared" si="230"/>
        <v>0.16321326446280993</v>
      </c>
      <c r="P48" s="69">
        <f t="shared" si="230"/>
        <v>664.06898989152887</v>
      </c>
      <c r="Q48" s="70">
        <f t="shared" si="230"/>
        <v>0.16321565082644626</v>
      </c>
      <c r="R48" s="69">
        <f t="shared" si="230"/>
        <v>664.50348116823352</v>
      </c>
      <c r="S48" s="70">
        <f t="shared" si="230"/>
        <v>0.16332244059917359</v>
      </c>
      <c r="T48" s="69">
        <f t="shared" si="230"/>
        <v>664.50348116823352</v>
      </c>
      <c r="U48" s="70">
        <f t="shared" si="230"/>
        <v>0.16332244059917359</v>
      </c>
      <c r="V48" s="69">
        <f t="shared" si="230"/>
        <v>664.50348116823352</v>
      </c>
      <c r="W48" s="70">
        <f t="shared" si="230"/>
        <v>0.16332244059917359</v>
      </c>
      <c r="X48" s="69">
        <f t="shared" si="230"/>
        <v>1573.6353811153842</v>
      </c>
      <c r="Y48" s="70">
        <f t="shared" si="230"/>
        <v>0.38676993927125497</v>
      </c>
      <c r="Z48" s="69">
        <f t="shared" si="230"/>
        <v>1573.2073070192303</v>
      </c>
      <c r="AA48" s="70">
        <f t="shared" si="230"/>
        <v>0.38666472672064772</v>
      </c>
      <c r="AB48" s="69">
        <f t="shared" si="230"/>
        <v>1322.064241809225</v>
      </c>
      <c r="AC48" s="70">
        <f t="shared" si="230"/>
        <v>0.32493849125000002</v>
      </c>
      <c r="AD48" s="69">
        <f t="shared" si="230"/>
        <v>1321.543304568844</v>
      </c>
      <c r="AE48" s="70">
        <f t="shared" si="230"/>
        <v>0.32481045468750008</v>
      </c>
      <c r="AF48" s="69">
        <f t="shared" si="230"/>
        <v>1321.5516262499998</v>
      </c>
      <c r="AG48" s="70">
        <f t="shared" si="230"/>
        <v>0.3248125</v>
      </c>
      <c r="AH48" s="69">
        <f t="shared" si="230"/>
        <v>1321.5516262500003</v>
      </c>
      <c r="AI48" s="70">
        <f t="shared" si="230"/>
        <v>0.32481250000000006</v>
      </c>
      <c r="AJ48" s="69">
        <f t="shared" si="230"/>
        <v>1057.9212567306563</v>
      </c>
      <c r="AK48" s="70">
        <f t="shared" si="230"/>
        <v>0.26001712031250002</v>
      </c>
      <c r="AL48" s="69">
        <f t="shared" si="230"/>
        <v>1057.2158718749999</v>
      </c>
      <c r="AM48" s="70">
        <f t="shared" si="230"/>
        <v>0.25984374999999998</v>
      </c>
      <c r="AN48" s="69">
        <f t="shared" si="230"/>
        <v>755.9768062083333</v>
      </c>
      <c r="AO48" s="70">
        <f t="shared" si="230"/>
        <v>0.18580486111111111</v>
      </c>
      <c r="AP48" s="69">
        <f t="shared" si="230"/>
        <v>755.9768062083333</v>
      </c>
      <c r="AQ48" s="70">
        <f t="shared" si="230"/>
        <v>0.18580486111111111</v>
      </c>
      <c r="AR48" s="69">
        <f t="shared" si="230"/>
        <v>754.3622585892856</v>
      </c>
      <c r="AS48" s="70">
        <f t="shared" si="230"/>
        <v>0.18540803571428571</v>
      </c>
      <c r="AT48" s="69">
        <f t="shared" si="230"/>
        <v>753.90909060275749</v>
      </c>
      <c r="AU48" s="70">
        <f t="shared" si="230"/>
        <v>0.18529665555803571</v>
      </c>
      <c r="AV48" s="69">
        <f t="shared" si="230"/>
        <v>754.3622585892856</v>
      </c>
      <c r="AW48" s="70">
        <f t="shared" si="230"/>
        <v>0.18540803571428571</v>
      </c>
      <c r="AX48" s="69">
        <f t="shared" si="230"/>
        <v>753.90909060275749</v>
      </c>
      <c r="AY48" s="70">
        <f t="shared" si="230"/>
        <v>0.18529665555803571</v>
      </c>
      <c r="AZ48" s="69">
        <f t="shared" si="230"/>
        <v>1439.0341837500002</v>
      </c>
      <c r="BA48" s="70">
        <f t="shared" si="230"/>
        <v>0.3536875000000001</v>
      </c>
      <c r="BB48" s="69">
        <f t="shared" si="230"/>
        <v>1331.946000310345</v>
      </c>
      <c r="BC48" s="70">
        <f t="shared" si="230"/>
        <v>0.32736724137931039</v>
      </c>
      <c r="BD48" s="69">
        <f t="shared" ref="BD48:BG48" si="231">+BD49/BD10</f>
        <v>1331.946000310345</v>
      </c>
      <c r="BE48" s="70">
        <f t="shared" si="231"/>
        <v>0.32736724137931039</v>
      </c>
      <c r="BF48" s="69">
        <f t="shared" si="231"/>
        <v>1331.946000310345</v>
      </c>
      <c r="BG48" s="70">
        <f t="shared" si="231"/>
        <v>0.32736724137931039</v>
      </c>
      <c r="BH48" s="69">
        <f t="shared" si="230"/>
        <v>1331.946000310345</v>
      </c>
      <c r="BI48" s="70">
        <f t="shared" si="230"/>
        <v>0.32736724137931039</v>
      </c>
      <c r="BJ48"/>
      <c r="BK48" s="69">
        <f t="shared" ref="BK48:BL48" si="232">+BK49/BK10</f>
        <v>1331.946000310345</v>
      </c>
      <c r="BL48" s="70">
        <f t="shared" si="232"/>
        <v>0.32736724137931039</v>
      </c>
      <c r="BM48" s="69">
        <f t="shared" ref="BM48:BR48" si="233">+BM49/BM10</f>
        <v>1331.946000310345</v>
      </c>
      <c r="BN48" s="70">
        <f t="shared" si="233"/>
        <v>0.32736724137931039</v>
      </c>
      <c r="BO48" s="69">
        <f t="shared" si="233"/>
        <v>1331.946000310345</v>
      </c>
      <c r="BP48" s="70">
        <f t="shared" si="233"/>
        <v>0.32736724137931039</v>
      </c>
      <c r="BQ48" s="69">
        <f t="shared" si="233"/>
        <v>1331.946000310345</v>
      </c>
      <c r="BR48" s="70">
        <f t="shared" si="233"/>
        <v>0.32736724137931039</v>
      </c>
      <c r="BT48" s="69">
        <f t="shared" ref="BT48:BW48" si="234">+BT49/BT10</f>
        <v>1331.946000310345</v>
      </c>
      <c r="BU48" s="70">
        <f t="shared" si="234"/>
        <v>0.32736724137931039</v>
      </c>
      <c r="BV48" s="69">
        <f t="shared" si="234"/>
        <v>1331.946000310345</v>
      </c>
      <c r="BW48" s="70">
        <f t="shared" si="234"/>
        <v>0.32736724137931039</v>
      </c>
    </row>
    <row r="49" spans="1:75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27449.999853989764</v>
      </c>
      <c r="G49" s="70">
        <f t="shared" ref="G49" si="235">+G50+G52+G56+G54</f>
        <v>6.7466929785211258</v>
      </c>
      <c r="H49" s="69">
        <f>+I49*H12</f>
        <v>27356.039782644988</v>
      </c>
      <c r="I49" s="70">
        <f t="shared" ref="I49" si="236">+I50+I52+I56+I54</f>
        <v>6.7235993626021804</v>
      </c>
      <c r="J49" s="69">
        <f>+K49*J12</f>
        <v>26562.371223570248</v>
      </c>
      <c r="K49" s="70">
        <f t="shared" ref="K49:M49" si="237">+K50+K52+K56+K54</f>
        <v>6.528530578512397</v>
      </c>
      <c r="L49" s="69">
        <f>+M49*L12</f>
        <v>26543.631541986219</v>
      </c>
      <c r="M49" s="70">
        <f t="shared" si="237"/>
        <v>6.5239247177169437</v>
      </c>
      <c r="N49" s="69">
        <f>+O49*N12</f>
        <v>26562.371223570248</v>
      </c>
      <c r="O49" s="70">
        <f>+O50+O52+O56+O54</f>
        <v>6.528530578512397</v>
      </c>
      <c r="P49" s="69">
        <f>+Q49*P12</f>
        <v>26562.759595661155</v>
      </c>
      <c r="Q49" s="70">
        <f>+Q50+Q52+Q56+Q54</f>
        <v>6.5286260330578507</v>
      </c>
      <c r="R49" s="69">
        <f>+S49*R12</f>
        <v>26580.139246729341</v>
      </c>
      <c r="S49" s="70">
        <f>+S50+S52+S56+S54</f>
        <v>6.5328976239669432</v>
      </c>
      <c r="T49" s="69">
        <f>+U49*T12</f>
        <v>26580.139246729341</v>
      </c>
      <c r="U49" s="70">
        <f>+U50+U52+U56+U54</f>
        <v>6.5328976239669432</v>
      </c>
      <c r="V49" s="69">
        <f>+W49*V12</f>
        <v>26580.139246729341</v>
      </c>
      <c r="W49" s="70">
        <f>+W50+W52+W56+W54</f>
        <v>6.5328976239669432</v>
      </c>
      <c r="X49" s="69">
        <f>+Y49*X12</f>
        <v>18883.624573384612</v>
      </c>
      <c r="Y49" s="70">
        <f>+Y50+Y52+Y56+Y54</f>
        <v>4.6412392712550599</v>
      </c>
      <c r="Z49" s="69">
        <f>+AA49*Z12</f>
        <v>18878.487684230764</v>
      </c>
      <c r="AA49" s="70">
        <f>+AA50+AA52+AA56+AA54</f>
        <v>4.6399767206477724</v>
      </c>
      <c r="AB49" s="69">
        <f>+AC49*AB12</f>
        <v>15864.770901710699</v>
      </c>
      <c r="AC49" s="70">
        <f>+AC50+AC52+AC56+AC54</f>
        <v>3.899261895</v>
      </c>
      <c r="AD49" s="69">
        <f>+AE49*AD12</f>
        <v>15858.519654826128</v>
      </c>
      <c r="AE49" s="70">
        <f t="shared" ref="AE49" si="238">+AE50+AE52+AE56+AE54</f>
        <v>3.8977254562500008</v>
      </c>
      <c r="AF49" s="69">
        <f>+AG49*AF12</f>
        <v>15858.619514999999</v>
      </c>
      <c r="AG49" s="70">
        <f t="shared" ref="AG49" si="239">+AG50+AG52+AG56+AG54</f>
        <v>3.8977499999999998</v>
      </c>
      <c r="AH49" s="69">
        <f>+AI49*AH12</f>
        <v>15858.619515000002</v>
      </c>
      <c r="AI49" s="70">
        <f t="shared" ref="AI49" si="240">+AI50+AI52+AI56+AI54</f>
        <v>3.8977500000000007</v>
      </c>
      <c r="AJ49" s="69">
        <f>+AK49*AJ12</f>
        <v>25390.110161535751</v>
      </c>
      <c r="AK49" s="70">
        <f t="shared" ref="AK49:AM49" si="241">+AK50+AK52+AK56+AK54</f>
        <v>6.2404108875000004</v>
      </c>
      <c r="AL49" s="69">
        <f>+AM49*AL12</f>
        <v>25373.180925000001</v>
      </c>
      <c r="AM49" s="70">
        <f t="shared" si="241"/>
        <v>6.2362500000000001</v>
      </c>
      <c r="AN49" s="69">
        <f>+AO49*AN12</f>
        <v>30239.07224833333</v>
      </c>
      <c r="AO49" s="70">
        <f t="shared" ref="AO49" si="242">+AO50+AO52+AO56+AO54</f>
        <v>7.4321944444444439</v>
      </c>
      <c r="AP49" s="69">
        <f>+AQ49*AP12</f>
        <v>30239.07224833333</v>
      </c>
      <c r="AQ49" s="70">
        <f t="shared" ref="AQ49" si="243">+AQ50+AQ52+AQ56+AQ54</f>
        <v>7.4321944444444439</v>
      </c>
      <c r="AR49" s="69">
        <f>+AS49*AR12</f>
        <v>30174.490343571426</v>
      </c>
      <c r="AS49" s="70">
        <f t="shared" ref="AS49" si="244">+AS50+AS52+AS56+AS54</f>
        <v>7.4163214285714281</v>
      </c>
      <c r="AT49" s="69">
        <f>+AU49*AT12</f>
        <v>30156.363624110298</v>
      </c>
      <c r="AU49" s="70">
        <f>+AU50+AU52+AU56+AU54</f>
        <v>7.4118662223214278</v>
      </c>
      <c r="AV49" s="69">
        <f>+AW49*AV12</f>
        <v>30174.490343571426</v>
      </c>
      <c r="AW49" s="70">
        <f t="shared" ref="AW49" si="245">+AW50+AW52+AW56+AW54</f>
        <v>7.4163214285714281</v>
      </c>
      <c r="AX49" s="69">
        <f>+AY49*AX12</f>
        <v>30156.363624110298</v>
      </c>
      <c r="AY49" s="70">
        <f t="shared" ref="AY49" si="246">+AY50+AY52+AY56+AY54</f>
        <v>7.4118662223214278</v>
      </c>
      <c r="AZ49" s="69">
        <f>+BA49*AZ12</f>
        <v>17268.410205000004</v>
      </c>
      <c r="BA49" s="70">
        <f t="shared" ref="BA49:BC49" si="247">+BA50+BA52+BA56+BA54</f>
        <v>4.244250000000001</v>
      </c>
      <c r="BB49" s="69">
        <f>+BC49*BB12</f>
        <v>26638.920006206899</v>
      </c>
      <c r="BC49" s="70">
        <f t="shared" si="247"/>
        <v>6.5473448275862074</v>
      </c>
      <c r="BD49" s="69">
        <f>+BE49*BD12</f>
        <v>26638.920006206899</v>
      </c>
      <c r="BE49" s="70">
        <f t="shared" ref="BE49" si="248">+BE50+BE52+BE56+BE54</f>
        <v>6.5473448275862074</v>
      </c>
      <c r="BF49" s="69">
        <f>+BG49*BF12</f>
        <v>26638.920006206899</v>
      </c>
      <c r="BG49" s="70">
        <f t="shared" ref="BG49" si="249">+BG50+BG52+BG56+BG54</f>
        <v>6.5473448275862074</v>
      </c>
      <c r="BH49" s="69">
        <f>+BI49*BH12</f>
        <v>26638.920006206899</v>
      </c>
      <c r="BI49" s="70">
        <f t="shared" ref="BI49" si="250">+BI50+BI52+BI56+BI54</f>
        <v>6.5473448275862074</v>
      </c>
      <c r="BJ49"/>
      <c r="BK49" s="69">
        <f>+BL49*BK12</f>
        <v>26638.920006206899</v>
      </c>
      <c r="BL49" s="70">
        <f t="shared" ref="BL49:BN49" si="251">+BL50+BL52+BL56+BL54</f>
        <v>6.5473448275862074</v>
      </c>
      <c r="BM49" s="69">
        <f>+BN49*BM12</f>
        <v>26638.920006206899</v>
      </c>
      <c r="BN49" s="70">
        <f t="shared" si="251"/>
        <v>6.5473448275862074</v>
      </c>
      <c r="BO49" s="69">
        <f>+BP49*BO12</f>
        <v>26638.920006206899</v>
      </c>
      <c r="BP49" s="70">
        <f t="shared" ref="BP49" si="252">+BP50+BP52+BP56+BP54</f>
        <v>6.5473448275862074</v>
      </c>
      <c r="BQ49" s="69">
        <f>+BR49*BQ12</f>
        <v>26638.920006206899</v>
      </c>
      <c r="BR49" s="70">
        <f t="shared" ref="BR49" si="253">+BR50+BR52+BR56+BR54</f>
        <v>6.5473448275862074</v>
      </c>
      <c r="BT49" s="69">
        <f>+BU49*BT12</f>
        <v>26638.920006206899</v>
      </c>
      <c r="BU49" s="70">
        <f t="shared" ref="BU49" si="254">+BU50+BU52+BU56+BU54</f>
        <v>6.5473448275862074</v>
      </c>
      <c r="BV49" s="69">
        <f>+BW49*BV12</f>
        <v>26638.920006206899</v>
      </c>
      <c r="BW49" s="70">
        <f t="shared" ref="BW49" si="255">+BW50+BW52+BW56+BW54</f>
        <v>6.5473448275862074</v>
      </c>
    </row>
    <row r="50" spans="1:75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367"/>
      <c r="G50" s="368">
        <f t="shared" ref="G50" si="256">+G51*G56</f>
        <v>0.27011475000000001</v>
      </c>
      <c r="H50" s="367"/>
      <c r="I50" s="368">
        <f t="shared" ref="I50" si="257">+I51*I56</f>
        <v>0.26983273365122618</v>
      </c>
      <c r="J50" s="367"/>
      <c r="K50" s="368">
        <f t="shared" ref="K50" si="258">+K51*K56</f>
        <v>0.26249586776859507</v>
      </c>
      <c r="L50" s="367"/>
      <c r="M50" s="368">
        <f t="shared" ref="M50" si="259">+M51*M56</f>
        <v>0.26229647985537197</v>
      </c>
      <c r="N50" s="367"/>
      <c r="O50" s="368">
        <f t="shared" ref="O50:Q50" si="260">+O51*O56</f>
        <v>0.26249586776859507</v>
      </c>
      <c r="P50" s="367"/>
      <c r="Q50" s="368">
        <f t="shared" si="260"/>
        <v>0.26250000000000001</v>
      </c>
      <c r="R50" s="367"/>
      <c r="S50" s="368">
        <f>+S51*S56</f>
        <v>0.26268491735537197</v>
      </c>
      <c r="T50" s="367"/>
      <c r="U50" s="368">
        <f>+U51*U56</f>
        <v>0.26268491735537197</v>
      </c>
      <c r="V50" s="367"/>
      <c r="W50" s="368">
        <f>+W51*W56</f>
        <v>0.26268491735537197</v>
      </c>
      <c r="X50" s="367"/>
      <c r="Y50" s="368">
        <f t="shared" ref="Y50:AA50" si="261">+Y51*Y56</f>
        <v>0.18514574898785424</v>
      </c>
      <c r="Z50" s="367"/>
      <c r="AA50" s="368">
        <f t="shared" si="261"/>
        <v>0.1850910931174089</v>
      </c>
      <c r="AB50" s="367"/>
      <c r="AC50" s="368">
        <f>+AC51*AC56</f>
        <v>0.15256544999999999</v>
      </c>
      <c r="AD50" s="367"/>
      <c r="AE50" s="368">
        <f>+AE51*AE56</f>
        <v>0.15249893750000004</v>
      </c>
      <c r="AF50" s="50"/>
      <c r="AG50" s="72">
        <f t="shared" ref="AG50" si="262">+AG51*AG56</f>
        <v>0.1525</v>
      </c>
      <c r="AH50" s="50"/>
      <c r="AI50" s="72">
        <f t="shared" ref="AI50" si="263">+AI51*AI56</f>
        <v>0.15250000000000002</v>
      </c>
      <c r="AJ50" s="50"/>
      <c r="AK50" s="72">
        <f t="shared" ref="AK50:AM50" si="264">+AK51*AK56</f>
        <v>0.23768012500000002</v>
      </c>
      <c r="AL50" s="50"/>
      <c r="AM50" s="72">
        <f t="shared" si="264"/>
        <v>0.23750000000000002</v>
      </c>
      <c r="AN50" s="367"/>
      <c r="AO50" s="368">
        <f>+AO51*AO56</f>
        <v>0.30249999999999999</v>
      </c>
      <c r="AP50" s="367"/>
      <c r="AQ50" s="368">
        <f>+AQ51*AQ56</f>
        <v>0.30249999999999999</v>
      </c>
      <c r="AR50" s="367"/>
      <c r="AS50" s="368">
        <f>+AS51*AS56</f>
        <v>0.30249999999999999</v>
      </c>
      <c r="AT50" s="367"/>
      <c r="AU50" s="368">
        <f>+AU51*AU56</f>
        <v>0.30230713392857145</v>
      </c>
      <c r="AV50" s="367"/>
      <c r="AW50" s="368">
        <f>+AW51*AW56</f>
        <v>0.30249999999999999</v>
      </c>
      <c r="AX50" s="367"/>
      <c r="AY50" s="368">
        <f>+AY51*AY56</f>
        <v>0.30230713392857145</v>
      </c>
      <c r="AZ50" s="50"/>
      <c r="BA50" s="72">
        <f t="shared" ref="BA50:BC50" si="265">+BA51*BA56</f>
        <v>0.16750000000000004</v>
      </c>
      <c r="BB50" s="50"/>
      <c r="BC50" s="72">
        <f t="shared" si="265"/>
        <v>0.27</v>
      </c>
      <c r="BD50" s="50"/>
      <c r="BE50" s="72">
        <f t="shared" ref="BE50" si="266">+BE51*BE56</f>
        <v>0.27</v>
      </c>
      <c r="BF50" s="50"/>
      <c r="BG50" s="72">
        <f t="shared" ref="BG50" si="267">+BG51*BG56</f>
        <v>0.27</v>
      </c>
      <c r="BH50" s="50"/>
      <c r="BI50" s="72">
        <f t="shared" ref="BI50" si="268">+BI51*BI56</f>
        <v>0.27</v>
      </c>
      <c r="BJ50"/>
      <c r="BK50" s="50"/>
      <c r="BL50" s="72">
        <f t="shared" ref="BL50:BN50" si="269">+BL51*BL56</f>
        <v>0.27</v>
      </c>
      <c r="BM50" s="50"/>
      <c r="BN50" s="72">
        <f t="shared" si="269"/>
        <v>0.27</v>
      </c>
      <c r="BO50" s="50"/>
      <c r="BP50" s="72">
        <f t="shared" ref="BP50" si="270">+BP51*BP56</f>
        <v>0.27</v>
      </c>
      <c r="BQ50" s="50"/>
      <c r="BR50" s="72">
        <f t="shared" ref="BR50" si="271">+BR51*BR56</f>
        <v>0.27</v>
      </c>
      <c r="BT50" s="50"/>
      <c r="BU50" s="72">
        <f t="shared" ref="BU50" si="272">+BU51*BU56</f>
        <v>0.27</v>
      </c>
      <c r="BV50" s="50"/>
      <c r="BW50" s="72">
        <f t="shared" ref="BW50" si="273">+BW51*BW56</f>
        <v>0.27</v>
      </c>
    </row>
    <row r="51" spans="1:75" s="4" customFormat="1" ht="18" customHeight="1" x14ac:dyDescent="0.45">
      <c r="A51" s="561"/>
      <c r="B51" s="1184"/>
      <c r="C51" s="15" t="s">
        <v>56</v>
      </c>
      <c r="D51" s="16"/>
      <c r="E51" s="16"/>
      <c r="F51" s="369"/>
      <c r="G51" s="370">
        <v>0.05</v>
      </c>
      <c r="H51" s="369"/>
      <c r="I51" s="370">
        <v>0.05</v>
      </c>
      <c r="J51" s="369"/>
      <c r="K51" s="370">
        <v>0.05</v>
      </c>
      <c r="L51" s="369"/>
      <c r="M51" s="370">
        <v>0.05</v>
      </c>
      <c r="N51" s="369"/>
      <c r="O51" s="370">
        <v>0.05</v>
      </c>
      <c r="P51" s="369"/>
      <c r="Q51" s="370">
        <v>0.05</v>
      </c>
      <c r="R51" s="369"/>
      <c r="S51" s="370">
        <v>0.05</v>
      </c>
      <c r="T51" s="369"/>
      <c r="U51" s="370">
        <v>0.05</v>
      </c>
      <c r="V51" s="369"/>
      <c r="W51" s="370">
        <v>0.05</v>
      </c>
      <c r="X51" s="361"/>
      <c r="Y51" s="1081">
        <v>0.05</v>
      </c>
      <c r="Z51" s="361"/>
      <c r="AA51" s="1081">
        <v>0.05</v>
      </c>
      <c r="AB51" s="369"/>
      <c r="AC51" s="370">
        <v>0.05</v>
      </c>
      <c r="AD51" s="369"/>
      <c r="AE51" s="370">
        <v>0.05</v>
      </c>
      <c r="AF51" s="47"/>
      <c r="AG51" s="1082">
        <v>0.05</v>
      </c>
      <c r="AH51" s="47"/>
      <c r="AI51" s="1082">
        <v>0.05</v>
      </c>
      <c r="AJ51" s="47"/>
      <c r="AK51" s="1082">
        <v>0.05</v>
      </c>
      <c r="AL51" s="47"/>
      <c r="AM51" s="1082">
        <v>0.05</v>
      </c>
      <c r="AN51" s="369"/>
      <c r="AO51" s="370">
        <v>0.05</v>
      </c>
      <c r="AP51" s="369"/>
      <c r="AQ51" s="370">
        <v>0.05</v>
      </c>
      <c r="AR51" s="369"/>
      <c r="AS51" s="370">
        <v>0.05</v>
      </c>
      <c r="AT51" s="369"/>
      <c r="AU51" s="370">
        <v>0.05</v>
      </c>
      <c r="AV51" s="369"/>
      <c r="AW51" s="370">
        <v>0.05</v>
      </c>
      <c r="AX51" s="369"/>
      <c r="AY51" s="370">
        <v>0.05</v>
      </c>
      <c r="AZ51" s="47"/>
      <c r="BA51" s="1082">
        <v>0.05</v>
      </c>
      <c r="BB51" s="47"/>
      <c r="BC51" s="1082">
        <v>0.05</v>
      </c>
      <c r="BD51" s="47"/>
      <c r="BE51" s="1082">
        <v>0.05</v>
      </c>
      <c r="BF51" s="47"/>
      <c r="BG51" s="1082">
        <v>0.05</v>
      </c>
      <c r="BH51" s="47"/>
      <c r="BI51" s="1082">
        <v>0.05</v>
      </c>
      <c r="BJ51"/>
      <c r="BK51" s="47"/>
      <c r="BL51" s="1082">
        <v>0.05</v>
      </c>
      <c r="BM51" s="47"/>
      <c r="BN51" s="1082">
        <v>0.05</v>
      </c>
      <c r="BO51" s="47"/>
      <c r="BP51" s="1082">
        <v>0.05</v>
      </c>
      <c r="BQ51" s="47"/>
      <c r="BR51" s="1082">
        <v>0.05</v>
      </c>
      <c r="BT51" s="47"/>
      <c r="BU51" s="1082">
        <v>0.05</v>
      </c>
      <c r="BV51" s="47"/>
      <c r="BW51" s="1082">
        <v>0.05</v>
      </c>
    </row>
    <row r="52" spans="1:75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367"/>
      <c r="G52" s="72">
        <f>$D$53/G66</f>
        <v>0.50704225352112675</v>
      </c>
      <c r="H52" s="367"/>
      <c r="I52" s="72">
        <f>$D$53/I66</f>
        <v>0.49046321525885561</v>
      </c>
      <c r="J52" s="367"/>
      <c r="K52" s="72">
        <f>$D$53/K66</f>
        <v>0.46487603305785125</v>
      </c>
      <c r="L52" s="367"/>
      <c r="M52" s="72">
        <f>$D$53/M66</f>
        <v>0.46487603305785125</v>
      </c>
      <c r="N52" s="367"/>
      <c r="O52" s="72">
        <f>$D$53/O66</f>
        <v>0.46487603305785125</v>
      </c>
      <c r="P52" s="367"/>
      <c r="Q52" s="72">
        <f>$D$53/Q66</f>
        <v>0.46487603305785125</v>
      </c>
      <c r="R52" s="367"/>
      <c r="S52" s="72">
        <f>$D$53/S66</f>
        <v>0.46487603305785125</v>
      </c>
      <c r="T52" s="367"/>
      <c r="U52" s="72">
        <f>$D$53/U66</f>
        <v>0.46487603305785125</v>
      </c>
      <c r="V52" s="367"/>
      <c r="W52" s="72">
        <f>$D$53/W66</f>
        <v>0.46487603305785125</v>
      </c>
      <c r="X52" s="367"/>
      <c r="Y52" s="72">
        <f>$D$53/Y66</f>
        <v>0.36437246963562753</v>
      </c>
      <c r="Z52" s="367"/>
      <c r="AA52" s="72">
        <f>$D$53/AA66</f>
        <v>0.36437246963562753</v>
      </c>
      <c r="AB52" s="367"/>
      <c r="AC52" s="72">
        <f>$D$53/AC66</f>
        <v>0.375</v>
      </c>
      <c r="AD52" s="367"/>
      <c r="AE52" s="72">
        <f>$D$53/AE66</f>
        <v>0.375</v>
      </c>
      <c r="AF52" s="50"/>
      <c r="AG52" s="72">
        <f>$D$53/AG66</f>
        <v>0.375</v>
      </c>
      <c r="AH52" s="50"/>
      <c r="AI52" s="72">
        <f>$D$53/AI66</f>
        <v>0.375</v>
      </c>
      <c r="AJ52" s="50"/>
      <c r="AK52" s="72">
        <f>$D$53/AK66</f>
        <v>0.75</v>
      </c>
      <c r="AL52" s="50"/>
      <c r="AM52" s="72">
        <f>$D$53/AM66</f>
        <v>0.75</v>
      </c>
      <c r="AN52" s="367"/>
      <c r="AO52" s="72">
        <f>$D$53/AO66</f>
        <v>0.44444444444444442</v>
      </c>
      <c r="AP52" s="367"/>
      <c r="AQ52" s="72">
        <f>$D$53/AQ66</f>
        <v>0.44444444444444442</v>
      </c>
      <c r="AR52" s="367"/>
      <c r="AS52" s="72">
        <f>$D$53/AS66</f>
        <v>0.42857142857142855</v>
      </c>
      <c r="AT52" s="367"/>
      <c r="AU52" s="72">
        <f>$D$53/AU66</f>
        <v>0.42857142857142855</v>
      </c>
      <c r="AV52" s="367"/>
      <c r="AW52" s="72">
        <f>$D$53/AW66</f>
        <v>0.42857142857142855</v>
      </c>
      <c r="AX52" s="367"/>
      <c r="AY52" s="72">
        <f>$D$53/AY66</f>
        <v>0.42857142857142855</v>
      </c>
      <c r="AZ52" s="50"/>
      <c r="BA52" s="72">
        <f>$D$53/BA66</f>
        <v>0.375</v>
      </c>
      <c r="BB52" s="50"/>
      <c r="BC52" s="72">
        <f>$D$53/BC66</f>
        <v>0.31034482758620691</v>
      </c>
      <c r="BD52" s="50"/>
      <c r="BE52" s="72">
        <f>$D$53/BE66</f>
        <v>0.31034482758620691</v>
      </c>
      <c r="BF52" s="50"/>
      <c r="BG52" s="72">
        <f>$D$53/BG66</f>
        <v>0.31034482758620691</v>
      </c>
      <c r="BH52" s="50"/>
      <c r="BI52" s="72">
        <f>$D$53/BI66</f>
        <v>0.31034482758620691</v>
      </c>
      <c r="BJ52"/>
      <c r="BK52" s="50"/>
      <c r="BL52" s="72">
        <f>$D$53/BL66</f>
        <v>0.31034482758620691</v>
      </c>
      <c r="BM52" s="50"/>
      <c r="BN52" s="72">
        <f>$D$53/BN66</f>
        <v>0.31034482758620691</v>
      </c>
      <c r="BO52" s="50"/>
      <c r="BP52" s="72">
        <f>$D$53/BP66</f>
        <v>0.31034482758620691</v>
      </c>
      <c r="BQ52" s="50"/>
      <c r="BR52" s="72">
        <f>$D$53/BR66</f>
        <v>0.31034482758620691</v>
      </c>
      <c r="BT52" s="50"/>
      <c r="BU52" s="72">
        <f>$D$53/BU66</f>
        <v>0.31034482758620691</v>
      </c>
      <c r="BV52" s="50"/>
      <c r="BW52" s="72">
        <f>$D$53/BW66</f>
        <v>0.31034482758620691</v>
      </c>
    </row>
    <row r="53" spans="1:75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369"/>
      <c r="G53" s="370">
        <f t="shared" ref="G53" si="274">G52/G56</f>
        <v>9.385682446462601E-2</v>
      </c>
      <c r="H53" s="369"/>
      <c r="I53" s="370">
        <f t="shared" ref="I53" si="275">I52/I56</f>
        <v>9.0882823707520724E-2</v>
      </c>
      <c r="J53" s="369"/>
      <c r="K53" s="370">
        <f t="shared" ref="K53" si="276">K52/K56</f>
        <v>8.8549209747496999E-2</v>
      </c>
      <c r="L53" s="369"/>
      <c r="M53" s="370">
        <f t="shared" ref="M53" si="277">M52/M56</f>
        <v>8.8616521524455816E-2</v>
      </c>
      <c r="N53" s="369"/>
      <c r="O53" s="370">
        <f t="shared" ref="O53:Q53" si="278">O52/O56</f>
        <v>8.8549209747496999E-2</v>
      </c>
      <c r="P53" s="369"/>
      <c r="Q53" s="370">
        <f t="shared" si="278"/>
        <v>8.8547815820543094E-2</v>
      </c>
      <c r="R53" s="369"/>
      <c r="S53" s="370">
        <f>S52/S56</f>
        <v>8.8485482481840808E-2</v>
      </c>
      <c r="T53" s="369"/>
      <c r="U53" s="370">
        <f>U52/U56</f>
        <v>8.8485482481840808E-2</v>
      </c>
      <c r="V53" s="369"/>
      <c r="W53" s="370">
        <f>W52/W56</f>
        <v>8.8485482481840808E-2</v>
      </c>
      <c r="X53" s="361"/>
      <c r="Y53" s="1081">
        <f t="shared" ref="Y53:AA53" si="279">Y52/Y56</f>
        <v>9.8401521943539405E-2</v>
      </c>
      <c r="Z53" s="361"/>
      <c r="AA53" s="1081">
        <f t="shared" si="279"/>
        <v>9.8430579099907045E-2</v>
      </c>
      <c r="AB53" s="369"/>
      <c r="AC53" s="370">
        <f>AC52/AC56</f>
        <v>0.12289807423633595</v>
      </c>
      <c r="AD53" s="369"/>
      <c r="AE53" s="370">
        <f>AE52/AE56</f>
        <v>0.12295167630266274</v>
      </c>
      <c r="AF53" s="47"/>
      <c r="AG53" s="1082">
        <f t="shared" ref="AG53" si="280">AG52/AG56</f>
        <v>0.12295081967213116</v>
      </c>
      <c r="AH53" s="47"/>
      <c r="AI53" s="1082">
        <f t="shared" ref="AI53" si="281">AI52/AI56</f>
        <v>0.12295081967213113</v>
      </c>
      <c r="AJ53" s="47"/>
      <c r="AK53" s="1082">
        <f t="shared" ref="AK53:AM53" si="282">AK52/AK56</f>
        <v>0.15777507690220205</v>
      </c>
      <c r="AL53" s="47"/>
      <c r="AM53" s="1082">
        <f t="shared" si="282"/>
        <v>0.15789473684210525</v>
      </c>
      <c r="AN53" s="369"/>
      <c r="AO53" s="370">
        <f>AO52/AO56</f>
        <v>7.3461891643709823E-2</v>
      </c>
      <c r="AP53" s="369"/>
      <c r="AQ53" s="370">
        <f>AQ52/AQ56</f>
        <v>7.3461891643709823E-2</v>
      </c>
      <c r="AR53" s="369"/>
      <c r="AS53" s="370">
        <f>AS52/AS56</f>
        <v>7.0838252656434467E-2</v>
      </c>
      <c r="AT53" s="369"/>
      <c r="AU53" s="370">
        <f>AU52/AU56</f>
        <v>7.0883446083791504E-2</v>
      </c>
      <c r="AV53" s="369"/>
      <c r="AW53" s="370">
        <f>AW52/AW56</f>
        <v>7.0838252656434467E-2</v>
      </c>
      <c r="AX53" s="369"/>
      <c r="AY53" s="370">
        <f>AY52/AY56</f>
        <v>7.0883446083791504E-2</v>
      </c>
      <c r="AZ53" s="47"/>
      <c r="BA53" s="1082">
        <f t="shared" ref="BA53:BC53" si="283">BA52/BA56</f>
        <v>0.11194029850746266</v>
      </c>
      <c r="BB53" s="47"/>
      <c r="BC53" s="1082">
        <f t="shared" si="283"/>
        <v>5.7471264367816091E-2</v>
      </c>
      <c r="BD53" s="47"/>
      <c r="BE53" s="1082">
        <f t="shared" ref="BE53" si="284">BE52/BE56</f>
        <v>5.7471264367816091E-2</v>
      </c>
      <c r="BF53" s="47"/>
      <c r="BG53" s="1082">
        <f t="shared" ref="BG53" si="285">BG52/BG56</f>
        <v>5.7471264367816091E-2</v>
      </c>
      <c r="BH53" s="47"/>
      <c r="BI53" s="1082">
        <f t="shared" ref="BI53" si="286">BI52/BI56</f>
        <v>5.7471264367816091E-2</v>
      </c>
      <c r="BJ53"/>
      <c r="BK53" s="47"/>
      <c r="BL53" s="1082">
        <f t="shared" ref="BL53:BN53" si="287">BL52/BL56</f>
        <v>5.7471264367816091E-2</v>
      </c>
      <c r="BM53" s="47"/>
      <c r="BN53" s="1082">
        <f t="shared" si="287"/>
        <v>5.7471264367816091E-2</v>
      </c>
      <c r="BO53" s="47"/>
      <c r="BP53" s="1082">
        <f t="shared" ref="BP53" si="288">BP52/BP56</f>
        <v>5.7471264367816091E-2</v>
      </c>
      <c r="BQ53" s="47"/>
      <c r="BR53" s="1082">
        <f t="shared" ref="BR53" si="289">BR52/BR56</f>
        <v>5.7471264367816091E-2</v>
      </c>
      <c r="BT53" s="47"/>
      <c r="BU53" s="1082">
        <f t="shared" ref="BU53" si="290">BU52/BU56</f>
        <v>5.7471264367816091E-2</v>
      </c>
      <c r="BV53" s="47"/>
      <c r="BW53" s="1082">
        <f t="shared" ref="BW53" si="291">BW52/BW56</f>
        <v>5.7471264367816091E-2</v>
      </c>
    </row>
    <row r="54" spans="1:75" s="4" customFormat="1" ht="18" customHeight="1" x14ac:dyDescent="0.45">
      <c r="A54" s="561"/>
      <c r="B54" s="1184"/>
      <c r="C54" s="77" t="s">
        <v>59</v>
      </c>
      <c r="D54" s="76"/>
      <c r="E54" s="16"/>
      <c r="F54" s="371"/>
      <c r="G54" s="368">
        <f t="shared" ref="G54" si="292">(G55*(G56+G50))</f>
        <v>0.56724097500000004</v>
      </c>
      <c r="H54" s="371"/>
      <c r="I54" s="368">
        <f t="shared" ref="I54" si="293">(I55*(I56+I50))</f>
        <v>0.56664874066757498</v>
      </c>
      <c r="J54" s="371"/>
      <c r="K54" s="368">
        <f t="shared" ref="K54" si="294">(K55*(K56+K50))</f>
        <v>0.55124132231404965</v>
      </c>
      <c r="L54" s="371"/>
      <c r="M54" s="368">
        <f t="shared" ref="M54" si="295">(M55*(M56+M50))</f>
        <v>0.55082260769628122</v>
      </c>
      <c r="N54" s="371"/>
      <c r="O54" s="368">
        <f t="shared" ref="O54:Q54" si="296">(O55*(O56+O50))</f>
        <v>0.55124132231404965</v>
      </c>
      <c r="P54" s="371"/>
      <c r="Q54" s="368">
        <f t="shared" si="296"/>
        <v>0.55125000000000002</v>
      </c>
      <c r="R54" s="371"/>
      <c r="S54" s="368">
        <f>(S55*(S56+S50))</f>
        <v>0.55163832644628108</v>
      </c>
      <c r="T54" s="371"/>
      <c r="U54" s="368">
        <f>(U55*(U56+U50))</f>
        <v>0.55163832644628108</v>
      </c>
      <c r="V54" s="371"/>
      <c r="W54" s="368">
        <f>(W55*(W56+W50))</f>
        <v>0.55163832644628108</v>
      </c>
      <c r="X54" s="371"/>
      <c r="Y54" s="368">
        <f t="shared" ref="Y54:AA54" si="297">(Y55*(Y56+Y50))</f>
        <v>0.38880607287449392</v>
      </c>
      <c r="Z54" s="371"/>
      <c r="AA54" s="368">
        <f t="shared" si="297"/>
        <v>0.38869129554655868</v>
      </c>
      <c r="AB54" s="371"/>
      <c r="AC54" s="368">
        <f>(AC55*(AC56+AC50))</f>
        <v>0.32038744499999999</v>
      </c>
      <c r="AD54" s="371"/>
      <c r="AE54" s="368">
        <f>(AE55*(AE56+AE50))</f>
        <v>0.32024776875000005</v>
      </c>
      <c r="AF54" s="73"/>
      <c r="AG54" s="72">
        <f t="shared" ref="AG54" si="298">(AG55*(AG56+AG50))</f>
        <v>0.32024999999999998</v>
      </c>
      <c r="AH54" s="73"/>
      <c r="AI54" s="72">
        <f t="shared" ref="AI54" si="299">(AI55*(AI56+AI50))</f>
        <v>0.32025000000000003</v>
      </c>
      <c r="AJ54" s="73"/>
      <c r="AK54" s="72">
        <f t="shared" ref="AK54:AM54" si="300">(AK55*(AK56+AK50))</f>
        <v>0.49912826250000003</v>
      </c>
      <c r="AL54" s="73"/>
      <c r="AM54" s="72">
        <f t="shared" si="300"/>
        <v>0.49875000000000003</v>
      </c>
      <c r="AN54" s="371"/>
      <c r="AO54" s="368">
        <f>(AO55*(AO56+AO50))</f>
        <v>0.63525000000000009</v>
      </c>
      <c r="AP54" s="371"/>
      <c r="AQ54" s="368">
        <f>(AQ55*(AQ56+AQ50))</f>
        <v>0.63525000000000009</v>
      </c>
      <c r="AR54" s="371"/>
      <c r="AS54" s="368">
        <f>(AS55*(AS56+AS50))</f>
        <v>0.63525000000000009</v>
      </c>
      <c r="AT54" s="371"/>
      <c r="AU54" s="368">
        <f>(AU55*(AU56+AU50))</f>
        <v>0.63484498125</v>
      </c>
      <c r="AV54" s="371"/>
      <c r="AW54" s="368">
        <f>(AW55*(AW56+AW50))</f>
        <v>0.63525000000000009</v>
      </c>
      <c r="AX54" s="371"/>
      <c r="AY54" s="368">
        <f>(AY55*(AY56+AY50))</f>
        <v>0.63484498125</v>
      </c>
      <c r="AZ54" s="73"/>
      <c r="BA54" s="72">
        <f t="shared" ref="BA54:BC54" si="301">(BA55*(BA56+BA50))</f>
        <v>0.35175000000000006</v>
      </c>
      <c r="BB54" s="73"/>
      <c r="BC54" s="72">
        <f t="shared" si="301"/>
        <v>0.56700000000000006</v>
      </c>
      <c r="BD54" s="73"/>
      <c r="BE54" s="72">
        <f t="shared" ref="BE54" si="302">(BE55*(BE56+BE50))</f>
        <v>0.56700000000000006</v>
      </c>
      <c r="BF54" s="73"/>
      <c r="BG54" s="72">
        <f t="shared" ref="BG54" si="303">(BG55*(BG56+BG50))</f>
        <v>0.56700000000000006</v>
      </c>
      <c r="BH54" s="73"/>
      <c r="BI54" s="72">
        <f t="shared" ref="BI54" si="304">(BI55*(BI56+BI50))</f>
        <v>0.56700000000000006</v>
      </c>
      <c r="BJ54"/>
      <c r="BK54" s="73"/>
      <c r="BL54" s="72">
        <f t="shared" ref="BL54:BN54" si="305">(BL55*(BL56+BL50))</f>
        <v>0.56700000000000006</v>
      </c>
      <c r="BM54" s="73"/>
      <c r="BN54" s="72">
        <f t="shared" si="305"/>
        <v>0.56700000000000006</v>
      </c>
      <c r="BO54" s="73"/>
      <c r="BP54" s="72">
        <f t="shared" ref="BP54" si="306">(BP55*(BP56+BP50))</f>
        <v>0.56700000000000006</v>
      </c>
      <c r="BQ54" s="73"/>
      <c r="BR54" s="72">
        <f t="shared" ref="BR54" si="307">(BR55*(BR56+BR50))</f>
        <v>0.56700000000000006</v>
      </c>
      <c r="BT54" s="73"/>
      <c r="BU54" s="72">
        <f t="shared" ref="BU54" si="308">(BU55*(BU56+BU50))</f>
        <v>0.56700000000000006</v>
      </c>
      <c r="BV54" s="73"/>
      <c r="BW54" s="72">
        <f t="shared" ref="BW54" si="309">(BW55*(BW56+BW50))</f>
        <v>0.56700000000000006</v>
      </c>
    </row>
    <row r="55" spans="1:75" s="4" customFormat="1" ht="18" customHeight="1" x14ac:dyDescent="0.45">
      <c r="A55" s="561"/>
      <c r="B55" s="1184"/>
      <c r="C55" s="77" t="s">
        <v>60</v>
      </c>
      <c r="D55" s="76"/>
      <c r="E55" s="16"/>
      <c r="F55" s="369"/>
      <c r="G55" s="370">
        <v>0.1</v>
      </c>
      <c r="H55" s="369"/>
      <c r="I55" s="370">
        <v>0.1</v>
      </c>
      <c r="J55" s="369"/>
      <c r="K55" s="370">
        <v>0.1</v>
      </c>
      <c r="L55" s="369"/>
      <c r="M55" s="370">
        <v>0.1</v>
      </c>
      <c r="N55" s="369"/>
      <c r="O55" s="370">
        <v>0.1</v>
      </c>
      <c r="P55" s="369"/>
      <c r="Q55" s="370">
        <v>0.1</v>
      </c>
      <c r="R55" s="369"/>
      <c r="S55" s="370">
        <v>0.1</v>
      </c>
      <c r="T55" s="369"/>
      <c r="U55" s="370">
        <v>0.1</v>
      </c>
      <c r="V55" s="369"/>
      <c r="W55" s="370">
        <v>0.1</v>
      </c>
      <c r="X55" s="361"/>
      <c r="Y55" s="1081">
        <v>0.1</v>
      </c>
      <c r="Z55" s="361"/>
      <c r="AA55" s="1081">
        <v>0.1</v>
      </c>
      <c r="AB55" s="369"/>
      <c r="AC55" s="370">
        <v>0.1</v>
      </c>
      <c r="AD55" s="369"/>
      <c r="AE55" s="370">
        <v>0.1</v>
      </c>
      <c r="AF55" s="47"/>
      <c r="AG55" s="1082">
        <v>0.1</v>
      </c>
      <c r="AH55" s="47"/>
      <c r="AI55" s="1082">
        <v>0.1</v>
      </c>
      <c r="AJ55" s="47"/>
      <c r="AK55" s="1082">
        <v>0.1</v>
      </c>
      <c r="AL55" s="47"/>
      <c r="AM55" s="1082">
        <v>0.1</v>
      </c>
      <c r="AN55" s="369"/>
      <c r="AO55" s="370">
        <v>0.1</v>
      </c>
      <c r="AP55" s="369"/>
      <c r="AQ55" s="370">
        <v>0.1</v>
      </c>
      <c r="AR55" s="369"/>
      <c r="AS55" s="370">
        <v>0.1</v>
      </c>
      <c r="AT55" s="369"/>
      <c r="AU55" s="370">
        <v>0.1</v>
      </c>
      <c r="AV55" s="369"/>
      <c r="AW55" s="370">
        <v>0.1</v>
      </c>
      <c r="AX55" s="369"/>
      <c r="AY55" s="370">
        <v>0.1</v>
      </c>
      <c r="AZ55" s="47"/>
      <c r="BA55" s="1082">
        <v>0.1</v>
      </c>
      <c r="BB55" s="47"/>
      <c r="BC55" s="1082">
        <v>0.1</v>
      </c>
      <c r="BD55" s="47"/>
      <c r="BE55" s="1082">
        <v>0.1</v>
      </c>
      <c r="BF55" s="47"/>
      <c r="BG55" s="1082">
        <v>0.1</v>
      </c>
      <c r="BH55" s="47"/>
      <c r="BI55" s="1082">
        <v>0.1</v>
      </c>
      <c r="BJ55"/>
      <c r="BK55" s="47"/>
      <c r="BL55" s="1082">
        <v>0.1</v>
      </c>
      <c r="BM55" s="47"/>
      <c r="BN55" s="1082">
        <v>0.1</v>
      </c>
      <c r="BO55" s="47"/>
      <c r="BP55" s="1082">
        <v>0.1</v>
      </c>
      <c r="BQ55" s="47"/>
      <c r="BR55" s="1082">
        <v>0.1</v>
      </c>
      <c r="BT55" s="47"/>
      <c r="BU55" s="1082">
        <v>0.1</v>
      </c>
      <c r="BV55" s="47"/>
      <c r="BW55" s="1082">
        <v>0.1</v>
      </c>
    </row>
    <row r="56" spans="1:75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550"/>
      <c r="G56" s="82">
        <f t="shared" ref="G56" si="310">G60-G57+G58</f>
        <v>5.4022949999999996</v>
      </c>
      <c r="H56" s="550"/>
      <c r="I56" s="82">
        <f t="shared" ref="I56" si="311">I60-I57+I58</f>
        <v>5.3966546730245231</v>
      </c>
      <c r="J56" s="550"/>
      <c r="K56" s="82">
        <f t="shared" ref="K56" si="312">K60-K57+K58</f>
        <v>5.2499173553719016</v>
      </c>
      <c r="L56" s="550"/>
      <c r="M56" s="82">
        <f t="shared" ref="M56" si="313">M60-M57+M58</f>
        <v>5.2459295971074393</v>
      </c>
      <c r="N56" s="81"/>
      <c r="O56" s="82">
        <f t="shared" ref="O56:Q56" si="314">O60-O57+O58</f>
        <v>5.2499173553719016</v>
      </c>
      <c r="P56" s="81"/>
      <c r="Q56" s="82">
        <f t="shared" si="314"/>
        <v>5.25</v>
      </c>
      <c r="R56" s="550"/>
      <c r="S56" s="82">
        <f>S60-S57+S58</f>
        <v>5.2536983471074388</v>
      </c>
      <c r="T56" s="550"/>
      <c r="U56" s="82">
        <f>U60-U57+U58</f>
        <v>5.2536983471074388</v>
      </c>
      <c r="V56" s="550"/>
      <c r="W56" s="82">
        <f>W60-W57+W58</f>
        <v>5.2536983471074388</v>
      </c>
      <c r="X56" s="81"/>
      <c r="Y56" s="82">
        <f t="shared" ref="Y56:AA56" si="315">Y60-Y57+Y58</f>
        <v>3.7029149797570846</v>
      </c>
      <c r="Z56" s="81"/>
      <c r="AA56" s="82">
        <f t="shared" si="315"/>
        <v>3.701821862348178</v>
      </c>
      <c r="AB56" s="81"/>
      <c r="AC56" s="82">
        <f>AC60-AC57+AC58</f>
        <v>3.0513089999999998</v>
      </c>
      <c r="AD56" s="81"/>
      <c r="AE56" s="82">
        <f>AE60-AE57+AE58</f>
        <v>3.0499787500000006</v>
      </c>
      <c r="AF56" s="81"/>
      <c r="AG56" s="82">
        <f t="shared" ref="AG56" si="316">AG60-AG57+AG58</f>
        <v>3.05</v>
      </c>
      <c r="AH56" s="81"/>
      <c r="AI56" s="82">
        <f t="shared" ref="AI56" si="317">AI60-AI57+AI58</f>
        <v>3.0500000000000003</v>
      </c>
      <c r="AJ56" s="81"/>
      <c r="AK56" s="82">
        <f t="shared" ref="AK56:AM56" si="318">AK60-AK57+AK58</f>
        <v>4.7536025000000004</v>
      </c>
      <c r="AL56" s="81"/>
      <c r="AM56" s="82">
        <f t="shared" si="318"/>
        <v>4.75</v>
      </c>
      <c r="AN56" s="550"/>
      <c r="AO56" s="82">
        <f>AO60-AO57+AO58</f>
        <v>6.05</v>
      </c>
      <c r="AP56" s="550"/>
      <c r="AQ56" s="82">
        <f>AQ60-AQ57+AQ58</f>
        <v>6.05</v>
      </c>
      <c r="AR56" s="550"/>
      <c r="AS56" s="82">
        <f>AS60-AS57+AS58</f>
        <v>6.05</v>
      </c>
      <c r="AT56" s="550"/>
      <c r="AU56" s="82">
        <f>AU60-AU57+AU58</f>
        <v>6.0461426785714281</v>
      </c>
      <c r="AV56" s="550"/>
      <c r="AW56" s="82">
        <f>AW60-AW57+AW58</f>
        <v>6.05</v>
      </c>
      <c r="AX56" s="550"/>
      <c r="AY56" s="82">
        <f>AY60-AY57+AY58</f>
        <v>6.0461426785714281</v>
      </c>
      <c r="AZ56" s="81"/>
      <c r="BA56" s="82">
        <f t="shared" ref="BA56:BI56" si="319">BA60-BA57+BA58</f>
        <v>3.3500000000000005</v>
      </c>
      <c r="BB56" s="81"/>
      <c r="BC56" s="82">
        <f t="shared" si="319"/>
        <v>5.4</v>
      </c>
      <c r="BD56" s="81"/>
      <c r="BE56" s="82">
        <f t="shared" ref="BE56" si="320">BE60-BE57+BE58</f>
        <v>5.4</v>
      </c>
      <c r="BF56" s="81"/>
      <c r="BG56" s="82">
        <f t="shared" ref="BG56" si="321">BG60-BG57+BG58</f>
        <v>5.4</v>
      </c>
      <c r="BH56" s="81"/>
      <c r="BI56" s="82">
        <f t="shared" si="319"/>
        <v>5.4</v>
      </c>
      <c r="BJ56"/>
      <c r="BK56" s="81"/>
      <c r="BL56" s="82">
        <f t="shared" ref="BL56:BN56" si="322">BL60-BL57+BL58</f>
        <v>5.4</v>
      </c>
      <c r="BM56" s="81"/>
      <c r="BN56" s="82">
        <f t="shared" si="322"/>
        <v>5.4</v>
      </c>
      <c r="BO56" s="81"/>
      <c r="BP56" s="82">
        <f t="shared" ref="BP56" si="323">BP60-BP57+BP58</f>
        <v>5.4</v>
      </c>
      <c r="BQ56" s="81"/>
      <c r="BR56" s="82">
        <f t="shared" ref="BR56" si="324">BR60-BR57+BR58</f>
        <v>5.4</v>
      </c>
      <c r="BT56" s="81"/>
      <c r="BU56" s="82">
        <f t="shared" ref="BU56" si="325">BU60-BU57+BU58</f>
        <v>5.4</v>
      </c>
      <c r="BV56" s="81"/>
      <c r="BW56" s="82">
        <f t="shared" ref="BW56" si="326">BW60-BW57+BW58</f>
        <v>5.4</v>
      </c>
    </row>
    <row r="57" spans="1:75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551"/>
      <c r="G57" s="86">
        <f t="shared" ref="G57:I57" si="327">0.34+0.26+0.05</f>
        <v>0.65000000000000013</v>
      </c>
      <c r="H57" s="551"/>
      <c r="I57" s="86">
        <f t="shared" si="327"/>
        <v>0.65000000000000013</v>
      </c>
      <c r="J57" s="551"/>
      <c r="K57" s="86">
        <f t="shared" ref="K57:M57" si="328">0.5+0.35-0.05</f>
        <v>0.79999999999999993</v>
      </c>
      <c r="L57" s="551"/>
      <c r="M57" s="86">
        <f t="shared" si="328"/>
        <v>0.79999999999999993</v>
      </c>
      <c r="N57" s="85"/>
      <c r="O57" s="86">
        <f t="shared" ref="O57:Q57" si="329">0.5+0.35-0.05</f>
        <v>0.79999999999999993</v>
      </c>
      <c r="P57" s="85"/>
      <c r="Q57" s="86">
        <f t="shared" si="329"/>
        <v>0.79999999999999993</v>
      </c>
      <c r="R57" s="551"/>
      <c r="S57" s="86">
        <f>0.5+0.35-0.05</f>
        <v>0.79999999999999993</v>
      </c>
      <c r="T57" s="551"/>
      <c r="U57" s="86">
        <f>0.5+0.35-0.05</f>
        <v>0.79999999999999993</v>
      </c>
      <c r="V57" s="551"/>
      <c r="W57" s="86">
        <f>0.5+0.35-0.05</f>
        <v>0.79999999999999993</v>
      </c>
      <c r="X57" s="85"/>
      <c r="Y57" s="86">
        <v>1.1499999999999999</v>
      </c>
      <c r="Z57" s="85"/>
      <c r="AA57" s="86">
        <v>1.1499999999999999</v>
      </c>
      <c r="AB57" s="85"/>
      <c r="AC57" s="86">
        <v>1.3</v>
      </c>
      <c r="AD57" s="85"/>
      <c r="AE57" s="86">
        <v>1.35</v>
      </c>
      <c r="AF57" s="85"/>
      <c r="AG57" s="86">
        <v>1.33</v>
      </c>
      <c r="AH57" s="85"/>
      <c r="AI57" s="86">
        <v>1.35</v>
      </c>
      <c r="AJ57" s="85"/>
      <c r="AK57" s="86">
        <v>1.8</v>
      </c>
      <c r="AL57" s="85"/>
      <c r="AM57" s="86">
        <v>1.8</v>
      </c>
      <c r="AN57" s="551"/>
      <c r="AO57" s="86">
        <v>0</v>
      </c>
      <c r="AP57" s="551"/>
      <c r="AQ57" s="86">
        <v>0</v>
      </c>
      <c r="AR57" s="551"/>
      <c r="AS57" s="86">
        <v>0</v>
      </c>
      <c r="AT57" s="551"/>
      <c r="AU57" s="86">
        <v>0</v>
      </c>
      <c r="AV57" s="551"/>
      <c r="AW57" s="86">
        <v>0</v>
      </c>
      <c r="AX57" s="551"/>
      <c r="AY57" s="86">
        <v>0</v>
      </c>
      <c r="AZ57" s="85"/>
      <c r="BA57" s="86">
        <v>1.05</v>
      </c>
      <c r="BB57" s="85"/>
      <c r="BC57" s="86">
        <v>1</v>
      </c>
      <c r="BD57" s="85"/>
      <c r="BE57" s="86">
        <v>1</v>
      </c>
      <c r="BF57" s="85"/>
      <c r="BG57" s="86">
        <v>1</v>
      </c>
      <c r="BH57" s="85"/>
      <c r="BI57" s="86">
        <v>1</v>
      </c>
      <c r="BJ57"/>
      <c r="BK57" s="85"/>
      <c r="BL57" s="86">
        <v>1</v>
      </c>
      <c r="BM57" s="85"/>
      <c r="BN57" s="86">
        <v>1</v>
      </c>
      <c r="BO57" s="85"/>
      <c r="BP57" s="86">
        <v>1</v>
      </c>
      <c r="BQ57" s="85"/>
      <c r="BR57" s="86">
        <v>1</v>
      </c>
      <c r="BT57" s="85"/>
      <c r="BU57" s="86">
        <v>1</v>
      </c>
      <c r="BV57" s="85"/>
      <c r="BW57" s="86">
        <v>1</v>
      </c>
    </row>
    <row r="58" spans="1:75" s="97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/>
      <c r="BK58" s="85"/>
      <c r="BL58" s="86">
        <v>0</v>
      </c>
      <c r="BM58" s="85"/>
      <c r="BN58" s="86">
        <v>0</v>
      </c>
      <c r="BO58" s="85"/>
      <c r="BP58" s="86">
        <v>0</v>
      </c>
      <c r="BQ58" s="85"/>
      <c r="BR58" s="86">
        <v>0</v>
      </c>
      <c r="BT58" s="85"/>
      <c r="BU58" s="86">
        <v>0</v>
      </c>
      <c r="BV58" s="85"/>
      <c r="BW58" s="86">
        <v>0</v>
      </c>
    </row>
    <row r="59" spans="1:75" s="4" customFormat="1" ht="18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 t="shared" ref="G59" si="330">+G62+G65+G67</f>
        <v>6.05</v>
      </c>
      <c r="H59" s="85"/>
      <c r="I59" s="86">
        <f>+I63+I65+I67</f>
        <v>6.0466546730245234</v>
      </c>
      <c r="J59" s="85"/>
      <c r="K59" s="86">
        <f t="shared" ref="K59:M59" si="331">+K62+K65+K67</f>
        <v>6.0499173553719015</v>
      </c>
      <c r="L59" s="85"/>
      <c r="M59" s="86">
        <f t="shared" si="331"/>
        <v>6.0436983471074388</v>
      </c>
      <c r="N59" s="85"/>
      <c r="O59" s="86">
        <f t="shared" ref="O59:Q59" si="332">+O62+O65+O67</f>
        <v>6.0532448099173557</v>
      </c>
      <c r="P59" s="85"/>
      <c r="Q59" s="86">
        <f t="shared" si="332"/>
        <v>6.05</v>
      </c>
      <c r="R59" s="85"/>
      <c r="S59" s="86">
        <f>+S62+S65+S67</f>
        <v>6.0536983471074386</v>
      </c>
      <c r="T59" s="85"/>
      <c r="U59" s="86">
        <f>+U62+U65+U67</f>
        <v>6.0536983471074386</v>
      </c>
      <c r="V59" s="85"/>
      <c r="W59" s="86">
        <f>+W62+W65+W67</f>
        <v>6.0536983471074386</v>
      </c>
      <c r="X59" s="85"/>
      <c r="Y59" s="86">
        <f t="shared" ref="Y59:AA59" si="333">+Y62+Y65+Y67</f>
        <v>4.8529149797570845</v>
      </c>
      <c r="Z59" s="85"/>
      <c r="AA59" s="86">
        <f t="shared" si="333"/>
        <v>4.8518218623481779</v>
      </c>
      <c r="AB59" s="85"/>
      <c r="AC59" s="86">
        <f>+AC62+AC65+AC67</f>
        <v>4.3499999999999996</v>
      </c>
      <c r="AD59" s="85"/>
      <c r="AE59" s="86">
        <f>+AE62+AE65+AE67</f>
        <v>4.3986910000000004</v>
      </c>
      <c r="AF59" s="85"/>
      <c r="AG59" s="86">
        <f t="shared" ref="AG59" si="334">+AG62+AG65+AG67</f>
        <v>4.38</v>
      </c>
      <c r="AH59" s="85"/>
      <c r="AI59" s="86">
        <f>+AI62+AI65+AI67</f>
        <v>4.4000000000000004</v>
      </c>
      <c r="AJ59" s="85"/>
      <c r="AK59" s="86">
        <f t="shared" ref="AK59:AM59" si="335">+AK62+AK65+AK67</f>
        <v>6.5536025000000002</v>
      </c>
      <c r="AL59" s="85"/>
      <c r="AM59" s="86">
        <f t="shared" si="335"/>
        <v>6.55</v>
      </c>
      <c r="AN59" s="85"/>
      <c r="AO59" s="86">
        <f>+AO62+AO65+AO67</f>
        <v>6.0474287499999999</v>
      </c>
      <c r="AP59" s="85"/>
      <c r="AQ59" s="86">
        <f>+AQ62+AQ65+AQ67</f>
        <v>6.0474287499999999</v>
      </c>
      <c r="AR59" s="85"/>
      <c r="AS59" s="86">
        <f>+AS62+AS65+AS67</f>
        <v>6.0474287499999999</v>
      </c>
      <c r="AT59" s="85"/>
      <c r="AU59" s="86">
        <f>+AU62+AU65+AU67</f>
        <v>6.0435714285714282</v>
      </c>
      <c r="AV59" s="85"/>
      <c r="AW59" s="86">
        <f>+AW62+AW65+AW67</f>
        <v>6.0474287499999999</v>
      </c>
      <c r="AX59" s="85"/>
      <c r="AY59" s="86">
        <f>+AY62+AY65+AY67</f>
        <v>6.0435714285714282</v>
      </c>
      <c r="AZ59" s="85"/>
      <c r="BA59" s="86">
        <f>+BA62+BA65+BA67</f>
        <v>4.4000000000000004</v>
      </c>
      <c r="BB59" s="85"/>
      <c r="BC59" s="86">
        <f>+BC62+BC65+BC67</f>
        <v>6.3993103448275868</v>
      </c>
      <c r="BD59" s="85"/>
      <c r="BE59" s="86">
        <f>+BE62+BE65+BE67</f>
        <v>6.3993103448275868</v>
      </c>
      <c r="BF59" s="85"/>
      <c r="BG59" s="86">
        <f>+BG62+BG65+BG67</f>
        <v>6.3993103448275868</v>
      </c>
      <c r="BH59" s="85"/>
      <c r="BI59" s="86">
        <f>+BI62+BI65+BI67</f>
        <v>6.3993103448275868</v>
      </c>
      <c r="BJ59"/>
      <c r="BK59" s="85"/>
      <c r="BL59" s="86">
        <f>+BL62+BL65+BL67</f>
        <v>6.3993103448275868</v>
      </c>
      <c r="BM59" s="85"/>
      <c r="BN59" s="86">
        <f>+BN62+BN65+BN67</f>
        <v>6.3993103448275868</v>
      </c>
      <c r="BO59" s="85"/>
      <c r="BP59" s="86">
        <f>+BP62+BP65+BP67</f>
        <v>6.3993103448275868</v>
      </c>
      <c r="BQ59" s="85"/>
      <c r="BR59" s="86">
        <f>+BR62+BR65+BR67</f>
        <v>6.3993103448275868</v>
      </c>
      <c r="BT59" s="85"/>
      <c r="BU59" s="86">
        <f>+BU62+BU65+BU67</f>
        <v>6.3993103448275868</v>
      </c>
      <c r="BV59" s="85"/>
      <c r="BW59" s="86">
        <f>+BW62+BW65+BW67</f>
        <v>6.3993103448275868</v>
      </c>
    </row>
    <row r="60" spans="1:75" s="7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550"/>
      <c r="G60" s="82">
        <f t="shared" ref="G60" si="336">G65+G67+G63+G62</f>
        <v>6.052295</v>
      </c>
      <c r="H60" s="550"/>
      <c r="I60" s="82">
        <f t="shared" ref="I60" si="337">I65+I67+I63+I62</f>
        <v>6.0466546730245234</v>
      </c>
      <c r="J60" s="550"/>
      <c r="K60" s="82">
        <f t="shared" ref="K60" si="338">K65+K67</f>
        <v>6.0499173553719015</v>
      </c>
      <c r="L60" s="550"/>
      <c r="M60" s="82">
        <f>M65+M67+M63</f>
        <v>6.0459295971074392</v>
      </c>
      <c r="N60" s="81"/>
      <c r="O60" s="82">
        <f t="shared" ref="O60" si="339">O65+O67</f>
        <v>6.0499173553719015</v>
      </c>
      <c r="P60" s="81"/>
      <c r="Q60" s="82">
        <f>Q65+Q67+Q62</f>
        <v>6.05</v>
      </c>
      <c r="R60" s="550"/>
      <c r="S60" s="82">
        <f>S65+S67+S62</f>
        <v>6.0536983471074386</v>
      </c>
      <c r="T60" s="550"/>
      <c r="U60" s="82">
        <f>U65+U67+U62</f>
        <v>6.0536983471074386</v>
      </c>
      <c r="V60" s="550"/>
      <c r="W60" s="82">
        <f>W65+W67+W62</f>
        <v>6.0536983471074386</v>
      </c>
      <c r="X60" s="81"/>
      <c r="Y60" s="82">
        <f t="shared" ref="Y60" si="340">Y65+Y67+Y62</f>
        <v>4.8529149797570845</v>
      </c>
      <c r="Z60" s="81"/>
      <c r="AA60" s="82">
        <f t="shared" ref="AA60" si="341">AA65+AA67+AA62</f>
        <v>4.8518218623481779</v>
      </c>
      <c r="AB60" s="81"/>
      <c r="AC60" s="82">
        <f>AC65+AC67+AC63+AC62</f>
        <v>4.3513089999999996</v>
      </c>
      <c r="AD60" s="81"/>
      <c r="AE60" s="82">
        <f>AE65+AE67+AE63+AE62</f>
        <v>4.3999787500000007</v>
      </c>
      <c r="AF60" s="81"/>
      <c r="AG60" s="82">
        <f t="shared" ref="AG60" si="342">AG65+AG67</f>
        <v>4.38</v>
      </c>
      <c r="AH60" s="81"/>
      <c r="AI60" s="82">
        <f>AI65+AI67+AI62</f>
        <v>4.4000000000000004</v>
      </c>
      <c r="AJ60" s="81"/>
      <c r="AK60" s="82">
        <f>AK65+AK67+AK62</f>
        <v>6.5536025000000002</v>
      </c>
      <c r="AL60" s="81"/>
      <c r="AM60" s="82">
        <f>AM65+AM67+AM62</f>
        <v>6.55</v>
      </c>
      <c r="AN60" s="81"/>
      <c r="AO60" s="82">
        <f>AO65+AO67+AO63+AO62</f>
        <v>6.05</v>
      </c>
      <c r="AP60" s="81"/>
      <c r="AQ60" s="82">
        <f>AQ65+AQ67+AQ63+AQ62</f>
        <v>6.05</v>
      </c>
      <c r="AR60" s="81"/>
      <c r="AS60" s="82">
        <f>AS65+AS67+AS63+AS62</f>
        <v>6.05</v>
      </c>
      <c r="AT60" s="81"/>
      <c r="AU60" s="82">
        <f>AU65+AU67+AU63+AU62</f>
        <v>6.0461426785714281</v>
      </c>
      <c r="AV60" s="81"/>
      <c r="AW60" s="82">
        <f>AW65+AW67+AW63+AW62</f>
        <v>6.05</v>
      </c>
      <c r="AX60" s="81"/>
      <c r="AY60" s="82">
        <f>AY65+AY67+AY63+AY62</f>
        <v>6.0461426785714281</v>
      </c>
      <c r="AZ60" s="81"/>
      <c r="BA60" s="82">
        <f>BA65+BA67+BA62</f>
        <v>4.4000000000000004</v>
      </c>
      <c r="BB60" s="81"/>
      <c r="BC60" s="82">
        <v>6.4</v>
      </c>
      <c r="BD60" s="81"/>
      <c r="BE60" s="82">
        <v>6.4</v>
      </c>
      <c r="BF60" s="81"/>
      <c r="BG60" s="82">
        <v>6.4</v>
      </c>
      <c r="BH60" s="81"/>
      <c r="BI60" s="82">
        <v>6.4</v>
      </c>
      <c r="BJ60"/>
      <c r="BK60" s="81"/>
      <c r="BL60" s="82">
        <v>6.4</v>
      </c>
      <c r="BM60" s="81"/>
      <c r="BN60" s="82">
        <v>6.4</v>
      </c>
      <c r="BO60" s="81"/>
      <c r="BP60" s="82">
        <v>6.4</v>
      </c>
      <c r="BQ60" s="81"/>
      <c r="BR60" s="82">
        <v>6.4</v>
      </c>
      <c r="BT60" s="81"/>
      <c r="BU60" s="82">
        <v>6.4</v>
      </c>
      <c r="BV60" s="81"/>
      <c r="BW60" s="82">
        <v>6.4</v>
      </c>
    </row>
    <row r="61" spans="1:75" s="7" customFormat="1" ht="18" customHeight="1" x14ac:dyDescent="0.45">
      <c r="A61" s="561"/>
      <c r="B61" s="1184"/>
      <c r="C61" s="12" t="s">
        <v>66</v>
      </c>
      <c r="D61" s="11"/>
      <c r="E61" s="16"/>
      <c r="F61" s="359"/>
      <c r="G61" s="372"/>
      <c r="H61" s="359"/>
      <c r="I61" s="372"/>
      <c r="J61" s="976"/>
      <c r="K61" s="368"/>
      <c r="L61" s="976"/>
      <c r="M61" s="368"/>
      <c r="N61" s="359"/>
      <c r="O61" s="372"/>
      <c r="P61" s="359"/>
      <c r="Q61" s="372"/>
      <c r="R61" s="976"/>
      <c r="S61" s="368"/>
      <c r="T61" s="976"/>
      <c r="U61" s="368"/>
      <c r="V61" s="976"/>
      <c r="W61" s="368"/>
      <c r="X61" s="359"/>
      <c r="Y61" s="372"/>
      <c r="Z61" s="359"/>
      <c r="AA61" s="372"/>
      <c r="AB61" s="359"/>
      <c r="AC61" s="372"/>
      <c r="AD61" s="359"/>
      <c r="AE61" s="372"/>
      <c r="AF61" s="42"/>
      <c r="AG61" s="88"/>
      <c r="AH61" s="42"/>
      <c r="AI61" s="88"/>
      <c r="AJ61" s="42"/>
      <c r="AK61" s="88"/>
      <c r="AL61" s="42"/>
      <c r="AM61" s="88"/>
      <c r="AN61" s="359"/>
      <c r="AO61" s="372"/>
      <c r="AP61" s="359"/>
      <c r="AQ61" s="372"/>
      <c r="AR61" s="359"/>
      <c r="AS61" s="372"/>
      <c r="AT61" s="359"/>
      <c r="AU61" s="372"/>
      <c r="AV61" s="359"/>
      <c r="AW61" s="372"/>
      <c r="AX61" s="359"/>
      <c r="AY61" s="372"/>
      <c r="AZ61" s="42"/>
      <c r="BA61" s="88"/>
      <c r="BB61" s="42"/>
      <c r="BC61" s="88"/>
      <c r="BD61" s="42"/>
      <c r="BE61" s="88"/>
      <c r="BF61" s="42"/>
      <c r="BG61" s="88"/>
      <c r="BH61" s="42"/>
      <c r="BI61" s="88"/>
      <c r="BJ61"/>
      <c r="BK61" s="42"/>
      <c r="BL61" s="88"/>
      <c r="BM61" s="42"/>
      <c r="BN61" s="88"/>
      <c r="BO61" s="42"/>
      <c r="BP61" s="88"/>
      <c r="BQ61" s="42"/>
      <c r="BR61" s="88"/>
      <c r="BT61" s="42"/>
      <c r="BU61" s="88"/>
      <c r="BV61" s="42"/>
      <c r="BW61" s="88"/>
    </row>
    <row r="62" spans="1:75" s="103" customFormat="1" ht="18" customHeight="1" x14ac:dyDescent="0.45">
      <c r="A62" s="561"/>
      <c r="B62" s="1184"/>
      <c r="C62" s="71" t="s">
        <v>385</v>
      </c>
      <c r="D62" s="16"/>
      <c r="E62" s="35" t="s">
        <v>68</v>
      </c>
      <c r="F62" s="373"/>
      <c r="G62" s="374"/>
      <c r="H62" s="373"/>
      <c r="I62" s="374"/>
      <c r="J62" s="373"/>
      <c r="K62" s="374"/>
      <c r="L62" s="373"/>
      <c r="M62" s="374"/>
      <c r="N62" s="373"/>
      <c r="O62" s="374">
        <f t="shared" ref="O62:Q63" si="343">0.055/100*(O67+(O64/O66))</f>
        <v>3.3274545454545462E-3</v>
      </c>
      <c r="P62" s="373">
        <f>6.05-Q60</f>
        <v>0</v>
      </c>
      <c r="Q62" s="374">
        <v>6.301652892561016E-3</v>
      </c>
      <c r="R62" s="373"/>
      <c r="S62" s="374">
        <v>0.02</v>
      </c>
      <c r="T62" s="373"/>
      <c r="U62" s="374">
        <v>0.02</v>
      </c>
      <c r="V62" s="373"/>
      <c r="W62" s="374">
        <v>0.02</v>
      </c>
      <c r="X62" s="373"/>
      <c r="Y62" s="374">
        <v>0.01</v>
      </c>
      <c r="Z62" s="373"/>
      <c r="AA62" s="374">
        <v>0</v>
      </c>
      <c r="AB62" s="373">
        <f>AC60-4.4</f>
        <v>-4.8691000000000706E-2</v>
      </c>
      <c r="AC62" s="607">
        <v>0</v>
      </c>
      <c r="AD62" s="1145">
        <f>4.4-AE60</f>
        <v>2.1249999999639613E-5</v>
      </c>
      <c r="AE62" s="607">
        <v>-7.5589999999996493E-3</v>
      </c>
      <c r="AF62" s="89"/>
      <c r="AG62" s="374">
        <v>0</v>
      </c>
      <c r="AH62" s="89">
        <f>4.4-AI60</f>
        <v>0</v>
      </c>
      <c r="AI62" s="374">
        <v>-6.2499999999996447E-3</v>
      </c>
      <c r="AJ62" s="89"/>
      <c r="AK62" s="90">
        <f t="shared" ref="AK62" si="344">0.055/100*(AK67+(AK64/AK66))</f>
        <v>3.6025000000000002E-3</v>
      </c>
      <c r="AL62" s="89">
        <f>6.55-AM60</f>
        <v>0</v>
      </c>
      <c r="AM62" s="90">
        <v>-1.2500000000000178E-2</v>
      </c>
      <c r="AN62" s="617">
        <f>AO60-6.05</f>
        <v>0</v>
      </c>
      <c r="AO62" s="607">
        <v>1.1324537037040699E-3</v>
      </c>
      <c r="AP62" s="1145">
        <f>6.05-AQ60</f>
        <v>0</v>
      </c>
      <c r="AQ62" s="607">
        <v>1.2243564814815144E-2</v>
      </c>
      <c r="AR62" s="617">
        <f>AS60-6.05</f>
        <v>0</v>
      </c>
      <c r="AS62" s="607">
        <v>1.17144642857143E-2</v>
      </c>
      <c r="AT62" s="1145">
        <f>6.05-AU60</f>
        <v>3.8573214285717583E-3</v>
      </c>
      <c r="AU62" s="607">
        <v>1.4999999999999999E-2</v>
      </c>
      <c r="AV62" s="617">
        <f>AW60-6.05</f>
        <v>0</v>
      </c>
      <c r="AW62" s="607">
        <v>1.17144642857143E-2</v>
      </c>
      <c r="AX62" s="1145">
        <f>6.05-AY60</f>
        <v>3.8573214285717583E-3</v>
      </c>
      <c r="AY62" s="607">
        <v>1.4999999999999999E-2</v>
      </c>
      <c r="AZ62" s="89">
        <f>4.4-BA60</f>
        <v>0</v>
      </c>
      <c r="BA62" s="374">
        <v>-6.2499999999996447E-3</v>
      </c>
      <c r="BB62" s="89"/>
      <c r="BC62" s="374">
        <v>7.0000000000000007E-2</v>
      </c>
      <c r="BD62" s="89"/>
      <c r="BE62" s="374">
        <v>7.0000000000000007E-2</v>
      </c>
      <c r="BF62" s="89"/>
      <c r="BG62" s="374">
        <v>7.0000000000000007E-2</v>
      </c>
      <c r="BH62" s="89"/>
      <c r="BI62" s="374">
        <v>7.0000000000000007E-2</v>
      </c>
      <c r="BJ62"/>
      <c r="BK62" s="89"/>
      <c r="BL62" s="374">
        <v>7.0000000000000007E-2</v>
      </c>
      <c r="BM62" s="89"/>
      <c r="BN62" s="374">
        <v>7.0000000000000007E-2</v>
      </c>
      <c r="BO62" s="89"/>
      <c r="BP62" s="374">
        <v>7.0000000000000007E-2</v>
      </c>
      <c r="BQ62" s="89"/>
      <c r="BR62" s="374">
        <v>7.0000000000000007E-2</v>
      </c>
      <c r="BT62" s="89"/>
      <c r="BU62" s="374">
        <v>7.0000000000000007E-2</v>
      </c>
      <c r="BV62" s="89"/>
      <c r="BW62" s="374">
        <v>7.0000000000000007E-2</v>
      </c>
    </row>
    <row r="63" spans="1:75" s="4" customFormat="1" ht="18" customHeight="1" x14ac:dyDescent="0.45">
      <c r="A63" s="561"/>
      <c r="B63" s="1184"/>
      <c r="C63" s="15" t="s">
        <v>67</v>
      </c>
      <c r="D63" s="16"/>
      <c r="E63" s="35" t="s">
        <v>68</v>
      </c>
      <c r="F63" s="373"/>
      <c r="G63" s="374">
        <f t="shared" ref="G63:I63" si="345">0.0425/100*(6.05-G57)</f>
        <v>2.2949999999999997E-3</v>
      </c>
      <c r="H63" s="373">
        <f>6.05-I60</f>
        <v>3.3453269754764037E-3</v>
      </c>
      <c r="I63" s="374">
        <f t="shared" si="345"/>
        <v>2.2949999999999997E-3</v>
      </c>
      <c r="J63" s="373"/>
      <c r="K63" s="374">
        <f t="shared" ref="K63:M63" si="346">0.0425/100*(6.05-K57)</f>
        <v>2.2312500000000002E-3</v>
      </c>
      <c r="L63" s="373">
        <f>6.05-M60</f>
        <v>4.070402892560665E-3</v>
      </c>
      <c r="M63" s="374">
        <f t="shared" si="346"/>
        <v>2.2312500000000002E-3</v>
      </c>
      <c r="N63" s="373"/>
      <c r="O63" s="374">
        <f t="shared" si="343"/>
        <v>2.7466959138422557E-3</v>
      </c>
      <c r="P63" s="373"/>
      <c r="Q63" s="374">
        <f t="shared" si="343"/>
        <v>2.7991768648018651E-3</v>
      </c>
      <c r="R63" s="373"/>
      <c r="S63" s="374">
        <f>0.0425/100*(6.05-S57)</f>
        <v>2.2312500000000002E-3</v>
      </c>
      <c r="T63" s="373"/>
      <c r="U63" s="374">
        <f>0.0425/100*(6.05-U57)</f>
        <v>2.2312500000000002E-3</v>
      </c>
      <c r="V63" s="373"/>
      <c r="W63" s="374">
        <f>0.0425/100*(6.05-W57)</f>
        <v>2.2312500000000002E-3</v>
      </c>
      <c r="X63" s="373"/>
      <c r="Y63" s="374">
        <f t="shared" ref="Y63:AA63" si="347">0.0425/100*(6.2-Y57)</f>
        <v>2.1462500000000006E-3</v>
      </c>
      <c r="Z63" s="373"/>
      <c r="AA63" s="374">
        <f t="shared" si="347"/>
        <v>2.1462500000000006E-3</v>
      </c>
      <c r="AB63" s="373"/>
      <c r="AC63" s="607">
        <f>0.0425%*(4.38-AC57)</f>
        <v>1.3090000000000001E-3</v>
      </c>
      <c r="AD63" s="373"/>
      <c r="AE63" s="607">
        <f>0.0425%*(4.38-AE57)</f>
        <v>1.28775E-3</v>
      </c>
      <c r="AF63" s="89"/>
      <c r="AG63" s="90">
        <f t="shared" ref="AG63:AI63" si="348">0.0425/100*(6.2-AG57)</f>
        <v>2.0697500000000004E-3</v>
      </c>
      <c r="AI63" s="90">
        <f t="shared" si="348"/>
        <v>2.0612500000000001E-3</v>
      </c>
      <c r="AJ63" s="89"/>
      <c r="AK63" s="90">
        <f t="shared" ref="AK63:AM63" si="349">0.0425/100*(6.2-AK57)</f>
        <v>1.8700000000000004E-3</v>
      </c>
      <c r="AL63" s="89"/>
      <c r="AM63" s="90">
        <f t="shared" si="349"/>
        <v>1.8700000000000004E-3</v>
      </c>
      <c r="AN63" s="608"/>
      <c r="AO63" s="607">
        <f>0.0425%*(6.05-AO57)</f>
        <v>2.5712500000000002E-3</v>
      </c>
      <c r="AP63" s="608"/>
      <c r="AQ63" s="607">
        <f>0.0425%*(6.05-AQ57)</f>
        <v>2.5712500000000002E-3</v>
      </c>
      <c r="AR63" s="608"/>
      <c r="AS63" s="607">
        <f>0.0425%*(6.05-AS57)</f>
        <v>2.5712500000000002E-3</v>
      </c>
      <c r="AT63" s="608"/>
      <c r="AU63" s="607">
        <f>0.0425%*(6.05-AU57)</f>
        <v>2.5712500000000002E-3</v>
      </c>
      <c r="AV63" s="608"/>
      <c r="AW63" s="607">
        <f>0.0425%*(6.05-AW57)</f>
        <v>2.5712500000000002E-3</v>
      </c>
      <c r="AX63" s="608"/>
      <c r="AY63" s="607">
        <f>0.0425%*(6.05-AY57)</f>
        <v>2.5712500000000002E-3</v>
      </c>
      <c r="BA63" s="90">
        <f t="shared" ref="BA63:BC63" si="350">0.0425/100*(6.2-BA57)</f>
        <v>2.1887500000000002E-3</v>
      </c>
      <c r="BC63" s="90">
        <f t="shared" si="350"/>
        <v>2.2100000000000002E-3</v>
      </c>
      <c r="BE63" s="90">
        <f t="shared" ref="BE63" si="351">0.0425/100*(6.2-BE57)</f>
        <v>2.2100000000000002E-3</v>
      </c>
      <c r="BG63" s="90">
        <f t="shared" ref="BG63" si="352">0.0425/100*(6.2-BG57)</f>
        <v>2.2100000000000002E-3</v>
      </c>
      <c r="BI63" s="90">
        <f t="shared" ref="BI63" si="353">0.0425/100*(6.2-BI57)</f>
        <v>2.2100000000000002E-3</v>
      </c>
      <c r="BJ63"/>
      <c r="BL63" s="90">
        <f t="shared" ref="BL63:BN63" si="354">0.0425/100*(6.2-BL57)</f>
        <v>2.2100000000000002E-3</v>
      </c>
      <c r="BN63" s="90">
        <f t="shared" si="354"/>
        <v>2.2100000000000002E-3</v>
      </c>
      <c r="BP63" s="90">
        <f t="shared" ref="BP63" si="355">0.0425/100*(6.2-BP57)</f>
        <v>2.2100000000000002E-3</v>
      </c>
      <c r="BR63" s="90">
        <f t="shared" ref="BR63" si="356">0.0425/100*(6.2-BR57)</f>
        <v>2.2100000000000002E-3</v>
      </c>
      <c r="BU63" s="90">
        <f t="shared" ref="BU63" si="357">0.0425/100*(6.2-BU57)</f>
        <v>2.2100000000000002E-3</v>
      </c>
      <c r="BW63" s="90">
        <f t="shared" ref="BW63" si="358">0.0425/100*(6.2-BW57)</f>
        <v>2.2100000000000002E-3</v>
      </c>
    </row>
    <row r="64" spans="1:75" s="4" customFormat="1" ht="18" customHeight="1" x14ac:dyDescent="0.45">
      <c r="A64" s="561"/>
      <c r="B64" s="1184"/>
      <c r="C64" s="15" t="s">
        <v>69</v>
      </c>
      <c r="D64" s="34" t="s">
        <v>70</v>
      </c>
      <c r="E64" s="16"/>
      <c r="F64" s="359"/>
      <c r="G64" s="91">
        <v>1207</v>
      </c>
      <c r="H64" s="359"/>
      <c r="I64" s="91">
        <v>750</v>
      </c>
      <c r="J64" s="359"/>
      <c r="K64" s="594">
        <v>1200</v>
      </c>
      <c r="L64" s="359"/>
      <c r="M64" s="594">
        <v>750</v>
      </c>
      <c r="N64" s="359"/>
      <c r="O64" s="91">
        <v>1200</v>
      </c>
      <c r="P64" s="359"/>
      <c r="Q64" s="91">
        <v>750</v>
      </c>
      <c r="R64" s="359"/>
      <c r="S64" s="594">
        <v>750</v>
      </c>
      <c r="T64" s="359"/>
      <c r="U64" s="594">
        <v>750</v>
      </c>
      <c r="V64" s="359"/>
      <c r="W64" s="594">
        <v>750</v>
      </c>
      <c r="X64" s="359"/>
      <c r="Y64" s="91">
        <v>1200</v>
      </c>
      <c r="Z64" s="359"/>
      <c r="AA64" s="91">
        <v>750</v>
      </c>
      <c r="AB64" s="359"/>
      <c r="AC64" s="91">
        <v>1200</v>
      </c>
      <c r="AD64" s="359"/>
      <c r="AE64" s="91">
        <v>750</v>
      </c>
      <c r="AF64" s="42"/>
      <c r="AG64" s="91">
        <v>1200</v>
      </c>
      <c r="AH64" s="42"/>
      <c r="AI64" s="91">
        <v>750</v>
      </c>
      <c r="AJ64" s="42"/>
      <c r="AK64" s="91">
        <v>1200</v>
      </c>
      <c r="AL64" s="42"/>
      <c r="AM64" s="91">
        <v>750</v>
      </c>
      <c r="AN64" s="359"/>
      <c r="AO64" s="91">
        <v>1200</v>
      </c>
      <c r="AP64" s="359"/>
      <c r="AQ64" s="91">
        <v>750</v>
      </c>
      <c r="AR64" s="359"/>
      <c r="AS64" s="91">
        <v>1200</v>
      </c>
      <c r="AT64" s="359"/>
      <c r="AU64" s="91">
        <v>750</v>
      </c>
      <c r="AV64" s="359"/>
      <c r="AW64" s="91">
        <v>1200</v>
      </c>
      <c r="AX64" s="359"/>
      <c r="AY64" s="91">
        <v>750</v>
      </c>
      <c r="AZ64" s="42"/>
      <c r="BA64" s="91">
        <v>750</v>
      </c>
      <c r="BB64" s="42"/>
      <c r="BC64" s="91">
        <v>750</v>
      </c>
      <c r="BD64" s="42"/>
      <c r="BE64" s="91">
        <v>750</v>
      </c>
      <c r="BF64" s="42"/>
      <c r="BG64" s="91">
        <v>750</v>
      </c>
      <c r="BH64" s="42"/>
      <c r="BI64" s="91">
        <v>750</v>
      </c>
      <c r="BJ64"/>
      <c r="BK64" s="42"/>
      <c r="BL64" s="91">
        <v>750</v>
      </c>
      <c r="BM64" s="42"/>
      <c r="BN64" s="91">
        <v>750</v>
      </c>
      <c r="BO64" s="42"/>
      <c r="BP64" s="91">
        <v>750</v>
      </c>
      <c r="BQ64" s="42"/>
      <c r="BR64" s="91">
        <v>750</v>
      </c>
      <c r="BT64" s="42"/>
      <c r="BU64" s="91">
        <v>750</v>
      </c>
      <c r="BV64" s="42"/>
      <c r="BW64" s="91">
        <v>750</v>
      </c>
    </row>
    <row r="65" spans="1:75" s="4" customFormat="1" ht="18" customHeight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375"/>
      <c r="G65" s="376">
        <f t="shared" ref="G65" si="359">+G64/G66</f>
        <v>0.34</v>
      </c>
      <c r="H65" s="375"/>
      <c r="I65" s="376">
        <f t="shared" ref="I65" si="360">+I64/I66</f>
        <v>0.20435967302452315</v>
      </c>
      <c r="J65" s="375"/>
      <c r="K65" s="368">
        <f t="shared" ref="K65" si="361">+K64/K66</f>
        <v>0.30991735537190085</v>
      </c>
      <c r="L65" s="375"/>
      <c r="M65" s="368">
        <f t="shared" ref="M65" si="362">+M64/M66</f>
        <v>0.19369834710743802</v>
      </c>
      <c r="N65" s="375"/>
      <c r="O65" s="376">
        <f t="shared" ref="O65:Q65" si="363">+O64/O66</f>
        <v>0.30991735537190085</v>
      </c>
      <c r="P65" s="375"/>
      <c r="Q65" s="376">
        <f t="shared" si="363"/>
        <v>0.19369834710743802</v>
      </c>
      <c r="R65" s="375"/>
      <c r="S65" s="368">
        <f>+S64/S66</f>
        <v>0.19369834710743802</v>
      </c>
      <c r="T65" s="375"/>
      <c r="U65" s="368">
        <f>+U64/U66</f>
        <v>0.19369834710743802</v>
      </c>
      <c r="V65" s="375"/>
      <c r="W65" s="368">
        <f>+W64/W66</f>
        <v>0.19369834710743802</v>
      </c>
      <c r="X65" s="375"/>
      <c r="Y65" s="376">
        <f t="shared" ref="Y65:AA65" si="364">+Y64/Y66</f>
        <v>0.24291497975708501</v>
      </c>
      <c r="Z65" s="375"/>
      <c r="AA65" s="376">
        <f t="shared" si="364"/>
        <v>0.15182186234817813</v>
      </c>
      <c r="AB65" s="375"/>
      <c r="AC65" s="376">
        <f>+AC64/AC66</f>
        <v>0.25</v>
      </c>
      <c r="AD65" s="375"/>
      <c r="AE65" s="376">
        <f>+AE64/AE66</f>
        <v>0.15625</v>
      </c>
      <c r="AF65" s="95"/>
      <c r="AG65" s="96">
        <f t="shared" ref="AG65" si="365">+AG64/AG66</f>
        <v>0.25</v>
      </c>
      <c r="AH65" s="95"/>
      <c r="AI65" s="96">
        <f t="shared" ref="AI65" si="366">+AI64/AI66</f>
        <v>0.15625</v>
      </c>
      <c r="AJ65" s="95"/>
      <c r="AK65" s="96">
        <f t="shared" ref="AK65:AM65" si="367">+AK64/AK66</f>
        <v>0.5</v>
      </c>
      <c r="AL65" s="95"/>
      <c r="AM65" s="96">
        <f t="shared" si="367"/>
        <v>0.3125</v>
      </c>
      <c r="AN65" s="375"/>
      <c r="AO65" s="376">
        <f>+AO64/AO66</f>
        <v>0.29629629629629628</v>
      </c>
      <c r="AP65" s="375"/>
      <c r="AQ65" s="376">
        <f>+AQ64/AQ66</f>
        <v>0.18518518518518517</v>
      </c>
      <c r="AR65" s="375"/>
      <c r="AS65" s="376">
        <f>+AS64/AS66</f>
        <v>0.2857142857142857</v>
      </c>
      <c r="AT65" s="375"/>
      <c r="AU65" s="376">
        <f>+AU64/AU66</f>
        <v>0.17857142857142858</v>
      </c>
      <c r="AV65" s="375"/>
      <c r="AW65" s="376">
        <f>+AW64/AW66</f>
        <v>0.2857142857142857</v>
      </c>
      <c r="AX65" s="375"/>
      <c r="AY65" s="376">
        <f>+AY64/AY66</f>
        <v>0.17857142857142858</v>
      </c>
      <c r="AZ65" s="95"/>
      <c r="BA65" s="96">
        <f t="shared" ref="BA65:BC65" si="368">+BA64/BA66</f>
        <v>0.15625</v>
      </c>
      <c r="BB65" s="95"/>
      <c r="BC65" s="96">
        <f t="shared" si="368"/>
        <v>0.12931034482758622</v>
      </c>
      <c r="BD65" s="95"/>
      <c r="BE65" s="96">
        <f t="shared" ref="BE65" si="369">+BE64/BE66</f>
        <v>0.12931034482758622</v>
      </c>
      <c r="BF65" s="95"/>
      <c r="BG65" s="96">
        <f t="shared" ref="BG65" si="370">+BG64/BG66</f>
        <v>0.12931034482758622</v>
      </c>
      <c r="BH65" s="95"/>
      <c r="BI65" s="96">
        <f t="shared" ref="BI65" si="371">+BI64/BI66</f>
        <v>0.12931034482758622</v>
      </c>
      <c r="BJ65"/>
      <c r="BK65" s="95"/>
      <c r="BL65" s="96">
        <f t="shared" ref="BL65:BN65" si="372">+BL64/BL66</f>
        <v>0.12931034482758622</v>
      </c>
      <c r="BM65" s="95"/>
      <c r="BN65" s="96">
        <f t="shared" si="372"/>
        <v>0.12931034482758622</v>
      </c>
      <c r="BO65" s="95"/>
      <c r="BP65" s="96">
        <f t="shared" ref="BP65" si="373">+BP64/BP66</f>
        <v>0.12931034482758622</v>
      </c>
      <c r="BQ65" s="95"/>
      <c r="BR65" s="96">
        <f t="shared" ref="BR65" si="374">+BR64/BR66</f>
        <v>0.12931034482758622</v>
      </c>
      <c r="BT65" s="95"/>
      <c r="BU65" s="96">
        <f t="shared" ref="BU65" si="375">+BU64/BU66</f>
        <v>0.12931034482758622</v>
      </c>
      <c r="BV65" s="95"/>
      <c r="BW65" s="96">
        <f t="shared" ref="BW65" si="376">+BW64/BW66</f>
        <v>0.12931034482758622</v>
      </c>
    </row>
    <row r="66" spans="1:75" s="4" customFormat="1" ht="18" customHeight="1" x14ac:dyDescent="0.45">
      <c r="A66" s="561"/>
      <c r="B66" s="1184"/>
      <c r="C66" s="15" t="s">
        <v>71</v>
      </c>
      <c r="D66" s="16"/>
      <c r="E66" s="35" t="s">
        <v>68</v>
      </c>
      <c r="F66" s="359"/>
      <c r="G66" s="372">
        <v>3550</v>
      </c>
      <c r="H66" s="359"/>
      <c r="I66" s="372">
        <v>3670</v>
      </c>
      <c r="J66" s="359"/>
      <c r="K66" s="372">
        <v>3872</v>
      </c>
      <c r="L66" s="359"/>
      <c r="M66" s="372">
        <v>3872</v>
      </c>
      <c r="N66" s="359"/>
      <c r="O66" s="372">
        <v>3872</v>
      </c>
      <c r="P66" s="359"/>
      <c r="Q66" s="372">
        <v>3872</v>
      </c>
      <c r="R66" s="359"/>
      <c r="S66" s="372">
        <v>3872</v>
      </c>
      <c r="T66" s="359"/>
      <c r="U66" s="372">
        <v>3872</v>
      </c>
      <c r="V66" s="359"/>
      <c r="W66" s="372">
        <v>3872</v>
      </c>
      <c r="X66" s="359"/>
      <c r="Y66" s="372">
        <v>4940</v>
      </c>
      <c r="Z66" s="359"/>
      <c r="AA66" s="372">
        <v>4940</v>
      </c>
      <c r="AB66" s="359"/>
      <c r="AC66" s="372">
        <v>4800</v>
      </c>
      <c r="AD66" s="359"/>
      <c r="AE66" s="372">
        <v>4800</v>
      </c>
      <c r="AF66" s="42"/>
      <c r="AG66" s="88">
        <v>4800</v>
      </c>
      <c r="AH66" s="42"/>
      <c r="AI66" s="88">
        <v>4800</v>
      </c>
      <c r="AJ66" s="42"/>
      <c r="AK66" s="88">
        <v>2400</v>
      </c>
      <c r="AL66" s="42"/>
      <c r="AM66" s="88">
        <v>2400</v>
      </c>
      <c r="AN66" s="359"/>
      <c r="AO66" s="372">
        <v>4050</v>
      </c>
      <c r="AP66" s="359"/>
      <c r="AQ66" s="372">
        <v>4050</v>
      </c>
      <c r="AR66" s="359"/>
      <c r="AS66" s="372">
        <v>4200</v>
      </c>
      <c r="AT66" s="359"/>
      <c r="AU66" s="372">
        <v>4200</v>
      </c>
      <c r="AV66" s="359"/>
      <c r="AW66" s="372">
        <v>4200</v>
      </c>
      <c r="AX66" s="359"/>
      <c r="AY66" s="372">
        <v>4200</v>
      </c>
      <c r="AZ66" s="42"/>
      <c r="BA66" s="88">
        <v>4800</v>
      </c>
      <c r="BB66" s="42"/>
      <c r="BC66" s="88">
        <v>5800</v>
      </c>
      <c r="BD66" s="42"/>
      <c r="BE66" s="88">
        <v>5800</v>
      </c>
      <c r="BF66" s="42"/>
      <c r="BG66" s="88">
        <v>5800</v>
      </c>
      <c r="BH66" s="42"/>
      <c r="BI66" s="88">
        <v>5800</v>
      </c>
      <c r="BJ66"/>
      <c r="BK66" s="42"/>
      <c r="BL66" s="88">
        <v>5800</v>
      </c>
      <c r="BM66" s="42"/>
      <c r="BN66" s="88">
        <v>5800</v>
      </c>
      <c r="BO66" s="42"/>
      <c r="BP66" s="88">
        <v>5800</v>
      </c>
      <c r="BQ66" s="42"/>
      <c r="BR66" s="88">
        <v>5800</v>
      </c>
      <c r="BT66" s="42"/>
      <c r="BU66" s="88">
        <v>5800</v>
      </c>
      <c r="BV66" s="42"/>
      <c r="BW66" s="88">
        <v>5800</v>
      </c>
    </row>
    <row r="67" spans="1:75" s="4" customFormat="1" ht="18" customHeight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f t="shared" ref="G67" si="377">5.4+0.26+0.05</f>
        <v>5.71</v>
      </c>
      <c r="H67" s="81"/>
      <c r="I67" s="82">
        <v>5.84</v>
      </c>
      <c r="J67" s="935"/>
      <c r="K67" s="82">
        <f t="shared" ref="K67" si="378">5.44+0.3</f>
        <v>5.74</v>
      </c>
      <c r="L67" s="935"/>
      <c r="M67" s="82">
        <f>5.44+0.41</f>
        <v>5.8500000000000005</v>
      </c>
      <c r="N67" s="81"/>
      <c r="O67" s="82">
        <f t="shared" ref="O67" si="379">5.44+0.3</f>
        <v>5.74</v>
      </c>
      <c r="P67" s="81"/>
      <c r="Q67" s="82">
        <f>5.44+0.41</f>
        <v>5.8500000000000005</v>
      </c>
      <c r="R67" s="935"/>
      <c r="S67" s="82">
        <f>5.44+0.4</f>
        <v>5.8400000000000007</v>
      </c>
      <c r="T67" s="935"/>
      <c r="U67" s="82">
        <f>5.44+0.4</f>
        <v>5.8400000000000007</v>
      </c>
      <c r="V67" s="935"/>
      <c r="W67" s="82">
        <f>5.44+0.4</f>
        <v>5.8400000000000007</v>
      </c>
      <c r="X67" s="81"/>
      <c r="Y67" s="82">
        <v>4.5999999999999996</v>
      </c>
      <c r="Z67" s="81"/>
      <c r="AA67" s="82">
        <v>4.7</v>
      </c>
      <c r="AB67" s="81"/>
      <c r="AC67" s="82">
        <v>4.0999999999999996</v>
      </c>
      <c r="AD67" s="81"/>
      <c r="AE67" s="82">
        <f>4.1+0.15</f>
        <v>4.25</v>
      </c>
      <c r="AF67" s="81"/>
      <c r="AG67" s="82">
        <v>4.13</v>
      </c>
      <c r="AH67" s="81"/>
      <c r="AI67" s="82">
        <f>4.13+0.12</f>
        <v>4.25</v>
      </c>
      <c r="AJ67" s="81"/>
      <c r="AK67" s="82">
        <v>6.05</v>
      </c>
      <c r="AL67" s="81"/>
      <c r="AM67" s="82">
        <f>6.05+0.2</f>
        <v>6.25</v>
      </c>
      <c r="AN67" s="81"/>
      <c r="AO67" s="82">
        <f>5.44+0.31</f>
        <v>5.75</v>
      </c>
      <c r="AP67" s="81"/>
      <c r="AQ67" s="82">
        <f>5.44+0.31+0.1</f>
        <v>5.85</v>
      </c>
      <c r="AR67" s="81"/>
      <c r="AS67" s="82">
        <v>5.75</v>
      </c>
      <c r="AT67" s="81"/>
      <c r="AU67" s="82">
        <f>5.44+0.31+0.1</f>
        <v>5.85</v>
      </c>
      <c r="AV67" s="81"/>
      <c r="AW67" s="82">
        <v>5.75</v>
      </c>
      <c r="AX67" s="81"/>
      <c r="AY67" s="82">
        <f>5.44+0.31+0.1</f>
        <v>5.85</v>
      </c>
      <c r="AZ67" s="81"/>
      <c r="BA67" s="82">
        <f>4.13+0.12</f>
        <v>4.25</v>
      </c>
      <c r="BB67" s="81"/>
      <c r="BC67" s="82">
        <v>6.2</v>
      </c>
      <c r="BD67" s="81"/>
      <c r="BE67" s="82">
        <v>6.2</v>
      </c>
      <c r="BF67" s="81"/>
      <c r="BG67" s="82">
        <v>6.2</v>
      </c>
      <c r="BH67" s="81"/>
      <c r="BI67" s="82">
        <v>6.2</v>
      </c>
      <c r="BJ67"/>
      <c r="BK67" s="81"/>
      <c r="BL67" s="82">
        <v>6.2</v>
      </c>
      <c r="BM67" s="81"/>
      <c r="BN67" s="82">
        <v>6.2</v>
      </c>
      <c r="BO67" s="81"/>
      <c r="BP67" s="82">
        <v>6.2</v>
      </c>
      <c r="BQ67" s="81"/>
      <c r="BR67" s="82">
        <v>6.2</v>
      </c>
      <c r="BT67" s="81"/>
      <c r="BU67" s="82">
        <v>6.2</v>
      </c>
      <c r="BV67" s="81"/>
      <c r="BW67" s="82">
        <v>6.2</v>
      </c>
    </row>
    <row r="68" spans="1:75" s="97" customFormat="1" ht="18" customHeight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 t="shared" ref="G68" si="380">G56-G65</f>
        <v>5.0622949999999998</v>
      </c>
      <c r="H68" s="81"/>
      <c r="I68" s="82">
        <f>I56-I65</f>
        <v>5.1922949999999997</v>
      </c>
      <c r="J68" s="81"/>
      <c r="K68" s="82">
        <f t="shared" ref="K68:M68" si="381">K56-K65</f>
        <v>4.9400000000000004</v>
      </c>
      <c r="L68" s="81"/>
      <c r="M68" s="82">
        <f t="shared" si="381"/>
        <v>5.0522312500000011</v>
      </c>
      <c r="N68" s="81"/>
      <c r="O68" s="82">
        <f t="shared" ref="O68:Q68" si="382">O56-O65</f>
        <v>4.9400000000000004</v>
      </c>
      <c r="P68" s="81"/>
      <c r="Q68" s="82">
        <f t="shared" si="382"/>
        <v>5.0563016528925617</v>
      </c>
      <c r="R68" s="81"/>
      <c r="S68" s="82">
        <f>S56-S65</f>
        <v>5.0600000000000005</v>
      </c>
      <c r="T68" s="81"/>
      <c r="U68" s="82">
        <f>U56-U65</f>
        <v>5.0600000000000005</v>
      </c>
      <c r="V68" s="81"/>
      <c r="W68" s="82">
        <f>W56-W65</f>
        <v>5.0600000000000005</v>
      </c>
      <c r="X68" s="81"/>
      <c r="Y68" s="82">
        <f t="shared" ref="Y68:AA68" si="383">Y56-Y65</f>
        <v>3.4599999999999995</v>
      </c>
      <c r="Z68" s="81"/>
      <c r="AA68" s="82">
        <f t="shared" si="383"/>
        <v>3.55</v>
      </c>
      <c r="AB68" s="81"/>
      <c r="AC68" s="82">
        <f>AC60-AC57</f>
        <v>3.0513089999999998</v>
      </c>
      <c r="AD68" s="81"/>
      <c r="AE68" s="82">
        <f>AE60-AE57</f>
        <v>3.0499787500000006</v>
      </c>
      <c r="AF68" s="81"/>
      <c r="AG68" s="82">
        <f t="shared" ref="AG68" si="384">AG56-AG65</f>
        <v>2.8</v>
      </c>
      <c r="AH68" s="81"/>
      <c r="AI68" s="82">
        <f t="shared" ref="AI68" si="385">AI56-AI65</f>
        <v>2.8937500000000003</v>
      </c>
      <c r="AJ68" s="81"/>
      <c r="AK68" s="82">
        <f t="shared" ref="AK68:AM68" si="386">AK56-AK65</f>
        <v>4.2536025000000004</v>
      </c>
      <c r="AL68" s="81"/>
      <c r="AM68" s="82">
        <f t="shared" si="386"/>
        <v>4.4375</v>
      </c>
      <c r="AN68" s="81"/>
      <c r="AO68" s="82">
        <f>AO60-AO57</f>
        <v>6.05</v>
      </c>
      <c r="AP68" s="81"/>
      <c r="AQ68" s="82">
        <f>AQ60-AQ57</f>
        <v>6.05</v>
      </c>
      <c r="AR68" s="81"/>
      <c r="AS68" s="82">
        <f>AS60-AS57</f>
        <v>6.05</v>
      </c>
      <c r="AT68" s="81"/>
      <c r="AU68" s="82">
        <f>AU60-AU57</f>
        <v>6.0461426785714281</v>
      </c>
      <c r="AV68" s="81"/>
      <c r="AW68" s="82">
        <f>AW60-AW57</f>
        <v>6.05</v>
      </c>
      <c r="AX68" s="81"/>
      <c r="AY68" s="82">
        <f>AY60-AY57</f>
        <v>6.0461426785714281</v>
      </c>
      <c r="AZ68" s="81"/>
      <c r="BA68" s="82">
        <f t="shared" ref="BA68:BC68" si="387">BA56-BA65</f>
        <v>3.1937500000000005</v>
      </c>
      <c r="BB68" s="81"/>
      <c r="BC68" s="82">
        <f t="shared" si="387"/>
        <v>5.2706896551724141</v>
      </c>
      <c r="BD68" s="81"/>
      <c r="BE68" s="82">
        <f t="shared" ref="BE68" si="388">BE56-BE65</f>
        <v>5.2706896551724141</v>
      </c>
      <c r="BF68" s="81"/>
      <c r="BG68" s="82">
        <f t="shared" ref="BG68" si="389">BG56-BG65</f>
        <v>5.2706896551724141</v>
      </c>
      <c r="BH68" s="81"/>
      <c r="BI68" s="82">
        <f t="shared" ref="BI68" si="390">BI56-BI65</f>
        <v>5.2706896551724141</v>
      </c>
      <c r="BJ68"/>
      <c r="BK68" s="81"/>
      <c r="BL68" s="82">
        <f t="shared" ref="BL68:BN68" si="391">BL56-BL65</f>
        <v>5.2706896551724141</v>
      </c>
      <c r="BM68" s="81"/>
      <c r="BN68" s="82">
        <f t="shared" si="391"/>
        <v>5.2706896551724141</v>
      </c>
      <c r="BO68" s="81"/>
      <c r="BP68" s="82">
        <f t="shared" ref="BP68" si="392">BP56-BP65</f>
        <v>5.2706896551724141</v>
      </c>
      <c r="BQ68" s="81"/>
      <c r="BR68" s="82">
        <f t="shared" ref="BR68" si="393">BR56-BR65</f>
        <v>5.2706896551724141</v>
      </c>
      <c r="BT68" s="81"/>
      <c r="BU68" s="82">
        <f t="shared" ref="BU68" si="394">BU56-BU65</f>
        <v>5.2706896551724141</v>
      </c>
      <c r="BV68" s="81"/>
      <c r="BW68" s="82">
        <f t="shared" ref="BW68" si="395">BW56-BW65</f>
        <v>5.2706896551724141</v>
      </c>
    </row>
    <row r="69" spans="1:75" s="4" customFormat="1" ht="18" customHeight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0.14274999999999999</v>
      </c>
      <c r="H69" s="101"/>
      <c r="I69" s="102">
        <f>+I67/I10</f>
        <v>0.14599999999999999</v>
      </c>
      <c r="J69" s="101"/>
      <c r="K69" s="82">
        <f>+K67/K10</f>
        <v>0.14350000000000002</v>
      </c>
      <c r="L69" s="101"/>
      <c r="M69" s="82">
        <f>+M67/M10</f>
        <v>0.14625000000000002</v>
      </c>
      <c r="N69" s="101"/>
      <c r="O69" s="82">
        <f>+O67/O10</f>
        <v>0.14350000000000002</v>
      </c>
      <c r="P69" s="101"/>
      <c r="Q69" s="82">
        <f>+Q67/Q10</f>
        <v>0.14625000000000002</v>
      </c>
      <c r="R69" s="101"/>
      <c r="S69" s="82">
        <f>+S67/S10</f>
        <v>0.14600000000000002</v>
      </c>
      <c r="T69" s="101"/>
      <c r="U69" s="82">
        <f>+U67/U10</f>
        <v>0.14600000000000002</v>
      </c>
      <c r="V69" s="101"/>
      <c r="W69" s="82">
        <f>+W67/W10</f>
        <v>0.14600000000000002</v>
      </c>
      <c r="X69" s="101"/>
      <c r="Y69" s="82">
        <f>+Y67/Y10</f>
        <v>0.3833333333333333</v>
      </c>
      <c r="Z69" s="101"/>
      <c r="AA69" s="82">
        <f>+AA67/AA10</f>
        <v>0.39166666666666666</v>
      </c>
      <c r="AB69" s="101"/>
      <c r="AC69" s="82">
        <f>+AC67/AC10</f>
        <v>0.34166666666666662</v>
      </c>
      <c r="AD69" s="101"/>
      <c r="AE69" s="82">
        <f>+AE67/AE10</f>
        <v>0.35416666666666669</v>
      </c>
      <c r="AF69" s="101"/>
      <c r="AG69" s="82">
        <f>+AG67/AG10</f>
        <v>0.34416666666666668</v>
      </c>
      <c r="AH69" s="101"/>
      <c r="AI69" s="82">
        <f>+AI67/AI10</f>
        <v>0.35416666666666669</v>
      </c>
      <c r="AJ69" s="101"/>
      <c r="AK69" s="82">
        <f>+AK67/AK10</f>
        <v>0.25208333333333333</v>
      </c>
      <c r="AL69" s="101"/>
      <c r="AM69" s="82">
        <f>+AM67/AM10</f>
        <v>0.26041666666666669</v>
      </c>
      <c r="AN69" s="101"/>
      <c r="AO69" s="82">
        <f>+AO67/AO10</f>
        <v>0.14374999999999999</v>
      </c>
      <c r="AP69" s="101"/>
      <c r="AQ69" s="82">
        <f>+AQ67/AQ10</f>
        <v>0.14624999999999999</v>
      </c>
      <c r="AR69" s="101"/>
      <c r="AS69" s="82">
        <f>+AS67/AS10</f>
        <v>0.14374999999999999</v>
      </c>
      <c r="AT69" s="101"/>
      <c r="AU69" s="82">
        <f>+AU67/AU10</f>
        <v>0.14624999999999999</v>
      </c>
      <c r="AV69" s="101"/>
      <c r="AW69" s="82">
        <f>+AW67/AW10</f>
        <v>0.14374999999999999</v>
      </c>
      <c r="AX69" s="101"/>
      <c r="AY69" s="82">
        <f>+AY67/AY10</f>
        <v>0.14624999999999999</v>
      </c>
      <c r="AZ69" s="101"/>
      <c r="BA69" s="82">
        <f>+BA67/BA10</f>
        <v>0.35416666666666669</v>
      </c>
      <c r="BB69" s="101"/>
      <c r="BC69" s="82">
        <f>+BC67/BC10</f>
        <v>0.31</v>
      </c>
      <c r="BD69" s="101"/>
      <c r="BE69" s="82">
        <f>+BE67/BE10</f>
        <v>0.31</v>
      </c>
      <c r="BF69" s="101"/>
      <c r="BG69" s="82">
        <f>+BG67/BG10</f>
        <v>0.31</v>
      </c>
      <c r="BH69" s="101"/>
      <c r="BI69" s="82">
        <f>+BI67/BI10</f>
        <v>0.31</v>
      </c>
      <c r="BJ69"/>
      <c r="BK69" s="101"/>
      <c r="BL69" s="82">
        <f>+BL67/BL10</f>
        <v>0.31</v>
      </c>
      <c r="BM69" s="101"/>
      <c r="BN69" s="82">
        <f>+BN67/BN10</f>
        <v>0.31</v>
      </c>
      <c r="BO69" s="101"/>
      <c r="BP69" s="82">
        <f>+BP67/BP10</f>
        <v>0.31</v>
      </c>
      <c r="BQ69" s="101"/>
      <c r="BR69" s="82">
        <f>+BR67/BR10</f>
        <v>0.31</v>
      </c>
      <c r="BT69" s="101"/>
      <c r="BU69" s="82">
        <f>+BU67/BU10</f>
        <v>0.31</v>
      </c>
      <c r="BV69" s="101"/>
      <c r="BW69" s="82">
        <f>+BW67/BW10</f>
        <v>0.31</v>
      </c>
    </row>
    <row r="70" spans="1:75" s="4" customFormat="1" ht="18" customHeight="1" thickBot="1" x14ac:dyDescent="0.5">
      <c r="A70" s="561"/>
      <c r="B70" s="1184"/>
      <c r="C70" s="104"/>
      <c r="D70" s="105"/>
      <c r="E70" s="105"/>
      <c r="F70" s="377"/>
      <c r="G70" s="378"/>
      <c r="H70" s="377"/>
      <c r="I70" s="378"/>
      <c r="J70" s="377"/>
      <c r="K70" s="595"/>
      <c r="L70" s="377"/>
      <c r="M70" s="595"/>
      <c r="N70" s="377"/>
      <c r="O70" s="378"/>
      <c r="P70" s="377"/>
      <c r="Q70" s="378"/>
      <c r="R70" s="377"/>
      <c r="S70" s="595"/>
      <c r="T70" s="377"/>
      <c r="U70" s="595"/>
      <c r="V70" s="377"/>
      <c r="W70" s="595"/>
      <c r="X70" s="377"/>
      <c r="Y70" s="378"/>
      <c r="Z70" s="377"/>
      <c r="AA70" s="378"/>
      <c r="AB70" s="377"/>
      <c r="AC70" s="378"/>
      <c r="AD70" s="377"/>
      <c r="AE70" s="378"/>
      <c r="AF70" s="106"/>
      <c r="AG70" s="107"/>
      <c r="AH70" s="106"/>
      <c r="AI70" s="107"/>
      <c r="AJ70" s="377"/>
      <c r="AK70" s="378"/>
      <c r="AL70" s="377"/>
      <c r="AM70" s="378"/>
      <c r="AN70" s="377"/>
      <c r="AO70" s="378"/>
      <c r="AP70" s="377"/>
      <c r="AQ70" s="378"/>
      <c r="AR70" s="377"/>
      <c r="AS70" s="378"/>
      <c r="AT70" s="377"/>
      <c r="AU70" s="378"/>
      <c r="AV70" s="377"/>
      <c r="AW70" s="378"/>
      <c r="AX70" s="377"/>
      <c r="AY70" s="378"/>
      <c r="AZ70" s="106"/>
      <c r="BA70" s="107"/>
      <c r="BB70" s="106"/>
      <c r="BC70" s="107"/>
      <c r="BD70" s="106"/>
      <c r="BE70" s="107"/>
      <c r="BF70" s="106"/>
      <c r="BG70" s="107"/>
      <c r="BH70" s="106"/>
      <c r="BI70" s="107"/>
      <c r="BJ70"/>
      <c r="BK70" s="106"/>
      <c r="BL70" s="107"/>
      <c r="BM70" s="106"/>
      <c r="BN70" s="107"/>
      <c r="BO70" s="106"/>
      <c r="BP70" s="107"/>
      <c r="BQ70" s="106"/>
      <c r="BR70" s="107"/>
      <c r="BT70" s="106"/>
      <c r="BU70" s="107"/>
      <c r="BV70" s="106"/>
      <c r="BW70" s="107"/>
    </row>
    <row r="71" spans="1:75" s="4" customFormat="1" ht="18" customHeight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 t="shared" ref="G71" si="396">G74+G72</f>
        <v>4.8787039057854154</v>
      </c>
      <c r="H71" s="111"/>
      <c r="I71" s="112">
        <f t="shared" ref="I71" si="397">I74+I72</f>
        <v>4.9397879694011246</v>
      </c>
      <c r="J71" s="111"/>
      <c r="K71" s="112">
        <f t="shared" ref="K71" si="398">K74+K72</f>
        <v>3.7782278481012659</v>
      </c>
      <c r="L71" s="111"/>
      <c r="M71" s="112">
        <f t="shared" ref="M71" si="399">M74+M72</f>
        <v>3.8251282051282054</v>
      </c>
      <c r="N71" s="111"/>
      <c r="O71" s="112">
        <f t="shared" ref="O71:Q71" si="400">O74+O72</f>
        <v>4.3615313576093504</v>
      </c>
      <c r="P71" s="111"/>
      <c r="Q71" s="112">
        <f t="shared" si="400"/>
        <v>4.4128205128205122</v>
      </c>
      <c r="R71" s="111"/>
      <c r="S71" s="112">
        <f>S74+S72</f>
        <v>4.4306517726135359</v>
      </c>
      <c r="T71" s="111"/>
      <c r="U71" s="112">
        <f>U74+U72</f>
        <v>4.4306517726135359</v>
      </c>
      <c r="V71" s="111"/>
      <c r="W71" s="112">
        <f>W74+W72</f>
        <v>4.4306517726135359</v>
      </c>
      <c r="X71" s="111"/>
      <c r="Y71" s="112">
        <f t="shared" ref="Y71:AA71" si="401">Y74+Y72</f>
        <v>2.5651520447124616</v>
      </c>
      <c r="Z71" s="111"/>
      <c r="AA71" s="112">
        <f t="shared" si="401"/>
        <v>2.5975473709052563</v>
      </c>
      <c r="AB71" s="111"/>
      <c r="AC71" s="112">
        <f>AC74+AC72</f>
        <v>2.8707621308016877</v>
      </c>
      <c r="AD71" s="111"/>
      <c r="AE71" s="112">
        <f>AE74+AE72</f>
        <v>2.9070993589743588</v>
      </c>
      <c r="AF71" s="111"/>
      <c r="AG71" s="112">
        <f t="shared" ref="AG71" si="402">AG74+AG72</f>
        <v>2.638822930788411</v>
      </c>
      <c r="AH71" s="111"/>
      <c r="AI71" s="112">
        <f t="shared" ref="AI71" si="403">AI74+AI72</f>
        <v>2.6721627555206409</v>
      </c>
      <c r="AJ71" s="111"/>
      <c r="AK71" s="112">
        <f t="shared" ref="AK71:AM71" si="404">AK74+AK72</f>
        <v>3.6204306717034047</v>
      </c>
      <c r="AL71" s="111"/>
      <c r="AM71" s="112">
        <f t="shared" si="404"/>
        <v>3.6658639725797437</v>
      </c>
      <c r="AN71" s="111"/>
      <c r="AO71" s="112">
        <f>AO74+AO72</f>
        <v>3.5491287701203316</v>
      </c>
      <c r="AP71" s="111"/>
      <c r="AQ71" s="112">
        <f>AQ74+AQ72</f>
        <v>3.5940764482431149</v>
      </c>
      <c r="AR71" s="111"/>
      <c r="AS71" s="112">
        <f>AS74+AS72</f>
        <v>3.0619650391802287</v>
      </c>
      <c r="AT71" s="111"/>
      <c r="AU71" s="112">
        <f>AU74+AU72</f>
        <v>3.1006868131868131</v>
      </c>
      <c r="AV71" s="111"/>
      <c r="AW71" s="112">
        <f>AW74+AW72</f>
        <v>2.7961422543701024</v>
      </c>
      <c r="AX71" s="111"/>
      <c r="AY71" s="112">
        <f>AY74+AY72</f>
        <v>2.8314560439560439</v>
      </c>
      <c r="AZ71" s="111"/>
      <c r="BA71" s="112">
        <f t="shared" ref="BA71:BC71" si="405">BA74+BA72</f>
        <v>2.7255235674853315</v>
      </c>
      <c r="BB71" s="111"/>
      <c r="BC71" s="112">
        <f t="shared" si="405"/>
        <v>3.382866224827989</v>
      </c>
      <c r="BD71" s="111"/>
      <c r="BE71" s="112">
        <f t="shared" ref="BE71" si="406">BE74+BE72</f>
        <v>3.4835239650206127</v>
      </c>
      <c r="BF71" s="111"/>
      <c r="BG71" s="112">
        <f t="shared" ref="BG71" si="407">BG74+BG72</f>
        <v>3.8064693063482142</v>
      </c>
      <c r="BH71" s="111"/>
      <c r="BI71" s="112">
        <f t="shared" ref="BI71" si="408">BI74+BI72</f>
        <v>3.3282706826291411</v>
      </c>
      <c r="BJ71"/>
      <c r="BK71" s="111"/>
      <c r="BL71" s="112">
        <f t="shared" ref="BL71:BN71" si="409">BL74+BL72</f>
        <v>4.0909090909090908</v>
      </c>
      <c r="BM71" s="111"/>
      <c r="BN71" s="112">
        <f t="shared" si="409"/>
        <v>4.1731266149870798</v>
      </c>
      <c r="BO71" s="111"/>
      <c r="BP71" s="112">
        <f t="shared" ref="BP71" si="410">BP74+BP72</f>
        <v>3.9660092586720781</v>
      </c>
      <c r="BQ71" s="111"/>
      <c r="BR71" s="112">
        <f t="shared" ref="BR71" si="411">BR74+BR72</f>
        <v>3.6789381417480591</v>
      </c>
      <c r="BT71" s="111"/>
      <c r="BU71" s="112">
        <f t="shared" ref="BU71" si="412">BU74+BU72</f>
        <v>3.382866224827989</v>
      </c>
      <c r="BV71" s="111"/>
      <c r="BW71" s="112">
        <f t="shared" ref="BW71" si="413">BW74+BW72</f>
        <v>4.2010480430098065</v>
      </c>
    </row>
    <row r="72" spans="1:75" s="4" customFormat="1" ht="18" customHeight="1" x14ac:dyDescent="0.45">
      <c r="A72" s="561"/>
      <c r="B72" s="1241"/>
      <c r="C72" s="115" t="s">
        <v>78</v>
      </c>
      <c r="D72" s="114"/>
      <c r="E72" s="115" t="s">
        <v>77</v>
      </c>
      <c r="F72" s="1024">
        <f t="shared" ref="F72" si="414">G72/G67</f>
        <v>1.9990708189159167E-2</v>
      </c>
      <c r="G72" s="596">
        <v>0.11414694376009885</v>
      </c>
      <c r="H72" s="1024">
        <f t="shared" ref="H72" si="415">I72/I67</f>
        <v>1.9545709547962132E-2</v>
      </c>
      <c r="I72" s="596">
        <v>0.11414694376009885</v>
      </c>
      <c r="J72" s="1024">
        <f t="shared" ref="J72:L72" si="416">K72/K67</f>
        <v>2.0905923344947733E-2</v>
      </c>
      <c r="K72" s="596">
        <v>0.12</v>
      </c>
      <c r="L72" s="1024">
        <f t="shared" si="416"/>
        <v>2.0512820512820509E-2</v>
      </c>
      <c r="M72" s="596">
        <f>K72</f>
        <v>0.12</v>
      </c>
      <c r="N72" s="1024">
        <f t="shared" ref="N72" si="417">O72/O67</f>
        <v>1.7997127092000794E-2</v>
      </c>
      <c r="O72" s="596">
        <v>0.10330350950808456</v>
      </c>
      <c r="P72" s="1024">
        <f t="shared" ref="P72" si="418">Q72/Q67</f>
        <v>1.7094017094017092E-2</v>
      </c>
      <c r="Q72" s="596">
        <v>0.1</v>
      </c>
      <c r="R72" s="1024"/>
      <c r="S72" s="596">
        <v>0.11013895210071603</v>
      </c>
      <c r="T72" s="1024"/>
      <c r="U72" s="596">
        <v>0.11013895210071603</v>
      </c>
      <c r="V72" s="1024"/>
      <c r="W72" s="596">
        <v>0.11013895210071603</v>
      </c>
      <c r="X72" s="116"/>
      <c r="Y72" s="117">
        <v>3.831660167448718E-2</v>
      </c>
      <c r="Z72" s="116"/>
      <c r="AA72" s="117">
        <v>3.831660167448718E-2</v>
      </c>
      <c r="AB72" s="116"/>
      <c r="AC72" s="117">
        <f>AC115</f>
        <v>9.0255801687763704E-2</v>
      </c>
      <c r="AD72" s="116"/>
      <c r="AE72" s="117">
        <f>AE115</f>
        <v>9.0945512820512817E-2</v>
      </c>
      <c r="AF72" s="116"/>
      <c r="AG72" s="117">
        <f>AA72</f>
        <v>3.831660167448718E-2</v>
      </c>
      <c r="AH72" s="116"/>
      <c r="AI72" s="117">
        <f>AG72</f>
        <v>3.831660167448718E-2</v>
      </c>
      <c r="AJ72" s="116"/>
      <c r="AK72" s="117">
        <v>7.6633203348974346E-2</v>
      </c>
      <c r="AL72" s="116"/>
      <c r="AM72" s="117">
        <v>7.6633203348974346E-2</v>
      </c>
      <c r="AN72" s="116"/>
      <c r="AO72" s="117">
        <f>AO115</f>
        <v>0.106090795436787</v>
      </c>
      <c r="AP72" s="116"/>
      <c r="AQ72" s="117">
        <f>AQ115</f>
        <v>0.10689696106362773</v>
      </c>
      <c r="AR72" s="116"/>
      <c r="AS72" s="117">
        <f>AS115</f>
        <v>0.1024713682941531</v>
      </c>
      <c r="AT72" s="116"/>
      <c r="AU72" s="117">
        <f>AU115</f>
        <v>0.10325091575091574</v>
      </c>
      <c r="AV72" s="116"/>
      <c r="AW72" s="117">
        <f>AW115</f>
        <v>0.1024713682941531</v>
      </c>
      <c r="AX72" s="116"/>
      <c r="AY72" s="117">
        <f>AY115</f>
        <v>0.10325091575091574</v>
      </c>
      <c r="AZ72" s="116"/>
      <c r="BA72" s="117">
        <f>S72</f>
        <v>0.11013895210071603</v>
      </c>
      <c r="BB72" s="116"/>
      <c r="BC72" s="117">
        <f>U72</f>
        <v>0.11013895210071603</v>
      </c>
      <c r="BD72" s="116"/>
      <c r="BE72" s="117">
        <f>W72</f>
        <v>0.11013895210071603</v>
      </c>
      <c r="BF72" s="116"/>
      <c r="BG72" s="117">
        <f>Y72</f>
        <v>3.831660167448718E-2</v>
      </c>
      <c r="BH72" s="116"/>
      <c r="BI72" s="117">
        <f>W72</f>
        <v>0.11013895210071603</v>
      </c>
      <c r="BJ72"/>
      <c r="BK72" s="116"/>
      <c r="BL72" s="117">
        <f>Z72</f>
        <v>0</v>
      </c>
      <c r="BM72" s="116"/>
      <c r="BN72" s="117">
        <f>AB72</f>
        <v>0</v>
      </c>
      <c r="BO72" s="116"/>
      <c r="BP72" s="117">
        <f>AD72</f>
        <v>0</v>
      </c>
      <c r="BQ72" s="116"/>
      <c r="BR72" s="117">
        <f>AF72</f>
        <v>0</v>
      </c>
      <c r="BT72" s="116"/>
      <c r="BU72" s="117">
        <f>BC72</f>
        <v>0.11013895210071603</v>
      </c>
      <c r="BV72" s="116"/>
      <c r="BW72" s="117">
        <f>BU72</f>
        <v>0.11013895210071603</v>
      </c>
    </row>
    <row r="73" spans="1:75" s="4" customFormat="1" ht="18" customHeight="1" x14ac:dyDescent="0.45">
      <c r="A73" s="561"/>
      <c r="B73" s="1241"/>
      <c r="C73" s="16"/>
      <c r="D73" s="16"/>
      <c r="E73" s="16"/>
      <c r="F73" s="359"/>
      <c r="G73" s="685"/>
      <c r="H73" s="359"/>
      <c r="I73" s="685"/>
      <c r="J73" s="359"/>
      <c r="K73" s="597"/>
      <c r="L73" s="359"/>
      <c r="M73" s="597"/>
      <c r="N73" s="359"/>
      <c r="O73" s="560"/>
      <c r="P73" s="359"/>
      <c r="Q73" s="560"/>
      <c r="R73" s="359"/>
      <c r="S73" s="597"/>
      <c r="T73" s="359"/>
      <c r="U73" s="597"/>
      <c r="V73" s="359"/>
      <c r="W73" s="597"/>
      <c r="X73" s="359"/>
      <c r="Y73" s="379"/>
      <c r="Z73" s="359"/>
      <c r="AA73" s="379"/>
      <c r="AB73" s="359"/>
      <c r="AC73" s="379"/>
      <c r="AD73" s="359"/>
      <c r="AE73" s="379"/>
      <c r="AF73" s="42"/>
      <c r="AG73" s="118"/>
      <c r="AH73" s="42"/>
      <c r="AI73" s="118"/>
      <c r="AJ73" s="359"/>
      <c r="AK73" s="379"/>
      <c r="AL73" s="359"/>
      <c r="AM73" s="379"/>
      <c r="AN73" s="359"/>
      <c r="AO73" s="560"/>
      <c r="AP73" s="359"/>
      <c r="AQ73" s="560"/>
      <c r="AR73" s="359"/>
      <c r="AS73" s="560"/>
      <c r="AT73" s="359"/>
      <c r="AU73" s="560"/>
      <c r="AV73" s="359"/>
      <c r="AW73" s="560"/>
      <c r="AX73" s="359"/>
      <c r="AY73" s="560"/>
      <c r="AZ73" s="42"/>
      <c r="BA73" s="118"/>
      <c r="BB73" s="42"/>
      <c r="BC73" s="118"/>
      <c r="BD73" s="42"/>
      <c r="BE73" s="118"/>
      <c r="BF73" s="42"/>
      <c r="BG73" s="118"/>
      <c r="BH73" s="42"/>
      <c r="BI73" s="118"/>
      <c r="BJ73"/>
      <c r="BK73" s="42"/>
      <c r="BL73" s="118"/>
      <c r="BM73" s="42"/>
      <c r="BN73" s="118"/>
      <c r="BO73" s="42"/>
      <c r="BP73" s="118"/>
      <c r="BQ73" s="42"/>
      <c r="BR73" s="118"/>
      <c r="BT73" s="42"/>
      <c r="BU73" s="118"/>
      <c r="BV73" s="42"/>
      <c r="BW73" s="118"/>
    </row>
    <row r="74" spans="1:75" s="4" customFormat="1" ht="18" customHeight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552"/>
      <c r="G74" s="70">
        <f>G76/G79</f>
        <v>4.7645569620253161</v>
      </c>
      <c r="H74" s="552"/>
      <c r="I74" s="70">
        <f t="shared" ref="I74:BA74" si="419">I76/I79</f>
        <v>4.8256410256410254</v>
      </c>
      <c r="J74" s="552"/>
      <c r="K74" s="70">
        <f t="shared" si="419"/>
        <v>3.6582278481012658</v>
      </c>
      <c r="L74" s="552"/>
      <c r="M74" s="70">
        <f t="shared" si="419"/>
        <v>3.7051282051282053</v>
      </c>
      <c r="N74" s="66"/>
      <c r="O74" s="70">
        <f>O76/O79</f>
        <v>4.2582278481012654</v>
      </c>
      <c r="P74" s="66"/>
      <c r="Q74" s="70">
        <f>Q76/Q79</f>
        <v>4.3128205128205126</v>
      </c>
      <c r="R74" s="552"/>
      <c r="S74" s="70">
        <f>S76/S79</f>
        <v>4.3205128205128203</v>
      </c>
      <c r="T74" s="552"/>
      <c r="U74" s="70">
        <f>U76/U79</f>
        <v>4.3205128205128203</v>
      </c>
      <c r="V74" s="552"/>
      <c r="W74" s="70">
        <f>W76/W79</f>
        <v>4.3205128205128203</v>
      </c>
      <c r="X74" s="66"/>
      <c r="Y74" s="70">
        <f>Y76/Y79</f>
        <v>2.5268354430379745</v>
      </c>
      <c r="Z74" s="66"/>
      <c r="AA74" s="70">
        <f>AA76/AA79</f>
        <v>2.5592307692307692</v>
      </c>
      <c r="AB74" s="66"/>
      <c r="AC74" s="70">
        <f>AC76/AC79</f>
        <v>2.780506329113924</v>
      </c>
      <c r="AD74" s="66"/>
      <c r="AE74" s="70">
        <f>AE76/AE79</f>
        <v>2.816153846153846</v>
      </c>
      <c r="AF74" s="66"/>
      <c r="AG74" s="70">
        <f>AG76/AG79</f>
        <v>2.6005063291139239</v>
      </c>
      <c r="AH74" s="66"/>
      <c r="AI74" s="70">
        <f>AI76/AI79</f>
        <v>2.6338461538461537</v>
      </c>
      <c r="AJ74" s="66"/>
      <c r="AK74" s="70">
        <f>AK76/AK79</f>
        <v>3.5437974683544304</v>
      </c>
      <c r="AL74" s="66"/>
      <c r="AM74" s="70">
        <f>AM76/AM79</f>
        <v>3.5892307692307694</v>
      </c>
      <c r="AN74" s="552"/>
      <c r="AO74" s="70">
        <f t="shared" si="419"/>
        <v>3.4430379746835444</v>
      </c>
      <c r="AP74" s="552"/>
      <c r="AQ74" s="70">
        <f t="shared" si="419"/>
        <v>3.4871794871794872</v>
      </c>
      <c r="AR74" s="552"/>
      <c r="AS74" s="70">
        <f t="shared" si="419"/>
        <v>2.9594936708860757</v>
      </c>
      <c r="AT74" s="552"/>
      <c r="AU74" s="70">
        <f t="shared" si="419"/>
        <v>2.9974358974358974</v>
      </c>
      <c r="AV74" s="552"/>
      <c r="AW74" s="70">
        <f t="shared" si="419"/>
        <v>2.6936708860759495</v>
      </c>
      <c r="AX74" s="552"/>
      <c r="AY74" s="70">
        <f t="shared" si="419"/>
        <v>2.7282051282051283</v>
      </c>
      <c r="AZ74" s="66"/>
      <c r="BA74" s="70">
        <f t="shared" si="419"/>
        <v>2.6153846153846154</v>
      </c>
      <c r="BB74" s="66"/>
      <c r="BC74" s="70">
        <f t="shared" ref="BC74:BE74" si="420">BC76/BC79</f>
        <v>3.2727272727272729</v>
      </c>
      <c r="BD74" s="66"/>
      <c r="BE74" s="70">
        <f t="shared" si="420"/>
        <v>3.3733850129198966</v>
      </c>
      <c r="BF74" s="66"/>
      <c r="BG74" s="70">
        <f t="shared" ref="BG74" si="421">BG76/BG79</f>
        <v>3.7681527046737271</v>
      </c>
      <c r="BH74" s="66"/>
      <c r="BI74" s="70">
        <f t="shared" ref="BI74" si="422">BI76/BI79</f>
        <v>3.2181317305284249</v>
      </c>
      <c r="BJ74"/>
      <c r="BK74" s="66"/>
      <c r="BL74" s="70">
        <f t="shared" ref="BL74:BN74" si="423">BL76/BL79</f>
        <v>4.0909090909090908</v>
      </c>
      <c r="BM74" s="66"/>
      <c r="BN74" s="70">
        <f t="shared" si="423"/>
        <v>4.1731266149870798</v>
      </c>
      <c r="BO74" s="66"/>
      <c r="BP74" s="70">
        <f t="shared" ref="BP74" si="424">BP76/BP79</f>
        <v>3.9660092586720781</v>
      </c>
      <c r="BQ74" s="66"/>
      <c r="BR74" s="70">
        <f t="shared" ref="BR74" si="425">BR76/BR79</f>
        <v>3.6789381417480591</v>
      </c>
      <c r="BT74" s="66"/>
      <c r="BU74" s="70">
        <f t="shared" ref="BU74" si="426">BU76/BU79</f>
        <v>3.2727272727272729</v>
      </c>
      <c r="BV74" s="66"/>
      <c r="BW74" s="70">
        <f t="shared" ref="BW74" si="427">BW76/BW79</f>
        <v>4.0909090909090908</v>
      </c>
    </row>
    <row r="75" spans="1:75" s="65" customFormat="1" ht="18" customHeight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0.1191139240506329</v>
      </c>
      <c r="H75" s="124"/>
      <c r="I75" s="125">
        <f>+I74/I10</f>
        <v>0.12064102564102563</v>
      </c>
      <c r="J75" s="124"/>
      <c r="K75" s="125">
        <f>+K74/K10</f>
        <v>9.1455696202531647E-2</v>
      </c>
      <c r="L75" s="124"/>
      <c r="M75" s="125">
        <f>+M74/M10</f>
        <v>9.2628205128205132E-2</v>
      </c>
      <c r="N75" s="124"/>
      <c r="O75" s="125">
        <f>+O74/O10</f>
        <v>0.10645569620253163</v>
      </c>
      <c r="P75" s="124"/>
      <c r="Q75" s="125">
        <f>+Q74/Q10</f>
        <v>0.10782051282051282</v>
      </c>
      <c r="R75" s="124"/>
      <c r="S75" s="125">
        <f>+S74/S10</f>
        <v>0.1080128205128205</v>
      </c>
      <c r="T75" s="124"/>
      <c r="U75" s="125">
        <f>+U74/U10</f>
        <v>0.1080128205128205</v>
      </c>
      <c r="V75" s="124"/>
      <c r="W75" s="125">
        <f>+W74/W10</f>
        <v>0.1080128205128205</v>
      </c>
      <c r="X75" s="124"/>
      <c r="Y75" s="125">
        <f>+Y74/Y10</f>
        <v>0.21056962025316453</v>
      </c>
      <c r="Z75" s="124"/>
      <c r="AA75" s="125">
        <f>+AA74/AA10</f>
        <v>0.21326923076923077</v>
      </c>
      <c r="AB75" s="124"/>
      <c r="AC75" s="125">
        <f>+AC74/AC10</f>
        <v>0.23170886075949368</v>
      </c>
      <c r="AD75" s="124"/>
      <c r="AE75" s="125">
        <f>+AE74/AE10</f>
        <v>0.23467948717948717</v>
      </c>
      <c r="AF75" s="124"/>
      <c r="AG75" s="125">
        <f>+AG74/AG10</f>
        <v>0.21670886075949367</v>
      </c>
      <c r="AH75" s="124"/>
      <c r="AI75" s="125">
        <f>+AI74/AI10</f>
        <v>0.21948717948717947</v>
      </c>
      <c r="AJ75" s="124"/>
      <c r="AK75" s="125">
        <f>+AK74/AK10</f>
        <v>0.14765822784810126</v>
      </c>
      <c r="AL75" s="124"/>
      <c r="AM75" s="125">
        <f>+AM74/AM10</f>
        <v>0.14955128205128207</v>
      </c>
      <c r="AN75" s="124"/>
      <c r="AO75" s="125">
        <f>+AO74/AO10</f>
        <v>8.6075949367088608E-2</v>
      </c>
      <c r="AP75" s="124"/>
      <c r="AQ75" s="125">
        <f>+AQ74/AQ10</f>
        <v>8.7179487179487175E-2</v>
      </c>
      <c r="AR75" s="124"/>
      <c r="AS75" s="125">
        <f>+AS74/AS10</f>
        <v>7.3987341772151896E-2</v>
      </c>
      <c r="AT75" s="124"/>
      <c r="AU75" s="125">
        <f>+AU74/AU10</f>
        <v>7.4935897435897431E-2</v>
      </c>
      <c r="AV75" s="124"/>
      <c r="AW75" s="125">
        <f>+AW74/AW10</f>
        <v>6.7341772151898738E-2</v>
      </c>
      <c r="AX75" s="124"/>
      <c r="AY75" s="125">
        <f>+AY74/AY10</f>
        <v>6.820512820512821E-2</v>
      </c>
      <c r="AZ75" s="124"/>
      <c r="BA75" s="125">
        <f>+BA74/BA10</f>
        <v>0.21794871794871795</v>
      </c>
      <c r="BB75" s="124"/>
      <c r="BC75" s="125">
        <f>+BC74/BC10</f>
        <v>0.16363636363636364</v>
      </c>
      <c r="BD75" s="124"/>
      <c r="BE75" s="125">
        <f>+BE74/BE10</f>
        <v>0.16866925064599483</v>
      </c>
      <c r="BF75" s="124"/>
      <c r="BG75" s="125">
        <f>+BG74/BG10</f>
        <v>0.18840763523368637</v>
      </c>
      <c r="BH75" s="124"/>
      <c r="BI75" s="125">
        <f>+BI74/BI10</f>
        <v>0.16090658652642126</v>
      </c>
      <c r="BJ75"/>
      <c r="BK75" s="124"/>
      <c r="BL75" s="125">
        <f>+BL74/BL10</f>
        <v>0.20454545454545453</v>
      </c>
      <c r="BM75" s="124"/>
      <c r="BN75" s="125">
        <f>+BN74/BN10</f>
        <v>0.208656330749354</v>
      </c>
      <c r="BO75" s="124"/>
      <c r="BP75" s="125">
        <f>+BP74/BP10</f>
        <v>0.1983004629336039</v>
      </c>
      <c r="BQ75" s="124"/>
      <c r="BR75" s="125">
        <f>+BR74/BR10</f>
        <v>0.18394690708740297</v>
      </c>
      <c r="BT75" s="124"/>
      <c r="BU75" s="125">
        <f>+BU74/BU10</f>
        <v>0.16363636363636364</v>
      </c>
      <c r="BV75" s="124"/>
      <c r="BW75" s="125">
        <f>+BW74/BW10</f>
        <v>0.20454545454545453</v>
      </c>
    </row>
    <row r="76" spans="1:75" s="65" customFormat="1" ht="17.649999999999999" customHeight="1" x14ac:dyDescent="0.45">
      <c r="A76" s="561"/>
      <c r="B76" s="1241"/>
      <c r="C76" s="258" t="s">
        <v>141</v>
      </c>
      <c r="D76" s="16"/>
      <c r="E76" s="126" t="s">
        <v>81</v>
      </c>
      <c r="F76" s="380"/>
      <c r="G76" s="374">
        <f>G77*G10</f>
        <v>75280</v>
      </c>
      <c r="H76" s="380"/>
      <c r="I76" s="374">
        <f>I77*I10</f>
        <v>75280</v>
      </c>
      <c r="J76" s="380"/>
      <c r="K76" s="374">
        <f>K77*K10</f>
        <v>57800</v>
      </c>
      <c r="L76" s="380"/>
      <c r="M76" s="374">
        <f>M77*M10</f>
        <v>57800</v>
      </c>
      <c r="N76" s="380"/>
      <c r="O76" s="374">
        <f>O77*O10</f>
        <v>67280</v>
      </c>
      <c r="P76" s="380"/>
      <c r="Q76" s="374">
        <f>Q77*Q10</f>
        <v>67280</v>
      </c>
      <c r="R76" s="380"/>
      <c r="S76" s="374">
        <f>S77*S10</f>
        <v>67400</v>
      </c>
      <c r="T76" s="380"/>
      <c r="U76" s="374">
        <f>U77*U10</f>
        <v>67400</v>
      </c>
      <c r="V76" s="380"/>
      <c r="W76" s="374">
        <f>W77*W10</f>
        <v>67400</v>
      </c>
      <c r="X76" s="380"/>
      <c r="Y76" s="374">
        <f>Y77*Y10</f>
        <v>39924</v>
      </c>
      <c r="Z76" s="380"/>
      <c r="AA76" s="374">
        <f>AA77*AA10</f>
        <v>39924</v>
      </c>
      <c r="AB76" s="380"/>
      <c r="AC76" s="374">
        <f>AC77*AC10</f>
        <v>43932</v>
      </c>
      <c r="AD76" s="380"/>
      <c r="AE76" s="374">
        <f>AE77*AE10</f>
        <v>43932</v>
      </c>
      <c r="AF76" s="127"/>
      <c r="AG76" s="374">
        <f>AG77*AG10</f>
        <v>41088</v>
      </c>
      <c r="AH76" s="380"/>
      <c r="AI76" s="374">
        <f>AI77*AI10</f>
        <v>41088</v>
      </c>
      <c r="AJ76" s="380"/>
      <c r="AK76" s="374">
        <f>AK77*AK10</f>
        <v>55992</v>
      </c>
      <c r="AL76" s="380"/>
      <c r="AM76" s="374">
        <f>AM77*AM10</f>
        <v>55992</v>
      </c>
      <c r="AN76" s="380"/>
      <c r="AO76" s="374">
        <f>AO77*AO10</f>
        <v>54400</v>
      </c>
      <c r="AP76" s="380"/>
      <c r="AQ76" s="374">
        <f>AQ77*AQ10</f>
        <v>54400</v>
      </c>
      <c r="AR76" s="380"/>
      <c r="AS76" s="374">
        <f>AS77*AS10</f>
        <v>46760</v>
      </c>
      <c r="AT76" s="380"/>
      <c r="AU76" s="374">
        <f>AU77*AU10</f>
        <v>46760</v>
      </c>
      <c r="AV76" s="380"/>
      <c r="AW76" s="374">
        <f>AW77*AW10</f>
        <v>42560</v>
      </c>
      <c r="AX76" s="380"/>
      <c r="AY76" s="374">
        <f>AY77*AY10</f>
        <v>42560</v>
      </c>
      <c r="AZ76" s="127"/>
      <c r="BA76" s="374">
        <f>BA77*BA10</f>
        <v>40800</v>
      </c>
      <c r="BB76" s="127"/>
      <c r="BC76" s="374">
        <f>BC77*BC10</f>
        <v>50400</v>
      </c>
      <c r="BD76" s="127"/>
      <c r="BE76" s="374">
        <f>BE77*BE10</f>
        <v>52220</v>
      </c>
      <c r="BF76" s="127"/>
      <c r="BG76" s="374">
        <f>BG77*BG10</f>
        <v>59420</v>
      </c>
      <c r="BH76" s="127"/>
      <c r="BI76" s="374">
        <f>BI77*BI10</f>
        <v>51400</v>
      </c>
      <c r="BJ76"/>
      <c r="BK76" s="127"/>
      <c r="BL76" s="374">
        <f>BL77*BL10</f>
        <v>63000</v>
      </c>
      <c r="BM76" s="127"/>
      <c r="BN76" s="374">
        <f>BN77*BN10</f>
        <v>64600</v>
      </c>
      <c r="BO76" s="127"/>
      <c r="BP76" s="374">
        <f>BP77*BP10</f>
        <v>62540</v>
      </c>
      <c r="BQ76" s="127"/>
      <c r="BR76" s="374">
        <f>BR77*BR10</f>
        <v>58760</v>
      </c>
      <c r="BT76" s="127"/>
      <c r="BU76" s="374">
        <f>BU77*BU10</f>
        <v>50400</v>
      </c>
      <c r="BV76" s="127"/>
      <c r="BW76" s="374">
        <f>BW77*BW10</f>
        <v>63000</v>
      </c>
    </row>
    <row r="77" spans="1:75" s="65" customFormat="1" ht="17.649999999999999" customHeight="1" x14ac:dyDescent="0.45">
      <c r="A77" s="561"/>
      <c r="B77" s="1241"/>
      <c r="C77" s="16" t="s">
        <v>80</v>
      </c>
      <c r="D77" s="16"/>
      <c r="E77" s="126" t="s">
        <v>81</v>
      </c>
      <c r="F77" s="380"/>
      <c r="G77" s="622">
        <v>1882</v>
      </c>
      <c r="H77" s="380"/>
      <c r="I77" s="622">
        <v>1882</v>
      </c>
      <c r="J77" s="684"/>
      <c r="K77" s="622">
        <v>1445</v>
      </c>
      <c r="L77" s="684"/>
      <c r="M77" s="622">
        <v>1445</v>
      </c>
      <c r="N77" s="380"/>
      <c r="O77" s="622">
        <v>1682</v>
      </c>
      <c r="P77" s="380"/>
      <c r="Q77" s="622">
        <v>1682</v>
      </c>
      <c r="R77" s="684"/>
      <c r="S77" s="622">
        <v>1685</v>
      </c>
      <c r="T77" s="684"/>
      <c r="U77" s="622">
        <v>1685</v>
      </c>
      <c r="V77" s="684"/>
      <c r="W77" s="622">
        <v>1685</v>
      </c>
      <c r="X77" s="380"/>
      <c r="Y77" s="622">
        <v>3327</v>
      </c>
      <c r="Z77" s="380"/>
      <c r="AA77" s="622">
        <v>3327</v>
      </c>
      <c r="AB77" s="380"/>
      <c r="AC77" s="622">
        <v>3661</v>
      </c>
      <c r="AD77" s="380"/>
      <c r="AE77" s="622">
        <v>3661</v>
      </c>
      <c r="AF77" s="127"/>
      <c r="AG77" s="622">
        <v>3424</v>
      </c>
      <c r="AH77" s="380"/>
      <c r="AI77" s="622">
        <v>3424</v>
      </c>
      <c r="AJ77" s="380"/>
      <c r="AK77" s="622">
        <v>2333</v>
      </c>
      <c r="AL77" s="380"/>
      <c r="AM77" s="622">
        <v>2333</v>
      </c>
      <c r="AN77" s="380"/>
      <c r="AO77" s="622">
        <v>1360</v>
      </c>
      <c r="AP77" s="684"/>
      <c r="AQ77" s="622">
        <v>1360</v>
      </c>
      <c r="AR77" s="380"/>
      <c r="AS77" s="622">
        <v>1169</v>
      </c>
      <c r="AT77" s="380"/>
      <c r="AU77" s="622">
        <v>1169</v>
      </c>
      <c r="AV77" s="684"/>
      <c r="AW77" s="622">
        <v>1064</v>
      </c>
      <c r="AX77" s="380"/>
      <c r="AY77" s="622">
        <v>1064</v>
      </c>
      <c r="AZ77" s="127"/>
      <c r="BA77" s="622">
        <v>3400</v>
      </c>
      <c r="BB77" s="127"/>
      <c r="BC77" s="622">
        <v>2520</v>
      </c>
      <c r="BD77" s="127"/>
      <c r="BE77" s="622">
        <v>2611</v>
      </c>
      <c r="BF77" s="127"/>
      <c r="BG77" s="622">
        <v>2971</v>
      </c>
      <c r="BH77" s="127"/>
      <c r="BI77" s="622">
        <v>2570</v>
      </c>
      <c r="BJ77"/>
      <c r="BK77" s="127"/>
      <c r="BL77" s="622">
        <v>3150</v>
      </c>
      <c r="BM77" s="127"/>
      <c r="BN77" s="622">
        <v>3230</v>
      </c>
      <c r="BO77" s="127"/>
      <c r="BP77" s="622">
        <v>3127</v>
      </c>
      <c r="BQ77" s="127"/>
      <c r="BR77" s="622">
        <v>2938</v>
      </c>
      <c r="BT77" s="127"/>
      <c r="BU77" s="622">
        <v>2520</v>
      </c>
      <c r="BV77" s="127"/>
      <c r="BW77" s="622">
        <v>3150</v>
      </c>
    </row>
    <row r="78" spans="1:75" s="65" customFormat="1" ht="17.649999999999999" customHeight="1" x14ac:dyDescent="0.45">
      <c r="A78" s="561"/>
      <c r="B78" s="1241"/>
      <c r="C78" s="259"/>
      <c r="D78" s="16"/>
      <c r="E78" s="126"/>
      <c r="F78" s="380"/>
      <c r="G78" s="374">
        <f t="shared" ref="G78" si="428">G74/G67</f>
        <v>0.83442328581879444</v>
      </c>
      <c r="H78" s="380"/>
      <c r="I78" s="374">
        <f t="shared" ref="I78" si="429">I74/I67</f>
        <v>0.8263083948015455</v>
      </c>
      <c r="J78" s="380"/>
      <c r="K78" s="374">
        <f t="shared" ref="K78:M78" si="430">K74/K67</f>
        <v>0.6373219247563181</v>
      </c>
      <c r="L78" s="380"/>
      <c r="M78" s="374">
        <f t="shared" si="430"/>
        <v>0.63335524873986404</v>
      </c>
      <c r="N78" s="380"/>
      <c r="O78" s="374">
        <f t="shared" ref="O78:Q78" si="431">O74/O67</f>
        <v>0.7418515414810567</v>
      </c>
      <c r="P78" s="380"/>
      <c r="Q78" s="374">
        <f t="shared" si="431"/>
        <v>0.73723427569581401</v>
      </c>
      <c r="R78" s="380"/>
      <c r="S78" s="374">
        <f>S74/S67</f>
        <v>0.73981383912890752</v>
      </c>
      <c r="T78" s="380"/>
      <c r="U78" s="374">
        <f>U74/U67</f>
        <v>0.73981383912890752</v>
      </c>
      <c r="V78" s="380"/>
      <c r="W78" s="374">
        <f>W74/W67</f>
        <v>0.73981383912890752</v>
      </c>
      <c r="X78" s="380"/>
      <c r="Y78" s="374"/>
      <c r="Z78" s="380"/>
      <c r="AA78" s="374"/>
      <c r="AB78" s="380"/>
      <c r="AC78" s="374"/>
      <c r="AD78" s="380"/>
      <c r="AE78" s="374"/>
      <c r="AF78" s="127"/>
      <c r="AG78" s="90"/>
      <c r="AH78" s="127"/>
      <c r="AI78" s="90"/>
      <c r="AJ78" s="380"/>
      <c r="AK78" s="374"/>
      <c r="AL78" s="380"/>
      <c r="AM78" s="374"/>
      <c r="AN78" s="380"/>
      <c r="AO78" s="374"/>
      <c r="AP78" s="380"/>
      <c r="AQ78" s="374"/>
      <c r="AR78" s="380"/>
      <c r="AS78" s="374"/>
      <c r="AT78" s="380"/>
      <c r="AU78" s="374"/>
      <c r="AV78" s="380"/>
      <c r="AW78" s="374"/>
      <c r="AX78" s="380"/>
      <c r="AY78" s="374"/>
      <c r="AZ78" s="127"/>
      <c r="BA78" s="374">
        <f>BA74/BA67</f>
        <v>0.61538461538461542</v>
      </c>
      <c r="BB78" s="127"/>
      <c r="BC78" s="374">
        <f>BC74/BC67</f>
        <v>0.52785923753665687</v>
      </c>
      <c r="BD78" s="127"/>
      <c r="BE78" s="374">
        <f>BE74/BE67</f>
        <v>0.54409435692256392</v>
      </c>
      <c r="BF78" s="127"/>
      <c r="BG78" s="374">
        <f>BG74/BG67</f>
        <v>0.60776656526995598</v>
      </c>
      <c r="BH78" s="127"/>
      <c r="BI78" s="374">
        <f>BI74/BI67</f>
        <v>0.51905350492393953</v>
      </c>
      <c r="BJ78"/>
      <c r="BK78" s="127"/>
      <c r="BL78" s="374">
        <f>BL74/BL67</f>
        <v>0.65982404692082108</v>
      </c>
      <c r="BM78" s="127"/>
      <c r="BN78" s="374">
        <f>BN74/BN67</f>
        <v>0.67308493790114188</v>
      </c>
      <c r="BO78" s="127"/>
      <c r="BP78" s="374">
        <f>BP74/BP67</f>
        <v>0.63967891268904487</v>
      </c>
      <c r="BQ78" s="127"/>
      <c r="BR78" s="374">
        <f>BR74/BR67</f>
        <v>0.59337711963678375</v>
      </c>
      <c r="BT78" s="127"/>
      <c r="BU78" s="374">
        <f>BU74/BU67</f>
        <v>0.52785923753665687</v>
      </c>
      <c r="BV78" s="127"/>
      <c r="BW78" s="374">
        <f>BW74/BW67</f>
        <v>0.65982404692082108</v>
      </c>
    </row>
    <row r="79" spans="1:75" s="65" customFormat="1" ht="17.649999999999999" customHeight="1" x14ac:dyDescent="0.45">
      <c r="A79" s="561"/>
      <c r="B79" s="1241"/>
      <c r="C79" s="16" t="s">
        <v>82</v>
      </c>
      <c r="D79" s="16"/>
      <c r="E79" s="35" t="s">
        <v>83</v>
      </c>
      <c r="F79" s="359"/>
      <c r="G79" s="372">
        <v>15800</v>
      </c>
      <c r="H79" s="359"/>
      <c r="I79" s="372">
        <v>15600</v>
      </c>
      <c r="J79" s="359"/>
      <c r="K79" s="372">
        <v>15800</v>
      </c>
      <c r="L79" s="359"/>
      <c r="M79" s="372">
        <v>15600</v>
      </c>
      <c r="N79" s="359"/>
      <c r="O79" s="372">
        <v>15800</v>
      </c>
      <c r="P79" s="359"/>
      <c r="Q79" s="372">
        <v>15600</v>
      </c>
      <c r="R79" s="359"/>
      <c r="S79" s="372">
        <v>15600</v>
      </c>
      <c r="T79" s="359"/>
      <c r="U79" s="372">
        <v>15600</v>
      </c>
      <c r="V79" s="359"/>
      <c r="W79" s="372">
        <v>15600</v>
      </c>
      <c r="X79" s="359"/>
      <c r="Y79" s="372">
        <v>15800</v>
      </c>
      <c r="Z79" s="359"/>
      <c r="AA79" s="372">
        <v>15600</v>
      </c>
      <c r="AB79" s="359"/>
      <c r="AC79" s="372">
        <v>15800</v>
      </c>
      <c r="AD79" s="359"/>
      <c r="AE79" s="372">
        <v>15600</v>
      </c>
      <c r="AF79" s="42"/>
      <c r="AG79" s="372">
        <v>15800</v>
      </c>
      <c r="AH79" s="359"/>
      <c r="AI79" s="372">
        <v>15600</v>
      </c>
      <c r="AJ79" s="359"/>
      <c r="AK79" s="372">
        <v>15800</v>
      </c>
      <c r="AL79" s="359"/>
      <c r="AM79" s="372">
        <v>15600</v>
      </c>
      <c r="AN79" s="359"/>
      <c r="AO79" s="372">
        <v>15800</v>
      </c>
      <c r="AP79" s="359"/>
      <c r="AQ79" s="372">
        <v>15600</v>
      </c>
      <c r="AR79" s="359"/>
      <c r="AS79" s="372">
        <v>15800</v>
      </c>
      <c r="AT79" s="359"/>
      <c r="AU79" s="372">
        <v>15600</v>
      </c>
      <c r="AV79" s="359"/>
      <c r="AW79" s="372">
        <v>15800</v>
      </c>
      <c r="AX79" s="359"/>
      <c r="AY79" s="372">
        <v>15600</v>
      </c>
      <c r="AZ79" s="42"/>
      <c r="BA79" s="372">
        <v>15600</v>
      </c>
      <c r="BB79" s="42"/>
      <c r="BC79" s="372">
        <v>15400</v>
      </c>
      <c r="BD79" s="42"/>
      <c r="BE79" s="372">
        <v>15480</v>
      </c>
      <c r="BF79" s="42"/>
      <c r="BG79" s="372">
        <v>15769</v>
      </c>
      <c r="BH79" s="42"/>
      <c r="BI79" s="372">
        <v>15972</v>
      </c>
      <c r="BJ79"/>
      <c r="BK79" s="42"/>
      <c r="BL79" s="372">
        <v>15400</v>
      </c>
      <c r="BM79" s="42"/>
      <c r="BN79" s="372">
        <v>15480</v>
      </c>
      <c r="BO79" s="42"/>
      <c r="BP79" s="372">
        <v>15769</v>
      </c>
      <c r="BQ79" s="42"/>
      <c r="BR79" s="372">
        <v>15972</v>
      </c>
      <c r="BT79" s="42"/>
      <c r="BU79" s="372">
        <v>15400</v>
      </c>
      <c r="BV79" s="42"/>
      <c r="BW79" s="372">
        <v>15400</v>
      </c>
    </row>
    <row r="80" spans="1:75" s="65" customFormat="1" ht="17.649999999999999" customHeight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363"/>
      <c r="G80" s="368">
        <f t="shared" ref="G80" si="432">+G67-G74</f>
        <v>0.94544303797468388</v>
      </c>
      <c r="H80" s="363"/>
      <c r="I80" s="368">
        <f t="shared" ref="I80" si="433">+I67-I74</f>
        <v>1.0143589743589745</v>
      </c>
      <c r="J80" s="363"/>
      <c r="K80" s="368">
        <f t="shared" ref="K80:M80" si="434">+K67-K74</f>
        <v>2.0817721518987344</v>
      </c>
      <c r="L80" s="363"/>
      <c r="M80" s="368">
        <f t="shared" si="434"/>
        <v>2.1448717948717952</v>
      </c>
      <c r="N80" s="363"/>
      <c r="O80" s="368">
        <f t="shared" ref="O80:Q80" si="435">+O67-O74</f>
        <v>1.4817721518987348</v>
      </c>
      <c r="P80" s="363"/>
      <c r="Q80" s="368">
        <f t="shared" si="435"/>
        <v>1.5371794871794879</v>
      </c>
      <c r="R80" s="363"/>
      <c r="S80" s="368">
        <f>+S67-S74</f>
        <v>1.5194871794871805</v>
      </c>
      <c r="T80" s="363"/>
      <c r="U80" s="368">
        <f>+U67-U74</f>
        <v>1.5194871794871805</v>
      </c>
      <c r="V80" s="363"/>
      <c r="W80" s="368">
        <f>+W67-W74</f>
        <v>1.5194871794871805</v>
      </c>
      <c r="X80" s="363"/>
      <c r="Y80" s="368">
        <f t="shared" ref="Y80:AA80" si="436">+Y67-Y74</f>
        <v>2.0731645569620252</v>
      </c>
      <c r="Z80" s="363"/>
      <c r="AA80" s="368">
        <f t="shared" si="436"/>
        <v>2.140769230769231</v>
      </c>
      <c r="AB80" s="363"/>
      <c r="AC80" s="368">
        <f>+AC67-AC74</f>
        <v>1.3194936708860756</v>
      </c>
      <c r="AD80" s="363"/>
      <c r="AE80" s="368">
        <f>+AE67-AE74</f>
        <v>1.433846153846154</v>
      </c>
      <c r="AF80" s="50"/>
      <c r="AG80" s="72">
        <f t="shared" ref="AG80" si="437">+AG67-AG74</f>
        <v>1.529493670886076</v>
      </c>
      <c r="AH80" s="50"/>
      <c r="AI80" s="72">
        <f t="shared" ref="AI80" si="438">+AI67-AI74</f>
        <v>1.6161538461538463</v>
      </c>
      <c r="AJ80" s="363"/>
      <c r="AK80" s="368">
        <f t="shared" ref="AK80:AM80" si="439">+AK67-AK74</f>
        <v>2.5062025316455694</v>
      </c>
      <c r="AL80" s="363"/>
      <c r="AM80" s="368">
        <f t="shared" si="439"/>
        <v>2.6607692307692306</v>
      </c>
      <c r="AN80" s="363"/>
      <c r="AO80" s="368">
        <f>+AO67-AO74</f>
        <v>2.3069620253164556</v>
      </c>
      <c r="AP80" s="363"/>
      <c r="AQ80" s="368">
        <f>+AQ67-AQ74</f>
        <v>2.3628205128205124</v>
      </c>
      <c r="AR80" s="363"/>
      <c r="AS80" s="368">
        <f>+AS67-AS74</f>
        <v>2.7905063291139243</v>
      </c>
      <c r="AT80" s="363"/>
      <c r="AU80" s="368">
        <f>+AU67-AU74</f>
        <v>2.8525641025641022</v>
      </c>
      <c r="AV80" s="363"/>
      <c r="AW80" s="368">
        <f>+AW67-AW74</f>
        <v>3.0563291139240505</v>
      </c>
      <c r="AX80" s="363"/>
      <c r="AY80" s="368">
        <f>+AY67-AY74</f>
        <v>3.1217948717948714</v>
      </c>
      <c r="AZ80" s="50"/>
      <c r="BA80" s="368">
        <f>+BA67-BA74</f>
        <v>1.6346153846153846</v>
      </c>
      <c r="BB80" s="50"/>
      <c r="BC80" s="368">
        <f>+BC67-BC74</f>
        <v>2.9272727272727272</v>
      </c>
      <c r="BD80" s="50"/>
      <c r="BE80" s="368">
        <f>+BE67-BE74</f>
        <v>2.8266149870801036</v>
      </c>
      <c r="BF80" s="50"/>
      <c r="BG80" s="368">
        <f>+BG67-BG74</f>
        <v>2.4318472953262731</v>
      </c>
      <c r="BH80" s="50"/>
      <c r="BI80" s="368">
        <f>+BI67-BI74</f>
        <v>2.9818682694715752</v>
      </c>
      <c r="BJ80"/>
      <c r="BK80" s="50"/>
      <c r="BL80" s="368">
        <f>+BL67-BL74</f>
        <v>2.1090909090909093</v>
      </c>
      <c r="BM80" s="50"/>
      <c r="BN80" s="368">
        <f>+BN67-BN74</f>
        <v>2.0268733850129204</v>
      </c>
      <c r="BO80" s="50"/>
      <c r="BP80" s="368">
        <f>+BP67-BP74</f>
        <v>2.2339907413279221</v>
      </c>
      <c r="BQ80" s="50"/>
      <c r="BR80" s="368">
        <f>+BR67-BR74</f>
        <v>2.5210618582519411</v>
      </c>
      <c r="BT80" s="50"/>
      <c r="BU80" s="368">
        <f>+BU67-BU74</f>
        <v>2.9272727272727272</v>
      </c>
      <c r="BV80" s="50"/>
      <c r="BW80" s="368">
        <f>+BW67-BW74</f>
        <v>2.1090909090909093</v>
      </c>
    </row>
    <row r="81" spans="1:75" s="65" customFormat="1" ht="17.649999999999999" customHeight="1" x14ac:dyDescent="0.45">
      <c r="A81" s="561"/>
      <c r="B81" s="1241"/>
      <c r="C81" s="16"/>
      <c r="D81" s="16"/>
      <c r="E81" s="35" t="str">
        <f>+E75</f>
        <v xml:space="preserve">per pack USD </v>
      </c>
      <c r="F81" s="363"/>
      <c r="G81" s="368">
        <f>+G80/G10</f>
        <v>2.3636075949367098E-2</v>
      </c>
      <c r="H81" s="363"/>
      <c r="I81" s="368">
        <f>+I80/I10</f>
        <v>2.5358974358974364E-2</v>
      </c>
      <c r="J81" s="363"/>
      <c r="K81" s="368">
        <f>+K80/K10</f>
        <v>5.2044303797468362E-2</v>
      </c>
      <c r="L81" s="363"/>
      <c r="M81" s="368">
        <f>+M80/M10</f>
        <v>5.362179487179488E-2</v>
      </c>
      <c r="N81" s="363"/>
      <c r="O81" s="368">
        <f>+O80/O10</f>
        <v>3.704430379746837E-2</v>
      </c>
      <c r="P81" s="363"/>
      <c r="Q81" s="368">
        <f>+Q80/Q10</f>
        <v>3.8429487179487201E-2</v>
      </c>
      <c r="R81" s="363"/>
      <c r="S81" s="368">
        <f>+S80/S10</f>
        <v>3.7987179487179515E-2</v>
      </c>
      <c r="T81" s="363"/>
      <c r="U81" s="368">
        <f>+U80/U10</f>
        <v>3.7987179487179515E-2</v>
      </c>
      <c r="V81" s="363"/>
      <c r="W81" s="368">
        <f>+W80/W10</f>
        <v>3.7987179487179515E-2</v>
      </c>
      <c r="X81" s="363"/>
      <c r="Y81" s="368">
        <f>+Y80/Y10</f>
        <v>0.17276371308016877</v>
      </c>
      <c r="Z81" s="363"/>
      <c r="AA81" s="368">
        <f>+AA80/AA10</f>
        <v>0.17839743589743592</v>
      </c>
      <c r="AB81" s="363"/>
      <c r="AC81" s="368">
        <f>+AC80/AC10</f>
        <v>0.10995780590717297</v>
      </c>
      <c r="AD81" s="363"/>
      <c r="AE81" s="368">
        <f>+AE80/AE10</f>
        <v>0.1194871794871795</v>
      </c>
      <c r="AF81" s="50"/>
      <c r="AG81" s="368">
        <f>+AG80/AG10</f>
        <v>0.12745780590717301</v>
      </c>
      <c r="AH81" s="363"/>
      <c r="AI81" s="368">
        <f>+AI80/AI10</f>
        <v>0.13467948717948719</v>
      </c>
      <c r="AJ81" s="363"/>
      <c r="AK81" s="368">
        <f>+AK80/AK10</f>
        <v>0.10442510548523205</v>
      </c>
      <c r="AL81" s="363"/>
      <c r="AM81" s="368">
        <f>+AM80/AM10</f>
        <v>0.1108653846153846</v>
      </c>
      <c r="AN81" s="363"/>
      <c r="AO81" s="368">
        <f>+AO80/AO10</f>
        <v>5.7674050632911388E-2</v>
      </c>
      <c r="AP81" s="363"/>
      <c r="AQ81" s="368">
        <f>+AQ80/AQ10</f>
        <v>5.9070512820512809E-2</v>
      </c>
      <c r="AR81" s="363"/>
      <c r="AS81" s="368">
        <f>+AS80/AS10</f>
        <v>6.9762658227848107E-2</v>
      </c>
      <c r="AT81" s="363"/>
      <c r="AU81" s="368">
        <f>+AU80/AU10</f>
        <v>7.1314102564102561E-2</v>
      </c>
      <c r="AV81" s="363"/>
      <c r="AW81" s="368">
        <f>+AW80/AW10</f>
        <v>7.6408227848101265E-2</v>
      </c>
      <c r="AX81" s="363"/>
      <c r="AY81" s="368">
        <f>+AY80/AY10</f>
        <v>7.8044871794871781E-2</v>
      </c>
      <c r="AZ81" s="50"/>
      <c r="BA81" s="368">
        <f>+BA80/BA10</f>
        <v>0.13621794871794871</v>
      </c>
      <c r="BB81" s="50"/>
      <c r="BC81" s="368">
        <f>+BC80/BC10</f>
        <v>0.14636363636363636</v>
      </c>
      <c r="BD81" s="50"/>
      <c r="BE81" s="368">
        <f>+BE80/BE10</f>
        <v>0.14133074935400519</v>
      </c>
      <c r="BF81" s="50"/>
      <c r="BG81" s="368">
        <f>+BG80/BG10</f>
        <v>0.12159236476631366</v>
      </c>
      <c r="BH81" s="50"/>
      <c r="BI81" s="368">
        <f>+BI80/BI10</f>
        <v>0.14909341347357877</v>
      </c>
      <c r="BJ81"/>
      <c r="BK81" s="50"/>
      <c r="BL81" s="368">
        <f>+BL80/BL10</f>
        <v>0.10545454545454547</v>
      </c>
      <c r="BM81" s="50"/>
      <c r="BN81" s="368">
        <f>+BN80/BN10</f>
        <v>0.10134366925064602</v>
      </c>
      <c r="BO81" s="50"/>
      <c r="BP81" s="368">
        <f>+BP80/BP10</f>
        <v>0.1116995370663961</v>
      </c>
      <c r="BQ81" s="50"/>
      <c r="BR81" s="368">
        <f>+BR80/BR10</f>
        <v>0.12605309291259706</v>
      </c>
      <c r="BT81" s="50"/>
      <c r="BU81" s="368">
        <f>+BU80/BU10</f>
        <v>0.14636363636363636</v>
      </c>
      <c r="BV81" s="50"/>
      <c r="BW81" s="368">
        <f>+BW80/BW10</f>
        <v>0.10545454545454547</v>
      </c>
    </row>
    <row r="82" spans="1:75" s="65" customFormat="1" ht="17.649999999999999" customHeight="1" x14ac:dyDescent="0.45">
      <c r="A82" s="561"/>
      <c r="B82" s="1241"/>
      <c r="C82" s="131" t="s">
        <v>85</v>
      </c>
      <c r="D82" s="131"/>
      <c r="E82" s="131"/>
      <c r="F82" s="381"/>
      <c r="G82" s="1096">
        <f t="shared" ref="G82" si="440">+G80/G67</f>
        <v>0.16557671418120559</v>
      </c>
      <c r="H82" s="381"/>
      <c r="I82" s="1096">
        <f t="shared" ref="I82" si="441">+I80/I67</f>
        <v>0.17369160519845453</v>
      </c>
      <c r="J82" s="381"/>
      <c r="K82" s="611">
        <f t="shared" ref="K82:M82" si="442">+K80/K67</f>
        <v>0.36267807524368195</v>
      </c>
      <c r="L82" s="381"/>
      <c r="M82" s="611">
        <f t="shared" si="442"/>
        <v>0.3666447512601359</v>
      </c>
      <c r="N82" s="381"/>
      <c r="O82" s="1096">
        <f t="shared" ref="O82:Q82" si="443">+O80/O67</f>
        <v>0.25814845851894336</v>
      </c>
      <c r="P82" s="381"/>
      <c r="Q82" s="1096">
        <f t="shared" si="443"/>
        <v>0.26276572430418593</v>
      </c>
      <c r="R82" s="381"/>
      <c r="S82" s="611">
        <f>+S80/S67</f>
        <v>0.26018616087109253</v>
      </c>
      <c r="T82" s="381"/>
      <c r="U82" s="611">
        <f>+U80/U67</f>
        <v>0.26018616087109253</v>
      </c>
      <c r="V82" s="381"/>
      <c r="W82" s="611">
        <f>+W80/W67</f>
        <v>0.26018616087109253</v>
      </c>
      <c r="X82" s="381"/>
      <c r="Y82" s="382">
        <f t="shared" ref="Y82:AA82" si="444">+Y80/Y67</f>
        <v>0.45068794716565769</v>
      </c>
      <c r="Z82" s="381"/>
      <c r="AA82" s="382">
        <f t="shared" si="444"/>
        <v>0.45548281505728316</v>
      </c>
      <c r="AB82" s="381"/>
      <c r="AC82" s="611">
        <f>+AC80/AC67</f>
        <v>0.32182772460635994</v>
      </c>
      <c r="AD82" s="381"/>
      <c r="AE82" s="611">
        <f>+AE80/AE67</f>
        <v>0.33737556561085974</v>
      </c>
      <c r="AF82" s="132"/>
      <c r="AG82" s="133">
        <f t="shared" ref="AG82" si="445">+AG80/AG67</f>
        <v>0.37033745057774237</v>
      </c>
      <c r="AH82" s="132"/>
      <c r="AI82" s="133">
        <f t="shared" ref="AI82" si="446">+AI80/AI67</f>
        <v>0.38027149321266973</v>
      </c>
      <c r="AJ82" s="381"/>
      <c r="AK82" s="382">
        <f t="shared" ref="AK82:AM82" si="447">+AK80/AK67</f>
        <v>0.41424835233811064</v>
      </c>
      <c r="AL82" s="381"/>
      <c r="AM82" s="382">
        <f t="shared" si="447"/>
        <v>0.42572307692307687</v>
      </c>
      <c r="AN82" s="612"/>
      <c r="AO82" s="611">
        <f>+AO80/AO67</f>
        <v>0.40121078701155749</v>
      </c>
      <c r="AP82" s="612"/>
      <c r="AQ82" s="611">
        <f>+AQ80/AQ67</f>
        <v>0.40390094236248075</v>
      </c>
      <c r="AR82" s="612"/>
      <c r="AS82" s="611">
        <f>+AS80/AS67</f>
        <v>0.48530544854155205</v>
      </c>
      <c r="AT82" s="612"/>
      <c r="AU82" s="611">
        <f>+AU80/AU67</f>
        <v>0.48761779531010296</v>
      </c>
      <c r="AV82" s="612"/>
      <c r="AW82" s="611">
        <f>+AW80/AW67</f>
        <v>0.53153549807374789</v>
      </c>
      <c r="AX82" s="612"/>
      <c r="AY82" s="611">
        <f>+AY80/AY67</f>
        <v>0.53364014902476442</v>
      </c>
      <c r="AZ82" s="132"/>
      <c r="BA82" s="611">
        <f>+BA80/BA67</f>
        <v>0.38461538461538458</v>
      </c>
      <c r="BB82" s="132"/>
      <c r="BC82" s="611">
        <f>+BC80/BC67</f>
        <v>0.47214076246334308</v>
      </c>
      <c r="BD82" s="132"/>
      <c r="BE82" s="611">
        <f>+BE80/BE67</f>
        <v>0.45590564307743603</v>
      </c>
      <c r="BF82" s="132"/>
      <c r="BG82" s="611">
        <f>+BG80/BG67</f>
        <v>0.39223343473004402</v>
      </c>
      <c r="BH82" s="132"/>
      <c r="BI82" s="611">
        <f>+BI80/BI67</f>
        <v>0.48094649507606052</v>
      </c>
      <c r="BJ82"/>
      <c r="BK82" s="132"/>
      <c r="BL82" s="611">
        <f>+BL80/BL67</f>
        <v>0.34017595307917892</v>
      </c>
      <c r="BM82" s="132"/>
      <c r="BN82" s="611">
        <f>+BN80/BN67</f>
        <v>0.32691506209885812</v>
      </c>
      <c r="BO82" s="132"/>
      <c r="BP82" s="611">
        <f>+BP80/BP67</f>
        <v>0.36032108731095519</v>
      </c>
      <c r="BQ82" s="132"/>
      <c r="BR82" s="611">
        <f>+BR80/BR67</f>
        <v>0.40662288036321631</v>
      </c>
      <c r="BT82" s="132"/>
      <c r="BU82" s="611">
        <f>+BU80/BU67</f>
        <v>0.47214076246334308</v>
      </c>
      <c r="BV82" s="132"/>
      <c r="BW82" s="611">
        <f>+BW80/BW67</f>
        <v>0.34017595307917892</v>
      </c>
    </row>
    <row r="83" spans="1:75" s="283" customFormat="1" ht="17.649999999999999" customHeight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 t="shared" ref="G83" si="448">G80-G57</f>
        <v>0.29544303797468374</v>
      </c>
      <c r="H83" s="137"/>
      <c r="I83" s="138">
        <f t="shared" ref="I83" si="449">I80-I57</f>
        <v>0.36435897435897435</v>
      </c>
      <c r="J83" s="137"/>
      <c r="K83" s="138">
        <f t="shared" ref="K83:M83" si="450">K80-K57</f>
        <v>1.2817721518987346</v>
      </c>
      <c r="L83" s="137"/>
      <c r="M83" s="138">
        <f t="shared" si="450"/>
        <v>1.3448717948717954</v>
      </c>
      <c r="N83" s="137"/>
      <c r="O83" s="138">
        <f t="shared" ref="O83:Q83" si="451">O80-O57</f>
        <v>0.68177215189873486</v>
      </c>
      <c r="P83" s="137"/>
      <c r="Q83" s="138">
        <f t="shared" si="451"/>
        <v>0.737179487179488</v>
      </c>
      <c r="R83" s="137"/>
      <c r="S83" s="138">
        <f>S80-S57</f>
        <v>0.71948717948718055</v>
      </c>
      <c r="T83" s="137"/>
      <c r="U83" s="138">
        <f>U80-U57</f>
        <v>0.71948717948718055</v>
      </c>
      <c r="V83" s="137"/>
      <c r="W83" s="138">
        <f>W80-W57</f>
        <v>0.71948717948718055</v>
      </c>
      <c r="X83" s="137"/>
      <c r="Y83" s="138">
        <f t="shared" ref="Y83:AA83" si="452">Y80-Y57</f>
        <v>0.92316455696202526</v>
      </c>
      <c r="Z83" s="137"/>
      <c r="AA83" s="138">
        <f t="shared" si="452"/>
        <v>0.99076923076923107</v>
      </c>
      <c r="AB83" s="137"/>
      <c r="AC83" s="138">
        <f>AC80-AC57</f>
        <v>1.9493670886075565E-2</v>
      </c>
      <c r="AD83" s="137"/>
      <c r="AE83" s="138">
        <f>AE80-AE57</f>
        <v>8.3846153846153904E-2</v>
      </c>
      <c r="AF83" s="137"/>
      <c r="AG83" s="138">
        <f t="shared" ref="AG83" si="453">AG80-AG57</f>
        <v>0.19949367088607595</v>
      </c>
      <c r="AH83" s="137"/>
      <c r="AI83" s="138">
        <f t="shared" ref="AI83" si="454">AI80-AI57</f>
        <v>0.26615384615384619</v>
      </c>
      <c r="AJ83" s="137"/>
      <c r="AK83" s="138">
        <f t="shared" ref="AK83:AM83" si="455">AK80-AK57</f>
        <v>0.70620253164556934</v>
      </c>
      <c r="AL83" s="137"/>
      <c r="AM83" s="138">
        <f t="shared" si="455"/>
        <v>0.86076923076923051</v>
      </c>
      <c r="AN83" s="137"/>
      <c r="AO83" s="138">
        <f>AO80-AO57</f>
        <v>2.3069620253164556</v>
      </c>
      <c r="AP83" s="137"/>
      <c r="AQ83" s="138">
        <f>AQ80-AQ57</f>
        <v>2.3628205128205124</v>
      </c>
      <c r="AR83" s="137"/>
      <c r="AS83" s="138">
        <f>AS80-AS57</f>
        <v>2.7905063291139243</v>
      </c>
      <c r="AT83" s="137"/>
      <c r="AU83" s="138">
        <f>AU80-AU57</f>
        <v>2.8525641025641022</v>
      </c>
      <c r="AV83" s="137"/>
      <c r="AW83" s="138">
        <f>AW80-AW57</f>
        <v>3.0563291139240505</v>
      </c>
      <c r="AX83" s="137"/>
      <c r="AY83" s="138">
        <f>AY80-AY57</f>
        <v>3.1217948717948714</v>
      </c>
      <c r="AZ83" s="137"/>
      <c r="BA83" s="138">
        <f>BA80-BA57</f>
        <v>0.58461538461538454</v>
      </c>
      <c r="BB83" s="137"/>
      <c r="BC83" s="138">
        <f>BC80-BC57</f>
        <v>1.9272727272727272</v>
      </c>
      <c r="BD83" s="137"/>
      <c r="BE83" s="138">
        <f>BE80-BE57</f>
        <v>1.8266149870801036</v>
      </c>
      <c r="BF83" s="137"/>
      <c r="BG83" s="138">
        <f>BG80-BG57</f>
        <v>1.4318472953262731</v>
      </c>
      <c r="BH83" s="137"/>
      <c r="BI83" s="138">
        <f>BI80-BI57</f>
        <v>1.9818682694715752</v>
      </c>
      <c r="BJ83"/>
      <c r="BK83" s="137"/>
      <c r="BL83" s="138">
        <f>BL80-BL57</f>
        <v>1.1090909090909093</v>
      </c>
      <c r="BM83" s="137"/>
      <c r="BN83" s="138">
        <f>BN80-BN57</f>
        <v>1.0268733850129204</v>
      </c>
      <c r="BO83" s="137"/>
      <c r="BP83" s="138">
        <f>BP80-BP57</f>
        <v>1.2339907413279221</v>
      </c>
      <c r="BQ83" s="137"/>
      <c r="BR83" s="138">
        <f>BR80-BR57</f>
        <v>1.5210618582519411</v>
      </c>
      <c r="BT83" s="137"/>
      <c r="BU83" s="138">
        <f>BU80-BU57</f>
        <v>1.9272727272727272</v>
      </c>
      <c r="BV83" s="137"/>
      <c r="BW83" s="138">
        <f>BW80-BW57</f>
        <v>1.1090909090909093</v>
      </c>
    </row>
    <row r="84" spans="1:75" s="283" customFormat="1" ht="17.649999999999999" customHeight="1" x14ac:dyDescent="0.45">
      <c r="A84" s="561"/>
      <c r="B84" s="1241"/>
      <c r="C84" s="131" t="s">
        <v>87</v>
      </c>
      <c r="D84" s="131"/>
      <c r="E84" s="131"/>
      <c r="F84" s="381"/>
      <c r="G84" s="1096">
        <f t="shared" ref="G84" si="456">G83/G67</f>
        <v>5.1741337648806257E-2</v>
      </c>
      <c r="H84" s="381"/>
      <c r="I84" s="1096">
        <f t="shared" ref="I84" si="457">I83/I67</f>
        <v>6.2390235335440816E-2</v>
      </c>
      <c r="J84" s="381"/>
      <c r="K84" s="611">
        <f t="shared" ref="K84" si="458">K83/K67</f>
        <v>0.22330525294403042</v>
      </c>
      <c r="L84" s="381"/>
      <c r="M84" s="611">
        <f t="shared" ref="M84" si="459">M83/M67</f>
        <v>0.22989261450799919</v>
      </c>
      <c r="N84" s="381"/>
      <c r="O84" s="382">
        <f t="shared" ref="O84:Q84" si="460">O83/O67</f>
        <v>0.11877563621929178</v>
      </c>
      <c r="P84" s="381"/>
      <c r="Q84" s="382">
        <f t="shared" si="460"/>
        <v>0.12601358755204922</v>
      </c>
      <c r="R84" s="381"/>
      <c r="S84" s="611">
        <f>S83/S67</f>
        <v>0.12319985950122953</v>
      </c>
      <c r="T84" s="381"/>
      <c r="U84" s="611">
        <f>U83/U67</f>
        <v>0.12319985950122953</v>
      </c>
      <c r="V84" s="381"/>
      <c r="W84" s="611">
        <f>W83/W67</f>
        <v>0.12319985950122953</v>
      </c>
      <c r="X84" s="381"/>
      <c r="Y84" s="382">
        <f t="shared" ref="Y84:AA84" si="461">Y83/Y67</f>
        <v>0.20068794716565769</v>
      </c>
      <c r="Z84" s="381"/>
      <c r="AA84" s="382">
        <f t="shared" si="461"/>
        <v>0.21080196399345341</v>
      </c>
      <c r="AB84" s="381"/>
      <c r="AC84" s="611">
        <f>AC83/AC67</f>
        <v>4.7545538746525768E-3</v>
      </c>
      <c r="AD84" s="381"/>
      <c r="AE84" s="611">
        <f>AE83/AE67</f>
        <v>1.9728506787330329E-2</v>
      </c>
      <c r="AF84" s="132"/>
      <c r="AG84" s="133">
        <f t="shared" ref="AG84" si="462">AG83/AG67</f>
        <v>4.8303552272657618E-2</v>
      </c>
      <c r="AH84" s="132"/>
      <c r="AI84" s="133">
        <f t="shared" ref="AI84" si="463">AI83/AI67</f>
        <v>6.2624434389140282E-2</v>
      </c>
      <c r="AJ84" s="381"/>
      <c r="AK84" s="382">
        <f t="shared" ref="AK84:AM84" si="464">AK83/AK67</f>
        <v>0.11672769118108585</v>
      </c>
      <c r="AL84" s="381"/>
      <c r="AM84" s="382">
        <f t="shared" si="464"/>
        <v>0.13772307692307689</v>
      </c>
      <c r="AN84" s="612"/>
      <c r="AO84" s="611">
        <f>AO83/AO67</f>
        <v>0.40121078701155749</v>
      </c>
      <c r="AP84" s="612"/>
      <c r="AQ84" s="611">
        <f>AQ83/AQ67</f>
        <v>0.40390094236248075</v>
      </c>
      <c r="AR84" s="612"/>
      <c r="AS84" s="611">
        <f>AS83/AS67</f>
        <v>0.48530544854155205</v>
      </c>
      <c r="AT84" s="612"/>
      <c r="AU84" s="611">
        <f>AU83/AU67</f>
        <v>0.48761779531010296</v>
      </c>
      <c r="AV84" s="612"/>
      <c r="AW84" s="611">
        <f>AW83/AW67</f>
        <v>0.53153549807374789</v>
      </c>
      <c r="AX84" s="612"/>
      <c r="AY84" s="611">
        <f>AY83/AY67</f>
        <v>0.53364014902476442</v>
      </c>
      <c r="AZ84" s="132"/>
      <c r="BA84" s="611">
        <f>BA83/BA67</f>
        <v>0.13755656108597283</v>
      </c>
      <c r="BB84" s="132"/>
      <c r="BC84" s="611">
        <f>BC83/BC67</f>
        <v>0.31085043988269795</v>
      </c>
      <c r="BD84" s="132"/>
      <c r="BE84" s="611">
        <f>BE83/BE67</f>
        <v>0.2946153204967909</v>
      </c>
      <c r="BF84" s="132"/>
      <c r="BG84" s="611">
        <f>BG83/BG67</f>
        <v>0.23094311214939889</v>
      </c>
      <c r="BH84" s="132"/>
      <c r="BI84" s="611">
        <f>BI83/BI67</f>
        <v>0.31965617249541534</v>
      </c>
      <c r="BJ84"/>
      <c r="BK84" s="132"/>
      <c r="BL84" s="611">
        <f>BL83/BL67</f>
        <v>0.17888563049853376</v>
      </c>
      <c r="BM84" s="132"/>
      <c r="BN84" s="611">
        <f>BN83/BN67</f>
        <v>0.16562473951821297</v>
      </c>
      <c r="BO84" s="132"/>
      <c r="BP84" s="611">
        <f>BP83/BP67</f>
        <v>0.19903076473031001</v>
      </c>
      <c r="BQ84" s="132"/>
      <c r="BR84" s="611">
        <f>BR83/BR67</f>
        <v>0.24533255778257113</v>
      </c>
      <c r="BT84" s="132"/>
      <c r="BU84" s="611">
        <f>BU83/BU67</f>
        <v>0.31085043988269795</v>
      </c>
      <c r="BV84" s="132"/>
      <c r="BW84" s="611">
        <f>BW83/BW67</f>
        <v>0.17888563049853376</v>
      </c>
    </row>
    <row r="85" spans="1:75" s="65" customFormat="1" ht="17.649999999999999" customHeight="1" x14ac:dyDescent="0.45">
      <c r="A85" s="561"/>
      <c r="B85" s="266"/>
      <c r="C85" s="131"/>
      <c r="D85" s="131"/>
      <c r="E85" s="131"/>
      <c r="F85" s="381"/>
      <c r="G85" s="382"/>
      <c r="H85" s="381"/>
      <c r="I85" s="382"/>
      <c r="J85" s="381"/>
      <c r="K85" s="383"/>
      <c r="L85" s="381"/>
      <c r="M85" s="383"/>
      <c r="N85" s="381"/>
      <c r="O85" s="382"/>
      <c r="P85" s="381"/>
      <c r="Q85" s="382"/>
      <c r="R85" s="381"/>
      <c r="S85" s="383"/>
      <c r="T85" s="381"/>
      <c r="U85" s="383"/>
      <c r="V85" s="381"/>
      <c r="W85" s="383"/>
      <c r="X85" s="381"/>
      <c r="Y85" s="382"/>
      <c r="Z85" s="381"/>
      <c r="AA85" s="382"/>
      <c r="AB85" s="381"/>
      <c r="AC85" s="613"/>
      <c r="AD85" s="381"/>
      <c r="AE85" s="613"/>
      <c r="AF85" s="132"/>
      <c r="AG85" s="133"/>
      <c r="AH85" s="132"/>
      <c r="AI85" s="133"/>
      <c r="AJ85" s="381"/>
      <c r="AK85" s="382"/>
      <c r="AL85" s="381"/>
      <c r="AM85" s="382"/>
      <c r="AN85" s="614"/>
      <c r="AO85" s="613"/>
      <c r="AP85" s="614"/>
      <c r="AQ85" s="613"/>
      <c r="AR85" s="614"/>
      <c r="AS85" s="613"/>
      <c r="AT85" s="614"/>
      <c r="AU85" s="613"/>
      <c r="AV85" s="614"/>
      <c r="AW85" s="613"/>
      <c r="AX85" s="614"/>
      <c r="AY85" s="613"/>
      <c r="AZ85" s="132"/>
      <c r="BA85" s="133"/>
      <c r="BB85" s="132"/>
      <c r="BC85" s="133"/>
      <c r="BD85" s="132"/>
      <c r="BE85" s="133"/>
      <c r="BF85" s="132"/>
      <c r="BG85" s="133"/>
      <c r="BH85" s="132"/>
      <c r="BI85" s="133"/>
      <c r="BJ85"/>
      <c r="BK85" s="132"/>
      <c r="BL85" s="133"/>
      <c r="BM85" s="132"/>
      <c r="BN85" s="133"/>
      <c r="BO85" s="132"/>
      <c r="BP85" s="133"/>
      <c r="BQ85" s="132"/>
      <c r="BR85" s="133"/>
      <c r="BT85" s="132"/>
      <c r="BU85" s="133"/>
      <c r="BV85" s="132"/>
      <c r="BW85" s="133"/>
    </row>
    <row r="86" spans="1:75" s="65" customFormat="1" ht="18" customHeight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 t="shared" ref="G86" si="465">G83-G72</f>
        <v>0.1812960942145849</v>
      </c>
      <c r="H86" s="141"/>
      <c r="I86" s="142">
        <f t="shared" ref="I86" si="466">I83-I72</f>
        <v>0.25021203059887553</v>
      </c>
      <c r="J86" s="141"/>
      <c r="K86" s="599">
        <f t="shared" ref="K86:M86" si="467">K83-K72</f>
        <v>1.1617721518987345</v>
      </c>
      <c r="L86" s="141"/>
      <c r="M86" s="599">
        <f t="shared" si="467"/>
        <v>1.2248717948717953</v>
      </c>
      <c r="N86" s="141"/>
      <c r="O86" s="142">
        <f t="shared" ref="O86:Q86" si="468">O83-O72</f>
        <v>0.57846864239065032</v>
      </c>
      <c r="P86" s="141"/>
      <c r="Q86" s="142">
        <f t="shared" si="468"/>
        <v>0.63717948717948802</v>
      </c>
      <c r="R86" s="141"/>
      <c r="S86" s="599">
        <f>S83-S72</f>
        <v>0.60934822738646455</v>
      </c>
      <c r="T86" s="141"/>
      <c r="U86" s="599">
        <f>U83-U72</f>
        <v>0.60934822738646455</v>
      </c>
      <c r="V86" s="141"/>
      <c r="W86" s="599">
        <f>W83-W72</f>
        <v>0.60934822738646455</v>
      </c>
      <c r="X86" s="141"/>
      <c r="Y86" s="142">
        <f t="shared" ref="Y86:AA86" si="469">Y83-Y72</f>
        <v>0.88484795528753812</v>
      </c>
      <c r="Z86" s="141"/>
      <c r="AA86" s="142">
        <f t="shared" si="469"/>
        <v>0.95245262909474393</v>
      </c>
      <c r="AB86" s="141"/>
      <c r="AC86" s="599">
        <f>AC83-AC72</f>
        <v>-7.0762130801688139E-2</v>
      </c>
      <c r="AD86" s="141"/>
      <c r="AE86" s="599">
        <f>AE83-AE72</f>
        <v>-7.0993589743589131E-3</v>
      </c>
      <c r="AF86" s="141"/>
      <c r="AG86" s="142">
        <f t="shared" ref="AG86" si="470">AG83-AG72</f>
        <v>0.16117706921158875</v>
      </c>
      <c r="AH86" s="141"/>
      <c r="AI86" s="142">
        <f t="shared" ref="AI86" si="471">AI83-AI72</f>
        <v>0.22783724447935899</v>
      </c>
      <c r="AJ86" s="141"/>
      <c r="AK86" s="142">
        <f t="shared" ref="AK86:AM86" si="472">AK83-AK72</f>
        <v>0.62956932829659495</v>
      </c>
      <c r="AL86" s="141"/>
      <c r="AM86" s="142">
        <f t="shared" si="472"/>
        <v>0.78413602742025612</v>
      </c>
      <c r="AN86" s="600"/>
      <c r="AO86" s="599">
        <f>AO83-AO72</f>
        <v>2.2008712298796684</v>
      </c>
      <c r="AP86" s="600"/>
      <c r="AQ86" s="599">
        <f>AQ83-AQ72</f>
        <v>2.2559235517568847</v>
      </c>
      <c r="AR86" s="600"/>
      <c r="AS86" s="599">
        <f>AS83-AS72</f>
        <v>2.6880349608197713</v>
      </c>
      <c r="AT86" s="600"/>
      <c r="AU86" s="599">
        <f>AU83-AU72</f>
        <v>2.7493131868131866</v>
      </c>
      <c r="AV86" s="600"/>
      <c r="AW86" s="599">
        <f>AW83-AW72</f>
        <v>2.9538577456298976</v>
      </c>
      <c r="AX86" s="600"/>
      <c r="AY86" s="599">
        <f>AY83-AY72</f>
        <v>3.0185439560439558</v>
      </c>
      <c r="AZ86" s="141"/>
      <c r="BA86" s="142">
        <f t="shared" ref="BA86:BC86" si="473">BA83-BA72</f>
        <v>0.47447643251466853</v>
      </c>
      <c r="BB86" s="141"/>
      <c r="BC86" s="142">
        <f t="shared" si="473"/>
        <v>1.8171337751720111</v>
      </c>
      <c r="BD86" s="141"/>
      <c r="BE86" s="142">
        <f t="shared" ref="BE86" si="474">BE83-BE72</f>
        <v>1.7164760349793875</v>
      </c>
      <c r="BF86" s="141"/>
      <c r="BG86" s="142">
        <f t="shared" ref="BG86" si="475">BG83-BG72</f>
        <v>1.3935306936517859</v>
      </c>
      <c r="BH86" s="141"/>
      <c r="BI86" s="142">
        <f t="shared" ref="BI86" si="476">BI83-BI72</f>
        <v>1.8717293173708591</v>
      </c>
      <c r="BJ86"/>
      <c r="BK86" s="141"/>
      <c r="BL86" s="142">
        <f t="shared" ref="BL86:BN86" si="477">BL83-BL72</f>
        <v>1.1090909090909093</v>
      </c>
      <c r="BM86" s="141"/>
      <c r="BN86" s="142">
        <f t="shared" si="477"/>
        <v>1.0268733850129204</v>
      </c>
      <c r="BO86" s="141"/>
      <c r="BP86" s="142">
        <f t="shared" ref="BP86" si="478">BP83-BP72</f>
        <v>1.2339907413279221</v>
      </c>
      <c r="BQ86" s="141"/>
      <c r="BR86" s="142">
        <f t="shared" ref="BR86" si="479">BR83-BR72</f>
        <v>1.5210618582519411</v>
      </c>
      <c r="BT86" s="141"/>
      <c r="BU86" s="142">
        <f t="shared" ref="BU86" si="480">BU83-BU72</f>
        <v>1.8171337751720111</v>
      </c>
      <c r="BV86" s="141"/>
      <c r="BW86" s="142">
        <f t="shared" ref="BW86" si="481">BW83-BW72</f>
        <v>0.99895195699019335</v>
      </c>
    </row>
    <row r="87" spans="1:75" s="65" customFormat="1" ht="19.5" customHeight="1" x14ac:dyDescent="0.45">
      <c r="A87" s="561"/>
      <c r="B87" s="266"/>
      <c r="C87" s="131" t="s">
        <v>89</v>
      </c>
      <c r="D87" s="131"/>
      <c r="E87" s="131"/>
      <c r="F87" s="381"/>
      <c r="G87" s="1096">
        <f t="shared" ref="G87" si="482">G86/G67</f>
        <v>3.1750629459647094E-2</v>
      </c>
      <c r="H87" s="381"/>
      <c r="I87" s="1096">
        <f t="shared" ref="I87" si="483">I86/I67</f>
        <v>4.2844525787478688E-2</v>
      </c>
      <c r="J87" s="381"/>
      <c r="K87" s="611">
        <f t="shared" ref="K87" si="484">K86/K67</f>
        <v>0.20239932959908266</v>
      </c>
      <c r="L87" s="381"/>
      <c r="M87" s="611">
        <f t="shared" ref="M87" si="485">M86/M67</f>
        <v>0.20937979399517867</v>
      </c>
      <c r="N87" s="381"/>
      <c r="O87" s="382">
        <f t="shared" ref="O87:Q87" si="486">O86/O67</f>
        <v>0.100778509127291</v>
      </c>
      <c r="P87" s="381"/>
      <c r="Q87" s="382">
        <f t="shared" si="486"/>
        <v>0.10891957045803213</v>
      </c>
      <c r="R87" s="381"/>
      <c r="S87" s="611">
        <f>S86/S67</f>
        <v>0.10434044989494255</v>
      </c>
      <c r="T87" s="381"/>
      <c r="U87" s="611">
        <f>U86/U67</f>
        <v>0.10434044989494255</v>
      </c>
      <c r="V87" s="381"/>
      <c r="W87" s="611">
        <f>W86/W67</f>
        <v>0.10434044989494255</v>
      </c>
      <c r="X87" s="381"/>
      <c r="Y87" s="382">
        <f t="shared" ref="Y87:AA87" si="487">Y86/Y67</f>
        <v>0.19235825114946484</v>
      </c>
      <c r="Z87" s="381"/>
      <c r="AA87" s="382">
        <f t="shared" si="487"/>
        <v>0.20264949555207318</v>
      </c>
      <c r="AB87" s="381"/>
      <c r="AC87" s="611">
        <f>AC86/AC67</f>
        <v>-1.7259056293094668E-2</v>
      </c>
      <c r="AD87" s="381"/>
      <c r="AE87" s="611">
        <f>AE86/AE67</f>
        <v>-1.670437405731509E-3</v>
      </c>
      <c r="AF87" s="132"/>
      <c r="AG87" s="133">
        <f t="shared" ref="AG87" si="488">AG86/AG67</f>
        <v>3.9025924748568704E-2</v>
      </c>
      <c r="AH87" s="132"/>
      <c r="AI87" s="133">
        <f t="shared" ref="AI87" si="489">AI86/AI67</f>
        <v>5.3608763406907997E-2</v>
      </c>
      <c r="AJ87" s="381"/>
      <c r="AK87" s="382">
        <f t="shared" ref="AK87:AM87" si="490">AK86/AK67</f>
        <v>0.10406104599943719</v>
      </c>
      <c r="AL87" s="381"/>
      <c r="AM87" s="382">
        <f t="shared" si="490"/>
        <v>0.12546176438724099</v>
      </c>
      <c r="AN87" s="612"/>
      <c r="AO87" s="611">
        <f>AO86/AO67</f>
        <v>0.38276021389211623</v>
      </c>
      <c r="AP87" s="612"/>
      <c r="AQ87" s="611">
        <f>AQ86/AQ67</f>
        <v>0.38562795756527946</v>
      </c>
      <c r="AR87" s="612"/>
      <c r="AS87" s="611">
        <f>AS86/AS67</f>
        <v>0.46748434101213415</v>
      </c>
      <c r="AT87" s="612"/>
      <c r="AU87" s="611">
        <f>AU86/AU67</f>
        <v>0.46996806612191228</v>
      </c>
      <c r="AV87" s="612"/>
      <c r="AW87" s="611">
        <f>AW86/AW67</f>
        <v>0.51371439054432999</v>
      </c>
      <c r="AX87" s="612"/>
      <c r="AY87" s="611">
        <f>AY86/AY67</f>
        <v>0.51599041983657368</v>
      </c>
      <c r="AZ87" s="132"/>
      <c r="BA87" s="133">
        <f t="shared" ref="BA87:BC87" si="491">BA86/BA67</f>
        <v>0.11164151353286318</v>
      </c>
      <c r="BB87" s="132"/>
      <c r="BC87" s="133">
        <f t="shared" si="491"/>
        <v>0.29308609276967923</v>
      </c>
      <c r="BD87" s="132"/>
      <c r="BE87" s="133">
        <f t="shared" ref="BE87" si="492">BE86/BE67</f>
        <v>0.27685097338377218</v>
      </c>
      <c r="BF87" s="132"/>
      <c r="BG87" s="133">
        <f t="shared" ref="BG87" si="493">BG86/BG67</f>
        <v>0.22476301510512675</v>
      </c>
      <c r="BH87" s="132"/>
      <c r="BI87" s="133">
        <f t="shared" ref="BI87" si="494">BI86/BI67</f>
        <v>0.30189182538239662</v>
      </c>
      <c r="BJ87"/>
      <c r="BK87" s="132"/>
      <c r="BL87" s="133">
        <f t="shared" ref="BL87:BN87" si="495">BL86/BL67</f>
        <v>0.17888563049853376</v>
      </c>
      <c r="BM87" s="132"/>
      <c r="BN87" s="133">
        <f t="shared" si="495"/>
        <v>0.16562473951821297</v>
      </c>
      <c r="BO87" s="132"/>
      <c r="BP87" s="133">
        <f t="shared" ref="BP87" si="496">BP86/BP67</f>
        <v>0.19903076473031001</v>
      </c>
      <c r="BQ87" s="132"/>
      <c r="BR87" s="133">
        <f t="shared" ref="BR87" si="497">BR86/BR67</f>
        <v>0.24533255778257113</v>
      </c>
      <c r="BT87" s="132"/>
      <c r="BU87" s="133">
        <f t="shared" ref="BU87" si="498">BU86/BU67</f>
        <v>0.29308609276967923</v>
      </c>
      <c r="BV87" s="132"/>
      <c r="BW87" s="133">
        <f t="shared" ref="BW87" si="499">BW86/BW67</f>
        <v>0.16112128338551504</v>
      </c>
    </row>
    <row r="88" spans="1:75" s="65" customFormat="1" ht="19.5" customHeight="1" x14ac:dyDescent="0.45">
      <c r="A88" s="561"/>
      <c r="B88" s="266"/>
      <c r="C88" s="131"/>
      <c r="D88" s="131"/>
      <c r="E88" s="131"/>
      <c r="F88" s="381"/>
      <c r="G88" s="382"/>
      <c r="H88" s="381"/>
      <c r="I88" s="382"/>
      <c r="J88" s="381"/>
      <c r="K88" s="383"/>
      <c r="L88" s="381"/>
      <c r="M88" s="383"/>
      <c r="N88" s="381"/>
      <c r="O88" s="382"/>
      <c r="P88" s="381"/>
      <c r="Q88" s="382"/>
      <c r="R88" s="381"/>
      <c r="S88" s="383"/>
      <c r="T88" s="381"/>
      <c r="U88" s="383"/>
      <c r="V88" s="381"/>
      <c r="W88" s="383"/>
      <c r="X88" s="381"/>
      <c r="Y88" s="382"/>
      <c r="Z88" s="381"/>
      <c r="AA88" s="382"/>
      <c r="AB88" s="381"/>
      <c r="AC88" s="613"/>
      <c r="AD88" s="381"/>
      <c r="AE88" s="613"/>
      <c r="AF88" s="132"/>
      <c r="AG88" s="133"/>
      <c r="AH88" s="132"/>
      <c r="AI88" s="133"/>
      <c r="AJ88" s="381"/>
      <c r="AK88" s="382"/>
      <c r="AL88" s="381"/>
      <c r="AM88" s="382"/>
      <c r="AN88" s="614"/>
      <c r="AO88" s="613"/>
      <c r="AP88" s="614"/>
      <c r="AQ88" s="613"/>
      <c r="AR88" s="614"/>
      <c r="AS88" s="613"/>
      <c r="AT88" s="614"/>
      <c r="AU88" s="613"/>
      <c r="AV88" s="614"/>
      <c r="AW88" s="613"/>
      <c r="AX88" s="614"/>
      <c r="AY88" s="613"/>
      <c r="AZ88" s="132"/>
      <c r="BA88" s="133"/>
      <c r="BB88" s="132"/>
      <c r="BC88" s="133"/>
      <c r="BD88" s="132"/>
      <c r="BE88" s="133"/>
      <c r="BF88" s="132"/>
      <c r="BG88" s="133"/>
      <c r="BH88" s="132"/>
      <c r="BI88" s="133"/>
      <c r="BJ88"/>
      <c r="BK88" s="132"/>
      <c r="BL88" s="133"/>
      <c r="BM88" s="132"/>
      <c r="BN88" s="133"/>
      <c r="BO88" s="132"/>
      <c r="BP88" s="133"/>
      <c r="BQ88" s="132"/>
      <c r="BR88" s="133"/>
      <c r="BT88" s="132"/>
      <c r="BU88" s="133"/>
      <c r="BV88" s="132"/>
      <c r="BW88" s="133"/>
    </row>
    <row r="89" spans="1:75" s="65" customFormat="1" ht="19.5" customHeight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 t="shared" ref="G89" si="500">G86</f>
        <v>0.1812960942145849</v>
      </c>
      <c r="H89" s="146"/>
      <c r="I89" s="147">
        <f t="shared" ref="I89" si="501">I86</f>
        <v>0.25021203059887553</v>
      </c>
      <c r="J89" s="424"/>
      <c r="K89" s="601">
        <f t="shared" ref="K89:M89" si="502">K86</f>
        <v>1.1617721518987345</v>
      </c>
      <c r="L89" s="424"/>
      <c r="M89" s="601">
        <f t="shared" si="502"/>
        <v>1.2248717948717953</v>
      </c>
      <c r="N89" s="146"/>
      <c r="O89" s="147">
        <f t="shared" ref="O89:Q89" si="503">O86</f>
        <v>0.57846864239065032</v>
      </c>
      <c r="P89" s="146"/>
      <c r="Q89" s="147">
        <f t="shared" si="503"/>
        <v>0.63717948717948802</v>
      </c>
      <c r="R89" s="424"/>
      <c r="S89" s="601">
        <f>S86</f>
        <v>0.60934822738646455</v>
      </c>
      <c r="T89" s="424"/>
      <c r="U89" s="601">
        <f>U86</f>
        <v>0.60934822738646455</v>
      </c>
      <c r="V89" s="424"/>
      <c r="W89" s="601">
        <f>W86</f>
        <v>0.60934822738646455</v>
      </c>
      <c r="X89" s="146"/>
      <c r="Y89" s="147">
        <f t="shared" ref="Y89:AA89" si="504">Y86</f>
        <v>0.88484795528753812</v>
      </c>
      <c r="Z89" s="146"/>
      <c r="AA89" s="147">
        <f t="shared" si="504"/>
        <v>0.95245262909474393</v>
      </c>
      <c r="AB89" s="146"/>
      <c r="AC89" s="601">
        <f>AC86</f>
        <v>-7.0762130801688139E-2</v>
      </c>
      <c r="AD89" s="146"/>
      <c r="AE89" s="601">
        <f>AE86</f>
        <v>-7.0993589743589131E-3</v>
      </c>
      <c r="AF89" s="146"/>
      <c r="AG89" s="147">
        <f t="shared" ref="AG89" si="505">AG86</f>
        <v>0.16117706921158875</v>
      </c>
      <c r="AH89" s="146"/>
      <c r="AI89" s="147">
        <f t="shared" ref="AI89" si="506">AI86</f>
        <v>0.22783724447935899</v>
      </c>
      <c r="AJ89" s="146"/>
      <c r="AK89" s="147">
        <f t="shared" ref="AK89:AM89" si="507">AK86</f>
        <v>0.62956932829659495</v>
      </c>
      <c r="AL89" s="146"/>
      <c r="AM89" s="147">
        <f t="shared" si="507"/>
        <v>0.78413602742025612</v>
      </c>
      <c r="AN89" s="603"/>
      <c r="AO89" s="601">
        <f>AO86</f>
        <v>2.2008712298796684</v>
      </c>
      <c r="AP89" s="603"/>
      <c r="AQ89" s="601">
        <f>AQ86</f>
        <v>2.2559235517568847</v>
      </c>
      <c r="AR89" s="603"/>
      <c r="AS89" s="601">
        <f>AS86</f>
        <v>2.6880349608197713</v>
      </c>
      <c r="AT89" s="603"/>
      <c r="AU89" s="601">
        <f>AU86</f>
        <v>2.7493131868131866</v>
      </c>
      <c r="AV89" s="603"/>
      <c r="AW89" s="601">
        <f>AW86</f>
        <v>2.9538577456298976</v>
      </c>
      <c r="AX89" s="603"/>
      <c r="AY89" s="601">
        <f>AY86</f>
        <v>3.0185439560439558</v>
      </c>
      <c r="AZ89" s="146"/>
      <c r="BA89" s="147">
        <f t="shared" ref="BA89:BC89" si="508">BA86</f>
        <v>0.47447643251466853</v>
      </c>
      <c r="BB89" s="146"/>
      <c r="BC89" s="147">
        <f t="shared" si="508"/>
        <v>1.8171337751720111</v>
      </c>
      <c r="BD89" s="146"/>
      <c r="BE89" s="147">
        <f t="shared" ref="BE89" si="509">BE86</f>
        <v>1.7164760349793875</v>
      </c>
      <c r="BF89" s="146"/>
      <c r="BG89" s="147">
        <f t="shared" ref="BG89" si="510">BG86</f>
        <v>1.3935306936517859</v>
      </c>
      <c r="BH89" s="146"/>
      <c r="BI89" s="147">
        <f t="shared" ref="BI89" si="511">BI86</f>
        <v>1.8717293173708591</v>
      </c>
      <c r="BJ89"/>
      <c r="BK89" s="146"/>
      <c r="BL89" s="147">
        <f t="shared" ref="BL89:BN89" si="512">BL86</f>
        <v>1.1090909090909093</v>
      </c>
      <c r="BM89" s="146"/>
      <c r="BN89" s="147">
        <f t="shared" si="512"/>
        <v>1.0268733850129204</v>
      </c>
      <c r="BO89" s="146"/>
      <c r="BP89" s="147">
        <f t="shared" ref="BP89" si="513">BP86</f>
        <v>1.2339907413279221</v>
      </c>
      <c r="BQ89" s="146"/>
      <c r="BR89" s="147">
        <f t="shared" ref="BR89" si="514">BR86</f>
        <v>1.5210618582519411</v>
      </c>
      <c r="BT89" s="146"/>
      <c r="BU89" s="147">
        <f t="shared" ref="BU89" si="515">BU86</f>
        <v>1.8171337751720111</v>
      </c>
      <c r="BV89" s="146"/>
      <c r="BW89" s="147">
        <f t="shared" ref="BW89" si="516">BW86</f>
        <v>0.99895195699019335</v>
      </c>
    </row>
    <row r="90" spans="1:75" s="65" customFormat="1" ht="19.5" customHeight="1" x14ac:dyDescent="0.45">
      <c r="A90" s="561"/>
      <c r="B90" s="266"/>
      <c r="C90" s="132" t="s">
        <v>91</v>
      </c>
      <c r="D90" s="131"/>
      <c r="E90" s="131"/>
      <c r="F90" s="381"/>
      <c r="G90" s="1096">
        <f t="shared" ref="G90" si="517">G89/G67</f>
        <v>3.1750629459647094E-2</v>
      </c>
      <c r="H90" s="381"/>
      <c r="I90" s="1096">
        <f t="shared" ref="I90" si="518">I89/I67</f>
        <v>4.2844525787478688E-2</v>
      </c>
      <c r="J90" s="381"/>
      <c r="K90" s="611">
        <f t="shared" ref="K90" si="519">K89/K67</f>
        <v>0.20239932959908266</v>
      </c>
      <c r="L90" s="381"/>
      <c r="M90" s="611">
        <f t="shared" ref="M90" si="520">M89/M67</f>
        <v>0.20937979399517867</v>
      </c>
      <c r="N90" s="381"/>
      <c r="O90" s="382">
        <f t="shared" ref="O90:Q90" si="521">O89/O67</f>
        <v>0.100778509127291</v>
      </c>
      <c r="P90" s="381"/>
      <c r="Q90" s="382">
        <f t="shared" si="521"/>
        <v>0.10891957045803213</v>
      </c>
      <c r="R90" s="381"/>
      <c r="S90" s="611">
        <f>S89/S67</f>
        <v>0.10434044989494255</v>
      </c>
      <c r="T90" s="381"/>
      <c r="U90" s="611">
        <f>U89/U67</f>
        <v>0.10434044989494255</v>
      </c>
      <c r="V90" s="381"/>
      <c r="W90" s="611">
        <f>W89/W67</f>
        <v>0.10434044989494255</v>
      </c>
      <c r="X90" s="381"/>
      <c r="Y90" s="382">
        <f t="shared" ref="Y90:AA90" si="522">Y89/Y67</f>
        <v>0.19235825114946484</v>
      </c>
      <c r="Z90" s="381"/>
      <c r="AA90" s="382">
        <f t="shared" si="522"/>
        <v>0.20264949555207318</v>
      </c>
      <c r="AB90" s="381"/>
      <c r="AC90" s="611">
        <f>AC89/AC67</f>
        <v>-1.7259056293094668E-2</v>
      </c>
      <c r="AD90" s="381"/>
      <c r="AE90" s="611">
        <f>AE89/AE67</f>
        <v>-1.670437405731509E-3</v>
      </c>
      <c r="AF90" s="132"/>
      <c r="AG90" s="133">
        <f t="shared" ref="AG90" si="523">AG89/AG67</f>
        <v>3.9025924748568704E-2</v>
      </c>
      <c r="AH90" s="132"/>
      <c r="AI90" s="133">
        <f t="shared" ref="AI90" si="524">AI89/AI67</f>
        <v>5.3608763406907997E-2</v>
      </c>
      <c r="AJ90" s="381"/>
      <c r="AK90" s="382">
        <f t="shared" ref="AK90:AM90" si="525">AK89/AK67</f>
        <v>0.10406104599943719</v>
      </c>
      <c r="AL90" s="381"/>
      <c r="AM90" s="382">
        <f t="shared" si="525"/>
        <v>0.12546176438724099</v>
      </c>
      <c r="AN90" s="612"/>
      <c r="AO90" s="611">
        <f>AO89/AO67</f>
        <v>0.38276021389211623</v>
      </c>
      <c r="AP90" s="612"/>
      <c r="AQ90" s="611">
        <f>AQ89/AQ67</f>
        <v>0.38562795756527946</v>
      </c>
      <c r="AR90" s="612"/>
      <c r="AS90" s="611">
        <f>AS89/AS67</f>
        <v>0.46748434101213415</v>
      </c>
      <c r="AT90" s="612"/>
      <c r="AU90" s="611">
        <f>AU89/AU67</f>
        <v>0.46996806612191228</v>
      </c>
      <c r="AV90" s="612"/>
      <c r="AW90" s="611">
        <f>AW89/AW67</f>
        <v>0.51371439054432999</v>
      </c>
      <c r="AX90" s="612"/>
      <c r="AY90" s="611">
        <f>AY89/AY67</f>
        <v>0.51599041983657368</v>
      </c>
      <c r="AZ90" s="132"/>
      <c r="BA90" s="133">
        <f t="shared" ref="BA90:BC90" si="526">BA89/BA67</f>
        <v>0.11164151353286318</v>
      </c>
      <c r="BB90" s="132"/>
      <c r="BC90" s="133">
        <f t="shared" si="526"/>
        <v>0.29308609276967923</v>
      </c>
      <c r="BD90" s="132"/>
      <c r="BE90" s="133">
        <f t="shared" ref="BE90" si="527">BE89/BE67</f>
        <v>0.27685097338377218</v>
      </c>
      <c r="BF90" s="132"/>
      <c r="BG90" s="133">
        <f t="shared" ref="BG90" si="528">BG89/BG67</f>
        <v>0.22476301510512675</v>
      </c>
      <c r="BH90" s="132"/>
      <c r="BI90" s="133">
        <f t="shared" ref="BI90" si="529">BI89/BI67</f>
        <v>0.30189182538239662</v>
      </c>
      <c r="BJ90"/>
      <c r="BK90" s="132"/>
      <c r="BL90" s="133">
        <f t="shared" ref="BL90:BN90" si="530">BL89/BL67</f>
        <v>0.17888563049853376</v>
      </c>
      <c r="BM90" s="132"/>
      <c r="BN90" s="133">
        <f t="shared" si="530"/>
        <v>0.16562473951821297</v>
      </c>
      <c r="BO90" s="132"/>
      <c r="BP90" s="133">
        <f t="shared" ref="BP90" si="531">BP89/BP67</f>
        <v>0.19903076473031001</v>
      </c>
      <c r="BQ90" s="132"/>
      <c r="BR90" s="133">
        <f t="shared" ref="BR90" si="532">BR89/BR67</f>
        <v>0.24533255778257113</v>
      </c>
      <c r="BT90" s="132"/>
      <c r="BU90" s="133">
        <f t="shared" ref="BU90" si="533">BU89/BU67</f>
        <v>0.29308609276967923</v>
      </c>
      <c r="BV90" s="132"/>
      <c r="BW90" s="133">
        <f t="shared" ref="BW90" si="534">BW89/BW67</f>
        <v>0.16112128338551504</v>
      </c>
    </row>
    <row r="91" spans="1:75" s="65" customFormat="1" ht="19.5" customHeight="1" x14ac:dyDescent="0.45">
      <c r="A91" s="561"/>
      <c r="B91" s="266"/>
      <c r="C91" s="131"/>
      <c r="D91" s="131"/>
      <c r="E91" s="131"/>
      <c r="F91" s="381"/>
      <c r="G91" s="382"/>
      <c r="H91" s="381"/>
      <c r="I91" s="382"/>
      <c r="J91" s="381"/>
      <c r="K91" s="383"/>
      <c r="L91" s="381"/>
      <c r="M91" s="383"/>
      <c r="N91" s="381"/>
      <c r="O91" s="382"/>
      <c r="P91" s="381"/>
      <c r="Q91" s="382"/>
      <c r="R91" s="381"/>
      <c r="S91" s="383"/>
      <c r="T91" s="381"/>
      <c r="U91" s="383"/>
      <c r="V91" s="381"/>
      <c r="W91" s="383"/>
      <c r="X91" s="381"/>
      <c r="Y91" s="382"/>
      <c r="Z91" s="381"/>
      <c r="AA91" s="382"/>
      <c r="AB91" s="381"/>
      <c r="AC91" s="613"/>
      <c r="AD91" s="381"/>
      <c r="AE91" s="613"/>
      <c r="AF91" s="132"/>
      <c r="AG91" s="133"/>
      <c r="AH91" s="132"/>
      <c r="AI91" s="133"/>
      <c r="AJ91" s="381"/>
      <c r="AK91" s="382"/>
      <c r="AL91" s="381"/>
      <c r="AM91" s="382"/>
      <c r="AN91" s="614"/>
      <c r="AO91" s="613"/>
      <c r="AP91" s="614"/>
      <c r="AQ91" s="613"/>
      <c r="AR91" s="614"/>
      <c r="AS91" s="613"/>
      <c r="AT91" s="614"/>
      <c r="AU91" s="613"/>
      <c r="AV91" s="614"/>
      <c r="AW91" s="613"/>
      <c r="AX91" s="614"/>
      <c r="AY91" s="613"/>
      <c r="AZ91" s="132"/>
      <c r="BA91" s="133"/>
      <c r="BB91" s="132"/>
      <c r="BC91" s="133"/>
      <c r="BD91" s="132"/>
      <c r="BE91" s="133"/>
      <c r="BF91" s="132"/>
      <c r="BG91" s="133"/>
      <c r="BH91" s="132"/>
      <c r="BI91" s="133"/>
      <c r="BJ91"/>
      <c r="BK91" s="132"/>
      <c r="BL91" s="133"/>
      <c r="BM91" s="132"/>
      <c r="BN91" s="133"/>
      <c r="BO91" s="132"/>
      <c r="BP91" s="133"/>
      <c r="BQ91" s="132"/>
      <c r="BR91" s="133"/>
      <c r="BT91" s="132"/>
      <c r="BU91" s="133"/>
      <c r="BV91" s="132"/>
      <c r="BW91" s="133"/>
    </row>
    <row r="92" spans="1:75" s="65" customFormat="1" ht="19.5" customHeight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604">
        <v>1</v>
      </c>
      <c r="L92" s="256"/>
      <c r="M92" s="604">
        <v>1</v>
      </c>
      <c r="N92" s="256"/>
      <c r="O92" s="257">
        <v>0.5</v>
      </c>
      <c r="P92" s="256"/>
      <c r="Q92" s="257">
        <v>0.5</v>
      </c>
      <c r="R92" s="256"/>
      <c r="S92" s="604">
        <v>0</v>
      </c>
      <c r="T92" s="256"/>
      <c r="U92" s="604">
        <v>0</v>
      </c>
      <c r="V92" s="256"/>
      <c r="W92" s="604">
        <v>0</v>
      </c>
      <c r="X92" s="256"/>
      <c r="Y92" s="257">
        <v>0</v>
      </c>
      <c r="Z92" s="256"/>
      <c r="AA92" s="257">
        <v>0</v>
      </c>
      <c r="AB92" s="256"/>
      <c r="AC92" s="604">
        <v>0</v>
      </c>
      <c r="AD92" s="256"/>
      <c r="AE92" s="604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616"/>
      <c r="AO92" s="615">
        <v>2</v>
      </c>
      <c r="AP92" s="616"/>
      <c r="AQ92" s="615">
        <v>2</v>
      </c>
      <c r="AR92" s="616"/>
      <c r="AS92" s="615">
        <v>2</v>
      </c>
      <c r="AT92" s="616"/>
      <c r="AU92" s="615">
        <v>2</v>
      </c>
      <c r="AV92" s="616"/>
      <c r="AW92" s="615">
        <v>2</v>
      </c>
      <c r="AX92" s="616"/>
      <c r="AY92" s="615">
        <v>2</v>
      </c>
      <c r="AZ92" s="256"/>
      <c r="BA92" s="257">
        <v>0.3</v>
      </c>
      <c r="BB92" s="256"/>
      <c r="BC92" s="257">
        <v>0.75</v>
      </c>
      <c r="BD92" s="256"/>
      <c r="BE92" s="257">
        <v>0.75</v>
      </c>
      <c r="BF92" s="256"/>
      <c r="BG92" s="257">
        <v>0.75</v>
      </c>
      <c r="BH92" s="256"/>
      <c r="BI92" s="257">
        <v>0.75</v>
      </c>
      <c r="BJ92"/>
      <c r="BK92" s="256"/>
      <c r="BL92" s="257">
        <v>0.75</v>
      </c>
      <c r="BM92" s="256"/>
      <c r="BN92" s="257">
        <v>0.75</v>
      </c>
      <c r="BO92" s="256"/>
      <c r="BP92" s="257">
        <v>0.75</v>
      </c>
      <c r="BQ92" s="256"/>
      <c r="BR92" s="257">
        <v>0.75</v>
      </c>
      <c r="BT92" s="256"/>
      <c r="BU92" s="257">
        <v>0.75</v>
      </c>
      <c r="BV92" s="256"/>
      <c r="BW92" s="257">
        <v>0.75</v>
      </c>
    </row>
    <row r="93" spans="1:75" s="4" customFormat="1" ht="19.5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 t="shared" ref="G93" si="535">G89-G92</f>
        <v>0.1812960942145849</v>
      </c>
      <c r="H93" s="146"/>
      <c r="I93" s="147">
        <f t="shared" ref="I93" si="536">I89-I92</f>
        <v>0.25021203059887553</v>
      </c>
      <c r="J93" s="146"/>
      <c r="K93" s="601">
        <f t="shared" ref="K93" si="537">K89-K92</f>
        <v>0.16177215189873451</v>
      </c>
      <c r="L93" s="146"/>
      <c r="M93" s="601">
        <f t="shared" ref="M93" si="538">M89-M92</f>
        <v>0.22487179487179532</v>
      </c>
      <c r="N93" s="146"/>
      <c r="O93" s="147">
        <f t="shared" ref="O93:Q93" si="539">O89-O92</f>
        <v>7.8468642390650323E-2</v>
      </c>
      <c r="P93" s="146"/>
      <c r="Q93" s="147">
        <f t="shared" si="539"/>
        <v>0.13717948717948802</v>
      </c>
      <c r="R93" s="146"/>
      <c r="S93" s="601">
        <f>S89-S92</f>
        <v>0.60934822738646455</v>
      </c>
      <c r="T93" s="146"/>
      <c r="U93" s="601">
        <f>U89-U92</f>
        <v>0.60934822738646455</v>
      </c>
      <c r="V93" s="146"/>
      <c r="W93" s="601">
        <f>W89-W92</f>
        <v>0.60934822738646455</v>
      </c>
      <c r="X93" s="146"/>
      <c r="Y93" s="147">
        <f t="shared" ref="Y93:AA93" si="540">Y89-Y92</f>
        <v>0.88484795528753812</v>
      </c>
      <c r="Z93" s="146"/>
      <c r="AA93" s="147">
        <f t="shared" si="540"/>
        <v>0.95245262909474393</v>
      </c>
      <c r="AB93" s="146"/>
      <c r="AC93" s="601">
        <f>AC89-AC92</f>
        <v>-7.0762130801688139E-2</v>
      </c>
      <c r="AD93" s="146"/>
      <c r="AE93" s="601">
        <f>AE89-AE92</f>
        <v>-7.0993589743589131E-3</v>
      </c>
      <c r="AF93" s="146"/>
      <c r="AG93" s="147">
        <f t="shared" ref="AG93" si="541">AG89-AG92</f>
        <v>0.16117706921158875</v>
      </c>
      <c r="AH93" s="146"/>
      <c r="AI93" s="147">
        <f t="shared" ref="AI93" si="542">AI89-AI92</f>
        <v>0.22783724447935899</v>
      </c>
      <c r="AJ93" s="146"/>
      <c r="AK93" s="147">
        <f t="shared" ref="AK93:AM93" si="543">AK89-AK92</f>
        <v>0.62956932829659495</v>
      </c>
      <c r="AL93" s="146"/>
      <c r="AM93" s="147">
        <f t="shared" si="543"/>
        <v>0.78413602742025612</v>
      </c>
      <c r="AN93" s="602"/>
      <c r="AO93" s="601">
        <f>AO89-AO92</f>
        <v>0.20087122987966843</v>
      </c>
      <c r="AP93" s="602"/>
      <c r="AQ93" s="601">
        <f>AQ89-AQ92</f>
        <v>0.25592355175688475</v>
      </c>
      <c r="AR93" s="602"/>
      <c r="AS93" s="601">
        <f>AS89-AS92</f>
        <v>0.68803496081977134</v>
      </c>
      <c r="AT93" s="602"/>
      <c r="AU93" s="601">
        <f>AU89-AU92</f>
        <v>0.74931318681318659</v>
      </c>
      <c r="AV93" s="602"/>
      <c r="AW93" s="601">
        <f>AW89-AW92</f>
        <v>0.95385774562989756</v>
      </c>
      <c r="AX93" s="602"/>
      <c r="AY93" s="601">
        <f>AY89-AY92</f>
        <v>1.0185439560439558</v>
      </c>
      <c r="AZ93" s="146"/>
      <c r="BA93" s="147">
        <f t="shared" ref="BA93:BC93" si="544">BA89-BA92</f>
        <v>0.17447643251466854</v>
      </c>
      <c r="BB93" s="146"/>
      <c r="BC93" s="147">
        <f t="shared" si="544"/>
        <v>1.0671337751720111</v>
      </c>
      <c r="BD93" s="146"/>
      <c r="BE93" s="147">
        <f t="shared" ref="BE93" si="545">BE89-BE92</f>
        <v>0.9664760349793875</v>
      </c>
      <c r="BF93" s="146"/>
      <c r="BG93" s="147">
        <f t="shared" ref="BG93" si="546">BG89-BG92</f>
        <v>0.64353069365178595</v>
      </c>
      <c r="BH93" s="146"/>
      <c r="BI93" s="147">
        <f t="shared" ref="BI93" si="547">BI89-BI92</f>
        <v>1.1217293173708591</v>
      </c>
      <c r="BJ93"/>
      <c r="BK93" s="146"/>
      <c r="BL93" s="147">
        <f t="shared" ref="BL93:BN93" si="548">BL89-BL92</f>
        <v>0.35909090909090935</v>
      </c>
      <c r="BM93" s="146"/>
      <c r="BN93" s="147">
        <f t="shared" si="548"/>
        <v>0.27687338501292036</v>
      </c>
      <c r="BO93" s="146"/>
      <c r="BP93" s="147">
        <f t="shared" ref="BP93" si="549">BP89-BP92</f>
        <v>0.48399074132792208</v>
      </c>
      <c r="BQ93" s="146"/>
      <c r="BR93" s="147">
        <f t="shared" ref="BR93" si="550">BR89-BR92</f>
        <v>0.77106185825194107</v>
      </c>
      <c r="BT93" s="146"/>
      <c r="BU93" s="147">
        <f t="shared" ref="BU93" si="551">BU89-BU92</f>
        <v>1.0671337751720111</v>
      </c>
      <c r="BV93" s="146"/>
      <c r="BW93" s="147">
        <f t="shared" ref="BW93" si="552">BW89-BW92</f>
        <v>0.24895195699019335</v>
      </c>
    </row>
    <row r="94" spans="1:75" s="4" customFormat="1" ht="18" customHeight="1" outlineLevel="1" x14ac:dyDescent="0.45">
      <c r="A94" s="561"/>
      <c r="B94" s="266"/>
      <c r="C94" s="131" t="s">
        <v>93</v>
      </c>
      <c r="D94" s="131"/>
      <c r="E94" s="149"/>
      <c r="F94" s="381"/>
      <c r="G94" s="1096">
        <f t="shared" ref="G94" si="553">G93/G67</f>
        <v>3.1750629459647094E-2</v>
      </c>
      <c r="H94" s="381"/>
      <c r="I94" s="1096">
        <f t="shared" ref="I94" si="554">I93/I67</f>
        <v>4.2844525787478688E-2</v>
      </c>
      <c r="J94" s="381"/>
      <c r="K94" s="611">
        <f t="shared" ref="K94" si="555">K93/K67</f>
        <v>2.8183301724518207E-2</v>
      </c>
      <c r="L94" s="381"/>
      <c r="M94" s="611">
        <f t="shared" ref="M94" si="556">M93/M67</f>
        <v>3.8439623055007741E-2</v>
      </c>
      <c r="N94" s="381"/>
      <c r="O94" s="382">
        <f t="shared" ref="O94:Q94" si="557">O93/O67</f>
        <v>1.3670495190008767E-2</v>
      </c>
      <c r="P94" s="381"/>
      <c r="Q94" s="382">
        <f t="shared" si="557"/>
        <v>2.3449484987946669E-2</v>
      </c>
      <c r="R94" s="381"/>
      <c r="S94" s="611">
        <f>S93/S67</f>
        <v>0.10434044989494255</v>
      </c>
      <c r="T94" s="381"/>
      <c r="U94" s="611">
        <f>U93/U67</f>
        <v>0.10434044989494255</v>
      </c>
      <c r="V94" s="381"/>
      <c r="W94" s="611">
        <f>W93/W67</f>
        <v>0.10434044989494255</v>
      </c>
      <c r="X94" s="381"/>
      <c r="Y94" s="382">
        <f t="shared" ref="Y94:AA94" si="558">Y93/Y67</f>
        <v>0.19235825114946484</v>
      </c>
      <c r="Z94" s="381"/>
      <c r="AA94" s="382">
        <f t="shared" si="558"/>
        <v>0.20264949555207318</v>
      </c>
      <c r="AB94" s="381"/>
      <c r="AC94" s="611">
        <f>AC93/AC67</f>
        <v>-1.7259056293094668E-2</v>
      </c>
      <c r="AD94" s="381"/>
      <c r="AE94" s="611">
        <f>AE93/AE67</f>
        <v>-1.670437405731509E-3</v>
      </c>
      <c r="AF94" s="132"/>
      <c r="AG94" s="133">
        <f t="shared" ref="AG94" si="559">AG93/AG67</f>
        <v>3.9025924748568704E-2</v>
      </c>
      <c r="AH94" s="132"/>
      <c r="AI94" s="133">
        <f t="shared" ref="AI94" si="560">AI93/AI67</f>
        <v>5.3608763406907997E-2</v>
      </c>
      <c r="AJ94" s="381"/>
      <c r="AK94" s="382">
        <f t="shared" ref="AK94:AM94" si="561">AK93/AK67</f>
        <v>0.10406104599943719</v>
      </c>
      <c r="AL94" s="381"/>
      <c r="AM94" s="382">
        <f t="shared" si="561"/>
        <v>0.12546176438724099</v>
      </c>
      <c r="AN94" s="612"/>
      <c r="AO94" s="611">
        <f>AO93/AO67</f>
        <v>3.4934126935594507E-2</v>
      </c>
      <c r="AP94" s="612"/>
      <c r="AQ94" s="611">
        <f>AQ93/AQ67</f>
        <v>4.3747615684937569E-2</v>
      </c>
      <c r="AR94" s="612"/>
      <c r="AS94" s="611">
        <f>AS93/AS67</f>
        <v>0.11965825405561241</v>
      </c>
      <c r="AT94" s="612"/>
      <c r="AU94" s="611">
        <f>AU93/AU67</f>
        <v>0.12808772424157036</v>
      </c>
      <c r="AV94" s="612"/>
      <c r="AW94" s="611">
        <f>AW93/AW67</f>
        <v>0.16588830358780826</v>
      </c>
      <c r="AX94" s="612"/>
      <c r="AY94" s="611">
        <f>AY93/AY67</f>
        <v>0.17411007795623176</v>
      </c>
      <c r="AZ94" s="132"/>
      <c r="BA94" s="133">
        <f t="shared" ref="BA94:BC94" si="562">BA93/BA67</f>
        <v>4.1053278238745543E-2</v>
      </c>
      <c r="BB94" s="132"/>
      <c r="BC94" s="133">
        <f t="shared" si="562"/>
        <v>0.17211835083419533</v>
      </c>
      <c r="BD94" s="132"/>
      <c r="BE94" s="133">
        <f t="shared" ref="BE94" si="563">BE93/BE67</f>
        <v>0.15588323144828831</v>
      </c>
      <c r="BF94" s="132"/>
      <c r="BG94" s="133">
        <f t="shared" ref="BG94" si="564">BG93/BG67</f>
        <v>0.10379527316964289</v>
      </c>
      <c r="BH94" s="132"/>
      <c r="BI94" s="133">
        <f t="shared" ref="BI94" si="565">BI93/BI67</f>
        <v>0.18092408344691277</v>
      </c>
      <c r="BJ94"/>
      <c r="BK94" s="132"/>
      <c r="BL94" s="133">
        <f t="shared" ref="BL94:BN94" si="566">BL93/BL67</f>
        <v>5.7917888563049892E-2</v>
      </c>
      <c r="BM94" s="132"/>
      <c r="BN94" s="133">
        <f t="shared" si="566"/>
        <v>4.4656997582729091E-2</v>
      </c>
      <c r="BO94" s="132"/>
      <c r="BP94" s="133">
        <f t="shared" ref="BP94" si="567">BP93/BP67</f>
        <v>7.8063022794826145E-2</v>
      </c>
      <c r="BQ94" s="132"/>
      <c r="BR94" s="133">
        <f t="shared" ref="BR94" si="568">BR93/BR67</f>
        <v>0.12436481584708726</v>
      </c>
      <c r="BT94" s="132"/>
      <c r="BU94" s="133">
        <f t="shared" ref="BU94" si="569">BU93/BU67</f>
        <v>0.17211835083419533</v>
      </c>
      <c r="BV94" s="132"/>
      <c r="BW94" s="133">
        <f t="shared" ref="BW94" si="570">BW93/BW67</f>
        <v>4.0153541450031187E-2</v>
      </c>
    </row>
    <row r="95" spans="1:75" s="4" customFormat="1" ht="18" customHeight="1" outlineLevel="1" x14ac:dyDescent="0.45">
      <c r="A95" s="561"/>
      <c r="B95" s="266"/>
      <c r="C95" s="131"/>
      <c r="D95" s="131"/>
      <c r="E95" s="131"/>
      <c r="F95" s="381"/>
      <c r="G95" s="382"/>
      <c r="H95" s="381"/>
      <c r="I95" s="382"/>
      <c r="J95" s="381"/>
      <c r="K95" s="383"/>
      <c r="L95" s="381"/>
      <c r="M95" s="383"/>
      <c r="N95" s="381"/>
      <c r="O95" s="382"/>
      <c r="P95" s="381"/>
      <c r="Q95" s="382"/>
      <c r="R95" s="381"/>
      <c r="S95" s="383"/>
      <c r="T95" s="381"/>
      <c r="U95" s="383"/>
      <c r="V95" s="381"/>
      <c r="W95" s="383"/>
      <c r="X95" s="381"/>
      <c r="Y95" s="382"/>
      <c r="Z95" s="381"/>
      <c r="AA95" s="382"/>
      <c r="AB95" s="381"/>
      <c r="AC95" s="613"/>
      <c r="AD95" s="381"/>
      <c r="AE95" s="613"/>
      <c r="AF95" s="132"/>
      <c r="AG95" s="133"/>
      <c r="AH95" s="132"/>
      <c r="AI95" s="133"/>
      <c r="AJ95" s="381"/>
      <c r="AK95" s="382"/>
      <c r="AL95" s="381"/>
      <c r="AM95" s="382"/>
      <c r="AN95" s="614"/>
      <c r="AO95" s="613"/>
      <c r="AP95" s="614"/>
      <c r="AQ95" s="613"/>
      <c r="AR95" s="614"/>
      <c r="AS95" s="613"/>
      <c r="AT95" s="614"/>
      <c r="AU95" s="613"/>
      <c r="AV95" s="614"/>
      <c r="AW95" s="613"/>
      <c r="AX95" s="614"/>
      <c r="AY95" s="613"/>
      <c r="AZ95" s="132"/>
      <c r="BA95" s="133"/>
      <c r="BB95" s="132"/>
      <c r="BC95" s="133"/>
      <c r="BD95" s="132"/>
      <c r="BE95" s="133"/>
      <c r="BF95" s="132"/>
      <c r="BG95" s="133"/>
      <c r="BH95" s="132"/>
      <c r="BI95" s="133"/>
      <c r="BJ95"/>
      <c r="BK95" s="132"/>
      <c r="BL95" s="133"/>
      <c r="BM95" s="132"/>
      <c r="BN95" s="133"/>
      <c r="BO95" s="132"/>
      <c r="BP95" s="133"/>
      <c r="BQ95" s="132"/>
      <c r="BR95" s="133"/>
      <c r="BT95" s="132"/>
      <c r="BU95" s="133"/>
      <c r="BV95" s="132"/>
      <c r="BW95" s="133"/>
    </row>
    <row r="96" spans="1:75" s="4" customFormat="1" ht="18" customHeight="1" outlineLevel="1" x14ac:dyDescent="0.45">
      <c r="A96" s="561"/>
      <c r="B96" s="266"/>
      <c r="C96" s="262" t="s">
        <v>94</v>
      </c>
      <c r="D96" s="131"/>
      <c r="E96" s="131"/>
      <c r="F96" s="381"/>
      <c r="G96" s="383">
        <f>(G136-G135)/G66</f>
        <v>-0.31042253521126761</v>
      </c>
      <c r="H96" s="381"/>
      <c r="I96" s="383">
        <f>(I136-I135)/I66</f>
        <v>-0.17574931880108993</v>
      </c>
      <c r="J96" s="381"/>
      <c r="K96" s="383">
        <f>(K136-K135)/K66-K58</f>
        <v>-0.28279958677685951</v>
      </c>
      <c r="L96" s="381"/>
      <c r="M96" s="383">
        <f>(M136-M135)/M66-M58</f>
        <v>-0.16658057851239669</v>
      </c>
      <c r="N96" s="381"/>
      <c r="O96" s="383">
        <f>(O136-O135)/O66</f>
        <v>-0.28279958677685951</v>
      </c>
      <c r="P96" s="381"/>
      <c r="Q96" s="383">
        <f>(Q136-Q135)/Q66</f>
        <v>-0.16658057851239669</v>
      </c>
      <c r="R96" s="381"/>
      <c r="S96" s="383">
        <f>(S136-S135)/S66-S58</f>
        <v>-0.16658057851239669</v>
      </c>
      <c r="T96" s="381"/>
      <c r="U96" s="383">
        <f>(U136-U135)/U66-U58</f>
        <v>-0.16658057851239669</v>
      </c>
      <c r="V96" s="381"/>
      <c r="W96" s="383">
        <f>(W136-W135)/W66-W58</f>
        <v>-0.16658057851239669</v>
      </c>
      <c r="X96" s="381"/>
      <c r="Y96" s="383">
        <f>(Y136-Y135)/Y66</f>
        <v>-0.22165991902834009</v>
      </c>
      <c r="Z96" s="381"/>
      <c r="AA96" s="383">
        <f>(AA136-AA135)/AA66</f>
        <v>-0.13056680161943321</v>
      </c>
      <c r="AB96" s="381"/>
      <c r="AC96" s="383">
        <f>(AC136-AC135)/AC66</f>
        <v>-0.22812499999999999</v>
      </c>
      <c r="AD96" s="381"/>
      <c r="AE96" s="383">
        <f>(AE136-AE135)/AE66</f>
        <v>-0.13437499999999999</v>
      </c>
      <c r="AF96" s="132"/>
      <c r="AG96" s="383">
        <f>(AG136-AG135)/AG66</f>
        <v>-0.22812499999999999</v>
      </c>
      <c r="AH96" s="132"/>
      <c r="AI96" s="383">
        <f>(AI136-AI135)/AI66</f>
        <v>-0.13437499999999999</v>
      </c>
      <c r="AJ96" s="381"/>
      <c r="AK96" s="383">
        <f>(AK136-AK135)/AK66</f>
        <v>-0.45624999999999999</v>
      </c>
      <c r="AL96" s="381"/>
      <c r="AM96" s="383">
        <f>(AM136-AM135)/AM66</f>
        <v>-0.26874999999999999</v>
      </c>
      <c r="AN96" s="598"/>
      <c r="AO96" s="383">
        <f>(AO136-AO135)/AO66</f>
        <v>-0.27037037037037037</v>
      </c>
      <c r="AP96" s="598"/>
      <c r="AQ96" s="383">
        <f>(AQ136-AQ135)/AQ66</f>
        <v>-0.15925925925925927</v>
      </c>
      <c r="AR96" s="598"/>
      <c r="AS96" s="383">
        <f>(AS136-AS135)/AS66</f>
        <v>-0.26071428571428573</v>
      </c>
      <c r="AT96" s="598"/>
      <c r="AU96" s="383">
        <f>(AU136-AU135)/AU66</f>
        <v>-0.15357142857142858</v>
      </c>
      <c r="AV96" s="598"/>
      <c r="AW96" s="383">
        <f>(AW136-AW135)/AW66</f>
        <v>-0.26071428571428573</v>
      </c>
      <c r="AX96" s="598"/>
      <c r="AY96" s="383">
        <f>(AY136-AY135)/AY66</f>
        <v>-0.15357142857142858</v>
      </c>
      <c r="AZ96" s="132"/>
      <c r="BA96" s="383">
        <f>(BA136-BA135)/BA66</f>
        <v>-0.13437499999999999</v>
      </c>
      <c r="BB96" s="132"/>
      <c r="BC96" s="383">
        <f>(BC136-BC135)/BC66</f>
        <v>-9.4827586206896547E-2</v>
      </c>
      <c r="BD96" s="132"/>
      <c r="BE96" s="383">
        <f>(BE136-BE135)/BE66</f>
        <v>-0.11866262814538676</v>
      </c>
      <c r="BF96" s="132"/>
      <c r="BG96" s="383">
        <f>(BG136-BG135)/BG66</f>
        <v>-0.12672413793103449</v>
      </c>
      <c r="BH96" s="132"/>
      <c r="BI96" s="383">
        <f>(BI136-BI135)/BI66</f>
        <v>-0.12810344827586206</v>
      </c>
      <c r="BJ96"/>
      <c r="BK96" s="132"/>
      <c r="BL96" s="383">
        <f>(BL136-BL135)/BL66</f>
        <v>-0.12810344827586206</v>
      </c>
      <c r="BM96" s="132"/>
      <c r="BN96" s="383">
        <f>(BN136-BN135)/BN66</f>
        <v>-0.11866262814538676</v>
      </c>
      <c r="BO96" s="132"/>
      <c r="BP96" s="383">
        <f>(BP136-BP135)/BP66</f>
        <v>-0.12672413793103449</v>
      </c>
      <c r="BQ96" s="132"/>
      <c r="BR96" s="383">
        <f>(BR136-BR135)/BR66</f>
        <v>-0.12810344827586206</v>
      </c>
      <c r="BT96" s="132"/>
      <c r="BU96" s="383">
        <f>(BU136-BU135)/BU66</f>
        <v>-0.11120689655172414</v>
      </c>
      <c r="BV96" s="132"/>
      <c r="BW96" s="383">
        <f>(BW136-BW135)/BW66</f>
        <v>-0.11120689655172414</v>
      </c>
    </row>
    <row r="97" spans="1:75" s="4" customFormat="1" ht="18" customHeight="1" outlineLevel="1" x14ac:dyDescent="0.45">
      <c r="A97" s="561"/>
      <c r="B97" s="266"/>
      <c r="C97" s="131"/>
      <c r="D97" s="131"/>
      <c r="E97" s="131"/>
      <c r="F97" s="381"/>
      <c r="G97" s="382"/>
      <c r="H97" s="381"/>
      <c r="I97" s="382"/>
      <c r="J97" s="381"/>
      <c r="K97" s="383"/>
      <c r="L97" s="381"/>
      <c r="M97" s="383"/>
      <c r="N97" s="381"/>
      <c r="O97" s="382"/>
      <c r="P97" s="381"/>
      <c r="Q97" s="382"/>
      <c r="R97" s="381"/>
      <c r="S97" s="383"/>
      <c r="T97" s="381"/>
      <c r="U97" s="383"/>
      <c r="V97" s="381"/>
      <c r="W97" s="383"/>
      <c r="X97" s="381"/>
      <c r="Y97" s="382"/>
      <c r="Z97" s="381"/>
      <c r="AA97" s="382"/>
      <c r="AB97" s="381"/>
      <c r="AC97" s="383"/>
      <c r="AD97" s="381"/>
      <c r="AE97" s="383"/>
      <c r="AF97" s="132"/>
      <c r="AG97" s="133"/>
      <c r="AH97" s="132"/>
      <c r="AI97" s="133"/>
      <c r="AJ97" s="381"/>
      <c r="AK97" s="382"/>
      <c r="AL97" s="381"/>
      <c r="AM97" s="382"/>
      <c r="AN97" s="598"/>
      <c r="AO97" s="383"/>
      <c r="AP97" s="598"/>
      <c r="AQ97" s="383"/>
      <c r="AR97" s="598"/>
      <c r="AS97" s="383"/>
      <c r="AT97" s="598"/>
      <c r="AU97" s="383"/>
      <c r="AV97" s="598"/>
      <c r="AW97" s="383"/>
      <c r="AX97" s="598"/>
      <c r="AY97" s="383"/>
      <c r="AZ97" s="132"/>
      <c r="BA97" s="133"/>
      <c r="BB97" s="132"/>
      <c r="BC97" s="133"/>
      <c r="BD97" s="132"/>
      <c r="BE97" s="133"/>
      <c r="BF97" s="132"/>
      <c r="BG97" s="133"/>
      <c r="BH97" s="132"/>
      <c r="BI97" s="133"/>
      <c r="BJ97"/>
      <c r="BK97" s="132"/>
      <c r="BL97" s="133"/>
      <c r="BM97" s="132"/>
      <c r="BN97" s="133"/>
      <c r="BO97" s="132"/>
      <c r="BP97" s="133"/>
      <c r="BQ97" s="132"/>
      <c r="BR97" s="133"/>
      <c r="BT97" s="132"/>
      <c r="BU97" s="133"/>
      <c r="BV97" s="132"/>
      <c r="BW97" s="133"/>
    </row>
    <row r="98" spans="1:75" s="97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 t="shared" ref="G98" si="571">G93-G96</f>
        <v>0.49171862942585254</v>
      </c>
      <c r="H98" s="591"/>
      <c r="I98" s="590">
        <f t="shared" ref="I98" si="572">I93-I96</f>
        <v>0.42596134939996544</v>
      </c>
      <c r="J98" s="155"/>
      <c r="K98" s="590">
        <f t="shared" ref="K98:M98" si="573">K93-K96</f>
        <v>0.44457173867559402</v>
      </c>
      <c r="L98" s="155"/>
      <c r="M98" s="590">
        <f t="shared" si="573"/>
        <v>0.39145237338419203</v>
      </c>
      <c r="N98" s="591"/>
      <c r="O98" s="590">
        <f t="shared" ref="O98:Q98" si="574">O93-O96</f>
        <v>0.36126822916750984</v>
      </c>
      <c r="P98" s="591"/>
      <c r="Q98" s="590">
        <f t="shared" si="574"/>
        <v>0.30376006569188474</v>
      </c>
      <c r="R98" s="155"/>
      <c r="S98" s="590">
        <f>S93-S96</f>
        <v>0.77592880589886126</v>
      </c>
      <c r="T98" s="155"/>
      <c r="U98" s="590">
        <f>U93-U96</f>
        <v>0.77592880589886126</v>
      </c>
      <c r="V98" s="155"/>
      <c r="W98" s="590">
        <f>W93-W96</f>
        <v>0.77592880589886126</v>
      </c>
      <c r="X98" s="591"/>
      <c r="Y98" s="590">
        <f t="shared" ref="Y98:AA98" si="575">Y93-Y96</f>
        <v>1.1065078743158783</v>
      </c>
      <c r="Z98" s="591"/>
      <c r="AA98" s="590">
        <f t="shared" si="575"/>
        <v>1.0830194307141772</v>
      </c>
      <c r="AB98" s="155"/>
      <c r="AC98" s="590">
        <f>AC93-AC96</f>
        <v>0.15736286919831186</v>
      </c>
      <c r="AD98" s="155"/>
      <c r="AE98" s="590">
        <f>AE93-AE96</f>
        <v>0.1272756410256411</v>
      </c>
      <c r="AF98" s="591"/>
      <c r="AG98" s="590">
        <f t="shared" ref="AG98" si="576">AG93-AG96</f>
        <v>0.38930206921158872</v>
      </c>
      <c r="AH98" s="591"/>
      <c r="AI98" s="590">
        <f t="shared" ref="AI98" si="577">AI93-AI96</f>
        <v>0.36221224447935896</v>
      </c>
      <c r="AJ98" s="591"/>
      <c r="AK98" s="590">
        <f t="shared" ref="AK98:AM98" si="578">AK93-AK96</f>
        <v>1.0858193282965949</v>
      </c>
      <c r="AL98" s="591"/>
      <c r="AM98" s="590">
        <f t="shared" si="578"/>
        <v>1.0528860274202561</v>
      </c>
      <c r="AN98" s="618"/>
      <c r="AO98" s="590">
        <f>AO93-AO96</f>
        <v>0.47124160025003881</v>
      </c>
      <c r="AP98" s="618"/>
      <c r="AQ98" s="590">
        <f>AQ93-AQ96</f>
        <v>0.41518281101614402</v>
      </c>
      <c r="AR98" s="618"/>
      <c r="AS98" s="590">
        <f>AS93-AS96</f>
        <v>0.94874924653405701</v>
      </c>
      <c r="AT98" s="618"/>
      <c r="AU98" s="590">
        <f>AU93-AU96</f>
        <v>0.90288461538461517</v>
      </c>
      <c r="AV98" s="618"/>
      <c r="AW98" s="590">
        <f>AW93-AW96</f>
        <v>1.2145720313441832</v>
      </c>
      <c r="AX98" s="618"/>
      <c r="AY98" s="590">
        <f>AY93-AY96</f>
        <v>1.1721153846153842</v>
      </c>
      <c r="AZ98" s="591"/>
      <c r="BA98" s="590">
        <f t="shared" ref="BA98:BC98" si="579">BA93-BA96</f>
        <v>0.30885143251466851</v>
      </c>
      <c r="BB98" s="591"/>
      <c r="BC98" s="590">
        <f t="shared" si="579"/>
        <v>1.1619613613789077</v>
      </c>
      <c r="BD98" s="591"/>
      <c r="BE98" s="590">
        <f t="shared" ref="BE98" si="580">BE93-BE96</f>
        <v>1.0851386631247744</v>
      </c>
      <c r="BF98" s="591"/>
      <c r="BG98" s="590">
        <f t="shared" ref="BG98" si="581">BG93-BG96</f>
        <v>0.77025483158282038</v>
      </c>
      <c r="BH98" s="591"/>
      <c r="BI98" s="590">
        <f t="shared" ref="BI98" si="582">BI93-BI96</f>
        <v>1.2498327656467212</v>
      </c>
      <c r="BJ98"/>
      <c r="BK98" s="591"/>
      <c r="BL98" s="590">
        <f t="shared" ref="BL98:BN98" si="583">BL93-BL96</f>
        <v>0.48719435736677141</v>
      </c>
      <c r="BM98" s="591"/>
      <c r="BN98" s="590">
        <f t="shared" si="583"/>
        <v>0.39553601315830711</v>
      </c>
      <c r="BO98" s="591"/>
      <c r="BP98" s="590">
        <f t="shared" ref="BP98" si="584">BP93-BP96</f>
        <v>0.61071487925895651</v>
      </c>
      <c r="BQ98" s="591"/>
      <c r="BR98" s="590">
        <f t="shared" ref="BR98" si="585">BR93-BR96</f>
        <v>0.89916530652780313</v>
      </c>
      <c r="BT98" s="591"/>
      <c r="BU98" s="590">
        <f t="shared" ref="BU98" si="586">BU93-BU96</f>
        <v>1.1783406717237352</v>
      </c>
      <c r="BV98" s="591"/>
      <c r="BW98" s="590">
        <f t="shared" ref="BW98" si="587">BW93-BW96</f>
        <v>0.36015885354191746</v>
      </c>
    </row>
    <row r="99" spans="1:75" s="97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 t="shared" ref="G99" si="588">G98/G67</f>
        <v>8.6115346659518838E-2</v>
      </c>
      <c r="H99" s="159"/>
      <c r="I99" s="1097">
        <f t="shared" ref="I99" si="589">I98/I67</f>
        <v>7.2938587226021478E-2</v>
      </c>
      <c r="J99" s="159"/>
      <c r="K99" s="609">
        <f t="shared" ref="K99" si="590">K98/K67</f>
        <v>7.7451522417350871E-2</v>
      </c>
      <c r="L99" s="159"/>
      <c r="M99" s="609">
        <f t="shared" ref="M99" si="591">M98/M67</f>
        <v>6.6914935621229396E-2</v>
      </c>
      <c r="N99" s="159"/>
      <c r="O99" s="1097">
        <f t="shared" ref="O99:Q99" si="592">O98/O67</f>
        <v>6.2938715882841431E-2</v>
      </c>
      <c r="P99" s="159"/>
      <c r="Q99" s="1097">
        <f t="shared" si="592"/>
        <v>5.1924797554168324E-2</v>
      </c>
      <c r="R99" s="159"/>
      <c r="S99" s="609">
        <f>S98/S67</f>
        <v>0.13286452155802417</v>
      </c>
      <c r="T99" s="159"/>
      <c r="U99" s="609">
        <f>U98/U67</f>
        <v>0.13286452155802417</v>
      </c>
      <c r="V99" s="159"/>
      <c r="W99" s="609">
        <f>W98/W67</f>
        <v>0.13286452155802417</v>
      </c>
      <c r="X99" s="159"/>
      <c r="Y99" s="1097">
        <f t="shared" ref="Y99:AA99" si="593">Y98/Y67</f>
        <v>0.2405451900686692</v>
      </c>
      <c r="Z99" s="159"/>
      <c r="AA99" s="1097">
        <f t="shared" si="593"/>
        <v>0.23042966610939938</v>
      </c>
      <c r="AB99" s="159"/>
      <c r="AC99" s="609">
        <f>AC98/AC67</f>
        <v>3.8381187609344357E-2</v>
      </c>
      <c r="AD99" s="159"/>
      <c r="AE99" s="609">
        <f>AE98/AE67</f>
        <v>2.9947209653092024E-2</v>
      </c>
      <c r="AF99" s="159"/>
      <c r="AG99" s="1097">
        <f t="shared" ref="AG99" si="594">AG98/AG67</f>
        <v>9.4262002230408898E-2</v>
      </c>
      <c r="AH99" s="159"/>
      <c r="AI99" s="1097">
        <f t="shared" ref="AI99" si="595">AI98/AI67</f>
        <v>8.5226410465731525E-2</v>
      </c>
      <c r="AJ99" s="159"/>
      <c r="AK99" s="1097">
        <f t="shared" ref="AK99:AM99" si="596">AK98/AK67</f>
        <v>0.17947426913993306</v>
      </c>
      <c r="AL99" s="159"/>
      <c r="AM99" s="1097">
        <f t="shared" si="596"/>
        <v>0.16846176438724098</v>
      </c>
      <c r="AN99" s="610"/>
      <c r="AO99" s="609">
        <f>AO98/AO67</f>
        <v>8.1955060913050229E-2</v>
      </c>
      <c r="AP99" s="610"/>
      <c r="AQ99" s="609">
        <f>AQ98/AQ67</f>
        <v>7.0971420686520348E-2</v>
      </c>
      <c r="AR99" s="610"/>
      <c r="AS99" s="609">
        <f>AS98/AS67</f>
        <v>0.1649998689624447</v>
      </c>
      <c r="AT99" s="610"/>
      <c r="AU99" s="609">
        <f>AU98/AU67</f>
        <v>0.15433925049309663</v>
      </c>
      <c r="AV99" s="610"/>
      <c r="AW99" s="609">
        <f>AW98/AW67</f>
        <v>0.21122991849464057</v>
      </c>
      <c r="AX99" s="610"/>
      <c r="AY99" s="609">
        <f>AY98/AY67</f>
        <v>0.200361604207758</v>
      </c>
      <c r="AZ99" s="159"/>
      <c r="BA99" s="1097">
        <f t="shared" ref="BA99:BC99" si="597">BA98/BA67</f>
        <v>7.2670925297569064E-2</v>
      </c>
      <c r="BB99" s="159"/>
      <c r="BC99" s="1097">
        <f t="shared" si="597"/>
        <v>0.18741312280304961</v>
      </c>
      <c r="BD99" s="159"/>
      <c r="BE99" s="1097">
        <f t="shared" ref="BE99" si="598">BE98/BE67</f>
        <v>0.17502236502012489</v>
      </c>
      <c r="BF99" s="159"/>
      <c r="BG99" s="1097">
        <f t="shared" ref="BG99" si="599">BG98/BG67</f>
        <v>0.12423465025529361</v>
      </c>
      <c r="BH99" s="159"/>
      <c r="BI99" s="1097">
        <f t="shared" ref="BI99" si="600">BI98/BI67</f>
        <v>0.20158592994301955</v>
      </c>
      <c r="BJ99"/>
      <c r="BK99" s="159"/>
      <c r="BL99" s="1097">
        <f t="shared" ref="BL99:BN99" si="601">BL98/BL67</f>
        <v>7.8579735059156677E-2</v>
      </c>
      <c r="BM99" s="159"/>
      <c r="BN99" s="1097">
        <f t="shared" si="601"/>
        <v>6.3796131154565658E-2</v>
      </c>
      <c r="BO99" s="159"/>
      <c r="BP99" s="1097">
        <f t="shared" ref="BP99" si="602">BP98/BP67</f>
        <v>9.8502399880476849E-2</v>
      </c>
      <c r="BQ99" s="159"/>
      <c r="BR99" s="1097">
        <f t="shared" ref="BR99" si="603">BR98/BR67</f>
        <v>0.14502666234319406</v>
      </c>
      <c r="BT99" s="159"/>
      <c r="BU99" s="1097">
        <f t="shared" ref="BU99" si="604">BU98/BU67</f>
        <v>0.19005494705221535</v>
      </c>
      <c r="BV99" s="159"/>
      <c r="BW99" s="1097">
        <f t="shared" ref="BW99" si="605">BW98/BW67</f>
        <v>5.8090137668051198E-2</v>
      </c>
    </row>
    <row r="100" spans="1:75" s="4" customFormat="1" ht="18" customHeight="1" outlineLevel="1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f t="shared" ref="K100:M100" si="606">K64</f>
        <v>1200</v>
      </c>
      <c r="L100" s="251"/>
      <c r="M100" s="167">
        <f t="shared" si="606"/>
        <v>750</v>
      </c>
      <c r="N100" s="251"/>
      <c r="O100" s="167">
        <v>620</v>
      </c>
      <c r="P100" s="251"/>
      <c r="Q100" s="167">
        <v>620</v>
      </c>
      <c r="R100" s="251"/>
      <c r="S100" s="167">
        <f>S64</f>
        <v>750</v>
      </c>
      <c r="T100" s="251"/>
      <c r="U100" s="167">
        <f>U64</f>
        <v>750</v>
      </c>
      <c r="V100" s="251"/>
      <c r="W100" s="167">
        <f>W64</f>
        <v>750</v>
      </c>
      <c r="X100" s="251"/>
      <c r="Y100" s="167">
        <v>620</v>
      </c>
      <c r="Z100" s="251"/>
      <c r="AA100" s="167">
        <v>620</v>
      </c>
      <c r="AB100" s="251"/>
      <c r="AC100" s="167">
        <v>1200</v>
      </c>
      <c r="AD100" s="251"/>
      <c r="AE100" s="167">
        <v>1200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f>AO64</f>
        <v>1200</v>
      </c>
      <c r="AP100" s="251"/>
      <c r="AQ100" s="167">
        <f>AQ64</f>
        <v>750</v>
      </c>
      <c r="AR100" s="251"/>
      <c r="AS100" s="167">
        <f>AS64</f>
        <v>1200</v>
      </c>
      <c r="AT100" s="251"/>
      <c r="AU100" s="167">
        <f>AU64</f>
        <v>750</v>
      </c>
      <c r="AV100" s="251"/>
      <c r="AW100" s="167">
        <f>AW64</f>
        <v>1200</v>
      </c>
      <c r="AX100" s="251"/>
      <c r="AY100" s="167">
        <f>AY64</f>
        <v>750</v>
      </c>
      <c r="AZ100" s="251"/>
      <c r="BA100" s="167">
        <f>BA64</f>
        <v>750</v>
      </c>
      <c r="BB100" s="251"/>
      <c r="BC100" s="167">
        <f>BC64</f>
        <v>750</v>
      </c>
      <c r="BD100" s="251"/>
      <c r="BE100" s="167">
        <f>BE64</f>
        <v>750</v>
      </c>
      <c r="BF100" s="251"/>
      <c r="BG100" s="167">
        <f>BG64</f>
        <v>750</v>
      </c>
      <c r="BH100" s="251"/>
      <c r="BI100" s="167">
        <f>BI64</f>
        <v>750</v>
      </c>
      <c r="BJ100"/>
      <c r="BK100" s="251"/>
      <c r="BL100" s="167">
        <f>BL64</f>
        <v>750</v>
      </c>
      <c r="BM100" s="251"/>
      <c r="BN100" s="167">
        <f>BN64</f>
        <v>750</v>
      </c>
      <c r="BO100" s="251"/>
      <c r="BP100" s="167">
        <f>BP64</f>
        <v>750</v>
      </c>
      <c r="BQ100" s="251"/>
      <c r="BR100" s="167">
        <f>BR64</f>
        <v>750</v>
      </c>
      <c r="BT100" s="251"/>
      <c r="BU100" s="167">
        <f>BU64</f>
        <v>750</v>
      </c>
      <c r="BV100" s="251"/>
      <c r="BW100" s="167">
        <f>BW64</f>
        <v>750</v>
      </c>
    </row>
    <row r="101" spans="1:75" s="4" customFormat="1" ht="18" customHeight="1" outlineLevel="1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/>
      <c r="BK101" s="164"/>
      <c r="BL101" s="168">
        <v>1150</v>
      </c>
      <c r="BM101" s="164"/>
      <c r="BN101" s="168">
        <v>1150</v>
      </c>
      <c r="BO101" s="164"/>
      <c r="BP101" s="168">
        <v>1150</v>
      </c>
      <c r="BQ101" s="164"/>
      <c r="BR101" s="168">
        <v>1150</v>
      </c>
      <c r="BT101" s="164"/>
      <c r="BU101" s="168">
        <v>1150</v>
      </c>
      <c r="BV101" s="164"/>
      <c r="BW101" s="168">
        <v>1150</v>
      </c>
    </row>
    <row r="102" spans="1:75" s="4" customFormat="1" ht="18" customHeight="1" outlineLevel="1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/>
      <c r="BK102" s="164"/>
      <c r="BL102" s="168">
        <v>750</v>
      </c>
      <c r="BM102" s="164"/>
      <c r="BN102" s="168">
        <v>750</v>
      </c>
      <c r="BO102" s="164"/>
      <c r="BP102" s="168">
        <v>750</v>
      </c>
      <c r="BQ102" s="164"/>
      <c r="BR102" s="168">
        <v>750</v>
      </c>
      <c r="BT102" s="164"/>
      <c r="BU102" s="168">
        <v>750</v>
      </c>
      <c r="BV102" s="164"/>
      <c r="BW102" s="168">
        <v>750</v>
      </c>
    </row>
    <row r="103" spans="1:75" s="162" customFormat="1" ht="18" customHeight="1" outlineLevel="1" x14ac:dyDescent="0.45">
      <c r="A103" s="561"/>
      <c r="B103" s="1187"/>
      <c r="C103" s="170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/>
      <c r="BK103" s="164"/>
      <c r="BL103" s="171"/>
      <c r="BM103" s="164"/>
      <c r="BN103" s="171"/>
      <c r="BO103" s="164"/>
      <c r="BP103" s="171"/>
      <c r="BQ103" s="164"/>
      <c r="BR103" s="171"/>
      <c r="BT103" s="164"/>
      <c r="BU103" s="171"/>
      <c r="BV103" s="164"/>
      <c r="BW103" s="171"/>
    </row>
    <row r="104" spans="1:75" s="4" customFormat="1" ht="18" customHeight="1" outlineLevel="1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>K101-K100</f>
        <v>-50</v>
      </c>
      <c r="L104" s="173"/>
      <c r="M104" s="165">
        <f>M101-M100</f>
        <v>400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400</v>
      </c>
      <c r="T104" s="173"/>
      <c r="U104" s="165">
        <f>U101-U100</f>
        <v>400</v>
      </c>
      <c r="V104" s="173"/>
      <c r="W104" s="165">
        <f>W101-W100</f>
        <v>400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-50</v>
      </c>
      <c r="AD104" s="173"/>
      <c r="AE104" s="165">
        <f>AE101-AE100</f>
        <v>-50</v>
      </c>
      <c r="AF104" s="173"/>
      <c r="AG104" s="165">
        <f>AG101-AG100</f>
        <v>530</v>
      </c>
      <c r="AH104" s="173"/>
      <c r="AI104" s="165">
        <f>AI101-AI100</f>
        <v>530</v>
      </c>
      <c r="AJ104" s="173"/>
      <c r="AK104" s="165">
        <f>AK101-AK100</f>
        <v>530</v>
      </c>
      <c r="AL104" s="173"/>
      <c r="AM104" s="165">
        <f>AM101-AM100</f>
        <v>530</v>
      </c>
      <c r="AN104" s="173"/>
      <c r="AO104" s="165">
        <f>AO101-AO100</f>
        <v>-50</v>
      </c>
      <c r="AP104" s="173"/>
      <c r="AQ104" s="165">
        <f>AQ101-AQ100</f>
        <v>400</v>
      </c>
      <c r="AR104" s="173"/>
      <c r="AS104" s="165">
        <f>AS101-AS100</f>
        <v>-50</v>
      </c>
      <c r="AT104" s="173"/>
      <c r="AU104" s="165">
        <f>AU101-AU100</f>
        <v>400</v>
      </c>
      <c r="AV104" s="173"/>
      <c r="AW104" s="165">
        <f>AW101-AW100</f>
        <v>-50</v>
      </c>
      <c r="AX104" s="173"/>
      <c r="AY104" s="165">
        <f>AY101-AY100</f>
        <v>400</v>
      </c>
      <c r="AZ104" s="173"/>
      <c r="BA104" s="165">
        <f>BA101-BA100</f>
        <v>400</v>
      </c>
      <c r="BB104" s="173"/>
      <c r="BC104" s="165" t="e">
        <f>#REF!-BC100</f>
        <v>#REF!</v>
      </c>
      <c r="BD104" s="173"/>
      <c r="BE104" s="165" t="e">
        <f>#REF!-BE100</f>
        <v>#REF!</v>
      </c>
      <c r="BF104" s="173"/>
      <c r="BG104" s="165">
        <f>BG101-BG100</f>
        <v>400</v>
      </c>
      <c r="BH104" s="173"/>
      <c r="BI104" s="165">
        <f>BI101-BI100</f>
        <v>400</v>
      </c>
      <c r="BJ104"/>
      <c r="BK104" s="173"/>
      <c r="BL104" s="165">
        <f>BL101-BL100</f>
        <v>400</v>
      </c>
      <c r="BM104" s="173"/>
      <c r="BN104" s="165">
        <f>BN101-BN100</f>
        <v>400</v>
      </c>
      <c r="BO104" s="173"/>
      <c r="BP104" s="165">
        <f>BP101-BP100</f>
        <v>400</v>
      </c>
      <c r="BQ104" s="173"/>
      <c r="BR104" s="165">
        <f>BR101-BR100</f>
        <v>400</v>
      </c>
      <c r="BT104" s="173"/>
      <c r="BU104" s="165" t="e">
        <f>#REF!-BU100</f>
        <v>#REF!</v>
      </c>
      <c r="BV104" s="173"/>
      <c r="BW104" s="165" t="e">
        <f>#REF!-BW100</f>
        <v>#REF!</v>
      </c>
    </row>
    <row r="105" spans="1:75" s="4" customFormat="1" ht="18" customHeight="1" outlineLevel="1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0.14929577464788732</v>
      </c>
      <c r="H105" s="177"/>
      <c r="I105" s="178">
        <f>I104/I66</f>
        <v>0.1444141689373297</v>
      </c>
      <c r="J105" s="177"/>
      <c r="K105" s="178">
        <f>K104/K66</f>
        <v>-1.2913223140495868E-2</v>
      </c>
      <c r="L105" s="177"/>
      <c r="M105" s="178">
        <f>M104/M66</f>
        <v>0.10330578512396695</v>
      </c>
      <c r="N105" s="177"/>
      <c r="O105" s="178">
        <f>O104/O66</f>
        <v>0.1368801652892562</v>
      </c>
      <c r="P105" s="177"/>
      <c r="Q105" s="178">
        <f>Q104/Q66</f>
        <v>0.1368801652892562</v>
      </c>
      <c r="R105" s="177"/>
      <c r="S105" s="178">
        <f>S104/S66</f>
        <v>0.10330578512396695</v>
      </c>
      <c r="T105" s="177"/>
      <c r="U105" s="178">
        <f>U104/U66</f>
        <v>0.10330578512396695</v>
      </c>
      <c r="V105" s="177"/>
      <c r="W105" s="178">
        <f>W104/W66</f>
        <v>0.10330578512396695</v>
      </c>
      <c r="X105" s="177"/>
      <c r="Y105" s="178">
        <f>Y104/Y66</f>
        <v>0.10728744939271255</v>
      </c>
      <c r="Z105" s="177"/>
      <c r="AA105" s="178">
        <f>AA104/AA66</f>
        <v>0.10728744939271255</v>
      </c>
      <c r="AB105" s="177"/>
      <c r="AC105" s="178">
        <f>AC104/AC66</f>
        <v>-1.0416666666666666E-2</v>
      </c>
      <c r="AD105" s="177"/>
      <c r="AE105" s="178">
        <f>AE104/AE66</f>
        <v>-1.0416666666666666E-2</v>
      </c>
      <c r="AF105" s="177"/>
      <c r="AG105" s="178">
        <f>AG104/AG66</f>
        <v>0.11041666666666666</v>
      </c>
      <c r="AH105" s="177"/>
      <c r="AI105" s="178">
        <f>AI104/AI66</f>
        <v>0.11041666666666666</v>
      </c>
      <c r="AJ105" s="177"/>
      <c r="AK105" s="178">
        <f>AK104/AK66</f>
        <v>0.22083333333333333</v>
      </c>
      <c r="AL105" s="177"/>
      <c r="AM105" s="178">
        <f>AM104/AM66</f>
        <v>0.22083333333333333</v>
      </c>
      <c r="AN105" s="177"/>
      <c r="AO105" s="178">
        <f>AO104/AO66</f>
        <v>-1.2345679012345678E-2</v>
      </c>
      <c r="AP105" s="177"/>
      <c r="AQ105" s="178">
        <f>AQ104/AQ66</f>
        <v>9.8765432098765427E-2</v>
      </c>
      <c r="AR105" s="177"/>
      <c r="AS105" s="178">
        <f>AS104/AS66</f>
        <v>-1.1904761904761904E-2</v>
      </c>
      <c r="AT105" s="177"/>
      <c r="AU105" s="178">
        <f>AU104/AU66</f>
        <v>9.5238095238095233E-2</v>
      </c>
      <c r="AV105" s="177"/>
      <c r="AW105" s="178">
        <f>AW104/AW66</f>
        <v>-1.1904761904761904E-2</v>
      </c>
      <c r="AX105" s="177"/>
      <c r="AY105" s="178">
        <f>AY104/AY66</f>
        <v>9.5238095238095233E-2</v>
      </c>
      <c r="AZ105" s="177"/>
      <c r="BA105" s="178">
        <f>BA104/BA66</f>
        <v>8.3333333333333329E-2</v>
      </c>
      <c r="BB105" s="177"/>
      <c r="BC105" s="178" t="e">
        <f>BC104/BC66</f>
        <v>#REF!</v>
      </c>
      <c r="BD105" s="177"/>
      <c r="BE105" s="178" t="e">
        <f>BE104/BE66</f>
        <v>#REF!</v>
      </c>
      <c r="BF105" s="177"/>
      <c r="BG105" s="178">
        <f>BG104/BG66</f>
        <v>6.8965517241379309E-2</v>
      </c>
      <c r="BH105" s="177"/>
      <c r="BI105" s="178">
        <f>BI104/BI66</f>
        <v>6.8965517241379309E-2</v>
      </c>
      <c r="BJ105"/>
      <c r="BK105" s="177"/>
      <c r="BL105" s="178">
        <f>BL104/BL66</f>
        <v>6.8965517241379309E-2</v>
      </c>
      <c r="BM105" s="177"/>
      <c r="BN105" s="178">
        <f>BN104/BN66</f>
        <v>6.8965517241379309E-2</v>
      </c>
      <c r="BO105" s="177"/>
      <c r="BP105" s="178">
        <f>BP104/BP66</f>
        <v>6.8965517241379309E-2</v>
      </c>
      <c r="BQ105" s="177"/>
      <c r="BR105" s="178">
        <f>BR104/BR66</f>
        <v>6.8965517241379309E-2</v>
      </c>
      <c r="BT105" s="177"/>
      <c r="BU105" s="178" t="e">
        <f>BU104/BU66</f>
        <v>#REF!</v>
      </c>
      <c r="BV105" s="177"/>
      <c r="BW105" s="178" t="e">
        <f>BW104/BW66</f>
        <v>#REF!</v>
      </c>
    </row>
    <row r="106" spans="1:75" s="4" customFormat="1" ht="18" customHeight="1" outlineLevel="1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0.11267605633802817</v>
      </c>
      <c r="H106" s="177"/>
      <c r="I106" s="178">
        <f>(I101-I102)/I66</f>
        <v>0.10899182561307902</v>
      </c>
      <c r="J106" s="177"/>
      <c r="K106" s="178">
        <f>(K101-K102)/K66</f>
        <v>0.10330578512396695</v>
      </c>
      <c r="L106" s="177"/>
      <c r="M106" s="178">
        <f>(M101-M102)/M66</f>
        <v>0.10330578512396695</v>
      </c>
      <c r="N106" s="177"/>
      <c r="O106" s="178">
        <f>(O101-O102)/O66</f>
        <v>0.10330578512396695</v>
      </c>
      <c r="P106" s="177"/>
      <c r="Q106" s="178">
        <f>(Q101-Q102)/Q66</f>
        <v>0.10330578512396695</v>
      </c>
      <c r="R106" s="177"/>
      <c r="S106" s="178">
        <f>(S101-S102)/S66</f>
        <v>0.10330578512396695</v>
      </c>
      <c r="T106" s="177"/>
      <c r="U106" s="178">
        <f>(U101-U102)/U66</f>
        <v>0.10330578512396695</v>
      </c>
      <c r="V106" s="177"/>
      <c r="W106" s="178">
        <f>(W101-W102)/W66</f>
        <v>0.10330578512396695</v>
      </c>
      <c r="X106" s="177"/>
      <c r="Y106" s="178">
        <f>(Y101-Y102)/Y66</f>
        <v>8.0971659919028341E-2</v>
      </c>
      <c r="Z106" s="177"/>
      <c r="AA106" s="178">
        <f>(AA101-AA102)/AA66</f>
        <v>8.0971659919028341E-2</v>
      </c>
      <c r="AB106" s="177"/>
      <c r="AC106" s="178">
        <f>(AC101-AC102)/AC66</f>
        <v>8.3333333333333329E-2</v>
      </c>
      <c r="AD106" s="177"/>
      <c r="AE106" s="178">
        <f>(AE101-AE102)/AE66</f>
        <v>8.3333333333333329E-2</v>
      </c>
      <c r="AF106" s="177"/>
      <c r="AG106" s="178">
        <f>(AG101-AG102)/AG66</f>
        <v>8.3333333333333329E-2</v>
      </c>
      <c r="AH106" s="177"/>
      <c r="AI106" s="178">
        <f>(AI101-AI102)/AI66</f>
        <v>8.3333333333333329E-2</v>
      </c>
      <c r="AJ106" s="177"/>
      <c r="AK106" s="178">
        <f>(AK101-AK102)/AK66</f>
        <v>0.16666666666666666</v>
      </c>
      <c r="AL106" s="177"/>
      <c r="AM106" s="178">
        <f>(AM101-AM102)/AM66</f>
        <v>0.16666666666666666</v>
      </c>
      <c r="AN106" s="177"/>
      <c r="AO106" s="178">
        <f>(AO101-AO102)/AO66</f>
        <v>9.8765432098765427E-2</v>
      </c>
      <c r="AP106" s="177"/>
      <c r="AQ106" s="178">
        <f>(AQ101-AQ102)/AQ66</f>
        <v>9.8765432098765427E-2</v>
      </c>
      <c r="AR106" s="177"/>
      <c r="AS106" s="178">
        <f>(AS101-AS102)/AS66</f>
        <v>9.5238095238095233E-2</v>
      </c>
      <c r="AT106" s="177"/>
      <c r="AU106" s="178">
        <f>(AU101-AU102)/AU66</f>
        <v>9.5238095238095233E-2</v>
      </c>
      <c r="AV106" s="177"/>
      <c r="AW106" s="178">
        <f>(AW101-AW102)/AW66</f>
        <v>9.5238095238095233E-2</v>
      </c>
      <c r="AX106" s="177"/>
      <c r="AY106" s="178">
        <f>(AY101-AY102)/AY66</f>
        <v>9.5238095238095233E-2</v>
      </c>
      <c r="AZ106" s="177"/>
      <c r="BA106" s="178">
        <f>(BA101-BA102)/BA66</f>
        <v>8.3333333333333329E-2</v>
      </c>
      <c r="BB106" s="177"/>
      <c r="BC106" s="178">
        <f>(BC101-BC102)/BC66</f>
        <v>6.8965517241379309E-2</v>
      </c>
      <c r="BD106" s="177"/>
      <c r="BE106" s="178">
        <f>(BE101-BE102)/BE66</f>
        <v>6.8965517241379309E-2</v>
      </c>
      <c r="BF106" s="177"/>
      <c r="BG106" s="178">
        <f>(BG101-BG102)/BG66</f>
        <v>6.8965517241379309E-2</v>
      </c>
      <c r="BH106" s="177"/>
      <c r="BI106" s="178">
        <f>(BI101-BI102)/BI66</f>
        <v>6.8965517241379309E-2</v>
      </c>
      <c r="BJ106"/>
      <c r="BK106" s="177"/>
      <c r="BL106" s="178">
        <f>(BL101-BL102)/BL66</f>
        <v>6.8965517241379309E-2</v>
      </c>
      <c r="BM106" s="177"/>
      <c r="BN106" s="178">
        <f>(BN101-BN102)/BN66</f>
        <v>6.8965517241379309E-2</v>
      </c>
      <c r="BO106" s="177"/>
      <c r="BP106" s="178">
        <f>(BP101-BP102)/BP66</f>
        <v>6.8965517241379309E-2</v>
      </c>
      <c r="BQ106" s="177"/>
      <c r="BR106" s="178">
        <f>(BR101-BR102)/BR66</f>
        <v>6.8965517241379309E-2</v>
      </c>
      <c r="BT106" s="177"/>
      <c r="BU106" s="178">
        <f>(BU101-BU102)/BU66</f>
        <v>6.8965517241379309E-2</v>
      </c>
      <c r="BV106" s="177"/>
      <c r="BW106" s="178">
        <f>(BW101-BW102)/BW66</f>
        <v>6.8965517241379309E-2</v>
      </c>
    </row>
    <row r="107" spans="1:75" s="65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/>
      <c r="BK107" s="180"/>
      <c r="BL107" s="181"/>
      <c r="BM107" s="180"/>
      <c r="BN107" s="181"/>
      <c r="BO107" s="180"/>
      <c r="BP107" s="181"/>
      <c r="BQ107" s="180"/>
      <c r="BR107" s="181"/>
      <c r="BT107" s="180"/>
      <c r="BU107" s="181"/>
      <c r="BV107" s="180"/>
      <c r="BW107" s="181"/>
    </row>
    <row r="108" spans="1:75" s="65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0.96379437600285289</v>
      </c>
      <c r="H108" s="186"/>
      <c r="I108" s="187">
        <f>I60-(I101/I66)-I74</f>
        <v>0.90766214874589579</v>
      </c>
      <c r="J108" s="186"/>
      <c r="K108" s="187">
        <f>K60-(K101/K66)-K74</f>
        <v>2.0946853750392309</v>
      </c>
      <c r="L108" s="186"/>
      <c r="M108" s="187">
        <f>M60-(M101/M66)-M74</f>
        <v>2.0437972597478291</v>
      </c>
      <c r="N108" s="186"/>
      <c r="O108" s="187">
        <f>O60-(O101/O66)-O74</f>
        <v>1.4946853750392313</v>
      </c>
      <c r="P108" s="186"/>
      <c r="Q108" s="187">
        <f>Q60-(Q101/Q66)-Q74</f>
        <v>1.4401753549480825</v>
      </c>
      <c r="R108" s="186"/>
      <c r="S108" s="187">
        <f>S60-(S101/S66)-S74</f>
        <v>1.4361813943632136</v>
      </c>
      <c r="T108" s="186"/>
      <c r="U108" s="187">
        <f>U60-(U101/U66)-U74</f>
        <v>1.4361813943632136</v>
      </c>
      <c r="V108" s="186"/>
      <c r="W108" s="187">
        <f>W60-(W101/W66)-W74</f>
        <v>1.4361813943632136</v>
      </c>
      <c r="X108" s="186"/>
      <c r="Y108" s="187">
        <f>Y60-(Y101/Y66)-Y74</f>
        <v>2.0932860144519037</v>
      </c>
      <c r="Z108" s="186"/>
      <c r="AA108" s="187">
        <f>AA60-(AA101/AA66)-AA74</f>
        <v>2.0597975708502023</v>
      </c>
      <c r="AB108" s="186"/>
      <c r="AC108" s="187">
        <f>AC60-(AC101/AC66)-AC74</f>
        <v>1.3312193375527426</v>
      </c>
      <c r="AD108" s="186"/>
      <c r="AE108" s="187">
        <f>AE60-(AE101/AE66)-AE74</f>
        <v>1.3442415705128217</v>
      </c>
      <c r="AF108" s="186"/>
      <c r="AG108" s="187">
        <f>AG60-(AG101/AG66)-AG74</f>
        <v>1.539910337552743</v>
      </c>
      <c r="AH108" s="186"/>
      <c r="AI108" s="187">
        <f>AI60-(AI101/AI66)-AI74</f>
        <v>1.5265705128205136</v>
      </c>
      <c r="AJ108" s="186"/>
      <c r="AK108" s="187">
        <f>AK60-(AK101/AK66)-AK74</f>
        <v>2.5306383649789028</v>
      </c>
      <c r="AL108" s="186"/>
      <c r="AM108" s="187">
        <f>AM60-(AM101/AM66)-AM74</f>
        <v>2.4816025641025634</v>
      </c>
      <c r="AN108" s="186"/>
      <c r="AO108" s="187">
        <f>AO60-(AO101/AO66)-AO74</f>
        <v>2.3230114080325044</v>
      </c>
      <c r="AP108" s="186"/>
      <c r="AQ108" s="187">
        <f>AQ60-(AQ101/AQ66)-AQ74</f>
        <v>2.2788698955365616</v>
      </c>
      <c r="AR108" s="186"/>
      <c r="AS108" s="187">
        <f>AS60-(AS101/AS66)-AS74</f>
        <v>2.8166968053044004</v>
      </c>
      <c r="AT108" s="186"/>
      <c r="AU108" s="187">
        <f>AU60-(AU101/AU66)-AU74</f>
        <v>2.7748972573260069</v>
      </c>
      <c r="AV108" s="186"/>
      <c r="AW108" s="187">
        <f>AW60-(AW101/AW66)-AW74</f>
        <v>3.0825195901145266</v>
      </c>
      <c r="AX108" s="186"/>
      <c r="AY108" s="187">
        <f>AY60-(AY101/AY66)-AY74</f>
        <v>3.0441280265567761</v>
      </c>
      <c r="AZ108" s="186"/>
      <c r="BA108" s="187">
        <f>BA60-(BA101/BA66)-BA74</f>
        <v>1.5450320512820519</v>
      </c>
      <c r="BB108" s="186"/>
      <c r="BC108" s="187">
        <f>BC60-(BC101/BC66)-BC74</f>
        <v>2.9289968652037621</v>
      </c>
      <c r="BD108" s="186"/>
      <c r="BE108" s="187">
        <f>BE60-(BE101/BE66)-BE74</f>
        <v>2.8283391250111385</v>
      </c>
      <c r="BF108" s="186"/>
      <c r="BG108" s="187">
        <f>BG60-(BG101/BG66)-BG74</f>
        <v>2.433571433257308</v>
      </c>
      <c r="BH108" s="186"/>
      <c r="BI108" s="187">
        <f>BI60-(BI101/BI66)-BI74</f>
        <v>2.9835924074026101</v>
      </c>
      <c r="BJ108"/>
      <c r="BK108" s="186"/>
      <c r="BL108" s="187">
        <f>BL60-(BL101/BL66)-BL74</f>
        <v>2.1108150470219442</v>
      </c>
      <c r="BM108" s="186"/>
      <c r="BN108" s="187">
        <f>BN60-(BN101/BN66)-BN74</f>
        <v>2.0285975229439552</v>
      </c>
      <c r="BO108" s="186"/>
      <c r="BP108" s="187">
        <f>BP60-(BP101/BP66)-BP74</f>
        <v>2.235714879258957</v>
      </c>
      <c r="BQ108" s="186"/>
      <c r="BR108" s="187">
        <f>BR60-(BR101/BR66)-BR74</f>
        <v>2.5227859961829759</v>
      </c>
      <c r="BT108" s="186"/>
      <c r="BU108" s="187">
        <f>BU60-(BU101/BU66)-BU74</f>
        <v>2.9289968652037621</v>
      </c>
      <c r="BV108" s="186"/>
      <c r="BW108" s="187">
        <f>BW60-(BW101/BW66)-BW74</f>
        <v>2.1108150470219442</v>
      </c>
    </row>
    <row r="109" spans="1:75" s="65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0.16879060875706706</v>
      </c>
      <c r="H109" s="192"/>
      <c r="I109" s="193">
        <f>I108/I67</f>
        <v>0.15542160081265338</v>
      </c>
      <c r="J109" s="192"/>
      <c r="K109" s="193">
        <f>K108/K67</f>
        <v>0.36492776568627716</v>
      </c>
      <c r="L109" s="192"/>
      <c r="M109" s="193">
        <f>M108/M67</f>
        <v>0.3493670529483468</v>
      </c>
      <c r="N109" s="192"/>
      <c r="O109" s="193">
        <f>O108/O67</f>
        <v>0.26039814896153851</v>
      </c>
      <c r="P109" s="192"/>
      <c r="Q109" s="193">
        <f>Q108/Q67</f>
        <v>0.24618382135864655</v>
      </c>
      <c r="R109" s="192"/>
      <c r="S109" s="193">
        <f>S108/S67</f>
        <v>0.24592147163753653</v>
      </c>
      <c r="T109" s="192"/>
      <c r="U109" s="193">
        <f>U108/U67</f>
        <v>0.24592147163753653</v>
      </c>
      <c r="V109" s="192"/>
      <c r="W109" s="193">
        <f>W108/W67</f>
        <v>0.24592147163753653</v>
      </c>
      <c r="X109" s="192"/>
      <c r="Y109" s="193">
        <f>Y108/Y67</f>
        <v>0.45506217705476171</v>
      </c>
      <c r="Z109" s="192"/>
      <c r="AA109" s="193">
        <f>AA108/AA67</f>
        <v>0.43825480230855368</v>
      </c>
      <c r="AB109" s="192"/>
      <c r="AC109" s="193">
        <f>AC108/AC67</f>
        <v>0.324687643305547</v>
      </c>
      <c r="AD109" s="192"/>
      <c r="AE109" s="193">
        <f>AE108/AE67</f>
        <v>0.31629213423831098</v>
      </c>
      <c r="AF109" s="192"/>
      <c r="AG109" s="193">
        <f>AG108/AG67</f>
        <v>0.37285964589654796</v>
      </c>
      <c r="AH109" s="192"/>
      <c r="AI109" s="193">
        <f>AI108/AI67</f>
        <v>0.35919306184012084</v>
      </c>
      <c r="AJ109" s="192"/>
      <c r="AK109" s="193">
        <f>AK108/AK67</f>
        <v>0.41828733305436411</v>
      </c>
      <c r="AL109" s="192"/>
      <c r="AM109" s="193">
        <f>AM108/AM67</f>
        <v>0.39705641025641014</v>
      </c>
      <c r="AN109" s="192"/>
      <c r="AO109" s="193">
        <f>AO108/AO67</f>
        <v>0.40400198400565296</v>
      </c>
      <c r="AP109" s="192"/>
      <c r="AQ109" s="193">
        <f>AQ108/AQ67</f>
        <v>0.38955040949342934</v>
      </c>
      <c r="AR109" s="192"/>
      <c r="AS109" s="193">
        <f>AS108/AS67</f>
        <v>0.48986031396598267</v>
      </c>
      <c r="AT109" s="192"/>
      <c r="AU109" s="193">
        <f>AU108/AU67</f>
        <v>0.47434141150871917</v>
      </c>
      <c r="AV109" s="192"/>
      <c r="AW109" s="193">
        <f>AW108/AW67</f>
        <v>0.53609036349817851</v>
      </c>
      <c r="AX109" s="192"/>
      <c r="AY109" s="193">
        <f>AY108/AY67</f>
        <v>0.52036376522338057</v>
      </c>
      <c r="AZ109" s="192"/>
      <c r="BA109" s="193">
        <f>BA108/BA67</f>
        <v>0.36353695324283575</v>
      </c>
      <c r="BB109" s="192"/>
      <c r="BC109" s="193">
        <f>BC108/BC67</f>
        <v>0.47241884922641325</v>
      </c>
      <c r="BD109" s="192"/>
      <c r="BE109" s="193">
        <f>BE108/BE67</f>
        <v>0.4561837298405062</v>
      </c>
      <c r="BF109" s="192"/>
      <c r="BG109" s="193">
        <f>BG108/BG67</f>
        <v>0.39251152149311419</v>
      </c>
      <c r="BH109" s="192"/>
      <c r="BI109" s="193">
        <f>BI108/BI67</f>
        <v>0.48122458183913064</v>
      </c>
      <c r="BJ109"/>
      <c r="BK109" s="192"/>
      <c r="BL109" s="193">
        <f>BL108/BL67</f>
        <v>0.34045403984224903</v>
      </c>
      <c r="BM109" s="192"/>
      <c r="BN109" s="193">
        <f>BN108/BN67</f>
        <v>0.32719314886192824</v>
      </c>
      <c r="BO109" s="192"/>
      <c r="BP109" s="193">
        <f>BP108/BP67</f>
        <v>0.36059917407402531</v>
      </c>
      <c r="BQ109" s="192"/>
      <c r="BR109" s="193">
        <f>BR108/BR67</f>
        <v>0.40690096712628643</v>
      </c>
      <c r="BT109" s="192"/>
      <c r="BU109" s="193">
        <f>BU108/BU67</f>
        <v>0.47241884922641325</v>
      </c>
      <c r="BV109" s="192"/>
      <c r="BW109" s="193">
        <f>BW108/BW67</f>
        <v>0.34045403984224903</v>
      </c>
    </row>
    <row r="110" spans="1:75" s="65" customFormat="1" ht="18" customHeight="1" outlineLevel="2" x14ac:dyDescent="0.45">
      <c r="A110" s="561"/>
      <c r="B110" s="1187"/>
      <c r="C110" s="196"/>
      <c r="D110" s="162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/>
      <c r="BK110" s="164"/>
      <c r="BL110" s="198"/>
      <c r="BM110" s="164"/>
      <c r="BN110" s="198"/>
      <c r="BO110" s="164"/>
      <c r="BP110" s="198"/>
      <c r="BQ110" s="164"/>
      <c r="BR110" s="198"/>
      <c r="BT110" s="164"/>
      <c r="BU110" s="198"/>
      <c r="BV110" s="164"/>
      <c r="BW110" s="198"/>
    </row>
    <row r="111" spans="1:75" s="65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1.0764704323408809</v>
      </c>
      <c r="H111" s="186"/>
      <c r="I111" s="187">
        <f>I60-(I102/I66)-I74</f>
        <v>1.0166539743589746</v>
      </c>
      <c r="J111" s="186"/>
      <c r="K111" s="187">
        <f>K60-(K102/K66)-K74</f>
        <v>2.1979911601631974</v>
      </c>
      <c r="L111" s="186"/>
      <c r="M111" s="187">
        <f>M60-(M102/M66)-M74</f>
        <v>2.1471030448717956</v>
      </c>
      <c r="N111" s="186"/>
      <c r="O111" s="187">
        <f>O60-(O102/O66)-O74</f>
        <v>1.5979911601631978</v>
      </c>
      <c r="P111" s="186"/>
      <c r="Q111" s="187">
        <f>Q60-(Q102/Q66)-Q74</f>
        <v>1.543481140072049</v>
      </c>
      <c r="R111" s="186"/>
      <c r="S111" s="187">
        <f>S60-(S102/S66)-S74</f>
        <v>1.5394871794871801</v>
      </c>
      <c r="T111" s="186"/>
      <c r="U111" s="187">
        <f>U60-(U102/U66)-U74</f>
        <v>1.5394871794871801</v>
      </c>
      <c r="V111" s="186"/>
      <c r="W111" s="187">
        <f>W60-(W102/W66)-W74</f>
        <v>1.5394871794871801</v>
      </c>
      <c r="X111" s="186"/>
      <c r="Y111" s="187">
        <f>Y60-(Y102/Y66)-Y74</f>
        <v>2.1742576743709323</v>
      </c>
      <c r="Z111" s="186"/>
      <c r="AA111" s="187">
        <f>AA60-(AA102/AA66)-AA74</f>
        <v>2.140769230769231</v>
      </c>
      <c r="AB111" s="186"/>
      <c r="AC111" s="187">
        <f>AC60-(AC102/AC66)-AC74</f>
        <v>1.4145526708860756</v>
      </c>
      <c r="AD111" s="186"/>
      <c r="AE111" s="187">
        <f>AE60-(AE102/AE66)-AE74</f>
        <v>1.4275749038461547</v>
      </c>
      <c r="AF111" s="186"/>
      <c r="AG111" s="187">
        <f>AG60-(AG102/AG66)-AG74</f>
        <v>1.623243670886076</v>
      </c>
      <c r="AH111" s="186"/>
      <c r="AI111" s="187">
        <f>AI60-(AI102/AI66)-AI74</f>
        <v>1.6099038461538466</v>
      </c>
      <c r="AJ111" s="186"/>
      <c r="AK111" s="187">
        <f>AK60-(AK102/AK66)-AK74</f>
        <v>2.6973050316455698</v>
      </c>
      <c r="AL111" s="186"/>
      <c r="AM111" s="187">
        <f>AM60-(AM102/AM66)-AM74</f>
        <v>2.6482692307692304</v>
      </c>
      <c r="AN111" s="186"/>
      <c r="AO111" s="187">
        <f>AO60-(AO102/AO66)-AO74</f>
        <v>2.4217768401312703</v>
      </c>
      <c r="AP111" s="186"/>
      <c r="AQ111" s="187">
        <f>AQ60-(AQ102/AQ66)-AQ74</f>
        <v>2.3776353276353275</v>
      </c>
      <c r="AR111" s="186"/>
      <c r="AS111" s="187">
        <f>AS60-(AS102/AS66)-AS74</f>
        <v>2.9119349005424953</v>
      </c>
      <c r="AT111" s="186"/>
      <c r="AU111" s="187">
        <f>AU60-(AU102/AU66)-AU74</f>
        <v>2.8701353525641018</v>
      </c>
      <c r="AV111" s="186"/>
      <c r="AW111" s="187">
        <f>AW60-(AW102/AW66)-AW74</f>
        <v>3.1777576853526215</v>
      </c>
      <c r="AX111" s="186"/>
      <c r="AY111" s="187">
        <f>AY60-(AY102/AY66)-AY74</f>
        <v>3.139366121794871</v>
      </c>
      <c r="AZ111" s="186"/>
      <c r="BA111" s="187">
        <f>BA60-(BA102/BA66)-BA74</f>
        <v>1.6283653846153849</v>
      </c>
      <c r="BB111" s="186"/>
      <c r="BC111" s="187">
        <f>BC60-(BC102/BC66)-BC74</f>
        <v>2.9979623824451411</v>
      </c>
      <c r="BD111" s="186"/>
      <c r="BE111" s="187">
        <f>BE60-(BE102/BE66)-BE74</f>
        <v>2.8973046422525175</v>
      </c>
      <c r="BF111" s="186"/>
      <c r="BG111" s="187">
        <f>BG60-(BG102/BG66)-BG74</f>
        <v>2.502536950498687</v>
      </c>
      <c r="BH111" s="186"/>
      <c r="BI111" s="187">
        <f>BI60-(BI102/BI66)-BI74</f>
        <v>3.0525579246439891</v>
      </c>
      <c r="BJ111"/>
      <c r="BK111" s="186"/>
      <c r="BL111" s="187">
        <f>BL60-(BL102/BL66)-BL74</f>
        <v>2.1797805642633232</v>
      </c>
      <c r="BM111" s="186"/>
      <c r="BN111" s="187">
        <f>BN60-(BN102/BN66)-BN74</f>
        <v>2.0975630401853342</v>
      </c>
      <c r="BO111" s="186"/>
      <c r="BP111" s="187">
        <f>BP60-(BP102/BP66)-BP74</f>
        <v>2.304680396500336</v>
      </c>
      <c r="BQ111" s="186"/>
      <c r="BR111" s="187">
        <f>BR60-(BR102/BR66)-BR74</f>
        <v>2.5917515134243549</v>
      </c>
      <c r="BT111" s="186"/>
      <c r="BU111" s="187">
        <f>BU60-(BU102/BU66)-BU74</f>
        <v>2.9979623824451411</v>
      </c>
      <c r="BV111" s="186"/>
      <c r="BW111" s="187">
        <f>BW60-(BW102/BW66)-BW74</f>
        <v>2.1797805642633232</v>
      </c>
    </row>
    <row r="112" spans="1:75" s="65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0.18852371844849053</v>
      </c>
      <c r="H112" s="192"/>
      <c r="I112" s="193">
        <f>I111/I67</f>
        <v>0.17408458465050936</v>
      </c>
      <c r="J112" s="192"/>
      <c r="K112" s="193">
        <f>K111/K67</f>
        <v>0.38292528922703784</v>
      </c>
      <c r="L112" s="192"/>
      <c r="M112" s="193">
        <f>M111/M67</f>
        <v>0.36702616151654621</v>
      </c>
      <c r="N112" s="192"/>
      <c r="O112" s="193">
        <f>O111/O67</f>
        <v>0.27839567250229924</v>
      </c>
      <c r="P112" s="192"/>
      <c r="Q112" s="193">
        <f>Q111/Q67</f>
        <v>0.26384292992684594</v>
      </c>
      <c r="R112" s="192"/>
      <c r="S112" s="193">
        <f>S111/S67</f>
        <v>0.26361081840533901</v>
      </c>
      <c r="T112" s="192"/>
      <c r="U112" s="193">
        <f>U111/U67</f>
        <v>0.26361081840533901</v>
      </c>
      <c r="V112" s="192"/>
      <c r="W112" s="193">
        <f>W111/W67</f>
        <v>0.26361081840533901</v>
      </c>
      <c r="X112" s="192"/>
      <c r="Y112" s="193">
        <f>Y111/Y67</f>
        <v>0.47266471181976794</v>
      </c>
      <c r="Z112" s="192"/>
      <c r="AA112" s="193">
        <f>AA111/AA67</f>
        <v>0.45548281505728316</v>
      </c>
      <c r="AB112" s="192"/>
      <c r="AC112" s="193">
        <f>AC111/AC67</f>
        <v>0.34501284655757947</v>
      </c>
      <c r="AD112" s="192"/>
      <c r="AE112" s="193">
        <f>AE111/AE67</f>
        <v>0.33589997737556582</v>
      </c>
      <c r="AF112" s="192"/>
      <c r="AG112" s="193">
        <f>AG111/AG67</f>
        <v>0.3930372084469918</v>
      </c>
      <c r="AH112" s="192"/>
      <c r="AI112" s="193">
        <f>AI111/AI67</f>
        <v>0.37880090497737567</v>
      </c>
      <c r="AJ112" s="192"/>
      <c r="AK112" s="193">
        <f>AK111/AK67</f>
        <v>0.44583554242075535</v>
      </c>
      <c r="AL112" s="192"/>
      <c r="AM112" s="193">
        <f>AM111/AM67</f>
        <v>0.42372307692307687</v>
      </c>
      <c r="AN112" s="192"/>
      <c r="AO112" s="193">
        <f>AO111/AO67</f>
        <v>0.42117858089239485</v>
      </c>
      <c r="AP112" s="192"/>
      <c r="AQ112" s="193">
        <f>AQ111/AQ67</f>
        <v>0.40643338933937223</v>
      </c>
      <c r="AR112" s="192"/>
      <c r="AS112" s="193">
        <f>AS111/AS67</f>
        <v>0.50642346096391222</v>
      </c>
      <c r="AT112" s="192"/>
      <c r="AU112" s="193">
        <f>AU111/AU67</f>
        <v>0.49062142778873535</v>
      </c>
      <c r="AV112" s="192"/>
      <c r="AW112" s="193">
        <f>AW111/AW67</f>
        <v>0.55265351049610811</v>
      </c>
      <c r="AX112" s="192"/>
      <c r="AY112" s="193">
        <f>AY111/AY67</f>
        <v>0.53664378150339676</v>
      </c>
      <c r="AZ112" s="192"/>
      <c r="BA112" s="193">
        <f>BA111/BA67</f>
        <v>0.38314479638009058</v>
      </c>
      <c r="BB112" s="192"/>
      <c r="BC112" s="193">
        <f>BC111/BC67</f>
        <v>0.4835423197492163</v>
      </c>
      <c r="BD112" s="192"/>
      <c r="BE112" s="193">
        <f>BE111/BE67</f>
        <v>0.46730720036330925</v>
      </c>
      <c r="BF112" s="192"/>
      <c r="BG112" s="193">
        <f>BG111/BG67</f>
        <v>0.40363499201591724</v>
      </c>
      <c r="BH112" s="192"/>
      <c r="BI112" s="193">
        <f>BI111/BI67</f>
        <v>0.49234805236193374</v>
      </c>
      <c r="BJ112"/>
      <c r="BK112" s="192"/>
      <c r="BL112" s="193">
        <f>BL111/BL67</f>
        <v>0.35157751036505214</v>
      </c>
      <c r="BM112" s="192"/>
      <c r="BN112" s="193">
        <f>BN111/BN67</f>
        <v>0.33831661938473134</v>
      </c>
      <c r="BO112" s="192"/>
      <c r="BP112" s="193">
        <f>BP111/BP67</f>
        <v>0.37172264459682836</v>
      </c>
      <c r="BQ112" s="192"/>
      <c r="BR112" s="193">
        <f>BR111/BR67</f>
        <v>0.41802443764908948</v>
      </c>
      <c r="BT112" s="192"/>
      <c r="BU112" s="193">
        <f>BU111/BU67</f>
        <v>0.4835423197492163</v>
      </c>
      <c r="BV112" s="192"/>
      <c r="BW112" s="193">
        <f>BW111/BW67</f>
        <v>0.35157751036505214</v>
      </c>
    </row>
    <row r="113" spans="1:75" s="65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/>
      <c r="BK113" s="173"/>
      <c r="BL113" s="165"/>
      <c r="BM113" s="173"/>
      <c r="BN113" s="165"/>
      <c r="BO113" s="173"/>
      <c r="BP113" s="165"/>
      <c r="BQ113" s="173"/>
      <c r="BR113" s="165"/>
      <c r="BT113" s="173"/>
      <c r="BU113" s="165"/>
      <c r="BV113" s="173"/>
      <c r="BW113" s="165"/>
    </row>
    <row r="114" spans="1:75" s="65" customFormat="1" ht="18" customHeight="1" outlineLevel="2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427.29430379746839</v>
      </c>
      <c r="H114" s="202" t="s">
        <v>111</v>
      </c>
      <c r="I114" s="203">
        <f>I116/I79</f>
        <v>431.10576923076917</v>
      </c>
      <c r="J114" s="202" t="s">
        <v>111</v>
      </c>
      <c r="K114" s="203">
        <f>K116/K79</f>
        <v>428.82278481012656</v>
      </c>
      <c r="L114" s="202" t="s">
        <v>111</v>
      </c>
      <c r="M114" s="203">
        <f>M116/M79</f>
        <v>432.07692307692309</v>
      </c>
      <c r="N114" s="202" t="s">
        <v>111</v>
      </c>
      <c r="O114" s="203">
        <f>O116/O79</f>
        <v>428.82278481012656</v>
      </c>
      <c r="P114" s="202" t="s">
        <v>111</v>
      </c>
      <c r="Q114" s="203">
        <f>Q116/Q79</f>
        <v>432.07692307692309</v>
      </c>
      <c r="R114" s="202" t="s">
        <v>111</v>
      </c>
      <c r="S114" s="203">
        <f>S116/S79</f>
        <v>432.07692307692309</v>
      </c>
      <c r="T114" s="202" t="s">
        <v>111</v>
      </c>
      <c r="U114" s="203">
        <f>U116/U79</f>
        <v>432.07692307692309</v>
      </c>
      <c r="V114" s="202" t="s">
        <v>111</v>
      </c>
      <c r="W114" s="203">
        <f>W116/W79</f>
        <v>432.07692307692309</v>
      </c>
      <c r="X114" s="202" t="s">
        <v>111</v>
      </c>
      <c r="Y114" s="203">
        <f>Y116/Y79</f>
        <v>433.89240506329116</v>
      </c>
      <c r="Z114" s="202" t="s">
        <v>111</v>
      </c>
      <c r="AA114" s="203">
        <f>AA116/AA79</f>
        <v>437.2115384615384</v>
      </c>
      <c r="AB114" s="202" t="s">
        <v>111</v>
      </c>
      <c r="AC114" s="203">
        <f>AC116/AC79</f>
        <v>433.22784810126575</v>
      </c>
      <c r="AD114" s="202" t="s">
        <v>111</v>
      </c>
      <c r="AE114" s="203">
        <f>AE116/AE79</f>
        <v>436.53846153846155</v>
      </c>
      <c r="AF114" s="202" t="s">
        <v>111</v>
      </c>
      <c r="AG114" s="203">
        <f>AG116/AG79</f>
        <v>433.22784810126575</v>
      </c>
      <c r="AH114" s="202" t="s">
        <v>111</v>
      </c>
      <c r="AI114" s="203">
        <f>AI116/AI79</f>
        <v>436.53846153846155</v>
      </c>
      <c r="AJ114" s="202" t="s">
        <v>111</v>
      </c>
      <c r="AK114" s="203">
        <f>AK116/AK79</f>
        <v>421.83544303797464</v>
      </c>
      <c r="AL114" s="202" t="s">
        <v>111</v>
      </c>
      <c r="AM114" s="203">
        <f>AM116/AM79</f>
        <v>425</v>
      </c>
      <c r="AN114" s="202" t="s">
        <v>111</v>
      </c>
      <c r="AO114" s="203">
        <f>AO116/AO79</f>
        <v>429.66772151898732</v>
      </c>
      <c r="AP114" s="202" t="s">
        <v>111</v>
      </c>
      <c r="AQ114" s="203">
        <f>AQ116/AQ79</f>
        <v>432.93269230769232</v>
      </c>
      <c r="AR114" s="202" t="s">
        <v>111</v>
      </c>
      <c r="AS114" s="203">
        <f>AS116/AS79</f>
        <v>430.37974683544303</v>
      </c>
      <c r="AT114" s="202" t="s">
        <v>111</v>
      </c>
      <c r="AU114" s="203">
        <f>AU116/AU79</f>
        <v>433.65384615384613</v>
      </c>
      <c r="AV114" s="202" t="s">
        <v>111</v>
      </c>
      <c r="AW114" s="203">
        <f>AW116/AW79</f>
        <v>430.37974683544303</v>
      </c>
      <c r="AX114" s="202" t="s">
        <v>111</v>
      </c>
      <c r="AY114" s="203">
        <f>AY116/AY79</f>
        <v>433.65384615384613</v>
      </c>
      <c r="AZ114" s="202" t="s">
        <v>111</v>
      </c>
      <c r="BA114" s="203">
        <f>BA116/BA79</f>
        <v>436.53846153846155</v>
      </c>
      <c r="BB114" s="202" t="s">
        <v>111</v>
      </c>
      <c r="BC114" s="203">
        <f>BC116/BC79</f>
        <v>444.80519480519473</v>
      </c>
      <c r="BD114" s="202" t="s">
        <v>111</v>
      </c>
      <c r="BE114" s="203">
        <f>BE116/BE79</f>
        <v>443.41085271317826</v>
      </c>
      <c r="BF114" s="202" t="s">
        <v>111</v>
      </c>
      <c r="BG114" s="203">
        <f>BG116/BG79</f>
        <v>438.49166085357348</v>
      </c>
      <c r="BH114" s="202" t="s">
        <v>111</v>
      </c>
      <c r="BI114" s="203">
        <f>BI116/BI79</f>
        <v>452.67342849987477</v>
      </c>
      <c r="BJ114"/>
      <c r="BK114" s="202" t="s">
        <v>111</v>
      </c>
      <c r="BL114" s="203">
        <f>BL116/BL79</f>
        <v>444.80519480519473</v>
      </c>
      <c r="BM114" s="202" t="s">
        <v>111</v>
      </c>
      <c r="BN114" s="203">
        <f>BN116/BN79</f>
        <v>443.41085271317826</v>
      </c>
      <c r="BO114" s="202" t="s">
        <v>111</v>
      </c>
      <c r="BP114" s="203">
        <f>BP116/BP79</f>
        <v>438.49166085357348</v>
      </c>
      <c r="BQ114" s="202" t="s">
        <v>111</v>
      </c>
      <c r="BR114" s="203">
        <f>BR116/BR79</f>
        <v>452.67342849987477</v>
      </c>
      <c r="BT114" s="202" t="s">
        <v>111</v>
      </c>
      <c r="BU114" s="203">
        <f>BU116/BU79</f>
        <v>444.80519480519473</v>
      </c>
      <c r="BV114" s="202" t="s">
        <v>111</v>
      </c>
      <c r="BW114" s="203">
        <f>BW116/BW79</f>
        <v>444.80519480519473</v>
      </c>
    </row>
    <row r="115" spans="1:75" s="65" customFormat="1" ht="18" customHeight="1" outlineLevel="2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0.12036459261900517</v>
      </c>
      <c r="H115" s="202" t="s">
        <v>111</v>
      </c>
      <c r="I115" s="203">
        <f>I114/I66</f>
        <v>0.11746751205198069</v>
      </c>
      <c r="J115" s="202" t="s">
        <v>111</v>
      </c>
      <c r="K115" s="203">
        <f>K114/K66</f>
        <v>0.11074968615964012</v>
      </c>
      <c r="L115" s="202" t="s">
        <v>111</v>
      </c>
      <c r="M115" s="203">
        <f>M114/M66</f>
        <v>0.11159011443102353</v>
      </c>
      <c r="N115" s="202" t="s">
        <v>111</v>
      </c>
      <c r="O115" s="203">
        <f>O114/O66</f>
        <v>0.11074968615964012</v>
      </c>
      <c r="P115" s="202" t="s">
        <v>111</v>
      </c>
      <c r="Q115" s="203">
        <f>Q114/Q66</f>
        <v>0.11159011443102353</v>
      </c>
      <c r="R115" s="202" t="s">
        <v>111</v>
      </c>
      <c r="S115" s="203">
        <f>S114/S66</f>
        <v>0.11159011443102353</v>
      </c>
      <c r="T115" s="202" t="s">
        <v>111</v>
      </c>
      <c r="U115" s="203">
        <f>U114/U66</f>
        <v>0.11159011443102353</v>
      </c>
      <c r="V115" s="202" t="s">
        <v>111</v>
      </c>
      <c r="W115" s="203">
        <f>W114/W66</f>
        <v>0.11159011443102353</v>
      </c>
      <c r="X115" s="202" t="s">
        <v>111</v>
      </c>
      <c r="Y115" s="203">
        <f>Y114/Y66</f>
        <v>8.7832470660585263E-2</v>
      </c>
      <c r="Z115" s="202" t="s">
        <v>111</v>
      </c>
      <c r="AA115" s="203">
        <f>AA114/AA66</f>
        <v>8.8504360012457164E-2</v>
      </c>
      <c r="AB115" s="202" t="s">
        <v>111</v>
      </c>
      <c r="AC115" s="203">
        <f>AC114/AC66</f>
        <v>9.0255801687763704E-2</v>
      </c>
      <c r="AD115" s="202" t="s">
        <v>111</v>
      </c>
      <c r="AE115" s="203">
        <f>AE114/AE66</f>
        <v>9.0945512820512817E-2</v>
      </c>
      <c r="AF115" s="202" t="s">
        <v>111</v>
      </c>
      <c r="AG115" s="203">
        <f>AG114/AG66</f>
        <v>9.0255801687763704E-2</v>
      </c>
      <c r="AH115" s="202" t="s">
        <v>111</v>
      </c>
      <c r="AI115" s="203">
        <f>AI114/AI66</f>
        <v>9.0945512820512817E-2</v>
      </c>
      <c r="AJ115" s="202" t="s">
        <v>111</v>
      </c>
      <c r="AK115" s="203">
        <f>AK114/AK66</f>
        <v>0.17576476793248944</v>
      </c>
      <c r="AL115" s="202" t="s">
        <v>111</v>
      </c>
      <c r="AM115" s="203">
        <f>AM114/AM66</f>
        <v>0.17708333333333334</v>
      </c>
      <c r="AN115" s="202" t="s">
        <v>111</v>
      </c>
      <c r="AO115" s="203">
        <f>AO114/AO66</f>
        <v>0.106090795436787</v>
      </c>
      <c r="AP115" s="202" t="s">
        <v>111</v>
      </c>
      <c r="AQ115" s="203">
        <f>AQ114/AQ66</f>
        <v>0.10689696106362773</v>
      </c>
      <c r="AR115" s="202" t="s">
        <v>111</v>
      </c>
      <c r="AS115" s="203">
        <f>AS114/AS66</f>
        <v>0.1024713682941531</v>
      </c>
      <c r="AT115" s="202" t="s">
        <v>111</v>
      </c>
      <c r="AU115" s="203">
        <f>AU114/AU66</f>
        <v>0.10325091575091574</v>
      </c>
      <c r="AV115" s="202" t="s">
        <v>111</v>
      </c>
      <c r="AW115" s="203">
        <f>AW114/AW66</f>
        <v>0.1024713682941531</v>
      </c>
      <c r="AX115" s="202" t="s">
        <v>111</v>
      </c>
      <c r="AY115" s="203">
        <f>AY114/AY66</f>
        <v>0.10325091575091574</v>
      </c>
      <c r="AZ115" s="202" t="s">
        <v>111</v>
      </c>
      <c r="BA115" s="203">
        <f>BA114/BA66</f>
        <v>9.0945512820512817E-2</v>
      </c>
      <c r="BB115" s="202" t="s">
        <v>111</v>
      </c>
      <c r="BC115" s="203">
        <f>BC114/BC66</f>
        <v>7.6690550828481849E-2</v>
      </c>
      <c r="BD115" s="202" t="s">
        <v>111</v>
      </c>
      <c r="BE115" s="203">
        <f>BE114/BE66</f>
        <v>7.6450147019513498E-2</v>
      </c>
      <c r="BF115" s="202" t="s">
        <v>111</v>
      </c>
      <c r="BG115" s="203">
        <f>BG114/BG66</f>
        <v>7.5602010491995428E-2</v>
      </c>
      <c r="BH115" s="202" t="s">
        <v>111</v>
      </c>
      <c r="BI115" s="203">
        <f>BI114/BI66</f>
        <v>7.8047142844805989E-2</v>
      </c>
      <c r="BJ115"/>
      <c r="BK115" s="202" t="s">
        <v>111</v>
      </c>
      <c r="BL115" s="203">
        <f>BL114/BL66</f>
        <v>7.6690550828481849E-2</v>
      </c>
      <c r="BM115" s="202" t="s">
        <v>111</v>
      </c>
      <c r="BN115" s="203">
        <f>BN114/BN66</f>
        <v>7.6450147019513498E-2</v>
      </c>
      <c r="BO115" s="202" t="s">
        <v>111</v>
      </c>
      <c r="BP115" s="203">
        <f>BP114/BP66</f>
        <v>7.5602010491995428E-2</v>
      </c>
      <c r="BQ115" s="202" t="s">
        <v>111</v>
      </c>
      <c r="BR115" s="203">
        <f>BR114/BR66</f>
        <v>7.8047142844805989E-2</v>
      </c>
      <c r="BT115" s="202" t="s">
        <v>111</v>
      </c>
      <c r="BU115" s="203">
        <f>BU114/BU66</f>
        <v>7.6690550828481849E-2</v>
      </c>
      <c r="BV115" s="202" t="s">
        <v>111</v>
      </c>
      <c r="BW115" s="203">
        <f>BW114/BW66</f>
        <v>7.6690550828481849E-2</v>
      </c>
    </row>
    <row r="116" spans="1:75" s="4" customFormat="1" ht="18" customHeight="1" outlineLevel="2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6751250.0000000009</v>
      </c>
      <c r="H116" s="202" t="s">
        <v>114</v>
      </c>
      <c r="I116" s="204">
        <f>I117*I66</f>
        <v>6725249.9999999991</v>
      </c>
      <c r="J116" s="202" t="s">
        <v>114</v>
      </c>
      <c r="K116" s="204">
        <f>K117*K66</f>
        <v>6775400</v>
      </c>
      <c r="L116" s="202" t="s">
        <v>114</v>
      </c>
      <c r="M116" s="204">
        <f>M117*M66</f>
        <v>6740400</v>
      </c>
      <c r="N116" s="202" t="s">
        <v>114</v>
      </c>
      <c r="O116" s="204">
        <f>O117*O66</f>
        <v>6775400</v>
      </c>
      <c r="P116" s="202" t="s">
        <v>114</v>
      </c>
      <c r="Q116" s="204">
        <f>Q117*Q66</f>
        <v>6740400</v>
      </c>
      <c r="R116" s="202" t="s">
        <v>114</v>
      </c>
      <c r="S116" s="204">
        <f>S117*S66</f>
        <v>6740400</v>
      </c>
      <c r="T116" s="202" t="s">
        <v>114</v>
      </c>
      <c r="U116" s="204">
        <f>U117*U66</f>
        <v>6740400</v>
      </c>
      <c r="V116" s="202" t="s">
        <v>114</v>
      </c>
      <c r="W116" s="204">
        <f>W117*W66</f>
        <v>6740400</v>
      </c>
      <c r="X116" s="202" t="s">
        <v>114</v>
      </c>
      <c r="Y116" s="204">
        <f>Y117*Y66</f>
        <v>6855500</v>
      </c>
      <c r="Z116" s="202" t="s">
        <v>114</v>
      </c>
      <c r="AA116" s="204">
        <f>AA117*AA66</f>
        <v>6820499.9999999991</v>
      </c>
      <c r="AB116" s="202" t="s">
        <v>114</v>
      </c>
      <c r="AC116" s="204">
        <f>AC117*AC66</f>
        <v>6844999.9999999991</v>
      </c>
      <c r="AD116" s="202" t="s">
        <v>114</v>
      </c>
      <c r="AE116" s="204">
        <f>AE117*AE66</f>
        <v>6810000</v>
      </c>
      <c r="AF116" s="202" t="s">
        <v>114</v>
      </c>
      <c r="AG116" s="204">
        <f>AG117*AG66</f>
        <v>6844999.9999999991</v>
      </c>
      <c r="AH116" s="202" t="s">
        <v>114</v>
      </c>
      <c r="AI116" s="204">
        <f>AI117*AI66</f>
        <v>6810000</v>
      </c>
      <c r="AJ116" s="202" t="s">
        <v>114</v>
      </c>
      <c r="AK116" s="204">
        <f>AK117*AK66</f>
        <v>6664999.9999999991</v>
      </c>
      <c r="AL116" s="202" t="s">
        <v>114</v>
      </c>
      <c r="AM116" s="204">
        <f>AM117*AM66</f>
        <v>6630000</v>
      </c>
      <c r="AN116" s="202" t="s">
        <v>114</v>
      </c>
      <c r="AO116" s="204">
        <f>AO117*AO66</f>
        <v>6788750</v>
      </c>
      <c r="AP116" s="202" t="s">
        <v>114</v>
      </c>
      <c r="AQ116" s="204">
        <f>AQ117*AQ66</f>
        <v>6753750</v>
      </c>
      <c r="AR116" s="202" t="s">
        <v>114</v>
      </c>
      <c r="AS116" s="204">
        <f>AS117*AS66</f>
        <v>6800000</v>
      </c>
      <c r="AT116" s="202" t="s">
        <v>114</v>
      </c>
      <c r="AU116" s="204">
        <f>AU117*AU66</f>
        <v>6765000</v>
      </c>
      <c r="AV116" s="202" t="s">
        <v>114</v>
      </c>
      <c r="AW116" s="204">
        <f>AW117*AW66</f>
        <v>6800000</v>
      </c>
      <c r="AX116" s="202" t="s">
        <v>114</v>
      </c>
      <c r="AY116" s="204">
        <f>AY117*AY66</f>
        <v>6765000</v>
      </c>
      <c r="AZ116" s="202" t="s">
        <v>114</v>
      </c>
      <c r="BA116" s="204">
        <f>BA117*BA66</f>
        <v>6810000</v>
      </c>
      <c r="BB116" s="202" t="s">
        <v>114</v>
      </c>
      <c r="BC116" s="204">
        <f>BC117*BC66</f>
        <v>6849999.9999999991</v>
      </c>
      <c r="BD116" s="202" t="s">
        <v>114</v>
      </c>
      <c r="BE116" s="204">
        <f>BE117*BE66</f>
        <v>6863999.9999999991</v>
      </c>
      <c r="BF116" s="202" t="s">
        <v>114</v>
      </c>
      <c r="BG116" s="204">
        <f>BG117*BG66</f>
        <v>6914575</v>
      </c>
      <c r="BH116" s="202" t="s">
        <v>114</v>
      </c>
      <c r="BI116" s="204">
        <f>BI117*BI66</f>
        <v>7230100</v>
      </c>
      <c r="BJ116"/>
      <c r="BK116" s="202" t="s">
        <v>114</v>
      </c>
      <c r="BL116" s="204">
        <f>BL117*BL66</f>
        <v>6849999.9999999991</v>
      </c>
      <c r="BM116" s="202" t="s">
        <v>114</v>
      </c>
      <c r="BN116" s="204">
        <f>BN117*BN66</f>
        <v>6863999.9999999991</v>
      </c>
      <c r="BO116" s="202" t="s">
        <v>114</v>
      </c>
      <c r="BP116" s="204">
        <f>BP117*BP66</f>
        <v>6914575</v>
      </c>
      <c r="BQ116" s="202" t="s">
        <v>114</v>
      </c>
      <c r="BR116" s="204">
        <f>BR117*BR66</f>
        <v>7230100</v>
      </c>
      <c r="BT116" s="202" t="s">
        <v>114</v>
      </c>
      <c r="BU116" s="204">
        <f>BU117*BU66</f>
        <v>6849999.9999999991</v>
      </c>
      <c r="BV116" s="202" t="s">
        <v>114</v>
      </c>
      <c r="BW116" s="204">
        <f>BW117*BW66</f>
        <v>6849999.9999999991</v>
      </c>
    </row>
    <row r="117" spans="1:75" ht="15" customHeight="1" outlineLevel="1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 t="shared" ref="G117" si="607">SUM(G118:G123)</f>
        <v>1901.7605633802818</v>
      </c>
      <c r="H117" s="202" t="s">
        <v>114</v>
      </c>
      <c r="I117" s="204">
        <f t="shared" ref="I117" si="608">SUM(I118:I123)</f>
        <v>1832.4931880108988</v>
      </c>
      <c r="J117" s="202" t="s">
        <v>114</v>
      </c>
      <c r="K117" s="204">
        <f t="shared" ref="K117" si="609">SUM(K118:K123)</f>
        <v>1749.845041322314</v>
      </c>
      <c r="L117" s="202" t="s">
        <v>114</v>
      </c>
      <c r="M117" s="204">
        <f t="shared" ref="M117" si="610">SUM(M118:M123)</f>
        <v>1740.8057851239669</v>
      </c>
      <c r="N117" s="202" t="s">
        <v>114</v>
      </c>
      <c r="O117" s="204">
        <f t="shared" ref="O117:Q117" si="611">SUM(O118:O123)</f>
        <v>1749.845041322314</v>
      </c>
      <c r="P117" s="202" t="s">
        <v>114</v>
      </c>
      <c r="Q117" s="204">
        <f t="shared" si="611"/>
        <v>1740.8057851239669</v>
      </c>
      <c r="R117" s="202" t="s">
        <v>114</v>
      </c>
      <c r="S117" s="204">
        <f>SUM(S118:S123)</f>
        <v>1740.8057851239669</v>
      </c>
      <c r="T117" s="202" t="s">
        <v>114</v>
      </c>
      <c r="U117" s="204">
        <f>SUM(U118:U123)</f>
        <v>1740.8057851239669</v>
      </c>
      <c r="V117" s="202" t="s">
        <v>114</v>
      </c>
      <c r="W117" s="204">
        <f>SUM(W118:W123)</f>
        <v>1740.8057851239669</v>
      </c>
      <c r="X117" s="202" t="s">
        <v>114</v>
      </c>
      <c r="Y117" s="204">
        <f t="shared" ref="Y117:AA117" si="612">SUM(Y118:Y123)</f>
        <v>1387.7530364372469</v>
      </c>
      <c r="Z117" s="202" t="s">
        <v>114</v>
      </c>
      <c r="AA117" s="204">
        <f t="shared" si="612"/>
        <v>1380.6680161943318</v>
      </c>
      <c r="AB117" s="202" t="s">
        <v>114</v>
      </c>
      <c r="AC117" s="204">
        <f>SUM(AC118:AC123)</f>
        <v>1426.0416666666665</v>
      </c>
      <c r="AD117" s="202" t="s">
        <v>114</v>
      </c>
      <c r="AE117" s="204">
        <f>SUM(AE118:AE123)</f>
        <v>1418.75</v>
      </c>
      <c r="AF117" s="202" t="s">
        <v>114</v>
      </c>
      <c r="AG117" s="204">
        <f t="shared" ref="AG117" si="613">SUM(AG118:AG123)</f>
        <v>1426.0416666666665</v>
      </c>
      <c r="AH117" s="202" t="s">
        <v>114</v>
      </c>
      <c r="AI117" s="204">
        <f t="shared" ref="AI117" si="614">SUM(AI118:AI123)</f>
        <v>1418.75</v>
      </c>
      <c r="AJ117" s="202" t="s">
        <v>114</v>
      </c>
      <c r="AK117" s="204">
        <f t="shared" ref="AK117:AM117" si="615">SUM(AK118:AK123)</f>
        <v>2777.083333333333</v>
      </c>
      <c r="AL117" s="202" t="s">
        <v>114</v>
      </c>
      <c r="AM117" s="204">
        <f t="shared" si="615"/>
        <v>2762.5</v>
      </c>
      <c r="AN117" s="202" t="s">
        <v>114</v>
      </c>
      <c r="AO117" s="204">
        <f>SUM(AO118:AO123)</f>
        <v>1676.2345679012346</v>
      </c>
      <c r="AP117" s="202" t="s">
        <v>114</v>
      </c>
      <c r="AQ117" s="204">
        <f>SUM(AQ118:AQ123)</f>
        <v>1667.5925925925926</v>
      </c>
      <c r="AR117" s="202" t="s">
        <v>114</v>
      </c>
      <c r="AS117" s="204">
        <f>SUM(AS118:AS123)</f>
        <v>1619.047619047619</v>
      </c>
      <c r="AT117" s="202" t="s">
        <v>114</v>
      </c>
      <c r="AU117" s="204">
        <f>SUM(AU118:AU123)</f>
        <v>1610.7142857142858</v>
      </c>
      <c r="AV117" s="202" t="s">
        <v>114</v>
      </c>
      <c r="AW117" s="204">
        <f>SUM(AW118:AW123)</f>
        <v>1619.047619047619</v>
      </c>
      <c r="AX117" s="202" t="s">
        <v>114</v>
      </c>
      <c r="AY117" s="204">
        <f>SUM(AY118:AY123)</f>
        <v>1610.7142857142858</v>
      </c>
      <c r="AZ117" s="202" t="s">
        <v>114</v>
      </c>
      <c r="BA117" s="204">
        <f t="shared" ref="BA117:BC117" si="616">SUM(BA118:BA123)</f>
        <v>1418.75</v>
      </c>
      <c r="BB117" s="202" t="s">
        <v>114</v>
      </c>
      <c r="BC117" s="204">
        <f t="shared" si="616"/>
        <v>1181.0344827586205</v>
      </c>
      <c r="BD117" s="202" t="s">
        <v>114</v>
      </c>
      <c r="BE117" s="204">
        <f t="shared" ref="BE117" si="617">SUM(BE118:BE123)</f>
        <v>1183.4482758620688</v>
      </c>
      <c r="BF117" s="202" t="s">
        <v>114</v>
      </c>
      <c r="BG117" s="204">
        <f t="shared" ref="BG117" si="618">SUM(BG118:BG123)</f>
        <v>1192.1681034482758</v>
      </c>
      <c r="BH117" s="202" t="s">
        <v>114</v>
      </c>
      <c r="BI117" s="204">
        <f t="shared" ref="BI117" si="619">SUM(BI118:BI123)</f>
        <v>1246.5689655172414</v>
      </c>
      <c r="BK117" s="202" t="s">
        <v>114</v>
      </c>
      <c r="BL117" s="204">
        <f t="shared" ref="BL117:BN117" si="620">SUM(BL118:BL123)</f>
        <v>1181.0344827586205</v>
      </c>
      <c r="BM117" s="202" t="s">
        <v>114</v>
      </c>
      <c r="BN117" s="204">
        <f t="shared" si="620"/>
        <v>1183.4482758620688</v>
      </c>
      <c r="BO117" s="202" t="s">
        <v>114</v>
      </c>
      <c r="BP117" s="204">
        <f t="shared" ref="BP117" si="621">SUM(BP118:BP123)</f>
        <v>1192.1681034482758</v>
      </c>
      <c r="BQ117" s="202" t="s">
        <v>114</v>
      </c>
      <c r="BR117" s="204">
        <f t="shared" ref="BR117" si="622">SUM(BR118:BR123)</f>
        <v>1246.5689655172414</v>
      </c>
      <c r="BT117" s="202" t="s">
        <v>114</v>
      </c>
      <c r="BU117" s="204">
        <f t="shared" ref="BU117" si="623">SUM(BU118:BU123)</f>
        <v>1181.0344827586205</v>
      </c>
      <c r="BV117" s="202" t="s">
        <v>114</v>
      </c>
      <c r="BW117" s="204">
        <f t="shared" ref="BW117" si="624">SUM(BW118:BW123)</f>
        <v>1181.0344827586205</v>
      </c>
    </row>
    <row r="118" spans="1:75" ht="15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K118" s="202" t="s">
        <v>114</v>
      </c>
      <c r="BL118" s="204">
        <v>75</v>
      </c>
      <c r="BM118" s="202" t="s">
        <v>114</v>
      </c>
      <c r="BN118" s="204">
        <v>75</v>
      </c>
      <c r="BO118" s="202" t="s">
        <v>114</v>
      </c>
      <c r="BP118" s="204">
        <v>75</v>
      </c>
      <c r="BQ118" s="202" t="s">
        <v>114</v>
      </c>
      <c r="BR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</row>
    <row r="119" spans="1:75" ht="15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546.47887323943667</v>
      </c>
      <c r="H119" s="202" t="s">
        <v>114</v>
      </c>
      <c r="I119" s="204">
        <f>1940000/I66</f>
        <v>528.61035422343321</v>
      </c>
      <c r="J119" s="202" t="s">
        <v>114</v>
      </c>
      <c r="K119" s="204">
        <f>1940000/K66</f>
        <v>501.03305785123968</v>
      </c>
      <c r="L119" s="202" t="s">
        <v>114</v>
      </c>
      <c r="M119" s="204">
        <f>1940000/M66</f>
        <v>501.03305785123968</v>
      </c>
      <c r="N119" s="202" t="s">
        <v>114</v>
      </c>
      <c r="O119" s="204">
        <f>1940000/O66</f>
        <v>501.03305785123968</v>
      </c>
      <c r="P119" s="202" t="s">
        <v>114</v>
      </c>
      <c r="Q119" s="204">
        <f>1940000/Q66</f>
        <v>501.03305785123968</v>
      </c>
      <c r="R119" s="202" t="s">
        <v>114</v>
      </c>
      <c r="S119" s="204">
        <f>1940000/S66</f>
        <v>501.03305785123968</v>
      </c>
      <c r="T119" s="202" t="s">
        <v>114</v>
      </c>
      <c r="U119" s="204">
        <f>1940000/U66</f>
        <v>501.03305785123968</v>
      </c>
      <c r="V119" s="202" t="s">
        <v>114</v>
      </c>
      <c r="W119" s="204">
        <f>1940000/W66</f>
        <v>501.03305785123968</v>
      </c>
      <c r="X119" s="202" t="s">
        <v>114</v>
      </c>
      <c r="Y119" s="204">
        <f>1940000/Y66</f>
        <v>392.71255060728743</v>
      </c>
      <c r="Z119" s="202" t="s">
        <v>114</v>
      </c>
      <c r="AA119" s="204">
        <f>1940000/AA66</f>
        <v>392.71255060728743</v>
      </c>
      <c r="AB119" s="202" t="s">
        <v>114</v>
      </c>
      <c r="AC119" s="204">
        <f>1940000/AC66</f>
        <v>404.16666666666669</v>
      </c>
      <c r="AD119" s="202" t="s">
        <v>114</v>
      </c>
      <c r="AE119" s="204">
        <f>1940000/AE66</f>
        <v>404.16666666666669</v>
      </c>
      <c r="AF119" s="202" t="s">
        <v>114</v>
      </c>
      <c r="AG119" s="204">
        <f>1940000/AG66</f>
        <v>404.16666666666669</v>
      </c>
      <c r="AH119" s="202" t="s">
        <v>114</v>
      </c>
      <c r="AI119" s="204">
        <f>1940000/AI66</f>
        <v>404.16666666666669</v>
      </c>
      <c r="AJ119" s="202" t="s">
        <v>114</v>
      </c>
      <c r="AK119" s="204">
        <f>1940000/AK66</f>
        <v>808.33333333333337</v>
      </c>
      <c r="AL119" s="202" t="s">
        <v>114</v>
      </c>
      <c r="AM119" s="204">
        <f>1940000/AM66</f>
        <v>808.33333333333337</v>
      </c>
      <c r="AN119" s="202" t="s">
        <v>114</v>
      </c>
      <c r="AO119" s="204">
        <f>1940000/AO66</f>
        <v>479.01234567901236</v>
      </c>
      <c r="AP119" s="202" t="s">
        <v>114</v>
      </c>
      <c r="AQ119" s="204">
        <f>1940000/AQ66</f>
        <v>479.01234567901236</v>
      </c>
      <c r="AR119" s="202" t="s">
        <v>114</v>
      </c>
      <c r="AS119" s="204">
        <f>1940000/AS66</f>
        <v>461.90476190476193</v>
      </c>
      <c r="AT119" s="202" t="s">
        <v>114</v>
      </c>
      <c r="AU119" s="204">
        <f>1940000/AU66</f>
        <v>461.90476190476193</v>
      </c>
      <c r="AV119" s="202" t="s">
        <v>114</v>
      </c>
      <c r="AW119" s="204">
        <f>1940000/AW66</f>
        <v>461.90476190476193</v>
      </c>
      <c r="AX119" s="202" t="s">
        <v>114</v>
      </c>
      <c r="AY119" s="204">
        <f>1940000/AY66</f>
        <v>461.90476190476193</v>
      </c>
      <c r="AZ119" s="202" t="s">
        <v>114</v>
      </c>
      <c r="BA119" s="204">
        <f>1940000/BA66</f>
        <v>404.16666666666669</v>
      </c>
      <c r="BB119" s="202" t="s">
        <v>114</v>
      </c>
      <c r="BC119" s="204">
        <f>1940000/BC66</f>
        <v>334.48275862068965</v>
      </c>
      <c r="BD119" s="202" t="s">
        <v>114</v>
      </c>
      <c r="BE119" s="204">
        <f>1940000/BE66</f>
        <v>334.48275862068965</v>
      </c>
      <c r="BF119" s="202" t="s">
        <v>114</v>
      </c>
      <c r="BG119" s="204">
        <f>1940000/BG66</f>
        <v>334.48275862068965</v>
      </c>
      <c r="BH119" s="202" t="s">
        <v>114</v>
      </c>
      <c r="BI119" s="204">
        <f>2150000/BI66</f>
        <v>370.68965517241378</v>
      </c>
      <c r="BK119" s="202" t="s">
        <v>114</v>
      </c>
      <c r="BL119" s="204">
        <f>1940000/BL66</f>
        <v>334.48275862068965</v>
      </c>
      <c r="BM119" s="202" t="s">
        <v>114</v>
      </c>
      <c r="BN119" s="204">
        <f>1940000/BN66</f>
        <v>334.48275862068965</v>
      </c>
      <c r="BO119" s="202" t="s">
        <v>114</v>
      </c>
      <c r="BP119" s="204">
        <f>1940000/BP66</f>
        <v>334.48275862068965</v>
      </c>
      <c r="BQ119" s="202" t="s">
        <v>114</v>
      </c>
      <c r="BR119" s="204">
        <f>2150000/BR66</f>
        <v>370.68965517241378</v>
      </c>
      <c r="BT119" s="202" t="s">
        <v>114</v>
      </c>
      <c r="BU119" s="204">
        <f>1940000/BU66</f>
        <v>334.48275862068965</v>
      </c>
      <c r="BV119" s="202" t="s">
        <v>114</v>
      </c>
      <c r="BW119" s="204">
        <f>1940000/BW66</f>
        <v>334.48275862068965</v>
      </c>
    </row>
    <row r="120" spans="1:75" ht="15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77.464788732394368</v>
      </c>
      <c r="H120" s="202" t="s">
        <v>114</v>
      </c>
      <c r="I120" s="204">
        <f>275000/I66</f>
        <v>74.93188010899182</v>
      </c>
      <c r="J120" s="202" t="s">
        <v>114</v>
      </c>
      <c r="K120" s="204">
        <f>275000/K66</f>
        <v>71.022727272727266</v>
      </c>
      <c r="L120" s="202" t="s">
        <v>114</v>
      </c>
      <c r="M120" s="204">
        <f>275000/M66</f>
        <v>71.022727272727266</v>
      </c>
      <c r="N120" s="202" t="s">
        <v>114</v>
      </c>
      <c r="O120" s="204">
        <f>275000/O66</f>
        <v>71.022727272727266</v>
      </c>
      <c r="P120" s="202" t="s">
        <v>114</v>
      </c>
      <c r="Q120" s="204">
        <f>275000/Q66</f>
        <v>71.022727272727266</v>
      </c>
      <c r="R120" s="202" t="s">
        <v>114</v>
      </c>
      <c r="S120" s="204">
        <f>275000/S66</f>
        <v>71.022727272727266</v>
      </c>
      <c r="T120" s="202" t="s">
        <v>114</v>
      </c>
      <c r="U120" s="204">
        <f>275000/U66</f>
        <v>71.022727272727266</v>
      </c>
      <c r="V120" s="202" t="s">
        <v>114</v>
      </c>
      <c r="W120" s="204">
        <f>275000/W66</f>
        <v>71.022727272727266</v>
      </c>
      <c r="X120" s="202" t="s">
        <v>114</v>
      </c>
      <c r="Y120" s="204">
        <f>275000/Y66</f>
        <v>55.668016194331983</v>
      </c>
      <c r="Z120" s="202" t="s">
        <v>114</v>
      </c>
      <c r="AA120" s="204">
        <f>275000/AA66</f>
        <v>55.668016194331983</v>
      </c>
      <c r="AB120" s="202" t="s">
        <v>114</v>
      </c>
      <c r="AC120" s="204">
        <f>275000/AC66</f>
        <v>57.291666666666664</v>
      </c>
      <c r="AD120" s="202" t="s">
        <v>114</v>
      </c>
      <c r="AE120" s="204">
        <f>275000/AE66</f>
        <v>57.291666666666664</v>
      </c>
      <c r="AF120" s="202" t="s">
        <v>114</v>
      </c>
      <c r="AG120" s="204">
        <f>275000/AG66</f>
        <v>57.291666666666664</v>
      </c>
      <c r="AH120" s="202" t="s">
        <v>114</v>
      </c>
      <c r="AI120" s="204">
        <f>275000/AI66</f>
        <v>57.291666666666664</v>
      </c>
      <c r="AJ120" s="202" t="s">
        <v>114</v>
      </c>
      <c r="AK120" s="204">
        <f>275000/AK66</f>
        <v>114.58333333333333</v>
      </c>
      <c r="AL120" s="202" t="s">
        <v>114</v>
      </c>
      <c r="AM120" s="204">
        <f>275000/AM66</f>
        <v>114.58333333333333</v>
      </c>
      <c r="AN120" s="202" t="s">
        <v>114</v>
      </c>
      <c r="AO120" s="204">
        <f>275000/AO66</f>
        <v>67.901234567901241</v>
      </c>
      <c r="AP120" s="202" t="s">
        <v>114</v>
      </c>
      <c r="AQ120" s="204">
        <f>275000/AQ66</f>
        <v>67.901234567901241</v>
      </c>
      <c r="AR120" s="202" t="s">
        <v>114</v>
      </c>
      <c r="AS120" s="204">
        <f>275000/AS66</f>
        <v>65.476190476190482</v>
      </c>
      <c r="AT120" s="202" t="s">
        <v>114</v>
      </c>
      <c r="AU120" s="204">
        <f>275000/AU66</f>
        <v>65.476190476190482</v>
      </c>
      <c r="AV120" s="202" t="s">
        <v>114</v>
      </c>
      <c r="AW120" s="204">
        <f>275000/AW66</f>
        <v>65.476190476190482</v>
      </c>
      <c r="AX120" s="202" t="s">
        <v>114</v>
      </c>
      <c r="AY120" s="204">
        <f>275000/AY66</f>
        <v>65.476190476190482</v>
      </c>
      <c r="AZ120" s="202" t="s">
        <v>114</v>
      </c>
      <c r="BA120" s="204">
        <f>275000/BA66</f>
        <v>57.291666666666664</v>
      </c>
      <c r="BB120" s="202" t="s">
        <v>114</v>
      </c>
      <c r="BC120" s="204">
        <f>275000/BC66</f>
        <v>47.413793103448278</v>
      </c>
      <c r="BD120" s="202" t="s">
        <v>114</v>
      </c>
      <c r="BE120" s="204">
        <f>275000/BE66</f>
        <v>47.413793103448278</v>
      </c>
      <c r="BF120" s="202" t="s">
        <v>114</v>
      </c>
      <c r="BG120" s="204">
        <f>275000/BG66</f>
        <v>47.413793103448278</v>
      </c>
      <c r="BH120" s="202" t="s">
        <v>114</v>
      </c>
      <c r="BI120" s="204">
        <f>300000/BI66</f>
        <v>51.724137931034484</v>
      </c>
      <c r="BK120" s="202" t="s">
        <v>114</v>
      </c>
      <c r="BL120" s="204">
        <f>275000/BL66</f>
        <v>47.413793103448278</v>
      </c>
      <c r="BM120" s="202" t="s">
        <v>114</v>
      </c>
      <c r="BN120" s="204">
        <f>275000/BN66</f>
        <v>47.413793103448278</v>
      </c>
      <c r="BO120" s="202" t="s">
        <v>114</v>
      </c>
      <c r="BP120" s="204">
        <f>275000/BP66</f>
        <v>47.413793103448278</v>
      </c>
      <c r="BQ120" s="202" t="s">
        <v>114</v>
      </c>
      <c r="BR120" s="204">
        <f>300000/BR66</f>
        <v>51.724137931034484</v>
      </c>
      <c r="BT120" s="202" t="s">
        <v>114</v>
      </c>
      <c r="BU120" s="204">
        <f>275000/BU66</f>
        <v>47.413793103448278</v>
      </c>
      <c r="BV120" s="202" t="s">
        <v>114</v>
      </c>
      <c r="BW120" s="204">
        <f>275000/BW66</f>
        <v>47.413793103448278</v>
      </c>
    </row>
    <row r="121" spans="1:75" ht="15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360.56338028169012</v>
      </c>
      <c r="H121" s="202" t="s">
        <v>114</v>
      </c>
      <c r="I121" s="204">
        <f>1280000/I66</f>
        <v>348.77384196185284</v>
      </c>
      <c r="J121" s="202" t="s">
        <v>114</v>
      </c>
      <c r="K121" s="204">
        <f>1280000/K66</f>
        <v>330.57851239669424</v>
      </c>
      <c r="L121" s="202" t="s">
        <v>114</v>
      </c>
      <c r="M121" s="204">
        <f>1280000/M66</f>
        <v>330.57851239669424</v>
      </c>
      <c r="N121" s="202" t="s">
        <v>114</v>
      </c>
      <c r="O121" s="204">
        <f>1280000/O66</f>
        <v>330.57851239669424</v>
      </c>
      <c r="P121" s="202" t="s">
        <v>114</v>
      </c>
      <c r="Q121" s="204">
        <f>1280000/Q66</f>
        <v>330.57851239669424</v>
      </c>
      <c r="R121" s="202" t="s">
        <v>114</v>
      </c>
      <c r="S121" s="204">
        <f>1280000/S66</f>
        <v>330.57851239669424</v>
      </c>
      <c r="T121" s="202" t="s">
        <v>114</v>
      </c>
      <c r="U121" s="204">
        <f>1280000/U66</f>
        <v>330.57851239669424</v>
      </c>
      <c r="V121" s="202" t="s">
        <v>114</v>
      </c>
      <c r="W121" s="204">
        <f>1280000/W66</f>
        <v>330.57851239669424</v>
      </c>
      <c r="X121" s="202" t="s">
        <v>114</v>
      </c>
      <c r="Y121" s="204">
        <f>1280000/Y66</f>
        <v>259.10931174089069</v>
      </c>
      <c r="Z121" s="202" t="s">
        <v>114</v>
      </c>
      <c r="AA121" s="204">
        <f>1280000/AA66</f>
        <v>259.10931174089069</v>
      </c>
      <c r="AB121" s="202" t="s">
        <v>114</v>
      </c>
      <c r="AC121" s="204">
        <f>1280000/AC66</f>
        <v>266.66666666666669</v>
      </c>
      <c r="AD121" s="202" t="s">
        <v>114</v>
      </c>
      <c r="AE121" s="204">
        <f>1280000/AE66</f>
        <v>266.66666666666669</v>
      </c>
      <c r="AF121" s="202" t="s">
        <v>114</v>
      </c>
      <c r="AG121" s="204">
        <f>1280000/AG66</f>
        <v>266.66666666666669</v>
      </c>
      <c r="AH121" s="202" t="s">
        <v>114</v>
      </c>
      <c r="AI121" s="204">
        <f>1280000/AI66</f>
        <v>266.66666666666669</v>
      </c>
      <c r="AJ121" s="202" t="s">
        <v>114</v>
      </c>
      <c r="AK121" s="204">
        <f>1280000/AK66</f>
        <v>533.33333333333337</v>
      </c>
      <c r="AL121" s="202" t="s">
        <v>114</v>
      </c>
      <c r="AM121" s="204">
        <f>1280000/AM66</f>
        <v>533.33333333333337</v>
      </c>
      <c r="AN121" s="202" t="s">
        <v>114</v>
      </c>
      <c r="AO121" s="204">
        <f>1280000/AO66</f>
        <v>316.04938271604937</v>
      </c>
      <c r="AP121" s="202" t="s">
        <v>114</v>
      </c>
      <c r="AQ121" s="204">
        <f>1280000/AQ66</f>
        <v>316.04938271604937</v>
      </c>
      <c r="AR121" s="202" t="s">
        <v>114</v>
      </c>
      <c r="AS121" s="204">
        <f>1280000/AS66</f>
        <v>304.76190476190476</v>
      </c>
      <c r="AT121" s="202" t="s">
        <v>114</v>
      </c>
      <c r="AU121" s="204">
        <f>1280000/AU66</f>
        <v>304.76190476190476</v>
      </c>
      <c r="AV121" s="202" t="s">
        <v>114</v>
      </c>
      <c r="AW121" s="204">
        <f>1280000/AW66</f>
        <v>304.76190476190476</v>
      </c>
      <c r="AX121" s="202" t="s">
        <v>114</v>
      </c>
      <c r="AY121" s="204">
        <f>1280000/AY66</f>
        <v>304.76190476190476</v>
      </c>
      <c r="AZ121" s="202" t="s">
        <v>114</v>
      </c>
      <c r="BA121" s="204">
        <f>1280000/BA66</f>
        <v>266.66666666666669</v>
      </c>
      <c r="BB121" s="202" t="s">
        <v>114</v>
      </c>
      <c r="BC121" s="204">
        <f>1280000/BC66</f>
        <v>220.68965517241378</v>
      </c>
      <c r="BD121" s="202" t="s">
        <v>114</v>
      </c>
      <c r="BE121" s="204">
        <f>1280000/BE66</f>
        <v>220.68965517241378</v>
      </c>
      <c r="BF121" s="202" t="s">
        <v>114</v>
      </c>
      <c r="BG121" s="204">
        <f>1280000/BG66</f>
        <v>220.68965517241378</v>
      </c>
      <c r="BH121" s="202" t="s">
        <v>114</v>
      </c>
      <c r="BI121" s="204">
        <f>1280000/BI66</f>
        <v>220.68965517241378</v>
      </c>
      <c r="BK121" s="202" t="s">
        <v>114</v>
      </c>
      <c r="BL121" s="204">
        <f>1280000/BL66</f>
        <v>220.68965517241378</v>
      </c>
      <c r="BM121" s="202" t="s">
        <v>114</v>
      </c>
      <c r="BN121" s="204">
        <f>1280000/BN66</f>
        <v>220.68965517241378</v>
      </c>
      <c r="BO121" s="202" t="s">
        <v>114</v>
      </c>
      <c r="BP121" s="204">
        <f>1280000/BP66</f>
        <v>220.68965517241378</v>
      </c>
      <c r="BQ121" s="202" t="s">
        <v>114</v>
      </c>
      <c r="BR121" s="204">
        <f>1280000/BR66</f>
        <v>220.68965517241378</v>
      </c>
      <c r="BT121" s="202" t="s">
        <v>114</v>
      </c>
      <c r="BU121" s="204">
        <f>1280000/BU66</f>
        <v>220.68965517241378</v>
      </c>
      <c r="BV121" s="202" t="s">
        <v>114</v>
      </c>
      <c r="BW121" s="204">
        <f>1280000/BW66</f>
        <v>220.68965517241378</v>
      </c>
    </row>
    <row r="122" spans="1:75" ht="15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63.380281690140848</v>
      </c>
      <c r="H122" s="202" t="s">
        <v>114</v>
      </c>
      <c r="I122" s="204">
        <f>225000/I66</f>
        <v>61.30790190735695</v>
      </c>
      <c r="J122" s="202" t="s">
        <v>114</v>
      </c>
      <c r="K122" s="204">
        <f>225000/K66</f>
        <v>58.109504132231407</v>
      </c>
      <c r="L122" s="202" t="s">
        <v>114</v>
      </c>
      <c r="M122" s="204">
        <f>225000/M66</f>
        <v>58.109504132231407</v>
      </c>
      <c r="N122" s="202" t="s">
        <v>114</v>
      </c>
      <c r="O122" s="204">
        <f>225000/O66</f>
        <v>58.109504132231407</v>
      </c>
      <c r="P122" s="202" t="s">
        <v>114</v>
      </c>
      <c r="Q122" s="204">
        <f>225000/Q66</f>
        <v>58.109504132231407</v>
      </c>
      <c r="R122" s="202" t="s">
        <v>114</v>
      </c>
      <c r="S122" s="204">
        <f>225000/S66</f>
        <v>58.109504132231407</v>
      </c>
      <c r="T122" s="202" t="s">
        <v>114</v>
      </c>
      <c r="U122" s="204">
        <f>225000/U66</f>
        <v>58.109504132231407</v>
      </c>
      <c r="V122" s="202" t="s">
        <v>114</v>
      </c>
      <c r="W122" s="204">
        <f>225000/W66</f>
        <v>58.109504132231407</v>
      </c>
      <c r="X122" s="202" t="s">
        <v>114</v>
      </c>
      <c r="Y122" s="204">
        <f>225000/Y66</f>
        <v>45.546558704453439</v>
      </c>
      <c r="Z122" s="202" t="s">
        <v>114</v>
      </c>
      <c r="AA122" s="204">
        <f>225000/AA66</f>
        <v>45.546558704453439</v>
      </c>
      <c r="AB122" s="202" t="s">
        <v>114</v>
      </c>
      <c r="AC122" s="204">
        <f>225000/AC66</f>
        <v>46.875</v>
      </c>
      <c r="AD122" s="202" t="s">
        <v>114</v>
      </c>
      <c r="AE122" s="204">
        <f>225000/AE66</f>
        <v>46.875</v>
      </c>
      <c r="AF122" s="202" t="s">
        <v>114</v>
      </c>
      <c r="AG122" s="204">
        <f>225000/AG66</f>
        <v>46.875</v>
      </c>
      <c r="AH122" s="202" t="s">
        <v>114</v>
      </c>
      <c r="AI122" s="204">
        <f>225000/AI66</f>
        <v>46.875</v>
      </c>
      <c r="AJ122" s="202" t="s">
        <v>114</v>
      </c>
      <c r="AK122" s="204">
        <f>225000/AK66</f>
        <v>93.75</v>
      </c>
      <c r="AL122" s="202" t="s">
        <v>114</v>
      </c>
      <c r="AM122" s="204">
        <f>225000/AM66</f>
        <v>93.75</v>
      </c>
      <c r="AN122" s="202" t="s">
        <v>114</v>
      </c>
      <c r="AO122" s="204">
        <f>225000/AO66</f>
        <v>55.555555555555557</v>
      </c>
      <c r="AP122" s="202" t="s">
        <v>114</v>
      </c>
      <c r="AQ122" s="204">
        <f>225000/AQ66</f>
        <v>55.555555555555557</v>
      </c>
      <c r="AR122" s="202" t="s">
        <v>114</v>
      </c>
      <c r="AS122" s="204">
        <f>225000/AS66</f>
        <v>53.571428571428569</v>
      </c>
      <c r="AT122" s="202" t="s">
        <v>114</v>
      </c>
      <c r="AU122" s="204">
        <f>225000/AU66</f>
        <v>53.571428571428569</v>
      </c>
      <c r="AV122" s="202" t="s">
        <v>114</v>
      </c>
      <c r="AW122" s="204">
        <f>225000/AW66</f>
        <v>53.571428571428569</v>
      </c>
      <c r="AX122" s="202" t="s">
        <v>114</v>
      </c>
      <c r="AY122" s="204">
        <f>225000/AY66</f>
        <v>53.571428571428569</v>
      </c>
      <c r="AZ122" s="202" t="s">
        <v>114</v>
      </c>
      <c r="BA122" s="204">
        <f>225000/BA66</f>
        <v>46.875</v>
      </c>
      <c r="BB122" s="202" t="s">
        <v>114</v>
      </c>
      <c r="BC122" s="204">
        <f>225000/BC66</f>
        <v>38.793103448275865</v>
      </c>
      <c r="BD122" s="202" t="s">
        <v>114</v>
      </c>
      <c r="BE122" s="204">
        <f>225000/BE66</f>
        <v>38.793103448275865</v>
      </c>
      <c r="BF122" s="202" t="s">
        <v>114</v>
      </c>
      <c r="BG122" s="204">
        <f>225000/BG66</f>
        <v>38.793103448275865</v>
      </c>
      <c r="BH122" s="202" t="s">
        <v>114</v>
      </c>
      <c r="BI122" s="204">
        <f>(225000+45000)/BI66</f>
        <v>46.551724137931032</v>
      </c>
      <c r="BK122" s="202" t="s">
        <v>114</v>
      </c>
      <c r="BL122" s="204">
        <f>225000/BL66</f>
        <v>38.793103448275865</v>
      </c>
      <c r="BM122" s="202" t="s">
        <v>114</v>
      </c>
      <c r="BN122" s="204">
        <f>225000/BN66</f>
        <v>38.793103448275865</v>
      </c>
      <c r="BO122" s="202" t="s">
        <v>114</v>
      </c>
      <c r="BP122" s="204">
        <f>225000/BP66</f>
        <v>38.793103448275865</v>
      </c>
      <c r="BQ122" s="202" t="s">
        <v>114</v>
      </c>
      <c r="BR122" s="204">
        <f>(225000+45000)/BR66</f>
        <v>46.551724137931032</v>
      </c>
      <c r="BT122" s="202" t="s">
        <v>114</v>
      </c>
      <c r="BU122" s="204">
        <f>225000/BU66</f>
        <v>38.793103448275865</v>
      </c>
      <c r="BV122" s="202" t="s">
        <v>114</v>
      </c>
      <c r="BW122" s="204">
        <f>225000/BW66</f>
        <v>38.793103448275865</v>
      </c>
    </row>
    <row r="123" spans="1:75" ht="15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778.87323943661977</v>
      </c>
      <c r="H123" s="208" t="s">
        <v>114</v>
      </c>
      <c r="I123" s="209">
        <f>(175*I79)/I66</f>
        <v>743.86920980926436</v>
      </c>
      <c r="J123" s="208" t="s">
        <v>114</v>
      </c>
      <c r="K123" s="209">
        <f>(175*K79)/K66</f>
        <v>714.10123966942149</v>
      </c>
      <c r="L123" s="208" t="s">
        <v>114</v>
      </c>
      <c r="M123" s="209">
        <f>(175*M79)/M66</f>
        <v>705.06198347107443</v>
      </c>
      <c r="N123" s="208" t="s">
        <v>114</v>
      </c>
      <c r="O123" s="209">
        <f>(175*O79)/O66</f>
        <v>714.10123966942149</v>
      </c>
      <c r="P123" s="208" t="s">
        <v>114</v>
      </c>
      <c r="Q123" s="209">
        <f>(175*Q79)/Q66</f>
        <v>705.06198347107443</v>
      </c>
      <c r="R123" s="208" t="s">
        <v>114</v>
      </c>
      <c r="S123" s="209">
        <f>(175*S79)/S66</f>
        <v>705.06198347107443</v>
      </c>
      <c r="T123" s="208" t="s">
        <v>114</v>
      </c>
      <c r="U123" s="209">
        <f>(175*U79)/U66</f>
        <v>705.06198347107443</v>
      </c>
      <c r="V123" s="208" t="s">
        <v>114</v>
      </c>
      <c r="W123" s="209">
        <f>(175*W79)/W66</f>
        <v>705.06198347107443</v>
      </c>
      <c r="X123" s="208" t="s">
        <v>114</v>
      </c>
      <c r="Y123" s="209">
        <f>(175*Y79)/Y66</f>
        <v>559.71659919028343</v>
      </c>
      <c r="Z123" s="208" t="s">
        <v>114</v>
      </c>
      <c r="AA123" s="209">
        <f>(175*AA79)/AA66</f>
        <v>552.63157894736844</v>
      </c>
      <c r="AB123" s="208" t="s">
        <v>114</v>
      </c>
      <c r="AC123" s="209">
        <f>(175*AC79)/AC66</f>
        <v>576.04166666666663</v>
      </c>
      <c r="AD123" s="208" t="s">
        <v>114</v>
      </c>
      <c r="AE123" s="209">
        <f>(175*AE79)/AE66</f>
        <v>568.75</v>
      </c>
      <c r="AF123" s="208" t="s">
        <v>114</v>
      </c>
      <c r="AG123" s="209">
        <f>(175*AG79)/AG66</f>
        <v>576.04166666666663</v>
      </c>
      <c r="AH123" s="208" t="s">
        <v>114</v>
      </c>
      <c r="AI123" s="209">
        <f>(175*AI79)/AI66</f>
        <v>568.75</v>
      </c>
      <c r="AJ123" s="208" t="s">
        <v>114</v>
      </c>
      <c r="AK123" s="209">
        <f>(175*AK79)/AK66</f>
        <v>1152.0833333333333</v>
      </c>
      <c r="AL123" s="208" t="s">
        <v>114</v>
      </c>
      <c r="AM123" s="209">
        <f>(175*AM79)/AM66</f>
        <v>1137.5</v>
      </c>
      <c r="AN123" s="208" t="s">
        <v>114</v>
      </c>
      <c r="AO123" s="209">
        <f>(175*AO79)/AO66</f>
        <v>682.71604938271605</v>
      </c>
      <c r="AP123" s="208" t="s">
        <v>114</v>
      </c>
      <c r="AQ123" s="209">
        <f>(175*AQ79)/AQ66</f>
        <v>674.07407407407402</v>
      </c>
      <c r="AR123" s="208" t="s">
        <v>114</v>
      </c>
      <c r="AS123" s="209">
        <f>(175*AS79)/AS66</f>
        <v>658.33333333333337</v>
      </c>
      <c r="AT123" s="208" t="s">
        <v>114</v>
      </c>
      <c r="AU123" s="209">
        <f>(175*AU79)/AU66</f>
        <v>650</v>
      </c>
      <c r="AV123" s="208" t="s">
        <v>114</v>
      </c>
      <c r="AW123" s="209">
        <f>(175*AW79)/AW66</f>
        <v>658.33333333333337</v>
      </c>
      <c r="AX123" s="208" t="s">
        <v>114</v>
      </c>
      <c r="AY123" s="209">
        <f>(175*AY79)/AY66</f>
        <v>650</v>
      </c>
      <c r="AZ123" s="208" t="s">
        <v>114</v>
      </c>
      <c r="BA123" s="209">
        <f>(175*BA79)/BA66</f>
        <v>568.75</v>
      </c>
      <c r="BB123" s="208" t="s">
        <v>114</v>
      </c>
      <c r="BC123" s="209">
        <f>(175*BC79)/BC66</f>
        <v>464.65517241379308</v>
      </c>
      <c r="BD123" s="208" t="s">
        <v>114</v>
      </c>
      <c r="BE123" s="209">
        <f>(175*BE79)/BE66</f>
        <v>467.06896551724139</v>
      </c>
      <c r="BF123" s="208" t="s">
        <v>114</v>
      </c>
      <c r="BG123" s="209">
        <f>(175*BG79)/BG66</f>
        <v>475.78879310344826</v>
      </c>
      <c r="BH123" s="208" t="s">
        <v>114</v>
      </c>
      <c r="BI123" s="209">
        <f>(175*BI79)/BI66</f>
        <v>481.91379310344826</v>
      </c>
      <c r="BK123" s="208" t="s">
        <v>114</v>
      </c>
      <c r="BL123" s="209">
        <f>(175*BL79)/BL66</f>
        <v>464.65517241379308</v>
      </c>
      <c r="BM123" s="208" t="s">
        <v>114</v>
      </c>
      <c r="BN123" s="209">
        <f>(175*BN79)/BN66</f>
        <v>467.06896551724139</v>
      </c>
      <c r="BO123" s="208" t="s">
        <v>114</v>
      </c>
      <c r="BP123" s="209">
        <f>(175*BP79)/BP66</f>
        <v>475.78879310344826</v>
      </c>
      <c r="BQ123" s="208" t="s">
        <v>114</v>
      </c>
      <c r="BR123" s="209">
        <f>(175*BR79)/BR66</f>
        <v>481.91379310344826</v>
      </c>
      <c r="BT123" s="208" t="s">
        <v>114</v>
      </c>
      <c r="BU123" s="209">
        <f>(175*BU79)/BU66</f>
        <v>464.65517241379308</v>
      </c>
      <c r="BV123" s="208" t="s">
        <v>114</v>
      </c>
      <c r="BW123" s="209">
        <f>(175*BW79)/BW66</f>
        <v>464.65517241379308</v>
      </c>
    </row>
    <row r="124" spans="1:75" ht="15" customHeight="1" outlineLevel="2" thickTop="1" x14ac:dyDescent="0.45">
      <c r="A124" s="561"/>
      <c r="B124" s="1187"/>
      <c r="C124" s="161"/>
      <c r="D124" s="162"/>
      <c r="E124" s="210"/>
      <c r="F124" s="1095"/>
      <c r="G124" s="1094">
        <f>G99+F72</f>
        <v>0.10610605484867801</v>
      </c>
      <c r="H124" s="1095"/>
      <c r="I124" s="1094">
        <f>I99+H72</f>
        <v>9.2484296773983607E-2</v>
      </c>
      <c r="J124" s="1095"/>
      <c r="K124" s="1094">
        <f>K99+J72</f>
        <v>9.8357445762298601E-2</v>
      </c>
      <c r="L124" s="1095"/>
      <c r="M124" s="1094">
        <f>M99+L72</f>
        <v>8.7427756134049905E-2</v>
      </c>
      <c r="N124" s="1095"/>
      <c r="O124" s="1094">
        <f>O99+N72</f>
        <v>8.0935842974842229E-2</v>
      </c>
      <c r="P124" s="1095"/>
      <c r="Q124" s="1094">
        <f>Q99+P72</f>
        <v>6.901881464818542E-2</v>
      </c>
      <c r="R124" s="1095"/>
      <c r="S124" s="1094">
        <f>S99+R72</f>
        <v>0.13286452155802417</v>
      </c>
      <c r="T124" s="1095"/>
      <c r="U124" s="1094">
        <f>U99+T72</f>
        <v>0.13286452155802417</v>
      </c>
      <c r="V124" s="1095"/>
      <c r="W124" s="1094">
        <f>W99+V72</f>
        <v>0.13286452155802417</v>
      </c>
      <c r="X124" s="359"/>
      <c r="Y124" s="368"/>
      <c r="Z124" s="359"/>
      <c r="AA124" s="368"/>
      <c r="AB124" s="359"/>
      <c r="AC124" s="368"/>
      <c r="AD124" s="359"/>
      <c r="AE124" s="368"/>
      <c r="AF124" s="164"/>
      <c r="AG124" s="165"/>
      <c r="AH124" s="164"/>
      <c r="AI124" s="165"/>
      <c r="AJ124" s="359"/>
      <c r="AK124" s="368"/>
      <c r="AL124" s="359"/>
      <c r="AM124" s="368"/>
      <c r="AN124" s="359"/>
      <c r="AO124" s="368"/>
      <c r="AP124" s="359"/>
      <c r="AQ124" s="368"/>
      <c r="AR124" s="359"/>
      <c r="AS124" s="368"/>
      <c r="AT124" s="359"/>
      <c r="AU124" s="368"/>
      <c r="AV124" s="359"/>
      <c r="AW124" s="368"/>
      <c r="AX124" s="359"/>
      <c r="AY124" s="368"/>
      <c r="AZ124" s="164"/>
      <c r="BA124" s="165"/>
      <c r="BB124" s="164"/>
      <c r="BC124" s="165"/>
      <c r="BD124" s="164"/>
      <c r="BE124" s="165"/>
      <c r="BF124" s="164"/>
      <c r="BG124" s="165"/>
      <c r="BH124" s="164"/>
      <c r="BI124" s="165"/>
      <c r="BK124" s="164"/>
      <c r="BL124" s="165"/>
      <c r="BM124" s="164"/>
      <c r="BN124" s="165"/>
      <c r="BO124" s="164"/>
      <c r="BP124" s="165"/>
      <c r="BQ124" s="164"/>
      <c r="BR124" s="165"/>
      <c r="BT124" s="164"/>
      <c r="BU124" s="165"/>
      <c r="BV124" s="164"/>
      <c r="BW124" s="165"/>
    </row>
    <row r="125" spans="1:75" ht="15" customHeight="1" outlineLevel="2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11492280</v>
      </c>
      <c r="H125" s="214"/>
      <c r="I125" s="215">
        <v>11492280</v>
      </c>
      <c r="J125" s="214"/>
      <c r="K125" s="215">
        <v>33580560</v>
      </c>
      <c r="L125" s="214"/>
      <c r="M125" s="215">
        <v>33580560</v>
      </c>
      <c r="N125" s="214"/>
      <c r="O125" s="215">
        <f>AE125</f>
        <v>0</v>
      </c>
      <c r="P125" s="214"/>
      <c r="Q125" s="215">
        <f t="shared" ref="Q125" si="625">O125</f>
        <v>0</v>
      </c>
      <c r="R125" s="214"/>
      <c r="S125" s="215">
        <v>33580560</v>
      </c>
      <c r="T125" s="214"/>
      <c r="U125" s="215">
        <v>33580560</v>
      </c>
      <c r="V125" s="214"/>
      <c r="W125" s="215">
        <v>33580560</v>
      </c>
      <c r="X125" s="214"/>
      <c r="Y125" s="215">
        <v>154272</v>
      </c>
      <c r="Z125" s="214"/>
      <c r="AA125" s="215">
        <v>154272</v>
      </c>
      <c r="AB125" s="214"/>
      <c r="AC125" s="215">
        <v>0</v>
      </c>
      <c r="AD125" s="214"/>
      <c r="AE125" s="215">
        <v>0</v>
      </c>
      <c r="AF125" s="214"/>
      <c r="AG125" s="215">
        <v>291156</v>
      </c>
      <c r="AH125" s="214"/>
      <c r="AI125" s="215">
        <v>291156</v>
      </c>
      <c r="AJ125" s="214"/>
      <c r="AK125" s="215">
        <v>154272</v>
      </c>
      <c r="AL125" s="214"/>
      <c r="AM125" s="215">
        <v>154272</v>
      </c>
      <c r="AN125" s="214"/>
      <c r="AO125" s="215">
        <v>0</v>
      </c>
      <c r="AP125" s="214"/>
      <c r="AQ125" s="215">
        <v>0</v>
      </c>
      <c r="AR125" s="214"/>
      <c r="AS125" s="215">
        <v>0</v>
      </c>
      <c r="AT125" s="214"/>
      <c r="AU125" s="215">
        <v>0</v>
      </c>
      <c r="AV125" s="214"/>
      <c r="AW125" s="215">
        <v>0</v>
      </c>
      <c r="AX125" s="214"/>
      <c r="AY125" s="215">
        <v>0</v>
      </c>
      <c r="AZ125" s="214"/>
      <c r="BA125" s="215">
        <v>291156</v>
      </c>
      <c r="BB125" s="214"/>
      <c r="BC125" s="215">
        <v>291156</v>
      </c>
      <c r="BD125" s="214"/>
      <c r="BE125" s="215">
        <v>291156</v>
      </c>
      <c r="BF125" s="214"/>
      <c r="BG125" s="215">
        <v>291156</v>
      </c>
      <c r="BH125" s="214"/>
      <c r="BI125" s="215">
        <v>291156</v>
      </c>
      <c r="BK125" s="214"/>
      <c r="BL125" s="215">
        <v>291156</v>
      </c>
      <c r="BM125" s="214"/>
      <c r="BN125" s="215">
        <v>291156</v>
      </c>
      <c r="BO125" s="214"/>
      <c r="BP125" s="215">
        <v>291156</v>
      </c>
      <c r="BQ125" s="214"/>
      <c r="BR125" s="215">
        <v>291156</v>
      </c>
      <c r="BT125" s="214"/>
      <c r="BU125" s="215">
        <v>291156</v>
      </c>
      <c r="BV125" s="214"/>
      <c r="BW125" s="215">
        <v>291156</v>
      </c>
    </row>
    <row r="126" spans="1:75" ht="15" customHeight="1" outlineLevel="2" x14ac:dyDescent="0.45">
      <c r="A126" s="561"/>
      <c r="B126" s="1187"/>
      <c r="C126" s="211"/>
      <c r="D126" s="212"/>
      <c r="E126" s="213" t="s">
        <v>125</v>
      </c>
      <c r="F126" s="214"/>
      <c r="G126" s="215" t="e">
        <f>G125/G4</f>
        <v>#DIV/0!</v>
      </c>
      <c r="H126" s="214"/>
      <c r="I126" s="215" t="e">
        <f>I125/I4</f>
        <v>#DIV/0!</v>
      </c>
      <c r="J126" s="214"/>
      <c r="K126" s="215" t="e">
        <f t="shared" ref="K126" si="626">K125/#REF!</f>
        <v>#REF!</v>
      </c>
      <c r="L126" s="214"/>
      <c r="M126" s="215" t="e">
        <f t="shared" ref="M126" si="627">M125/#REF!</f>
        <v>#REF!</v>
      </c>
      <c r="N126" s="214"/>
      <c r="O126" s="215" t="e">
        <f>O125/O4</f>
        <v>#DIV/0!</v>
      </c>
      <c r="P126" s="214"/>
      <c r="Q126" s="215" t="e">
        <f>Q125/Q4</f>
        <v>#DIV/0!</v>
      </c>
      <c r="R126" s="214"/>
      <c r="S126" s="215" t="e">
        <f>S125/#REF!</f>
        <v>#REF!</v>
      </c>
      <c r="T126" s="214"/>
      <c r="U126" s="215" t="e">
        <f>U125/#REF!</f>
        <v>#REF!</v>
      </c>
      <c r="V126" s="214"/>
      <c r="W126" s="215" t="e">
        <f>W125/#REF!</f>
        <v>#REF!</v>
      </c>
      <c r="X126" s="214"/>
      <c r="Y126" s="215" t="e">
        <f>Y125/Y4</f>
        <v>#DIV/0!</v>
      </c>
      <c r="Z126" s="214"/>
      <c r="AA126" s="215" t="e">
        <f>AA125/AA4</f>
        <v>#DIV/0!</v>
      </c>
      <c r="AB126" s="214"/>
      <c r="AC126" s="215"/>
      <c r="AD126" s="214"/>
      <c r="AE126" s="215"/>
      <c r="AF126" s="214"/>
      <c r="AG126" s="215"/>
      <c r="AH126" s="214"/>
      <c r="AI126" s="215"/>
      <c r="AJ126" s="214"/>
      <c r="AK126" s="215" t="e">
        <f>AK125/AK4</f>
        <v>#DIV/0!</v>
      </c>
      <c r="AL126" s="214"/>
      <c r="AM126" s="215" t="e">
        <f>AM125/AM4</f>
        <v>#DIV/0!</v>
      </c>
      <c r="AN126" s="214"/>
      <c r="AO126" s="215"/>
      <c r="AP126" s="214"/>
      <c r="AQ126" s="215"/>
      <c r="AR126" s="214"/>
      <c r="AS126" s="215"/>
      <c r="AT126" s="214"/>
      <c r="AU126" s="215"/>
      <c r="AV126" s="214"/>
      <c r="AW126" s="215"/>
      <c r="AX126" s="214"/>
      <c r="AY126" s="215"/>
      <c r="AZ126" s="214"/>
      <c r="BA126" s="215"/>
      <c r="BB126" s="214"/>
      <c r="BC126" s="215"/>
      <c r="BD126" s="214"/>
      <c r="BE126" s="215"/>
      <c r="BF126" s="214"/>
      <c r="BG126" s="215"/>
      <c r="BH126" s="214"/>
      <c r="BI126" s="215"/>
      <c r="BK126" s="214"/>
      <c r="BL126" s="215"/>
      <c r="BM126" s="214"/>
      <c r="BN126" s="215"/>
      <c r="BO126" s="214"/>
      <c r="BP126" s="215"/>
      <c r="BQ126" s="214"/>
      <c r="BR126" s="215"/>
      <c r="BT126" s="214"/>
      <c r="BU126" s="215"/>
      <c r="BV126" s="214"/>
      <c r="BW126" s="215"/>
    </row>
    <row r="127" spans="1:75" outlineLevel="1" x14ac:dyDescent="0.45">
      <c r="A127" s="561"/>
      <c r="B127" s="1187"/>
      <c r="C127" s="211"/>
      <c r="D127" s="212"/>
      <c r="E127" s="213" t="s">
        <v>126</v>
      </c>
      <c r="F127" s="214"/>
      <c r="G127" s="215" t="e">
        <f>G126/G66</f>
        <v>#DIV/0!</v>
      </c>
      <c r="H127" s="214"/>
      <c r="I127" s="215" t="e">
        <f>I126/I66</f>
        <v>#DIV/0!</v>
      </c>
      <c r="J127" s="214"/>
      <c r="K127" s="215" t="e">
        <f>K126/K66</f>
        <v>#REF!</v>
      </c>
      <c r="L127" s="214"/>
      <c r="M127" s="215" t="e">
        <f>M126/M66</f>
        <v>#REF!</v>
      </c>
      <c r="N127" s="214"/>
      <c r="O127" s="215" t="e">
        <f>O126/O66</f>
        <v>#DIV/0!</v>
      </c>
      <c r="P127" s="214"/>
      <c r="Q127" s="215" t="e">
        <f>Q126/Q66</f>
        <v>#DIV/0!</v>
      </c>
      <c r="R127" s="214"/>
      <c r="S127" s="215" t="e">
        <f>S126/S66</f>
        <v>#REF!</v>
      </c>
      <c r="T127" s="214"/>
      <c r="U127" s="215" t="e">
        <f>U126/U66</f>
        <v>#REF!</v>
      </c>
      <c r="V127" s="214"/>
      <c r="W127" s="215" t="e">
        <f>W126/W66</f>
        <v>#REF!</v>
      </c>
      <c r="X127" s="214"/>
      <c r="Y127" s="215" t="e">
        <f>Y126/Y66</f>
        <v>#DIV/0!</v>
      </c>
      <c r="Z127" s="214"/>
      <c r="AA127" s="215" t="e">
        <f>AA126/AA66</f>
        <v>#DIV/0!</v>
      </c>
      <c r="AB127" s="214"/>
      <c r="AC127" s="215"/>
      <c r="AD127" s="214"/>
      <c r="AE127" s="215"/>
      <c r="AF127" s="214"/>
      <c r="AG127" s="215"/>
      <c r="AH127" s="214"/>
      <c r="AI127" s="215"/>
      <c r="AJ127" s="214"/>
      <c r="AK127" s="215" t="e">
        <f>AK126/AK66</f>
        <v>#DIV/0!</v>
      </c>
      <c r="AL127" s="214"/>
      <c r="AM127" s="215" t="e">
        <f>AM126/AM66</f>
        <v>#DIV/0!</v>
      </c>
      <c r="AN127" s="214"/>
      <c r="AO127" s="215"/>
      <c r="AP127" s="214"/>
      <c r="AQ127" s="215"/>
      <c r="AR127" s="214"/>
      <c r="AS127" s="215"/>
      <c r="AT127" s="214"/>
      <c r="AU127" s="215"/>
      <c r="AV127" s="214"/>
      <c r="AW127" s="215"/>
      <c r="AX127" s="214"/>
      <c r="AY127" s="215"/>
      <c r="AZ127" s="214"/>
      <c r="BA127" s="215"/>
      <c r="BB127" s="214"/>
      <c r="BC127" s="215"/>
      <c r="BD127" s="214"/>
      <c r="BE127" s="215"/>
      <c r="BF127" s="214"/>
      <c r="BG127" s="215"/>
      <c r="BH127" s="214"/>
      <c r="BI127" s="215"/>
      <c r="BK127" s="214"/>
      <c r="BL127" s="215"/>
      <c r="BM127" s="214"/>
      <c r="BN127" s="215"/>
      <c r="BO127" s="214"/>
      <c r="BP127" s="215"/>
      <c r="BQ127" s="214"/>
      <c r="BR127" s="215"/>
      <c r="BT127" s="214"/>
      <c r="BU127" s="215"/>
      <c r="BV127" s="214"/>
      <c r="BW127" s="215"/>
    </row>
    <row r="128" spans="1:75" outlineLevel="2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34493800</v>
      </c>
      <c r="H128" s="219"/>
      <c r="I128" s="220">
        <v>34493800</v>
      </c>
      <c r="J128" s="219"/>
      <c r="K128" s="220">
        <v>44155840</v>
      </c>
      <c r="L128" s="219"/>
      <c r="M128" s="220">
        <v>44155840</v>
      </c>
      <c r="N128" s="219"/>
      <c r="O128" s="220">
        <f>AE128</f>
        <v>0</v>
      </c>
      <c r="P128" s="219"/>
      <c r="Q128" s="220">
        <f t="shared" ref="Q128" si="628">O128</f>
        <v>0</v>
      </c>
      <c r="R128" s="219"/>
      <c r="S128" s="220">
        <v>44155840</v>
      </c>
      <c r="T128" s="219"/>
      <c r="U128" s="220">
        <v>44155840</v>
      </c>
      <c r="V128" s="219"/>
      <c r="W128" s="220">
        <v>44155840</v>
      </c>
      <c r="X128" s="219"/>
      <c r="Y128" s="220">
        <v>192132</v>
      </c>
      <c r="Z128" s="219"/>
      <c r="AA128" s="220">
        <v>192132</v>
      </c>
      <c r="AB128" s="219"/>
      <c r="AC128" s="220">
        <v>0</v>
      </c>
      <c r="AD128" s="219"/>
      <c r="AE128" s="220">
        <v>0</v>
      </c>
      <c r="AF128" s="219"/>
      <c r="AG128" s="220">
        <v>413556</v>
      </c>
      <c r="AH128" s="219"/>
      <c r="AI128" s="220">
        <v>413556</v>
      </c>
      <c r="AJ128" s="219"/>
      <c r="AK128" s="220">
        <v>192132</v>
      </c>
      <c r="AL128" s="219"/>
      <c r="AM128" s="220">
        <v>192132</v>
      </c>
      <c r="AN128" s="219"/>
      <c r="AO128" s="220">
        <v>0</v>
      </c>
      <c r="AP128" s="219"/>
      <c r="AQ128" s="220">
        <v>0</v>
      </c>
      <c r="AR128" s="219"/>
      <c r="AS128" s="220">
        <v>0</v>
      </c>
      <c r="AT128" s="219"/>
      <c r="AU128" s="220">
        <v>0</v>
      </c>
      <c r="AV128" s="219"/>
      <c r="AW128" s="220">
        <v>0</v>
      </c>
      <c r="AX128" s="219"/>
      <c r="AY128" s="220">
        <v>0</v>
      </c>
      <c r="AZ128" s="219"/>
      <c r="BA128" s="220">
        <v>413556</v>
      </c>
      <c r="BB128" s="219"/>
      <c r="BC128" s="220">
        <v>413556</v>
      </c>
      <c r="BD128" s="219"/>
      <c r="BE128" s="220">
        <v>413556</v>
      </c>
      <c r="BF128" s="219"/>
      <c r="BG128" s="220">
        <v>413556</v>
      </c>
      <c r="BH128" s="219"/>
      <c r="BI128" s="220">
        <v>413556</v>
      </c>
      <c r="BK128" s="219"/>
      <c r="BL128" s="220">
        <v>413556</v>
      </c>
      <c r="BM128" s="219"/>
      <c r="BN128" s="220">
        <v>413556</v>
      </c>
      <c r="BO128" s="219"/>
      <c r="BP128" s="220">
        <v>413556</v>
      </c>
      <c r="BQ128" s="219"/>
      <c r="BR128" s="220">
        <v>413556</v>
      </c>
      <c r="BT128" s="219"/>
      <c r="BU128" s="220">
        <v>413556</v>
      </c>
      <c r="BV128" s="219"/>
      <c r="BW128" s="220">
        <v>413556</v>
      </c>
    </row>
    <row r="129" spans="1:75" outlineLevel="2" x14ac:dyDescent="0.45">
      <c r="A129" s="561"/>
      <c r="B129" s="1187"/>
      <c r="C129" s="216"/>
      <c r="D129" s="217"/>
      <c r="E129" s="218" t="s">
        <v>125</v>
      </c>
      <c r="F129" s="219"/>
      <c r="G129" s="221" t="e">
        <f>G128/G4</f>
        <v>#DIV/0!</v>
      </c>
      <c r="H129" s="219"/>
      <c r="I129" s="221" t="e">
        <f>I128/I4</f>
        <v>#DIV/0!</v>
      </c>
      <c r="J129" s="219"/>
      <c r="K129" s="221" t="e">
        <f t="shared" ref="K129" si="629">K128/#REF!</f>
        <v>#REF!</v>
      </c>
      <c r="L129" s="219"/>
      <c r="M129" s="221" t="e">
        <f t="shared" ref="M129" si="630">M128/#REF!</f>
        <v>#REF!</v>
      </c>
      <c r="N129" s="219"/>
      <c r="O129" s="221" t="e">
        <f>O128/O4</f>
        <v>#DIV/0!</v>
      </c>
      <c r="P129" s="219"/>
      <c r="Q129" s="221" t="e">
        <f>Q128/Q4</f>
        <v>#DIV/0!</v>
      </c>
      <c r="R129" s="219"/>
      <c r="S129" s="221" t="e">
        <f>S128/#REF!</f>
        <v>#REF!</v>
      </c>
      <c r="T129" s="219"/>
      <c r="U129" s="221" t="e">
        <f>U128/#REF!</f>
        <v>#REF!</v>
      </c>
      <c r="V129" s="219"/>
      <c r="W129" s="221" t="e">
        <f>W128/#REF!</f>
        <v>#REF!</v>
      </c>
      <c r="X129" s="219"/>
      <c r="Y129" s="221" t="e">
        <f>Y128/Y4</f>
        <v>#DIV/0!</v>
      </c>
      <c r="Z129" s="219"/>
      <c r="AA129" s="221" t="e">
        <f>AA128/AA4</f>
        <v>#DIV/0!</v>
      </c>
      <c r="AB129" s="219"/>
      <c r="AC129" s="221" t="e">
        <f>AC128/AC4</f>
        <v>#DIV/0!</v>
      </c>
      <c r="AD129" s="219"/>
      <c r="AE129" s="221" t="e">
        <f>AE128/AE4</f>
        <v>#DIV/0!</v>
      </c>
      <c r="AF129" s="219"/>
      <c r="AG129" s="221" t="e">
        <f>AG128/AG4</f>
        <v>#DIV/0!</v>
      </c>
      <c r="AH129" s="219"/>
      <c r="AI129" s="221" t="e">
        <f>AI128/AI4</f>
        <v>#DIV/0!</v>
      </c>
      <c r="AJ129" s="219"/>
      <c r="AK129" s="221" t="e">
        <f>AK128/AK4</f>
        <v>#DIV/0!</v>
      </c>
      <c r="AL129" s="219"/>
      <c r="AM129" s="221" t="e">
        <f>AM128/AM4</f>
        <v>#DIV/0!</v>
      </c>
      <c r="AN129" s="219"/>
      <c r="AO129" s="221" t="e">
        <f>AO128/AO4</f>
        <v>#DIV/0!</v>
      </c>
      <c r="AP129" s="219"/>
      <c r="AQ129" s="221" t="e">
        <f>AQ128/AQ4</f>
        <v>#DIV/0!</v>
      </c>
      <c r="AR129" s="219"/>
      <c r="AS129" s="221" t="e">
        <f>AS128/AS4</f>
        <v>#DIV/0!</v>
      </c>
      <c r="AT129" s="219"/>
      <c r="AU129" s="221" t="e">
        <f>AU128/AU4</f>
        <v>#DIV/0!</v>
      </c>
      <c r="AV129" s="219"/>
      <c r="AW129" s="221" t="e">
        <f>AW128/AW4</f>
        <v>#DIV/0!</v>
      </c>
      <c r="AX129" s="219"/>
      <c r="AY129" s="221" t="e">
        <f>AY128/AY4</f>
        <v>#DIV/0!</v>
      </c>
      <c r="AZ129" s="219"/>
      <c r="BA129" s="221" t="e">
        <f>BA128/BA4</f>
        <v>#DIV/0!</v>
      </c>
      <c r="BB129" s="219"/>
      <c r="BC129" s="221" t="e">
        <f>BC128/BC4</f>
        <v>#DIV/0!</v>
      </c>
      <c r="BD129" s="219"/>
      <c r="BE129" s="221" t="e">
        <f>BE128/BE4</f>
        <v>#DIV/0!</v>
      </c>
      <c r="BF129" s="219"/>
      <c r="BG129" s="221" t="e">
        <f>BG128/BG4</f>
        <v>#DIV/0!</v>
      </c>
      <c r="BH129" s="219"/>
      <c r="BI129" s="221" t="e">
        <f>BI128/BI4</f>
        <v>#DIV/0!</v>
      </c>
      <c r="BK129" s="219"/>
      <c r="BL129" s="221" t="e">
        <f>BL128/BL4</f>
        <v>#DIV/0!</v>
      </c>
      <c r="BM129" s="219"/>
      <c r="BN129" s="221" t="e">
        <f>BN128/BN4</f>
        <v>#DIV/0!</v>
      </c>
      <c r="BO129" s="219"/>
      <c r="BP129" s="221" t="e">
        <f>BP128/BP4</f>
        <v>#DIV/0!</v>
      </c>
      <c r="BQ129" s="219"/>
      <c r="BR129" s="221" t="e">
        <f>BR128/BR4</f>
        <v>#DIV/0!</v>
      </c>
      <c r="BT129" s="219"/>
      <c r="BU129" s="221" t="e">
        <f>BU128/BU4</f>
        <v>#DIV/0!</v>
      </c>
      <c r="BV129" s="219"/>
      <c r="BW129" s="221" t="e">
        <f>BW128/BW4</f>
        <v>#DIV/0!</v>
      </c>
    </row>
    <row r="130" spans="1:75" ht="14.65" customHeight="1" outlineLevel="3" x14ac:dyDescent="0.45">
      <c r="A130" s="561"/>
      <c r="B130" s="1187"/>
      <c r="C130" s="216"/>
      <c r="D130" s="217"/>
      <c r="E130" s="218" t="s">
        <v>126</v>
      </c>
      <c r="F130" s="222"/>
      <c r="G130" s="220" t="e">
        <f>G129/G66</f>
        <v>#DIV/0!</v>
      </c>
      <c r="H130" s="222"/>
      <c r="I130" s="220" t="e">
        <f>I129/I66</f>
        <v>#DIV/0!</v>
      </c>
      <c r="J130" s="222"/>
      <c r="K130" s="220" t="e">
        <f>K129/K66</f>
        <v>#REF!</v>
      </c>
      <c r="L130" s="222"/>
      <c r="M130" s="220" t="e">
        <f>M129/M66</f>
        <v>#REF!</v>
      </c>
      <c r="N130" s="222"/>
      <c r="O130" s="220" t="e">
        <f>O129/O66</f>
        <v>#DIV/0!</v>
      </c>
      <c r="P130" s="222"/>
      <c r="Q130" s="220" t="e">
        <f>Q129/Q66</f>
        <v>#DIV/0!</v>
      </c>
      <c r="R130" s="222"/>
      <c r="S130" s="220" t="e">
        <f>S129/S66</f>
        <v>#REF!</v>
      </c>
      <c r="T130" s="222"/>
      <c r="U130" s="220" t="e">
        <f>U129/U66</f>
        <v>#REF!</v>
      </c>
      <c r="V130" s="222"/>
      <c r="W130" s="220" t="e">
        <f>W129/W66</f>
        <v>#REF!</v>
      </c>
      <c r="X130" s="222"/>
      <c r="Y130" s="220" t="e">
        <f>Y129/Y66</f>
        <v>#DIV/0!</v>
      </c>
      <c r="Z130" s="222"/>
      <c r="AA130" s="220" t="e">
        <f>AA129/AA66</f>
        <v>#DIV/0!</v>
      </c>
      <c r="AB130" s="222"/>
      <c r="AC130" s="220" t="e">
        <f>AC129/AC66</f>
        <v>#DIV/0!</v>
      </c>
      <c r="AD130" s="222"/>
      <c r="AE130" s="220" t="e">
        <f>AE129/AE66</f>
        <v>#DIV/0!</v>
      </c>
      <c r="AF130" s="222"/>
      <c r="AG130" s="220" t="e">
        <f>AG129/AG66</f>
        <v>#DIV/0!</v>
      </c>
      <c r="AH130" s="222"/>
      <c r="AI130" s="220" t="e">
        <f>AI129/AI66</f>
        <v>#DIV/0!</v>
      </c>
      <c r="AJ130" s="222"/>
      <c r="AK130" s="220" t="e">
        <f>AK129/AK66</f>
        <v>#DIV/0!</v>
      </c>
      <c r="AL130" s="222"/>
      <c r="AM130" s="220" t="e">
        <f>AM129/AM66</f>
        <v>#DIV/0!</v>
      </c>
      <c r="AN130" s="222"/>
      <c r="AO130" s="220" t="e">
        <f>AO129/AO66</f>
        <v>#DIV/0!</v>
      </c>
      <c r="AP130" s="222"/>
      <c r="AQ130" s="220" t="e">
        <f>AQ129/AQ66</f>
        <v>#DIV/0!</v>
      </c>
      <c r="AR130" s="222"/>
      <c r="AS130" s="220" t="e">
        <f>AS129/AS66</f>
        <v>#DIV/0!</v>
      </c>
      <c r="AT130" s="222"/>
      <c r="AU130" s="220" t="e">
        <f>AU129/AU66</f>
        <v>#DIV/0!</v>
      </c>
      <c r="AV130" s="222"/>
      <c r="AW130" s="220" t="e">
        <f>AW129/AW66</f>
        <v>#DIV/0!</v>
      </c>
      <c r="AX130" s="222"/>
      <c r="AY130" s="220" t="e">
        <f>AY129/AY66</f>
        <v>#DIV/0!</v>
      </c>
      <c r="AZ130" s="222"/>
      <c r="BA130" s="220" t="e">
        <f>BA129/BA66</f>
        <v>#DIV/0!</v>
      </c>
      <c r="BB130" s="222"/>
      <c r="BC130" s="220" t="e">
        <f>BC129/BC66</f>
        <v>#DIV/0!</v>
      </c>
      <c r="BD130" s="222"/>
      <c r="BE130" s="220" t="e">
        <f>BE129/BE66</f>
        <v>#DIV/0!</v>
      </c>
      <c r="BF130" s="222"/>
      <c r="BG130" s="220" t="e">
        <f>BG129/BG66</f>
        <v>#DIV/0!</v>
      </c>
      <c r="BH130" s="222"/>
      <c r="BI130" s="220" t="e">
        <f>BI129/BI66</f>
        <v>#DIV/0!</v>
      </c>
      <c r="BK130" s="222"/>
      <c r="BL130" s="220" t="e">
        <f>BL129/BL66</f>
        <v>#DIV/0!</v>
      </c>
      <c r="BM130" s="222"/>
      <c r="BN130" s="220" t="e">
        <f>BN129/BN66</f>
        <v>#DIV/0!</v>
      </c>
      <c r="BO130" s="222"/>
      <c r="BP130" s="220" t="e">
        <f>BP129/BP66</f>
        <v>#DIV/0!</v>
      </c>
      <c r="BQ130" s="222"/>
      <c r="BR130" s="220" t="e">
        <f>BR129/BR66</f>
        <v>#DIV/0!</v>
      </c>
      <c r="BT130" s="222"/>
      <c r="BU130" s="220" t="e">
        <f>BU129/BU66</f>
        <v>#DIV/0!</v>
      </c>
      <c r="BV130" s="222"/>
      <c r="BW130" s="220" t="e">
        <f>BW129/BW66</f>
        <v>#DIV/0!</v>
      </c>
    </row>
    <row r="131" spans="1:75" ht="14.65" customHeight="1" outlineLevel="3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 t="e">
        <f>#REF!</f>
        <v>#REF!</v>
      </c>
      <c r="H131" s="585"/>
      <c r="I131" s="586" t="e">
        <f>#REF!</f>
        <v>#REF!</v>
      </c>
      <c r="J131" s="585"/>
      <c r="K131" s="586" t="e">
        <f>#REF!</f>
        <v>#REF!</v>
      </c>
      <c r="L131" s="585"/>
      <c r="M131" s="586" t="e">
        <f>#REF!</f>
        <v>#REF!</v>
      </c>
      <c r="N131" s="585"/>
      <c r="O131" s="586" t="e">
        <f>#REF!</f>
        <v>#REF!</v>
      </c>
      <c r="P131" s="585"/>
      <c r="Q131" s="586" t="e">
        <f>#REF!</f>
        <v>#REF!</v>
      </c>
      <c r="R131" s="585"/>
      <c r="S131" s="586" t="e">
        <f>#REF!</f>
        <v>#REF!</v>
      </c>
      <c r="T131" s="585"/>
      <c r="U131" s="586" t="e">
        <f>#REF!</f>
        <v>#REF!</v>
      </c>
      <c r="V131" s="585"/>
      <c r="W131" s="586" t="e">
        <f>#REF!</f>
        <v>#REF!</v>
      </c>
      <c r="X131" s="585"/>
      <c r="Y131" s="586" t="e">
        <f>#REF!</f>
        <v>#REF!</v>
      </c>
      <c r="Z131" s="585"/>
      <c r="AA131" s="586">
        <v>0</v>
      </c>
      <c r="AB131" s="585"/>
      <c r="AC131" s="586">
        <v>0</v>
      </c>
      <c r="AD131" s="585"/>
      <c r="AE131" s="586">
        <v>0</v>
      </c>
      <c r="AF131" s="585"/>
      <c r="AG131" s="586" t="e">
        <f>#REF!</f>
        <v>#REF!</v>
      </c>
      <c r="AH131" s="585"/>
      <c r="AI131" s="586" t="e">
        <f>#REF!</f>
        <v>#REF!</v>
      </c>
      <c r="AJ131" s="585"/>
      <c r="AK131" s="586" t="e">
        <f>#REF!</f>
        <v>#REF!</v>
      </c>
      <c r="AL131" s="585"/>
      <c r="AM131" s="586">
        <v>0</v>
      </c>
      <c r="AN131" s="585"/>
      <c r="AO131" s="586">
        <v>0</v>
      </c>
      <c r="AP131" s="585"/>
      <c r="AQ131" s="586">
        <v>0</v>
      </c>
      <c r="AR131" s="585"/>
      <c r="AS131" s="586">
        <v>0</v>
      </c>
      <c r="AT131" s="585"/>
      <c r="AU131" s="586">
        <v>0</v>
      </c>
      <c r="AV131" s="585"/>
      <c r="AW131" s="586">
        <v>0</v>
      </c>
      <c r="AX131" s="585"/>
      <c r="AY131" s="586">
        <v>0</v>
      </c>
      <c r="AZ131" s="585"/>
      <c r="BA131" s="586">
        <f>'[13]Sales Volume'!Z4</f>
        <v>0</v>
      </c>
      <c r="BB131" s="585"/>
      <c r="BC131" s="586">
        <f>'[13]Sales Volume'!AB4</f>
        <v>0</v>
      </c>
      <c r="BD131" s="585"/>
      <c r="BE131" s="586">
        <f>'[13]Sales Volume'!AD4</f>
        <v>0</v>
      </c>
      <c r="BF131" s="585"/>
      <c r="BG131" s="586">
        <f>'[13]Sales Volume'!AF4</f>
        <v>0</v>
      </c>
      <c r="BH131" s="585"/>
      <c r="BI131" s="586">
        <f>'[13]Sales Volume'!AD4</f>
        <v>0</v>
      </c>
      <c r="BK131" s="585"/>
      <c r="BL131" s="586">
        <f>'[13]Sales Volume'!AG4</f>
        <v>0</v>
      </c>
      <c r="BM131" s="585"/>
      <c r="BN131" s="586">
        <f>'[13]Sales Volume'!AI4</f>
        <v>0</v>
      </c>
      <c r="BO131" s="585"/>
      <c r="BP131" s="586">
        <f>'[13]Sales Volume'!AK4</f>
        <v>0</v>
      </c>
      <c r="BQ131" s="585"/>
      <c r="BR131" s="586">
        <f>'[13]Sales Volume'!AM4</f>
        <v>0</v>
      </c>
      <c r="BT131" s="585"/>
      <c r="BU131" s="586">
        <f>'[13]Sales Volume'!AG4</f>
        <v>0</v>
      </c>
      <c r="BV131" s="585"/>
      <c r="BW131" s="586">
        <f>'[13]Sales Volume'!AI4</f>
        <v>0</v>
      </c>
    </row>
    <row r="132" spans="1:75" ht="14.65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 t="e">
        <f>G131/G4</f>
        <v>#REF!</v>
      </c>
      <c r="H132" s="585"/>
      <c r="I132" s="586" t="e">
        <f>I131/I4</f>
        <v>#REF!</v>
      </c>
      <c r="J132" s="585"/>
      <c r="K132" s="586" t="e">
        <f>K131/#REF!</f>
        <v>#REF!</v>
      </c>
      <c r="L132" s="585"/>
      <c r="M132" s="586" t="e">
        <f>M131/#REF!</f>
        <v>#REF!</v>
      </c>
      <c r="N132" s="585"/>
      <c r="O132" s="586" t="e">
        <f>O131/O4</f>
        <v>#REF!</v>
      </c>
      <c r="P132" s="585"/>
      <c r="Q132" s="586" t="e">
        <f>Q131/Q4</f>
        <v>#REF!</v>
      </c>
      <c r="R132" s="585"/>
      <c r="S132" s="586" t="e">
        <f>S131/#REF!</f>
        <v>#REF!</v>
      </c>
      <c r="T132" s="585"/>
      <c r="U132" s="586" t="e">
        <f>U131/#REF!</f>
        <v>#REF!</v>
      </c>
      <c r="V132" s="585"/>
      <c r="W132" s="586" t="e">
        <f>W131/#REF!</f>
        <v>#REF!</v>
      </c>
      <c r="X132" s="585"/>
      <c r="Y132" s="586" t="e">
        <f>Y131/Y4</f>
        <v>#REF!</v>
      </c>
      <c r="Z132" s="585"/>
      <c r="AA132" s="586" t="e">
        <f>AA131/AA4</f>
        <v>#DIV/0!</v>
      </c>
      <c r="AB132" s="585"/>
      <c r="AC132" s="586" t="e">
        <f>AC131/AC4</f>
        <v>#DIV/0!</v>
      </c>
      <c r="AD132" s="585"/>
      <c r="AE132" s="586" t="e">
        <f>AE131/AE4</f>
        <v>#DIV/0!</v>
      </c>
      <c r="AF132" s="585"/>
      <c r="AG132" s="586" t="e">
        <f>AG131/AG4</f>
        <v>#REF!</v>
      </c>
      <c r="AH132" s="585"/>
      <c r="AI132" s="586" t="e">
        <f>AI131/AI4</f>
        <v>#REF!</v>
      </c>
      <c r="AJ132" s="585"/>
      <c r="AK132" s="586" t="e">
        <f>AK131/AK4</f>
        <v>#REF!</v>
      </c>
      <c r="AL132" s="585"/>
      <c r="AM132" s="586" t="e">
        <f>AM131/AM4</f>
        <v>#DIV/0!</v>
      </c>
      <c r="AN132" s="585"/>
      <c r="AO132" s="586" t="e">
        <f>AO131/AO4</f>
        <v>#DIV/0!</v>
      </c>
      <c r="AP132" s="585"/>
      <c r="AQ132" s="586" t="e">
        <f>AQ131/AQ4</f>
        <v>#DIV/0!</v>
      </c>
      <c r="AR132" s="585"/>
      <c r="AS132" s="586" t="e">
        <f>AS131/AS4</f>
        <v>#DIV/0!</v>
      </c>
      <c r="AT132" s="585"/>
      <c r="AU132" s="586" t="e">
        <f>AU131/AU4</f>
        <v>#DIV/0!</v>
      </c>
      <c r="AV132" s="585"/>
      <c r="AW132" s="586" t="e">
        <f>AW131/AW4</f>
        <v>#DIV/0!</v>
      </c>
      <c r="AX132" s="585"/>
      <c r="AY132" s="586" t="e">
        <f>AY131/AY4</f>
        <v>#DIV/0!</v>
      </c>
      <c r="AZ132" s="585"/>
      <c r="BA132" s="586" t="e">
        <f>BA131/BA4</f>
        <v>#DIV/0!</v>
      </c>
      <c r="BB132" s="585"/>
      <c r="BC132" s="586" t="e">
        <f>BC131/BC4</f>
        <v>#DIV/0!</v>
      </c>
      <c r="BD132" s="585"/>
      <c r="BE132" s="586" t="e">
        <f>BE131/BE4</f>
        <v>#DIV/0!</v>
      </c>
      <c r="BF132" s="585"/>
      <c r="BG132" s="586" t="e">
        <f>BG131/BG4</f>
        <v>#DIV/0!</v>
      </c>
      <c r="BH132" s="585"/>
      <c r="BI132" s="586" t="e">
        <f>BI131/BI4</f>
        <v>#DIV/0!</v>
      </c>
      <c r="BK132" s="585"/>
      <c r="BL132" s="586" t="e">
        <f>BL131/BL4</f>
        <v>#DIV/0!</v>
      </c>
      <c r="BM132" s="585"/>
      <c r="BN132" s="586" t="e">
        <f>BN131/BN4</f>
        <v>#DIV/0!</v>
      </c>
      <c r="BO132" s="585"/>
      <c r="BP132" s="586" t="e">
        <f>BP131/BP4</f>
        <v>#DIV/0!</v>
      </c>
      <c r="BQ132" s="585"/>
      <c r="BR132" s="586" t="e">
        <f>BR131/BR4</f>
        <v>#DIV/0!</v>
      </c>
      <c r="BT132" s="585"/>
      <c r="BU132" s="586" t="e">
        <f>BU131/BU4</f>
        <v>#DIV/0!</v>
      </c>
      <c r="BV132" s="585"/>
      <c r="BW132" s="586" t="e">
        <f>BW131/BW4</f>
        <v>#DIV/0!</v>
      </c>
    </row>
    <row r="133" spans="1:75" outlineLevel="2" x14ac:dyDescent="0.45">
      <c r="A133" s="561"/>
      <c r="B133" s="1187"/>
      <c r="C133" s="582"/>
      <c r="D133" s="583"/>
      <c r="E133" s="584" t="s">
        <v>126</v>
      </c>
      <c r="F133" s="585"/>
      <c r="G133" s="586" t="e">
        <f>G132/G66</f>
        <v>#REF!</v>
      </c>
      <c r="H133" s="585"/>
      <c r="I133" s="586" t="e">
        <f>I132/I66</f>
        <v>#REF!</v>
      </c>
      <c r="J133" s="585"/>
      <c r="K133" s="586" t="e">
        <f>K132/K66</f>
        <v>#REF!</v>
      </c>
      <c r="L133" s="585"/>
      <c r="M133" s="586" t="e">
        <f>M132/M66</f>
        <v>#REF!</v>
      </c>
      <c r="N133" s="585"/>
      <c r="O133" s="586" t="e">
        <f>O132/O66</f>
        <v>#REF!</v>
      </c>
      <c r="P133" s="585"/>
      <c r="Q133" s="586" t="e">
        <f>Q132/Q66</f>
        <v>#REF!</v>
      </c>
      <c r="R133" s="585"/>
      <c r="S133" s="586" t="e">
        <f>S132/S66</f>
        <v>#REF!</v>
      </c>
      <c r="T133" s="585"/>
      <c r="U133" s="586" t="e">
        <f>U132/U66</f>
        <v>#REF!</v>
      </c>
      <c r="V133" s="585"/>
      <c r="W133" s="586" t="e">
        <f>W132/W66</f>
        <v>#REF!</v>
      </c>
      <c r="X133" s="585"/>
      <c r="Y133" s="586" t="e">
        <f>Y132/Y66</f>
        <v>#REF!</v>
      </c>
      <c r="Z133" s="585"/>
      <c r="AA133" s="586" t="e">
        <f>AA132/AA66</f>
        <v>#DIV/0!</v>
      </c>
      <c r="AB133" s="585"/>
      <c r="AC133" s="586" t="e">
        <f>AC132/AC66</f>
        <v>#DIV/0!</v>
      </c>
      <c r="AD133" s="585"/>
      <c r="AE133" s="586" t="e">
        <f>AE132/AE66</f>
        <v>#DIV/0!</v>
      </c>
      <c r="AF133" s="585"/>
      <c r="AG133" s="586" t="e">
        <f>AG132/AG66</f>
        <v>#REF!</v>
      </c>
      <c r="AH133" s="585"/>
      <c r="AI133" s="586" t="e">
        <f>AI132/AI66</f>
        <v>#REF!</v>
      </c>
      <c r="AJ133" s="585"/>
      <c r="AK133" s="586" t="e">
        <f>AK132/AK66</f>
        <v>#REF!</v>
      </c>
      <c r="AL133" s="585"/>
      <c r="AM133" s="586" t="e">
        <f>AM132/AM66</f>
        <v>#DIV/0!</v>
      </c>
      <c r="AN133" s="585"/>
      <c r="AO133" s="586" t="e">
        <f>AO132/AO66</f>
        <v>#DIV/0!</v>
      </c>
      <c r="AP133" s="585"/>
      <c r="AQ133" s="586" t="e">
        <f>AQ132/AQ66</f>
        <v>#DIV/0!</v>
      </c>
      <c r="AR133" s="585"/>
      <c r="AS133" s="586" t="e">
        <f>AS132/AS66</f>
        <v>#DIV/0!</v>
      </c>
      <c r="AT133" s="585"/>
      <c r="AU133" s="586" t="e">
        <f>AU132/AU66</f>
        <v>#DIV/0!</v>
      </c>
      <c r="AV133" s="585"/>
      <c r="AW133" s="586" t="e">
        <f>AW132/AW66</f>
        <v>#DIV/0!</v>
      </c>
      <c r="AX133" s="585"/>
      <c r="AY133" s="586" t="e">
        <f>AY132/AY66</f>
        <v>#DIV/0!</v>
      </c>
      <c r="AZ133" s="585"/>
      <c r="BA133" s="586" t="e">
        <f>BA132/BA66</f>
        <v>#DIV/0!</v>
      </c>
      <c r="BB133" s="585"/>
      <c r="BC133" s="586" t="e">
        <f>BC132/BC66</f>
        <v>#DIV/0!</v>
      </c>
      <c r="BD133" s="585"/>
      <c r="BE133" s="586" t="e">
        <f>BE132/BE66</f>
        <v>#DIV/0!</v>
      </c>
      <c r="BF133" s="585"/>
      <c r="BG133" s="586" t="e">
        <f>BG132/BG66</f>
        <v>#DIV/0!</v>
      </c>
      <c r="BH133" s="585"/>
      <c r="BI133" s="586" t="e">
        <f>BI132/BI66</f>
        <v>#DIV/0!</v>
      </c>
      <c r="BK133" s="585"/>
      <c r="BL133" s="586" t="e">
        <f>BL132/BL66</f>
        <v>#DIV/0!</v>
      </c>
      <c r="BM133" s="585"/>
      <c r="BN133" s="586" t="e">
        <f>BN132/BN66</f>
        <v>#DIV/0!</v>
      </c>
      <c r="BO133" s="585"/>
      <c r="BP133" s="586" t="e">
        <f>BP132/BP66</f>
        <v>#DIV/0!</v>
      </c>
      <c r="BQ133" s="585"/>
      <c r="BR133" s="586" t="e">
        <f>BR132/BR66</f>
        <v>#DIV/0!</v>
      </c>
      <c r="BT133" s="585"/>
      <c r="BU133" s="586" t="e">
        <f>BU132/BU66</f>
        <v>#DIV/0!</v>
      </c>
      <c r="BV133" s="585"/>
      <c r="BW133" s="586" t="e">
        <f>BW132/BW66</f>
        <v>#DIV/0!</v>
      </c>
    </row>
    <row r="134" spans="1:75" outlineLevel="2" x14ac:dyDescent="0.45">
      <c r="A134" s="561"/>
      <c r="B134" s="1187"/>
      <c r="C134" s="223"/>
      <c r="D134" s="175"/>
      <c r="E134" s="176"/>
      <c r="F134" s="375"/>
      <c r="G134" s="376"/>
      <c r="H134" s="375"/>
      <c r="I134" s="376"/>
      <c r="J134" s="375"/>
      <c r="K134" s="376"/>
      <c r="L134" s="375"/>
      <c r="M134" s="376"/>
      <c r="N134" s="375"/>
      <c r="O134" s="376"/>
      <c r="P134" s="375"/>
      <c r="Q134" s="376"/>
      <c r="R134" s="375"/>
      <c r="S134" s="376"/>
      <c r="T134" s="375"/>
      <c r="U134" s="376"/>
      <c r="V134" s="375"/>
      <c r="W134" s="376"/>
      <c r="X134" s="375"/>
      <c r="Y134" s="376"/>
      <c r="Z134" s="375"/>
      <c r="AA134" s="376"/>
      <c r="AB134" s="375"/>
      <c r="AC134" s="376"/>
      <c r="AD134" s="375"/>
      <c r="AE134" s="376"/>
      <c r="AF134" s="177"/>
      <c r="AG134" s="178"/>
      <c r="AH134" s="177"/>
      <c r="AI134" s="178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177"/>
      <c r="BA134" s="178"/>
      <c r="BB134" s="177"/>
      <c r="BC134" s="178"/>
      <c r="BD134" s="177"/>
      <c r="BE134" s="178"/>
      <c r="BF134" s="177"/>
      <c r="BG134" s="178"/>
      <c r="BH134" s="177"/>
      <c r="BI134" s="178"/>
      <c r="BK134" s="177"/>
      <c r="BL134" s="178"/>
      <c r="BM134" s="177"/>
      <c r="BN134" s="178"/>
      <c r="BO134" s="177"/>
      <c r="BP134" s="178"/>
      <c r="BQ134" s="177"/>
      <c r="BR134" s="178"/>
      <c r="BT134" s="177"/>
      <c r="BU134" s="178"/>
      <c r="BV134" s="177"/>
      <c r="BW134" s="178"/>
    </row>
    <row r="135" spans="1:75" outlineLevel="2" x14ac:dyDescent="0.45">
      <c r="A135" s="561"/>
      <c r="B135" s="1187"/>
      <c r="C135" s="161" t="s">
        <v>127</v>
      </c>
      <c r="D135" s="162"/>
      <c r="E135" s="179" t="s">
        <v>128</v>
      </c>
      <c r="F135" s="380"/>
      <c r="G135" s="384">
        <f>G64</f>
        <v>1207</v>
      </c>
      <c r="H135" s="380"/>
      <c r="I135" s="384">
        <f>I64</f>
        <v>750</v>
      </c>
      <c r="J135" s="380"/>
      <c r="K135" s="384">
        <f>K64</f>
        <v>1200</v>
      </c>
      <c r="L135" s="380"/>
      <c r="M135" s="384">
        <f>M64</f>
        <v>750</v>
      </c>
      <c r="N135" s="380"/>
      <c r="O135" s="384">
        <f>O64</f>
        <v>1200</v>
      </c>
      <c r="P135" s="380"/>
      <c r="Q135" s="384">
        <f>Q64</f>
        <v>750</v>
      </c>
      <c r="R135" s="380"/>
      <c r="S135" s="384">
        <f>S64</f>
        <v>750</v>
      </c>
      <c r="T135" s="380"/>
      <c r="U135" s="384">
        <f>U64</f>
        <v>750</v>
      </c>
      <c r="V135" s="380"/>
      <c r="W135" s="384">
        <f>W64</f>
        <v>750</v>
      </c>
      <c r="X135" s="380"/>
      <c r="Y135" s="384">
        <f>Y64</f>
        <v>1200</v>
      </c>
      <c r="Z135" s="380"/>
      <c r="AA135" s="384">
        <f>AA64</f>
        <v>750</v>
      </c>
      <c r="AB135" s="380"/>
      <c r="AC135" s="384">
        <v>1200</v>
      </c>
      <c r="AD135" s="380"/>
      <c r="AE135" s="384">
        <f>AE64</f>
        <v>750</v>
      </c>
      <c r="AF135" s="180"/>
      <c r="AG135" s="384">
        <f>AG64</f>
        <v>1200</v>
      </c>
      <c r="AH135" s="180"/>
      <c r="AI135" s="384">
        <f>AI64</f>
        <v>750</v>
      </c>
      <c r="AJ135" s="380"/>
      <c r="AK135" s="384">
        <f>AK64</f>
        <v>1200</v>
      </c>
      <c r="AL135" s="380"/>
      <c r="AM135" s="384">
        <f>AM64</f>
        <v>750</v>
      </c>
      <c r="AN135" s="380"/>
      <c r="AO135" s="384">
        <v>1200</v>
      </c>
      <c r="AP135" s="380"/>
      <c r="AQ135" s="384">
        <f>AQ64</f>
        <v>750</v>
      </c>
      <c r="AR135" s="380"/>
      <c r="AS135" s="384">
        <v>1200</v>
      </c>
      <c r="AT135" s="380"/>
      <c r="AU135" s="384">
        <f>AU64</f>
        <v>750</v>
      </c>
      <c r="AV135" s="380"/>
      <c r="AW135" s="384">
        <v>1200</v>
      </c>
      <c r="AX135" s="380"/>
      <c r="AY135" s="384">
        <f>AY64</f>
        <v>750</v>
      </c>
      <c r="AZ135" s="180"/>
      <c r="BA135" s="384">
        <f>BA64</f>
        <v>750</v>
      </c>
      <c r="BB135" s="180"/>
      <c r="BC135" s="384">
        <f>BC64</f>
        <v>750</v>
      </c>
      <c r="BD135" s="180"/>
      <c r="BE135" s="384">
        <f>BE64</f>
        <v>750</v>
      </c>
      <c r="BF135" s="180"/>
      <c r="BG135" s="384">
        <f>BG64</f>
        <v>750</v>
      </c>
      <c r="BH135" s="180"/>
      <c r="BI135" s="384">
        <f>BI64</f>
        <v>750</v>
      </c>
      <c r="BK135" s="180"/>
      <c r="BL135" s="384">
        <f>BL64</f>
        <v>750</v>
      </c>
      <c r="BM135" s="180"/>
      <c r="BN135" s="384">
        <f>BN64</f>
        <v>750</v>
      </c>
      <c r="BO135" s="180"/>
      <c r="BP135" s="384">
        <f>BP64</f>
        <v>750</v>
      </c>
      <c r="BQ135" s="180"/>
      <c r="BR135" s="384">
        <f>BR64</f>
        <v>750</v>
      </c>
      <c r="BT135" s="180"/>
      <c r="BU135" s="384">
        <f>BU64</f>
        <v>750</v>
      </c>
      <c r="BV135" s="180"/>
      <c r="BW135" s="384">
        <f>BW64</f>
        <v>750</v>
      </c>
    </row>
    <row r="136" spans="1:75" outlineLevel="1" x14ac:dyDescent="0.45">
      <c r="A136" s="561"/>
      <c r="B136" s="1187"/>
      <c r="C136" s="161" t="s">
        <v>388</v>
      </c>
      <c r="D136" s="162"/>
      <c r="E136" s="179"/>
      <c r="F136" s="380"/>
      <c r="G136" s="384">
        <v>105</v>
      </c>
      <c r="H136" s="380"/>
      <c r="I136" s="384">
        <v>105</v>
      </c>
      <c r="J136" s="380"/>
      <c r="K136" s="384">
        <v>105</v>
      </c>
      <c r="L136" s="380"/>
      <c r="M136" s="384">
        <v>105</v>
      </c>
      <c r="N136" s="380"/>
      <c r="O136" s="384">
        <v>105</v>
      </c>
      <c r="P136" s="380"/>
      <c r="Q136" s="384">
        <v>105</v>
      </c>
      <c r="R136" s="380"/>
      <c r="S136" s="384">
        <v>105</v>
      </c>
      <c r="T136" s="380"/>
      <c r="U136" s="384">
        <v>105</v>
      </c>
      <c r="V136" s="380"/>
      <c r="W136" s="384">
        <v>105</v>
      </c>
      <c r="X136" s="380"/>
      <c r="Y136" s="384">
        <v>105</v>
      </c>
      <c r="Z136" s="380"/>
      <c r="AA136" s="384">
        <v>105</v>
      </c>
      <c r="AB136" s="380"/>
      <c r="AC136" s="384">
        <v>105</v>
      </c>
      <c r="AD136" s="380"/>
      <c r="AE136" s="384">
        <v>105</v>
      </c>
      <c r="AF136" s="380"/>
      <c r="AG136" s="384">
        <v>105</v>
      </c>
      <c r="AH136" s="380"/>
      <c r="AI136" s="384">
        <v>105</v>
      </c>
      <c r="AJ136" s="380"/>
      <c r="AK136" s="384">
        <v>105</v>
      </c>
      <c r="AL136" s="380"/>
      <c r="AM136" s="384">
        <v>105</v>
      </c>
      <c r="AN136" s="384"/>
      <c r="AO136" s="384">
        <v>105</v>
      </c>
      <c r="AP136" s="384"/>
      <c r="AQ136" s="384">
        <v>105</v>
      </c>
      <c r="AR136" s="380"/>
      <c r="AS136" s="384">
        <f>AQ136</f>
        <v>105</v>
      </c>
      <c r="AT136" s="380"/>
      <c r="AU136" s="384">
        <f>AW136</f>
        <v>105</v>
      </c>
      <c r="AV136" s="380"/>
      <c r="AW136" s="384">
        <f>AS136</f>
        <v>105</v>
      </c>
      <c r="AX136" s="380"/>
      <c r="AY136" s="384">
        <f>AU136</f>
        <v>105</v>
      </c>
      <c r="AZ136" s="380"/>
      <c r="BA136" s="384">
        <v>105</v>
      </c>
      <c r="BB136" s="380"/>
      <c r="BC136" s="384">
        <v>200</v>
      </c>
      <c r="BD136" s="380"/>
      <c r="BE136" s="384">
        <v>61.756756756756758</v>
      </c>
      <c r="BF136" s="380"/>
      <c r="BG136" s="384">
        <v>15</v>
      </c>
      <c r="BH136" s="380"/>
      <c r="BI136" s="384">
        <v>7</v>
      </c>
      <c r="BK136" s="380"/>
      <c r="BL136" s="384">
        <v>7</v>
      </c>
      <c r="BM136" s="380"/>
      <c r="BN136" s="384">
        <v>61.756756756756758</v>
      </c>
      <c r="BO136" s="380"/>
      <c r="BP136" s="384">
        <v>15</v>
      </c>
      <c r="BQ136" s="380"/>
      <c r="BR136" s="384">
        <v>7</v>
      </c>
      <c r="BT136" s="380"/>
      <c r="BU136" s="384">
        <v>105</v>
      </c>
      <c r="BV136" s="380"/>
      <c r="BW136" s="384">
        <v>105</v>
      </c>
    </row>
    <row r="137" spans="1:75" ht="15.75" customHeight="1" outlineLevel="2" x14ac:dyDescent="0.45">
      <c r="A137" s="561"/>
      <c r="B137" s="1187"/>
      <c r="C137" s="225" t="s">
        <v>389</v>
      </c>
      <c r="D137" s="162"/>
      <c r="E137" s="179" t="s">
        <v>128</v>
      </c>
      <c r="F137" s="380"/>
      <c r="G137" s="224" t="e">
        <f>#REF!</f>
        <v>#REF!</v>
      </c>
      <c r="H137" s="380"/>
      <c r="I137" s="224" t="e">
        <f>#REF!</f>
        <v>#REF!</v>
      </c>
      <c r="J137" s="380"/>
      <c r="K137" s="384">
        <v>1244</v>
      </c>
      <c r="L137" s="380"/>
      <c r="M137" s="384">
        <v>1244</v>
      </c>
      <c r="N137" s="380"/>
      <c r="O137" s="224" t="e">
        <f>AE137</f>
        <v>#REF!</v>
      </c>
      <c r="P137" s="380"/>
      <c r="Q137" s="224" t="e">
        <f t="shared" ref="Q137" si="631">O137</f>
        <v>#REF!</v>
      </c>
      <c r="R137" s="380"/>
      <c r="S137" s="384">
        <v>1244</v>
      </c>
      <c r="T137" s="380"/>
      <c r="U137" s="384">
        <v>1244</v>
      </c>
      <c r="V137" s="380"/>
      <c r="W137" s="384">
        <v>1244</v>
      </c>
      <c r="X137" s="380"/>
      <c r="Y137" s="384" t="e">
        <f>Q137</f>
        <v>#REF!</v>
      </c>
      <c r="Z137" s="380"/>
      <c r="AA137" s="384" t="e">
        <f t="shared" ref="AA137" si="632">Y137</f>
        <v>#REF!</v>
      </c>
      <c r="AB137" s="380"/>
      <c r="AC137" s="384" t="e">
        <f>AO137</f>
        <v>#REF!</v>
      </c>
      <c r="AD137" s="380"/>
      <c r="AE137" s="384" t="e">
        <f>AQ137</f>
        <v>#REF!</v>
      </c>
      <c r="AF137" s="180"/>
      <c r="AG137" s="224" t="e">
        <f>#REF!</f>
        <v>#REF!</v>
      </c>
      <c r="AH137" s="180"/>
      <c r="AI137" s="224" t="e">
        <f>#REF!</f>
        <v>#REF!</v>
      </c>
      <c r="AJ137" s="380"/>
      <c r="AK137" s="384" t="e">
        <f>AI137</f>
        <v>#REF!</v>
      </c>
      <c r="AL137" s="380"/>
      <c r="AM137" s="384" t="e">
        <f t="shared" ref="AM137" si="633">AK137</f>
        <v>#REF!</v>
      </c>
      <c r="AN137" s="380"/>
      <c r="AO137" s="384" t="e">
        <f>AY137</f>
        <v>#REF!</v>
      </c>
      <c r="AP137" s="380"/>
      <c r="AQ137" s="384" t="e">
        <f>AG137</f>
        <v>#REF!</v>
      </c>
      <c r="AR137" s="380"/>
      <c r="AS137" s="384" t="e">
        <f>AQ137</f>
        <v>#REF!</v>
      </c>
      <c r="AT137" s="380"/>
      <c r="AU137" s="384" t="e">
        <f>AW137</f>
        <v>#REF!</v>
      </c>
      <c r="AV137" s="380"/>
      <c r="AW137" s="384" t="e">
        <f>AS137</f>
        <v>#REF!</v>
      </c>
      <c r="AX137" s="380"/>
      <c r="AY137" s="384" t="e">
        <f>AU137</f>
        <v>#REF!</v>
      </c>
      <c r="AZ137" s="180"/>
      <c r="BA137" s="224" t="e">
        <f>#REF!</f>
        <v>#REF!</v>
      </c>
      <c r="BB137" s="180"/>
      <c r="BC137" s="224" t="e">
        <f>#REF!</f>
        <v>#REF!</v>
      </c>
      <c r="BD137" s="180"/>
      <c r="BE137" s="224" t="e">
        <f>#REF!</f>
        <v>#REF!</v>
      </c>
      <c r="BF137" s="180"/>
      <c r="BG137" s="224" t="e">
        <f>#REF!</f>
        <v>#REF!</v>
      </c>
      <c r="BH137" s="180"/>
      <c r="BI137" s="224" t="e">
        <f>#REF!</f>
        <v>#REF!</v>
      </c>
      <c r="BK137" s="180"/>
      <c r="BL137" s="224" t="e">
        <f>#REF!</f>
        <v>#REF!</v>
      </c>
      <c r="BM137" s="180"/>
      <c r="BN137" s="224" t="e">
        <f>#REF!</f>
        <v>#REF!</v>
      </c>
      <c r="BO137" s="180"/>
      <c r="BP137" s="224" t="e">
        <f>#REF!</f>
        <v>#REF!</v>
      </c>
      <c r="BQ137" s="180"/>
      <c r="BR137" s="224" t="e">
        <f>#REF!</f>
        <v>#REF!</v>
      </c>
      <c r="BT137" s="180"/>
      <c r="BU137" s="224" t="e">
        <f>#REF!</f>
        <v>#REF!</v>
      </c>
      <c r="BV137" s="180"/>
      <c r="BW137" s="224" t="e">
        <f>#REF!</f>
        <v>#REF!</v>
      </c>
    </row>
    <row r="138" spans="1:75" outlineLevel="1" x14ac:dyDescent="0.45">
      <c r="B138" s="1187"/>
      <c r="C138" s="225" t="s">
        <v>390</v>
      </c>
      <c r="D138" s="162"/>
      <c r="E138" s="179" t="s">
        <v>128</v>
      </c>
      <c r="F138" s="380"/>
      <c r="G138" s="224">
        <v>1200</v>
      </c>
      <c r="H138" s="380"/>
      <c r="I138" s="224">
        <v>1200</v>
      </c>
      <c r="J138" s="380"/>
      <c r="K138" s="384">
        <f>K64</f>
        <v>1200</v>
      </c>
      <c r="L138" s="380"/>
      <c r="M138" s="384">
        <f>M64</f>
        <v>750</v>
      </c>
      <c r="N138" s="380"/>
      <c r="O138" s="224">
        <v>1200</v>
      </c>
      <c r="P138" s="380"/>
      <c r="Q138" s="224">
        <v>1200</v>
      </c>
      <c r="R138" s="380"/>
      <c r="S138" s="384">
        <f>S64</f>
        <v>750</v>
      </c>
      <c r="T138" s="380"/>
      <c r="U138" s="384">
        <f>U64</f>
        <v>750</v>
      </c>
      <c r="V138" s="380"/>
      <c r="W138" s="384">
        <f>W64</f>
        <v>750</v>
      </c>
      <c r="X138" s="380"/>
      <c r="Y138" s="384">
        <v>750</v>
      </c>
      <c r="Z138" s="380"/>
      <c r="AA138" s="384">
        <v>750</v>
      </c>
      <c r="AB138" s="380"/>
      <c r="AC138" s="384">
        <v>750</v>
      </c>
      <c r="AD138" s="380"/>
      <c r="AE138" s="384">
        <v>750</v>
      </c>
      <c r="AF138" s="180"/>
      <c r="AG138" s="224">
        <v>750</v>
      </c>
      <c r="AH138" s="180"/>
      <c r="AI138" s="224">
        <v>750</v>
      </c>
      <c r="AJ138" s="380"/>
      <c r="AK138" s="384">
        <v>750</v>
      </c>
      <c r="AL138" s="380"/>
      <c r="AM138" s="384">
        <v>750</v>
      </c>
      <c r="AN138" s="380"/>
      <c r="AO138" s="384">
        <v>750</v>
      </c>
      <c r="AP138" s="380"/>
      <c r="AQ138" s="384">
        <v>750</v>
      </c>
      <c r="AR138" s="380"/>
      <c r="AS138" s="384">
        <v>750</v>
      </c>
      <c r="AT138" s="380"/>
      <c r="AU138" s="384">
        <v>750</v>
      </c>
      <c r="AV138" s="380"/>
      <c r="AW138" s="384">
        <v>750</v>
      </c>
      <c r="AX138" s="380"/>
      <c r="AY138" s="384">
        <v>750</v>
      </c>
      <c r="AZ138" s="180"/>
      <c r="BA138" s="224">
        <v>750</v>
      </c>
      <c r="BB138" s="180"/>
      <c r="BC138" s="224">
        <v>750</v>
      </c>
      <c r="BD138" s="180"/>
      <c r="BE138" s="224">
        <v>750</v>
      </c>
      <c r="BF138" s="180"/>
      <c r="BG138" s="224">
        <v>750</v>
      </c>
      <c r="BH138" s="180"/>
      <c r="BI138" s="224">
        <v>750</v>
      </c>
      <c r="BK138" s="180"/>
      <c r="BL138" s="224">
        <v>750</v>
      </c>
      <c r="BM138" s="180"/>
      <c r="BN138" s="224">
        <v>750</v>
      </c>
      <c r="BO138" s="180"/>
      <c r="BP138" s="224">
        <v>750</v>
      </c>
      <c r="BQ138" s="180"/>
      <c r="BR138" s="224">
        <v>750</v>
      </c>
      <c r="BT138" s="180"/>
      <c r="BU138" s="224">
        <v>750</v>
      </c>
      <c r="BV138" s="180"/>
      <c r="BW138" s="224">
        <v>750</v>
      </c>
    </row>
    <row r="139" spans="1:75" outlineLevel="1" x14ac:dyDescent="0.45">
      <c r="B139" s="1187"/>
      <c r="C139" s="225" t="s">
        <v>130</v>
      </c>
      <c r="D139" s="162"/>
      <c r="E139" s="179"/>
      <c r="F139" s="380"/>
      <c r="G139" s="384">
        <v>750</v>
      </c>
      <c r="H139" s="380"/>
      <c r="I139" s="384">
        <v>750</v>
      </c>
      <c r="J139" s="380"/>
      <c r="K139" s="384">
        <v>750</v>
      </c>
      <c r="L139" s="380"/>
      <c r="M139" s="384">
        <v>750</v>
      </c>
      <c r="N139" s="380"/>
      <c r="O139" s="384">
        <v>750</v>
      </c>
      <c r="P139" s="380"/>
      <c r="Q139" s="384">
        <v>750</v>
      </c>
      <c r="R139" s="380"/>
      <c r="S139" s="384">
        <v>750</v>
      </c>
      <c r="T139" s="380"/>
      <c r="U139" s="384">
        <v>750</v>
      </c>
      <c r="V139" s="380"/>
      <c r="W139" s="384">
        <v>750</v>
      </c>
      <c r="X139" s="359"/>
      <c r="Y139" s="372"/>
      <c r="Z139" s="359"/>
      <c r="AA139" s="372"/>
      <c r="AB139" s="359"/>
      <c r="AC139" s="372"/>
      <c r="AD139" s="359"/>
      <c r="AE139" s="372"/>
      <c r="AF139" s="164"/>
      <c r="AG139" s="171"/>
      <c r="AH139" s="164"/>
      <c r="AI139" s="171"/>
      <c r="AJ139" s="359"/>
      <c r="AK139" s="372"/>
      <c r="AL139" s="359"/>
      <c r="AM139" s="372"/>
      <c r="AN139" s="359"/>
      <c r="AO139" s="372"/>
      <c r="AP139" s="359"/>
      <c r="AQ139" s="372"/>
      <c r="AR139" s="359"/>
      <c r="AS139" s="372"/>
      <c r="AT139" s="359"/>
      <c r="AU139" s="372"/>
      <c r="AV139" s="359"/>
      <c r="AW139" s="372"/>
      <c r="AX139" s="359"/>
      <c r="AY139" s="372"/>
      <c r="AZ139" s="164"/>
      <c r="BA139" s="171"/>
      <c r="BB139" s="164"/>
      <c r="BC139" s="171"/>
      <c r="BD139" s="164"/>
      <c r="BE139" s="171"/>
      <c r="BF139" s="164"/>
      <c r="BG139" s="171"/>
      <c r="BH139" s="164"/>
      <c r="BI139" s="171"/>
      <c r="BK139" s="164"/>
      <c r="BL139" s="171"/>
      <c r="BM139" s="164"/>
      <c r="BN139" s="171"/>
      <c r="BO139" s="164"/>
      <c r="BP139" s="171"/>
      <c r="BQ139" s="164"/>
      <c r="BR139" s="171"/>
      <c r="BT139" s="164"/>
      <c r="BU139" s="171"/>
      <c r="BV139" s="164"/>
      <c r="BW139" s="171"/>
    </row>
    <row r="140" spans="1:75" x14ac:dyDescent="0.45">
      <c r="B140" s="1187"/>
      <c r="C140" s="170"/>
      <c r="D140" s="162"/>
      <c r="E140" s="197"/>
      <c r="F140" s="359"/>
      <c r="G140" s="372"/>
      <c r="H140" s="359"/>
      <c r="I140" s="372"/>
      <c r="J140" s="359"/>
      <c r="K140" s="372"/>
      <c r="L140" s="359"/>
      <c r="M140" s="372"/>
      <c r="N140" s="359"/>
      <c r="O140" s="372"/>
      <c r="P140" s="359"/>
      <c r="Q140" s="372"/>
      <c r="R140" s="359"/>
      <c r="S140" s="372"/>
      <c r="T140" s="359"/>
      <c r="U140" s="372"/>
      <c r="V140" s="359"/>
      <c r="W140" s="372"/>
      <c r="X140" s="375"/>
      <c r="Y140" s="376"/>
      <c r="Z140" s="375"/>
      <c r="AA140" s="376"/>
      <c r="AB140" s="229"/>
      <c r="AC140" s="230" t="e">
        <f>AC137-AC135</f>
        <v>#REF!</v>
      </c>
      <c r="AD140" s="229"/>
      <c r="AE140" s="230" t="e">
        <f>AE137-AE135</f>
        <v>#REF!</v>
      </c>
      <c r="AF140" s="177"/>
      <c r="AG140" s="178"/>
      <c r="AH140" s="177"/>
      <c r="AI140" s="178"/>
      <c r="AJ140" s="375"/>
      <c r="AK140" s="376"/>
      <c r="AL140" s="375"/>
      <c r="AM140" s="376"/>
      <c r="AN140" s="359"/>
      <c r="AO140" s="372"/>
      <c r="AP140" s="229"/>
      <c r="AQ140" s="230">
        <f>AQ136-AQ135</f>
        <v>-645</v>
      </c>
      <c r="AR140" s="229"/>
      <c r="AS140" s="230">
        <f>AS136-AS135</f>
        <v>-1095</v>
      </c>
      <c r="AT140" s="229"/>
      <c r="AU140" s="230">
        <f>AU136-AU135</f>
        <v>-645</v>
      </c>
      <c r="AV140" s="229"/>
      <c r="AW140" s="230">
        <f>AW136-AW135</f>
        <v>-1095</v>
      </c>
      <c r="AX140" s="229"/>
      <c r="AY140" s="230">
        <f>AY136-AY135</f>
        <v>-645</v>
      </c>
      <c r="AZ140" s="177"/>
      <c r="BA140" s="178"/>
      <c r="BB140" s="177"/>
      <c r="BC140" s="178"/>
      <c r="BD140" s="177"/>
      <c r="BE140" s="178"/>
      <c r="BF140" s="177"/>
      <c r="BG140" s="178"/>
      <c r="BH140" s="177"/>
      <c r="BI140" s="178"/>
      <c r="BK140" s="177"/>
      <c r="BL140" s="178"/>
      <c r="BM140" s="177"/>
      <c r="BN140" s="178"/>
      <c r="BO140" s="177"/>
      <c r="BP140" s="178"/>
      <c r="BQ140" s="177"/>
      <c r="BR140" s="178"/>
      <c r="BT140" s="177"/>
      <c r="BU140" s="178"/>
      <c r="BV140" s="177"/>
      <c r="BW140" s="178"/>
    </row>
    <row r="141" spans="1:75" x14ac:dyDescent="0.45">
      <c r="B141" s="1187"/>
      <c r="C141" s="226" t="s">
        <v>131</v>
      </c>
      <c r="D141" s="227"/>
      <c r="E141" s="228" t="s">
        <v>132</v>
      </c>
      <c r="F141" s="1102"/>
      <c r="G141" s="588">
        <f t="shared" ref="G141" si="634">G136-G135</f>
        <v>-1102</v>
      </c>
      <c r="H141" s="1102"/>
      <c r="I141" s="588">
        <f t="shared" ref="I141" si="635">I136-I135</f>
        <v>-645</v>
      </c>
      <c r="J141" s="1102"/>
      <c r="K141" s="588">
        <f t="shared" ref="K141:M141" si="636">K136-K135</f>
        <v>-1095</v>
      </c>
      <c r="L141" s="1102"/>
      <c r="M141" s="588">
        <f t="shared" si="636"/>
        <v>-645</v>
      </c>
      <c r="N141" s="229"/>
      <c r="O141" s="230">
        <f t="shared" ref="O141:Q141" si="637">O136-O135</f>
        <v>-1095</v>
      </c>
      <c r="P141" s="229"/>
      <c r="Q141" s="230">
        <f t="shared" si="637"/>
        <v>-645</v>
      </c>
      <c r="R141" s="1102"/>
      <c r="S141" s="588">
        <f>S136-S135</f>
        <v>-645</v>
      </c>
      <c r="T141" s="1102"/>
      <c r="U141" s="588">
        <f>U136-U135</f>
        <v>-645</v>
      </c>
      <c r="V141" s="1102"/>
      <c r="W141" s="588">
        <f>W136-W135</f>
        <v>-645</v>
      </c>
      <c r="X141" s="229"/>
      <c r="Y141" s="230">
        <f t="shared" ref="Y141:AA141" si="638">Y136-Y135</f>
        <v>-1095</v>
      </c>
      <c r="Z141" s="229"/>
      <c r="AA141" s="230">
        <f t="shared" si="638"/>
        <v>-645</v>
      </c>
      <c r="AB141" s="229"/>
      <c r="AC141" s="588" t="e">
        <f>AC140*AC133</f>
        <v>#REF!</v>
      </c>
      <c r="AD141" s="229"/>
      <c r="AE141" s="588" t="e">
        <f>AE140*AE133</f>
        <v>#REF!</v>
      </c>
      <c r="AF141" s="229"/>
      <c r="AG141" s="230">
        <f t="shared" ref="AG141" si="639">AG136-AG135</f>
        <v>-1095</v>
      </c>
      <c r="AH141" s="229"/>
      <c r="AI141" s="230">
        <f t="shared" ref="AI141" si="640">AI136-AI135</f>
        <v>-645</v>
      </c>
      <c r="AJ141" s="229"/>
      <c r="AK141" s="230">
        <f t="shared" ref="AK141:AM141" si="641">AK136-AK135</f>
        <v>-1095</v>
      </c>
      <c r="AL141" s="229"/>
      <c r="AM141" s="230">
        <f t="shared" si="641"/>
        <v>-645</v>
      </c>
      <c r="AN141" s="1102"/>
      <c r="AO141" s="588">
        <f t="shared" ref="AO141" si="642">AO136-AO135</f>
        <v>-1095</v>
      </c>
      <c r="AP141" s="229"/>
      <c r="AQ141" s="588" t="e">
        <f>AQ140*AQ133</f>
        <v>#DIV/0!</v>
      </c>
      <c r="AR141" s="229"/>
      <c r="AS141" s="588" t="e">
        <f>AS140*AS133</f>
        <v>#DIV/0!</v>
      </c>
      <c r="AT141" s="229"/>
      <c r="AU141" s="588" t="e">
        <f>AU140*AU133</f>
        <v>#DIV/0!</v>
      </c>
      <c r="AV141" s="229"/>
      <c r="AW141" s="588" t="e">
        <f>AW140*AW133</f>
        <v>#DIV/0!</v>
      </c>
      <c r="AX141" s="229"/>
      <c r="AY141" s="588" t="e">
        <f>AY140*AY133</f>
        <v>#DIV/0!</v>
      </c>
      <c r="AZ141" s="229"/>
      <c r="BA141" s="230">
        <f t="shared" ref="BA141:BC141" si="643">BA136-BA135</f>
        <v>-645</v>
      </c>
      <c r="BB141" s="229"/>
      <c r="BC141" s="230">
        <f t="shared" si="643"/>
        <v>-550</v>
      </c>
      <c r="BD141" s="229"/>
      <c r="BE141" s="230">
        <f t="shared" ref="BE141" si="644">BE136-BE135</f>
        <v>-688.24324324324323</v>
      </c>
      <c r="BF141" s="229"/>
      <c r="BG141" s="230">
        <f t="shared" ref="BG141" si="645">BG136-BG135</f>
        <v>-735</v>
      </c>
      <c r="BH141" s="229"/>
      <c r="BI141" s="230">
        <f t="shared" ref="BI141" si="646">BI136-BI135</f>
        <v>-743</v>
      </c>
      <c r="BK141" s="229"/>
      <c r="BL141" s="230">
        <f t="shared" ref="BL141:BN141" si="647">BL136-BL135</f>
        <v>-743</v>
      </c>
      <c r="BM141" s="229"/>
      <c r="BN141" s="230">
        <f t="shared" si="647"/>
        <v>-688.24324324324323</v>
      </c>
      <c r="BO141" s="229"/>
      <c r="BP141" s="230">
        <f t="shared" ref="BP141" si="648">BP136-BP135</f>
        <v>-735</v>
      </c>
      <c r="BQ141" s="229"/>
      <c r="BR141" s="230">
        <f t="shared" ref="BR141" si="649">BR136-BR135</f>
        <v>-743</v>
      </c>
      <c r="BT141" s="229"/>
      <c r="BU141" s="230">
        <f t="shared" ref="BU141" si="650">BU136-BU135</f>
        <v>-645</v>
      </c>
      <c r="BV141" s="229"/>
      <c r="BW141" s="230">
        <f t="shared" ref="BW141" si="651">BW136-BW135</f>
        <v>-645</v>
      </c>
    </row>
    <row r="142" spans="1:75" x14ac:dyDescent="0.45">
      <c r="B142" s="1187"/>
      <c r="C142" s="232"/>
      <c r="D142" s="227"/>
      <c r="E142" s="228" t="s">
        <v>133</v>
      </c>
      <c r="F142" s="1102"/>
      <c r="G142" s="588" t="e">
        <f t="shared" ref="G142" si="652">G141*G133</f>
        <v>#REF!</v>
      </c>
      <c r="H142" s="1102"/>
      <c r="I142" s="588" t="e">
        <f t="shared" ref="I142" si="653">I141*I133</f>
        <v>#REF!</v>
      </c>
      <c r="J142" s="229"/>
      <c r="K142" s="588" t="e">
        <f t="shared" ref="K142" si="654">K141*K133</f>
        <v>#REF!</v>
      </c>
      <c r="L142" s="229"/>
      <c r="M142" s="588" t="e">
        <f t="shared" ref="M142" si="655">M141*M133</f>
        <v>#REF!</v>
      </c>
      <c r="N142" s="229"/>
      <c r="O142" s="588" t="e">
        <f t="shared" ref="O142:Q142" si="656">O141*O133</f>
        <v>#REF!</v>
      </c>
      <c r="P142" s="229"/>
      <c r="Q142" s="588" t="e">
        <f t="shared" si="656"/>
        <v>#REF!</v>
      </c>
      <c r="R142" s="229"/>
      <c r="S142" s="588" t="e">
        <f>S141*S133</f>
        <v>#REF!</v>
      </c>
      <c r="T142" s="229"/>
      <c r="U142" s="588" t="e">
        <f>U141*U133</f>
        <v>#REF!</v>
      </c>
      <c r="V142" s="229"/>
      <c r="W142" s="588" t="e">
        <f>W141*W133</f>
        <v>#REF!</v>
      </c>
      <c r="X142" s="229"/>
      <c r="Y142" s="588" t="e">
        <f t="shared" ref="Y142:AA142" si="657">Y141*Y133</f>
        <v>#REF!</v>
      </c>
      <c r="Z142" s="229"/>
      <c r="AA142" s="588" t="e">
        <f t="shared" si="657"/>
        <v>#DIV/0!</v>
      </c>
      <c r="AB142" s="381"/>
      <c r="AC142" s="385"/>
      <c r="AD142" s="381"/>
      <c r="AE142" s="385"/>
      <c r="AF142" s="229"/>
      <c r="AG142" s="230" t="e">
        <f t="shared" ref="AG142" si="658">AG141*AG130</f>
        <v>#DIV/0!</v>
      </c>
      <c r="AH142" s="229"/>
      <c r="AI142" s="230" t="e">
        <f t="shared" ref="AI142" si="659">AI141*AI130</f>
        <v>#DIV/0!</v>
      </c>
      <c r="AJ142" s="229"/>
      <c r="AK142" s="588" t="e">
        <f t="shared" ref="AK142:AM142" si="660">AK141*AK133</f>
        <v>#REF!</v>
      </c>
      <c r="AL142" s="229"/>
      <c r="AM142" s="588" t="e">
        <f t="shared" si="660"/>
        <v>#DIV/0!</v>
      </c>
      <c r="AN142" s="229"/>
      <c r="AO142" s="588" t="e">
        <f t="shared" ref="AO142" si="661">AO141*AO133</f>
        <v>#DIV/0!</v>
      </c>
      <c r="AP142" s="381"/>
      <c r="AQ142" s="385"/>
      <c r="AR142" s="381"/>
      <c r="AS142" s="385"/>
      <c r="AT142" s="381"/>
      <c r="AU142" s="385"/>
      <c r="AV142" s="381"/>
      <c r="AW142" s="385"/>
      <c r="AX142" s="381"/>
      <c r="AY142" s="385"/>
      <c r="AZ142" s="229"/>
      <c r="BA142" s="230" t="e">
        <f t="shared" ref="BA142:BC142" si="662">BA141*BA130</f>
        <v>#DIV/0!</v>
      </c>
      <c r="BB142" s="229"/>
      <c r="BC142" s="230" t="e">
        <f t="shared" si="662"/>
        <v>#DIV/0!</v>
      </c>
      <c r="BD142" s="229"/>
      <c r="BE142" s="230" t="e">
        <f t="shared" ref="BE142" si="663">BE141*BE130</f>
        <v>#DIV/0!</v>
      </c>
      <c r="BF142" s="229"/>
      <c r="BG142" s="230" t="e">
        <f t="shared" ref="BG142" si="664">BG141*BG130</f>
        <v>#DIV/0!</v>
      </c>
      <c r="BH142" s="229"/>
      <c r="BI142" s="230" t="e">
        <f t="shared" ref="BI142" si="665">BI141*BI130</f>
        <v>#DIV/0!</v>
      </c>
      <c r="BK142" s="229"/>
      <c r="BL142" s="230" t="e">
        <f t="shared" ref="BL142:BN142" si="666">BL141*BL130</f>
        <v>#DIV/0!</v>
      </c>
      <c r="BM142" s="229"/>
      <c r="BN142" s="230" t="e">
        <f t="shared" si="666"/>
        <v>#DIV/0!</v>
      </c>
      <c r="BO142" s="229"/>
      <c r="BP142" s="230" t="e">
        <f t="shared" ref="BP142" si="667">BP141*BP130</f>
        <v>#DIV/0!</v>
      </c>
      <c r="BQ142" s="229"/>
      <c r="BR142" s="230" t="e">
        <f t="shared" ref="BR142" si="668">BR141*BR130</f>
        <v>#DIV/0!</v>
      </c>
      <c r="BT142" s="229"/>
      <c r="BU142" s="230" t="e">
        <f t="shared" ref="BU142" si="669">BU141*BU130</f>
        <v>#DIV/0!</v>
      </c>
      <c r="BV142" s="229"/>
      <c r="BW142" s="230" t="e">
        <f t="shared" ref="BW142" si="670">BW141*BW130</f>
        <v>#DIV/0!</v>
      </c>
    </row>
    <row r="143" spans="1:75" ht="14.65" thickBot="1" x14ac:dyDescent="0.5">
      <c r="B143" s="1187"/>
      <c r="C143" s="233"/>
      <c r="D143" s="234"/>
      <c r="E143" s="234"/>
      <c r="F143" s="381"/>
      <c r="G143" s="385"/>
      <c r="H143" s="381"/>
      <c r="I143" s="385"/>
      <c r="J143" s="381"/>
      <c r="K143" s="385"/>
      <c r="L143" s="381"/>
      <c r="M143" s="385"/>
      <c r="N143" s="381"/>
      <c r="O143" s="385"/>
      <c r="P143" s="381"/>
      <c r="Q143" s="385"/>
      <c r="R143" s="381"/>
      <c r="S143" s="385"/>
      <c r="T143" s="381"/>
      <c r="U143" s="385"/>
      <c r="V143" s="381"/>
      <c r="W143" s="385"/>
      <c r="X143" s="381"/>
      <c r="Y143" s="385"/>
      <c r="Z143" s="381"/>
      <c r="AA143" s="385"/>
      <c r="AB143" s="304"/>
      <c r="AC143" s="305" t="e">
        <f>AC98*AC132</f>
        <v>#DIV/0!</v>
      </c>
      <c r="AD143" s="304"/>
      <c r="AE143" s="305" t="e">
        <f>AE98*AE132</f>
        <v>#DIV/0!</v>
      </c>
      <c r="AF143" s="235"/>
      <c r="AG143" s="236"/>
      <c r="AH143" s="235"/>
      <c r="AI143" s="236"/>
      <c r="AJ143" s="381"/>
      <c r="AK143" s="385"/>
      <c r="AL143" s="381"/>
      <c r="AM143" s="385"/>
      <c r="AN143" s="381"/>
      <c r="AO143" s="385"/>
      <c r="AP143" s="304"/>
      <c r="AQ143" s="305" t="e">
        <f>AQ98*AQ132</f>
        <v>#DIV/0!</v>
      </c>
      <c r="AR143" s="304"/>
      <c r="AS143" s="305" t="e">
        <f>AS98*AS132</f>
        <v>#DIV/0!</v>
      </c>
      <c r="AT143" s="304"/>
      <c r="AU143" s="305" t="e">
        <f>AU98*AU132</f>
        <v>#DIV/0!</v>
      </c>
      <c r="AV143" s="304"/>
      <c r="AW143" s="305" t="e">
        <f>AW98*AW132</f>
        <v>#DIV/0!</v>
      </c>
      <c r="AX143" s="304"/>
      <c r="AY143" s="305" t="e">
        <f>AY98*AY132</f>
        <v>#DIV/0!</v>
      </c>
      <c r="AZ143" s="235"/>
      <c r="BA143" s="236"/>
      <c r="BB143" s="235"/>
      <c r="BC143" s="236"/>
      <c r="BD143" s="235"/>
      <c r="BE143" s="236"/>
      <c r="BF143" s="235"/>
      <c r="BG143" s="236"/>
      <c r="BH143" s="235"/>
      <c r="BI143" s="236"/>
      <c r="BK143" s="235"/>
      <c r="BL143" s="236"/>
      <c r="BM143" s="235"/>
      <c r="BN143" s="236"/>
      <c r="BO143" s="235"/>
      <c r="BP143" s="236"/>
      <c r="BQ143" s="235"/>
      <c r="BR143" s="236"/>
      <c r="BT143" s="235"/>
      <c r="BU143" s="236"/>
      <c r="BV143" s="235"/>
      <c r="BW143" s="236"/>
    </row>
    <row r="144" spans="1:75" ht="15" thickTop="1" thickBot="1" x14ac:dyDescent="0.5">
      <c r="B144" s="1188"/>
      <c r="C144" s="301" t="s">
        <v>418</v>
      </c>
      <c r="D144" s="302"/>
      <c r="E144" s="303"/>
      <c r="F144" s="304"/>
      <c r="G144" s="305" t="e">
        <f>G98*G132</f>
        <v>#REF!</v>
      </c>
      <c r="H144" s="304"/>
      <c r="I144" s="305" t="e">
        <f>I98*I132</f>
        <v>#REF!</v>
      </c>
      <c r="J144" s="304"/>
      <c r="K144" s="305" t="e">
        <f>K98*K132</f>
        <v>#REF!</v>
      </c>
      <c r="L144" s="304"/>
      <c r="M144" s="305" t="e">
        <f>M98*M132</f>
        <v>#REF!</v>
      </c>
      <c r="N144" s="304"/>
      <c r="O144" s="305" t="e">
        <f>O98*O132</f>
        <v>#REF!</v>
      </c>
      <c r="P144" s="304"/>
      <c r="Q144" s="305" t="e">
        <f>Q98*Q132</f>
        <v>#REF!</v>
      </c>
      <c r="R144" s="304"/>
      <c r="S144" s="305" t="e">
        <f>S98*S132</f>
        <v>#REF!</v>
      </c>
      <c r="T144" s="304"/>
      <c r="U144" s="305" t="e">
        <f>U98*U132</f>
        <v>#REF!</v>
      </c>
      <c r="V144" s="304"/>
      <c r="W144" s="305" t="e">
        <f>W98*W132</f>
        <v>#REF!</v>
      </c>
      <c r="X144" s="304"/>
      <c r="Y144" s="305" t="e">
        <f>Y98*Y132</f>
        <v>#REF!</v>
      </c>
      <c r="Z144" s="304"/>
      <c r="AA144" s="305" t="e">
        <f>AA98*AA132</f>
        <v>#DIV/0!</v>
      </c>
      <c r="AF144" s="304"/>
      <c r="AG144" s="305" t="e">
        <f>AG98*AG132</f>
        <v>#REF!</v>
      </c>
      <c r="AH144" s="304"/>
      <c r="AI144" s="305" t="e">
        <f>AI98*AI132</f>
        <v>#REF!</v>
      </c>
      <c r="AJ144" s="304"/>
      <c r="AK144" s="305" t="e">
        <f>AK98*AK132</f>
        <v>#REF!</v>
      </c>
      <c r="AL144" s="304"/>
      <c r="AM144" s="305" t="e">
        <f>AM98*AM132</f>
        <v>#DIV/0!</v>
      </c>
      <c r="AN144" s="304"/>
      <c r="AO144" s="305" t="e">
        <f>AO98*AO132</f>
        <v>#DIV/0!</v>
      </c>
      <c r="AZ144" s="304"/>
      <c r="BA144" s="305" t="e">
        <f>BA98*BA132</f>
        <v>#DIV/0!</v>
      </c>
      <c r="BB144" s="304"/>
      <c r="BC144" s="305" t="e">
        <f>BC98*BC132</f>
        <v>#DIV/0!</v>
      </c>
      <c r="BD144" s="304"/>
      <c r="BE144" s="305" t="e">
        <f>BE98*BE132</f>
        <v>#DIV/0!</v>
      </c>
      <c r="BF144" s="304"/>
      <c r="BG144" s="305" t="e">
        <f>BG98*BG132</f>
        <v>#DIV/0!</v>
      </c>
      <c r="BH144" s="304"/>
      <c r="BI144" s="305" t="e">
        <f>BI98*BI132</f>
        <v>#DIV/0!</v>
      </c>
      <c r="BK144" s="304"/>
      <c r="BL144" s="305" t="e">
        <f>BL98*BL132</f>
        <v>#DIV/0!</v>
      </c>
      <c r="BM144" s="304"/>
      <c r="BN144" s="305" t="e">
        <f>BN98*BN132</f>
        <v>#DIV/0!</v>
      </c>
      <c r="BO144" s="304"/>
      <c r="BP144" s="305" t="e">
        <f>BP98*BP132</f>
        <v>#DIV/0!</v>
      </c>
      <c r="BQ144" s="304"/>
      <c r="BR144" s="305" t="e">
        <f>BR98*BR132</f>
        <v>#DIV/0!</v>
      </c>
      <c r="BT144" s="304"/>
      <c r="BU144" s="305" t="e">
        <f>BU98*BU132</f>
        <v>#DIV/0!</v>
      </c>
      <c r="BV144" s="304"/>
      <c r="BW144" s="305" t="e">
        <f>BW98*BW132</f>
        <v>#DIV/0!</v>
      </c>
    </row>
    <row r="145" spans="11:51" ht="14.65" thickTop="1" x14ac:dyDescent="0.45">
      <c r="AN145" s="359"/>
      <c r="AO145" s="372"/>
    </row>
    <row r="146" spans="11:51" x14ac:dyDescent="0.45">
      <c r="K146" s="589"/>
      <c r="M146" s="589"/>
      <c r="S146" s="589"/>
      <c r="U146" s="589"/>
      <c r="W146" s="589"/>
      <c r="AN146" s="229"/>
      <c r="AO146" s="230"/>
    </row>
    <row r="147" spans="11:51" x14ac:dyDescent="0.45">
      <c r="K147" s="589"/>
      <c r="M147" s="589"/>
      <c r="O147" s="344"/>
      <c r="Q147" s="344"/>
      <c r="S147" s="589"/>
      <c r="U147" s="589"/>
      <c r="W147" s="589"/>
      <c r="AN147" s="229"/>
      <c r="AO147" s="588"/>
    </row>
    <row r="148" spans="11:51" x14ac:dyDescent="0.45">
      <c r="O148" s="344"/>
      <c r="Q148" s="344"/>
      <c r="AN148" s="381"/>
      <c r="AO148" s="385"/>
    </row>
    <row r="149" spans="11:51" ht="14.65" thickBot="1" x14ac:dyDescent="0.5">
      <c r="K149" s="334"/>
      <c r="M149" s="334"/>
      <c r="O149" s="344"/>
      <c r="Q149" s="344"/>
      <c r="R149" t="s">
        <v>253</v>
      </c>
      <c r="S149" s="334" t="e">
        <f>S78*S131</f>
        <v>#REF!</v>
      </c>
      <c r="T149" t="s">
        <v>253</v>
      </c>
      <c r="U149" s="334" t="e">
        <f>U78*U131</f>
        <v>#REF!</v>
      </c>
      <c r="V149" t="s">
        <v>253</v>
      </c>
      <c r="W149" s="334" t="e">
        <f>W78*W131</f>
        <v>#REF!</v>
      </c>
      <c r="AB149" s="334"/>
      <c r="AC149" s="334"/>
      <c r="AN149" s="304"/>
      <c r="AO149" s="305"/>
      <c r="AT149" s="334"/>
      <c r="AU149" s="334"/>
      <c r="AX149" s="334"/>
      <c r="AY149" s="334"/>
    </row>
    <row r="150" spans="11:51" ht="14.65" thickTop="1" x14ac:dyDescent="0.45">
      <c r="K150" s="334"/>
      <c r="M150" s="334"/>
      <c r="S150" s="334"/>
      <c r="U150" s="334"/>
      <c r="W150" s="334"/>
      <c r="AB150" s="334"/>
      <c r="AC150" s="334"/>
      <c r="AT150" s="334"/>
      <c r="AU150" s="334"/>
      <c r="AX150" s="334"/>
      <c r="AY150" s="334"/>
    </row>
    <row r="151" spans="11:51" x14ac:dyDescent="0.45">
      <c r="K151" s="334"/>
      <c r="M151" s="334"/>
      <c r="S151" s="334"/>
      <c r="U151" s="334"/>
      <c r="W151" s="334"/>
      <c r="AB151" s="334"/>
      <c r="AC151" s="334"/>
      <c r="AT151" s="334"/>
      <c r="AU151" s="334"/>
      <c r="AX151" s="334"/>
      <c r="AY151" s="334"/>
    </row>
    <row r="152" spans="11:51" x14ac:dyDescent="0.45">
      <c r="K152" s="334"/>
      <c r="M152" s="334"/>
      <c r="S152" s="334"/>
      <c r="U152" s="334"/>
      <c r="W152" s="334"/>
      <c r="AB152" s="334"/>
      <c r="AC152" s="334"/>
      <c r="AT152" s="334"/>
      <c r="AU152" s="334"/>
      <c r="AX152" s="334"/>
      <c r="AY152" s="334"/>
    </row>
    <row r="153" spans="11:51" x14ac:dyDescent="0.45">
      <c r="K153" s="334"/>
      <c r="M153" s="334"/>
      <c r="S153" s="334"/>
      <c r="U153" s="334"/>
      <c r="W153" s="334"/>
      <c r="AB153" s="334"/>
      <c r="AC153" s="334"/>
      <c r="AT153" s="334"/>
      <c r="AU153" s="334"/>
      <c r="AX153" s="334"/>
      <c r="AY153" s="334"/>
    </row>
    <row r="154" spans="11:51" x14ac:dyDescent="0.45">
      <c r="K154" s="1049"/>
      <c r="M154" s="1049"/>
      <c r="S154" s="1049"/>
      <c r="U154" s="1049"/>
      <c r="W154" s="1049"/>
      <c r="AB154" s="1049"/>
      <c r="AC154" s="1049"/>
      <c r="AT154" s="1049"/>
      <c r="AU154" s="1049"/>
      <c r="AX154" s="1049"/>
      <c r="AY154" s="1049"/>
    </row>
    <row r="159" spans="11:51" ht="15" hidden="1" customHeight="1" x14ac:dyDescent="0.45"/>
    <row r="160" spans="11:51" ht="15" hidden="1" customHeight="1" x14ac:dyDescent="0.45">
      <c r="R160" t="s">
        <v>420</v>
      </c>
      <c r="S160" s="334" t="e">
        <f>#REF!</f>
        <v>#REF!</v>
      </c>
      <c r="T160" t="s">
        <v>420</v>
      </c>
      <c r="U160" s="334" t="e">
        <f>#REF!</f>
        <v>#REF!</v>
      </c>
      <c r="V160" t="s">
        <v>420</v>
      </c>
      <c r="W160" s="334" t="e">
        <f>#REF!</f>
        <v>#REF!</v>
      </c>
    </row>
    <row r="161" spans="19:23" ht="15" hidden="1" customHeight="1" x14ac:dyDescent="0.45">
      <c r="S161" s="1049" t="e">
        <f>S159/S160</f>
        <v>#REF!</v>
      </c>
      <c r="U161" s="1049" t="e">
        <f>U159/U160</f>
        <v>#REF!</v>
      </c>
      <c r="W161" s="1049" t="e">
        <f>W159/W160</f>
        <v>#REF!</v>
      </c>
    </row>
    <row r="162" spans="19:23" ht="15" hidden="1" customHeight="1" x14ac:dyDescent="0.45"/>
    <row r="163" spans="19:23" ht="15" hidden="1" customHeight="1" x14ac:dyDescent="0.45"/>
    <row r="164" spans="19:23" ht="15" hidden="1" customHeight="1" x14ac:dyDescent="0.45"/>
    <row r="165" spans="19:23" ht="15" hidden="1" customHeight="1" x14ac:dyDescent="0.45"/>
    <row r="166" spans="19:23" ht="15" hidden="1" customHeight="1" x14ac:dyDescent="0.45"/>
    <row r="167" spans="19:23" ht="15" hidden="1" customHeight="1" x14ac:dyDescent="0.45"/>
    <row r="168" spans="19:23" ht="15" hidden="1" customHeight="1" x14ac:dyDescent="0.45"/>
    <row r="169" spans="19:23" ht="15" hidden="1" customHeight="1" x14ac:dyDescent="0.45"/>
    <row r="170" spans="19:23" ht="15" hidden="1" customHeight="1" x14ac:dyDescent="0.45"/>
    <row r="171" spans="19:23" ht="15" hidden="1" customHeight="1" x14ac:dyDescent="0.45"/>
    <row r="177" spans="6:13" x14ac:dyDescent="0.45">
      <c r="F177" s="410"/>
      <c r="H177" s="410"/>
    </row>
    <row r="180" spans="6:13" x14ac:dyDescent="0.45">
      <c r="F180" s="606" t="e">
        <f>#REF!/12*2</f>
        <v>#REF!</v>
      </c>
      <c r="H180" s="606" t="e">
        <f>#REF!/12*2</f>
        <v>#REF!</v>
      </c>
      <c r="L180" t="e">
        <f>#REF!</f>
        <v>#REF!</v>
      </c>
      <c r="M180" t="e">
        <f>#REF!</f>
        <v>#REF!</v>
      </c>
    </row>
    <row r="181" spans="6:13" x14ac:dyDescent="0.45">
      <c r="L181" t="e">
        <f>#REF!</f>
        <v>#REF!</v>
      </c>
      <c r="M181" t="e">
        <f>#REF!</f>
        <v>#REF!</v>
      </c>
    </row>
    <row r="182" spans="6:13" x14ac:dyDescent="0.45">
      <c r="L182" t="e">
        <f>#REF!</f>
        <v>#REF!</v>
      </c>
      <c r="M182" t="e">
        <f>#REF!</f>
        <v>#REF!</v>
      </c>
    </row>
    <row r="183" spans="6:13" x14ac:dyDescent="0.45">
      <c r="L183" t="e">
        <f>#REF!</f>
        <v>#REF!</v>
      </c>
      <c r="M183" t="e">
        <f>#REF!</f>
        <v>#REF!</v>
      </c>
    </row>
    <row r="184" spans="6:13" x14ac:dyDescent="0.45">
      <c r="L184" t="e">
        <f>#REF!</f>
        <v>#REF!</v>
      </c>
      <c r="M184" t="e">
        <f>#REF!</f>
        <v>#REF!</v>
      </c>
    </row>
    <row r="185" spans="6:13" x14ac:dyDescent="0.45">
      <c r="L185" t="e">
        <f>#REF!</f>
        <v>#REF!</v>
      </c>
      <c r="M185" t="e">
        <f>#REF!</f>
        <v>#REF!</v>
      </c>
    </row>
    <row r="186" spans="6:13" x14ac:dyDescent="0.45">
      <c r="L186" t="e">
        <f>#REF!</f>
        <v>#REF!</v>
      </c>
      <c r="M186" t="e">
        <f>#REF!</f>
        <v>#REF!</v>
      </c>
    </row>
    <row r="187" spans="6:13" x14ac:dyDescent="0.45">
      <c r="L187" t="e">
        <f>#REF!</f>
        <v>#REF!</v>
      </c>
      <c r="M187" t="e">
        <f>#REF!</f>
        <v>#REF!</v>
      </c>
    </row>
    <row r="188" spans="6:13" x14ac:dyDescent="0.45">
      <c r="L188" t="e">
        <f>#REF!</f>
        <v>#REF!</v>
      </c>
      <c r="M188" t="e">
        <f>#REF!</f>
        <v>#REF!</v>
      </c>
    </row>
    <row r="189" spans="6:13" x14ac:dyDescent="0.45">
      <c r="L189" t="e">
        <f>#REF!</f>
        <v>#REF!</v>
      </c>
      <c r="M189" t="e">
        <f>#REF!</f>
        <v>#REF!</v>
      </c>
    </row>
    <row r="190" spans="6:13" x14ac:dyDescent="0.45">
      <c r="L190" t="e">
        <f>#REF!</f>
        <v>#REF!</v>
      </c>
      <c r="M190" t="e">
        <f>#REF!</f>
        <v>#REF!</v>
      </c>
    </row>
    <row r="191" spans="6:13" x14ac:dyDescent="0.45">
      <c r="L191" t="e">
        <f>#REF!</f>
        <v>#REF!</v>
      </c>
      <c r="M191" t="e">
        <f>#REF!</f>
        <v>#REF!</v>
      </c>
    </row>
    <row r="192" spans="6:13" x14ac:dyDescent="0.45">
      <c r="L192" t="e">
        <f>#REF!</f>
        <v>#REF!</v>
      </c>
      <c r="M192" t="e">
        <f>#REF!</f>
        <v>#REF!</v>
      </c>
    </row>
    <row r="193" spans="12:13" x14ac:dyDescent="0.45">
      <c r="L193" t="e">
        <f>#REF!</f>
        <v>#REF!</v>
      </c>
      <c r="M193" t="e">
        <f>#REF!</f>
        <v>#REF!</v>
      </c>
    </row>
    <row r="194" spans="12:13" x14ac:dyDescent="0.45">
      <c r="L194" t="e">
        <f>#REF!</f>
        <v>#REF!</v>
      </c>
      <c r="M194" t="e">
        <f>#REF!</f>
        <v>#REF!</v>
      </c>
    </row>
    <row r="195" spans="12:13" x14ac:dyDescent="0.45">
      <c r="L195" t="e">
        <f>#REF!</f>
        <v>#REF!</v>
      </c>
      <c r="M195" t="e">
        <f>#REF!</f>
        <v>#REF!</v>
      </c>
    </row>
    <row r="196" spans="12:13" x14ac:dyDescent="0.45">
      <c r="L196" t="e">
        <f>#REF!</f>
        <v>#REF!</v>
      </c>
      <c r="M196" t="e">
        <f>#REF!</f>
        <v>#REF!</v>
      </c>
    </row>
    <row r="197" spans="12:13" x14ac:dyDescent="0.45">
      <c r="L197" t="e">
        <f>#REF!</f>
        <v>#REF!</v>
      </c>
      <c r="M197" t="e">
        <f>#REF!</f>
        <v>#REF!</v>
      </c>
    </row>
    <row r="198" spans="12:13" x14ac:dyDescent="0.45">
      <c r="L198" t="e">
        <f>#REF!</f>
        <v>#REF!</v>
      </c>
      <c r="M198" t="e">
        <f>#REF!</f>
        <v>#REF!</v>
      </c>
    </row>
  </sheetData>
  <mergeCells count="221">
    <mergeCell ref="F2:G2"/>
    <mergeCell ref="H2:I2"/>
    <mergeCell ref="J2:K2"/>
    <mergeCell ref="AJ2:AK2"/>
    <mergeCell ref="AN2:AO2"/>
    <mergeCell ref="BB2:BI2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AR3:AS3"/>
    <mergeCell ref="AT3:AU3"/>
    <mergeCell ref="X3:Y3"/>
    <mergeCell ref="Z3:AA3"/>
    <mergeCell ref="AB3:AC3"/>
    <mergeCell ref="AD3:AE3"/>
    <mergeCell ref="AF3:AG3"/>
    <mergeCell ref="AH3:AI3"/>
    <mergeCell ref="AP3:AQ3"/>
    <mergeCell ref="BT2:BW2"/>
    <mergeCell ref="X4:Y5"/>
    <mergeCell ref="Z4:AA5"/>
    <mergeCell ref="AB4:AC5"/>
    <mergeCell ref="AD4:AE5"/>
    <mergeCell ref="BT3:BU3"/>
    <mergeCell ref="BV3:BW3"/>
    <mergeCell ref="BK3:BL3"/>
    <mergeCell ref="F4:G5"/>
    <mergeCell ref="H4:I5"/>
    <mergeCell ref="J4:K5"/>
    <mergeCell ref="L4:M5"/>
    <mergeCell ref="N4:O5"/>
    <mergeCell ref="P4:Q5"/>
    <mergeCell ref="R4:S5"/>
    <mergeCell ref="AV3:AW3"/>
    <mergeCell ref="AX3:AY3"/>
    <mergeCell ref="AZ3:BA3"/>
    <mergeCell ref="BB3:BC3"/>
    <mergeCell ref="BH3:BI3"/>
    <mergeCell ref="BF3:BG3"/>
    <mergeCell ref="AJ3:AK3"/>
    <mergeCell ref="AL3:AM3"/>
    <mergeCell ref="AN3:AO3"/>
    <mergeCell ref="BH4:BI5"/>
    <mergeCell ref="BF4:BG5"/>
    <mergeCell ref="BT4:BU5"/>
    <mergeCell ref="BV4:BW5"/>
    <mergeCell ref="BK4:BL5"/>
    <mergeCell ref="B6:B13"/>
    <mergeCell ref="F6:G6"/>
    <mergeCell ref="H6:I6"/>
    <mergeCell ref="J6:K6"/>
    <mergeCell ref="L6:M6"/>
    <mergeCell ref="AR4:AS5"/>
    <mergeCell ref="AT4:AU5"/>
    <mergeCell ref="AV4:AW5"/>
    <mergeCell ref="AX4:AY5"/>
    <mergeCell ref="AZ4:BA5"/>
    <mergeCell ref="BB4:BC5"/>
    <mergeCell ref="AF4:AG5"/>
    <mergeCell ref="AH4:AI5"/>
    <mergeCell ref="AJ4:AK5"/>
    <mergeCell ref="AL4:AM5"/>
    <mergeCell ref="AN4:AO5"/>
    <mergeCell ref="AP4:AQ5"/>
    <mergeCell ref="T4:U5"/>
    <mergeCell ref="V4:W5"/>
    <mergeCell ref="AT6:AU6"/>
    <mergeCell ref="AV6:AW6"/>
    <mergeCell ref="Z6:AA6"/>
    <mergeCell ref="AB6:AC6"/>
    <mergeCell ref="AD6:AE6"/>
    <mergeCell ref="AF6:AG6"/>
    <mergeCell ref="AH6:AI6"/>
    <mergeCell ref="AJ6:AK6"/>
    <mergeCell ref="N6:O6"/>
    <mergeCell ref="P6:Q6"/>
    <mergeCell ref="R6:S6"/>
    <mergeCell ref="T6:U6"/>
    <mergeCell ref="V6:W6"/>
    <mergeCell ref="X6:Y6"/>
    <mergeCell ref="Z7:AA7"/>
    <mergeCell ref="AB7:AC7"/>
    <mergeCell ref="AD7:AE7"/>
    <mergeCell ref="AF7:AG7"/>
    <mergeCell ref="BV6:BW6"/>
    <mergeCell ref="BK6:BL6"/>
    <mergeCell ref="F7:G7"/>
    <mergeCell ref="H7:I7"/>
    <mergeCell ref="J7:K7"/>
    <mergeCell ref="L7:M7"/>
    <mergeCell ref="N7:O7"/>
    <mergeCell ref="P7:Q7"/>
    <mergeCell ref="R7:S7"/>
    <mergeCell ref="T7:U7"/>
    <mergeCell ref="AX6:AY6"/>
    <mergeCell ref="AZ6:BA6"/>
    <mergeCell ref="BB6:BC6"/>
    <mergeCell ref="BH6:BI6"/>
    <mergeCell ref="BF6:BG6"/>
    <mergeCell ref="BT6:BU6"/>
    <mergeCell ref="AL6:AM6"/>
    <mergeCell ref="AN6:AO6"/>
    <mergeCell ref="AP6:AQ6"/>
    <mergeCell ref="AR6:AS6"/>
    <mergeCell ref="BF7:BG7"/>
    <mergeCell ref="BT7:BU7"/>
    <mergeCell ref="BV7:BW7"/>
    <mergeCell ref="BK7:BL7"/>
    <mergeCell ref="F8:G8"/>
    <mergeCell ref="H8:I8"/>
    <mergeCell ref="J8:K8"/>
    <mergeCell ref="L8:M8"/>
    <mergeCell ref="N8:O8"/>
    <mergeCell ref="P8:Q8"/>
    <mergeCell ref="AT7:AU7"/>
    <mergeCell ref="AV7:AW7"/>
    <mergeCell ref="AX7:AY7"/>
    <mergeCell ref="AZ7:BA7"/>
    <mergeCell ref="BB7:BC7"/>
    <mergeCell ref="BH7:BI7"/>
    <mergeCell ref="AH7:AI7"/>
    <mergeCell ref="AJ7:AK7"/>
    <mergeCell ref="AL7:AM7"/>
    <mergeCell ref="AN7:AO7"/>
    <mergeCell ref="AP7:AQ7"/>
    <mergeCell ref="AR7:AS7"/>
    <mergeCell ref="V7:W7"/>
    <mergeCell ref="X7:Y7"/>
    <mergeCell ref="BT8:BU8"/>
    <mergeCell ref="BV8:BW8"/>
    <mergeCell ref="BK8:BL8"/>
    <mergeCell ref="AP8:AQ8"/>
    <mergeCell ref="AR8:AS8"/>
    <mergeCell ref="AT8:AU8"/>
    <mergeCell ref="AV8:AW8"/>
    <mergeCell ref="AX8:AY8"/>
    <mergeCell ref="AZ8:BA8"/>
    <mergeCell ref="F9:G9"/>
    <mergeCell ref="H9:I9"/>
    <mergeCell ref="J9:K9"/>
    <mergeCell ref="L9:M9"/>
    <mergeCell ref="N9:O9"/>
    <mergeCell ref="P9:Q9"/>
    <mergeCell ref="BB8:BC8"/>
    <mergeCell ref="BH8:BI8"/>
    <mergeCell ref="BF8:BG8"/>
    <mergeCell ref="AD8:AE8"/>
    <mergeCell ref="AF8:AG8"/>
    <mergeCell ref="AH8:AI8"/>
    <mergeCell ref="AJ8:AK8"/>
    <mergeCell ref="AL8:AM8"/>
    <mergeCell ref="AN8:AO8"/>
    <mergeCell ref="R8:S8"/>
    <mergeCell ref="T8:U8"/>
    <mergeCell ref="V8:W8"/>
    <mergeCell ref="X8:Y8"/>
    <mergeCell ref="Z8:AA8"/>
    <mergeCell ref="AB8:AC8"/>
    <mergeCell ref="AD9:AE9"/>
    <mergeCell ref="AF9:AG9"/>
    <mergeCell ref="AH9:AI9"/>
    <mergeCell ref="AJ9:AK9"/>
    <mergeCell ref="AL9:AM9"/>
    <mergeCell ref="AN9:AO9"/>
    <mergeCell ref="R9:S9"/>
    <mergeCell ref="T9:U9"/>
    <mergeCell ref="V9:W9"/>
    <mergeCell ref="X9:Y9"/>
    <mergeCell ref="Z9:AA9"/>
    <mergeCell ref="AB9:AC9"/>
    <mergeCell ref="BT9:BU9"/>
    <mergeCell ref="BV9:BW9"/>
    <mergeCell ref="BK9:BL9"/>
    <mergeCell ref="AP9:AQ9"/>
    <mergeCell ref="AR9:AS9"/>
    <mergeCell ref="AT9:AU9"/>
    <mergeCell ref="AV9:AW9"/>
    <mergeCell ref="AX9:AY9"/>
    <mergeCell ref="AZ9:BA9"/>
    <mergeCell ref="BM3:BN3"/>
    <mergeCell ref="BM4:BN5"/>
    <mergeCell ref="BM6:BN6"/>
    <mergeCell ref="BM7:BN7"/>
    <mergeCell ref="BM8:BN8"/>
    <mergeCell ref="BM9:BN9"/>
    <mergeCell ref="B71:B84"/>
    <mergeCell ref="B100:B113"/>
    <mergeCell ref="B124:B144"/>
    <mergeCell ref="BD3:BE3"/>
    <mergeCell ref="BD4:BE5"/>
    <mergeCell ref="BD6:BE6"/>
    <mergeCell ref="BD7:BE7"/>
    <mergeCell ref="BD8:BE8"/>
    <mergeCell ref="BD9:BE9"/>
    <mergeCell ref="D12:E12"/>
    <mergeCell ref="B15:B21"/>
    <mergeCell ref="B22:B27"/>
    <mergeCell ref="B28:B33"/>
    <mergeCell ref="B40:B46"/>
    <mergeCell ref="B47:B70"/>
    <mergeCell ref="BB9:BC9"/>
    <mergeCell ref="BH9:BI9"/>
    <mergeCell ref="BF9:BG9"/>
    <mergeCell ref="BQ3:BR3"/>
    <mergeCell ref="BQ4:BR5"/>
    <mergeCell ref="BQ6:BR6"/>
    <mergeCell ref="BQ7:BR7"/>
    <mergeCell ref="BQ8:BR8"/>
    <mergeCell ref="BQ9:BR9"/>
    <mergeCell ref="BO3:BP3"/>
    <mergeCell ref="BO4:BP5"/>
    <mergeCell ref="BO6:BP6"/>
    <mergeCell ref="BO7:BP7"/>
    <mergeCell ref="BO8:BP8"/>
    <mergeCell ref="BO9:BP9"/>
  </mergeCells>
  <pageMargins left="0.7" right="0.7" top="0.75" bottom="0.75" header="0.3" footer="0.3"/>
  <customProperties>
    <customPr name="_pios_id" r:id="rId1"/>
  </customPropertie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D8CD-3883-44FE-8B43-6FDD55BA2C4C}">
  <sheetPr>
    <pageSetUpPr fitToPage="1"/>
  </sheetPr>
  <dimension ref="A1:DI178"/>
  <sheetViews>
    <sheetView showGridLines="0" zoomScaleNormal="100" zoomScaleSheetLayoutView="80" workbookViewId="0">
      <pane xSplit="5" ySplit="6" topLeftCell="CH118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4" outlineLevelCol="2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1.265625" style="1" hidden="1" customWidth="1"/>
    <col min="7" max="7" width="13.3984375" style="1" hidden="1" customWidth="1"/>
    <col min="8" max="8" width="11.265625" style="1" hidden="1" customWidth="1"/>
    <col min="9" max="9" width="13.3984375" style="1" hidden="1" customWidth="1"/>
    <col min="10" max="10" width="11.265625" style="1" hidden="1" customWidth="1" outlineLevel="1"/>
    <col min="11" max="11" width="13.3984375" style="1" hidden="1" customWidth="1" outlineLevel="1"/>
    <col min="12" max="12" width="11.265625" style="1" hidden="1" customWidth="1" outlineLevel="1"/>
    <col min="13" max="13" width="13.3984375" style="1" hidden="1" customWidth="1" outlineLevel="1"/>
    <col min="14" max="14" width="12.1328125" hidden="1" customWidth="1" collapsed="1"/>
    <col min="15" max="15" width="13.73046875" hidden="1" customWidth="1"/>
    <col min="16" max="16" width="12.73046875" hidden="1" customWidth="1" outlineLevel="1"/>
    <col min="17" max="17" width="13.73046875" hidden="1" customWidth="1" outlineLevel="1"/>
    <col min="18" max="18" width="12.73046875" hidden="1" customWidth="1" outlineLevel="1"/>
    <col min="19" max="19" width="13.73046875" hidden="1" customWidth="1" outlineLevel="1"/>
    <col min="20" max="20" width="12.1328125" hidden="1" customWidth="1" collapsed="1"/>
    <col min="21" max="21" width="13.73046875" hidden="1" customWidth="1"/>
    <col min="22" max="22" width="12.73046875" hidden="1" customWidth="1"/>
    <col min="23" max="23" width="13.73046875" hidden="1" customWidth="1"/>
    <col min="24" max="24" width="12.73046875" hidden="1" customWidth="1"/>
    <col min="25" max="25" width="13.73046875" hidden="1" customWidth="1"/>
    <col min="26" max="26" width="12.73046875" hidden="1" customWidth="1"/>
    <col min="27" max="27" width="13.73046875" hidden="1" customWidth="1"/>
    <col min="28" max="28" width="12.73046875" hidden="1" customWidth="1"/>
    <col min="29" max="29" width="13.73046875" hidden="1" customWidth="1"/>
    <col min="30" max="30" width="12.73046875" hidden="1" customWidth="1"/>
    <col min="31" max="31" width="13.73046875" hidden="1" customWidth="1"/>
    <col min="32" max="32" width="12.73046875" hidden="1" customWidth="1"/>
    <col min="33" max="33" width="13.73046875" hidden="1" customWidth="1"/>
    <col min="34" max="34" width="12.73046875" hidden="1" customWidth="1"/>
    <col min="35" max="35" width="13.73046875" hidden="1" customWidth="1"/>
    <col min="36" max="36" width="12.73046875" hidden="1" customWidth="1"/>
    <col min="37" max="37" width="13.73046875" hidden="1" customWidth="1"/>
    <col min="38" max="38" width="12.73046875" hidden="1" customWidth="1"/>
    <col min="39" max="39" width="13.73046875" hidden="1" customWidth="1"/>
    <col min="40" max="40" width="12.73046875" hidden="1" customWidth="1"/>
    <col min="41" max="41" width="13.73046875" hidden="1" customWidth="1"/>
    <col min="42" max="42" width="12.73046875" hidden="1" customWidth="1"/>
    <col min="43" max="43" width="13.73046875" hidden="1" customWidth="1"/>
    <col min="44" max="44" width="12.73046875" hidden="1" customWidth="1"/>
    <col min="45" max="45" width="13.73046875" hidden="1" customWidth="1"/>
    <col min="46" max="46" width="12.73046875" hidden="1" customWidth="1"/>
    <col min="47" max="47" width="13.73046875" hidden="1" customWidth="1"/>
    <col min="48" max="48" width="12.73046875" hidden="1" customWidth="1"/>
    <col min="49" max="49" width="13.73046875" hidden="1" customWidth="1"/>
    <col min="50" max="50" width="12.73046875" hidden="1" customWidth="1"/>
    <col min="51" max="51" width="13.73046875" hidden="1" customWidth="1"/>
    <col min="52" max="52" width="12.73046875" hidden="1" customWidth="1"/>
    <col min="53" max="53" width="13.73046875" hidden="1" customWidth="1"/>
    <col min="54" max="54" width="12.73046875" hidden="1" customWidth="1"/>
    <col min="55" max="55" width="13.73046875" hidden="1" customWidth="1"/>
    <col min="56" max="56" width="12.73046875" hidden="1" customWidth="1"/>
    <col min="57" max="57" width="13.73046875" hidden="1" customWidth="1"/>
    <col min="58" max="58" width="12.73046875" hidden="1" customWidth="1"/>
    <col min="59" max="59" width="13.73046875" hidden="1" customWidth="1"/>
    <col min="60" max="60" width="12.73046875" hidden="1" customWidth="1"/>
    <col min="61" max="61" width="13.73046875" hidden="1" customWidth="1"/>
    <col min="62" max="62" width="12.73046875" hidden="1" customWidth="1"/>
    <col min="63" max="63" width="13.73046875" hidden="1" customWidth="1"/>
    <col min="64" max="64" width="12.73046875" hidden="1" customWidth="1"/>
    <col min="65" max="65" width="13.73046875" hidden="1" customWidth="1"/>
    <col min="66" max="66" width="12.73046875" customWidth="1"/>
    <col min="67" max="67" width="13.73046875" customWidth="1"/>
    <col min="68" max="68" width="12.73046875" customWidth="1"/>
    <col min="69" max="69" width="13.73046875" customWidth="1"/>
    <col min="70" max="70" width="12.73046875" customWidth="1"/>
    <col min="71" max="71" width="13.73046875" customWidth="1"/>
    <col min="72" max="72" width="12.73046875" customWidth="1"/>
    <col min="73" max="73" width="13.73046875" customWidth="1"/>
    <col min="74" max="74" width="12.73046875" customWidth="1"/>
    <col min="75" max="75" width="13.73046875" customWidth="1"/>
    <col min="76" max="76" width="12.73046875" customWidth="1"/>
    <col min="77" max="77" width="13.73046875" customWidth="1"/>
    <col min="78" max="78" width="12.73046875" customWidth="1"/>
    <col min="79" max="79" width="13.73046875" customWidth="1"/>
    <col min="80" max="80" width="12.73046875" customWidth="1"/>
    <col min="81" max="81" width="13.73046875" customWidth="1"/>
    <col min="82" max="82" width="12.73046875" customWidth="1"/>
    <col min="83" max="83" width="13.73046875" customWidth="1"/>
    <col min="84" max="84" width="12.73046875" customWidth="1"/>
    <col min="85" max="85" width="13.73046875" customWidth="1"/>
    <col min="86" max="86" width="12.73046875" customWidth="1"/>
    <col min="87" max="87" width="13.73046875" customWidth="1"/>
    <col min="88" max="88" width="12.73046875" customWidth="1"/>
    <col min="89" max="89" width="13.73046875" customWidth="1"/>
    <col min="90" max="90" width="12.73046875" customWidth="1"/>
    <col min="91" max="91" width="13.73046875" customWidth="1"/>
    <col min="92" max="92" width="12.73046875" hidden="1" customWidth="1"/>
    <col min="93" max="93" width="13.73046875" hidden="1" customWidth="1"/>
    <col min="94" max="94" width="12.73046875" hidden="1" customWidth="1" outlineLevel="1"/>
    <col min="95" max="95" width="13.73046875" hidden="1" customWidth="1" outlineLevel="1"/>
    <col min="96" max="96" width="12.73046875" hidden="1" customWidth="1" outlineLevel="1"/>
    <col min="97" max="97" width="13.73046875" hidden="1" customWidth="1" outlineLevel="1"/>
    <col min="98" max="98" width="12.73046875" hidden="1" customWidth="1" outlineLevel="1"/>
    <col min="99" max="99" width="13.73046875" hidden="1" customWidth="1" outlineLevel="1"/>
    <col min="100" max="100" width="12.73046875" hidden="1" customWidth="1" outlineLevel="1"/>
    <col min="101" max="101" width="13.73046875" hidden="1" customWidth="1" outlineLevel="1"/>
    <col min="102" max="102" width="12.73046875" hidden="1" customWidth="1" outlineLevel="2"/>
    <col min="103" max="103" width="13.73046875" hidden="1" customWidth="1" outlineLevel="2"/>
    <col min="104" max="104" width="12.73046875" hidden="1" customWidth="1" outlineLevel="1"/>
    <col min="105" max="105" width="13.73046875" hidden="1" customWidth="1" outlineLevel="1"/>
    <col min="106" max="106" width="12.73046875" hidden="1" customWidth="1" outlineLevel="1"/>
    <col min="107" max="107" width="13.73046875" hidden="1" customWidth="1" outlineLevel="1"/>
    <col min="108" max="108" width="12.73046875" hidden="1" customWidth="1" outlineLevel="1"/>
    <col min="109" max="109" width="13.73046875" hidden="1" customWidth="1" outlineLevel="1"/>
    <col min="110" max="110" width="12.73046875" hidden="1" customWidth="1" outlineLevel="1"/>
    <col min="111" max="111" width="13.73046875" hidden="1" customWidth="1" outlineLevel="1"/>
    <col min="112" max="112" width="9" collapsed="1"/>
  </cols>
  <sheetData>
    <row r="1" spans="1:113" x14ac:dyDescent="0.45">
      <c r="F1"/>
      <c r="G1"/>
      <c r="H1"/>
      <c r="I1"/>
      <c r="J1"/>
      <c r="K1"/>
      <c r="L1"/>
      <c r="M1"/>
      <c r="N1" s="1330" t="str">
        <f>'Pricing Structure - GSS'!N1:S1</f>
        <v>Harga $7.80, 25.5+0.5, 50+1, 100+3, 300+10 (Province $7.80, 40+1, 6.5%)</v>
      </c>
      <c r="O1" s="1330"/>
      <c r="P1" s="1330"/>
      <c r="Q1" s="1330"/>
      <c r="R1" s="1330"/>
      <c r="S1" s="1330"/>
      <c r="T1" s="1330">
        <f>'Pricing Structure - GSS'!T1:U1</f>
        <v>0</v>
      </c>
      <c r="U1" s="1330"/>
      <c r="V1" s="1330"/>
      <c r="W1" s="1330"/>
      <c r="X1" s="1330"/>
      <c r="Y1" s="1330"/>
    </row>
    <row r="2" spans="1:113" ht="15.75" customHeight="1" thickBot="1" x14ac:dyDescent="0.5">
      <c r="F2" s="1273" t="str">
        <f>F4</f>
        <v>IIP LOKAL 40</v>
      </c>
      <c r="G2" s="1273"/>
      <c r="H2" s="1273" t="str">
        <f>H4</f>
        <v>IIP LOKAL 40</v>
      </c>
      <c r="I2" s="1273"/>
      <c r="J2" s="1273" t="str">
        <f>J4</f>
        <v>IIP LOKAL 40</v>
      </c>
      <c r="K2" s="1273"/>
      <c r="L2" s="1273" t="str">
        <f>L4</f>
        <v>IIP LOKAL 40</v>
      </c>
      <c r="M2" s="1273"/>
      <c r="N2" s="1273" t="str">
        <f>N4</f>
        <v>IIP LOKAL 40</v>
      </c>
      <c r="O2" s="1273"/>
      <c r="P2" s="1273" t="str">
        <f>P4</f>
        <v>IIP LOKAL 40</v>
      </c>
      <c r="Q2" s="1273"/>
      <c r="R2" s="1273" t="str">
        <f>R4</f>
        <v>IIP LOKAL 40</v>
      </c>
      <c r="S2" s="1273"/>
      <c r="T2" s="1273" t="str">
        <f>T4</f>
        <v>IIP LOKAL 40</v>
      </c>
      <c r="U2" s="1273"/>
      <c r="V2" s="1273" t="str">
        <f>V4</f>
        <v>IIP LOKAL 40</v>
      </c>
      <c r="W2" s="1273"/>
      <c r="X2" s="1273" t="str">
        <f>X4</f>
        <v>IIP LOKAL 40</v>
      </c>
      <c r="Y2" s="1273"/>
      <c r="Z2" s="1273" t="str">
        <f>Z4</f>
        <v>IIP LOKAL 40</v>
      </c>
      <c r="AA2" s="1273"/>
      <c r="AB2" s="1273" t="str">
        <f>AB4</f>
        <v>IIP LOKAL 40</v>
      </c>
      <c r="AC2" s="1273"/>
      <c r="AD2" s="1273" t="str">
        <f>AD4</f>
        <v>IIP LOKAL 40</v>
      </c>
      <c r="AE2" s="1273"/>
      <c r="AF2" s="1273" t="str">
        <f>AF4</f>
        <v>IIP LOKAL 40</v>
      </c>
      <c r="AG2" s="1273"/>
      <c r="AH2" s="1273" t="str">
        <f>AH4</f>
        <v>IIP LOKAL 40</v>
      </c>
      <c r="AI2" s="1273"/>
      <c r="AJ2" s="1273" t="str">
        <f>AJ4</f>
        <v>IIP LOKAL 40</v>
      </c>
      <c r="AK2" s="1273"/>
      <c r="AL2" s="1273" t="str">
        <f t="shared" ref="AL2" si="0">AL4</f>
        <v>IIP LOKAL 40</v>
      </c>
      <c r="AM2" s="1273"/>
      <c r="AN2" s="1273" t="str">
        <f t="shared" ref="AN2:AP2" si="1">AN4</f>
        <v>IIP LOKAL 40</v>
      </c>
      <c r="AO2" s="1273"/>
      <c r="AP2" s="1273" t="str">
        <f t="shared" si="1"/>
        <v>IIP LOKAL 40</v>
      </c>
      <c r="AQ2" s="1273"/>
      <c r="AR2" s="1273" t="str">
        <f t="shared" ref="AR2" si="2">AR4</f>
        <v>IIP LOKAL 40</v>
      </c>
      <c r="AS2" s="1273"/>
      <c r="AT2" s="1273" t="str">
        <f t="shared" ref="AT2" si="3">AT4</f>
        <v>IIP LOKAL 40</v>
      </c>
      <c r="AU2" s="1273"/>
      <c r="AV2" s="1273" t="str">
        <f t="shared" ref="AV2" si="4">AV4</f>
        <v>IIP LOKAL 40</v>
      </c>
      <c r="AW2" s="1273"/>
      <c r="AX2" s="1273" t="str">
        <f t="shared" ref="AX2" si="5">AX4</f>
        <v>IIP LOKAL 40</v>
      </c>
      <c r="AY2" s="1273"/>
      <c r="AZ2" s="1273" t="str">
        <f t="shared" ref="AZ2:BB2" si="6">AZ4</f>
        <v>IIP LOKAL 40</v>
      </c>
      <c r="BA2" s="1273"/>
      <c r="BB2" s="1273" t="str">
        <f t="shared" si="6"/>
        <v>IIP LOKAL 40</v>
      </c>
      <c r="BC2" s="1273"/>
      <c r="BD2" s="1273" t="str">
        <f t="shared" ref="BD2:BJ2" si="7">BD4</f>
        <v>IIP LOKAL 40</v>
      </c>
      <c r="BE2" s="1273"/>
      <c r="BF2" s="1273" t="str">
        <f t="shared" si="7"/>
        <v>IIP LOKAL 40</v>
      </c>
      <c r="BG2" s="1273"/>
      <c r="BH2" s="1273" t="str">
        <f t="shared" si="7"/>
        <v>IIP LOKAL 40</v>
      </c>
      <c r="BI2" s="1273"/>
      <c r="BJ2" s="1273" t="str">
        <f t="shared" si="7"/>
        <v>IIP LOKAL 40</v>
      </c>
      <c r="BK2" s="1273"/>
      <c r="BL2" s="1273" t="str">
        <f t="shared" ref="BL2" si="8">BL4</f>
        <v>IIP LOKAL 40</v>
      </c>
      <c r="BM2" s="1273"/>
      <c r="BN2" s="1273" t="str">
        <f t="shared" ref="BN2" si="9">BN4</f>
        <v>IIP LOKAL 40</v>
      </c>
      <c r="BO2" s="1273"/>
      <c r="BP2" s="1273" t="str">
        <f t="shared" ref="BP2:BR2" si="10">BP4</f>
        <v>IIP LOKAL 40</v>
      </c>
      <c r="BQ2" s="1273"/>
      <c r="BR2" s="1273" t="str">
        <f t="shared" si="10"/>
        <v>IIP LOKAL 40</v>
      </c>
      <c r="BS2" s="1273"/>
      <c r="BT2" s="1273" t="str">
        <f t="shared" ref="BT2:BV2" si="11">BT4</f>
        <v>IIP LOKAL 40</v>
      </c>
      <c r="BU2" s="1273"/>
      <c r="BV2" s="1273" t="str">
        <f t="shared" si="11"/>
        <v>IIP LOKAL 40</v>
      </c>
      <c r="BW2" s="1273"/>
      <c r="BX2" s="1273" t="str">
        <f t="shared" ref="BX2:BZ2" si="12">BX4</f>
        <v>IIP LOKAL 40</v>
      </c>
      <c r="BY2" s="1273"/>
      <c r="BZ2" s="1273" t="str">
        <f t="shared" si="12"/>
        <v>IIP LOKAL 40</v>
      </c>
      <c r="CA2" s="1273"/>
      <c r="CB2" s="1273" t="str">
        <f t="shared" ref="CB2:CD2" si="13">CB4</f>
        <v>IIP LOKAL 40</v>
      </c>
      <c r="CC2" s="1273"/>
      <c r="CD2" s="1273" t="str">
        <f t="shared" si="13"/>
        <v>IIP VLOK 40</v>
      </c>
      <c r="CE2" s="1273"/>
      <c r="CF2" s="1273" t="str">
        <f t="shared" ref="CF2:CH2" si="14">CF4</f>
        <v>IIP VLOK 40</v>
      </c>
      <c r="CG2" s="1273"/>
      <c r="CH2" s="1273" t="str">
        <f t="shared" si="14"/>
        <v>IIP VLOK 40</v>
      </c>
      <c r="CI2" s="1273"/>
      <c r="CJ2" s="1273" t="str">
        <f t="shared" ref="CJ2" si="15">CJ4</f>
        <v>IIP VLOK 40</v>
      </c>
      <c r="CK2" s="1273"/>
      <c r="CL2" s="1273" t="str">
        <f t="shared" ref="CL2" si="16">CL4</f>
        <v>IIP VLOK 40</v>
      </c>
      <c r="CM2" s="1273"/>
      <c r="CN2" s="1273" t="str">
        <f t="shared" ref="CN2" si="17">CN4</f>
        <v>IIP LOKAL 40</v>
      </c>
      <c r="CO2" s="1273"/>
      <c r="CP2" s="1273" t="str">
        <f>CP4</f>
        <v>IIP LOKAL 40</v>
      </c>
      <c r="CQ2" s="1273"/>
      <c r="CR2" s="1273" t="str">
        <f>CR4</f>
        <v>IIP LOKAL 40</v>
      </c>
      <c r="CS2" s="1273"/>
      <c r="CT2" s="1273" t="str">
        <f>CT4</f>
        <v>IIP LOKAL 40</v>
      </c>
      <c r="CU2" s="1273"/>
      <c r="CV2" s="1273" t="str">
        <f>CV4</f>
        <v>IIP LOKAL 40</v>
      </c>
      <c r="CW2" s="1273"/>
      <c r="CX2" s="1273" t="str">
        <f>CX4</f>
        <v>IIP LOKAL 40</v>
      </c>
      <c r="CY2" s="1273"/>
      <c r="CZ2" s="1273" t="str">
        <f>CZ4</f>
        <v>IIP LOKAL 40</v>
      </c>
      <c r="DA2" s="1273"/>
      <c r="DB2" s="1273" t="str">
        <f>DB4</f>
        <v>IIP LOKAL 40</v>
      </c>
      <c r="DC2" s="1273"/>
      <c r="DD2" s="1273" t="str">
        <f>DD4</f>
        <v>IIP LOKAL 40</v>
      </c>
      <c r="DE2" s="1273"/>
      <c r="DF2" s="1273" t="str">
        <f>DF4</f>
        <v>IIP LOKAL 40</v>
      </c>
      <c r="DG2" s="1273"/>
    </row>
    <row r="3" spans="1:113" s="4" customFormat="1" ht="3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29" t="s">
        <v>392</v>
      </c>
      <c r="I3" s="1329"/>
      <c r="J3" s="1329" t="s">
        <v>393</v>
      </c>
      <c r="K3" s="1329"/>
      <c r="L3" s="1329" t="s">
        <v>394</v>
      </c>
      <c r="M3" s="1329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323</v>
      </c>
      <c r="W3" s="1264"/>
      <c r="X3" s="1318" t="s">
        <v>324</v>
      </c>
      <c r="Y3" s="1264"/>
      <c r="Z3" s="1318" t="s">
        <v>325</v>
      </c>
      <c r="AA3" s="1264"/>
      <c r="AB3" s="1318" t="s">
        <v>326</v>
      </c>
      <c r="AC3" s="1264"/>
      <c r="AD3" s="1318" t="s">
        <v>327</v>
      </c>
      <c r="AE3" s="1264"/>
      <c r="AF3" s="1318" t="s">
        <v>328</v>
      </c>
      <c r="AG3" s="1264"/>
      <c r="AH3" s="1318" t="s">
        <v>329</v>
      </c>
      <c r="AI3" s="1264"/>
      <c r="AJ3" s="1318" t="s">
        <v>330</v>
      </c>
      <c r="AK3" s="1264"/>
      <c r="AL3" s="1318" t="s">
        <v>331</v>
      </c>
      <c r="AM3" s="1264"/>
      <c r="AN3" s="1318" t="s">
        <v>332</v>
      </c>
      <c r="AO3" s="1264"/>
      <c r="AP3" s="1318" t="s">
        <v>333</v>
      </c>
      <c r="AQ3" s="1264"/>
      <c r="AR3" s="1318" t="s">
        <v>334</v>
      </c>
      <c r="AS3" s="1264"/>
      <c r="AT3" s="1318" t="s">
        <v>335</v>
      </c>
      <c r="AU3" s="1264"/>
      <c r="AV3" s="1318" t="s">
        <v>336</v>
      </c>
      <c r="AW3" s="1264"/>
      <c r="AX3" s="1318" t="s">
        <v>337</v>
      </c>
      <c r="AY3" s="1264"/>
      <c r="AZ3" s="1318" t="s">
        <v>338</v>
      </c>
      <c r="BA3" s="1264"/>
      <c r="BB3" s="1318" t="s">
        <v>339</v>
      </c>
      <c r="BC3" s="1264"/>
      <c r="BD3" s="1318" t="s">
        <v>397</v>
      </c>
      <c r="BE3" s="1264"/>
      <c r="BF3" s="1318" t="s">
        <v>398</v>
      </c>
      <c r="BG3" s="1264"/>
      <c r="BH3" s="1318" t="s">
        <v>399</v>
      </c>
      <c r="BI3" s="1264"/>
      <c r="BJ3" s="1318" t="s">
        <v>400</v>
      </c>
      <c r="BK3" s="1264"/>
      <c r="BL3" s="1318" t="s">
        <v>401</v>
      </c>
      <c r="BM3" s="1264"/>
      <c r="BN3" s="1318" t="s">
        <v>402</v>
      </c>
      <c r="BO3" s="1264"/>
      <c r="BP3" s="1318" t="s">
        <v>347</v>
      </c>
      <c r="BQ3" s="1264"/>
      <c r="BR3" s="1318" t="s">
        <v>351</v>
      </c>
      <c r="BS3" s="1264"/>
      <c r="BT3" s="1318" t="s">
        <v>403</v>
      </c>
      <c r="BU3" s="1264"/>
      <c r="BV3" s="1318" t="s">
        <v>697</v>
      </c>
      <c r="BW3" s="1264"/>
      <c r="BX3" s="1318" t="s">
        <v>701</v>
      </c>
      <c r="BY3" s="1264"/>
      <c r="BZ3" s="1318" t="s">
        <v>705</v>
      </c>
      <c r="CA3" s="1264"/>
      <c r="CB3" s="1318" t="s">
        <v>708</v>
      </c>
      <c r="CC3" s="1264"/>
      <c r="CD3" s="1318" t="s">
        <v>711</v>
      </c>
      <c r="CE3" s="1264"/>
      <c r="CF3" s="1318" t="s">
        <v>724</v>
      </c>
      <c r="CG3" s="1264"/>
      <c r="CH3" s="1318" t="s">
        <v>726</v>
      </c>
      <c r="CI3" s="1264"/>
      <c r="CJ3" s="1318" t="s">
        <v>727</v>
      </c>
      <c r="CK3" s="1264"/>
      <c r="CL3" s="1318" t="s">
        <v>717</v>
      </c>
      <c r="CM3" s="1264"/>
      <c r="CN3" s="1318" t="s">
        <v>404</v>
      </c>
      <c r="CO3" s="1264"/>
      <c r="CP3" s="1323" t="s">
        <v>405</v>
      </c>
      <c r="CQ3" s="1324"/>
      <c r="CR3" s="1323" t="s">
        <v>406</v>
      </c>
      <c r="CS3" s="1324"/>
      <c r="CT3" s="1323" t="s">
        <v>407</v>
      </c>
      <c r="CU3" s="1324"/>
      <c r="CV3" s="1321" t="s">
        <v>408</v>
      </c>
      <c r="CW3" s="1322"/>
      <c r="CX3" s="1323" t="s">
        <v>409</v>
      </c>
      <c r="CY3" s="1324"/>
      <c r="CZ3" s="1325" t="s">
        <v>410</v>
      </c>
      <c r="DA3" s="1326"/>
      <c r="DB3" s="1319" t="s">
        <v>411</v>
      </c>
      <c r="DC3" s="1320"/>
      <c r="DD3" s="1319" t="s">
        <v>412</v>
      </c>
      <c r="DE3" s="1320"/>
      <c r="DF3" s="1319" t="s">
        <v>445</v>
      </c>
      <c r="DG3" s="1320"/>
      <c r="DI3" s="4">
        <v>435557</v>
      </c>
    </row>
    <row r="4" spans="1:113" s="4" customFormat="1" ht="21.4" thickTop="1" x14ac:dyDescent="0.45">
      <c r="A4" s="561"/>
      <c r="B4" s="2"/>
      <c r="C4" s="3"/>
      <c r="D4" s="6"/>
      <c r="E4" s="245"/>
      <c r="F4" s="1314" t="s">
        <v>3</v>
      </c>
      <c r="G4" s="1315"/>
      <c r="H4" s="1314" t="s">
        <v>3</v>
      </c>
      <c r="I4" s="1315"/>
      <c r="J4" s="1314" t="s">
        <v>3</v>
      </c>
      <c r="K4" s="1315"/>
      <c r="L4" s="1314" t="s">
        <v>3</v>
      </c>
      <c r="M4" s="1315"/>
      <c r="N4" s="1314" t="s">
        <v>3</v>
      </c>
      <c r="O4" s="1315"/>
      <c r="P4" s="1314" t="s">
        <v>3</v>
      </c>
      <c r="Q4" s="1315"/>
      <c r="R4" s="1314" t="s">
        <v>3</v>
      </c>
      <c r="S4" s="1315"/>
      <c r="T4" s="1314" t="s">
        <v>3</v>
      </c>
      <c r="U4" s="1315"/>
      <c r="V4" s="1314" t="s">
        <v>3</v>
      </c>
      <c r="W4" s="1315"/>
      <c r="X4" s="1314" t="s">
        <v>3</v>
      </c>
      <c r="Y4" s="1315"/>
      <c r="Z4" s="1314" t="s">
        <v>3</v>
      </c>
      <c r="AA4" s="1315"/>
      <c r="AB4" s="1314" t="s">
        <v>3</v>
      </c>
      <c r="AC4" s="1315"/>
      <c r="AD4" s="1314" t="s">
        <v>3</v>
      </c>
      <c r="AE4" s="1315"/>
      <c r="AF4" s="1314" t="s">
        <v>3</v>
      </c>
      <c r="AG4" s="1315"/>
      <c r="AH4" s="1314" t="s">
        <v>3</v>
      </c>
      <c r="AI4" s="1315"/>
      <c r="AJ4" s="1314" t="s">
        <v>3</v>
      </c>
      <c r="AK4" s="1315"/>
      <c r="AL4" s="1314" t="s">
        <v>3</v>
      </c>
      <c r="AM4" s="1315"/>
      <c r="AN4" s="1314" t="s">
        <v>3</v>
      </c>
      <c r="AO4" s="1315"/>
      <c r="AP4" s="1314" t="s">
        <v>3</v>
      </c>
      <c r="AQ4" s="1315"/>
      <c r="AR4" s="1314" t="s">
        <v>3</v>
      </c>
      <c r="AS4" s="1315"/>
      <c r="AT4" s="1314" t="s">
        <v>3</v>
      </c>
      <c r="AU4" s="1315"/>
      <c r="AV4" s="1314" t="s">
        <v>3</v>
      </c>
      <c r="AW4" s="1315"/>
      <c r="AX4" s="1314" t="s">
        <v>3</v>
      </c>
      <c r="AY4" s="1315"/>
      <c r="AZ4" s="1314" t="s">
        <v>3</v>
      </c>
      <c r="BA4" s="1315"/>
      <c r="BB4" s="1314" t="s">
        <v>3</v>
      </c>
      <c r="BC4" s="1315"/>
      <c r="BD4" s="1314" t="s">
        <v>3</v>
      </c>
      <c r="BE4" s="1315"/>
      <c r="BF4" s="1314" t="s">
        <v>3</v>
      </c>
      <c r="BG4" s="1315"/>
      <c r="BH4" s="1314" t="s">
        <v>3</v>
      </c>
      <c r="BI4" s="1315"/>
      <c r="BJ4" s="1314" t="s">
        <v>3</v>
      </c>
      <c r="BK4" s="1315"/>
      <c r="BL4" s="1314" t="s">
        <v>3</v>
      </c>
      <c r="BM4" s="1315"/>
      <c r="BN4" s="1314" t="s">
        <v>3</v>
      </c>
      <c r="BO4" s="1315"/>
      <c r="BP4" s="1314" t="s">
        <v>3</v>
      </c>
      <c r="BQ4" s="1315"/>
      <c r="BR4" s="1314" t="s">
        <v>3</v>
      </c>
      <c r="BS4" s="1315"/>
      <c r="BT4" s="1314" t="s">
        <v>3</v>
      </c>
      <c r="BU4" s="1315"/>
      <c r="BV4" s="1314" t="s">
        <v>3</v>
      </c>
      <c r="BW4" s="1315"/>
      <c r="BX4" s="1314" t="s">
        <v>3</v>
      </c>
      <c r="BY4" s="1315"/>
      <c r="BZ4" s="1314" t="s">
        <v>3</v>
      </c>
      <c r="CA4" s="1315"/>
      <c r="CB4" s="1314" t="s">
        <v>3</v>
      </c>
      <c r="CC4" s="1315"/>
      <c r="CD4" s="1314" t="s">
        <v>716</v>
      </c>
      <c r="CE4" s="1315"/>
      <c r="CF4" s="1314" t="s">
        <v>716</v>
      </c>
      <c r="CG4" s="1315"/>
      <c r="CH4" s="1314" t="s">
        <v>716</v>
      </c>
      <c r="CI4" s="1315"/>
      <c r="CJ4" s="1314" t="s">
        <v>716</v>
      </c>
      <c r="CK4" s="1315"/>
      <c r="CL4" s="1314" t="s">
        <v>716</v>
      </c>
      <c r="CM4" s="1315"/>
      <c r="CN4" s="1314" t="s">
        <v>3</v>
      </c>
      <c r="CO4" s="1315"/>
      <c r="CP4" s="1314" t="s">
        <v>3</v>
      </c>
      <c r="CQ4" s="1315"/>
      <c r="CR4" s="1314" t="s">
        <v>3</v>
      </c>
      <c r="CS4" s="1315"/>
      <c r="CT4" s="1314" t="s">
        <v>3</v>
      </c>
      <c r="CU4" s="1315"/>
      <c r="CV4" s="1314" t="s">
        <v>3</v>
      </c>
      <c r="CW4" s="1315"/>
      <c r="CX4" s="1314" t="s">
        <v>3</v>
      </c>
      <c r="CY4" s="1315"/>
      <c r="CZ4" s="1314" t="s">
        <v>3</v>
      </c>
      <c r="DA4" s="1315"/>
      <c r="DB4" s="1314" t="s">
        <v>3</v>
      </c>
      <c r="DC4" s="1315"/>
      <c r="DD4" s="1314" t="s">
        <v>3</v>
      </c>
      <c r="DE4" s="1315"/>
      <c r="DF4" s="1314" t="s">
        <v>3</v>
      </c>
      <c r="DG4" s="1315"/>
    </row>
    <row r="5" spans="1:113" s="4" customFormat="1" ht="14.65" thickBot="1" x14ac:dyDescent="0.5">
      <c r="A5" s="561"/>
      <c r="B5" s="7"/>
      <c r="E5" s="245"/>
      <c r="F5" s="1316"/>
      <c r="G5" s="1317"/>
      <c r="H5" s="1316"/>
      <c r="I5" s="1317"/>
      <c r="J5" s="1316"/>
      <c r="K5" s="1317"/>
      <c r="L5" s="1316"/>
      <c r="M5" s="1317"/>
      <c r="N5" s="1316"/>
      <c r="O5" s="1317"/>
      <c r="P5" s="1316"/>
      <c r="Q5" s="1317"/>
      <c r="R5" s="1316"/>
      <c r="S5" s="1317"/>
      <c r="T5" s="1316"/>
      <c r="U5" s="1317"/>
      <c r="V5" s="1316"/>
      <c r="W5" s="1317"/>
      <c r="X5" s="1316"/>
      <c r="Y5" s="1317"/>
      <c r="Z5" s="1316"/>
      <c r="AA5" s="1317"/>
      <c r="AB5" s="1316"/>
      <c r="AC5" s="1317"/>
      <c r="AD5" s="1316"/>
      <c r="AE5" s="1317"/>
      <c r="AF5" s="1316"/>
      <c r="AG5" s="1317"/>
      <c r="AH5" s="1316"/>
      <c r="AI5" s="1317"/>
      <c r="AJ5" s="1316"/>
      <c r="AK5" s="1317"/>
      <c r="AL5" s="1316"/>
      <c r="AM5" s="1317"/>
      <c r="AN5" s="1316"/>
      <c r="AO5" s="1317"/>
      <c r="AP5" s="1316"/>
      <c r="AQ5" s="1317"/>
      <c r="AR5" s="1316"/>
      <c r="AS5" s="1317"/>
      <c r="AT5" s="1316"/>
      <c r="AU5" s="1317"/>
      <c r="AV5" s="1316"/>
      <c r="AW5" s="1317"/>
      <c r="AX5" s="1316"/>
      <c r="AY5" s="1317"/>
      <c r="AZ5" s="1316"/>
      <c r="BA5" s="1317"/>
      <c r="BB5" s="1316"/>
      <c r="BC5" s="1317"/>
      <c r="BD5" s="1316"/>
      <c r="BE5" s="1317"/>
      <c r="BF5" s="1316"/>
      <c r="BG5" s="1317"/>
      <c r="BH5" s="1316"/>
      <c r="BI5" s="1317"/>
      <c r="BJ5" s="1316"/>
      <c r="BK5" s="1317"/>
      <c r="BL5" s="1316"/>
      <c r="BM5" s="1317"/>
      <c r="BN5" s="1316"/>
      <c r="BO5" s="1317"/>
      <c r="BP5" s="1316"/>
      <c r="BQ5" s="1317"/>
      <c r="BR5" s="1316"/>
      <c r="BS5" s="1317"/>
      <c r="BT5" s="1316"/>
      <c r="BU5" s="1317"/>
      <c r="BV5" s="1316"/>
      <c r="BW5" s="1317"/>
      <c r="BX5" s="1316"/>
      <c r="BY5" s="1317"/>
      <c r="BZ5" s="1316"/>
      <c r="CA5" s="1317"/>
      <c r="CB5" s="1316"/>
      <c r="CC5" s="1317"/>
      <c r="CD5" s="1316"/>
      <c r="CE5" s="1317"/>
      <c r="CF5" s="1316"/>
      <c r="CG5" s="1317"/>
      <c r="CH5" s="1316"/>
      <c r="CI5" s="1317"/>
      <c r="CJ5" s="1316"/>
      <c r="CK5" s="1317"/>
      <c r="CL5" s="1316"/>
      <c r="CM5" s="1317"/>
      <c r="CN5" s="1316"/>
      <c r="CO5" s="1317"/>
      <c r="CP5" s="1316"/>
      <c r="CQ5" s="1317"/>
      <c r="CR5" s="1316"/>
      <c r="CS5" s="1317"/>
      <c r="CT5" s="1316"/>
      <c r="CU5" s="1317"/>
      <c r="CV5" s="1316"/>
      <c r="CW5" s="1317"/>
      <c r="CX5" s="1316"/>
      <c r="CY5" s="1317"/>
      <c r="CZ5" s="1316"/>
      <c r="DA5" s="1317"/>
      <c r="DB5" s="1316"/>
      <c r="DC5" s="1317"/>
      <c r="DD5" s="1316"/>
      <c r="DE5" s="1317"/>
      <c r="DF5" s="1316"/>
      <c r="DG5" s="1317"/>
    </row>
    <row r="6" spans="1:113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65"/>
      <c r="G6" s="1266"/>
      <c r="H6" s="1265"/>
      <c r="I6" s="1266"/>
      <c r="J6" s="1265"/>
      <c r="K6" s="1266"/>
      <c r="L6" s="1265"/>
      <c r="M6" s="1266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1234"/>
      <c r="AG6" s="1206"/>
      <c r="AH6" s="1234"/>
      <c r="AI6" s="1206"/>
      <c r="AJ6" s="1234"/>
      <c r="AK6" s="1206"/>
      <c r="AL6" s="1234"/>
      <c r="AM6" s="1206"/>
      <c r="AN6" s="1234"/>
      <c r="AO6" s="1206"/>
      <c r="AP6" s="1234"/>
      <c r="AQ6" s="1206"/>
      <c r="AR6" s="1234"/>
      <c r="AS6" s="1206"/>
      <c r="AT6" s="1234"/>
      <c r="AU6" s="1206"/>
      <c r="AV6" s="1234"/>
      <c r="AW6" s="1206"/>
      <c r="AX6" s="1234"/>
      <c r="AY6" s="1206"/>
      <c r="AZ6" s="1234"/>
      <c r="BA6" s="1206"/>
      <c r="BB6" s="1234"/>
      <c r="BC6" s="1206"/>
      <c r="BD6" s="1234"/>
      <c r="BE6" s="1206"/>
      <c r="BF6" s="1234"/>
      <c r="BG6" s="1206"/>
      <c r="BH6" s="1234"/>
      <c r="BI6" s="1206"/>
      <c r="BJ6" s="1234"/>
      <c r="BK6" s="1206"/>
      <c r="BL6" s="1234"/>
      <c r="BM6" s="1206"/>
      <c r="BN6" s="1234"/>
      <c r="BO6" s="1206"/>
      <c r="BP6" s="1234"/>
      <c r="BQ6" s="1206"/>
      <c r="BR6" s="1234"/>
      <c r="BS6" s="1206"/>
      <c r="BT6" s="1234"/>
      <c r="BU6" s="1206"/>
      <c r="BV6" s="1234"/>
      <c r="BW6" s="1206"/>
      <c r="BX6" s="1234"/>
      <c r="BY6" s="1206"/>
      <c r="BZ6" s="1234"/>
      <c r="CA6" s="1206"/>
      <c r="CB6" s="1234"/>
      <c r="CC6" s="1206"/>
      <c r="CD6" s="1234"/>
      <c r="CE6" s="1206"/>
      <c r="CF6" s="1234"/>
      <c r="CG6" s="1206"/>
      <c r="CH6" s="1234"/>
      <c r="CI6" s="1206"/>
      <c r="CJ6" s="1234"/>
      <c r="CK6" s="1206"/>
      <c r="CL6" s="1234"/>
      <c r="CM6" s="1206"/>
      <c r="CN6" s="1234"/>
      <c r="CO6" s="1206"/>
      <c r="CP6" s="1234"/>
      <c r="CQ6" s="1206"/>
      <c r="CR6" s="1234"/>
      <c r="CS6" s="1206"/>
      <c r="CT6" s="1234"/>
      <c r="CU6" s="1206"/>
      <c r="CV6" s="1234"/>
      <c r="CW6" s="1206"/>
      <c r="CX6" s="1234"/>
      <c r="CY6" s="1206"/>
      <c r="CZ6" s="1234"/>
      <c r="DA6" s="1206"/>
      <c r="DB6" s="1234"/>
      <c r="DC6" s="1206"/>
      <c r="DD6" s="1234"/>
      <c r="DE6" s="1206"/>
      <c r="DF6" s="1234"/>
      <c r="DG6" s="1206"/>
    </row>
    <row r="7" spans="1:113" s="7" customFormat="1" ht="36.75" customHeight="1" x14ac:dyDescent="0.45">
      <c r="A7" s="561"/>
      <c r="B7" s="1203"/>
      <c r="C7" s="10" t="s">
        <v>11</v>
      </c>
      <c r="D7" s="11"/>
      <c r="E7" s="247"/>
      <c r="F7" s="1200">
        <v>141884</v>
      </c>
      <c r="G7" s="1201"/>
      <c r="H7" s="1200">
        <v>141884</v>
      </c>
      <c r="I7" s="1201"/>
      <c r="J7" s="1200">
        <v>141884</v>
      </c>
      <c r="K7" s="1201"/>
      <c r="L7" s="1200">
        <v>141884</v>
      </c>
      <c r="M7" s="1201"/>
      <c r="N7" s="1267">
        <v>141884</v>
      </c>
      <c r="O7" s="1268"/>
      <c r="P7" s="1267">
        <v>141884</v>
      </c>
      <c r="Q7" s="1268"/>
      <c r="R7" s="1267">
        <v>141884</v>
      </c>
      <c r="S7" s="1268"/>
      <c r="T7" s="1267">
        <v>141884</v>
      </c>
      <c r="U7" s="1268"/>
      <c r="V7" s="1267">
        <v>141884</v>
      </c>
      <c r="W7" s="1268"/>
      <c r="X7" s="1267">
        <v>141884</v>
      </c>
      <c r="Y7" s="1268"/>
      <c r="Z7" s="1267">
        <v>141884</v>
      </c>
      <c r="AA7" s="1268"/>
      <c r="AB7" s="1267">
        <v>141884</v>
      </c>
      <c r="AC7" s="1268"/>
      <c r="AD7" s="1267">
        <v>141884</v>
      </c>
      <c r="AE7" s="1268"/>
      <c r="AF7" s="1267">
        <v>141884</v>
      </c>
      <c r="AG7" s="1268"/>
      <c r="AH7" s="1267">
        <v>141884</v>
      </c>
      <c r="AI7" s="1268"/>
      <c r="AJ7" s="1267">
        <v>141884</v>
      </c>
      <c r="AK7" s="1268"/>
      <c r="AL7" s="1267">
        <v>141884</v>
      </c>
      <c r="AM7" s="1268"/>
      <c r="AN7" s="1267">
        <v>141884</v>
      </c>
      <c r="AO7" s="1268"/>
      <c r="AP7" s="1267">
        <v>141884</v>
      </c>
      <c r="AQ7" s="1268"/>
      <c r="AR7" s="1267">
        <v>141884</v>
      </c>
      <c r="AS7" s="1268"/>
      <c r="AT7" s="1267">
        <v>141884</v>
      </c>
      <c r="AU7" s="1268"/>
      <c r="AV7" s="1267">
        <v>141884</v>
      </c>
      <c r="AW7" s="1268"/>
      <c r="AX7" s="1267">
        <v>141884</v>
      </c>
      <c r="AY7" s="1268"/>
      <c r="AZ7" s="1267">
        <v>141884</v>
      </c>
      <c r="BA7" s="1268"/>
      <c r="BB7" s="1267">
        <v>141884</v>
      </c>
      <c r="BC7" s="1268"/>
      <c r="BD7" s="1267">
        <v>141884</v>
      </c>
      <c r="BE7" s="1268"/>
      <c r="BF7" s="1267">
        <v>141884</v>
      </c>
      <c r="BG7" s="1268"/>
      <c r="BH7" s="1267">
        <v>141884</v>
      </c>
      <c r="BI7" s="1268"/>
      <c r="BJ7" s="1267">
        <v>141884</v>
      </c>
      <c r="BK7" s="1268"/>
      <c r="BL7" s="1267">
        <v>141884</v>
      </c>
      <c r="BM7" s="1268"/>
      <c r="BN7" s="1267">
        <v>141884</v>
      </c>
      <c r="BO7" s="1268"/>
      <c r="BP7" s="1267">
        <v>141884</v>
      </c>
      <c r="BQ7" s="1268"/>
      <c r="BR7" s="1267">
        <v>141884</v>
      </c>
      <c r="BS7" s="1268"/>
      <c r="BT7" s="1267">
        <v>141884</v>
      </c>
      <c r="BU7" s="1268"/>
      <c r="BV7" s="1267">
        <v>141884</v>
      </c>
      <c r="BW7" s="1268"/>
      <c r="BX7" s="1267">
        <v>141884</v>
      </c>
      <c r="BY7" s="1268"/>
      <c r="BZ7" s="1267">
        <v>141884</v>
      </c>
      <c r="CA7" s="1268"/>
      <c r="CB7" s="1267">
        <v>141884</v>
      </c>
      <c r="CC7" s="1268"/>
      <c r="CD7" s="1267">
        <v>435557</v>
      </c>
      <c r="CE7" s="1268"/>
      <c r="CF7" s="1267">
        <v>435557</v>
      </c>
      <c r="CG7" s="1268"/>
      <c r="CH7" s="1267">
        <v>435557</v>
      </c>
      <c r="CI7" s="1268"/>
      <c r="CJ7" s="1267">
        <v>435557</v>
      </c>
      <c r="CK7" s="1268"/>
      <c r="CL7" s="1267">
        <v>435557</v>
      </c>
      <c r="CM7" s="1268"/>
      <c r="CN7" s="1267">
        <v>141884</v>
      </c>
      <c r="CO7" s="1268"/>
      <c r="CP7" s="1267">
        <v>141884</v>
      </c>
      <c r="CQ7" s="1268"/>
      <c r="CR7" s="1267">
        <v>141884</v>
      </c>
      <c r="CS7" s="1268"/>
      <c r="CT7" s="1267">
        <v>141884</v>
      </c>
      <c r="CU7" s="1268"/>
      <c r="CV7" s="1267">
        <v>141884</v>
      </c>
      <c r="CW7" s="1268"/>
      <c r="CX7" s="1267">
        <v>141884</v>
      </c>
      <c r="CY7" s="1268"/>
      <c r="CZ7" s="1267">
        <v>141884</v>
      </c>
      <c r="DA7" s="1268"/>
      <c r="DB7" s="1267">
        <v>141884</v>
      </c>
      <c r="DC7" s="1268"/>
      <c r="DD7" s="1267">
        <v>141884</v>
      </c>
      <c r="DE7" s="1268"/>
      <c r="DF7" s="1267">
        <v>141884</v>
      </c>
      <c r="DG7" s="1268"/>
    </row>
    <row r="8" spans="1:113" s="7" customFormat="1" ht="15" customHeight="1" x14ac:dyDescent="0.45">
      <c r="A8" s="561"/>
      <c r="B8" s="1203"/>
      <c r="C8" s="12" t="s">
        <v>12</v>
      </c>
      <c r="D8" s="11"/>
      <c r="E8" s="11"/>
      <c r="F8" s="1232">
        <f>G60</f>
        <v>5.6</v>
      </c>
      <c r="G8" s="1233"/>
      <c r="H8" s="1232">
        <f>I60</f>
        <v>5.6</v>
      </c>
      <c r="I8" s="1233"/>
      <c r="J8" s="1232">
        <f>K60</f>
        <v>5.6</v>
      </c>
      <c r="K8" s="1233"/>
      <c r="L8" s="1232">
        <f>M60</f>
        <v>5.6</v>
      </c>
      <c r="M8" s="1233"/>
      <c r="N8" s="1269">
        <f>O60</f>
        <v>5.9937500000000004</v>
      </c>
      <c r="O8" s="1270"/>
      <c r="P8" s="1269">
        <f>Q60</f>
        <v>6.0499173553719015</v>
      </c>
      <c r="Q8" s="1270"/>
      <c r="R8" s="1269">
        <f>S60</f>
        <v>6.0499173553719015</v>
      </c>
      <c r="S8" s="1270"/>
      <c r="T8" s="1269">
        <f>U60</f>
        <v>6.0499173553719015</v>
      </c>
      <c r="U8" s="1270"/>
      <c r="V8" s="1269">
        <f>W60</f>
        <v>6.0499173553719015</v>
      </c>
      <c r="W8" s="1270"/>
      <c r="X8" s="1269">
        <f>Y60</f>
        <v>6.0499173553719015</v>
      </c>
      <c r="Y8" s="1270"/>
      <c r="Z8" s="1269">
        <f>AA60</f>
        <v>6.0499173553719015</v>
      </c>
      <c r="AA8" s="1270"/>
      <c r="AB8" s="1269">
        <f>AC60</f>
        <v>6.0499173553719015</v>
      </c>
      <c r="AC8" s="1270"/>
      <c r="AD8" s="1269">
        <f>AE60</f>
        <v>6.0499173553719015</v>
      </c>
      <c r="AE8" s="1270"/>
      <c r="AF8" s="1269">
        <f>AG60</f>
        <v>6.0499173553719015</v>
      </c>
      <c r="AG8" s="1270"/>
      <c r="AH8" s="1269">
        <f>AI60</f>
        <v>6.0499173553719015</v>
      </c>
      <c r="AI8" s="1270"/>
      <c r="AJ8" s="1269">
        <f>AK60</f>
        <v>6.0499173553719015</v>
      </c>
      <c r="AK8" s="1270"/>
      <c r="AL8" s="1269">
        <f t="shared" ref="AL8" si="18">AM60</f>
        <v>6.0499173553719015</v>
      </c>
      <c r="AM8" s="1270"/>
      <c r="AN8" s="1269">
        <f t="shared" ref="AN8:AP8" si="19">AO60</f>
        <v>6.0499173553719015</v>
      </c>
      <c r="AO8" s="1270"/>
      <c r="AP8" s="1269">
        <f t="shared" si="19"/>
        <v>6.0499173553719015</v>
      </c>
      <c r="AQ8" s="1270"/>
      <c r="AR8" s="1269">
        <f t="shared" ref="AR8" si="20">AS60</f>
        <v>6.0499173553719015</v>
      </c>
      <c r="AS8" s="1270"/>
      <c r="AT8" s="1269">
        <f t="shared" ref="AT8" si="21">AU60</f>
        <v>6.0499173553719015</v>
      </c>
      <c r="AU8" s="1270"/>
      <c r="AV8" s="1269">
        <f t="shared" ref="AV8" si="22">AW60</f>
        <v>6.0499173553719015</v>
      </c>
      <c r="AW8" s="1270"/>
      <c r="AX8" s="1269">
        <f t="shared" ref="AX8" si="23">AY60</f>
        <v>6.0499173553719015</v>
      </c>
      <c r="AY8" s="1270"/>
      <c r="AZ8" s="1269">
        <f t="shared" ref="AZ8" si="24">BA60</f>
        <v>6.0499173553719015</v>
      </c>
      <c r="BA8" s="1270"/>
      <c r="BB8" s="1269">
        <f t="shared" ref="BB8" si="25">BC60</f>
        <v>6.0499173553719015</v>
      </c>
      <c r="BC8" s="1270"/>
      <c r="BD8" s="1269">
        <f t="shared" ref="BD8" si="26">BE60</f>
        <v>6.0499173553719015</v>
      </c>
      <c r="BE8" s="1270"/>
      <c r="BF8" s="1269">
        <f t="shared" ref="BF8" si="27">BG60</f>
        <v>6.0499173553719015</v>
      </c>
      <c r="BG8" s="1270"/>
      <c r="BH8" s="1269">
        <f t="shared" ref="BH8" si="28">BI60</f>
        <v>6.0499173553719015</v>
      </c>
      <c r="BI8" s="1270"/>
      <c r="BJ8" s="1269">
        <f t="shared" ref="BJ8" si="29">BK60</f>
        <v>6.05</v>
      </c>
      <c r="BK8" s="1270"/>
      <c r="BL8" s="1269">
        <f t="shared" ref="BL8" si="30">BM60</f>
        <v>6.05</v>
      </c>
      <c r="BM8" s="1270"/>
      <c r="BN8" s="1269">
        <f t="shared" ref="BN8" si="31">BO60</f>
        <v>6.05</v>
      </c>
      <c r="BO8" s="1270"/>
      <c r="BP8" s="1269">
        <f t="shared" ref="BP8" si="32">BQ60</f>
        <v>6.05</v>
      </c>
      <c r="BQ8" s="1270"/>
      <c r="BR8" s="1269">
        <f t="shared" ref="BR8" si="33">BS60</f>
        <v>6.05</v>
      </c>
      <c r="BS8" s="1270"/>
      <c r="BT8" s="1269">
        <f t="shared" ref="BT8" si="34">BU60</f>
        <v>6.05</v>
      </c>
      <c r="BU8" s="1270"/>
      <c r="BV8" s="1269">
        <f t="shared" ref="BV8" si="35">BW60</f>
        <v>6.05</v>
      </c>
      <c r="BW8" s="1270"/>
      <c r="BX8" s="1269">
        <f t="shared" ref="BX8" si="36">BY60</f>
        <v>6.05</v>
      </c>
      <c r="BY8" s="1270"/>
      <c r="BZ8" s="1269">
        <f t="shared" ref="BZ8" si="37">CA60</f>
        <v>6.05</v>
      </c>
      <c r="CA8" s="1270"/>
      <c r="CB8" s="1269">
        <f t="shared" ref="CB8" si="38">CC60</f>
        <v>6.05</v>
      </c>
      <c r="CC8" s="1270"/>
      <c r="CD8" s="1269">
        <f t="shared" ref="CD8" si="39">CE60</f>
        <v>6.0475000000000003</v>
      </c>
      <c r="CE8" s="1270"/>
      <c r="CF8" s="1269">
        <f t="shared" ref="CF8" si="40">CG60</f>
        <v>6.0475000000000003</v>
      </c>
      <c r="CG8" s="1270"/>
      <c r="CH8" s="1269">
        <f t="shared" ref="CH8" si="41">CI60</f>
        <v>6.0475000000000003</v>
      </c>
      <c r="CI8" s="1270"/>
      <c r="CJ8" s="1269">
        <f t="shared" ref="CJ8" si="42">CK60</f>
        <v>6.0475000000000003</v>
      </c>
      <c r="CK8" s="1270"/>
      <c r="CL8" s="1269">
        <f t="shared" ref="CL8" si="43">CM60</f>
        <v>6.0475000000000003</v>
      </c>
      <c r="CM8" s="1270"/>
      <c r="CN8" s="1269">
        <f t="shared" ref="CN8" si="44">CO60</f>
        <v>6.05</v>
      </c>
      <c r="CO8" s="1270"/>
      <c r="CP8" s="1269">
        <f>CQ60</f>
        <v>6.0266920574807088</v>
      </c>
      <c r="CQ8" s="1270"/>
      <c r="CR8" s="1269">
        <f>CS60</f>
        <v>6.0499173553719015</v>
      </c>
      <c r="CS8" s="1270"/>
      <c r="CT8" s="1269">
        <f>CU60</f>
        <v>6.0499173553719015</v>
      </c>
      <c r="CU8" s="1270"/>
      <c r="CV8" s="1269">
        <f>CW60</f>
        <v>6.0499173553719015</v>
      </c>
      <c r="CW8" s="1270"/>
      <c r="CX8" s="1269">
        <f>CY60</f>
        <v>6.0375315815732744</v>
      </c>
      <c r="CY8" s="1270"/>
      <c r="CZ8" s="1269">
        <f>DA60</f>
        <v>6.0499173553719015</v>
      </c>
      <c r="DA8" s="1270"/>
      <c r="DB8" s="1269">
        <f>DC60</f>
        <v>6.55</v>
      </c>
      <c r="DC8" s="1270"/>
      <c r="DD8" s="1269">
        <f>DE60</f>
        <v>6.0499173553719015</v>
      </c>
      <c r="DE8" s="1270"/>
      <c r="DF8" s="1269">
        <f>DG60</f>
        <v>6.0499173553719015</v>
      </c>
      <c r="DG8" s="1270"/>
    </row>
    <row r="9" spans="1:113" s="7" customFormat="1" ht="39" customHeigh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$0.50/ctn</v>
      </c>
      <c r="G9" s="1191"/>
      <c r="H9" s="1190" t="str">
        <f>CONCATENATE("TP $",TEXT(I57,"#,##0.00"),"/ctn")</f>
        <v>TP $0.40/ctn</v>
      </c>
      <c r="I9" s="1191"/>
      <c r="J9" s="1190" t="str">
        <f>CONCATENATE("TP $",TEXT(K57,"#,##0.00"),"/ctn")</f>
        <v>TP $0.40/ctn</v>
      </c>
      <c r="K9" s="1191"/>
      <c r="L9" s="1190" t="str">
        <f>CONCATENATE("TP $",TEXT(M57,"#,##0.00"),"/ctn")</f>
        <v>TP $0.40/ctn</v>
      </c>
      <c r="M9" s="1191"/>
      <c r="N9" s="1271" t="str">
        <f>CONCATENATE("TP $",TEXT(O57,"#,##0.00"),"/ctn")</f>
        <v>TP $0.75/ctn</v>
      </c>
      <c r="O9" s="1272"/>
      <c r="P9" s="1271" t="str">
        <f>CONCATENATE("TP $",TEXT(Q57,"#,##0.00"),"/ctn")</f>
        <v>TP $0.80/ctn</v>
      </c>
      <c r="Q9" s="1272"/>
      <c r="R9" s="1271" t="str">
        <f>CONCATENATE("TP $",TEXT(S57,"#,##0.00"),"/ctn")</f>
        <v>TP $0.80/ctn</v>
      </c>
      <c r="S9" s="1272"/>
      <c r="T9" s="1271" t="str">
        <f>CONCATENATE("TP $",TEXT(U57,"#,##0.00"),"/ctn")</f>
        <v>TP $0.80/ctn</v>
      </c>
      <c r="U9" s="1272"/>
      <c r="V9" s="1271" t="str">
        <f>CONCATENATE("TP $",TEXT(W57,"#,##0.00"),"/ctn")</f>
        <v>TP $0.80/ctn</v>
      </c>
      <c r="W9" s="1272"/>
      <c r="X9" s="1271" t="str">
        <f>CONCATENATE("TP $",TEXT(Y57,"#,##0.00"),"/ctn")</f>
        <v>TP $0.80/ctn</v>
      </c>
      <c r="Y9" s="1272"/>
      <c r="Z9" s="1271" t="str">
        <f>CONCATENATE("TP $",TEXT(AA57,"#,##0.00"),"/ctn")</f>
        <v>TP $0.80/ctn</v>
      </c>
      <c r="AA9" s="1272"/>
      <c r="AB9" s="1271" t="str">
        <f>CONCATENATE("TP $",TEXT(AC57,"#,##0.00"),"/ctn")</f>
        <v>TP $0.80/ctn</v>
      </c>
      <c r="AC9" s="1272"/>
      <c r="AD9" s="1271" t="str">
        <f>CONCATENATE("TP $",TEXT(AE57,"#,##0.00"),"/ctn")</f>
        <v>TP $0.80/ctn</v>
      </c>
      <c r="AE9" s="1272"/>
      <c r="AF9" s="1271" t="str">
        <f>CONCATENATE("TP $",TEXT(AG57,"#,##0.00"),"/ctn")</f>
        <v>TP $0.80/ctn</v>
      </c>
      <c r="AG9" s="1272"/>
      <c r="AH9" s="1271" t="str">
        <f>CONCATENATE("TP $",TEXT(AI57,"#,##0.00"),"/ctn")</f>
        <v>TP $0.80/ctn</v>
      </c>
      <c r="AI9" s="1272"/>
      <c r="AJ9" s="1271" t="str">
        <f>CONCATENATE("TP $",TEXT(AK57,"#,##0.00"),"/ctn")</f>
        <v>TP $0.80/ctn</v>
      </c>
      <c r="AK9" s="1272"/>
      <c r="AL9" s="1271" t="str">
        <f t="shared" ref="AL9" si="45">CONCATENATE("TP $",TEXT(AM57,"#,##0.00"),"/ctn")</f>
        <v>TP $0.80/ctn</v>
      </c>
      <c r="AM9" s="1272"/>
      <c r="AN9" s="1271" t="str">
        <f t="shared" ref="AN9:AP9" si="46">CONCATENATE("TP $",TEXT(AO57,"#,##0.00"),"/ctn")</f>
        <v>TP $0.80/ctn</v>
      </c>
      <c r="AO9" s="1272"/>
      <c r="AP9" s="1271" t="str">
        <f t="shared" si="46"/>
        <v>TP $0.80/ctn</v>
      </c>
      <c r="AQ9" s="1272"/>
      <c r="AR9" s="1271" t="str">
        <f t="shared" ref="AR9" si="47">CONCATENATE("TP $",TEXT(AS57,"#,##0.00"),"/ctn")</f>
        <v>TP $0.80/ctn</v>
      </c>
      <c r="AS9" s="1272"/>
      <c r="AT9" s="1271" t="str">
        <f t="shared" ref="AT9" si="48">CONCATENATE("TP $",TEXT(AU57,"#,##0.00"),"/ctn")</f>
        <v>TP $0.80/ctn</v>
      </c>
      <c r="AU9" s="1272"/>
      <c r="AV9" s="1271" t="str">
        <f t="shared" ref="AV9" si="49">CONCATENATE("TP $",TEXT(AW57,"#,##0.00"),"/ctn")</f>
        <v>TP $0.80/ctn</v>
      </c>
      <c r="AW9" s="1272"/>
      <c r="AX9" s="1271" t="str">
        <f t="shared" ref="AX9" si="50">CONCATENATE("TP $",TEXT(AY57,"#,##0.00"),"/ctn")</f>
        <v>TP $0.80/ctn</v>
      </c>
      <c r="AY9" s="1272"/>
      <c r="AZ9" s="1271" t="str">
        <f t="shared" ref="AZ9" si="51">CONCATENATE("TP $",TEXT(BA57,"#,##0.00"),"/ctn")</f>
        <v>TP $0.80/ctn</v>
      </c>
      <c r="BA9" s="1272"/>
      <c r="BB9" s="1271" t="str">
        <f t="shared" ref="BB9" si="52">CONCATENATE("TP $",TEXT(BC57,"#,##0.00"),"/ctn")</f>
        <v>TP $0.80/ctn</v>
      </c>
      <c r="BC9" s="1272"/>
      <c r="BD9" s="1271" t="str">
        <f t="shared" ref="BD9" si="53">CONCATENATE("TP $",TEXT(BE57,"#,##0.00"),"/ctn")</f>
        <v>TP $0.80/ctn</v>
      </c>
      <c r="BE9" s="1272"/>
      <c r="BF9" s="1271" t="str">
        <f t="shared" ref="BF9" si="54">CONCATENATE("TP $",TEXT(BG57,"#,##0.00"),"/ctn")</f>
        <v>TP $0.80/ctn</v>
      </c>
      <c r="BG9" s="1272"/>
      <c r="BH9" s="1271" t="str">
        <f t="shared" ref="BH9" si="55">CONCATENATE("TP $",TEXT(BI57,"#,##0.00"),"/ctn")</f>
        <v>TP $0.80/ctn</v>
      </c>
      <c r="BI9" s="1272"/>
      <c r="BJ9" s="1271" t="str">
        <f t="shared" ref="BJ9" si="56">CONCATENATE("TP $",TEXT(BK57,"#,##0.00"),"/ctn")</f>
        <v>TP $0.80/ctn</v>
      </c>
      <c r="BK9" s="1272"/>
      <c r="BL9" s="1271" t="str">
        <f t="shared" ref="BL9" si="57">CONCATENATE("TP $",TEXT(BM57,"#,##0.00"),"/ctn")</f>
        <v>TP $0.80/ctn</v>
      </c>
      <c r="BM9" s="1272"/>
      <c r="BN9" s="1271" t="str">
        <f t="shared" ref="BN9" si="58">CONCATENATE("TP $",TEXT(BO57,"#,##0.00"),"/ctn")</f>
        <v>TP $0.80/ctn</v>
      </c>
      <c r="BO9" s="1272"/>
      <c r="BP9" s="1271" t="str">
        <f t="shared" ref="BP9" si="59">CONCATENATE("TP $",TEXT(BQ57,"#,##0.00"),"/ctn")</f>
        <v>TP $0.80/ctn</v>
      </c>
      <c r="BQ9" s="1272"/>
      <c r="BR9" s="1271" t="str">
        <f t="shared" ref="BR9" si="60">CONCATENATE("TP $",TEXT(BS57,"#,##0.00"),"/ctn")</f>
        <v>TP $0.80/ctn</v>
      </c>
      <c r="BS9" s="1272"/>
      <c r="BT9" s="1271" t="str">
        <f t="shared" ref="BT9" si="61">CONCATENATE("TP $",TEXT(BU57,"#,##0.00"),"/ctn")</f>
        <v>TP $0.80/ctn</v>
      </c>
      <c r="BU9" s="1272"/>
      <c r="BV9" s="1271" t="str">
        <f t="shared" ref="BV9" si="62">CONCATENATE("TP $",TEXT(BW57,"#,##0.00"),"/ctn")</f>
        <v>TP $0.80/ctn</v>
      </c>
      <c r="BW9" s="1272"/>
      <c r="BX9" s="1271" t="str">
        <f t="shared" ref="BX9" si="63">CONCATENATE("TP $",TEXT(BY57,"#,##0.00"),"/ctn")</f>
        <v>TP $0.80/ctn</v>
      </c>
      <c r="BY9" s="1272"/>
      <c r="BZ9" s="1271" t="str">
        <f t="shared" ref="BZ9" si="64">CONCATENATE("TP $",TEXT(CA57,"#,##0.00"),"/ctn")</f>
        <v>TP $0.80/ctn</v>
      </c>
      <c r="CA9" s="1272"/>
      <c r="CB9" s="1271" t="str">
        <f t="shared" ref="CB9" si="65">CONCATENATE("TP $",TEXT(CC57,"#,##0.00"),"/ctn")</f>
        <v>TP $0.80/ctn</v>
      </c>
      <c r="CC9" s="1272"/>
      <c r="CD9" s="1271" t="str">
        <f t="shared" ref="CD9" si="66">CONCATENATE("TP $",TEXT(CE57,"#,##0.00"),"/ctn")</f>
        <v>TP $0.80/ctn</v>
      </c>
      <c r="CE9" s="1272"/>
      <c r="CF9" s="1271" t="str">
        <f t="shared" ref="CF9" si="67">CONCATENATE("TP $",TEXT(CG57,"#,##0.00"),"/ctn")</f>
        <v>TP $0.80/ctn</v>
      </c>
      <c r="CG9" s="1272"/>
      <c r="CH9" s="1271" t="str">
        <f t="shared" ref="CH9" si="68">CONCATENATE("TP $",TEXT(CI57,"#,##0.00"),"/ctn")</f>
        <v>TP $0.80/ctn</v>
      </c>
      <c r="CI9" s="1272"/>
      <c r="CJ9" s="1271" t="str">
        <f t="shared" ref="CJ9" si="69">CONCATENATE("TP $",TEXT(CK57,"#,##0.00"),"/ctn")</f>
        <v>TP $0.80/ctn</v>
      </c>
      <c r="CK9" s="1272"/>
      <c r="CL9" s="1271" t="str">
        <f t="shared" ref="CL9" si="70">CONCATENATE("TP $",TEXT(CM57,"#,##0.00"),"/ctn")</f>
        <v>TP $0.80/ctn</v>
      </c>
      <c r="CM9" s="1272"/>
      <c r="CN9" s="1271" t="str">
        <f t="shared" ref="CN9" si="71">CONCATENATE("TP $",TEXT(CO57,"#,##0.00"),"/ctn")</f>
        <v>TP $0.80/ctn</v>
      </c>
      <c r="CO9" s="1272"/>
      <c r="CP9" s="1271" t="str">
        <f>CONCATENATE("TP $",TEXT(CQ57,"#,##0.00"),"/ctn")</f>
        <v>TP $0.78/ctn</v>
      </c>
      <c r="CQ9" s="1272"/>
      <c r="CR9" s="1271" t="str">
        <f>CONCATENATE("TP $",TEXT(CS57,"#,##0.00"),"/ctn")</f>
        <v>TP $0.80/ctn</v>
      </c>
      <c r="CS9" s="1272"/>
      <c r="CT9" s="1271" t="str">
        <f>CONCATENATE("TP $",TEXT(CU57,"#,##0.00"),"/ctn")</f>
        <v>TP $0.80/ctn</v>
      </c>
      <c r="CU9" s="1272"/>
      <c r="CV9" s="1271" t="str">
        <f>CONCATENATE("TP $",TEXT(CW57,"#,##0.00"),"/ctn")</f>
        <v>TP $0.80/ctn</v>
      </c>
      <c r="CW9" s="1272"/>
      <c r="CX9" s="1271" t="str">
        <f>CONCATENATE("TP $",TEXT(CY57,"#,##0.00"),"/ctn")</f>
        <v>TP $0.79/ctn</v>
      </c>
      <c r="CY9" s="1272"/>
      <c r="CZ9" s="1271" t="str">
        <f>CONCATENATE("TP $",TEXT(DA57,"#,##0.00"),"/ctn")</f>
        <v>TP $0.80/ctn</v>
      </c>
      <c r="DA9" s="1272"/>
      <c r="DB9" s="1271" t="str">
        <f>CONCATENATE("TP $",TEXT(DC57,"#,##0.00"),"/ctn")</f>
        <v>TP $1.05/ctn</v>
      </c>
      <c r="DC9" s="1272"/>
      <c r="DD9" s="1271" t="str">
        <f>CONCATENATE("TP $",TEXT(DE57,"#,##0.00"),"/ctn")</f>
        <v>TP $0.80/ctn</v>
      </c>
      <c r="DE9" s="1272"/>
      <c r="DF9" s="1271" t="str">
        <f>CONCATENATE("TP $",TEXT(DG57,"#,##0.00"),"/ctn")</f>
        <v>TP $0.80/ctn</v>
      </c>
      <c r="DG9" s="1272"/>
    </row>
    <row r="10" spans="1:113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>RIGHT(J2,2)</f>
        <v>40</v>
      </c>
      <c r="K10" s="253" t="str">
        <f>+J10</f>
        <v>40</v>
      </c>
      <c r="L10" s="252" t="str">
        <f>RIGHT(L2,2)</f>
        <v>40</v>
      </c>
      <c r="M10" s="253" t="str">
        <f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348" t="str">
        <f>RIGHT(AF2,2)</f>
        <v>40</v>
      </c>
      <c r="AG10" s="349" t="str">
        <f>+AF10</f>
        <v>40</v>
      </c>
      <c r="AH10" s="348" t="str">
        <f>RIGHT(AH2,2)</f>
        <v>40</v>
      </c>
      <c r="AI10" s="349" t="str">
        <f>+AH10</f>
        <v>40</v>
      </c>
      <c r="AJ10" s="348" t="str">
        <f>RIGHT(AJ2,2)</f>
        <v>40</v>
      </c>
      <c r="AK10" s="349" t="str">
        <f>+AJ10</f>
        <v>40</v>
      </c>
      <c r="AL10" s="348" t="str">
        <f t="shared" ref="AL10" si="72">RIGHT(AL2,2)</f>
        <v>40</v>
      </c>
      <c r="AM10" s="349" t="str">
        <f t="shared" ref="AM10" si="73">+AL10</f>
        <v>40</v>
      </c>
      <c r="AN10" s="348" t="str">
        <f t="shared" ref="AN10:AP10" si="74">RIGHT(AN2,2)</f>
        <v>40</v>
      </c>
      <c r="AO10" s="349" t="str">
        <f t="shared" ref="AO10:AQ10" si="75">+AN10</f>
        <v>40</v>
      </c>
      <c r="AP10" s="348" t="str">
        <f t="shared" si="74"/>
        <v>40</v>
      </c>
      <c r="AQ10" s="349" t="str">
        <f t="shared" si="75"/>
        <v>40</v>
      </c>
      <c r="AR10" s="348" t="str">
        <f t="shared" ref="AR10" si="76">RIGHT(AR2,2)</f>
        <v>40</v>
      </c>
      <c r="AS10" s="349" t="str">
        <f t="shared" ref="AS10" si="77">+AR10</f>
        <v>40</v>
      </c>
      <c r="AT10" s="348" t="str">
        <f t="shared" ref="AT10" si="78">RIGHT(AT2,2)</f>
        <v>40</v>
      </c>
      <c r="AU10" s="349" t="str">
        <f t="shared" ref="AU10" si="79">+AT10</f>
        <v>40</v>
      </c>
      <c r="AV10" s="348" t="str">
        <f t="shared" ref="AV10" si="80">RIGHT(AV2,2)</f>
        <v>40</v>
      </c>
      <c r="AW10" s="349" t="str">
        <f t="shared" ref="AW10" si="81">+AV10</f>
        <v>40</v>
      </c>
      <c r="AX10" s="348" t="str">
        <f t="shared" ref="AX10" si="82">RIGHT(AX2,2)</f>
        <v>40</v>
      </c>
      <c r="AY10" s="349" t="str">
        <f t="shared" ref="AY10" si="83">+AX10</f>
        <v>40</v>
      </c>
      <c r="AZ10" s="348" t="str">
        <f t="shared" ref="AZ10:BB10" si="84">RIGHT(AZ2,2)</f>
        <v>40</v>
      </c>
      <c r="BA10" s="349" t="str">
        <f t="shared" ref="BA10" si="85">+AZ10</f>
        <v>40</v>
      </c>
      <c r="BB10" s="348" t="str">
        <f t="shared" si="84"/>
        <v>40</v>
      </c>
      <c r="BC10" s="349" t="str">
        <f t="shared" ref="BC10" si="86">+BB10</f>
        <v>40</v>
      </c>
      <c r="BD10" s="348" t="str">
        <f t="shared" ref="BD10:BJ10" si="87">RIGHT(BD2,2)</f>
        <v>40</v>
      </c>
      <c r="BE10" s="349" t="str">
        <f t="shared" ref="BE10" si="88">+BD10</f>
        <v>40</v>
      </c>
      <c r="BF10" s="348" t="str">
        <f t="shared" si="87"/>
        <v>40</v>
      </c>
      <c r="BG10" s="349" t="str">
        <f t="shared" ref="BG10" si="89">+BF10</f>
        <v>40</v>
      </c>
      <c r="BH10" s="348" t="str">
        <f t="shared" si="87"/>
        <v>40</v>
      </c>
      <c r="BI10" s="349" t="str">
        <f t="shared" ref="BI10" si="90">+BH10</f>
        <v>40</v>
      </c>
      <c r="BJ10" s="348" t="str">
        <f t="shared" si="87"/>
        <v>40</v>
      </c>
      <c r="BK10" s="349" t="str">
        <f t="shared" ref="BK10" si="91">+BJ10</f>
        <v>40</v>
      </c>
      <c r="BL10" s="348" t="str">
        <f t="shared" ref="BL10" si="92">RIGHT(BL2,2)</f>
        <v>40</v>
      </c>
      <c r="BM10" s="349" t="str">
        <f t="shared" ref="BM10" si="93">+BL10</f>
        <v>40</v>
      </c>
      <c r="BN10" s="348" t="str">
        <f t="shared" ref="BN10" si="94">RIGHT(BN2,2)</f>
        <v>40</v>
      </c>
      <c r="BO10" s="349" t="str">
        <f t="shared" ref="BO10" si="95">+BN10</f>
        <v>40</v>
      </c>
      <c r="BP10" s="348" t="str">
        <f t="shared" ref="BP10:BR10" si="96">RIGHT(BP2,2)</f>
        <v>40</v>
      </c>
      <c r="BQ10" s="349" t="str">
        <f t="shared" ref="BQ10" si="97">+BP10</f>
        <v>40</v>
      </c>
      <c r="BR10" s="348" t="str">
        <f t="shared" si="96"/>
        <v>40</v>
      </c>
      <c r="BS10" s="349" t="str">
        <f t="shared" ref="BS10" si="98">+BR10</f>
        <v>40</v>
      </c>
      <c r="BT10" s="348" t="str">
        <f t="shared" ref="BT10:BV10" si="99">RIGHT(BT2,2)</f>
        <v>40</v>
      </c>
      <c r="BU10" s="349" t="str">
        <f t="shared" ref="BU10" si="100">+BT10</f>
        <v>40</v>
      </c>
      <c r="BV10" s="348" t="str">
        <f t="shared" si="99"/>
        <v>40</v>
      </c>
      <c r="BW10" s="349" t="str">
        <f t="shared" ref="BW10" si="101">+BV10</f>
        <v>40</v>
      </c>
      <c r="BX10" s="348" t="str">
        <f t="shared" ref="BX10:BZ10" si="102">RIGHT(BX2,2)</f>
        <v>40</v>
      </c>
      <c r="BY10" s="349" t="str">
        <f t="shared" ref="BY10" si="103">+BX10</f>
        <v>40</v>
      </c>
      <c r="BZ10" s="348" t="str">
        <f t="shared" si="102"/>
        <v>40</v>
      </c>
      <c r="CA10" s="349" t="str">
        <f t="shared" ref="CA10" si="104">+BZ10</f>
        <v>40</v>
      </c>
      <c r="CB10" s="348" t="str">
        <f t="shared" ref="CB10:CD10" si="105">RIGHT(CB2,2)</f>
        <v>40</v>
      </c>
      <c r="CC10" s="349" t="str">
        <f t="shared" ref="CC10" si="106">+CB10</f>
        <v>40</v>
      </c>
      <c r="CD10" s="348" t="str">
        <f t="shared" si="105"/>
        <v>40</v>
      </c>
      <c r="CE10" s="349" t="str">
        <f t="shared" ref="CE10" si="107">+CD10</f>
        <v>40</v>
      </c>
      <c r="CF10" s="348" t="str">
        <f t="shared" ref="CF10:CH10" si="108">RIGHT(CF2,2)</f>
        <v>40</v>
      </c>
      <c r="CG10" s="349" t="str">
        <f t="shared" ref="CG10" si="109">+CF10</f>
        <v>40</v>
      </c>
      <c r="CH10" s="348" t="str">
        <f t="shared" si="108"/>
        <v>40</v>
      </c>
      <c r="CI10" s="349" t="str">
        <f t="shared" ref="CI10" si="110">+CH10</f>
        <v>40</v>
      </c>
      <c r="CJ10" s="348" t="str">
        <f t="shared" ref="CJ10" si="111">RIGHT(CJ2,2)</f>
        <v>40</v>
      </c>
      <c r="CK10" s="349" t="str">
        <f t="shared" ref="CK10" si="112">+CJ10</f>
        <v>40</v>
      </c>
      <c r="CL10" s="348" t="str">
        <f t="shared" ref="CL10" si="113">RIGHT(CL2,2)</f>
        <v>40</v>
      </c>
      <c r="CM10" s="349" t="str">
        <f t="shared" ref="CM10" si="114">+CL10</f>
        <v>40</v>
      </c>
      <c r="CN10" s="348" t="str">
        <f t="shared" ref="CN10" si="115">RIGHT(CN2,2)</f>
        <v>40</v>
      </c>
      <c r="CO10" s="349" t="str">
        <f t="shared" ref="CO10" si="116">+CN10</f>
        <v>40</v>
      </c>
      <c r="CP10" s="348" t="str">
        <f>RIGHT(CP2,2)</f>
        <v>40</v>
      </c>
      <c r="CQ10" s="349" t="str">
        <f>+CP10</f>
        <v>40</v>
      </c>
      <c r="CR10" s="348" t="str">
        <f>RIGHT(CR2,2)</f>
        <v>40</v>
      </c>
      <c r="CS10" s="349" t="str">
        <f>+CR10</f>
        <v>40</v>
      </c>
      <c r="CT10" s="348" t="str">
        <f>RIGHT(CT2,2)</f>
        <v>40</v>
      </c>
      <c r="CU10" s="349" t="str">
        <f>+CT10</f>
        <v>40</v>
      </c>
      <c r="CV10" s="348" t="str">
        <f>RIGHT(CV2,2)</f>
        <v>40</v>
      </c>
      <c r="CW10" s="349" t="str">
        <f>+CV10</f>
        <v>40</v>
      </c>
      <c r="CX10" s="348" t="str">
        <f>RIGHT(CX2,2)</f>
        <v>40</v>
      </c>
      <c r="CY10" s="349" t="str">
        <f>+CX10</f>
        <v>40</v>
      </c>
      <c r="CZ10" s="348" t="str">
        <f>RIGHT(CZ2,2)</f>
        <v>40</v>
      </c>
      <c r="DA10" s="349" t="str">
        <f>+CZ10</f>
        <v>40</v>
      </c>
      <c r="DB10" s="348" t="str">
        <f>RIGHT(DB2,2)</f>
        <v>40</v>
      </c>
      <c r="DC10" s="349" t="str">
        <f>+DB10</f>
        <v>40</v>
      </c>
      <c r="DD10" s="348" t="str">
        <f>RIGHT(DD2,2)</f>
        <v>40</v>
      </c>
      <c r="DE10" s="349" t="str">
        <f>+DD10</f>
        <v>40</v>
      </c>
      <c r="DF10" s="348" t="str">
        <f>RIGHT(DF2,2)</f>
        <v>40</v>
      </c>
      <c r="DG10" s="349" t="str">
        <f>+DF10</f>
        <v>40</v>
      </c>
    </row>
    <row r="11" spans="1:113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21" t="s">
        <v>25</v>
      </c>
      <c r="BY11" s="22" t="s">
        <v>26</v>
      </c>
      <c r="BZ11" s="21" t="s">
        <v>25</v>
      </c>
      <c r="CA11" s="22" t="s">
        <v>26</v>
      </c>
      <c r="CB11" s="21" t="s">
        <v>25</v>
      </c>
      <c r="CC11" s="22" t="s">
        <v>26</v>
      </c>
      <c r="CD11" s="21" t="s">
        <v>25</v>
      </c>
      <c r="CE11" s="22" t="s">
        <v>26</v>
      </c>
      <c r="CF11" s="21" t="s">
        <v>25</v>
      </c>
      <c r="CG11" s="22" t="s">
        <v>26</v>
      </c>
      <c r="CH11" s="21" t="s">
        <v>25</v>
      </c>
      <c r="CI11" s="22" t="s">
        <v>26</v>
      </c>
      <c r="CJ11" s="21" t="s">
        <v>25</v>
      </c>
      <c r="CK11" s="22" t="s">
        <v>26</v>
      </c>
      <c r="CL11" s="21" t="s">
        <v>25</v>
      </c>
      <c r="CM11" s="22" t="s">
        <v>26</v>
      </c>
      <c r="CN11" s="21" t="s">
        <v>25</v>
      </c>
      <c r="CO11" s="22" t="s">
        <v>26</v>
      </c>
      <c r="CP11" s="21" t="s">
        <v>25</v>
      </c>
      <c r="CQ11" s="22" t="s">
        <v>26</v>
      </c>
      <c r="CR11" s="21" t="s">
        <v>25</v>
      </c>
      <c r="CS11" s="22" t="s">
        <v>26</v>
      </c>
      <c r="CT11" s="21" t="s">
        <v>25</v>
      </c>
      <c r="CU11" s="22" t="s">
        <v>26</v>
      </c>
      <c r="CV11" s="21" t="s">
        <v>25</v>
      </c>
      <c r="CW11" s="22" t="s">
        <v>26</v>
      </c>
      <c r="CX11" s="21" t="s">
        <v>25</v>
      </c>
      <c r="CY11" s="22" t="s">
        <v>26</v>
      </c>
      <c r="CZ11" s="21" t="s">
        <v>25</v>
      </c>
      <c r="DA11" s="22" t="s">
        <v>26</v>
      </c>
      <c r="DB11" s="21" t="s">
        <v>25</v>
      </c>
      <c r="DC11" s="22" t="s">
        <v>26</v>
      </c>
      <c r="DD11" s="21" t="s">
        <v>25</v>
      </c>
      <c r="DE11" s="22" t="s">
        <v>26</v>
      </c>
      <c r="DF11" s="21" t="s">
        <v>25</v>
      </c>
      <c r="DG11" s="22" t="s">
        <v>26</v>
      </c>
    </row>
    <row r="12" spans="1:113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350">
        <v>4068.66</v>
      </c>
      <c r="AG12" s="351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350">
        <v>4068.66</v>
      </c>
      <c r="BY12" s="351"/>
      <c r="BZ12" s="350">
        <v>4068.66</v>
      </c>
      <c r="CA12" s="351"/>
      <c r="CB12" s="350">
        <v>4068.66</v>
      </c>
      <c r="CC12" s="351"/>
      <c r="CD12" s="350">
        <v>4068.66</v>
      </c>
      <c r="CE12" s="351"/>
      <c r="CF12" s="350">
        <v>4068.66</v>
      </c>
      <c r="CG12" s="351"/>
      <c r="CH12" s="350">
        <v>4068.66</v>
      </c>
      <c r="CI12" s="351"/>
      <c r="CJ12" s="350">
        <v>4068.66</v>
      </c>
      <c r="CK12" s="351"/>
      <c r="CL12" s="350">
        <v>4068.66</v>
      </c>
      <c r="CM12" s="351"/>
      <c r="CN12" s="350">
        <v>4068.66</v>
      </c>
      <c r="CO12" s="351"/>
      <c r="CP12" s="350">
        <v>4068.66</v>
      </c>
      <c r="CQ12" s="351"/>
      <c r="CR12" s="350">
        <v>4068.66</v>
      </c>
      <c r="CS12" s="351"/>
      <c r="CT12" s="350">
        <v>4068.66</v>
      </c>
      <c r="CU12" s="351"/>
      <c r="CV12" s="350">
        <v>4068.66</v>
      </c>
      <c r="CW12" s="351"/>
      <c r="CX12" s="350">
        <v>4068.66</v>
      </c>
      <c r="CY12" s="351"/>
      <c r="CZ12" s="350">
        <v>4068.66</v>
      </c>
      <c r="DA12" s="351"/>
      <c r="DB12" s="350">
        <v>4068.66</v>
      </c>
      <c r="DC12" s="351"/>
      <c r="DD12" s="350">
        <v>4068.66</v>
      </c>
      <c r="DE12" s="351"/>
      <c r="DF12" s="350">
        <v>4068.66</v>
      </c>
      <c r="DG12" s="351"/>
    </row>
    <row r="13" spans="1:113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352"/>
      <c r="AG13" s="353"/>
      <c r="AH13" s="352"/>
      <c r="AI13" s="353"/>
      <c r="AJ13" s="352"/>
      <c r="AK13" s="353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352"/>
      <c r="BY13" s="353"/>
      <c r="BZ13" s="352"/>
      <c r="CA13" s="353"/>
      <c r="CB13" s="352"/>
      <c r="CC13" s="353"/>
      <c r="CD13" s="352"/>
      <c r="CE13" s="353"/>
      <c r="CF13" s="352"/>
      <c r="CG13" s="353"/>
      <c r="CH13" s="352"/>
      <c r="CI13" s="353"/>
      <c r="CJ13" s="352"/>
      <c r="CK13" s="353"/>
      <c r="CL13" s="352"/>
      <c r="CM13" s="353"/>
      <c r="CN13" s="352"/>
      <c r="CO13" s="353"/>
      <c r="CP13" s="352"/>
      <c r="CQ13" s="353"/>
      <c r="CR13" s="352"/>
      <c r="CS13" s="353"/>
      <c r="CT13" s="352"/>
      <c r="CU13" s="353"/>
      <c r="CV13" s="352"/>
      <c r="CW13" s="353"/>
      <c r="CX13" s="352"/>
      <c r="CY13" s="353"/>
      <c r="CZ13" s="352"/>
      <c r="DA13" s="353"/>
      <c r="DB13" s="352"/>
      <c r="DC13" s="353"/>
      <c r="DD13" s="352"/>
      <c r="DE13" s="353"/>
      <c r="DF13" s="352"/>
      <c r="DG13" s="353"/>
    </row>
    <row r="14" spans="1:113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354"/>
      <c r="AG14" s="355"/>
      <c r="AH14" s="354"/>
      <c r="AI14" s="355"/>
      <c r="AJ14" s="354"/>
      <c r="AK14" s="355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354"/>
      <c r="BY14" s="355"/>
      <c r="BZ14" s="354"/>
      <c r="CA14" s="355"/>
      <c r="CB14" s="354"/>
      <c r="CC14" s="355"/>
      <c r="CD14" s="354"/>
      <c r="CE14" s="355"/>
      <c r="CF14" s="354"/>
      <c r="CG14" s="355"/>
      <c r="CH14" s="354"/>
      <c r="CI14" s="355"/>
      <c r="CJ14" s="354"/>
      <c r="CK14" s="355"/>
      <c r="CL14" s="354"/>
      <c r="CM14" s="355"/>
      <c r="CN14" s="354"/>
      <c r="CO14" s="355"/>
      <c r="CP14" s="354"/>
      <c r="CQ14" s="355"/>
      <c r="CR14" s="354"/>
      <c r="CS14" s="355"/>
      <c r="CT14" s="354"/>
      <c r="CU14" s="355"/>
      <c r="CV14" s="354"/>
      <c r="CW14" s="355"/>
      <c r="CX14" s="354"/>
      <c r="CY14" s="355"/>
      <c r="CZ14" s="354"/>
      <c r="DA14" s="355"/>
      <c r="DB14" s="354"/>
      <c r="DC14" s="355"/>
      <c r="DD14" s="354"/>
      <c r="DE14" s="355"/>
      <c r="DF14" s="354"/>
      <c r="DG14" s="355"/>
    </row>
    <row r="15" spans="1:113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>+J15/J12</f>
        <v>0.24578116628079025</v>
      </c>
      <c r="L15" s="31">
        <v>1000</v>
      </c>
      <c r="M15" s="32">
        <f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1000</v>
      </c>
      <c r="Y15" s="32">
        <f>+X15/X12</f>
        <v>0.24578116628079025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31">
        <v>1000</v>
      </c>
      <c r="AG15" s="32">
        <f>+AF15/AF12</f>
        <v>0.24578116628079025</v>
      </c>
      <c r="AH15" s="31">
        <v>1000</v>
      </c>
      <c r="AI15" s="32">
        <f>+AH15/AH12</f>
        <v>0.24578116628079025</v>
      </c>
      <c r="AJ15" s="31">
        <v>1000</v>
      </c>
      <c r="AK15" s="32">
        <f>+AJ15/AJ12</f>
        <v>0.24578116628079025</v>
      </c>
      <c r="AL15" s="31">
        <v>1000</v>
      </c>
      <c r="AM15" s="32">
        <f t="shared" ref="AM15" si="117">+AL15/AL12</f>
        <v>0.24578116628079025</v>
      </c>
      <c r="AN15" s="31">
        <v>1000</v>
      </c>
      <c r="AO15" s="32">
        <f t="shared" ref="AO15:AQ15" si="118">+AN15/AN12</f>
        <v>0.24578116628079025</v>
      </c>
      <c r="AP15" s="31">
        <v>1000</v>
      </c>
      <c r="AQ15" s="32">
        <f t="shared" si="118"/>
        <v>0.24578116628079025</v>
      </c>
      <c r="AR15" s="31">
        <v>1000</v>
      </c>
      <c r="AS15" s="32">
        <f t="shared" ref="AS15" si="119">+AR15/AR12</f>
        <v>0.24578116628079025</v>
      </c>
      <c r="AT15" s="31">
        <v>1000</v>
      </c>
      <c r="AU15" s="32">
        <f t="shared" ref="AU15" si="120">+AT15/AT12</f>
        <v>0.24578116628079025</v>
      </c>
      <c r="AV15" s="31">
        <v>1000</v>
      </c>
      <c r="AW15" s="32">
        <f t="shared" ref="AW15" si="121">+AV15/AV12</f>
        <v>0.24578116628079025</v>
      </c>
      <c r="AX15" s="31">
        <v>1000</v>
      </c>
      <c r="AY15" s="32">
        <f t="shared" ref="AY15" si="122">+AX15/AX12</f>
        <v>0.24578116628079025</v>
      </c>
      <c r="AZ15" s="31">
        <v>1000</v>
      </c>
      <c r="BA15" s="32">
        <f t="shared" ref="BA15" si="123">+AZ15/AZ12</f>
        <v>0.24578116628079025</v>
      </c>
      <c r="BB15" s="31">
        <v>1000</v>
      </c>
      <c r="BC15" s="32">
        <f t="shared" ref="BC15" si="124">+BB15/BB12</f>
        <v>0.24578116628079025</v>
      </c>
      <c r="BD15" s="31">
        <v>1000</v>
      </c>
      <c r="BE15" s="32">
        <f t="shared" ref="BE15" si="125">+BD15/BD12</f>
        <v>0.24578116628079025</v>
      </c>
      <c r="BF15" s="31">
        <v>1000</v>
      </c>
      <c r="BG15" s="32">
        <f t="shared" ref="BG15" si="126">+BF15/BF12</f>
        <v>0.24578116628079025</v>
      </c>
      <c r="BH15" s="31">
        <v>1000</v>
      </c>
      <c r="BI15" s="32">
        <f t="shared" ref="BI15" si="127">+BH15/BH12</f>
        <v>0.24578116628079025</v>
      </c>
      <c r="BJ15" s="31">
        <v>1000</v>
      </c>
      <c r="BK15" s="32">
        <f t="shared" ref="BK15" si="128">+BJ15/BJ12</f>
        <v>0.24578116628079025</v>
      </c>
      <c r="BL15" s="31">
        <v>1000</v>
      </c>
      <c r="BM15" s="32">
        <f t="shared" ref="BM15" si="129">+BL15/BL12</f>
        <v>0.24578116628079025</v>
      </c>
      <c r="BN15" s="31">
        <v>1000</v>
      </c>
      <c r="BO15" s="32">
        <f t="shared" ref="BO15" si="130">+BN15/BN12</f>
        <v>0.24578116628079025</v>
      </c>
      <c r="BP15" s="31">
        <v>1000</v>
      </c>
      <c r="BQ15" s="32">
        <f t="shared" ref="BQ15" si="131">+BP15/BP12</f>
        <v>0.24578116628079025</v>
      </c>
      <c r="BR15" s="31">
        <v>1000</v>
      </c>
      <c r="BS15" s="32">
        <f t="shared" ref="BS15" si="132">+BR15/BR12</f>
        <v>0.24578116628079025</v>
      </c>
      <c r="BT15" s="31">
        <v>1000</v>
      </c>
      <c r="BU15" s="32">
        <f t="shared" ref="BU15" si="133">+BT15/BT12</f>
        <v>0.24578116628079025</v>
      </c>
      <c r="BV15" s="31">
        <v>1000</v>
      </c>
      <c r="BW15" s="32">
        <f t="shared" ref="BW15" si="134">+BV15/BV12</f>
        <v>0.24578116628079025</v>
      </c>
      <c r="BX15" s="31">
        <v>1000</v>
      </c>
      <c r="BY15" s="32">
        <f t="shared" ref="BY15" si="135">+BX15/BX12</f>
        <v>0.24578116628079025</v>
      </c>
      <c r="BZ15" s="31">
        <v>1000</v>
      </c>
      <c r="CA15" s="32">
        <f t="shared" ref="CA15" si="136">+BZ15/BZ12</f>
        <v>0.24578116628079025</v>
      </c>
      <c r="CB15" s="31">
        <v>1000</v>
      </c>
      <c r="CC15" s="32">
        <f t="shared" ref="CC15" si="137">+CB15/CB12</f>
        <v>0.24578116628079025</v>
      </c>
      <c r="CD15" s="31">
        <v>1000</v>
      </c>
      <c r="CE15" s="32">
        <f t="shared" ref="CE15" si="138">+CD15/CD12</f>
        <v>0.24578116628079025</v>
      </c>
      <c r="CF15" s="31">
        <v>1000</v>
      </c>
      <c r="CG15" s="32">
        <f t="shared" ref="CG15" si="139">+CF15/CF12</f>
        <v>0.24578116628079025</v>
      </c>
      <c r="CH15" s="31">
        <v>1000</v>
      </c>
      <c r="CI15" s="32">
        <f t="shared" ref="CI15" si="140">+CH15/CH12</f>
        <v>0.24578116628079025</v>
      </c>
      <c r="CJ15" s="31">
        <v>1000</v>
      </c>
      <c r="CK15" s="32">
        <f t="shared" ref="CK15" si="141">+CJ15/CJ12</f>
        <v>0.24578116628079025</v>
      </c>
      <c r="CL15" s="31">
        <v>1000</v>
      </c>
      <c r="CM15" s="32">
        <f t="shared" ref="CM15" si="142">+CL15/CL12</f>
        <v>0.24578116628079025</v>
      </c>
      <c r="CN15" s="31">
        <v>1000</v>
      </c>
      <c r="CO15" s="32">
        <f t="shared" ref="CO15" si="143">+CN15/CN12</f>
        <v>0.24578116628079025</v>
      </c>
      <c r="CP15" s="31">
        <v>1000</v>
      </c>
      <c r="CQ15" s="32">
        <f>+CP15/CP12</f>
        <v>0.24578116628079025</v>
      </c>
      <c r="CR15" s="31">
        <v>1000</v>
      </c>
      <c r="CS15" s="32">
        <f>+CR15/CR12</f>
        <v>0.24578116628079025</v>
      </c>
      <c r="CT15" s="31">
        <v>1000</v>
      </c>
      <c r="CU15" s="32">
        <f>+CT15/CT12</f>
        <v>0.24578116628079025</v>
      </c>
      <c r="CV15" s="31">
        <v>1000</v>
      </c>
      <c r="CW15" s="32">
        <f>+CV15/CV12</f>
        <v>0.24578116628079025</v>
      </c>
      <c r="CX15" s="31">
        <v>1000</v>
      </c>
      <c r="CY15" s="32">
        <f>+CX15/CX12</f>
        <v>0.24578116628079025</v>
      </c>
      <c r="CZ15" s="31">
        <v>1000</v>
      </c>
      <c r="DA15" s="32">
        <f>+CZ15/CZ12</f>
        <v>0.24578116628079025</v>
      </c>
      <c r="DB15" s="31">
        <v>1000</v>
      </c>
      <c r="DC15" s="32">
        <f>+DB15/DB12</f>
        <v>0.24578116628079025</v>
      </c>
      <c r="DD15" s="31">
        <v>1000</v>
      </c>
      <c r="DE15" s="32">
        <f>+DD15/DD12</f>
        <v>0.24578116628079025</v>
      </c>
      <c r="DF15" s="31">
        <v>1000</v>
      </c>
      <c r="DG15" s="32">
        <f>+DF15/DF12</f>
        <v>0.24578116628079025</v>
      </c>
    </row>
    <row r="16" spans="1:113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O16" si="144">+F15*F10</f>
        <v>40000</v>
      </c>
      <c r="G16" s="32">
        <f t="shared" si="144"/>
        <v>9.8312466512316092</v>
      </c>
      <c r="H16" s="31">
        <f t="shared" si="144"/>
        <v>40000</v>
      </c>
      <c r="I16" s="32">
        <f t="shared" si="144"/>
        <v>9.8312466512316092</v>
      </c>
      <c r="J16" s="31">
        <f t="shared" ref="J16:M16" si="145">+J15*J10</f>
        <v>40000</v>
      </c>
      <c r="K16" s="32">
        <f t="shared" si="145"/>
        <v>9.8312466512316092</v>
      </c>
      <c r="L16" s="31">
        <f t="shared" si="145"/>
        <v>40000</v>
      </c>
      <c r="M16" s="32">
        <f t="shared" si="145"/>
        <v>9.8312466512316092</v>
      </c>
      <c r="N16" s="31">
        <f t="shared" si="144"/>
        <v>40000</v>
      </c>
      <c r="O16" s="32">
        <f t="shared" si="144"/>
        <v>9.8312466512316092</v>
      </c>
      <c r="P16" s="31">
        <f t="shared" ref="P16:U16" si="146">+P15*P10</f>
        <v>40000</v>
      </c>
      <c r="Q16" s="32">
        <f t="shared" si="146"/>
        <v>9.8312466512316092</v>
      </c>
      <c r="R16" s="31">
        <f t="shared" si="146"/>
        <v>40000</v>
      </c>
      <c r="S16" s="32">
        <f t="shared" si="146"/>
        <v>9.8312466512316092</v>
      </c>
      <c r="T16" s="31">
        <f t="shared" si="146"/>
        <v>40000</v>
      </c>
      <c r="U16" s="32">
        <f t="shared" si="146"/>
        <v>9.8312466512316092</v>
      </c>
      <c r="V16" s="31">
        <f t="shared" ref="V16:Y16" si="147">+V15*V10</f>
        <v>40000</v>
      </c>
      <c r="W16" s="32">
        <f t="shared" si="147"/>
        <v>9.8312466512316092</v>
      </c>
      <c r="X16" s="31">
        <f t="shared" si="147"/>
        <v>40000</v>
      </c>
      <c r="Y16" s="32">
        <f t="shared" si="147"/>
        <v>9.8312466512316092</v>
      </c>
      <c r="Z16" s="31">
        <f t="shared" ref="Z16:AG16" si="148">+Z15*Z10</f>
        <v>40000</v>
      </c>
      <c r="AA16" s="32">
        <f t="shared" si="148"/>
        <v>9.8312466512316092</v>
      </c>
      <c r="AB16" s="31">
        <f t="shared" si="148"/>
        <v>40000</v>
      </c>
      <c r="AC16" s="32">
        <f t="shared" si="148"/>
        <v>9.8312466512316092</v>
      </c>
      <c r="AD16" s="31">
        <f t="shared" si="148"/>
        <v>40000</v>
      </c>
      <c r="AE16" s="32">
        <f t="shared" si="148"/>
        <v>9.8312466512316092</v>
      </c>
      <c r="AF16" s="31">
        <f t="shared" si="148"/>
        <v>40000</v>
      </c>
      <c r="AG16" s="32">
        <f t="shared" si="148"/>
        <v>9.8312466512316092</v>
      </c>
      <c r="AH16" s="31">
        <f t="shared" ref="AH16:CS16" si="149">+AH15*AH10</f>
        <v>40000</v>
      </c>
      <c r="AI16" s="32">
        <f t="shared" si="149"/>
        <v>9.8312466512316092</v>
      </c>
      <c r="AJ16" s="31">
        <f t="shared" ref="AJ16:AK16" si="150">+AJ15*AJ10</f>
        <v>40000</v>
      </c>
      <c r="AK16" s="32">
        <f t="shared" si="150"/>
        <v>9.8312466512316092</v>
      </c>
      <c r="AL16" s="31">
        <f t="shared" ref="AL16:AO16" si="151">+AL15*AL10</f>
        <v>40000</v>
      </c>
      <c r="AM16" s="32">
        <f t="shared" si="151"/>
        <v>9.8312466512316092</v>
      </c>
      <c r="AN16" s="31">
        <f t="shared" si="151"/>
        <v>40000</v>
      </c>
      <c r="AO16" s="32">
        <f t="shared" si="151"/>
        <v>9.8312466512316092</v>
      </c>
      <c r="AP16" s="31">
        <f t="shared" ref="AP16:AU16" si="152">+AP15*AP10</f>
        <v>40000</v>
      </c>
      <c r="AQ16" s="32">
        <f t="shared" si="152"/>
        <v>9.8312466512316092</v>
      </c>
      <c r="AR16" s="31">
        <f t="shared" si="152"/>
        <v>40000</v>
      </c>
      <c r="AS16" s="32">
        <f t="shared" si="152"/>
        <v>9.8312466512316092</v>
      </c>
      <c r="AT16" s="31">
        <f t="shared" si="152"/>
        <v>40000</v>
      </c>
      <c r="AU16" s="32">
        <f t="shared" si="152"/>
        <v>9.8312466512316092</v>
      </c>
      <c r="AV16" s="31">
        <f t="shared" ref="AV16:BA16" si="153">+AV15*AV10</f>
        <v>40000</v>
      </c>
      <c r="AW16" s="32">
        <f t="shared" si="153"/>
        <v>9.8312466512316092</v>
      </c>
      <c r="AX16" s="31">
        <f t="shared" si="153"/>
        <v>40000</v>
      </c>
      <c r="AY16" s="32">
        <f t="shared" si="153"/>
        <v>9.8312466512316092</v>
      </c>
      <c r="AZ16" s="31">
        <f t="shared" si="153"/>
        <v>40000</v>
      </c>
      <c r="BA16" s="32">
        <f t="shared" si="153"/>
        <v>9.8312466512316092</v>
      </c>
      <c r="BB16" s="31">
        <f t="shared" ref="BB16:BC16" si="154">+BB15*BB10</f>
        <v>40000</v>
      </c>
      <c r="BC16" s="32">
        <f t="shared" si="154"/>
        <v>9.8312466512316092</v>
      </c>
      <c r="BD16" s="31">
        <f t="shared" ref="BD16:BK16" si="155">+BD15*BD10</f>
        <v>40000</v>
      </c>
      <c r="BE16" s="32">
        <f t="shared" si="155"/>
        <v>9.8312466512316092</v>
      </c>
      <c r="BF16" s="31">
        <f t="shared" si="155"/>
        <v>40000</v>
      </c>
      <c r="BG16" s="32">
        <f t="shared" si="155"/>
        <v>9.8312466512316092</v>
      </c>
      <c r="BH16" s="31">
        <f t="shared" si="155"/>
        <v>40000</v>
      </c>
      <c r="BI16" s="32">
        <f t="shared" si="155"/>
        <v>9.8312466512316092</v>
      </c>
      <c r="BJ16" s="31">
        <f t="shared" si="155"/>
        <v>40000</v>
      </c>
      <c r="BK16" s="32">
        <f t="shared" si="155"/>
        <v>9.8312466512316092</v>
      </c>
      <c r="BL16" s="31">
        <f>BM16*BL12</f>
        <v>40686.6</v>
      </c>
      <c r="BM16" s="32">
        <v>10</v>
      </c>
      <c r="BN16" s="31">
        <f>BO16*BN12</f>
        <v>40686.6</v>
      </c>
      <c r="BO16" s="32">
        <f>BM16</f>
        <v>10</v>
      </c>
      <c r="BP16" s="31">
        <f>BQ16*BP12</f>
        <v>40686.6</v>
      </c>
      <c r="BQ16" s="32">
        <f>BO16</f>
        <v>10</v>
      </c>
      <c r="BR16" s="31">
        <f>BS16*BR12</f>
        <v>40686.6</v>
      </c>
      <c r="BS16" s="32">
        <f>BQ16</f>
        <v>10</v>
      </c>
      <c r="BT16" s="31">
        <f>BU16*BT12</f>
        <v>40686.6</v>
      </c>
      <c r="BU16" s="32">
        <f>BS16</f>
        <v>10</v>
      </c>
      <c r="BV16" s="31">
        <f>BW16*BV12</f>
        <v>40686.6</v>
      </c>
      <c r="BW16" s="32">
        <f>BU16</f>
        <v>10</v>
      </c>
      <c r="BX16" s="31">
        <f>BY16*BX12</f>
        <v>40686.6</v>
      </c>
      <c r="BY16" s="32">
        <f>BW16</f>
        <v>10</v>
      </c>
      <c r="BZ16" s="31">
        <f>CA16*BZ12</f>
        <v>40686.6</v>
      </c>
      <c r="CA16" s="32">
        <f>BY16</f>
        <v>10</v>
      </c>
      <c r="CB16" s="31">
        <f>CC16*CB12</f>
        <v>40686.6</v>
      </c>
      <c r="CC16" s="32">
        <f>CA16</f>
        <v>10</v>
      </c>
      <c r="CD16" s="31">
        <f>CE16*CD12</f>
        <v>40686.6</v>
      </c>
      <c r="CE16" s="32">
        <f>CC16</f>
        <v>10</v>
      </c>
      <c r="CF16" s="31">
        <f>CG16*CF12</f>
        <v>40686.6</v>
      </c>
      <c r="CG16" s="32">
        <f>CE16</f>
        <v>10</v>
      </c>
      <c r="CH16" s="31">
        <f>CI16*CH12</f>
        <v>40686.6</v>
      </c>
      <c r="CI16" s="32">
        <f>CG16</f>
        <v>10</v>
      </c>
      <c r="CJ16" s="31">
        <f>CK16*CJ12</f>
        <v>40686.6</v>
      </c>
      <c r="CK16" s="32">
        <f>CI16</f>
        <v>10</v>
      </c>
      <c r="CL16" s="31">
        <f>CM16*CL12</f>
        <v>40686.6</v>
      </c>
      <c r="CM16" s="32">
        <f>CE16</f>
        <v>10</v>
      </c>
      <c r="CN16" s="31">
        <f>CO16*CN12</f>
        <v>40686.6</v>
      </c>
      <c r="CO16" s="32">
        <f>BS16</f>
        <v>10</v>
      </c>
      <c r="CP16" s="31">
        <f t="shared" si="149"/>
        <v>40000</v>
      </c>
      <c r="CQ16" s="32">
        <f t="shared" si="149"/>
        <v>9.8312466512316092</v>
      </c>
      <c r="CR16" s="31">
        <f t="shared" si="149"/>
        <v>40000</v>
      </c>
      <c r="CS16" s="32">
        <f t="shared" si="149"/>
        <v>9.8312466512316092</v>
      </c>
      <c r="CT16" s="31">
        <f t="shared" ref="CT16:CU16" si="156">+CT15*CT10</f>
        <v>40000</v>
      </c>
      <c r="CU16" s="32">
        <f t="shared" si="156"/>
        <v>9.8312466512316092</v>
      </c>
      <c r="CV16" s="31">
        <f t="shared" ref="CV16:CY16" si="157">+CV15*CV10</f>
        <v>40000</v>
      </c>
      <c r="CW16" s="32">
        <f t="shared" si="157"/>
        <v>9.8312466512316092</v>
      </c>
      <c r="CX16" s="31">
        <f t="shared" si="157"/>
        <v>40000</v>
      </c>
      <c r="CY16" s="32">
        <f t="shared" si="157"/>
        <v>9.8312466512316092</v>
      </c>
      <c r="CZ16" s="31">
        <f t="shared" ref="CZ16:DA16" si="158">+CZ15*CZ10</f>
        <v>40000</v>
      </c>
      <c r="DA16" s="32">
        <f t="shared" si="158"/>
        <v>9.8312466512316092</v>
      </c>
      <c r="DB16" s="31">
        <f t="shared" ref="DB16:DC16" si="159">+DB15*DB10</f>
        <v>40000</v>
      </c>
      <c r="DC16" s="32">
        <f t="shared" si="159"/>
        <v>9.8312466512316092</v>
      </c>
      <c r="DD16" s="31">
        <f t="shared" ref="DD16:DE16" si="160">+DD15*DD10</f>
        <v>40000</v>
      </c>
      <c r="DE16" s="32">
        <f t="shared" si="160"/>
        <v>9.8312466512316092</v>
      </c>
      <c r="DF16" s="31">
        <f t="shared" ref="DF16:DG16" si="161">+DF15*DF10</f>
        <v>40000</v>
      </c>
      <c r="DG16" s="32">
        <f t="shared" si="161"/>
        <v>9.8312466512316092</v>
      </c>
    </row>
    <row r="17" spans="1:111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350">
        <v>0</v>
      </c>
      <c r="AG17" s="351">
        <v>0</v>
      </c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350">
        <v>0</v>
      </c>
      <c r="BY17" s="351">
        <v>0</v>
      </c>
      <c r="BZ17" s="350">
        <v>0</v>
      </c>
      <c r="CA17" s="351">
        <v>0</v>
      </c>
      <c r="CB17" s="350">
        <v>0</v>
      </c>
      <c r="CC17" s="351">
        <v>0</v>
      </c>
      <c r="CD17" s="350">
        <v>0</v>
      </c>
      <c r="CE17" s="351">
        <v>0</v>
      </c>
      <c r="CF17" s="350">
        <v>0</v>
      </c>
      <c r="CG17" s="351">
        <v>0</v>
      </c>
      <c r="CH17" s="350">
        <v>0</v>
      </c>
      <c r="CI17" s="351">
        <v>0</v>
      </c>
      <c r="CJ17" s="350">
        <v>0</v>
      </c>
      <c r="CK17" s="351">
        <v>0</v>
      </c>
      <c r="CL17" s="350">
        <v>0</v>
      </c>
      <c r="CM17" s="351">
        <v>0</v>
      </c>
      <c r="CN17" s="350">
        <v>0</v>
      </c>
      <c r="CO17" s="351">
        <v>0</v>
      </c>
      <c r="CP17" s="350">
        <v>0</v>
      </c>
      <c r="CQ17" s="351">
        <v>0</v>
      </c>
      <c r="CR17" s="350">
        <v>0</v>
      </c>
      <c r="CS17" s="351">
        <v>0</v>
      </c>
      <c r="CT17" s="350">
        <v>0</v>
      </c>
      <c r="CU17" s="351">
        <v>0</v>
      </c>
      <c r="CV17" s="350">
        <v>0</v>
      </c>
      <c r="CW17" s="351">
        <v>0</v>
      </c>
      <c r="CX17" s="350">
        <v>0</v>
      </c>
      <c r="CY17" s="351">
        <v>0</v>
      </c>
      <c r="CZ17" s="350">
        <v>0</v>
      </c>
      <c r="DA17" s="351">
        <v>0</v>
      </c>
      <c r="DB17" s="350">
        <v>0</v>
      </c>
      <c r="DC17" s="351">
        <v>0</v>
      </c>
      <c r="DD17" s="350">
        <v>0</v>
      </c>
      <c r="DE17" s="351">
        <v>0</v>
      </c>
      <c r="DF17" s="350">
        <v>0</v>
      </c>
      <c r="DG17" s="351">
        <v>0</v>
      </c>
    </row>
    <row r="18" spans="1:111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56">
        <v>0</v>
      </c>
      <c r="AG18" s="357">
        <v>0</v>
      </c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356">
        <v>0</v>
      </c>
      <c r="BY18" s="357">
        <v>0</v>
      </c>
      <c r="BZ18" s="356">
        <v>0</v>
      </c>
      <c r="CA18" s="357">
        <v>0</v>
      </c>
      <c r="CB18" s="356">
        <v>0</v>
      </c>
      <c r="CC18" s="357">
        <v>0</v>
      </c>
      <c r="CD18" s="356">
        <v>0</v>
      </c>
      <c r="CE18" s="357">
        <v>0</v>
      </c>
      <c r="CF18" s="356">
        <v>0</v>
      </c>
      <c r="CG18" s="357">
        <v>0</v>
      </c>
      <c r="CH18" s="356">
        <v>0</v>
      </c>
      <c r="CI18" s="357">
        <v>0</v>
      </c>
      <c r="CJ18" s="356">
        <v>0</v>
      </c>
      <c r="CK18" s="357">
        <v>0</v>
      </c>
      <c r="CL18" s="356">
        <v>0</v>
      </c>
      <c r="CM18" s="357">
        <v>0</v>
      </c>
      <c r="CN18" s="356">
        <v>0</v>
      </c>
      <c r="CO18" s="357">
        <v>0</v>
      </c>
      <c r="CP18" s="356">
        <v>0</v>
      </c>
      <c r="CQ18" s="357">
        <v>0</v>
      </c>
      <c r="CR18" s="356">
        <v>0</v>
      </c>
      <c r="CS18" s="357">
        <v>0</v>
      </c>
      <c r="CT18" s="356">
        <v>0</v>
      </c>
      <c r="CU18" s="357">
        <v>0</v>
      </c>
      <c r="CV18" s="356">
        <v>0</v>
      </c>
      <c r="CW18" s="357">
        <v>0</v>
      </c>
      <c r="CX18" s="356">
        <v>0</v>
      </c>
      <c r="CY18" s="357">
        <v>0</v>
      </c>
      <c r="CZ18" s="356">
        <v>0</v>
      </c>
      <c r="DA18" s="357">
        <v>0</v>
      </c>
      <c r="DB18" s="356">
        <v>0</v>
      </c>
      <c r="DC18" s="357">
        <v>0</v>
      </c>
      <c r="DD18" s="356">
        <v>0</v>
      </c>
      <c r="DE18" s="357">
        <v>0</v>
      </c>
      <c r="DF18" s="356">
        <v>0</v>
      </c>
      <c r="DG18" s="357">
        <v>0</v>
      </c>
    </row>
    <row r="19" spans="1:111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O19" si="162">F15-F17</f>
        <v>1000</v>
      </c>
      <c r="G19" s="32">
        <f t="shared" si="162"/>
        <v>0.24578116628079025</v>
      </c>
      <c r="H19" s="38">
        <f t="shared" si="162"/>
        <v>1000</v>
      </c>
      <c r="I19" s="32">
        <f t="shared" si="162"/>
        <v>0.24578116628079025</v>
      </c>
      <c r="J19" s="38">
        <f t="shared" ref="J19:M19" si="163">J15-J17</f>
        <v>1000</v>
      </c>
      <c r="K19" s="32">
        <f t="shared" si="163"/>
        <v>0.24578116628079025</v>
      </c>
      <c r="L19" s="38">
        <f t="shared" si="163"/>
        <v>1000</v>
      </c>
      <c r="M19" s="32">
        <f t="shared" si="163"/>
        <v>0.24578116628079025</v>
      </c>
      <c r="N19" s="38">
        <f t="shared" si="162"/>
        <v>1000</v>
      </c>
      <c r="O19" s="32">
        <f t="shared" si="162"/>
        <v>0.24578116628079025</v>
      </c>
      <c r="P19" s="38">
        <f t="shared" ref="P19:U19" si="164">P15-P17</f>
        <v>1000</v>
      </c>
      <c r="Q19" s="32">
        <f t="shared" si="164"/>
        <v>0.24578116628079025</v>
      </c>
      <c r="R19" s="38">
        <f t="shared" si="164"/>
        <v>1000</v>
      </c>
      <c r="S19" s="32">
        <f t="shared" si="164"/>
        <v>0.24578116628079025</v>
      </c>
      <c r="T19" s="38">
        <f t="shared" si="164"/>
        <v>1000</v>
      </c>
      <c r="U19" s="32">
        <f t="shared" si="164"/>
        <v>0.24578116628079025</v>
      </c>
      <c r="V19" s="38">
        <f t="shared" ref="V19:Y19" si="165">V15-V17</f>
        <v>1000</v>
      </c>
      <c r="W19" s="32">
        <f t="shared" si="165"/>
        <v>0.24578116628079025</v>
      </c>
      <c r="X19" s="38">
        <f t="shared" si="165"/>
        <v>1000</v>
      </c>
      <c r="Y19" s="32">
        <f t="shared" si="165"/>
        <v>0.24578116628079025</v>
      </c>
      <c r="Z19" s="38">
        <f t="shared" ref="Z19:AG19" si="166">Z15-Z17</f>
        <v>1000</v>
      </c>
      <c r="AA19" s="32">
        <f t="shared" si="166"/>
        <v>0.24578116628079025</v>
      </c>
      <c r="AB19" s="38">
        <f t="shared" si="166"/>
        <v>1000</v>
      </c>
      <c r="AC19" s="32">
        <f t="shared" si="166"/>
        <v>0.24578116628079025</v>
      </c>
      <c r="AD19" s="38">
        <f t="shared" si="166"/>
        <v>1000</v>
      </c>
      <c r="AE19" s="32">
        <f t="shared" si="166"/>
        <v>0.24578116628079025</v>
      </c>
      <c r="AF19" s="38">
        <f t="shared" si="166"/>
        <v>1000</v>
      </c>
      <c r="AG19" s="32">
        <f t="shared" si="166"/>
        <v>0.24578116628079025</v>
      </c>
      <c r="AH19" s="38">
        <f t="shared" ref="AH19:CS19" si="167">AH15-AH17</f>
        <v>1000</v>
      </c>
      <c r="AI19" s="32">
        <f t="shared" si="167"/>
        <v>0.24578116628079025</v>
      </c>
      <c r="AJ19" s="38">
        <f t="shared" ref="AJ19:AK19" si="168">AJ15-AJ17</f>
        <v>1000</v>
      </c>
      <c r="AK19" s="32">
        <f t="shared" si="168"/>
        <v>0.24578116628079025</v>
      </c>
      <c r="AL19" s="38">
        <f t="shared" ref="AL19:AO19" si="169">AL15-AL17</f>
        <v>1000</v>
      </c>
      <c r="AM19" s="32">
        <f t="shared" si="169"/>
        <v>0.24578116628079025</v>
      </c>
      <c r="AN19" s="38">
        <f t="shared" si="169"/>
        <v>1000</v>
      </c>
      <c r="AO19" s="32">
        <f t="shared" si="169"/>
        <v>0.24578116628079025</v>
      </c>
      <c r="AP19" s="38">
        <f t="shared" ref="AP19:AU19" si="170">AP15-AP17</f>
        <v>1000</v>
      </c>
      <c r="AQ19" s="32">
        <f t="shared" si="170"/>
        <v>0.24578116628079025</v>
      </c>
      <c r="AR19" s="38">
        <f t="shared" si="170"/>
        <v>1000</v>
      </c>
      <c r="AS19" s="32">
        <f t="shared" si="170"/>
        <v>0.24578116628079025</v>
      </c>
      <c r="AT19" s="38">
        <f t="shared" si="170"/>
        <v>1000</v>
      </c>
      <c r="AU19" s="32">
        <f t="shared" si="170"/>
        <v>0.24578116628079025</v>
      </c>
      <c r="AV19" s="38">
        <f t="shared" ref="AV19:BA19" si="171">AV15-AV17</f>
        <v>1000</v>
      </c>
      <c r="AW19" s="32">
        <f t="shared" si="171"/>
        <v>0.24578116628079025</v>
      </c>
      <c r="AX19" s="38">
        <f t="shared" si="171"/>
        <v>1000</v>
      </c>
      <c r="AY19" s="32">
        <f t="shared" si="171"/>
        <v>0.24578116628079025</v>
      </c>
      <c r="AZ19" s="38">
        <f t="shared" si="171"/>
        <v>1000</v>
      </c>
      <c r="BA19" s="32">
        <f t="shared" si="171"/>
        <v>0.24578116628079025</v>
      </c>
      <c r="BB19" s="38">
        <f t="shared" ref="BB19:BC19" si="172">BB15-BB17</f>
        <v>1000</v>
      </c>
      <c r="BC19" s="32">
        <f t="shared" si="172"/>
        <v>0.24578116628079025</v>
      </c>
      <c r="BD19" s="38">
        <f t="shared" ref="BD19:BK19" si="173">BD15-BD17</f>
        <v>1000</v>
      </c>
      <c r="BE19" s="32">
        <f t="shared" si="173"/>
        <v>0.24578116628079025</v>
      </c>
      <c r="BF19" s="38">
        <f t="shared" si="173"/>
        <v>1000</v>
      </c>
      <c r="BG19" s="32">
        <f t="shared" si="173"/>
        <v>0.24578116628079025</v>
      </c>
      <c r="BH19" s="38">
        <f t="shared" si="173"/>
        <v>1000</v>
      </c>
      <c r="BI19" s="32">
        <f t="shared" si="173"/>
        <v>0.24578116628079025</v>
      </c>
      <c r="BJ19" s="38">
        <f t="shared" si="173"/>
        <v>1000</v>
      </c>
      <c r="BK19" s="32">
        <f t="shared" si="173"/>
        <v>0.24578116628079025</v>
      </c>
      <c r="BL19" s="38">
        <f t="shared" ref="BL19:BM19" si="174">BL15-BL17</f>
        <v>1000</v>
      </c>
      <c r="BM19" s="32">
        <f t="shared" si="174"/>
        <v>0.24578116628079025</v>
      </c>
      <c r="BN19" s="38">
        <f t="shared" ref="BN19:BO19" si="175">BN15-BN17</f>
        <v>1000</v>
      </c>
      <c r="BO19" s="32">
        <f t="shared" si="175"/>
        <v>0.24578116628079025</v>
      </c>
      <c r="BP19" s="38">
        <f t="shared" ref="BP19:BQ19" si="176">BP15-BP17</f>
        <v>1000</v>
      </c>
      <c r="BQ19" s="32">
        <f t="shared" si="176"/>
        <v>0.24578116628079025</v>
      </c>
      <c r="BR19" s="38">
        <f t="shared" ref="BR19:BS19" si="177">BR15-BR17</f>
        <v>1000</v>
      </c>
      <c r="BS19" s="32">
        <f t="shared" si="177"/>
        <v>0.24578116628079025</v>
      </c>
      <c r="BT19" s="38">
        <f t="shared" ref="BT19:BU19" si="178">BT15-BT17</f>
        <v>1000</v>
      </c>
      <c r="BU19" s="32">
        <f t="shared" si="178"/>
        <v>0.24578116628079025</v>
      </c>
      <c r="BV19" s="38">
        <f t="shared" ref="BV19:BW19" si="179">BV15-BV17</f>
        <v>1000</v>
      </c>
      <c r="BW19" s="32">
        <f t="shared" si="179"/>
        <v>0.24578116628079025</v>
      </c>
      <c r="BX19" s="38">
        <f t="shared" ref="BX19:BY19" si="180">BX15-BX17</f>
        <v>1000</v>
      </c>
      <c r="BY19" s="32">
        <f t="shared" si="180"/>
        <v>0.24578116628079025</v>
      </c>
      <c r="BZ19" s="38">
        <f t="shared" ref="BZ19:CA19" si="181">BZ15-BZ17</f>
        <v>1000</v>
      </c>
      <c r="CA19" s="32">
        <f t="shared" si="181"/>
        <v>0.24578116628079025</v>
      </c>
      <c r="CB19" s="38">
        <f t="shared" ref="CB19:CC19" si="182">CB15-CB17</f>
        <v>1000</v>
      </c>
      <c r="CC19" s="32">
        <f t="shared" si="182"/>
        <v>0.24578116628079025</v>
      </c>
      <c r="CD19" s="38">
        <f t="shared" ref="CD19:CE19" si="183">CD15-CD17</f>
        <v>1000</v>
      </c>
      <c r="CE19" s="32">
        <f t="shared" si="183"/>
        <v>0.24578116628079025</v>
      </c>
      <c r="CF19" s="38">
        <f t="shared" ref="CF19:CG19" si="184">CF15-CF17</f>
        <v>1000</v>
      </c>
      <c r="CG19" s="32">
        <f t="shared" si="184"/>
        <v>0.24578116628079025</v>
      </c>
      <c r="CH19" s="38">
        <f t="shared" ref="CH19:CK19" si="185">CH15-CH17</f>
        <v>1000</v>
      </c>
      <c r="CI19" s="32">
        <f t="shared" si="185"/>
        <v>0.24578116628079025</v>
      </c>
      <c r="CJ19" s="38">
        <f t="shared" si="185"/>
        <v>1000</v>
      </c>
      <c r="CK19" s="32">
        <f t="shared" si="185"/>
        <v>0.24578116628079025</v>
      </c>
      <c r="CL19" s="38">
        <f t="shared" ref="CL19:CM19" si="186">CL15-CL17</f>
        <v>1000</v>
      </c>
      <c r="CM19" s="32">
        <f t="shared" si="186"/>
        <v>0.24578116628079025</v>
      </c>
      <c r="CN19" s="38">
        <f t="shared" ref="CN19:CO19" si="187">CN15-CN17</f>
        <v>1000</v>
      </c>
      <c r="CO19" s="32">
        <f t="shared" si="187"/>
        <v>0.24578116628079025</v>
      </c>
      <c r="CP19" s="38">
        <f t="shared" si="167"/>
        <v>1000</v>
      </c>
      <c r="CQ19" s="32">
        <f t="shared" si="167"/>
        <v>0.24578116628079025</v>
      </c>
      <c r="CR19" s="38">
        <f t="shared" si="167"/>
        <v>1000</v>
      </c>
      <c r="CS19" s="32">
        <f t="shared" si="167"/>
        <v>0.24578116628079025</v>
      </c>
      <c r="CT19" s="38">
        <f t="shared" ref="CT19:CU19" si="188">CT15-CT17</f>
        <v>1000</v>
      </c>
      <c r="CU19" s="32">
        <f t="shared" si="188"/>
        <v>0.24578116628079025</v>
      </c>
      <c r="CV19" s="38">
        <f t="shared" ref="CV19:CY19" si="189">CV15-CV17</f>
        <v>1000</v>
      </c>
      <c r="CW19" s="32">
        <f t="shared" si="189"/>
        <v>0.24578116628079025</v>
      </c>
      <c r="CX19" s="38">
        <f t="shared" si="189"/>
        <v>1000</v>
      </c>
      <c r="CY19" s="32">
        <f t="shared" si="189"/>
        <v>0.24578116628079025</v>
      </c>
      <c r="CZ19" s="38">
        <f t="shared" ref="CZ19:DA19" si="190">CZ15-CZ17</f>
        <v>1000</v>
      </c>
      <c r="DA19" s="32">
        <f t="shared" si="190"/>
        <v>0.24578116628079025</v>
      </c>
      <c r="DB19" s="38">
        <f t="shared" ref="DB19:DC19" si="191">DB15-DB17</f>
        <v>1000</v>
      </c>
      <c r="DC19" s="32">
        <f t="shared" si="191"/>
        <v>0.24578116628079025</v>
      </c>
      <c r="DD19" s="38">
        <f t="shared" ref="DD19:DE19" si="192">DD15-DD17</f>
        <v>1000</v>
      </c>
      <c r="DE19" s="32">
        <f t="shared" si="192"/>
        <v>0.24578116628079025</v>
      </c>
      <c r="DF19" s="38">
        <f t="shared" ref="DF19:DG19" si="193">DF15-DF17</f>
        <v>1000</v>
      </c>
      <c r="DG19" s="32">
        <f t="shared" si="193"/>
        <v>0.24578116628079025</v>
      </c>
    </row>
    <row r="20" spans="1:111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O20" si="194">1/(1+F18)*F16</f>
        <v>40000</v>
      </c>
      <c r="G20" s="40">
        <f t="shared" si="194"/>
        <v>9.8312466512316092</v>
      </c>
      <c r="H20" s="39">
        <f t="shared" si="194"/>
        <v>40000</v>
      </c>
      <c r="I20" s="40">
        <f t="shared" si="194"/>
        <v>9.8312466512316092</v>
      </c>
      <c r="J20" s="39">
        <f t="shared" ref="J20:M20" si="195">1/(1+J18)*J16</f>
        <v>40000</v>
      </c>
      <c r="K20" s="40">
        <f t="shared" si="195"/>
        <v>9.8312466512316092</v>
      </c>
      <c r="L20" s="39">
        <f t="shared" si="195"/>
        <v>40000</v>
      </c>
      <c r="M20" s="40">
        <f t="shared" si="195"/>
        <v>9.8312466512316092</v>
      </c>
      <c r="N20" s="39">
        <f t="shared" si="194"/>
        <v>40000</v>
      </c>
      <c r="O20" s="40">
        <f t="shared" si="194"/>
        <v>9.8312466512316092</v>
      </c>
      <c r="P20" s="39">
        <f t="shared" ref="P20:U20" si="196">1/(1+P18)*P16</f>
        <v>40000</v>
      </c>
      <c r="Q20" s="40">
        <f t="shared" si="196"/>
        <v>9.8312466512316092</v>
      </c>
      <c r="R20" s="39">
        <f t="shared" si="196"/>
        <v>40000</v>
      </c>
      <c r="S20" s="40">
        <f t="shared" si="196"/>
        <v>9.8312466512316092</v>
      </c>
      <c r="T20" s="39">
        <f t="shared" si="196"/>
        <v>40000</v>
      </c>
      <c r="U20" s="40">
        <f t="shared" si="196"/>
        <v>9.8312466512316092</v>
      </c>
      <c r="V20" s="39">
        <f t="shared" ref="V20:Y20" si="197">1/(1+V18)*V16</f>
        <v>40000</v>
      </c>
      <c r="W20" s="40">
        <f t="shared" si="197"/>
        <v>9.8312466512316092</v>
      </c>
      <c r="X20" s="39">
        <f t="shared" si="197"/>
        <v>40000</v>
      </c>
      <c r="Y20" s="40">
        <f t="shared" si="197"/>
        <v>9.8312466512316092</v>
      </c>
      <c r="Z20" s="39">
        <f t="shared" ref="Z20:AG20" si="198">1/(1+Z18)*Z16</f>
        <v>40000</v>
      </c>
      <c r="AA20" s="40">
        <f t="shared" si="198"/>
        <v>9.8312466512316092</v>
      </c>
      <c r="AB20" s="39">
        <f t="shared" si="198"/>
        <v>40000</v>
      </c>
      <c r="AC20" s="40">
        <f t="shared" si="198"/>
        <v>9.8312466512316092</v>
      </c>
      <c r="AD20" s="39">
        <f t="shared" si="198"/>
        <v>40000</v>
      </c>
      <c r="AE20" s="40">
        <f t="shared" si="198"/>
        <v>9.8312466512316092</v>
      </c>
      <c r="AF20" s="39">
        <f t="shared" si="198"/>
        <v>40000</v>
      </c>
      <c r="AG20" s="40">
        <f t="shared" si="198"/>
        <v>9.8312466512316092</v>
      </c>
      <c r="AH20" s="39">
        <f t="shared" ref="AH20:CS20" si="199">1/(1+AH18)*AH16</f>
        <v>40000</v>
      </c>
      <c r="AI20" s="40">
        <f t="shared" si="199"/>
        <v>9.8312466512316092</v>
      </c>
      <c r="AJ20" s="39">
        <f t="shared" ref="AJ20:AK20" si="200">1/(1+AJ18)*AJ16</f>
        <v>40000</v>
      </c>
      <c r="AK20" s="40">
        <f t="shared" si="200"/>
        <v>9.8312466512316092</v>
      </c>
      <c r="AL20" s="39">
        <f t="shared" ref="AL20:AO20" si="201">1/(1+AL18)*AL16</f>
        <v>40000</v>
      </c>
      <c r="AM20" s="40">
        <f t="shared" si="201"/>
        <v>9.8312466512316092</v>
      </c>
      <c r="AN20" s="39">
        <f t="shared" si="201"/>
        <v>40000</v>
      </c>
      <c r="AO20" s="40">
        <f t="shared" si="201"/>
        <v>9.8312466512316092</v>
      </c>
      <c r="AP20" s="39">
        <f t="shared" ref="AP20:AU20" si="202">1/(1+AP18)*AP16</f>
        <v>40000</v>
      </c>
      <c r="AQ20" s="40">
        <f t="shared" si="202"/>
        <v>9.8312466512316092</v>
      </c>
      <c r="AR20" s="39">
        <f t="shared" si="202"/>
        <v>40000</v>
      </c>
      <c r="AS20" s="40">
        <f t="shared" si="202"/>
        <v>9.8312466512316092</v>
      </c>
      <c r="AT20" s="39">
        <f t="shared" si="202"/>
        <v>40000</v>
      </c>
      <c r="AU20" s="40">
        <f t="shared" si="202"/>
        <v>9.8312466512316092</v>
      </c>
      <c r="AV20" s="39">
        <f t="shared" ref="AV20:BA20" si="203">1/(1+AV18)*AV16</f>
        <v>40000</v>
      </c>
      <c r="AW20" s="40">
        <f t="shared" si="203"/>
        <v>9.8312466512316092</v>
      </c>
      <c r="AX20" s="39">
        <f t="shared" si="203"/>
        <v>40000</v>
      </c>
      <c r="AY20" s="40">
        <f t="shared" si="203"/>
        <v>9.8312466512316092</v>
      </c>
      <c r="AZ20" s="39">
        <f t="shared" si="203"/>
        <v>40000</v>
      </c>
      <c r="BA20" s="40">
        <f t="shared" si="203"/>
        <v>9.8312466512316092</v>
      </c>
      <c r="BB20" s="39">
        <f t="shared" ref="BB20:BC20" si="204">1/(1+BB18)*BB16</f>
        <v>40000</v>
      </c>
      <c r="BC20" s="40">
        <f t="shared" si="204"/>
        <v>9.8312466512316092</v>
      </c>
      <c r="BD20" s="39">
        <f t="shared" ref="BD20:BK20" si="205">1/(1+BD18)*BD16</f>
        <v>40000</v>
      </c>
      <c r="BE20" s="40">
        <f t="shared" si="205"/>
        <v>9.8312466512316092</v>
      </c>
      <c r="BF20" s="39">
        <f t="shared" si="205"/>
        <v>40000</v>
      </c>
      <c r="BG20" s="40">
        <f t="shared" si="205"/>
        <v>9.8312466512316092</v>
      </c>
      <c r="BH20" s="39">
        <f t="shared" si="205"/>
        <v>40000</v>
      </c>
      <c r="BI20" s="40">
        <f t="shared" si="205"/>
        <v>9.8312466512316092</v>
      </c>
      <c r="BJ20" s="39">
        <f t="shared" si="205"/>
        <v>40000</v>
      </c>
      <c r="BK20" s="40">
        <f t="shared" si="205"/>
        <v>9.8312466512316092</v>
      </c>
      <c r="BL20" s="39">
        <f t="shared" ref="BL20:BM20" si="206">1/(1+BL18)*BL16</f>
        <v>40686.6</v>
      </c>
      <c r="BM20" s="40">
        <f t="shared" si="206"/>
        <v>10</v>
      </c>
      <c r="BN20" s="39">
        <f t="shared" ref="BN20:BO20" si="207">1/(1+BN18)*BN16</f>
        <v>40686.6</v>
      </c>
      <c r="BO20" s="40">
        <f t="shared" si="207"/>
        <v>10</v>
      </c>
      <c r="BP20" s="39">
        <f t="shared" ref="BP20:BQ20" si="208">1/(1+BP18)*BP16</f>
        <v>40686.6</v>
      </c>
      <c r="BQ20" s="40">
        <f t="shared" si="208"/>
        <v>10</v>
      </c>
      <c r="BR20" s="39">
        <f t="shared" ref="BR20:BS20" si="209">1/(1+BR18)*BR16</f>
        <v>40686.6</v>
      </c>
      <c r="BS20" s="40">
        <f t="shared" si="209"/>
        <v>10</v>
      </c>
      <c r="BT20" s="39">
        <f t="shared" ref="BT20:BU20" si="210">1/(1+BT18)*BT16</f>
        <v>40686.6</v>
      </c>
      <c r="BU20" s="40">
        <f t="shared" si="210"/>
        <v>10</v>
      </c>
      <c r="BV20" s="39">
        <f t="shared" ref="BV20:BW20" si="211">1/(1+BV18)*BV16</f>
        <v>40686.6</v>
      </c>
      <c r="BW20" s="40">
        <f t="shared" si="211"/>
        <v>10</v>
      </c>
      <c r="BX20" s="39">
        <f t="shared" ref="BX20:BY20" si="212">1/(1+BX18)*BX16</f>
        <v>40686.6</v>
      </c>
      <c r="BY20" s="40">
        <f t="shared" si="212"/>
        <v>10</v>
      </c>
      <c r="BZ20" s="39">
        <f t="shared" ref="BZ20:CA20" si="213">1/(1+BZ18)*BZ16</f>
        <v>40686.6</v>
      </c>
      <c r="CA20" s="40">
        <f t="shared" si="213"/>
        <v>10</v>
      </c>
      <c r="CB20" s="39">
        <f t="shared" ref="CB20:CC20" si="214">1/(1+CB18)*CB16</f>
        <v>40686.6</v>
      </c>
      <c r="CC20" s="40">
        <f t="shared" si="214"/>
        <v>10</v>
      </c>
      <c r="CD20" s="39">
        <f t="shared" ref="CD20:CE20" si="215">1/(1+CD18)*CD16</f>
        <v>40686.6</v>
      </c>
      <c r="CE20" s="40">
        <f t="shared" si="215"/>
        <v>10</v>
      </c>
      <c r="CF20" s="39">
        <f t="shared" ref="CF20:CG20" si="216">1/(1+CF18)*CF16</f>
        <v>40686.6</v>
      </c>
      <c r="CG20" s="40">
        <f t="shared" si="216"/>
        <v>10</v>
      </c>
      <c r="CH20" s="39">
        <f t="shared" ref="CH20:CK20" si="217">1/(1+CH18)*CH16</f>
        <v>40686.6</v>
      </c>
      <c r="CI20" s="40">
        <f t="shared" si="217"/>
        <v>10</v>
      </c>
      <c r="CJ20" s="39">
        <f t="shared" si="217"/>
        <v>40686.6</v>
      </c>
      <c r="CK20" s="40">
        <f t="shared" si="217"/>
        <v>10</v>
      </c>
      <c r="CL20" s="39">
        <f t="shared" ref="CL20:CM20" si="218">1/(1+CL18)*CL16</f>
        <v>40686.6</v>
      </c>
      <c r="CM20" s="40">
        <f t="shared" si="218"/>
        <v>10</v>
      </c>
      <c r="CN20" s="39">
        <f t="shared" ref="CN20:CO20" si="219">1/(1+CN18)*CN16</f>
        <v>40686.6</v>
      </c>
      <c r="CO20" s="40">
        <f t="shared" si="219"/>
        <v>10</v>
      </c>
      <c r="CP20" s="39">
        <f t="shared" si="199"/>
        <v>40000</v>
      </c>
      <c r="CQ20" s="40">
        <f t="shared" si="199"/>
        <v>9.8312466512316092</v>
      </c>
      <c r="CR20" s="39">
        <f t="shared" si="199"/>
        <v>40000</v>
      </c>
      <c r="CS20" s="40">
        <f t="shared" si="199"/>
        <v>9.8312466512316092</v>
      </c>
      <c r="CT20" s="39">
        <f t="shared" ref="CT20:CU20" si="220">1/(1+CT18)*CT16</f>
        <v>40000</v>
      </c>
      <c r="CU20" s="40">
        <f t="shared" si="220"/>
        <v>9.8312466512316092</v>
      </c>
      <c r="CV20" s="39">
        <f t="shared" ref="CV20:CY20" si="221">1/(1+CV18)*CV16</f>
        <v>40000</v>
      </c>
      <c r="CW20" s="40">
        <f t="shared" si="221"/>
        <v>9.8312466512316092</v>
      </c>
      <c r="CX20" s="39">
        <f t="shared" si="221"/>
        <v>40000</v>
      </c>
      <c r="CY20" s="40">
        <f t="shared" si="221"/>
        <v>9.8312466512316092</v>
      </c>
      <c r="CZ20" s="39">
        <f t="shared" ref="CZ20:DA20" si="222">1/(1+CZ18)*CZ16</f>
        <v>40000</v>
      </c>
      <c r="DA20" s="40">
        <f t="shared" si="222"/>
        <v>9.8312466512316092</v>
      </c>
      <c r="DB20" s="39">
        <f t="shared" ref="DB20:DC20" si="223">1/(1+DB18)*DB16</f>
        <v>40000</v>
      </c>
      <c r="DC20" s="40">
        <f t="shared" si="223"/>
        <v>9.8312466512316092</v>
      </c>
      <c r="DD20" s="39">
        <f t="shared" ref="DD20:DE20" si="224">1/(1+DD18)*DD16</f>
        <v>40000</v>
      </c>
      <c r="DE20" s="40">
        <f t="shared" si="224"/>
        <v>9.8312466512316092</v>
      </c>
      <c r="DF20" s="39">
        <f t="shared" ref="DF20:DG20" si="225">1/(1+DF18)*DF16</f>
        <v>40000</v>
      </c>
      <c r="DG20" s="40">
        <f t="shared" si="225"/>
        <v>9.8312466512316092</v>
      </c>
    </row>
    <row r="21" spans="1:111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352"/>
      <c r="AG21" s="358"/>
      <c r="AH21" s="352"/>
      <c r="AI21" s="358"/>
      <c r="AJ21" s="352"/>
      <c r="AK21" s="358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352"/>
      <c r="BY21" s="358"/>
      <c r="BZ21" s="352"/>
      <c r="CA21" s="358"/>
      <c r="CB21" s="352"/>
      <c r="CC21" s="358"/>
      <c r="CD21" s="352"/>
      <c r="CE21" s="358"/>
      <c r="CF21" s="352"/>
      <c r="CG21" s="358"/>
      <c r="CH21" s="352"/>
      <c r="CI21" s="358"/>
      <c r="CJ21" s="352"/>
      <c r="CK21" s="358"/>
      <c r="CL21" s="352"/>
      <c r="CM21" s="358"/>
      <c r="CN21" s="352"/>
      <c r="CO21" s="358"/>
      <c r="CP21" s="352"/>
      <c r="CQ21" s="358"/>
      <c r="CR21" s="352"/>
      <c r="CS21" s="358"/>
      <c r="CT21" s="352"/>
      <c r="CU21" s="358"/>
      <c r="CV21" s="352"/>
      <c r="CW21" s="358"/>
      <c r="CX21" s="352"/>
      <c r="CY21" s="358"/>
      <c r="CZ21" s="352"/>
      <c r="DA21" s="358"/>
      <c r="DB21" s="352"/>
      <c r="DC21" s="358"/>
      <c r="DD21" s="352"/>
      <c r="DE21" s="358"/>
      <c r="DF21" s="352"/>
      <c r="DG21" s="358"/>
    </row>
    <row r="22" spans="1:111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359"/>
      <c r="AG22" s="360"/>
      <c r="AH22" s="359"/>
      <c r="AI22" s="360"/>
      <c r="AJ22" s="359"/>
      <c r="AK22" s="360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359"/>
      <c r="BY22" s="360"/>
      <c r="BZ22" s="359"/>
      <c r="CA22" s="360"/>
      <c r="CB22" s="359"/>
      <c r="CC22" s="360"/>
      <c r="CD22" s="359"/>
      <c r="CE22" s="360"/>
      <c r="CF22" s="359"/>
      <c r="CG22" s="360"/>
      <c r="CH22" s="359"/>
      <c r="CI22" s="360"/>
      <c r="CJ22" s="359"/>
      <c r="CK22" s="360"/>
      <c r="CL22" s="359"/>
      <c r="CM22" s="360"/>
      <c r="CN22" s="359"/>
      <c r="CO22" s="360"/>
      <c r="CP22" s="359"/>
      <c r="CQ22" s="360"/>
      <c r="CR22" s="359"/>
      <c r="CS22" s="360"/>
      <c r="CT22" s="359"/>
      <c r="CU22" s="360"/>
      <c r="CV22" s="359"/>
      <c r="CW22" s="360"/>
      <c r="CX22" s="359"/>
      <c r="CY22" s="360"/>
      <c r="CZ22" s="359"/>
      <c r="DA22" s="360"/>
      <c r="DB22" s="359"/>
      <c r="DC22" s="360"/>
      <c r="DD22" s="359"/>
      <c r="DE22" s="360"/>
      <c r="DF22" s="359"/>
      <c r="DG22" s="360"/>
    </row>
    <row r="23" spans="1:111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O23" si="226">F24/F20</f>
        <v>0.21678294999999997</v>
      </c>
      <c r="G23" s="48">
        <f t="shared" si="226"/>
        <v>0.21678294999999997</v>
      </c>
      <c r="H23" s="47">
        <f t="shared" si="226"/>
        <v>0.19589147499999998</v>
      </c>
      <c r="I23" s="48">
        <f t="shared" si="226"/>
        <v>0.19589147499999993</v>
      </c>
      <c r="J23" s="47">
        <f t="shared" ref="J23:M23" si="227">J24/J20</f>
        <v>0.21678294999999997</v>
      </c>
      <c r="K23" s="48">
        <f t="shared" si="227"/>
        <v>0.21678294999999997</v>
      </c>
      <c r="L23" s="47">
        <f t="shared" si="227"/>
        <v>0.17499999999999999</v>
      </c>
      <c r="M23" s="48">
        <f t="shared" si="227"/>
        <v>0.17499999999999996</v>
      </c>
      <c r="N23" s="361">
        <f t="shared" si="226"/>
        <v>0.19589147499999998</v>
      </c>
      <c r="O23" s="362">
        <f t="shared" si="226"/>
        <v>0.19589147499999993</v>
      </c>
      <c r="P23" s="361">
        <f t="shared" ref="P23:U23" si="228">P24/P20</f>
        <v>0.21678294999999997</v>
      </c>
      <c r="Q23" s="362">
        <f t="shared" si="228"/>
        <v>0.21678294999999997</v>
      </c>
      <c r="R23" s="361">
        <f t="shared" si="228"/>
        <v>0.17499999999999999</v>
      </c>
      <c r="S23" s="362">
        <f t="shared" si="228"/>
        <v>0.17499999999999996</v>
      </c>
      <c r="T23" s="361">
        <f t="shared" si="228"/>
        <v>0.19589147499999998</v>
      </c>
      <c r="U23" s="362">
        <f t="shared" si="228"/>
        <v>0.19589147499999993</v>
      </c>
      <c r="V23" s="361">
        <f t="shared" ref="V23:Y23" si="229">V24/V20</f>
        <v>0.19589147499999998</v>
      </c>
      <c r="W23" s="362">
        <f t="shared" si="229"/>
        <v>0.19589147499999993</v>
      </c>
      <c r="X23" s="361">
        <f t="shared" si="229"/>
        <v>0.19589147499999998</v>
      </c>
      <c r="Y23" s="362">
        <f t="shared" si="229"/>
        <v>0.19589147499999993</v>
      </c>
      <c r="Z23" s="361">
        <f t="shared" ref="Z23:AG23" si="230">Z24/Z20</f>
        <v>0.19589147499999998</v>
      </c>
      <c r="AA23" s="362">
        <f t="shared" si="230"/>
        <v>0.19589147499999993</v>
      </c>
      <c r="AB23" s="361">
        <f t="shared" si="230"/>
        <v>0.19589147499999998</v>
      </c>
      <c r="AC23" s="362">
        <f t="shared" si="230"/>
        <v>0.19589147499999993</v>
      </c>
      <c r="AD23" s="361">
        <f t="shared" si="230"/>
        <v>0.19589147499999998</v>
      </c>
      <c r="AE23" s="362">
        <f t="shared" si="230"/>
        <v>0.19589147499999993</v>
      </c>
      <c r="AF23" s="361">
        <f t="shared" si="230"/>
        <v>0.19589147499999998</v>
      </c>
      <c r="AG23" s="362">
        <f t="shared" si="230"/>
        <v>0.19589147499999993</v>
      </c>
      <c r="AH23" s="361">
        <f t="shared" ref="AH23:CS23" si="231">AH24/AH20</f>
        <v>0.19589147499999998</v>
      </c>
      <c r="AI23" s="362">
        <f t="shared" si="231"/>
        <v>0.19589147499999993</v>
      </c>
      <c r="AJ23" s="361">
        <f t="shared" ref="AJ23:AK23" si="232">AJ24/AJ20</f>
        <v>0.19589147499999998</v>
      </c>
      <c r="AK23" s="362">
        <f t="shared" si="232"/>
        <v>0.19589147499999993</v>
      </c>
      <c r="AL23" s="361">
        <f t="shared" ref="AL23:AO23" si="233">AL24/AL20</f>
        <v>0.19589147499999998</v>
      </c>
      <c r="AM23" s="362">
        <f t="shared" si="233"/>
        <v>0.19589147499999993</v>
      </c>
      <c r="AN23" s="361">
        <f t="shared" si="233"/>
        <v>0.19589147499999998</v>
      </c>
      <c r="AO23" s="362">
        <f t="shared" si="233"/>
        <v>0.19589147499999993</v>
      </c>
      <c r="AP23" s="361">
        <f t="shared" ref="AP23:AU23" si="234">AP24/AP20</f>
        <v>0.19589147499999998</v>
      </c>
      <c r="AQ23" s="362">
        <f t="shared" si="234"/>
        <v>0.19589147499999993</v>
      </c>
      <c r="AR23" s="361">
        <f t="shared" si="234"/>
        <v>0.19589147499999998</v>
      </c>
      <c r="AS23" s="362">
        <f t="shared" si="234"/>
        <v>0.19589147499999993</v>
      </c>
      <c r="AT23" s="361">
        <f t="shared" si="234"/>
        <v>0.19589147499999998</v>
      </c>
      <c r="AU23" s="362">
        <f t="shared" si="234"/>
        <v>0.19589147499999993</v>
      </c>
      <c r="AV23" s="361">
        <f t="shared" ref="AV23:BA23" si="235">AV24/AV20</f>
        <v>0.19589147499999998</v>
      </c>
      <c r="AW23" s="362">
        <f t="shared" si="235"/>
        <v>0.19589147499999993</v>
      </c>
      <c r="AX23" s="361">
        <f t="shared" si="235"/>
        <v>0.19589147499999998</v>
      </c>
      <c r="AY23" s="362">
        <f t="shared" si="235"/>
        <v>0.19589147499999993</v>
      </c>
      <c r="AZ23" s="361">
        <f t="shared" si="235"/>
        <v>0.19589147499999998</v>
      </c>
      <c r="BA23" s="362">
        <f t="shared" si="235"/>
        <v>0.19589147499999993</v>
      </c>
      <c r="BB23" s="361">
        <f t="shared" ref="BB23:BC23" si="236">BB24/BB20</f>
        <v>0.19589147499999998</v>
      </c>
      <c r="BC23" s="362">
        <f t="shared" si="236"/>
        <v>0.19589147499999993</v>
      </c>
      <c r="BD23" s="361">
        <f t="shared" ref="BD23:BK23" si="237">BD24/BD20</f>
        <v>0.19589147499999998</v>
      </c>
      <c r="BE23" s="362">
        <f t="shared" si="237"/>
        <v>0.19589147499999993</v>
      </c>
      <c r="BF23" s="361">
        <f t="shared" si="237"/>
        <v>0.19589147499999998</v>
      </c>
      <c r="BG23" s="362">
        <f t="shared" si="237"/>
        <v>0.19589147499999993</v>
      </c>
      <c r="BH23" s="361">
        <f t="shared" si="237"/>
        <v>0.19589147499999998</v>
      </c>
      <c r="BI23" s="362">
        <f t="shared" si="237"/>
        <v>0.19589147499999993</v>
      </c>
      <c r="BJ23" s="361">
        <f t="shared" si="237"/>
        <v>0.19589147499999998</v>
      </c>
      <c r="BK23" s="362">
        <f t="shared" si="237"/>
        <v>0.19589147499999993</v>
      </c>
      <c r="BL23" s="361">
        <f t="shared" ref="BL23:BM23" si="238">BL24/BL20</f>
        <v>0.2</v>
      </c>
      <c r="BM23" s="362">
        <f t="shared" si="238"/>
        <v>0.2</v>
      </c>
      <c r="BN23" s="361">
        <f t="shared" ref="BN23:BO23" si="239">BN24/BN20</f>
        <v>0.2</v>
      </c>
      <c r="BO23" s="362">
        <f t="shared" si="239"/>
        <v>0.2</v>
      </c>
      <c r="BP23" s="361">
        <f t="shared" ref="BP23:BQ23" si="240">BP24/BP20</f>
        <v>0.2</v>
      </c>
      <c r="BQ23" s="362">
        <f t="shared" si="240"/>
        <v>0.2</v>
      </c>
      <c r="BR23" s="361">
        <f t="shared" ref="BR23:BS23" si="241">BR24/BR20</f>
        <v>0.2</v>
      </c>
      <c r="BS23" s="362">
        <f t="shared" si="241"/>
        <v>0.2</v>
      </c>
      <c r="BT23" s="361">
        <f t="shared" ref="BT23:BU23" si="242">BT24/BT20</f>
        <v>0.2</v>
      </c>
      <c r="BU23" s="362">
        <f t="shared" si="242"/>
        <v>0.2</v>
      </c>
      <c r="BV23" s="361">
        <f t="shared" ref="BV23:BW23" si="243">BV24/BV20</f>
        <v>0.2</v>
      </c>
      <c r="BW23" s="362">
        <f t="shared" si="243"/>
        <v>0.2</v>
      </c>
      <c r="BX23" s="361">
        <f t="shared" ref="BX23:BY23" si="244">BX24/BX20</f>
        <v>0.2</v>
      </c>
      <c r="BY23" s="362">
        <f t="shared" si="244"/>
        <v>0.2</v>
      </c>
      <c r="BZ23" s="361">
        <f t="shared" ref="BZ23:CA23" si="245">BZ24/BZ20</f>
        <v>0.2</v>
      </c>
      <c r="CA23" s="362">
        <f t="shared" si="245"/>
        <v>0.2</v>
      </c>
      <c r="CB23" s="361">
        <f t="shared" ref="CB23:CC23" si="246">CB24/CB20</f>
        <v>0.2</v>
      </c>
      <c r="CC23" s="362">
        <f t="shared" si="246"/>
        <v>0.2</v>
      </c>
      <c r="CD23" s="361">
        <f t="shared" ref="CD23:CE23" si="247">CD24/CD20</f>
        <v>0.2</v>
      </c>
      <c r="CE23" s="362">
        <f t="shared" si="247"/>
        <v>0.2</v>
      </c>
      <c r="CF23" s="361">
        <f t="shared" ref="CF23:CG23" si="248">CF24/CF20</f>
        <v>0.2</v>
      </c>
      <c r="CG23" s="362">
        <f t="shared" si="248"/>
        <v>0.2</v>
      </c>
      <c r="CH23" s="361">
        <f t="shared" ref="CH23:CK23" si="249">CH24/CH20</f>
        <v>0.2</v>
      </c>
      <c r="CI23" s="362">
        <f t="shared" si="249"/>
        <v>0.2</v>
      </c>
      <c r="CJ23" s="361">
        <f t="shared" si="249"/>
        <v>0.2</v>
      </c>
      <c r="CK23" s="362">
        <f t="shared" si="249"/>
        <v>0.2</v>
      </c>
      <c r="CL23" s="361">
        <f t="shared" ref="CL23:CM23" si="250">CL24/CL20</f>
        <v>0.2</v>
      </c>
      <c r="CM23" s="362">
        <f t="shared" si="250"/>
        <v>0.2</v>
      </c>
      <c r="CN23" s="361">
        <f t="shared" ref="CN23:CO23" si="251">CN24/CN20</f>
        <v>0.2</v>
      </c>
      <c r="CO23" s="362">
        <f t="shared" si="251"/>
        <v>0.2</v>
      </c>
      <c r="CP23" s="361">
        <f t="shared" si="231"/>
        <v>0.19589147499999998</v>
      </c>
      <c r="CQ23" s="362">
        <f t="shared" si="231"/>
        <v>0.19589147499999993</v>
      </c>
      <c r="CR23" s="361">
        <f t="shared" si="231"/>
        <v>0.19589147499999998</v>
      </c>
      <c r="CS23" s="362">
        <f t="shared" si="231"/>
        <v>0.19589147499999993</v>
      </c>
      <c r="CT23" s="361">
        <f t="shared" ref="CT23:CU23" si="252">CT24/CT20</f>
        <v>0.19589147499999998</v>
      </c>
      <c r="CU23" s="362">
        <f t="shared" si="252"/>
        <v>0.19589147499999993</v>
      </c>
      <c r="CV23" s="361">
        <f t="shared" ref="CV23:CY23" si="253">CV24/CV20</f>
        <v>0.19589147499999998</v>
      </c>
      <c r="CW23" s="362">
        <f t="shared" si="253"/>
        <v>0.19589147499999993</v>
      </c>
      <c r="CX23" s="361">
        <f t="shared" si="253"/>
        <v>0.17499999999999999</v>
      </c>
      <c r="CY23" s="362">
        <f t="shared" si="253"/>
        <v>0.17499999999999996</v>
      </c>
      <c r="CZ23" s="361">
        <f t="shared" ref="CZ23:DA23" si="254">CZ24/CZ20</f>
        <v>0.17499999999999999</v>
      </c>
      <c r="DA23" s="362">
        <f t="shared" si="254"/>
        <v>0.18626799999999999</v>
      </c>
      <c r="DB23" s="361">
        <f t="shared" ref="DB23:DC23" si="255">DB24/DB20</f>
        <v>0.17249667999999985</v>
      </c>
      <c r="DC23" s="362">
        <f t="shared" si="255"/>
        <v>0.17249667999999979</v>
      </c>
      <c r="DD23" s="361">
        <f t="shared" ref="DD23:DE23" si="256">DD24/DD20</f>
        <v>0.17758250499999995</v>
      </c>
      <c r="DE23" s="362">
        <f t="shared" si="256"/>
        <v>0.17758250499999986</v>
      </c>
      <c r="DF23" s="361">
        <f t="shared" ref="DF23:DG23" si="257">DF24/DF20</f>
        <v>0.17758250499999995</v>
      </c>
      <c r="DG23" s="362">
        <f t="shared" si="257"/>
        <v>0.17758250499999986</v>
      </c>
    </row>
    <row r="24" spans="1:111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O24" si="258">F20-F26</f>
        <v>8671.3179999999993</v>
      </c>
      <c r="G24" s="24">
        <f t="shared" si="258"/>
        <v>2.1312466512316091</v>
      </c>
      <c r="H24" s="50">
        <f t="shared" si="258"/>
        <v>7835.6589999999997</v>
      </c>
      <c r="I24" s="24">
        <f t="shared" si="258"/>
        <v>1.9258574075985697</v>
      </c>
      <c r="J24" s="50">
        <f t="shared" ref="J24:M24" si="259">J20-J26</f>
        <v>8671.3179999999993</v>
      </c>
      <c r="K24" s="24">
        <f t="shared" si="259"/>
        <v>2.1312466512316091</v>
      </c>
      <c r="L24" s="50">
        <f t="shared" si="259"/>
        <v>7000</v>
      </c>
      <c r="M24" s="24">
        <f t="shared" si="259"/>
        <v>1.7204681639655313</v>
      </c>
      <c r="N24" s="363">
        <f t="shared" si="258"/>
        <v>7835.6589999999997</v>
      </c>
      <c r="O24" s="351">
        <f t="shared" si="258"/>
        <v>1.9258574075985697</v>
      </c>
      <c r="P24" s="363">
        <f t="shared" ref="P24:U24" si="260">P20-P26</f>
        <v>8671.3179999999993</v>
      </c>
      <c r="Q24" s="351">
        <f t="shared" si="260"/>
        <v>2.1312466512316091</v>
      </c>
      <c r="R24" s="363">
        <f t="shared" si="260"/>
        <v>7000</v>
      </c>
      <c r="S24" s="351">
        <f t="shared" si="260"/>
        <v>1.7204681639655313</v>
      </c>
      <c r="T24" s="363">
        <f t="shared" si="260"/>
        <v>7835.6589999999997</v>
      </c>
      <c r="U24" s="351">
        <f t="shared" si="260"/>
        <v>1.9258574075985697</v>
      </c>
      <c r="V24" s="363">
        <f t="shared" ref="V24:Y24" si="261">V20-V26</f>
        <v>7835.6589999999997</v>
      </c>
      <c r="W24" s="351">
        <f t="shared" si="261"/>
        <v>1.9258574075985697</v>
      </c>
      <c r="X24" s="363">
        <f t="shared" si="261"/>
        <v>7835.6589999999997</v>
      </c>
      <c r="Y24" s="351">
        <f t="shared" si="261"/>
        <v>1.9258574075985697</v>
      </c>
      <c r="Z24" s="363">
        <f t="shared" ref="Z24:AG24" si="262">Z20-Z26</f>
        <v>7835.6589999999997</v>
      </c>
      <c r="AA24" s="351">
        <f t="shared" si="262"/>
        <v>1.9258574075985697</v>
      </c>
      <c r="AB24" s="363">
        <f t="shared" si="262"/>
        <v>7835.6589999999997</v>
      </c>
      <c r="AC24" s="351">
        <f t="shared" si="262"/>
        <v>1.9258574075985697</v>
      </c>
      <c r="AD24" s="363">
        <f t="shared" si="262"/>
        <v>7835.6589999999997</v>
      </c>
      <c r="AE24" s="351">
        <f t="shared" si="262"/>
        <v>1.9258574075985697</v>
      </c>
      <c r="AF24" s="363">
        <f t="shared" si="262"/>
        <v>7835.6589999999997</v>
      </c>
      <c r="AG24" s="351">
        <f t="shared" si="262"/>
        <v>1.9258574075985697</v>
      </c>
      <c r="AH24" s="363">
        <f t="shared" ref="AH24:CS24" si="263">AH20-AH26</f>
        <v>7835.6589999999997</v>
      </c>
      <c r="AI24" s="351">
        <f t="shared" si="263"/>
        <v>1.9258574075985697</v>
      </c>
      <c r="AJ24" s="363">
        <f t="shared" ref="AJ24:AK24" si="264">AJ20-AJ26</f>
        <v>7835.6589999999997</v>
      </c>
      <c r="AK24" s="351">
        <f t="shared" si="264"/>
        <v>1.9258574075985697</v>
      </c>
      <c r="AL24" s="363">
        <f t="shared" ref="AL24:AO24" si="265">AL20-AL26</f>
        <v>7835.6589999999997</v>
      </c>
      <c r="AM24" s="351">
        <f t="shared" si="265"/>
        <v>1.9258574075985697</v>
      </c>
      <c r="AN24" s="363">
        <f t="shared" si="265"/>
        <v>7835.6589999999997</v>
      </c>
      <c r="AO24" s="351">
        <f t="shared" si="265"/>
        <v>1.9258574075985697</v>
      </c>
      <c r="AP24" s="363">
        <f t="shared" ref="AP24:AU24" si="266">AP20-AP26</f>
        <v>7835.6589999999997</v>
      </c>
      <c r="AQ24" s="351">
        <f t="shared" si="266"/>
        <v>1.9258574075985697</v>
      </c>
      <c r="AR24" s="363">
        <f t="shared" si="266"/>
        <v>7835.6589999999997</v>
      </c>
      <c r="AS24" s="351">
        <f t="shared" si="266"/>
        <v>1.9258574075985697</v>
      </c>
      <c r="AT24" s="363">
        <f t="shared" si="266"/>
        <v>7835.6589999999997</v>
      </c>
      <c r="AU24" s="351">
        <f t="shared" si="266"/>
        <v>1.9258574075985697</v>
      </c>
      <c r="AV24" s="363">
        <f t="shared" ref="AV24:BA24" si="267">AV20-AV26</f>
        <v>7835.6589999999997</v>
      </c>
      <c r="AW24" s="351">
        <f t="shared" si="267"/>
        <v>1.9258574075985697</v>
      </c>
      <c r="AX24" s="363">
        <f t="shared" si="267"/>
        <v>7835.6589999999997</v>
      </c>
      <c r="AY24" s="351">
        <f t="shared" si="267"/>
        <v>1.9258574075985697</v>
      </c>
      <c r="AZ24" s="363">
        <f t="shared" si="267"/>
        <v>7835.6589999999997</v>
      </c>
      <c r="BA24" s="351">
        <f t="shared" si="267"/>
        <v>1.9258574075985697</v>
      </c>
      <c r="BB24" s="363">
        <f t="shared" ref="BB24:BC24" si="268">BB20-BB26</f>
        <v>7835.6589999999997</v>
      </c>
      <c r="BC24" s="351">
        <f t="shared" si="268"/>
        <v>1.9258574075985697</v>
      </c>
      <c r="BD24" s="363">
        <f t="shared" ref="BD24:BK24" si="269">BD20-BD26</f>
        <v>7835.6589999999997</v>
      </c>
      <c r="BE24" s="351">
        <f t="shared" si="269"/>
        <v>1.9258574075985697</v>
      </c>
      <c r="BF24" s="363">
        <f t="shared" si="269"/>
        <v>7835.6589999999997</v>
      </c>
      <c r="BG24" s="351">
        <f t="shared" si="269"/>
        <v>1.9258574075985697</v>
      </c>
      <c r="BH24" s="363">
        <f t="shared" si="269"/>
        <v>7835.6589999999997</v>
      </c>
      <c r="BI24" s="351">
        <f t="shared" si="269"/>
        <v>1.9258574075985697</v>
      </c>
      <c r="BJ24" s="363">
        <f t="shared" si="269"/>
        <v>7835.6589999999997</v>
      </c>
      <c r="BK24" s="351">
        <f t="shared" si="269"/>
        <v>1.9258574075985697</v>
      </c>
      <c r="BL24" s="363">
        <f t="shared" ref="BL24:BM24" si="270">BL20-BL26</f>
        <v>8137.32</v>
      </c>
      <c r="BM24" s="351">
        <f t="shared" si="270"/>
        <v>2</v>
      </c>
      <c r="BN24" s="363">
        <f t="shared" ref="BN24:BO24" si="271">BN20-BN26</f>
        <v>8137.32</v>
      </c>
      <c r="BO24" s="351">
        <f t="shared" si="271"/>
        <v>2</v>
      </c>
      <c r="BP24" s="363">
        <f t="shared" ref="BP24:BQ24" si="272">BP20-BP26</f>
        <v>8137.32</v>
      </c>
      <c r="BQ24" s="351">
        <f t="shared" si="272"/>
        <v>2</v>
      </c>
      <c r="BR24" s="363">
        <f t="shared" ref="BR24:BS24" si="273">BR20-BR26</f>
        <v>8137.32</v>
      </c>
      <c r="BS24" s="351">
        <f t="shared" si="273"/>
        <v>2</v>
      </c>
      <c r="BT24" s="363">
        <f t="shared" ref="BT24:BU24" si="274">BT20-BT26</f>
        <v>8137.32</v>
      </c>
      <c r="BU24" s="351">
        <f t="shared" si="274"/>
        <v>2</v>
      </c>
      <c r="BV24" s="363">
        <f t="shared" ref="BV24:BW24" si="275">BV20-BV26</f>
        <v>8137.32</v>
      </c>
      <c r="BW24" s="351">
        <f t="shared" si="275"/>
        <v>2</v>
      </c>
      <c r="BX24" s="363">
        <f t="shared" ref="BX24:BY24" si="276">BX20-BX26</f>
        <v>8137.32</v>
      </c>
      <c r="BY24" s="351">
        <f t="shared" si="276"/>
        <v>2</v>
      </c>
      <c r="BZ24" s="363">
        <f t="shared" ref="BZ24:CA24" si="277">BZ20-BZ26</f>
        <v>8137.32</v>
      </c>
      <c r="CA24" s="351">
        <f t="shared" si="277"/>
        <v>2</v>
      </c>
      <c r="CB24" s="363">
        <f t="shared" ref="CB24:CC24" si="278">CB20-CB26</f>
        <v>8137.32</v>
      </c>
      <c r="CC24" s="351">
        <f t="shared" si="278"/>
        <v>2</v>
      </c>
      <c r="CD24" s="363">
        <f t="shared" ref="CD24:CE24" si="279">CD20-CD26</f>
        <v>8137.32</v>
      </c>
      <c r="CE24" s="351">
        <f t="shared" si="279"/>
        <v>2</v>
      </c>
      <c r="CF24" s="363">
        <f t="shared" ref="CF24:CG24" si="280">CF20-CF26</f>
        <v>8137.32</v>
      </c>
      <c r="CG24" s="351">
        <f t="shared" si="280"/>
        <v>2</v>
      </c>
      <c r="CH24" s="363">
        <f t="shared" ref="CH24:CK24" si="281">CH20-CH26</f>
        <v>8137.32</v>
      </c>
      <c r="CI24" s="351">
        <f t="shared" si="281"/>
        <v>2</v>
      </c>
      <c r="CJ24" s="363">
        <f t="shared" si="281"/>
        <v>8137.32</v>
      </c>
      <c r="CK24" s="351">
        <f t="shared" si="281"/>
        <v>2</v>
      </c>
      <c r="CL24" s="363">
        <f t="shared" ref="CL24:CM24" si="282">CL20-CL26</f>
        <v>8137.32</v>
      </c>
      <c r="CM24" s="351">
        <f t="shared" si="282"/>
        <v>2</v>
      </c>
      <c r="CN24" s="363">
        <f t="shared" ref="CN24:CO24" si="283">CN20-CN26</f>
        <v>8137.32</v>
      </c>
      <c r="CO24" s="351">
        <f t="shared" si="283"/>
        <v>2</v>
      </c>
      <c r="CP24" s="363">
        <f t="shared" si="263"/>
        <v>7835.6589999999997</v>
      </c>
      <c r="CQ24" s="351">
        <f t="shared" si="263"/>
        <v>1.9258574075985697</v>
      </c>
      <c r="CR24" s="363">
        <f t="shared" si="263"/>
        <v>7835.6589999999997</v>
      </c>
      <c r="CS24" s="351">
        <f t="shared" si="263"/>
        <v>1.9258574075985697</v>
      </c>
      <c r="CT24" s="363">
        <f t="shared" ref="CT24:CU24" si="284">CT20-CT26</f>
        <v>7835.6589999999997</v>
      </c>
      <c r="CU24" s="351">
        <f t="shared" si="284"/>
        <v>1.9258574075985697</v>
      </c>
      <c r="CV24" s="363">
        <f t="shared" ref="CV24:CY24" si="285">CV20-CV26</f>
        <v>7835.6589999999997</v>
      </c>
      <c r="CW24" s="351">
        <f t="shared" si="285"/>
        <v>1.9258574075985697</v>
      </c>
      <c r="CX24" s="363">
        <f t="shared" si="285"/>
        <v>7000</v>
      </c>
      <c r="CY24" s="351">
        <f t="shared" si="285"/>
        <v>1.7204681639655313</v>
      </c>
      <c r="CZ24" s="363">
        <f t="shared" ref="CZ24:DA24" si="286">CZ20-CZ26</f>
        <v>7000</v>
      </c>
      <c r="DA24" s="351">
        <f t="shared" si="286"/>
        <v>1.8312466512316092</v>
      </c>
      <c r="DB24" s="363">
        <f t="shared" ref="DB24:DC24" si="287">DB20-DB26</f>
        <v>6899.8671999999933</v>
      </c>
      <c r="DC24" s="351">
        <f t="shared" si="287"/>
        <v>1.6958574075985684</v>
      </c>
      <c r="DD24" s="363">
        <f t="shared" ref="DD24:DE24" si="288">DD20-DD26</f>
        <v>7103.3001999999979</v>
      </c>
      <c r="DE24" s="351">
        <f t="shared" si="288"/>
        <v>1.7458574075985691</v>
      </c>
      <c r="DF24" s="363">
        <f t="shared" ref="DF24:DG24" si="289">DF20-DF26</f>
        <v>7103.3001999999979</v>
      </c>
      <c r="DG24" s="351">
        <f t="shared" si="289"/>
        <v>1.7458574075985691</v>
      </c>
    </row>
    <row r="25" spans="1:111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DG25" si="290">F26</f>
        <v>31328.682000000001</v>
      </c>
      <c r="G25" s="55">
        <f t="shared" si="290"/>
        <v>7.7</v>
      </c>
      <c r="H25" s="54">
        <f t="shared" si="290"/>
        <v>32164.341</v>
      </c>
      <c r="I25" s="55">
        <f t="shared" si="290"/>
        <v>7.9053892436330395</v>
      </c>
      <c r="J25" s="54">
        <f t="shared" si="290"/>
        <v>31328.682000000001</v>
      </c>
      <c r="K25" s="55">
        <f t="shared" si="290"/>
        <v>7.7</v>
      </c>
      <c r="L25" s="54">
        <f t="shared" si="290"/>
        <v>33000</v>
      </c>
      <c r="M25" s="55">
        <f t="shared" si="290"/>
        <v>8.110778487266078</v>
      </c>
      <c r="N25" s="54">
        <f t="shared" si="290"/>
        <v>32164.341</v>
      </c>
      <c r="O25" s="55">
        <f t="shared" si="290"/>
        <v>7.9053892436330395</v>
      </c>
      <c r="P25" s="54">
        <f t="shared" si="290"/>
        <v>31328.682000000001</v>
      </c>
      <c r="Q25" s="55">
        <f t="shared" si="290"/>
        <v>7.7</v>
      </c>
      <c r="R25" s="54">
        <f t="shared" si="290"/>
        <v>33000</v>
      </c>
      <c r="S25" s="55">
        <f t="shared" si="290"/>
        <v>8.110778487266078</v>
      </c>
      <c r="T25" s="54">
        <f t="shared" si="290"/>
        <v>32164.341</v>
      </c>
      <c r="U25" s="55">
        <f t="shared" si="290"/>
        <v>7.9053892436330395</v>
      </c>
      <c r="V25" s="54">
        <f t="shared" si="290"/>
        <v>32164.341</v>
      </c>
      <c r="W25" s="55">
        <f t="shared" si="290"/>
        <v>7.9053892436330395</v>
      </c>
      <c r="X25" s="54">
        <f t="shared" si="290"/>
        <v>32164.341</v>
      </c>
      <c r="Y25" s="55">
        <f t="shared" si="290"/>
        <v>7.9053892436330395</v>
      </c>
      <c r="Z25" s="54">
        <f t="shared" si="290"/>
        <v>32164.341</v>
      </c>
      <c r="AA25" s="55">
        <f t="shared" si="290"/>
        <v>7.9053892436330395</v>
      </c>
      <c r="AB25" s="54">
        <f t="shared" si="290"/>
        <v>32164.341</v>
      </c>
      <c r="AC25" s="55">
        <f t="shared" si="290"/>
        <v>7.9053892436330395</v>
      </c>
      <c r="AD25" s="54">
        <f t="shared" si="290"/>
        <v>32164.341</v>
      </c>
      <c r="AE25" s="55">
        <f t="shared" si="290"/>
        <v>7.9053892436330395</v>
      </c>
      <c r="AF25" s="54">
        <f t="shared" si="290"/>
        <v>32164.341</v>
      </c>
      <c r="AG25" s="55">
        <f t="shared" si="290"/>
        <v>7.9053892436330395</v>
      </c>
      <c r="AH25" s="54">
        <f t="shared" si="290"/>
        <v>32164.341</v>
      </c>
      <c r="AI25" s="55">
        <f t="shared" si="290"/>
        <v>7.9053892436330395</v>
      </c>
      <c r="AJ25" s="54">
        <f t="shared" si="290"/>
        <v>32164.341</v>
      </c>
      <c r="AK25" s="55">
        <f t="shared" si="290"/>
        <v>7.9053892436330395</v>
      </c>
      <c r="AL25" s="54">
        <f t="shared" si="290"/>
        <v>32164.341</v>
      </c>
      <c r="AM25" s="55">
        <f t="shared" si="290"/>
        <v>7.9053892436330395</v>
      </c>
      <c r="AN25" s="54">
        <f t="shared" si="290"/>
        <v>32164.341</v>
      </c>
      <c r="AO25" s="55">
        <f t="shared" si="290"/>
        <v>7.9053892436330395</v>
      </c>
      <c r="AP25" s="54">
        <f t="shared" si="290"/>
        <v>32164.341</v>
      </c>
      <c r="AQ25" s="55">
        <f t="shared" si="290"/>
        <v>7.9053892436330395</v>
      </c>
      <c r="AR25" s="54">
        <f t="shared" si="290"/>
        <v>32164.341</v>
      </c>
      <c r="AS25" s="55">
        <f t="shared" si="290"/>
        <v>7.9053892436330395</v>
      </c>
      <c r="AT25" s="54">
        <f t="shared" si="290"/>
        <v>32164.341</v>
      </c>
      <c r="AU25" s="55">
        <f t="shared" si="290"/>
        <v>7.9053892436330395</v>
      </c>
      <c r="AV25" s="54">
        <f t="shared" si="290"/>
        <v>32164.341</v>
      </c>
      <c r="AW25" s="55">
        <f t="shared" si="290"/>
        <v>7.9053892436330395</v>
      </c>
      <c r="AX25" s="54">
        <f t="shared" si="290"/>
        <v>32164.341</v>
      </c>
      <c r="AY25" s="55">
        <f t="shared" si="290"/>
        <v>7.9053892436330395</v>
      </c>
      <c r="AZ25" s="54">
        <f t="shared" si="290"/>
        <v>32164.341</v>
      </c>
      <c r="BA25" s="55">
        <f t="shared" si="290"/>
        <v>7.9053892436330395</v>
      </c>
      <c r="BB25" s="54">
        <f t="shared" si="290"/>
        <v>32164.341</v>
      </c>
      <c r="BC25" s="55">
        <f t="shared" si="290"/>
        <v>7.9053892436330395</v>
      </c>
      <c r="BD25" s="54">
        <f t="shared" si="290"/>
        <v>32164.341</v>
      </c>
      <c r="BE25" s="55">
        <f t="shared" si="290"/>
        <v>7.9053892436330395</v>
      </c>
      <c r="BF25" s="54">
        <f t="shared" si="290"/>
        <v>32164.341</v>
      </c>
      <c r="BG25" s="55">
        <f t="shared" si="290"/>
        <v>7.9053892436330395</v>
      </c>
      <c r="BH25" s="54">
        <f t="shared" si="290"/>
        <v>32164.341</v>
      </c>
      <c r="BI25" s="55">
        <f t="shared" si="290"/>
        <v>7.9053892436330395</v>
      </c>
      <c r="BJ25" s="54">
        <f t="shared" si="290"/>
        <v>32164.341</v>
      </c>
      <c r="BK25" s="55">
        <f t="shared" si="290"/>
        <v>7.9053892436330395</v>
      </c>
      <c r="BL25" s="54">
        <f t="shared" si="290"/>
        <v>32549.279999999999</v>
      </c>
      <c r="BM25" s="55">
        <f t="shared" si="290"/>
        <v>8</v>
      </c>
      <c r="BN25" s="54">
        <f t="shared" si="290"/>
        <v>32549.279999999999</v>
      </c>
      <c r="BO25" s="55">
        <f t="shared" si="290"/>
        <v>8</v>
      </c>
      <c r="BP25" s="54">
        <f t="shared" si="290"/>
        <v>32549.279999999999</v>
      </c>
      <c r="BQ25" s="55">
        <f t="shared" si="290"/>
        <v>8</v>
      </c>
      <c r="BR25" s="54">
        <f t="shared" si="290"/>
        <v>32549.279999999999</v>
      </c>
      <c r="BS25" s="55">
        <f t="shared" si="290"/>
        <v>8</v>
      </c>
      <c r="BT25" s="54">
        <f t="shared" si="290"/>
        <v>32549.279999999999</v>
      </c>
      <c r="BU25" s="55">
        <f t="shared" si="290"/>
        <v>8</v>
      </c>
      <c r="BV25" s="54">
        <f t="shared" si="290"/>
        <v>32549.279999999999</v>
      </c>
      <c r="BW25" s="55">
        <f t="shared" si="290"/>
        <v>8</v>
      </c>
      <c r="BX25" s="54">
        <f t="shared" si="290"/>
        <v>32549.279999999999</v>
      </c>
      <c r="BY25" s="55">
        <f t="shared" si="290"/>
        <v>8</v>
      </c>
      <c r="BZ25" s="54">
        <f t="shared" si="290"/>
        <v>32549.279999999999</v>
      </c>
      <c r="CA25" s="55">
        <f t="shared" si="290"/>
        <v>8</v>
      </c>
      <c r="CB25" s="54">
        <f t="shared" si="290"/>
        <v>32549.279999999999</v>
      </c>
      <c r="CC25" s="55">
        <f t="shared" si="290"/>
        <v>8</v>
      </c>
      <c r="CD25" s="54">
        <f t="shared" si="290"/>
        <v>32549.279999999999</v>
      </c>
      <c r="CE25" s="55">
        <f t="shared" si="290"/>
        <v>8</v>
      </c>
      <c r="CF25" s="54">
        <f t="shared" si="290"/>
        <v>32549.279999999999</v>
      </c>
      <c r="CG25" s="55">
        <f t="shared" si="290"/>
        <v>8</v>
      </c>
      <c r="CH25" s="54">
        <f t="shared" si="290"/>
        <v>32549.279999999999</v>
      </c>
      <c r="CI25" s="55">
        <f t="shared" si="290"/>
        <v>8</v>
      </c>
      <c r="CJ25" s="54">
        <f t="shared" si="290"/>
        <v>32549.279999999999</v>
      </c>
      <c r="CK25" s="55">
        <f t="shared" si="290"/>
        <v>8</v>
      </c>
      <c r="CL25" s="54">
        <f t="shared" si="290"/>
        <v>32549.279999999999</v>
      </c>
      <c r="CM25" s="55">
        <f t="shared" si="290"/>
        <v>8</v>
      </c>
      <c r="CN25" s="54">
        <f t="shared" si="290"/>
        <v>32549.279999999999</v>
      </c>
      <c r="CO25" s="55">
        <f t="shared" si="290"/>
        <v>8</v>
      </c>
      <c r="CP25" s="54">
        <f t="shared" si="290"/>
        <v>32164.341</v>
      </c>
      <c r="CQ25" s="55">
        <f t="shared" si="290"/>
        <v>7.9053892436330395</v>
      </c>
      <c r="CR25" s="54">
        <f t="shared" si="290"/>
        <v>32164.341</v>
      </c>
      <c r="CS25" s="55">
        <f t="shared" si="290"/>
        <v>7.9053892436330395</v>
      </c>
      <c r="CT25" s="54">
        <f t="shared" si="290"/>
        <v>32164.341</v>
      </c>
      <c r="CU25" s="55">
        <f t="shared" si="290"/>
        <v>7.9053892436330395</v>
      </c>
      <c r="CV25" s="54">
        <f t="shared" si="290"/>
        <v>32164.341</v>
      </c>
      <c r="CW25" s="55">
        <f t="shared" si="290"/>
        <v>7.9053892436330395</v>
      </c>
      <c r="CX25" s="54">
        <f t="shared" si="290"/>
        <v>33000</v>
      </c>
      <c r="CY25" s="55">
        <f t="shared" si="290"/>
        <v>8.110778487266078</v>
      </c>
      <c r="CZ25" s="54">
        <f t="shared" si="290"/>
        <v>33000</v>
      </c>
      <c r="DA25" s="55">
        <f t="shared" si="290"/>
        <v>8</v>
      </c>
      <c r="DB25" s="54">
        <f t="shared" si="290"/>
        <v>33100.132800000007</v>
      </c>
      <c r="DC25" s="55">
        <f t="shared" si="290"/>
        <v>8.1353892436330408</v>
      </c>
      <c r="DD25" s="54">
        <f t="shared" si="290"/>
        <v>32896.699800000002</v>
      </c>
      <c r="DE25" s="55">
        <f t="shared" si="290"/>
        <v>8.0853892436330401</v>
      </c>
      <c r="DF25" s="54">
        <f t="shared" si="290"/>
        <v>32896.699800000002</v>
      </c>
      <c r="DG25" s="55">
        <f t="shared" si="290"/>
        <v>8.0853892436330401</v>
      </c>
    </row>
    <row r="26" spans="1:111" s="4" customFormat="1" ht="18" customHeight="1" x14ac:dyDescent="0.45">
      <c r="A26" s="561"/>
      <c r="B26" s="1187"/>
      <c r="C26" s="56" t="s">
        <v>40</v>
      </c>
      <c r="D26" s="52"/>
      <c r="E26" s="53"/>
      <c r="F26" s="54">
        <f>7.7*F12</f>
        <v>31328.682000000001</v>
      </c>
      <c r="G26" s="57">
        <f>+F26/F12</f>
        <v>7.7</v>
      </c>
      <c r="H26" s="54">
        <f>AVERAGE(J26,L26)</f>
        <v>32164.341</v>
      </c>
      <c r="I26" s="57">
        <f>+H26/H12</f>
        <v>7.9053892436330395</v>
      </c>
      <c r="J26" s="54">
        <f>7.7*J12</f>
        <v>31328.682000000001</v>
      </c>
      <c r="K26" s="57">
        <f>+J26/J12</f>
        <v>7.7</v>
      </c>
      <c r="L26" s="54">
        <v>33000</v>
      </c>
      <c r="M26" s="57">
        <f>+L26/L12</f>
        <v>8.110778487266078</v>
      </c>
      <c r="N26" s="54">
        <f>AVERAGE(P26,R26)</f>
        <v>32164.341</v>
      </c>
      <c r="O26" s="57">
        <f>+N26/N12</f>
        <v>7.9053892436330395</v>
      </c>
      <c r="P26" s="54">
        <f>7.7*P12</f>
        <v>31328.682000000001</v>
      </c>
      <c r="Q26" s="57">
        <f>+P26/P12</f>
        <v>7.7</v>
      </c>
      <c r="R26" s="54">
        <v>33000</v>
      </c>
      <c r="S26" s="57">
        <f>+R26/R12</f>
        <v>8.110778487266078</v>
      </c>
      <c r="T26" s="54">
        <f>N26</f>
        <v>32164.341</v>
      </c>
      <c r="U26" s="57">
        <f>O26</f>
        <v>7.9053892436330395</v>
      </c>
      <c r="V26" s="54">
        <f t="shared" ref="V26:CW26" si="291">T26</f>
        <v>32164.341</v>
      </c>
      <c r="W26" s="57">
        <f t="shared" si="291"/>
        <v>7.9053892436330395</v>
      </c>
      <c r="X26" s="54">
        <f t="shared" si="291"/>
        <v>32164.341</v>
      </c>
      <c r="Y26" s="57">
        <f t="shared" si="291"/>
        <v>7.9053892436330395</v>
      </c>
      <c r="Z26" s="54">
        <f t="shared" si="291"/>
        <v>32164.341</v>
      </c>
      <c r="AA26" s="57">
        <f t="shared" si="291"/>
        <v>7.9053892436330395</v>
      </c>
      <c r="AB26" s="54">
        <f t="shared" si="291"/>
        <v>32164.341</v>
      </c>
      <c r="AC26" s="57">
        <f t="shared" si="291"/>
        <v>7.9053892436330395</v>
      </c>
      <c r="AD26" s="54">
        <f t="shared" si="291"/>
        <v>32164.341</v>
      </c>
      <c r="AE26" s="57">
        <f t="shared" si="291"/>
        <v>7.9053892436330395</v>
      </c>
      <c r="AF26" s="54">
        <f t="shared" si="291"/>
        <v>32164.341</v>
      </c>
      <c r="AG26" s="57">
        <f t="shared" si="291"/>
        <v>7.9053892436330395</v>
      </c>
      <c r="AH26" s="54">
        <f t="shared" si="291"/>
        <v>32164.341</v>
      </c>
      <c r="AI26" s="57">
        <f t="shared" si="291"/>
        <v>7.9053892436330395</v>
      </c>
      <c r="AJ26" s="54">
        <f t="shared" ref="AJ26" si="292">AH26</f>
        <v>32164.341</v>
      </c>
      <c r="AK26" s="57">
        <f t="shared" ref="AK26" si="293">AI26</f>
        <v>7.9053892436330395</v>
      </c>
      <c r="AL26" s="54">
        <f t="shared" ref="AL26" si="294">AJ26</f>
        <v>32164.341</v>
      </c>
      <c r="AM26" s="57">
        <f t="shared" ref="AM26" si="295">AK26</f>
        <v>7.9053892436330395</v>
      </c>
      <c r="AN26" s="54">
        <f t="shared" ref="AN26" si="296">AL26</f>
        <v>32164.341</v>
      </c>
      <c r="AO26" s="57">
        <f t="shared" ref="AO26" si="297">AM26</f>
        <v>7.9053892436330395</v>
      </c>
      <c r="AP26" s="54">
        <f t="shared" ref="AP26" si="298">AN26</f>
        <v>32164.341</v>
      </c>
      <c r="AQ26" s="57">
        <f t="shared" ref="AQ26" si="299">AO26</f>
        <v>7.9053892436330395</v>
      </c>
      <c r="AR26" s="54">
        <f t="shared" ref="AR26" si="300">AP26</f>
        <v>32164.341</v>
      </c>
      <c r="AS26" s="57">
        <f t="shared" ref="AS26" si="301">AQ26</f>
        <v>7.9053892436330395</v>
      </c>
      <c r="AT26" s="54">
        <f t="shared" ref="AT26" si="302">AR26</f>
        <v>32164.341</v>
      </c>
      <c r="AU26" s="57">
        <f t="shared" ref="AU26" si="303">AS26</f>
        <v>7.9053892436330395</v>
      </c>
      <c r="AV26" s="54">
        <f t="shared" ref="AV26" si="304">AT26</f>
        <v>32164.341</v>
      </c>
      <c r="AW26" s="57">
        <f t="shared" ref="AW26" si="305">AU26</f>
        <v>7.9053892436330395</v>
      </c>
      <c r="AX26" s="54">
        <f t="shared" ref="AX26" si="306">AV26</f>
        <v>32164.341</v>
      </c>
      <c r="AY26" s="57">
        <f t="shared" ref="AY26" si="307">AW26</f>
        <v>7.9053892436330395</v>
      </c>
      <c r="AZ26" s="54">
        <f t="shared" ref="AZ26" si="308">AX26</f>
        <v>32164.341</v>
      </c>
      <c r="BA26" s="57">
        <f t="shared" ref="BA26" si="309">AY26</f>
        <v>7.9053892436330395</v>
      </c>
      <c r="BB26" s="54">
        <f t="shared" ref="BB26" si="310">AZ26</f>
        <v>32164.341</v>
      </c>
      <c r="BC26" s="57">
        <f t="shared" ref="BC26" si="311">BA26</f>
        <v>7.9053892436330395</v>
      </c>
      <c r="BD26" s="54">
        <f>BB26</f>
        <v>32164.341</v>
      </c>
      <c r="BE26" s="57">
        <f>BC26</f>
        <v>7.9053892436330395</v>
      </c>
      <c r="BF26" s="54">
        <f t="shared" ref="BF26" si="312">BD26</f>
        <v>32164.341</v>
      </c>
      <c r="BG26" s="57">
        <f t="shared" ref="BG26" si="313">BE26</f>
        <v>7.9053892436330395</v>
      </c>
      <c r="BH26" s="54">
        <f t="shared" ref="BH26" si="314">BF26</f>
        <v>32164.341</v>
      </c>
      <c r="BI26" s="57">
        <f t="shared" ref="BI26" si="315">BG26</f>
        <v>7.9053892436330395</v>
      </c>
      <c r="BJ26" s="54">
        <f t="shared" ref="BJ26" si="316">BH26</f>
        <v>32164.341</v>
      </c>
      <c r="BK26" s="57">
        <f t="shared" ref="BK26" si="317">BI26</f>
        <v>7.9053892436330395</v>
      </c>
      <c r="BL26" s="54">
        <f>BM26*BL12</f>
        <v>32549.279999999999</v>
      </c>
      <c r="BM26" s="57">
        <v>8</v>
      </c>
      <c r="BN26" s="54">
        <f t="shared" ref="BN26" si="318">BL26</f>
        <v>32549.279999999999</v>
      </c>
      <c r="BO26" s="57">
        <f t="shared" ref="BO26" si="319">BM26</f>
        <v>8</v>
      </c>
      <c r="BP26" s="54">
        <f t="shared" ref="BP26" si="320">BN26</f>
        <v>32549.279999999999</v>
      </c>
      <c r="BQ26" s="57">
        <f t="shared" ref="BQ26" si="321">BO26</f>
        <v>8</v>
      </c>
      <c r="BR26" s="54">
        <f t="shared" ref="BR26" si="322">BP26</f>
        <v>32549.279999999999</v>
      </c>
      <c r="BS26" s="57">
        <f t="shared" ref="BS26" si="323">BQ26</f>
        <v>8</v>
      </c>
      <c r="BT26" s="54">
        <f t="shared" ref="BT26" si="324">BR26</f>
        <v>32549.279999999999</v>
      </c>
      <c r="BU26" s="57">
        <f t="shared" ref="BU26" si="325">BS26</f>
        <v>8</v>
      </c>
      <c r="BV26" s="54">
        <f t="shared" ref="BV26" si="326">BT26</f>
        <v>32549.279999999999</v>
      </c>
      <c r="BW26" s="57">
        <f t="shared" ref="BW26" si="327">BU26</f>
        <v>8</v>
      </c>
      <c r="BX26" s="54">
        <f t="shared" ref="BX26" si="328">BV26</f>
        <v>32549.279999999999</v>
      </c>
      <c r="BY26" s="57">
        <f t="shared" ref="BY26" si="329">BW26</f>
        <v>8</v>
      </c>
      <c r="BZ26" s="54">
        <f t="shared" ref="BZ26" si="330">BX26</f>
        <v>32549.279999999999</v>
      </c>
      <c r="CA26" s="57">
        <f t="shared" ref="CA26" si="331">BY26</f>
        <v>8</v>
      </c>
      <c r="CB26" s="54">
        <f t="shared" ref="CB26" si="332">BZ26</f>
        <v>32549.279999999999</v>
      </c>
      <c r="CC26" s="57">
        <f t="shared" ref="CC26" si="333">CA26</f>
        <v>8</v>
      </c>
      <c r="CD26" s="54">
        <f t="shared" ref="CD26" si="334">CB26</f>
        <v>32549.279999999999</v>
      </c>
      <c r="CE26" s="57">
        <f t="shared" ref="CE26" si="335">CC26</f>
        <v>8</v>
      </c>
      <c r="CF26" s="54">
        <f t="shared" ref="CF26" si="336">CD26</f>
        <v>32549.279999999999</v>
      </c>
      <c r="CG26" s="57">
        <f t="shared" ref="CG26" si="337">CE26</f>
        <v>8</v>
      </c>
      <c r="CH26" s="54">
        <f t="shared" ref="CH26" si="338">CF26</f>
        <v>32549.279999999999</v>
      </c>
      <c r="CI26" s="57">
        <f t="shared" ref="CI26" si="339">CG26</f>
        <v>8</v>
      </c>
      <c r="CJ26" s="54">
        <f t="shared" ref="CJ26" si="340">CH26</f>
        <v>32549.279999999999</v>
      </c>
      <c r="CK26" s="57">
        <f t="shared" ref="CK26" si="341">CI26</f>
        <v>8</v>
      </c>
      <c r="CL26" s="54">
        <f t="shared" ref="CL26" si="342">CD26</f>
        <v>32549.279999999999</v>
      </c>
      <c r="CM26" s="57">
        <f t="shared" ref="CM26" si="343">CE26</f>
        <v>8</v>
      </c>
      <c r="CN26" s="54">
        <f t="shared" ref="CN26" si="344">BR26</f>
        <v>32549.279999999999</v>
      </c>
      <c r="CO26" s="57">
        <f t="shared" ref="CO26" si="345">BS26</f>
        <v>8</v>
      </c>
      <c r="CP26" s="54">
        <f>AH26</f>
        <v>32164.341</v>
      </c>
      <c r="CQ26" s="57">
        <f>AI26</f>
        <v>7.9053892436330395</v>
      </c>
      <c r="CR26" s="54">
        <f t="shared" si="291"/>
        <v>32164.341</v>
      </c>
      <c r="CS26" s="57">
        <f t="shared" si="291"/>
        <v>7.9053892436330395</v>
      </c>
      <c r="CT26" s="54">
        <f t="shared" si="291"/>
        <v>32164.341</v>
      </c>
      <c r="CU26" s="57">
        <f t="shared" si="291"/>
        <v>7.9053892436330395</v>
      </c>
      <c r="CV26" s="54">
        <f t="shared" si="291"/>
        <v>32164.341</v>
      </c>
      <c r="CW26" s="57">
        <f t="shared" si="291"/>
        <v>7.9053892436330395</v>
      </c>
      <c r="CX26" s="54">
        <v>33000</v>
      </c>
      <c r="CY26" s="57">
        <f>+CX26/CX12</f>
        <v>8.110778487266078</v>
      </c>
      <c r="CZ26" s="54">
        <f t="shared" ref="CZ26" si="346">CX26</f>
        <v>33000</v>
      </c>
      <c r="DA26" s="57">
        <v>8</v>
      </c>
      <c r="DB26" s="54">
        <f>DC26*DB12</f>
        <v>33100.132800000007</v>
      </c>
      <c r="DC26" s="57">
        <f>7.90538924363304+0.18+0.05</f>
        <v>8.1353892436330408</v>
      </c>
      <c r="DD26" s="54">
        <f>DE26*DD12</f>
        <v>32896.699800000002</v>
      </c>
      <c r="DE26" s="57">
        <f>7.90538924363304+0.18</f>
        <v>8.0853892436330401</v>
      </c>
      <c r="DF26" s="54">
        <f>DG26*DF12</f>
        <v>32896.699800000002</v>
      </c>
      <c r="DG26" s="57">
        <f>7.90538924363304+0.18</f>
        <v>8.0853892436330401</v>
      </c>
    </row>
    <row r="27" spans="1:111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359"/>
      <c r="AG27" s="355"/>
      <c r="AH27" s="359"/>
      <c r="AI27" s="355"/>
      <c r="AJ27" s="359"/>
      <c r="AK27" s="355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359"/>
      <c r="BY27" s="355"/>
      <c r="BZ27" s="359"/>
      <c r="CA27" s="355"/>
      <c r="CB27" s="359"/>
      <c r="CC27" s="355"/>
      <c r="CD27" s="359"/>
      <c r="CE27" s="355"/>
      <c r="CF27" s="359"/>
      <c r="CG27" s="355"/>
      <c r="CH27" s="359"/>
      <c r="CI27" s="355"/>
      <c r="CJ27" s="359"/>
      <c r="CK27" s="355"/>
      <c r="CL27" s="359"/>
      <c r="CM27" s="355"/>
      <c r="CN27" s="359"/>
      <c r="CO27" s="355"/>
      <c r="CP27" s="359"/>
      <c r="CQ27" s="355"/>
      <c r="CR27" s="359"/>
      <c r="CS27" s="355"/>
      <c r="CT27" s="359"/>
      <c r="CU27" s="355"/>
      <c r="CV27" s="359"/>
      <c r="CW27" s="355"/>
      <c r="CX27" s="359"/>
      <c r="CY27" s="355"/>
      <c r="CZ27" s="359"/>
      <c r="DA27" s="355"/>
      <c r="DB27" s="359"/>
      <c r="DC27" s="355"/>
      <c r="DD27" s="359"/>
      <c r="DE27" s="355"/>
      <c r="DF27" s="359"/>
      <c r="DG27" s="355"/>
    </row>
    <row r="28" spans="1:111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364"/>
      <c r="AG28" s="360"/>
      <c r="AH28" s="364"/>
      <c r="AI28" s="360"/>
      <c r="AJ28" s="364"/>
      <c r="AK28" s="360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364"/>
      <c r="BY28" s="360"/>
      <c r="BZ28" s="364"/>
      <c r="CA28" s="360"/>
      <c r="CB28" s="364"/>
      <c r="CC28" s="360"/>
      <c r="CD28" s="364"/>
      <c r="CE28" s="360"/>
      <c r="CF28" s="364"/>
      <c r="CG28" s="360"/>
      <c r="CH28" s="364"/>
      <c r="CI28" s="360"/>
      <c r="CJ28" s="364"/>
      <c r="CK28" s="360"/>
      <c r="CL28" s="364"/>
      <c r="CM28" s="360"/>
      <c r="CN28" s="364"/>
      <c r="CO28" s="360"/>
      <c r="CP28" s="364"/>
      <c r="CQ28" s="360"/>
      <c r="CR28" s="364"/>
      <c r="CS28" s="360"/>
      <c r="CT28" s="364"/>
      <c r="CU28" s="360"/>
      <c r="CV28" s="364"/>
      <c r="CW28" s="360"/>
      <c r="CX28" s="364"/>
      <c r="CY28" s="360"/>
      <c r="CZ28" s="364"/>
      <c r="DA28" s="360"/>
      <c r="DB28" s="364"/>
      <c r="DC28" s="360"/>
      <c r="DD28" s="364"/>
      <c r="DE28" s="360"/>
      <c r="DF28" s="364"/>
      <c r="DG28" s="360"/>
    </row>
    <row r="29" spans="1:111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O29" si="347">F30/F26</f>
        <v>4.4155844155844212E-2</v>
      </c>
      <c r="G29" s="48">
        <f t="shared" si="347"/>
        <v>4.4155844155844136E-2</v>
      </c>
      <c r="H29" s="47">
        <f t="shared" si="347"/>
        <v>6.8989549638215852E-2</v>
      </c>
      <c r="I29" s="48">
        <f t="shared" si="347"/>
        <v>6.8989549638215852E-2</v>
      </c>
      <c r="J29" s="47">
        <f t="shared" ref="J29:M29" si="348">J30/J26</f>
        <v>1.8751973189192712E-2</v>
      </c>
      <c r="K29" s="48">
        <f t="shared" si="348"/>
        <v>1.8751973189192663E-2</v>
      </c>
      <c r="L29" s="47">
        <f t="shared" si="348"/>
        <v>3.7715299334811624E-2</v>
      </c>
      <c r="M29" s="48">
        <f t="shared" si="348"/>
        <v>3.7715299334811575E-2</v>
      </c>
      <c r="N29" s="361">
        <f t="shared" si="347"/>
        <v>7.1804444407090329E-2</v>
      </c>
      <c r="O29" s="362">
        <f t="shared" si="347"/>
        <v>7.180444440709037E-2</v>
      </c>
      <c r="P29" s="361">
        <f t="shared" ref="P29:U29" si="349">P30/P26</f>
        <v>1.5362131322047558E-2</v>
      </c>
      <c r="Q29" s="362">
        <f t="shared" si="349"/>
        <v>1.536213132204747E-2</v>
      </c>
      <c r="R29" s="361">
        <f t="shared" si="349"/>
        <v>3.7715299334811624E-2</v>
      </c>
      <c r="S29" s="362">
        <f t="shared" si="349"/>
        <v>3.7715299334811575E-2</v>
      </c>
      <c r="T29" s="361">
        <f t="shared" si="349"/>
        <v>7.1804444407090329E-2</v>
      </c>
      <c r="U29" s="362">
        <f t="shared" si="349"/>
        <v>7.180444440709037E-2</v>
      </c>
      <c r="V29" s="361">
        <f t="shared" ref="V29:Y29" si="350">V30/V26</f>
        <v>7.1804444407090329E-2</v>
      </c>
      <c r="W29" s="362">
        <f t="shared" si="350"/>
        <v>7.180444440709037E-2</v>
      </c>
      <c r="X29" s="361">
        <f t="shared" si="350"/>
        <v>7.1804444407090329E-2</v>
      </c>
      <c r="Y29" s="362">
        <f t="shared" si="350"/>
        <v>7.180444440709037E-2</v>
      </c>
      <c r="Z29" s="361">
        <f t="shared" ref="Z29:AG29" si="351">Z30/Z26</f>
        <v>7.1804444407090329E-2</v>
      </c>
      <c r="AA29" s="362">
        <f t="shared" si="351"/>
        <v>7.180444440709037E-2</v>
      </c>
      <c r="AB29" s="361">
        <f t="shared" si="351"/>
        <v>7.1804444407090329E-2</v>
      </c>
      <c r="AC29" s="362">
        <f t="shared" si="351"/>
        <v>7.180444440709037E-2</v>
      </c>
      <c r="AD29" s="361">
        <f t="shared" si="351"/>
        <v>7.1804444407090329E-2</v>
      </c>
      <c r="AE29" s="362">
        <f t="shared" si="351"/>
        <v>7.180444440709037E-2</v>
      </c>
      <c r="AF29" s="361">
        <f t="shared" si="351"/>
        <v>7.1804444407090329E-2</v>
      </c>
      <c r="AG29" s="362">
        <f t="shared" si="351"/>
        <v>7.180444440709037E-2</v>
      </c>
      <c r="AH29" s="361">
        <f t="shared" ref="AH29:CS29" si="352">AH30/AH26</f>
        <v>7.1804444407090329E-2</v>
      </c>
      <c r="AI29" s="362">
        <f t="shared" si="352"/>
        <v>7.180444440709037E-2</v>
      </c>
      <c r="AJ29" s="361">
        <f t="shared" ref="AJ29:AK29" si="353">AJ30/AJ26</f>
        <v>7.1804444407090329E-2</v>
      </c>
      <c r="AK29" s="362">
        <f t="shared" si="353"/>
        <v>7.180444440709037E-2</v>
      </c>
      <c r="AL29" s="361">
        <f t="shared" ref="AL29:AO29" si="354">AL30/AL26</f>
        <v>7.1804444407090329E-2</v>
      </c>
      <c r="AM29" s="362">
        <f t="shared" si="354"/>
        <v>7.180444440709037E-2</v>
      </c>
      <c r="AN29" s="361">
        <f t="shared" si="354"/>
        <v>7.1804444407090329E-2</v>
      </c>
      <c r="AO29" s="362">
        <f t="shared" si="354"/>
        <v>7.180444440709037E-2</v>
      </c>
      <c r="AP29" s="361">
        <f t="shared" ref="AP29:AU29" si="355">AP30/AP26</f>
        <v>7.1804444407090329E-2</v>
      </c>
      <c r="AQ29" s="362">
        <f t="shared" si="355"/>
        <v>7.180444440709037E-2</v>
      </c>
      <c r="AR29" s="361">
        <f t="shared" si="355"/>
        <v>7.1804444407090329E-2</v>
      </c>
      <c r="AS29" s="362">
        <f t="shared" si="355"/>
        <v>7.180444440709037E-2</v>
      </c>
      <c r="AT29" s="361">
        <f t="shared" si="355"/>
        <v>7.1804444407090329E-2</v>
      </c>
      <c r="AU29" s="362">
        <f t="shared" si="355"/>
        <v>7.180444440709037E-2</v>
      </c>
      <c r="AV29" s="361">
        <f t="shared" ref="AV29:BA29" si="356">AV30/AV26</f>
        <v>7.1804444407090329E-2</v>
      </c>
      <c r="AW29" s="362">
        <f t="shared" si="356"/>
        <v>7.180444440709037E-2</v>
      </c>
      <c r="AX29" s="361">
        <f t="shared" si="356"/>
        <v>7.1804444407090329E-2</v>
      </c>
      <c r="AY29" s="362">
        <f t="shared" si="356"/>
        <v>7.180444440709037E-2</v>
      </c>
      <c r="AZ29" s="361">
        <f t="shared" si="356"/>
        <v>7.1804444407090329E-2</v>
      </c>
      <c r="BA29" s="362">
        <f t="shared" si="356"/>
        <v>7.180444440709037E-2</v>
      </c>
      <c r="BB29" s="361">
        <f t="shared" ref="BB29:BC29" si="357">BB30/BB26</f>
        <v>7.1804444407090329E-2</v>
      </c>
      <c r="BC29" s="362">
        <f t="shared" si="357"/>
        <v>7.180444440709037E-2</v>
      </c>
      <c r="BD29" s="361">
        <f t="shared" ref="BD29:BK29" si="358">BD30/BD26</f>
        <v>7.1804444407090329E-2</v>
      </c>
      <c r="BE29" s="362">
        <f t="shared" si="358"/>
        <v>7.180444440709037E-2</v>
      </c>
      <c r="BF29" s="361">
        <f t="shared" si="358"/>
        <v>7.1804444407090329E-2</v>
      </c>
      <c r="BG29" s="362">
        <f t="shared" si="358"/>
        <v>7.180444440709037E-2</v>
      </c>
      <c r="BH29" s="361">
        <f t="shared" si="358"/>
        <v>7.1804444407090329E-2</v>
      </c>
      <c r="BI29" s="362">
        <f t="shared" si="358"/>
        <v>7.180444440709037E-2</v>
      </c>
      <c r="BJ29" s="361">
        <f t="shared" si="358"/>
        <v>7.1804444407090329E-2</v>
      </c>
      <c r="BK29" s="362">
        <f t="shared" si="358"/>
        <v>7.180444440709037E-2</v>
      </c>
      <c r="BL29" s="361">
        <f t="shared" ref="BL29:BM29" si="359">BL30/BL26</f>
        <v>2.5000000000000001E-2</v>
      </c>
      <c r="BM29" s="362">
        <f t="shared" si="359"/>
        <v>2.5000000000000022E-2</v>
      </c>
      <c r="BN29" s="361">
        <f t="shared" ref="BN29:BO29" si="360">BN30/BN26</f>
        <v>2.5000000000000001E-2</v>
      </c>
      <c r="BO29" s="362">
        <f t="shared" si="360"/>
        <v>2.5000000000000022E-2</v>
      </c>
      <c r="BP29" s="361">
        <f t="shared" ref="BP29:BQ29" si="361">BP30/BP26</f>
        <v>2.5000000000000001E-2</v>
      </c>
      <c r="BQ29" s="362">
        <f t="shared" si="361"/>
        <v>2.5000000000000022E-2</v>
      </c>
      <c r="BR29" s="361">
        <f t="shared" ref="BR29:BS29" si="362">BR30/BR26</f>
        <v>2.5000000000000001E-2</v>
      </c>
      <c r="BS29" s="362">
        <f t="shared" si="362"/>
        <v>2.5000000000000022E-2</v>
      </c>
      <c r="BT29" s="361">
        <f t="shared" ref="BT29:BU29" si="363">BT30/BT26</f>
        <v>2.5000000000000001E-2</v>
      </c>
      <c r="BU29" s="362">
        <f t="shared" si="363"/>
        <v>2.5000000000000022E-2</v>
      </c>
      <c r="BV29" s="361">
        <f t="shared" ref="BV29:BW29" si="364">BV30/BV26</f>
        <v>2.5000000000000001E-2</v>
      </c>
      <c r="BW29" s="362">
        <f t="shared" si="364"/>
        <v>2.5000000000000022E-2</v>
      </c>
      <c r="BX29" s="361">
        <f t="shared" ref="BX29:BY29" si="365">BX30/BX26</f>
        <v>2.5000000000000001E-2</v>
      </c>
      <c r="BY29" s="362">
        <f t="shared" si="365"/>
        <v>2.5000000000000022E-2</v>
      </c>
      <c r="BZ29" s="361">
        <f t="shared" ref="BZ29:CA29" si="366">BZ30/BZ26</f>
        <v>2.5000000000000001E-2</v>
      </c>
      <c r="CA29" s="362">
        <f t="shared" si="366"/>
        <v>2.5000000000000022E-2</v>
      </c>
      <c r="CB29" s="361">
        <f t="shared" ref="CB29:CC29" si="367">CB30/CB26</f>
        <v>2.5000000000000001E-2</v>
      </c>
      <c r="CC29" s="362">
        <f t="shared" si="367"/>
        <v>2.5000000000000022E-2</v>
      </c>
      <c r="CD29" s="361">
        <f t="shared" ref="CD29:CE29" si="368">CD30/CD26</f>
        <v>2.5000000000000001E-2</v>
      </c>
      <c r="CE29" s="362">
        <f t="shared" si="368"/>
        <v>2.5000000000000022E-2</v>
      </c>
      <c r="CF29" s="361">
        <f t="shared" ref="CF29:CG29" si="369">CF30/CF26</f>
        <v>2.5000000000000001E-2</v>
      </c>
      <c r="CG29" s="362">
        <f t="shared" si="369"/>
        <v>2.5000000000000022E-2</v>
      </c>
      <c r="CH29" s="361">
        <f t="shared" ref="CH29:CK29" si="370">CH30/CH26</f>
        <v>2.5000000000000001E-2</v>
      </c>
      <c r="CI29" s="362">
        <f t="shared" si="370"/>
        <v>2.5000000000000022E-2</v>
      </c>
      <c r="CJ29" s="361">
        <f t="shared" si="370"/>
        <v>2.5000000000000001E-2</v>
      </c>
      <c r="CK29" s="362">
        <f t="shared" si="370"/>
        <v>2.5000000000000022E-2</v>
      </c>
      <c r="CL29" s="361">
        <f t="shared" ref="CL29:CM29" si="371">CL30/CL26</f>
        <v>2.5000000000000001E-2</v>
      </c>
      <c r="CM29" s="362">
        <f t="shared" si="371"/>
        <v>2.5000000000000022E-2</v>
      </c>
      <c r="CN29" s="361">
        <f t="shared" ref="CN29:CO29" si="372">CN30/CN26</f>
        <v>8.4758064516129036E-2</v>
      </c>
      <c r="CO29" s="362">
        <f t="shared" si="372"/>
        <v>8.4758064516128995E-2</v>
      </c>
      <c r="CP29" s="361">
        <f t="shared" si="352"/>
        <v>7.1804444407090329E-2</v>
      </c>
      <c r="CQ29" s="362">
        <f t="shared" si="352"/>
        <v>7.180444440709037E-2</v>
      </c>
      <c r="CR29" s="361">
        <f t="shared" si="352"/>
        <v>7.1804444407090329E-2</v>
      </c>
      <c r="CS29" s="362">
        <f t="shared" si="352"/>
        <v>7.180444440709037E-2</v>
      </c>
      <c r="CT29" s="361">
        <f t="shared" ref="CT29:CU29" si="373">CT30/CT26</f>
        <v>7.1804444407090329E-2</v>
      </c>
      <c r="CU29" s="362">
        <f t="shared" si="373"/>
        <v>7.180444440709037E-2</v>
      </c>
      <c r="CV29" s="361">
        <f t="shared" ref="CV29:CY29" si="374">CV30/CV26</f>
        <v>7.1804444407090329E-2</v>
      </c>
      <c r="CW29" s="362">
        <f t="shared" si="374"/>
        <v>7.180444440709037E-2</v>
      </c>
      <c r="CX29" s="361">
        <f t="shared" si="374"/>
        <v>9.5309140461369568E-2</v>
      </c>
      <c r="CY29" s="362">
        <f t="shared" si="374"/>
        <v>9.5309140461369568E-2</v>
      </c>
      <c r="CZ29" s="361">
        <f t="shared" ref="CZ29:DA29" si="375">CZ30/CZ26</f>
        <v>9.5309140461369568E-2</v>
      </c>
      <c r="DA29" s="362">
        <f t="shared" si="375"/>
        <v>2.5000000000000022E-2</v>
      </c>
      <c r="DB29" s="361">
        <f t="shared" ref="DB29:DC29" si="376">DB30/DB26</f>
        <v>6.3628434603295786E-2</v>
      </c>
      <c r="DC29" s="362">
        <f t="shared" si="376"/>
        <v>6.3628434603295772E-2</v>
      </c>
      <c r="DD29" s="361">
        <f t="shared" ref="DD29:DE29" si="377">DD30/DD26</f>
        <v>6.4021912472362913E-2</v>
      </c>
      <c r="DE29" s="362">
        <f t="shared" si="377"/>
        <v>6.402191247236301E-2</v>
      </c>
      <c r="DF29" s="361">
        <f t="shared" ref="DF29:DG29" si="378">DF30/DF26</f>
        <v>6.4021912472362913E-2</v>
      </c>
      <c r="DG29" s="362">
        <f t="shared" si="378"/>
        <v>6.402191247236301E-2</v>
      </c>
    </row>
    <row r="30" spans="1:111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O30" si="379">F26-F32</f>
        <v>1383.3444000000018</v>
      </c>
      <c r="G30" s="24">
        <f t="shared" si="379"/>
        <v>0.33999999999999986</v>
      </c>
      <c r="H30" s="50">
        <f t="shared" si="379"/>
        <v>2219.0034000000014</v>
      </c>
      <c r="I30" s="24">
        <f t="shared" si="379"/>
        <v>0.5453892436330392</v>
      </c>
      <c r="J30" s="50">
        <f t="shared" ref="J30:M30" si="380">J26-J32</f>
        <v>587.47460491674428</v>
      </c>
      <c r="K30" s="24">
        <f t="shared" si="380"/>
        <v>0.14439019355678351</v>
      </c>
      <c r="L30" s="50">
        <f t="shared" si="380"/>
        <v>1244.6048780487836</v>
      </c>
      <c r="M30" s="24">
        <f t="shared" si="380"/>
        <v>0.30590043848559034</v>
      </c>
      <c r="N30" s="363">
        <f t="shared" si="379"/>
        <v>2309.5426352251961</v>
      </c>
      <c r="O30" s="351">
        <f t="shared" si="379"/>
        <v>0.56764208246085879</v>
      </c>
      <c r="P30" s="363">
        <f t="shared" ref="P30:U30" si="381">P26-P32</f>
        <v>481.27532703066754</v>
      </c>
      <c r="Q30" s="351">
        <f t="shared" si="381"/>
        <v>0.11828841117976552</v>
      </c>
      <c r="R30" s="363">
        <f t="shared" si="381"/>
        <v>1244.6048780487836</v>
      </c>
      <c r="S30" s="351">
        <f t="shared" si="381"/>
        <v>0.30590043848559034</v>
      </c>
      <c r="T30" s="363">
        <f t="shared" si="381"/>
        <v>2309.5426352251961</v>
      </c>
      <c r="U30" s="351">
        <f t="shared" si="381"/>
        <v>0.56764208246085879</v>
      </c>
      <c r="V30" s="363">
        <f t="shared" ref="V30:Y30" si="382">V26-V32</f>
        <v>2309.5426352251961</v>
      </c>
      <c r="W30" s="351">
        <f t="shared" si="382"/>
        <v>0.56764208246085879</v>
      </c>
      <c r="X30" s="363">
        <f t="shared" si="382"/>
        <v>2309.5426352251961</v>
      </c>
      <c r="Y30" s="351">
        <f t="shared" si="382"/>
        <v>0.56764208246085879</v>
      </c>
      <c r="Z30" s="363">
        <f t="shared" ref="Z30:AG30" si="383">Z26-Z32</f>
        <v>2309.5426352251961</v>
      </c>
      <c r="AA30" s="351">
        <f t="shared" si="383"/>
        <v>0.56764208246085879</v>
      </c>
      <c r="AB30" s="363">
        <f t="shared" si="383"/>
        <v>2309.5426352251961</v>
      </c>
      <c r="AC30" s="351">
        <f t="shared" si="383"/>
        <v>0.56764208246085879</v>
      </c>
      <c r="AD30" s="363">
        <f t="shared" si="383"/>
        <v>2309.5426352251961</v>
      </c>
      <c r="AE30" s="351">
        <f t="shared" si="383"/>
        <v>0.56764208246085879</v>
      </c>
      <c r="AF30" s="363">
        <f t="shared" si="383"/>
        <v>2309.5426352251961</v>
      </c>
      <c r="AG30" s="351">
        <f t="shared" si="383"/>
        <v>0.56764208246085879</v>
      </c>
      <c r="AH30" s="363">
        <f t="shared" ref="AH30:CS30" si="384">AH26-AH32</f>
        <v>2309.5426352251961</v>
      </c>
      <c r="AI30" s="351">
        <f t="shared" si="384"/>
        <v>0.56764208246085879</v>
      </c>
      <c r="AJ30" s="363">
        <f t="shared" ref="AJ30:AK30" si="385">AJ26-AJ32</f>
        <v>2309.5426352251961</v>
      </c>
      <c r="AK30" s="351">
        <f t="shared" si="385"/>
        <v>0.56764208246085879</v>
      </c>
      <c r="AL30" s="363">
        <f t="shared" ref="AL30:AO30" si="386">AL26-AL32</f>
        <v>2309.5426352251961</v>
      </c>
      <c r="AM30" s="351">
        <f t="shared" si="386"/>
        <v>0.56764208246085879</v>
      </c>
      <c r="AN30" s="363">
        <f t="shared" si="386"/>
        <v>2309.5426352251961</v>
      </c>
      <c r="AO30" s="351">
        <f t="shared" si="386"/>
        <v>0.56764208246085879</v>
      </c>
      <c r="AP30" s="363">
        <f t="shared" ref="AP30:AU30" si="387">AP26-AP32</f>
        <v>2309.5426352251961</v>
      </c>
      <c r="AQ30" s="351">
        <f t="shared" si="387"/>
        <v>0.56764208246085879</v>
      </c>
      <c r="AR30" s="363">
        <f t="shared" si="387"/>
        <v>2309.5426352251961</v>
      </c>
      <c r="AS30" s="351">
        <f t="shared" si="387"/>
        <v>0.56764208246085879</v>
      </c>
      <c r="AT30" s="363">
        <f t="shared" si="387"/>
        <v>2309.5426352251961</v>
      </c>
      <c r="AU30" s="351">
        <f t="shared" si="387"/>
        <v>0.56764208246085879</v>
      </c>
      <c r="AV30" s="363">
        <f t="shared" ref="AV30:BA30" si="388">AV26-AV32</f>
        <v>2309.5426352251961</v>
      </c>
      <c r="AW30" s="351">
        <f t="shared" si="388"/>
        <v>0.56764208246085879</v>
      </c>
      <c r="AX30" s="363">
        <f t="shared" si="388"/>
        <v>2309.5426352251961</v>
      </c>
      <c r="AY30" s="351">
        <f t="shared" si="388"/>
        <v>0.56764208246085879</v>
      </c>
      <c r="AZ30" s="363">
        <f t="shared" si="388"/>
        <v>2309.5426352251961</v>
      </c>
      <c r="BA30" s="351">
        <f t="shared" si="388"/>
        <v>0.56764208246085879</v>
      </c>
      <c r="BB30" s="363">
        <f t="shared" ref="BB30:BC30" si="389">BB26-BB32</f>
        <v>2309.5426352251961</v>
      </c>
      <c r="BC30" s="351">
        <f t="shared" si="389"/>
        <v>0.56764208246085879</v>
      </c>
      <c r="BD30" s="363">
        <f t="shared" ref="BD30:BK30" si="390">BD26-BD32</f>
        <v>2309.5426352251961</v>
      </c>
      <c r="BE30" s="351">
        <f t="shared" si="390"/>
        <v>0.56764208246085879</v>
      </c>
      <c r="BF30" s="363">
        <f t="shared" si="390"/>
        <v>2309.5426352251961</v>
      </c>
      <c r="BG30" s="351">
        <f t="shared" si="390"/>
        <v>0.56764208246085879</v>
      </c>
      <c r="BH30" s="363">
        <f t="shared" si="390"/>
        <v>2309.5426352251961</v>
      </c>
      <c r="BI30" s="351">
        <f t="shared" si="390"/>
        <v>0.56764208246085879</v>
      </c>
      <c r="BJ30" s="363">
        <f t="shared" si="390"/>
        <v>2309.5426352251961</v>
      </c>
      <c r="BK30" s="351">
        <f t="shared" si="390"/>
        <v>0.56764208246085879</v>
      </c>
      <c r="BL30" s="363">
        <f t="shared" ref="BL30:BM30" si="391">BL26-BL32</f>
        <v>813.73199999999997</v>
      </c>
      <c r="BM30" s="351">
        <f t="shared" si="391"/>
        <v>0.20000000000000018</v>
      </c>
      <c r="BN30" s="363">
        <f t="shared" ref="BN30:BO30" si="392">BN26-BN32</f>
        <v>813.73199999999997</v>
      </c>
      <c r="BO30" s="351">
        <f t="shared" si="392"/>
        <v>0.20000000000000018</v>
      </c>
      <c r="BP30" s="363">
        <f t="shared" ref="BP30:BQ30" si="393">BP26-BP32</f>
        <v>813.73199999999997</v>
      </c>
      <c r="BQ30" s="351">
        <f t="shared" si="393"/>
        <v>0.20000000000000018</v>
      </c>
      <c r="BR30" s="363">
        <f t="shared" ref="BR30:BS30" si="394">BR26-BR32</f>
        <v>813.73199999999997</v>
      </c>
      <c r="BS30" s="351">
        <f t="shared" si="394"/>
        <v>0.20000000000000018</v>
      </c>
      <c r="BT30" s="363">
        <f t="shared" ref="BT30:BU30" si="395">BT26-BT32</f>
        <v>813.73199999999997</v>
      </c>
      <c r="BU30" s="351">
        <f t="shared" si="395"/>
        <v>0.20000000000000018</v>
      </c>
      <c r="BV30" s="363">
        <f t="shared" ref="BV30:BW30" si="396">BV26-BV32</f>
        <v>813.73199999999997</v>
      </c>
      <c r="BW30" s="351">
        <f t="shared" si="396"/>
        <v>0.20000000000000018</v>
      </c>
      <c r="BX30" s="363">
        <f t="shared" ref="BX30:BY30" si="397">BX26-BX32</f>
        <v>813.73199999999997</v>
      </c>
      <c r="BY30" s="351">
        <f t="shared" si="397"/>
        <v>0.20000000000000018</v>
      </c>
      <c r="BZ30" s="363">
        <f t="shared" ref="BZ30:CA30" si="398">BZ26-BZ32</f>
        <v>813.73199999999997</v>
      </c>
      <c r="CA30" s="351">
        <f t="shared" si="398"/>
        <v>0.20000000000000018</v>
      </c>
      <c r="CB30" s="363">
        <f t="shared" ref="CB30:CC30" si="399">CB26-CB32</f>
        <v>813.73199999999997</v>
      </c>
      <c r="CC30" s="351">
        <f t="shared" si="399"/>
        <v>0.20000000000000018</v>
      </c>
      <c r="CD30" s="363">
        <f t="shared" ref="CD30:CE30" si="400">CD26-CD32</f>
        <v>813.73199999999997</v>
      </c>
      <c r="CE30" s="351">
        <f t="shared" si="400"/>
        <v>0.20000000000000018</v>
      </c>
      <c r="CF30" s="363">
        <f t="shared" ref="CF30:CG30" si="401">CF26-CF32</f>
        <v>813.73199999999997</v>
      </c>
      <c r="CG30" s="351">
        <f t="shared" si="401"/>
        <v>0.20000000000000018</v>
      </c>
      <c r="CH30" s="363">
        <f t="shared" ref="CH30:CK30" si="402">CH26-CH32</f>
        <v>813.73199999999997</v>
      </c>
      <c r="CI30" s="351">
        <f t="shared" si="402"/>
        <v>0.20000000000000018</v>
      </c>
      <c r="CJ30" s="363">
        <f t="shared" si="402"/>
        <v>813.73199999999997</v>
      </c>
      <c r="CK30" s="351">
        <f t="shared" si="402"/>
        <v>0.20000000000000018</v>
      </c>
      <c r="CL30" s="363">
        <f t="shared" ref="CL30:CM30" si="403">CL26-CL32</f>
        <v>813.73199999999997</v>
      </c>
      <c r="CM30" s="351">
        <f t="shared" si="403"/>
        <v>0.20000000000000018</v>
      </c>
      <c r="CN30" s="363">
        <f t="shared" ref="CN30:CO30" si="404">CN26-CN32</f>
        <v>2758.8139741935483</v>
      </c>
      <c r="CO30" s="351">
        <f t="shared" si="404"/>
        <v>0.67806451612903196</v>
      </c>
      <c r="CP30" s="363">
        <f t="shared" si="384"/>
        <v>2309.5426352251961</v>
      </c>
      <c r="CQ30" s="351">
        <f t="shared" si="384"/>
        <v>0.56764208246085879</v>
      </c>
      <c r="CR30" s="363">
        <f t="shared" si="384"/>
        <v>2309.5426352251961</v>
      </c>
      <c r="CS30" s="351">
        <f t="shared" si="384"/>
        <v>0.56764208246085879</v>
      </c>
      <c r="CT30" s="363">
        <f t="shared" ref="CT30:CU30" si="405">CT26-CT32</f>
        <v>2309.5426352251961</v>
      </c>
      <c r="CU30" s="351">
        <f t="shared" si="405"/>
        <v>0.56764208246085879</v>
      </c>
      <c r="CV30" s="363">
        <f t="shared" ref="CV30:CY30" si="406">CV26-CV32</f>
        <v>2309.5426352251961</v>
      </c>
      <c r="CW30" s="351">
        <f t="shared" si="406"/>
        <v>0.56764208246085879</v>
      </c>
      <c r="CX30" s="363">
        <f t="shared" si="406"/>
        <v>3145.2016352251958</v>
      </c>
      <c r="CY30" s="351">
        <f t="shared" si="406"/>
        <v>0.77303132609389724</v>
      </c>
      <c r="CZ30" s="363">
        <f t="shared" ref="CZ30:DA30" si="407">CZ26-CZ32</f>
        <v>3145.2016352251958</v>
      </c>
      <c r="DA30" s="351">
        <f t="shared" si="407"/>
        <v>0.20000000000000018</v>
      </c>
      <c r="DB30" s="363">
        <f t="shared" ref="DB30:DC30" si="408">DB26-DB32</f>
        <v>2106.1096352252061</v>
      </c>
      <c r="DC30" s="351">
        <f t="shared" si="408"/>
        <v>0.51764208246086074</v>
      </c>
      <c r="DD30" s="363">
        <f t="shared" ref="DD30:DE30" si="409">DD26-DD32</f>
        <v>2106.1096352251989</v>
      </c>
      <c r="DE30" s="351">
        <f t="shared" si="409"/>
        <v>0.51764208246085985</v>
      </c>
      <c r="DF30" s="363">
        <f t="shared" ref="DF30:DG30" si="410">DF26-DF32</f>
        <v>2106.1096352251989</v>
      </c>
      <c r="DG30" s="351">
        <f t="shared" si="410"/>
        <v>0.51764208246085985</v>
      </c>
    </row>
    <row r="31" spans="1:111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7.36</v>
      </c>
      <c r="J31" s="54">
        <f>+J32</f>
        <v>30741.207395083256</v>
      </c>
      <c r="K31" s="55">
        <f>K32</f>
        <v>7.5556098064432167</v>
      </c>
      <c r="L31" s="54">
        <f>+L32</f>
        <v>31755.395121951216</v>
      </c>
      <c r="M31" s="55">
        <f>M32</f>
        <v>7.8048780487804876</v>
      </c>
      <c r="N31" s="54">
        <f>+N32</f>
        <v>29854.798364774804</v>
      </c>
      <c r="O31" s="55">
        <f>O32</f>
        <v>7.3377471611721807</v>
      </c>
      <c r="P31" s="54">
        <f>+P32</f>
        <v>30847.406672969333</v>
      </c>
      <c r="Q31" s="55">
        <f>Q32</f>
        <v>7.5817115888202347</v>
      </c>
      <c r="R31" s="54">
        <f>+R32</f>
        <v>31755.395121951216</v>
      </c>
      <c r="S31" s="55">
        <f>S32</f>
        <v>7.8048780487804876</v>
      </c>
      <c r="T31" s="54">
        <f>+T32</f>
        <v>29854.798364774804</v>
      </c>
      <c r="U31" s="55">
        <f>U32</f>
        <v>7.3377471611721807</v>
      </c>
      <c r="V31" s="54">
        <f>+V32</f>
        <v>29854.798364774804</v>
      </c>
      <c r="W31" s="55">
        <f>W32</f>
        <v>7.3377471611721807</v>
      </c>
      <c r="X31" s="54">
        <f>+X32</f>
        <v>29854.798364774804</v>
      </c>
      <c r="Y31" s="55">
        <f>Y32</f>
        <v>7.3377471611721807</v>
      </c>
      <c r="Z31" s="54">
        <f>+Z32</f>
        <v>29854.798364774804</v>
      </c>
      <c r="AA31" s="55">
        <f>AA32</f>
        <v>7.3377471611721807</v>
      </c>
      <c r="AB31" s="54">
        <f>+AB32</f>
        <v>29854.798364774804</v>
      </c>
      <c r="AC31" s="55">
        <f>AC32</f>
        <v>7.3377471611721807</v>
      </c>
      <c r="AD31" s="54">
        <f>+AD32</f>
        <v>29854.798364774804</v>
      </c>
      <c r="AE31" s="55">
        <f>AE32</f>
        <v>7.3377471611721807</v>
      </c>
      <c r="AF31" s="54">
        <f>+AF32</f>
        <v>29854.798364774804</v>
      </c>
      <c r="AG31" s="55">
        <f>AG32</f>
        <v>7.3377471611721807</v>
      </c>
      <c r="AH31" s="54">
        <f>+AH32</f>
        <v>29854.798364774804</v>
      </c>
      <c r="AI31" s="55">
        <f>AI32</f>
        <v>7.3377471611721807</v>
      </c>
      <c r="AJ31" s="54">
        <f>+AJ32</f>
        <v>29854.798364774804</v>
      </c>
      <c r="AK31" s="55">
        <f>AK32</f>
        <v>7.3377471611721807</v>
      </c>
      <c r="AL31" s="54">
        <f t="shared" ref="AL31" si="411">+AL32</f>
        <v>29854.798364774804</v>
      </c>
      <c r="AM31" s="55">
        <f t="shared" ref="AM31" si="412">AM32</f>
        <v>7.3377471611721807</v>
      </c>
      <c r="AN31" s="54">
        <f t="shared" ref="AN31" si="413">+AN32</f>
        <v>29854.798364774804</v>
      </c>
      <c r="AO31" s="55">
        <f t="shared" ref="AO31" si="414">AO32</f>
        <v>7.3377471611721807</v>
      </c>
      <c r="AP31" s="54">
        <f t="shared" ref="AP31" si="415">+AP32</f>
        <v>29854.798364774804</v>
      </c>
      <c r="AQ31" s="55">
        <f t="shared" ref="AQ31" si="416">AQ32</f>
        <v>7.3377471611721807</v>
      </c>
      <c r="AR31" s="54">
        <f t="shared" ref="AR31" si="417">+AR32</f>
        <v>29854.798364774804</v>
      </c>
      <c r="AS31" s="55">
        <f t="shared" ref="AS31" si="418">AS32</f>
        <v>7.3377471611721807</v>
      </c>
      <c r="AT31" s="54">
        <f t="shared" ref="AT31" si="419">+AT32</f>
        <v>29854.798364774804</v>
      </c>
      <c r="AU31" s="55">
        <f t="shared" ref="AU31" si="420">AU32</f>
        <v>7.3377471611721807</v>
      </c>
      <c r="AV31" s="54">
        <f t="shared" ref="AV31" si="421">+AV32</f>
        <v>29854.798364774804</v>
      </c>
      <c r="AW31" s="55">
        <f t="shared" ref="AW31" si="422">AW32</f>
        <v>7.3377471611721807</v>
      </c>
      <c r="AX31" s="54">
        <f t="shared" ref="AX31" si="423">+AX32</f>
        <v>29854.798364774804</v>
      </c>
      <c r="AY31" s="55">
        <f t="shared" ref="AY31" si="424">AY32</f>
        <v>7.3377471611721807</v>
      </c>
      <c r="AZ31" s="54">
        <f t="shared" ref="AZ31:CN31" si="425">+AZ32</f>
        <v>29854.798364774804</v>
      </c>
      <c r="BA31" s="55">
        <f t="shared" ref="BA31:CO31" si="426">BA32</f>
        <v>7.3377471611721807</v>
      </c>
      <c r="BB31" s="54">
        <f t="shared" si="425"/>
        <v>29854.798364774804</v>
      </c>
      <c r="BC31" s="55">
        <f t="shared" si="426"/>
        <v>7.3377471611721807</v>
      </c>
      <c r="BD31" s="54">
        <f t="shared" si="425"/>
        <v>29854.798364774804</v>
      </c>
      <c r="BE31" s="55">
        <f t="shared" si="426"/>
        <v>7.3377471611721807</v>
      </c>
      <c r="BF31" s="54">
        <f t="shared" si="425"/>
        <v>29854.798364774804</v>
      </c>
      <c r="BG31" s="55">
        <f t="shared" si="426"/>
        <v>7.3377471611721807</v>
      </c>
      <c r="BH31" s="54">
        <f t="shared" si="425"/>
        <v>29854.798364774804</v>
      </c>
      <c r="BI31" s="55">
        <f t="shared" si="426"/>
        <v>7.3377471611721807</v>
      </c>
      <c r="BJ31" s="54">
        <f t="shared" si="425"/>
        <v>29854.798364774804</v>
      </c>
      <c r="BK31" s="55">
        <f t="shared" si="426"/>
        <v>7.3377471611721807</v>
      </c>
      <c r="BL31" s="54">
        <f t="shared" si="425"/>
        <v>31735.547999999999</v>
      </c>
      <c r="BM31" s="55">
        <f t="shared" si="426"/>
        <v>7.8</v>
      </c>
      <c r="BN31" s="54">
        <f t="shared" si="425"/>
        <v>31735.547999999999</v>
      </c>
      <c r="BO31" s="55">
        <f t="shared" si="426"/>
        <v>7.8</v>
      </c>
      <c r="BP31" s="54">
        <f t="shared" si="425"/>
        <v>31735.547999999999</v>
      </c>
      <c r="BQ31" s="55">
        <f t="shared" si="426"/>
        <v>7.8</v>
      </c>
      <c r="BR31" s="54">
        <f t="shared" si="425"/>
        <v>31735.547999999999</v>
      </c>
      <c r="BS31" s="55">
        <f t="shared" si="426"/>
        <v>7.8</v>
      </c>
      <c r="BT31" s="54">
        <f t="shared" si="425"/>
        <v>31735.547999999999</v>
      </c>
      <c r="BU31" s="55">
        <f t="shared" si="426"/>
        <v>7.8</v>
      </c>
      <c r="BV31" s="54">
        <f t="shared" si="425"/>
        <v>31735.547999999999</v>
      </c>
      <c r="BW31" s="55">
        <f t="shared" si="426"/>
        <v>7.8</v>
      </c>
      <c r="BX31" s="54">
        <f t="shared" si="425"/>
        <v>31735.547999999999</v>
      </c>
      <c r="BY31" s="55">
        <f t="shared" si="426"/>
        <v>7.8</v>
      </c>
      <c r="BZ31" s="54">
        <f t="shared" si="425"/>
        <v>31735.547999999999</v>
      </c>
      <c r="CA31" s="55">
        <f t="shared" si="426"/>
        <v>7.8</v>
      </c>
      <c r="CB31" s="54">
        <f t="shared" si="425"/>
        <v>31735.547999999999</v>
      </c>
      <c r="CC31" s="55">
        <f t="shared" si="426"/>
        <v>7.8</v>
      </c>
      <c r="CD31" s="54">
        <f t="shared" si="425"/>
        <v>31735.547999999999</v>
      </c>
      <c r="CE31" s="55">
        <f t="shared" si="426"/>
        <v>7.8</v>
      </c>
      <c r="CF31" s="54">
        <f t="shared" si="425"/>
        <v>31735.547999999999</v>
      </c>
      <c r="CG31" s="55">
        <f t="shared" si="426"/>
        <v>7.8</v>
      </c>
      <c r="CH31" s="54">
        <f t="shared" si="425"/>
        <v>31735.547999999999</v>
      </c>
      <c r="CI31" s="55">
        <f t="shared" si="426"/>
        <v>7.8</v>
      </c>
      <c r="CJ31" s="54">
        <f t="shared" si="425"/>
        <v>31735.547999999999</v>
      </c>
      <c r="CK31" s="55">
        <f t="shared" si="426"/>
        <v>7.8</v>
      </c>
      <c r="CL31" s="54">
        <f t="shared" si="425"/>
        <v>31735.547999999999</v>
      </c>
      <c r="CM31" s="55">
        <f t="shared" si="426"/>
        <v>7.8</v>
      </c>
      <c r="CN31" s="54">
        <f t="shared" si="425"/>
        <v>29790.46602580645</v>
      </c>
      <c r="CO31" s="55">
        <f t="shared" si="426"/>
        <v>7.321935483870968</v>
      </c>
      <c r="CP31" s="54">
        <f>+CP32</f>
        <v>29854.798364774804</v>
      </c>
      <c r="CQ31" s="55">
        <f>CQ32</f>
        <v>7.3377471611721807</v>
      </c>
      <c r="CR31" s="54">
        <f>+CR32</f>
        <v>29854.798364774804</v>
      </c>
      <c r="CS31" s="55">
        <f>CS32</f>
        <v>7.3377471611721807</v>
      </c>
      <c r="CT31" s="54">
        <f>+CT32</f>
        <v>29854.798364774804</v>
      </c>
      <c r="CU31" s="55">
        <f>CU32</f>
        <v>7.3377471611721807</v>
      </c>
      <c r="CV31" s="54">
        <f>+CV32</f>
        <v>29854.798364774804</v>
      </c>
      <c r="CW31" s="55">
        <f>CW32</f>
        <v>7.3377471611721807</v>
      </c>
      <c r="CX31" s="54">
        <f>+CX32</f>
        <v>29854.798364774804</v>
      </c>
      <c r="CY31" s="55">
        <f>CY32</f>
        <v>7.3377471611721807</v>
      </c>
      <c r="CZ31" s="54">
        <f>+CZ32</f>
        <v>29854.798364774804</v>
      </c>
      <c r="DA31" s="55">
        <f>DA32</f>
        <v>7.8</v>
      </c>
      <c r="DB31" s="54">
        <f>+DB32</f>
        <v>30994.023164774801</v>
      </c>
      <c r="DC31" s="55">
        <f>DC32</f>
        <v>7.6177471611721801</v>
      </c>
      <c r="DD31" s="54">
        <f>+DD32</f>
        <v>30790.590164774803</v>
      </c>
      <c r="DE31" s="55">
        <f>DE32</f>
        <v>7.5677471611721803</v>
      </c>
      <c r="DF31" s="54">
        <f>+DF32</f>
        <v>30790.590164774803</v>
      </c>
      <c r="DG31" s="55">
        <f>DG32</f>
        <v>7.5677471611721803</v>
      </c>
    </row>
    <row r="32" spans="1:111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f>+H32/H12</f>
        <v>7.36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>+L32/L12</f>
        <v>7.8048780487804876</v>
      </c>
      <c r="N32" s="54">
        <f>O32*N12</f>
        <v>29854.798364774804</v>
      </c>
      <c r="O32" s="55">
        <v>7.3377471611721807</v>
      </c>
      <c r="P32" s="54">
        <f>Q32*P12</f>
        <v>30847.406672969333</v>
      </c>
      <c r="Q32" s="55">
        <v>7.5817115888202347</v>
      </c>
      <c r="R32" s="54">
        <f>S32*R12</f>
        <v>31755.395121951216</v>
      </c>
      <c r="S32" s="55">
        <f>8*40/41</f>
        <v>7.8048780487804876</v>
      </c>
      <c r="T32" s="54">
        <f>U32*T12</f>
        <v>29854.798364774804</v>
      </c>
      <c r="U32" s="55">
        <v>7.3377471611721807</v>
      </c>
      <c r="V32" s="54">
        <f t="shared" ref="V32:CY32" si="427">T32</f>
        <v>29854.798364774804</v>
      </c>
      <c r="W32" s="55">
        <f t="shared" si="427"/>
        <v>7.3377471611721807</v>
      </c>
      <c r="X32" s="54">
        <f t="shared" si="427"/>
        <v>29854.798364774804</v>
      </c>
      <c r="Y32" s="55">
        <f t="shared" si="427"/>
        <v>7.3377471611721807</v>
      </c>
      <c r="Z32" s="54">
        <f t="shared" si="427"/>
        <v>29854.798364774804</v>
      </c>
      <c r="AA32" s="55">
        <f t="shared" si="427"/>
        <v>7.3377471611721807</v>
      </c>
      <c r="AB32" s="54">
        <f t="shared" si="427"/>
        <v>29854.798364774804</v>
      </c>
      <c r="AC32" s="55">
        <f t="shared" si="427"/>
        <v>7.3377471611721807</v>
      </c>
      <c r="AD32" s="54">
        <f t="shared" si="427"/>
        <v>29854.798364774804</v>
      </c>
      <c r="AE32" s="55">
        <f t="shared" si="427"/>
        <v>7.3377471611721807</v>
      </c>
      <c r="AF32" s="54">
        <f t="shared" si="427"/>
        <v>29854.798364774804</v>
      </c>
      <c r="AG32" s="55">
        <f t="shared" si="427"/>
        <v>7.3377471611721807</v>
      </c>
      <c r="AH32" s="54">
        <f t="shared" si="427"/>
        <v>29854.798364774804</v>
      </c>
      <c r="AI32" s="55">
        <f t="shared" si="427"/>
        <v>7.3377471611721807</v>
      </c>
      <c r="AJ32" s="54">
        <f t="shared" ref="AJ32" si="428">AH32</f>
        <v>29854.798364774804</v>
      </c>
      <c r="AK32" s="55">
        <f t="shared" ref="AK32" si="429">AI32</f>
        <v>7.3377471611721807</v>
      </c>
      <c r="AL32" s="54">
        <f t="shared" ref="AL32" si="430">AJ32</f>
        <v>29854.798364774804</v>
      </c>
      <c r="AM32" s="55">
        <f t="shared" ref="AM32" si="431">AK32</f>
        <v>7.3377471611721807</v>
      </c>
      <c r="AN32" s="54">
        <f t="shared" ref="AN32" si="432">AL32</f>
        <v>29854.798364774804</v>
      </c>
      <c r="AO32" s="55">
        <f t="shared" ref="AO32" si="433">AM32</f>
        <v>7.3377471611721807</v>
      </c>
      <c r="AP32" s="54">
        <f t="shared" ref="AP32" si="434">AN32</f>
        <v>29854.798364774804</v>
      </c>
      <c r="AQ32" s="55">
        <f t="shared" ref="AQ32" si="435">AO32</f>
        <v>7.3377471611721807</v>
      </c>
      <c r="AR32" s="54">
        <f t="shared" ref="AR32" si="436">AP32</f>
        <v>29854.798364774804</v>
      </c>
      <c r="AS32" s="55">
        <f t="shared" ref="AS32" si="437">AQ32</f>
        <v>7.3377471611721807</v>
      </c>
      <c r="AT32" s="54">
        <f t="shared" ref="AT32" si="438">AR32</f>
        <v>29854.798364774804</v>
      </c>
      <c r="AU32" s="55">
        <f t="shared" ref="AU32" si="439">AS32</f>
        <v>7.3377471611721807</v>
      </c>
      <c r="AV32" s="54">
        <f t="shared" ref="AV32" si="440">AT32</f>
        <v>29854.798364774804</v>
      </c>
      <c r="AW32" s="55">
        <f t="shared" ref="AW32" si="441">AU32</f>
        <v>7.3377471611721807</v>
      </c>
      <c r="AX32" s="54">
        <f t="shared" ref="AX32" si="442">AV32</f>
        <v>29854.798364774804</v>
      </c>
      <c r="AY32" s="55">
        <f t="shared" ref="AY32" si="443">AW32</f>
        <v>7.3377471611721807</v>
      </c>
      <c r="AZ32" s="54">
        <f t="shared" ref="AZ32" si="444">AX32</f>
        <v>29854.798364774804</v>
      </c>
      <c r="BA32" s="55">
        <f t="shared" ref="BA32" si="445">AY32</f>
        <v>7.3377471611721807</v>
      </c>
      <c r="BB32" s="54">
        <f t="shared" ref="BB32" si="446">AZ32</f>
        <v>29854.798364774804</v>
      </c>
      <c r="BC32" s="55">
        <f t="shared" ref="BC32" si="447">BA32</f>
        <v>7.3377471611721807</v>
      </c>
      <c r="BD32" s="54">
        <f>BB32</f>
        <v>29854.798364774804</v>
      </c>
      <c r="BE32" s="55">
        <f>BC32</f>
        <v>7.3377471611721807</v>
      </c>
      <c r="BF32" s="54">
        <f t="shared" ref="BF32" si="448">BD32</f>
        <v>29854.798364774804</v>
      </c>
      <c r="BG32" s="55">
        <f t="shared" ref="BG32" si="449">BE32</f>
        <v>7.3377471611721807</v>
      </c>
      <c r="BH32" s="54">
        <f t="shared" ref="BH32" si="450">BF32</f>
        <v>29854.798364774804</v>
      </c>
      <c r="BI32" s="55">
        <f t="shared" ref="BI32" si="451">BG32</f>
        <v>7.3377471611721807</v>
      </c>
      <c r="BJ32" s="54">
        <f t="shared" ref="BJ32" si="452">BH32</f>
        <v>29854.798364774804</v>
      </c>
      <c r="BK32" s="55">
        <f t="shared" ref="BK32" si="453">BI32</f>
        <v>7.3377471611721807</v>
      </c>
      <c r="BL32" s="54">
        <f>BM32*BL12</f>
        <v>31735.547999999999</v>
      </c>
      <c r="BM32" s="55">
        <v>7.8</v>
      </c>
      <c r="BN32" s="54">
        <f t="shared" ref="BN32" si="454">BL32</f>
        <v>31735.547999999999</v>
      </c>
      <c r="BO32" s="55">
        <f t="shared" ref="BO32" si="455">BM32</f>
        <v>7.8</v>
      </c>
      <c r="BP32" s="54">
        <f t="shared" ref="BP32" si="456">BN32</f>
        <v>31735.547999999999</v>
      </c>
      <c r="BQ32" s="55">
        <f t="shared" ref="BQ32" si="457">BO32</f>
        <v>7.8</v>
      </c>
      <c r="BR32" s="54">
        <f t="shared" ref="BR32" si="458">BP32</f>
        <v>31735.547999999999</v>
      </c>
      <c r="BS32" s="55">
        <f t="shared" ref="BS32" si="459">BQ32</f>
        <v>7.8</v>
      </c>
      <c r="BT32" s="54">
        <f t="shared" ref="BT32" si="460">BR32</f>
        <v>31735.547999999999</v>
      </c>
      <c r="BU32" s="55">
        <f t="shared" ref="BU32" si="461">BS32</f>
        <v>7.8</v>
      </c>
      <c r="BV32" s="54">
        <f t="shared" ref="BV32" si="462">BT32</f>
        <v>31735.547999999999</v>
      </c>
      <c r="BW32" s="55">
        <f t="shared" ref="BW32" si="463">BU32</f>
        <v>7.8</v>
      </c>
      <c r="BX32" s="54">
        <f t="shared" ref="BX32" si="464">BV32</f>
        <v>31735.547999999999</v>
      </c>
      <c r="BY32" s="55">
        <f t="shared" ref="BY32" si="465">BW32</f>
        <v>7.8</v>
      </c>
      <c r="BZ32" s="54">
        <f t="shared" ref="BZ32" si="466">BX32</f>
        <v>31735.547999999999</v>
      </c>
      <c r="CA32" s="55">
        <f t="shared" ref="CA32" si="467">BY32</f>
        <v>7.8</v>
      </c>
      <c r="CB32" s="54">
        <f t="shared" ref="CB32" si="468">BZ32</f>
        <v>31735.547999999999</v>
      </c>
      <c r="CC32" s="55">
        <f t="shared" ref="CC32" si="469">CA32</f>
        <v>7.8</v>
      </c>
      <c r="CD32" s="54">
        <f t="shared" ref="CD32" si="470">CB32</f>
        <v>31735.547999999999</v>
      </c>
      <c r="CE32" s="55">
        <f t="shared" ref="CE32" si="471">CC32</f>
        <v>7.8</v>
      </c>
      <c r="CF32" s="54">
        <f t="shared" ref="CF32" si="472">CD32</f>
        <v>31735.547999999999</v>
      </c>
      <c r="CG32" s="55">
        <f t="shared" ref="CG32" si="473">CE32</f>
        <v>7.8</v>
      </c>
      <c r="CH32" s="54">
        <f t="shared" ref="CH32" si="474">CF32</f>
        <v>31735.547999999999</v>
      </c>
      <c r="CI32" s="55">
        <f t="shared" ref="CI32" si="475">CG32</f>
        <v>7.8</v>
      </c>
      <c r="CJ32" s="54">
        <f t="shared" ref="CJ32" si="476">CH32</f>
        <v>31735.547999999999</v>
      </c>
      <c r="CK32" s="55">
        <f t="shared" ref="CK32" si="477">CI32</f>
        <v>7.8</v>
      </c>
      <c r="CL32" s="54">
        <f t="shared" ref="CL32" si="478">CD32</f>
        <v>31735.547999999999</v>
      </c>
      <c r="CM32" s="55">
        <f t="shared" ref="CM32" si="479">CE32</f>
        <v>7.8</v>
      </c>
      <c r="CN32" s="54">
        <f>CO32*CN12</f>
        <v>29790.46602580645</v>
      </c>
      <c r="CO32" s="55">
        <f>7.8*300/310*97%</f>
        <v>7.321935483870968</v>
      </c>
      <c r="CP32" s="54">
        <f>AH32</f>
        <v>29854.798364774804</v>
      </c>
      <c r="CQ32" s="55">
        <f>AI32</f>
        <v>7.3377471611721807</v>
      </c>
      <c r="CR32" s="54">
        <f t="shared" si="427"/>
        <v>29854.798364774804</v>
      </c>
      <c r="CS32" s="55">
        <f t="shared" si="427"/>
        <v>7.3377471611721807</v>
      </c>
      <c r="CT32" s="54">
        <f t="shared" si="427"/>
        <v>29854.798364774804</v>
      </c>
      <c r="CU32" s="55">
        <f t="shared" si="427"/>
        <v>7.3377471611721807</v>
      </c>
      <c r="CV32" s="54">
        <f t="shared" si="427"/>
        <v>29854.798364774804</v>
      </c>
      <c r="CW32" s="55">
        <f t="shared" si="427"/>
        <v>7.3377471611721807</v>
      </c>
      <c r="CX32" s="54">
        <f t="shared" si="427"/>
        <v>29854.798364774804</v>
      </c>
      <c r="CY32" s="55">
        <f t="shared" si="427"/>
        <v>7.3377471611721807</v>
      </c>
      <c r="CZ32" s="54">
        <f t="shared" ref="CZ32" si="480">CX32</f>
        <v>29854.798364774804</v>
      </c>
      <c r="DA32" s="55">
        <v>7.8</v>
      </c>
      <c r="DB32" s="54">
        <f>DC32*DB12</f>
        <v>30994.023164774801</v>
      </c>
      <c r="DC32" s="55">
        <f>7.33774716117218+0.23+0.05</f>
        <v>7.6177471611721801</v>
      </c>
      <c r="DD32" s="54">
        <f>DE32*DD12</f>
        <v>30790.590164774803</v>
      </c>
      <c r="DE32" s="55">
        <f>7.33774716117218+0.23</f>
        <v>7.5677471611721803</v>
      </c>
      <c r="DF32" s="54">
        <f>DG32*DF12</f>
        <v>30790.590164774803</v>
      </c>
      <c r="DG32" s="55">
        <f>7.33774716117218+0.23</f>
        <v>7.5677471611721803</v>
      </c>
    </row>
    <row r="33" spans="1:111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365"/>
      <c r="O33" s="358"/>
      <c r="P33" s="365"/>
      <c r="Q33" s="358"/>
      <c r="R33" s="365"/>
      <c r="S33" s="358"/>
      <c r="T33" s="365"/>
      <c r="U33" s="358"/>
      <c r="V33" s="365"/>
      <c r="W33" s="358"/>
      <c r="X33" s="365"/>
      <c r="Y33" s="358"/>
      <c r="Z33" s="365"/>
      <c r="AA33" s="358"/>
      <c r="AB33" s="365"/>
      <c r="AC33" s="358"/>
      <c r="AD33" s="365"/>
      <c r="AE33" s="358"/>
      <c r="AF33" s="365"/>
      <c r="AG33" s="358"/>
      <c r="AH33" s="365"/>
      <c r="AI33" s="358"/>
      <c r="AJ33" s="365"/>
      <c r="AK33" s="358"/>
      <c r="AL33" s="365"/>
      <c r="AM33" s="358"/>
      <c r="AN33" s="365"/>
      <c r="AO33" s="358"/>
      <c r="AP33" s="365"/>
      <c r="AQ33" s="358"/>
      <c r="AR33" s="365"/>
      <c r="AS33" s="358"/>
      <c r="AT33" s="365"/>
      <c r="AU33" s="358"/>
      <c r="AV33" s="365"/>
      <c r="AW33" s="358"/>
      <c r="AX33" s="365"/>
      <c r="AY33" s="358"/>
      <c r="AZ33" s="365"/>
      <c r="BA33" s="358"/>
      <c r="BB33" s="365"/>
      <c r="BC33" s="358"/>
      <c r="BD33" s="365"/>
      <c r="BE33" s="358"/>
      <c r="BF33" s="365"/>
      <c r="BG33" s="358"/>
      <c r="BH33" s="365"/>
      <c r="BI33" s="358"/>
      <c r="BJ33" s="365"/>
      <c r="BK33" s="358"/>
      <c r="BL33" s="365"/>
      <c r="BM33" s="358"/>
      <c r="BN33" s="365"/>
      <c r="BO33" s="358"/>
      <c r="BP33" s="365"/>
      <c r="BQ33" s="358"/>
      <c r="BR33" s="365"/>
      <c r="BS33" s="358"/>
      <c r="BT33" s="365"/>
      <c r="BU33" s="358"/>
      <c r="BV33" s="365"/>
      <c r="BW33" s="358"/>
      <c r="BX33" s="365"/>
      <c r="BY33" s="358"/>
      <c r="BZ33" s="365"/>
      <c r="CA33" s="358"/>
      <c r="CB33" s="365"/>
      <c r="CC33" s="358"/>
      <c r="CD33" s="365"/>
      <c r="CE33" s="358"/>
      <c r="CF33" s="365"/>
      <c r="CG33" s="358"/>
      <c r="CH33" s="365"/>
      <c r="CI33" s="358"/>
      <c r="CJ33" s="365"/>
      <c r="CK33" s="358"/>
      <c r="CL33" s="365"/>
      <c r="CM33" s="358"/>
      <c r="CN33" s="365"/>
      <c r="CO33" s="358"/>
      <c r="CP33" s="365"/>
      <c r="CQ33" s="358"/>
      <c r="CR33" s="365"/>
      <c r="CS33" s="358"/>
      <c r="CT33" s="365"/>
      <c r="CU33" s="358"/>
      <c r="CV33" s="365"/>
      <c r="CW33" s="358"/>
      <c r="CX33" s="365"/>
      <c r="CY33" s="358"/>
      <c r="CZ33" s="365"/>
      <c r="DA33" s="358"/>
      <c r="DB33" s="365"/>
      <c r="DC33" s="358"/>
      <c r="DD33" s="365"/>
      <c r="DE33" s="358"/>
      <c r="DF33" s="365"/>
      <c r="DG33" s="358"/>
    </row>
    <row r="34" spans="1:111" s="4" customFormat="1" ht="18" hidden="1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360"/>
      <c r="Z34" s="364"/>
      <c r="AA34" s="360"/>
      <c r="AB34" s="364"/>
      <c r="AC34" s="360"/>
      <c r="AD34" s="364"/>
      <c r="AE34" s="360"/>
      <c r="AF34" s="364"/>
      <c r="AG34" s="360"/>
      <c r="AH34" s="364"/>
      <c r="AI34" s="360"/>
      <c r="AJ34" s="364"/>
      <c r="AK34" s="360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364"/>
      <c r="AW34" s="360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364"/>
      <c r="BO34" s="360"/>
      <c r="BP34" s="364"/>
      <c r="BQ34" s="360"/>
      <c r="BR34" s="364"/>
      <c r="BS34" s="360"/>
      <c r="BT34" s="364"/>
      <c r="BU34" s="360"/>
      <c r="BV34" s="364"/>
      <c r="BW34" s="360"/>
      <c r="BX34" s="364"/>
      <c r="BY34" s="360"/>
      <c r="BZ34" s="364"/>
      <c r="CA34" s="360"/>
      <c r="CB34" s="364"/>
      <c r="CC34" s="360"/>
      <c r="CD34" s="364"/>
      <c r="CE34" s="360"/>
      <c r="CF34" s="364"/>
      <c r="CG34" s="360"/>
      <c r="CH34" s="364"/>
      <c r="CI34" s="360"/>
      <c r="CJ34" s="364"/>
      <c r="CK34" s="360"/>
      <c r="CL34" s="364"/>
      <c r="CM34" s="360"/>
      <c r="CN34" s="364"/>
      <c r="CO34" s="360"/>
      <c r="CP34" s="364"/>
      <c r="CQ34" s="360"/>
      <c r="CR34" s="364"/>
      <c r="CS34" s="360"/>
      <c r="CT34" s="364"/>
      <c r="CU34" s="360"/>
      <c r="CV34" s="364"/>
      <c r="CW34" s="360"/>
      <c r="CX34" s="364"/>
      <c r="CY34" s="360"/>
      <c r="CZ34" s="364"/>
      <c r="DA34" s="360"/>
      <c r="DB34" s="364"/>
      <c r="DC34" s="360"/>
      <c r="DD34" s="364"/>
      <c r="DE34" s="360"/>
      <c r="DF34" s="364"/>
      <c r="DG34" s="360"/>
    </row>
    <row r="35" spans="1:111" s="49" customFormat="1" ht="18" hidden="1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481">L36/L32</f>
        <v>8.8374999999999884E-2</v>
      </c>
      <c r="M35" s="362">
        <f t="shared" si="481"/>
        <v>8.8374999999999967E-2</v>
      </c>
      <c r="N35" s="361"/>
      <c r="O35" s="362"/>
      <c r="P35" s="361"/>
      <c r="Q35" s="362"/>
      <c r="R35" s="361">
        <f t="shared" ref="R35:S35" si="482">R36/R32</f>
        <v>8.8374999999999884E-2</v>
      </c>
      <c r="S35" s="362">
        <f t="shared" si="482"/>
        <v>8.8374999999999967E-2</v>
      </c>
      <c r="T35" s="361"/>
      <c r="U35" s="362"/>
      <c r="V35" s="361"/>
      <c r="W35" s="362"/>
      <c r="X35" s="361"/>
      <c r="Y35" s="362"/>
      <c r="Z35" s="361"/>
      <c r="AA35" s="362"/>
      <c r="AB35" s="361"/>
      <c r="AC35" s="362"/>
      <c r="AD35" s="361"/>
      <c r="AE35" s="362"/>
      <c r="AF35" s="361"/>
      <c r="AG35" s="362"/>
      <c r="AH35" s="361"/>
      <c r="AI35" s="362"/>
      <c r="AJ35" s="361"/>
      <c r="AK35" s="362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361"/>
      <c r="AW35" s="362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361"/>
      <c r="BY35" s="362"/>
      <c r="BZ35" s="361"/>
      <c r="CA35" s="362"/>
      <c r="CB35" s="361"/>
      <c r="CC35" s="362"/>
      <c r="CD35" s="361"/>
      <c r="CE35" s="362"/>
      <c r="CF35" s="361"/>
      <c r="CG35" s="362"/>
      <c r="CH35" s="361"/>
      <c r="CI35" s="362"/>
      <c r="CJ35" s="361"/>
      <c r="CK35" s="362"/>
      <c r="CL35" s="361"/>
      <c r="CM35" s="362"/>
      <c r="CN35" s="361"/>
      <c r="CO35" s="362"/>
      <c r="CP35" s="361"/>
      <c r="CQ35" s="362"/>
      <c r="CR35" s="361"/>
      <c r="CS35" s="362"/>
      <c r="CT35" s="361"/>
      <c r="CU35" s="362"/>
      <c r="CV35" s="361"/>
      <c r="CW35" s="362"/>
      <c r="CX35" s="361"/>
      <c r="CY35" s="362"/>
      <c r="CZ35" s="361"/>
      <c r="DA35" s="362"/>
      <c r="DB35" s="361"/>
      <c r="DC35" s="362"/>
      <c r="DD35" s="361"/>
      <c r="DE35" s="362"/>
      <c r="DF35" s="361"/>
      <c r="DG35" s="362"/>
    </row>
    <row r="36" spans="1:111" s="4" customFormat="1" ht="18" hidden="1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483">L32-L38</f>
        <v>2806.383043902435</v>
      </c>
      <c r="M36" s="351">
        <f t="shared" si="483"/>
        <v>0.68975609756097533</v>
      </c>
      <c r="N36" s="363"/>
      <c r="O36" s="351"/>
      <c r="P36" s="363"/>
      <c r="Q36" s="351"/>
      <c r="R36" s="363">
        <f t="shared" ref="R36:S36" si="484">R32-R38</f>
        <v>2806.383043902435</v>
      </c>
      <c r="S36" s="351">
        <f t="shared" si="484"/>
        <v>0.68975609756097533</v>
      </c>
      <c r="T36" s="363"/>
      <c r="U36" s="351"/>
      <c r="V36" s="363"/>
      <c r="W36" s="351"/>
      <c r="X36" s="363"/>
      <c r="Y36" s="351"/>
      <c r="Z36" s="363"/>
      <c r="AA36" s="351"/>
      <c r="AB36" s="363"/>
      <c r="AC36" s="351"/>
      <c r="AD36" s="363"/>
      <c r="AE36" s="351"/>
      <c r="AF36" s="363"/>
      <c r="AG36" s="351"/>
      <c r="AH36" s="363"/>
      <c r="AI36" s="351"/>
      <c r="AJ36" s="363"/>
      <c r="AK36" s="351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363"/>
      <c r="AW36" s="351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363"/>
      <c r="BY36" s="351"/>
      <c r="BZ36" s="363"/>
      <c r="CA36" s="351"/>
      <c r="CB36" s="363"/>
      <c r="CC36" s="351"/>
      <c r="CD36" s="363"/>
      <c r="CE36" s="351"/>
      <c r="CF36" s="363"/>
      <c r="CG36" s="351"/>
      <c r="CH36" s="363"/>
      <c r="CI36" s="351"/>
      <c r="CJ36" s="363"/>
      <c r="CK36" s="351"/>
      <c r="CL36" s="363"/>
      <c r="CM36" s="351"/>
      <c r="CN36" s="363"/>
      <c r="CO36" s="351"/>
      <c r="CP36" s="363"/>
      <c r="CQ36" s="351"/>
      <c r="CR36" s="363"/>
      <c r="CS36" s="351"/>
      <c r="CT36" s="363"/>
      <c r="CU36" s="351"/>
      <c r="CV36" s="363"/>
      <c r="CW36" s="351"/>
      <c r="CX36" s="363"/>
      <c r="CY36" s="351"/>
      <c r="CZ36" s="363"/>
      <c r="DA36" s="351"/>
      <c r="DB36" s="363"/>
      <c r="DC36" s="351"/>
      <c r="DD36" s="363"/>
      <c r="DE36" s="351"/>
      <c r="DF36" s="363"/>
      <c r="DG36" s="351"/>
    </row>
    <row r="37" spans="1:111" s="4" customFormat="1" ht="18" hidden="1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28949.012078048781</v>
      </c>
      <c r="S37" s="55">
        <f>S38</f>
        <v>7.1151219512195123</v>
      </c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54"/>
      <c r="BY37" s="55"/>
      <c r="BZ37" s="54"/>
      <c r="CA37" s="55"/>
      <c r="CB37" s="54"/>
      <c r="CC37" s="55"/>
      <c r="CD37" s="54"/>
      <c r="CE37" s="55"/>
      <c r="CF37" s="54"/>
      <c r="CG37" s="55"/>
      <c r="CH37" s="54"/>
      <c r="CI37" s="55"/>
      <c r="CJ37" s="54"/>
      <c r="CK37" s="55"/>
      <c r="CL37" s="54"/>
      <c r="CM37" s="55"/>
      <c r="CN37" s="54"/>
      <c r="CO37" s="55"/>
      <c r="CP37" s="54"/>
      <c r="CQ37" s="55"/>
      <c r="CR37" s="54"/>
      <c r="CS37" s="55"/>
      <c r="CT37" s="54"/>
      <c r="CU37" s="55"/>
      <c r="CV37" s="54"/>
      <c r="CW37" s="55"/>
      <c r="CX37" s="54"/>
      <c r="CY37" s="55"/>
      <c r="CZ37" s="54"/>
      <c r="DA37" s="55"/>
      <c r="DB37" s="54"/>
      <c r="DC37" s="55"/>
      <c r="DD37" s="54"/>
      <c r="DE37" s="55"/>
      <c r="DF37" s="54"/>
      <c r="DG37" s="55"/>
    </row>
    <row r="38" spans="1:111" s="4" customFormat="1" ht="18" hidden="1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28949.012078048781</v>
      </c>
      <c r="S38" s="55">
        <v>7.1151219512195123</v>
      </c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54"/>
      <c r="BY38" s="55"/>
      <c r="BZ38" s="54"/>
      <c r="CA38" s="55"/>
      <c r="CB38" s="54"/>
      <c r="CC38" s="55"/>
      <c r="CD38" s="54"/>
      <c r="CE38" s="55"/>
      <c r="CF38" s="54"/>
      <c r="CG38" s="55"/>
      <c r="CH38" s="54"/>
      <c r="CI38" s="55"/>
      <c r="CJ38" s="54"/>
      <c r="CK38" s="55"/>
      <c r="CL38" s="54"/>
      <c r="CM38" s="55"/>
      <c r="CN38" s="54"/>
      <c r="CO38" s="55"/>
      <c r="CP38" s="54"/>
      <c r="CQ38" s="55"/>
      <c r="CR38" s="54"/>
      <c r="CS38" s="55"/>
      <c r="CT38" s="54"/>
      <c r="CU38" s="55"/>
      <c r="CV38" s="54"/>
      <c r="CW38" s="55"/>
      <c r="CX38" s="54"/>
      <c r="CY38" s="55"/>
      <c r="CZ38" s="54"/>
      <c r="DA38" s="55"/>
      <c r="DB38" s="54"/>
      <c r="DC38" s="55"/>
      <c r="DD38" s="54"/>
      <c r="DE38" s="55"/>
      <c r="DF38" s="54"/>
      <c r="DG38" s="55"/>
    </row>
    <row r="39" spans="1:111" s="4" customFormat="1" ht="18" hidden="1" customHeight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365"/>
      <c r="O39" s="358"/>
      <c r="P39" s="365"/>
      <c r="Q39" s="358"/>
      <c r="R39" s="365"/>
      <c r="S39" s="358"/>
      <c r="T39" s="365"/>
      <c r="U39" s="358"/>
      <c r="V39" s="365"/>
      <c r="W39" s="358"/>
      <c r="X39" s="365"/>
      <c r="Y39" s="358"/>
      <c r="Z39" s="365"/>
      <c r="AA39" s="358"/>
      <c r="AB39" s="365"/>
      <c r="AC39" s="358"/>
      <c r="AD39" s="365"/>
      <c r="AE39" s="358"/>
      <c r="AF39" s="365"/>
      <c r="AG39" s="358"/>
      <c r="AH39" s="365"/>
      <c r="AI39" s="358"/>
      <c r="AJ39" s="365"/>
      <c r="AK39" s="358"/>
      <c r="AL39" s="365"/>
      <c r="AM39" s="358"/>
      <c r="AN39" s="365"/>
      <c r="AO39" s="358"/>
      <c r="AP39" s="365"/>
      <c r="AQ39" s="358"/>
      <c r="AR39" s="365"/>
      <c r="AS39" s="358"/>
      <c r="AT39" s="365"/>
      <c r="AU39" s="358"/>
      <c r="AV39" s="365"/>
      <c r="AW39" s="358"/>
      <c r="AX39" s="365"/>
      <c r="AY39" s="358"/>
      <c r="AZ39" s="365"/>
      <c r="BA39" s="358"/>
      <c r="BB39" s="365"/>
      <c r="BC39" s="358"/>
      <c r="BD39" s="365"/>
      <c r="BE39" s="358"/>
      <c r="BF39" s="365"/>
      <c r="BG39" s="358"/>
      <c r="BH39" s="365"/>
      <c r="BI39" s="358"/>
      <c r="BJ39" s="365"/>
      <c r="BK39" s="358"/>
      <c r="BL39" s="365"/>
      <c r="BM39" s="358"/>
      <c r="BN39" s="365"/>
      <c r="BO39" s="358"/>
      <c r="BP39" s="365"/>
      <c r="BQ39" s="358"/>
      <c r="BR39" s="365"/>
      <c r="BS39" s="358"/>
      <c r="BT39" s="365"/>
      <c r="BU39" s="358"/>
      <c r="BV39" s="365"/>
      <c r="BW39" s="358"/>
      <c r="BX39" s="365"/>
      <c r="BY39" s="358"/>
      <c r="BZ39" s="365"/>
      <c r="CA39" s="358"/>
      <c r="CB39" s="365"/>
      <c r="CC39" s="358"/>
      <c r="CD39" s="365"/>
      <c r="CE39" s="358"/>
      <c r="CF39" s="365"/>
      <c r="CG39" s="358"/>
      <c r="CH39" s="365"/>
      <c r="CI39" s="358"/>
      <c r="CJ39" s="365"/>
      <c r="CK39" s="358"/>
      <c r="CL39" s="365"/>
      <c r="CM39" s="358"/>
      <c r="CN39" s="365"/>
      <c r="CO39" s="358"/>
      <c r="CP39" s="365"/>
      <c r="CQ39" s="358"/>
      <c r="CR39" s="365"/>
      <c r="CS39" s="358"/>
      <c r="CT39" s="365"/>
      <c r="CU39" s="358"/>
      <c r="CV39" s="365"/>
      <c r="CW39" s="358"/>
      <c r="CX39" s="365"/>
      <c r="CY39" s="358"/>
      <c r="CZ39" s="365"/>
      <c r="DA39" s="358"/>
      <c r="DB39" s="365"/>
      <c r="DC39" s="358"/>
      <c r="DD39" s="365"/>
      <c r="DE39" s="358"/>
      <c r="DF39" s="365"/>
      <c r="DG39" s="358"/>
    </row>
    <row r="40" spans="1:111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364"/>
      <c r="AG40" s="360"/>
      <c r="AH40" s="364"/>
      <c r="AI40" s="360"/>
      <c r="AJ40" s="364"/>
      <c r="AK40" s="360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364"/>
      <c r="BY40" s="360"/>
      <c r="BZ40" s="364"/>
      <c r="CA40" s="360"/>
      <c r="CB40" s="364"/>
      <c r="CC40" s="360"/>
      <c r="CD40" s="364"/>
      <c r="CE40" s="360"/>
      <c r="CF40" s="364"/>
      <c r="CG40" s="360"/>
      <c r="CH40" s="364"/>
      <c r="CI40" s="360"/>
      <c r="CJ40" s="364"/>
      <c r="CK40" s="360"/>
      <c r="CL40" s="364"/>
      <c r="CM40" s="360"/>
      <c r="CN40" s="364"/>
      <c r="CO40" s="360"/>
      <c r="CP40" s="364"/>
      <c r="CQ40" s="360"/>
      <c r="CR40" s="364"/>
      <c r="CS40" s="360"/>
      <c r="CT40" s="364"/>
      <c r="CU40" s="360"/>
      <c r="CV40" s="364"/>
      <c r="CW40" s="360"/>
      <c r="CX40" s="364"/>
      <c r="CY40" s="360"/>
      <c r="CZ40" s="364"/>
      <c r="DA40" s="360"/>
      <c r="DB40" s="364"/>
      <c r="DC40" s="360"/>
      <c r="DD40" s="364"/>
      <c r="DE40" s="360"/>
      <c r="DF40" s="364"/>
      <c r="DG40" s="360"/>
    </row>
    <row r="41" spans="1:111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543.53598818182218</v>
      </c>
      <c r="G41" s="24">
        <f>G42-G54</f>
        <v>0.13359090909090987</v>
      </c>
      <c r="H41" s="430">
        <f>H42-I54*H12</f>
        <v>500.81505818182222</v>
      </c>
      <c r="I41" s="24">
        <f>I42-I54</f>
        <v>0.12309090909090992</v>
      </c>
      <c r="J41" s="430">
        <f>J42-K54*J12</f>
        <v>573.16685773484232</v>
      </c>
      <c r="K41" s="24">
        <f>K42-K54</f>
        <v>0.14087361876756554</v>
      </c>
      <c r="L41" s="430">
        <f>L42-M54*L12</f>
        <v>410.24001073171121</v>
      </c>
      <c r="M41" s="24">
        <f>M42-M54</f>
        <v>0.10082926829268357</v>
      </c>
      <c r="N41" s="430">
        <f>N42-O54*N12</f>
        <v>473.89381174089476</v>
      </c>
      <c r="O41" s="24">
        <f>O42-O54</f>
        <v>0.11647417374292601</v>
      </c>
      <c r="P41" s="430">
        <f>P42-Q54*P12</f>
        <v>561.49617909638937</v>
      </c>
      <c r="Q41" s="24">
        <f>Q42-Q54</f>
        <v>0.13800518576051746</v>
      </c>
      <c r="R41" s="430">
        <f>R42-S54*R12</f>
        <v>388.91485228542979</v>
      </c>
      <c r="S41" s="24">
        <f>S42-S54</f>
        <v>9.5587945978633848E-2</v>
      </c>
      <c r="T41" s="430">
        <f>T42-U54*T12</f>
        <v>471.25906016961335</v>
      </c>
      <c r="U41" s="24">
        <f>U42-U54</f>
        <v>0.11582660142887635</v>
      </c>
      <c r="V41" s="430">
        <f>V42-W54*V12</f>
        <v>471.25906016961335</v>
      </c>
      <c r="W41" s="24">
        <f>W42-W54</f>
        <v>0.11582660142887635</v>
      </c>
      <c r="X41" s="430">
        <f>X42-Y54*X12</f>
        <v>471.25906016961335</v>
      </c>
      <c r="Y41" s="24">
        <f>Y42-Y54</f>
        <v>0.11582660142887635</v>
      </c>
      <c r="Z41" s="430">
        <f>Z42-AA54*Z12</f>
        <v>471.25906016961335</v>
      </c>
      <c r="AA41" s="24">
        <f>AA42-AA54</f>
        <v>0.11582660142887635</v>
      </c>
      <c r="AB41" s="430">
        <f>AB42-AC54*AB12</f>
        <v>471.25906016961335</v>
      </c>
      <c r="AC41" s="24">
        <f>AC42-AC54</f>
        <v>0.11582660142887635</v>
      </c>
      <c r="AD41" s="430">
        <f>AD42-AE54*AD12</f>
        <v>471.25906016961335</v>
      </c>
      <c r="AE41" s="24">
        <f>AE42-AE54</f>
        <v>0.11582660142887635</v>
      </c>
      <c r="AF41" s="430">
        <f>AF42-AG54*AF12</f>
        <v>471.25906016961335</v>
      </c>
      <c r="AG41" s="24">
        <f>AG42-AG54</f>
        <v>0.11582660142887635</v>
      </c>
      <c r="AH41" s="430">
        <f>AH42-AI54*AH12</f>
        <v>471.25906016961335</v>
      </c>
      <c r="AI41" s="24">
        <f>AI42-AI54</f>
        <v>0.11582660142887635</v>
      </c>
      <c r="AJ41" s="430">
        <f>AJ42-AK54*AJ12</f>
        <v>471.25906016961335</v>
      </c>
      <c r="AK41" s="24">
        <f>AK42-AK54</f>
        <v>0.11582660142887635</v>
      </c>
      <c r="AL41" s="430">
        <f t="shared" ref="AL41" si="485">AL42-AM54*AL12</f>
        <v>471.25906016961335</v>
      </c>
      <c r="AM41" s="24">
        <f t="shared" ref="AM41" si="486">AM42-AM54</f>
        <v>0.11582660142887635</v>
      </c>
      <c r="AN41" s="430">
        <f t="shared" ref="AN41" si="487">AN42-AO54*AN12</f>
        <v>471.25906016961335</v>
      </c>
      <c r="AO41" s="24">
        <f t="shared" ref="AO41" si="488">AO42-AO54</f>
        <v>0.11582660142887635</v>
      </c>
      <c r="AP41" s="430">
        <f t="shared" ref="AP41" si="489">AP42-AQ54*AP12</f>
        <v>471.25906016961335</v>
      </c>
      <c r="AQ41" s="24">
        <f t="shared" ref="AQ41" si="490">AQ42-AQ54</f>
        <v>0.11582660142887635</v>
      </c>
      <c r="AR41" s="430">
        <f t="shared" ref="AR41" si="491">AR42-AS54*AR12</f>
        <v>471.25906016961335</v>
      </c>
      <c r="AS41" s="24">
        <f t="shared" ref="AS41" si="492">AS42-AS54</f>
        <v>0.11582660142887635</v>
      </c>
      <c r="AT41" s="430">
        <f t="shared" ref="AT41" si="493">AT42-AU54*AT12</f>
        <v>471.25906016961335</v>
      </c>
      <c r="AU41" s="24">
        <f t="shared" ref="AU41" si="494">AU42-AU54</f>
        <v>0.11582660142887635</v>
      </c>
      <c r="AV41" s="430">
        <f t="shared" ref="AV41" si="495">AV42-AW54*AV12</f>
        <v>471.25906016961335</v>
      </c>
      <c r="AW41" s="24">
        <f t="shared" ref="AW41" si="496">AW42-AW54</f>
        <v>0.11582660142887635</v>
      </c>
      <c r="AX41" s="430">
        <f t="shared" ref="AX41" si="497">AX42-AY54*AX12</f>
        <v>471.25906016961335</v>
      </c>
      <c r="AY41" s="24">
        <f t="shared" ref="AY41" si="498">AY42-AY54</f>
        <v>0.11582660142887635</v>
      </c>
      <c r="AZ41" s="430">
        <f t="shared" ref="AZ41" si="499">AZ42-BA54*AZ12</f>
        <v>471.25906016961335</v>
      </c>
      <c r="BA41" s="24">
        <f t="shared" ref="BA41:BC41" si="500">BA42-BA54</f>
        <v>0.11582660142887635</v>
      </c>
      <c r="BB41" s="430">
        <f t="shared" ref="BB41" si="501">BB42-BC54*BB12</f>
        <v>471.25906016961335</v>
      </c>
      <c r="BC41" s="24">
        <f t="shared" si="500"/>
        <v>0.11582660142887635</v>
      </c>
      <c r="BD41" s="430">
        <f t="shared" ref="BD41" si="502">BD42-BE54*BD12</f>
        <v>471.25906016961335</v>
      </c>
      <c r="BE41" s="24">
        <f t="shared" ref="BE41:BK41" si="503">BE42-BE54</f>
        <v>0.11582660142887635</v>
      </c>
      <c r="BF41" s="430">
        <f t="shared" ref="BF41" si="504">BF42-BG54*BF12</f>
        <v>471.25906016961335</v>
      </c>
      <c r="BG41" s="24">
        <f t="shared" si="503"/>
        <v>0.11582660142887635</v>
      </c>
      <c r="BH41" s="430">
        <f t="shared" ref="BH41" si="505">BH42-BI54*BH12</f>
        <v>471.25906016961335</v>
      </c>
      <c r="BI41" s="24">
        <f t="shared" si="503"/>
        <v>0.11582660142887635</v>
      </c>
      <c r="BJ41" s="430">
        <f t="shared" ref="BJ41" si="506">BJ42-BK54*BJ12</f>
        <v>471.22375361589457</v>
      </c>
      <c r="BK41" s="24">
        <f t="shared" si="503"/>
        <v>0.11581792374292599</v>
      </c>
      <c r="BL41" s="430">
        <f t="shared" ref="BL41" si="507">BL42-BM54*BL12</f>
        <v>642.20099318182201</v>
      </c>
      <c r="BM41" s="24">
        <f t="shared" ref="BM41:BO41" si="508">BM42-BM54</f>
        <v>0.15784090909090986</v>
      </c>
      <c r="BN41" s="430">
        <f t="shared" ref="BN41" si="509">BN42-BO54*BN12</f>
        <v>642.20099318182201</v>
      </c>
      <c r="BO41" s="24">
        <f t="shared" si="508"/>
        <v>0.15784090909090986</v>
      </c>
      <c r="BP41" s="430">
        <f t="shared" ref="BP41" si="510">BP42-BQ54*BP12</f>
        <v>642.20099318182201</v>
      </c>
      <c r="BQ41" s="24">
        <f t="shared" ref="BQ41:BS41" si="511">BQ42-BQ54</f>
        <v>0.15784090909090986</v>
      </c>
      <c r="BR41" s="430">
        <f t="shared" ref="BR41" si="512">BR42-BS54*BR12</f>
        <v>642.20099318182201</v>
      </c>
      <c r="BS41" s="24">
        <f t="shared" si="511"/>
        <v>0.15784090909090986</v>
      </c>
      <c r="BT41" s="430">
        <f t="shared" ref="BT41" si="513">BT42-BU54*BT12</f>
        <v>642.20099318182201</v>
      </c>
      <c r="BU41" s="24">
        <f t="shared" ref="BU41:BW41" si="514">BU42-BU54</f>
        <v>0.15784090909090986</v>
      </c>
      <c r="BV41" s="430">
        <f t="shared" ref="BV41" si="515">BV42-BW54*BV12</f>
        <v>642.20099318182201</v>
      </c>
      <c r="BW41" s="24">
        <f t="shared" si="514"/>
        <v>0.15784090909090986</v>
      </c>
      <c r="BX41" s="430">
        <f t="shared" ref="BX41" si="516">BX42-BY54*BX12</f>
        <v>642.20099318182201</v>
      </c>
      <c r="BY41" s="24">
        <f t="shared" ref="BY41:CA41" si="517">BY42-BY54</f>
        <v>0.15784090909090986</v>
      </c>
      <c r="BZ41" s="430">
        <f t="shared" ref="BZ41" si="518">BZ42-CA54*BZ12</f>
        <v>642.20099318182201</v>
      </c>
      <c r="CA41" s="24">
        <f t="shared" si="517"/>
        <v>0.15784090909090986</v>
      </c>
      <c r="CB41" s="430">
        <f t="shared" ref="CB41" si="519">CB42-CC54*CB12</f>
        <v>642.20099318182201</v>
      </c>
      <c r="CC41" s="24">
        <f t="shared" ref="CC41:CE41" si="520">CC42-CC54</f>
        <v>0.15784090909090986</v>
      </c>
      <c r="CD41" s="430">
        <f t="shared" ref="CD41" si="521">CD42-CE54*CD12</f>
        <v>643.26901643182191</v>
      </c>
      <c r="CE41" s="24">
        <f t="shared" si="520"/>
        <v>0.15810340909090981</v>
      </c>
      <c r="CF41" s="430">
        <f t="shared" ref="CF41" si="522">CF42-CG54*CF12</f>
        <v>643.26901643182191</v>
      </c>
      <c r="CG41" s="24">
        <f t="shared" ref="CG41:CI41" si="523">CG42-CG54</f>
        <v>0.15810340909090981</v>
      </c>
      <c r="CH41" s="430">
        <f t="shared" ref="CH41" si="524">CH42-CI54*CH12</f>
        <v>643.26901643182191</v>
      </c>
      <c r="CI41" s="24">
        <f t="shared" si="523"/>
        <v>0.15810340909090981</v>
      </c>
      <c r="CJ41" s="430">
        <f t="shared" ref="CJ41" si="525">CJ42-CK54*CJ12</f>
        <v>643.26901643182191</v>
      </c>
      <c r="CK41" s="24">
        <f t="shared" ref="CK41" si="526">CK42-CK54</f>
        <v>0.15810340909090981</v>
      </c>
      <c r="CL41" s="430">
        <f t="shared" ref="CL41" si="527">CL42-CM54*CL12</f>
        <v>643.26901643182191</v>
      </c>
      <c r="CM41" s="24">
        <f t="shared" ref="CM41" si="528">CM42-CM54</f>
        <v>0.15810340909090981</v>
      </c>
      <c r="CN41" s="430">
        <f t="shared" ref="CN41" si="529">CN42-CO54*CN12</f>
        <v>465.37535916422439</v>
      </c>
      <c r="CO41" s="24">
        <f t="shared" ref="CO41" si="530">CO42-CO54</f>
        <v>0.11438049853372467</v>
      </c>
      <c r="CP41" s="430">
        <f>CP42-CQ54*CP12</f>
        <v>472.41785573169363</v>
      </c>
      <c r="CQ41" s="24">
        <f>CQ42-CQ54</f>
        <v>0.11611141155360538</v>
      </c>
      <c r="CR41" s="430">
        <f>CR42-CS54*CR12</f>
        <v>471.25906016961335</v>
      </c>
      <c r="CS41" s="24">
        <f>CS42-CS54</f>
        <v>0.11582660142887635</v>
      </c>
      <c r="CT41" s="430">
        <f>CT42-CU54*CT12</f>
        <v>471.25906016961335</v>
      </c>
      <c r="CU41" s="24">
        <f>CU42-CU54</f>
        <v>0.11582660142887635</v>
      </c>
      <c r="CV41" s="430">
        <f>CV42-CW54*CV12</f>
        <v>471.25906016961335</v>
      </c>
      <c r="CW41" s="24">
        <f>CW42-CW54</f>
        <v>0.11582660142887635</v>
      </c>
      <c r="CX41" s="430">
        <f>CX42-CY54*CX12</f>
        <v>-2242.2325148230666</v>
      </c>
      <c r="CY41" s="24">
        <f>CY42-CY54</f>
        <v>-0.55109852256592262</v>
      </c>
      <c r="CZ41" s="430">
        <f>CZ42-DA54*CZ12</f>
        <v>471.25906016961335</v>
      </c>
      <c r="DA41" s="24">
        <f>DA42-DA54</f>
        <v>0.15784958677686023</v>
      </c>
      <c r="DB41" s="430">
        <f>DB42-DC54*DB12</f>
        <v>467.98731952498338</v>
      </c>
      <c r="DC41" s="24">
        <f>DC42-DC54</f>
        <v>0.11502246919747139</v>
      </c>
      <c r="DD41" s="430">
        <f>DD42-DE54*DD12</f>
        <v>556.33104198779574</v>
      </c>
      <c r="DE41" s="24">
        <f>DE42-DE54</f>
        <v>0.1367356923379669</v>
      </c>
      <c r="DF41" s="430">
        <f>DF42-DG54*DF12</f>
        <v>556.33104198779574</v>
      </c>
      <c r="DG41" s="24">
        <f>DG42-DG54</f>
        <v>0.1367356923379669</v>
      </c>
    </row>
    <row r="42" spans="1:111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O42" si="531">F32-F32/1.1</f>
        <v>2722.3034181818221</v>
      </c>
      <c r="G42" s="24">
        <f t="shared" si="531"/>
        <v>0.66909090909090985</v>
      </c>
      <c r="H42" s="42">
        <f t="shared" si="531"/>
        <v>2722.3034181818221</v>
      </c>
      <c r="I42" s="24">
        <f t="shared" si="531"/>
        <v>0.66909090909090985</v>
      </c>
      <c r="J42" s="42">
        <f t="shared" ref="J42:K42" si="532">J32-J32/1.1</f>
        <v>2794.6552177348422</v>
      </c>
      <c r="K42" s="24">
        <f t="shared" si="532"/>
        <v>0.68687361876756547</v>
      </c>
      <c r="L42" s="430">
        <f>L38-L38/1.1</f>
        <v>2631.728370731711</v>
      </c>
      <c r="M42" s="24">
        <f>M38-M38/1.1</f>
        <v>0.6468292682926835</v>
      </c>
      <c r="N42" s="42">
        <f t="shared" si="531"/>
        <v>2714.0725786158946</v>
      </c>
      <c r="O42" s="24">
        <f t="shared" si="531"/>
        <v>0.66706792374292601</v>
      </c>
      <c r="P42" s="42">
        <f t="shared" ref="P42:Q42" si="533">P32-P32/1.1</f>
        <v>2804.3096975426706</v>
      </c>
      <c r="Q42" s="24">
        <f t="shared" si="533"/>
        <v>0.68924650807456711</v>
      </c>
      <c r="R42" s="710">
        <f>R38-R38/1.1</f>
        <v>2631.728370731711</v>
      </c>
      <c r="S42" s="24">
        <f>S38-S38/1.1</f>
        <v>0.6468292682926835</v>
      </c>
      <c r="T42" s="42">
        <f t="shared" ref="T42:W42" si="534">T32-T32/1.1</f>
        <v>2714.0725786158946</v>
      </c>
      <c r="U42" s="24">
        <f t="shared" si="534"/>
        <v>0.66706792374292601</v>
      </c>
      <c r="V42" s="42">
        <f t="shared" si="534"/>
        <v>2714.0725786158946</v>
      </c>
      <c r="W42" s="24">
        <f t="shared" si="534"/>
        <v>0.66706792374292601</v>
      </c>
      <c r="X42" s="710">
        <f>X32-X32/1.1</f>
        <v>2714.0725786158946</v>
      </c>
      <c r="Y42" s="24">
        <f>Y32-Y32/1.1</f>
        <v>0.66706792374292601</v>
      </c>
      <c r="Z42" s="42">
        <f t="shared" ref="Z42:AA42" si="535">Z32-Z32/1.1</f>
        <v>2714.0725786158946</v>
      </c>
      <c r="AA42" s="24">
        <f t="shared" si="535"/>
        <v>0.66706792374292601</v>
      </c>
      <c r="AB42" s="710">
        <f>AB32-AB32/1.1</f>
        <v>2714.0725786158946</v>
      </c>
      <c r="AC42" s="24">
        <f>AC32-AC32/1.1</f>
        <v>0.66706792374292601</v>
      </c>
      <c r="AD42" s="42">
        <f t="shared" ref="AD42:AE42" si="536">AD32-AD32/1.1</f>
        <v>2714.0725786158946</v>
      </c>
      <c r="AE42" s="24">
        <f t="shared" si="536"/>
        <v>0.66706792374292601</v>
      </c>
      <c r="AF42" s="710">
        <f t="shared" ref="AF42:AK42" si="537">AF32-AF32/1.1</f>
        <v>2714.0725786158946</v>
      </c>
      <c r="AG42" s="24">
        <f t="shared" si="537"/>
        <v>0.66706792374292601</v>
      </c>
      <c r="AH42" s="710">
        <f t="shared" si="537"/>
        <v>2714.0725786158946</v>
      </c>
      <c r="AI42" s="24">
        <f t="shared" si="537"/>
        <v>0.66706792374292601</v>
      </c>
      <c r="AJ42" s="710">
        <f t="shared" si="537"/>
        <v>2714.0725786158946</v>
      </c>
      <c r="AK42" s="24">
        <f t="shared" si="537"/>
        <v>0.66706792374292601</v>
      </c>
      <c r="AL42" s="710">
        <f t="shared" ref="AL42:AO42" si="538">AL32-AL32/1.1</f>
        <v>2714.0725786158946</v>
      </c>
      <c r="AM42" s="24">
        <f t="shared" si="538"/>
        <v>0.66706792374292601</v>
      </c>
      <c r="AN42" s="710">
        <f t="shared" si="538"/>
        <v>2714.0725786158946</v>
      </c>
      <c r="AO42" s="24">
        <f t="shared" si="538"/>
        <v>0.66706792374292601</v>
      </c>
      <c r="AP42" s="710">
        <f t="shared" ref="AP42:AU42" si="539">AP32-AP32/1.1</f>
        <v>2714.0725786158946</v>
      </c>
      <c r="AQ42" s="24">
        <f t="shared" si="539"/>
        <v>0.66706792374292601</v>
      </c>
      <c r="AR42" s="710">
        <f t="shared" si="539"/>
        <v>2714.0725786158946</v>
      </c>
      <c r="AS42" s="24">
        <f t="shared" si="539"/>
        <v>0.66706792374292601</v>
      </c>
      <c r="AT42" s="710">
        <f t="shared" si="539"/>
        <v>2714.0725786158946</v>
      </c>
      <c r="AU42" s="24">
        <f t="shared" si="539"/>
        <v>0.66706792374292601</v>
      </c>
      <c r="AV42" s="710">
        <f t="shared" ref="AV42:BA42" si="540">AV32-AV32/1.1</f>
        <v>2714.0725786158946</v>
      </c>
      <c r="AW42" s="24">
        <f t="shared" si="540"/>
        <v>0.66706792374292601</v>
      </c>
      <c r="AX42" s="710">
        <f t="shared" si="540"/>
        <v>2714.0725786158946</v>
      </c>
      <c r="AY42" s="24">
        <f t="shared" si="540"/>
        <v>0.66706792374292601</v>
      </c>
      <c r="AZ42" s="710">
        <f t="shared" si="540"/>
        <v>2714.0725786158946</v>
      </c>
      <c r="BA42" s="24">
        <f t="shared" si="540"/>
        <v>0.66706792374292601</v>
      </c>
      <c r="BB42" s="710">
        <f t="shared" ref="BB42:BC42" si="541">BB32-BB32/1.1</f>
        <v>2714.0725786158946</v>
      </c>
      <c r="BC42" s="24">
        <f t="shared" si="541"/>
        <v>0.66706792374292601</v>
      </c>
      <c r="BD42" s="710">
        <f t="shared" ref="BD42:BK42" si="542">BD32-BD32/1.1</f>
        <v>2714.0725786158946</v>
      </c>
      <c r="BE42" s="24">
        <f t="shared" si="542"/>
        <v>0.66706792374292601</v>
      </c>
      <c r="BF42" s="710">
        <f t="shared" si="542"/>
        <v>2714.0725786158946</v>
      </c>
      <c r="BG42" s="24">
        <f t="shared" si="542"/>
        <v>0.66706792374292601</v>
      </c>
      <c r="BH42" s="710">
        <f t="shared" si="542"/>
        <v>2714.0725786158946</v>
      </c>
      <c r="BI42" s="24">
        <f t="shared" si="542"/>
        <v>0.66706792374292601</v>
      </c>
      <c r="BJ42" s="710">
        <f t="shared" si="542"/>
        <v>2714.0725786158946</v>
      </c>
      <c r="BK42" s="24">
        <f t="shared" si="542"/>
        <v>0.66706792374292601</v>
      </c>
      <c r="BL42" s="710">
        <f t="shared" ref="BL42:BM42" si="543">BL32-BL32/1.1</f>
        <v>2885.049818181822</v>
      </c>
      <c r="BM42" s="24">
        <f t="shared" si="543"/>
        <v>0.70909090909090988</v>
      </c>
      <c r="BN42" s="710">
        <f t="shared" ref="BN42:BO42" si="544">BN32-BN32/1.1</f>
        <v>2885.049818181822</v>
      </c>
      <c r="BO42" s="24">
        <f t="shared" si="544"/>
        <v>0.70909090909090988</v>
      </c>
      <c r="BP42" s="710">
        <f t="shared" ref="BP42:BQ42" si="545">BP32-BP32/1.1</f>
        <v>2885.049818181822</v>
      </c>
      <c r="BQ42" s="24">
        <f t="shared" si="545"/>
        <v>0.70909090909090988</v>
      </c>
      <c r="BR42" s="710">
        <f t="shared" ref="BR42:BS42" si="546">BR32-BR32/1.1</f>
        <v>2885.049818181822</v>
      </c>
      <c r="BS42" s="24">
        <f t="shared" si="546"/>
        <v>0.70909090909090988</v>
      </c>
      <c r="BT42" s="710">
        <f t="shared" ref="BT42:BU42" si="547">BT32-BT32/1.1</f>
        <v>2885.049818181822</v>
      </c>
      <c r="BU42" s="24">
        <f t="shared" si="547"/>
        <v>0.70909090909090988</v>
      </c>
      <c r="BV42" s="710">
        <f t="shared" ref="BV42:BW42" si="548">BV32-BV32/1.1</f>
        <v>2885.049818181822</v>
      </c>
      <c r="BW42" s="24">
        <f t="shared" si="548"/>
        <v>0.70909090909090988</v>
      </c>
      <c r="BX42" s="710">
        <f t="shared" ref="BX42:BY42" si="549">BX32-BX32/1.1</f>
        <v>2885.049818181822</v>
      </c>
      <c r="BY42" s="24">
        <f t="shared" si="549"/>
        <v>0.70909090909090988</v>
      </c>
      <c r="BZ42" s="710">
        <f t="shared" ref="BZ42:CA42" si="550">BZ32-BZ32/1.1</f>
        <v>2885.049818181822</v>
      </c>
      <c r="CA42" s="24">
        <f t="shared" si="550"/>
        <v>0.70909090909090988</v>
      </c>
      <c r="CB42" s="710">
        <f t="shared" ref="CB42:CC42" si="551">CB32-CB32/1.1</f>
        <v>2885.049818181822</v>
      </c>
      <c r="CC42" s="24">
        <f t="shared" si="551"/>
        <v>0.70909090909090988</v>
      </c>
      <c r="CD42" s="710">
        <f t="shared" ref="CD42:CE42" si="552">CD32-CD32/1.1</f>
        <v>2885.049818181822</v>
      </c>
      <c r="CE42" s="24">
        <f t="shared" si="552"/>
        <v>0.70909090909090988</v>
      </c>
      <c r="CF42" s="710">
        <f t="shared" ref="CF42:CG42" si="553">CF32-CF32/1.1</f>
        <v>2885.049818181822</v>
      </c>
      <c r="CG42" s="24">
        <f t="shared" si="553"/>
        <v>0.70909090909090988</v>
      </c>
      <c r="CH42" s="710">
        <f t="shared" ref="CH42:CK42" si="554">CH32-CH32/1.1</f>
        <v>2885.049818181822</v>
      </c>
      <c r="CI42" s="24">
        <f t="shared" si="554"/>
        <v>0.70909090909090988</v>
      </c>
      <c r="CJ42" s="710">
        <f t="shared" si="554"/>
        <v>2885.049818181822</v>
      </c>
      <c r="CK42" s="24">
        <f t="shared" si="554"/>
        <v>0.70909090909090988</v>
      </c>
      <c r="CL42" s="710">
        <f t="shared" ref="CL42:CM42" si="555">CL32-CL32/1.1</f>
        <v>2885.049818181822</v>
      </c>
      <c r="CM42" s="24">
        <f t="shared" si="555"/>
        <v>0.70909090909090988</v>
      </c>
      <c r="CN42" s="710">
        <f t="shared" ref="CN42:CO42" si="556">CN32-CN32/1.1</f>
        <v>2708.2241841642244</v>
      </c>
      <c r="CO42" s="24">
        <f t="shared" si="556"/>
        <v>0.66563049853372469</v>
      </c>
      <c r="CP42" s="42">
        <f t="shared" ref="CP42:CQ42" si="557">CP32-CP32/1.1</f>
        <v>2714.0725786158946</v>
      </c>
      <c r="CQ42" s="24">
        <f t="shared" si="557"/>
        <v>0.66706792374292601</v>
      </c>
      <c r="CR42" s="710">
        <f t="shared" ref="CR42:CW42" si="558">CR32-CR32/1.1</f>
        <v>2714.0725786158946</v>
      </c>
      <c r="CS42" s="24">
        <f t="shared" si="558"/>
        <v>0.66706792374292601</v>
      </c>
      <c r="CT42" s="710">
        <f t="shared" si="558"/>
        <v>2714.0725786158946</v>
      </c>
      <c r="CU42" s="24">
        <f t="shared" si="558"/>
        <v>0.66706792374292601</v>
      </c>
      <c r="CV42" s="710">
        <f t="shared" si="558"/>
        <v>2714.0725786158946</v>
      </c>
      <c r="CW42" s="24">
        <f t="shared" si="558"/>
        <v>0.66706792374292601</v>
      </c>
      <c r="CX42" s="710">
        <f t="shared" ref="CX42:CY42" si="559">CX38-CX38/1.1</f>
        <v>0</v>
      </c>
      <c r="CY42" s="24">
        <f t="shared" si="559"/>
        <v>0</v>
      </c>
      <c r="CZ42" s="710">
        <f t="shared" ref="CZ42:DA42" si="560">CZ32-CZ32/1.1</f>
        <v>2714.0725786158946</v>
      </c>
      <c r="DA42" s="24">
        <f t="shared" si="560"/>
        <v>0.70909090909090988</v>
      </c>
      <c r="DB42" s="710">
        <f t="shared" ref="DB42:DG42" si="561">DB32-DB32/1.1</f>
        <v>2817.6384695249835</v>
      </c>
      <c r="DC42" s="24">
        <f t="shared" si="561"/>
        <v>0.6925224691974714</v>
      </c>
      <c r="DD42" s="710">
        <f t="shared" si="561"/>
        <v>2799.144560434077</v>
      </c>
      <c r="DE42" s="24">
        <f t="shared" si="561"/>
        <v>0.68797701465201655</v>
      </c>
      <c r="DF42" s="710">
        <f t="shared" si="561"/>
        <v>2799.144560434077</v>
      </c>
      <c r="DG42" s="24">
        <f t="shared" si="561"/>
        <v>0.68797701465201655</v>
      </c>
    </row>
    <row r="43" spans="1:111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O43" si="562">+F44/F32</f>
        <v>0.12036808300395255</v>
      </c>
      <c r="G43" s="48">
        <f t="shared" si="562"/>
        <v>0.12036808300395256</v>
      </c>
      <c r="H43" s="47">
        <f t="shared" si="562"/>
        <v>0.1061017786561264</v>
      </c>
      <c r="I43" s="48">
        <f t="shared" si="562"/>
        <v>0.10610177865612648</v>
      </c>
      <c r="J43" s="47">
        <f t="shared" ref="J43:K43" si="563">+J44/J32</f>
        <v>0.12689064314280335</v>
      </c>
      <c r="K43" s="48">
        <f t="shared" si="563"/>
        <v>0.12689064314280335</v>
      </c>
      <c r="L43" s="361">
        <f>+L44/L38</f>
        <v>7.8465651995063737E-2</v>
      </c>
      <c r="M43" s="362">
        <f>+M44/M38</f>
        <v>7.8465651995063751E-2</v>
      </c>
      <c r="N43" s="361">
        <f>+N44/N32</f>
        <v>9.5378825271434042E-2</v>
      </c>
      <c r="O43" s="362">
        <f t="shared" si="562"/>
        <v>9.5378825271434084E-2</v>
      </c>
      <c r="P43" s="361">
        <f t="shared" ref="P43:Q43" si="564">+P44/P32</f>
        <v>0.12070834056742678</v>
      </c>
      <c r="Q43" s="362">
        <f t="shared" si="564"/>
        <v>0.12070834056742689</v>
      </c>
      <c r="R43" s="361">
        <f>+R44/R38</f>
        <v>6.9008434443534022E-2</v>
      </c>
      <c r="S43" s="362">
        <f>+S44/S38</f>
        <v>6.9008434443533995E-2</v>
      </c>
      <c r="T43" s="361">
        <f>+T44/T32</f>
        <v>9.4496303293195028E-2</v>
      </c>
      <c r="U43" s="362">
        <f t="shared" ref="U43:W43" si="565">+U44/U32</f>
        <v>9.4496303293195041E-2</v>
      </c>
      <c r="V43" s="361">
        <f t="shared" si="565"/>
        <v>9.4496303293195028E-2</v>
      </c>
      <c r="W43" s="362">
        <f t="shared" si="565"/>
        <v>9.4496303293195041E-2</v>
      </c>
      <c r="X43" s="361">
        <f>+X44/X32</f>
        <v>9.4496303293195028E-2</v>
      </c>
      <c r="Y43" s="362">
        <f>+Y44/Y32</f>
        <v>9.4496303293195041E-2</v>
      </c>
      <c r="Z43" s="361">
        <f t="shared" ref="Z43:AA43" si="566">+Z44/Z32</f>
        <v>9.4496303293195028E-2</v>
      </c>
      <c r="AA43" s="362">
        <f t="shared" si="566"/>
        <v>9.4496303293195041E-2</v>
      </c>
      <c r="AB43" s="361">
        <f>+AB44/AB32</f>
        <v>9.4496303293195028E-2</v>
      </c>
      <c r="AC43" s="362">
        <f>+AC44/AC32</f>
        <v>9.4496303293195041E-2</v>
      </c>
      <c r="AD43" s="361">
        <f t="shared" ref="AD43:AE43" si="567">+AD44/AD32</f>
        <v>9.4496303293195028E-2</v>
      </c>
      <c r="AE43" s="362">
        <f t="shared" si="567"/>
        <v>9.4496303293195041E-2</v>
      </c>
      <c r="AF43" s="361">
        <f t="shared" ref="AF43:AK43" si="568">+AF44/AF32</f>
        <v>9.4496303293195028E-2</v>
      </c>
      <c r="AG43" s="362">
        <f t="shared" si="568"/>
        <v>9.4496303293195041E-2</v>
      </c>
      <c r="AH43" s="361">
        <f t="shared" si="568"/>
        <v>9.4496303293195028E-2</v>
      </c>
      <c r="AI43" s="362">
        <f t="shared" si="568"/>
        <v>9.4496303293195041E-2</v>
      </c>
      <c r="AJ43" s="361">
        <f t="shared" si="568"/>
        <v>9.4496303293195028E-2</v>
      </c>
      <c r="AK43" s="362">
        <f t="shared" si="568"/>
        <v>9.4496303293195041E-2</v>
      </c>
      <c r="AL43" s="361">
        <f t="shared" ref="AL43:AO43" si="569">+AL44/AL32</f>
        <v>9.4496303293195028E-2</v>
      </c>
      <c r="AM43" s="362">
        <f t="shared" si="569"/>
        <v>9.4496303293195041E-2</v>
      </c>
      <c r="AN43" s="361">
        <f t="shared" si="569"/>
        <v>9.4496303293195028E-2</v>
      </c>
      <c r="AO43" s="362">
        <f t="shared" si="569"/>
        <v>9.4496303293195041E-2</v>
      </c>
      <c r="AP43" s="361">
        <f t="shared" ref="AP43:AU43" si="570">+AP44/AP32</f>
        <v>9.4496303293195028E-2</v>
      </c>
      <c r="AQ43" s="362">
        <f t="shared" si="570"/>
        <v>9.4496303293195041E-2</v>
      </c>
      <c r="AR43" s="361">
        <f t="shared" si="570"/>
        <v>9.4496303293195028E-2</v>
      </c>
      <c r="AS43" s="362">
        <f t="shared" si="570"/>
        <v>9.4496303293195041E-2</v>
      </c>
      <c r="AT43" s="361">
        <f t="shared" si="570"/>
        <v>9.4496303293195028E-2</v>
      </c>
      <c r="AU43" s="362">
        <f t="shared" si="570"/>
        <v>9.4496303293195041E-2</v>
      </c>
      <c r="AV43" s="361">
        <f t="shared" ref="AV43:BA43" si="571">+AV44/AV32</f>
        <v>9.4496303293195028E-2</v>
      </c>
      <c r="AW43" s="362">
        <f t="shared" si="571"/>
        <v>9.4496303293195041E-2</v>
      </c>
      <c r="AX43" s="361">
        <f t="shared" si="571"/>
        <v>9.4496303293195028E-2</v>
      </c>
      <c r="AY43" s="362">
        <f t="shared" si="571"/>
        <v>9.4496303293195041E-2</v>
      </c>
      <c r="AZ43" s="361">
        <f t="shared" si="571"/>
        <v>9.4496303293195028E-2</v>
      </c>
      <c r="BA43" s="362">
        <f t="shared" si="571"/>
        <v>9.4496303293195041E-2</v>
      </c>
      <c r="BB43" s="361">
        <f t="shared" ref="BB43:BC43" si="572">+BB44/BB32</f>
        <v>9.4496303293195028E-2</v>
      </c>
      <c r="BC43" s="362">
        <f t="shared" si="572"/>
        <v>9.4496303293195041E-2</v>
      </c>
      <c r="BD43" s="361">
        <f t="shared" ref="BD43:BK43" si="573">+BD44/BD32</f>
        <v>9.4496303293195028E-2</v>
      </c>
      <c r="BE43" s="362">
        <f t="shared" si="573"/>
        <v>9.4496303293195041E-2</v>
      </c>
      <c r="BF43" s="361">
        <f t="shared" si="573"/>
        <v>9.4496303293195028E-2</v>
      </c>
      <c r="BG43" s="362">
        <f t="shared" si="573"/>
        <v>9.4496303293195041E-2</v>
      </c>
      <c r="BH43" s="361">
        <f t="shared" si="573"/>
        <v>9.4496303293195028E-2</v>
      </c>
      <c r="BI43" s="362">
        <f t="shared" si="573"/>
        <v>9.4496303293195041E-2</v>
      </c>
      <c r="BJ43" s="361">
        <f t="shared" si="573"/>
        <v>9.4484477203034434E-2</v>
      </c>
      <c r="BK43" s="362">
        <f t="shared" si="573"/>
        <v>9.4484477203034503E-2</v>
      </c>
      <c r="BL43" s="361">
        <f t="shared" ref="BL43:BM43" si="574">+BL44/BL32</f>
        <v>0.14276064844246655</v>
      </c>
      <c r="BM43" s="362">
        <f t="shared" si="574"/>
        <v>0.14276064844246658</v>
      </c>
      <c r="BN43" s="361">
        <f t="shared" ref="BN43:BO43" si="575">+BN44/BN32</f>
        <v>0.14276064844246655</v>
      </c>
      <c r="BO43" s="362">
        <f t="shared" si="575"/>
        <v>0.14276064844246658</v>
      </c>
      <c r="BP43" s="361">
        <f t="shared" ref="BP43:BQ43" si="576">+BP44/BP32</f>
        <v>0.14276064844246655</v>
      </c>
      <c r="BQ43" s="362">
        <f t="shared" si="576"/>
        <v>0.14276064844246658</v>
      </c>
      <c r="BR43" s="361">
        <f t="shared" ref="BR43:BS43" si="577">+BR44/BR32</f>
        <v>0.14276064844246655</v>
      </c>
      <c r="BS43" s="362">
        <f t="shared" si="577"/>
        <v>0.14276064844246658</v>
      </c>
      <c r="BT43" s="361">
        <f t="shared" ref="BT43:BU43" si="578">+BT44/BT32</f>
        <v>0.14276064844246655</v>
      </c>
      <c r="BU43" s="362">
        <f t="shared" si="578"/>
        <v>0.14276064844246658</v>
      </c>
      <c r="BV43" s="361">
        <f t="shared" ref="BV43:BW43" si="579">+BV44/BV32</f>
        <v>0.14276064844246655</v>
      </c>
      <c r="BW43" s="362">
        <f t="shared" si="579"/>
        <v>0.14276064844246658</v>
      </c>
      <c r="BX43" s="361">
        <f t="shared" ref="BX43:BY43" si="580">+BX44/BX32</f>
        <v>0.14276064844246655</v>
      </c>
      <c r="BY43" s="362">
        <f t="shared" si="580"/>
        <v>0.14276064844246658</v>
      </c>
      <c r="BZ43" s="361">
        <f t="shared" ref="BZ43:CA43" si="581">+BZ44/BZ32</f>
        <v>0.14276064844246655</v>
      </c>
      <c r="CA43" s="362">
        <f t="shared" si="581"/>
        <v>0.14276064844246658</v>
      </c>
      <c r="CB43" s="361">
        <f t="shared" ref="CB43:CC43" si="582">+CB44/CB32</f>
        <v>0.14276064844246655</v>
      </c>
      <c r="CC43" s="362">
        <f t="shared" si="582"/>
        <v>0.14276064844246658</v>
      </c>
      <c r="CD43" s="361">
        <f t="shared" ref="CD43:CE43" si="583">+CD44/CD32</f>
        <v>0.14500437062937049</v>
      </c>
      <c r="CE43" s="362">
        <f t="shared" si="583"/>
        <v>0.14500437062937052</v>
      </c>
      <c r="CF43" s="361">
        <f t="shared" ref="CF43:CG43" si="584">+CF44/CF32</f>
        <v>0.14500437062937049</v>
      </c>
      <c r="CG43" s="362">
        <f t="shared" si="584"/>
        <v>0.14500437062937052</v>
      </c>
      <c r="CH43" s="361">
        <f t="shared" ref="CH43:CK43" si="585">+CH44/CH32</f>
        <v>0.14500437062937049</v>
      </c>
      <c r="CI43" s="362">
        <f t="shared" si="585"/>
        <v>0.14500437062937052</v>
      </c>
      <c r="CJ43" s="361">
        <f t="shared" si="585"/>
        <v>0.14500437062937049</v>
      </c>
      <c r="CK43" s="362">
        <f t="shared" si="585"/>
        <v>0.14500437062937052</v>
      </c>
      <c r="CL43" s="361">
        <f t="shared" ref="CL43:CM43" si="586">+CL44/CL32</f>
        <v>0.14500437062937049</v>
      </c>
      <c r="CM43" s="362">
        <f t="shared" si="586"/>
        <v>0.14500437062937052</v>
      </c>
      <c r="CN43" s="361">
        <f t="shared" ref="CN43:CO43" si="587">+CN44/CN32</f>
        <v>9.2725339327963494E-2</v>
      </c>
      <c r="CO43" s="362">
        <f t="shared" si="587"/>
        <v>9.2725339327963577E-2</v>
      </c>
      <c r="CP43" s="361">
        <f t="shared" ref="CP43:CQ43" si="588">+CP44/CP32</f>
        <v>9.488444711782297E-2</v>
      </c>
      <c r="CQ43" s="362">
        <f t="shared" si="588"/>
        <v>9.4884447117823026E-2</v>
      </c>
      <c r="CR43" s="361">
        <f t="shared" ref="CR43:CW43" si="589">+CR44/CR32</f>
        <v>9.4496303293195028E-2</v>
      </c>
      <c r="CS43" s="362">
        <f t="shared" si="589"/>
        <v>9.4496303293195041E-2</v>
      </c>
      <c r="CT43" s="361">
        <f t="shared" si="589"/>
        <v>9.4496303293195028E-2</v>
      </c>
      <c r="CU43" s="362">
        <f t="shared" si="589"/>
        <v>9.4496303293195041E-2</v>
      </c>
      <c r="CV43" s="361">
        <f t="shared" si="589"/>
        <v>9.4496303293195028E-2</v>
      </c>
      <c r="CW43" s="362">
        <f t="shared" si="589"/>
        <v>9.4496303293195041E-2</v>
      </c>
      <c r="CX43" s="361" t="e">
        <f t="shared" ref="CX43" si="590">+CX44/CX38</f>
        <v>#DIV/0!</v>
      </c>
      <c r="CY43" s="362" t="e">
        <f t="shared" ref="CY43" si="591">+CY44/CY38</f>
        <v>#DIV/0!</v>
      </c>
      <c r="CZ43" s="361">
        <f t="shared" ref="CZ43" si="592">+CZ44/CZ32</f>
        <v>9.4496303293195028E-2</v>
      </c>
      <c r="DA43" s="362">
        <f t="shared" ref="DA43" si="593">+DA44/DA32</f>
        <v>0.14277177368086444</v>
      </c>
      <c r="DB43" s="361">
        <f t="shared" ref="DB43:DG43" si="594">+DB44/DB32</f>
        <v>8.9967367571622062E-2</v>
      </c>
      <c r="DC43" s="362">
        <f t="shared" si="594"/>
        <v>8.996736757162202E-2</v>
      </c>
      <c r="DD43" s="361">
        <f t="shared" si="594"/>
        <v>0.1192535732367186</v>
      </c>
      <c r="DE43" s="362">
        <f t="shared" si="594"/>
        <v>0.11925357323671866</v>
      </c>
      <c r="DF43" s="361">
        <f t="shared" si="594"/>
        <v>0.1192535732367186</v>
      </c>
      <c r="DG43" s="362">
        <f t="shared" si="594"/>
        <v>0.11925357323671866</v>
      </c>
    </row>
    <row r="44" spans="1:111" s="4" customFormat="1" ht="18" customHeight="1" x14ac:dyDescent="0.45">
      <c r="A44" s="561"/>
      <c r="B44" s="1194"/>
      <c r="C44" s="15" t="s">
        <v>48</v>
      </c>
      <c r="D44" s="16"/>
      <c r="E44" s="35"/>
      <c r="F44" s="42">
        <f t="shared" ref="F44:O44" si="595">+F32-F45-F41</f>
        <v>3604.4628818181809</v>
      </c>
      <c r="G44" s="24">
        <f t="shared" si="595"/>
        <v>0.88590909090909087</v>
      </c>
      <c r="H44" s="42">
        <f t="shared" si="595"/>
        <v>3177.2535818181791</v>
      </c>
      <c r="I44" s="24">
        <f t="shared" si="595"/>
        <v>0.78090909090909089</v>
      </c>
      <c r="J44" s="42">
        <f t="shared" ref="J44:K44" si="596">+J32-J45-J41</f>
        <v>3900.7715773484165</v>
      </c>
      <c r="K44" s="24">
        <f t="shared" si="596"/>
        <v>0.95873618767565161</v>
      </c>
      <c r="L44" s="710">
        <f>+L38-L45-L41</f>
        <v>2271.5031073170726</v>
      </c>
      <c r="M44" s="24">
        <f>+M38-M45-M41</f>
        <v>0.55829268292682921</v>
      </c>
      <c r="N44" s="42">
        <f t="shared" si="595"/>
        <v>2847.5155967477508</v>
      </c>
      <c r="O44" s="24">
        <f t="shared" si="595"/>
        <v>0.69986570437140294</v>
      </c>
      <c r="P44" s="42">
        <f t="shared" ref="P44:Q44" si="597">+P32-P45-P41</f>
        <v>3723.539270302696</v>
      </c>
      <c r="Q44" s="24">
        <f t="shared" si="597"/>
        <v>0.91517582454732016</v>
      </c>
      <c r="R44" s="710">
        <f>+R38-R45-R41</f>
        <v>1997.7260021931038</v>
      </c>
      <c r="S44" s="24">
        <f>+S38-S45-S41</f>
        <v>0.49100342672848141</v>
      </c>
      <c r="T44" s="42">
        <f t="shared" ref="T44:W44" si="598">+T32-T45-T41</f>
        <v>2821.168081034943</v>
      </c>
      <c r="U44" s="24">
        <f t="shared" si="598"/>
        <v>0.69338998123090734</v>
      </c>
      <c r="V44" s="42">
        <f t="shared" si="598"/>
        <v>2821.168081034943</v>
      </c>
      <c r="W44" s="24">
        <f t="shared" si="598"/>
        <v>0.69338998123090734</v>
      </c>
      <c r="X44" s="710">
        <f>+X32-X45-X41</f>
        <v>2821.168081034943</v>
      </c>
      <c r="Y44" s="24">
        <f>+Y32-Y45-Y41</f>
        <v>0.69338998123090734</v>
      </c>
      <c r="Z44" s="42">
        <f t="shared" ref="Z44:AA44" si="599">+Z32-Z45-Z41</f>
        <v>2821.168081034943</v>
      </c>
      <c r="AA44" s="24">
        <f t="shared" si="599"/>
        <v>0.69338998123090734</v>
      </c>
      <c r="AB44" s="710">
        <f>+AB32-AB45-AB41</f>
        <v>2821.168081034943</v>
      </c>
      <c r="AC44" s="24">
        <f>+AC32-AC45-AC41</f>
        <v>0.69338998123090734</v>
      </c>
      <c r="AD44" s="42">
        <f t="shared" ref="AD44:AE44" si="600">+AD32-AD45-AD41</f>
        <v>2821.168081034943</v>
      </c>
      <c r="AE44" s="24">
        <f t="shared" si="600"/>
        <v>0.69338998123090734</v>
      </c>
      <c r="AF44" s="710">
        <f t="shared" ref="AF44:AK44" si="601">+AF32-AF45-AF41</f>
        <v>2821.168081034943</v>
      </c>
      <c r="AG44" s="24">
        <f t="shared" si="601"/>
        <v>0.69338998123090734</v>
      </c>
      <c r="AH44" s="710">
        <f t="shared" si="601"/>
        <v>2821.168081034943</v>
      </c>
      <c r="AI44" s="24">
        <f t="shared" si="601"/>
        <v>0.69338998123090734</v>
      </c>
      <c r="AJ44" s="710">
        <f t="shared" si="601"/>
        <v>2821.168081034943</v>
      </c>
      <c r="AK44" s="24">
        <f t="shared" si="601"/>
        <v>0.69338998123090734</v>
      </c>
      <c r="AL44" s="710">
        <f t="shared" ref="AL44:AO44" si="602">+AL32-AL45-AL41</f>
        <v>2821.168081034943</v>
      </c>
      <c r="AM44" s="24">
        <f t="shared" si="602"/>
        <v>0.69338998123090734</v>
      </c>
      <c r="AN44" s="710">
        <f t="shared" si="602"/>
        <v>2821.168081034943</v>
      </c>
      <c r="AO44" s="24">
        <f t="shared" si="602"/>
        <v>0.69338998123090734</v>
      </c>
      <c r="AP44" s="710">
        <f t="shared" ref="AP44:AU44" si="603">+AP32-AP45-AP41</f>
        <v>2821.168081034943</v>
      </c>
      <c r="AQ44" s="24">
        <f t="shared" si="603"/>
        <v>0.69338998123090734</v>
      </c>
      <c r="AR44" s="710">
        <f t="shared" si="603"/>
        <v>2821.168081034943</v>
      </c>
      <c r="AS44" s="24">
        <f t="shared" si="603"/>
        <v>0.69338998123090734</v>
      </c>
      <c r="AT44" s="710">
        <f t="shared" si="603"/>
        <v>2821.168081034943</v>
      </c>
      <c r="AU44" s="24">
        <f t="shared" si="603"/>
        <v>0.69338998123090734</v>
      </c>
      <c r="AV44" s="710">
        <f t="shared" ref="AV44:BA44" si="604">+AV32-AV45-AV41</f>
        <v>2821.168081034943</v>
      </c>
      <c r="AW44" s="24">
        <f t="shared" si="604"/>
        <v>0.69338998123090734</v>
      </c>
      <c r="AX44" s="710">
        <f t="shared" si="604"/>
        <v>2821.168081034943</v>
      </c>
      <c r="AY44" s="24">
        <f t="shared" si="604"/>
        <v>0.69338998123090734</v>
      </c>
      <c r="AZ44" s="710">
        <f t="shared" si="604"/>
        <v>2821.168081034943</v>
      </c>
      <c r="BA44" s="24">
        <f t="shared" si="604"/>
        <v>0.69338998123090734</v>
      </c>
      <c r="BB44" s="710">
        <f t="shared" ref="BB44:BC44" si="605">+BB32-BB45-BB41</f>
        <v>2821.168081034943</v>
      </c>
      <c r="BC44" s="24">
        <f t="shared" si="605"/>
        <v>0.69338998123090734</v>
      </c>
      <c r="BD44" s="710">
        <f t="shared" ref="BD44:BK44" si="606">+BD32-BD45-BD41</f>
        <v>2821.168081034943</v>
      </c>
      <c r="BE44" s="24">
        <f t="shared" si="606"/>
        <v>0.69338998123090734</v>
      </c>
      <c r="BF44" s="710">
        <f t="shared" si="606"/>
        <v>2821.168081034943</v>
      </c>
      <c r="BG44" s="24">
        <f t="shared" si="606"/>
        <v>0.69338998123090734</v>
      </c>
      <c r="BH44" s="710">
        <f t="shared" si="606"/>
        <v>2821.168081034943</v>
      </c>
      <c r="BI44" s="24">
        <f t="shared" si="606"/>
        <v>0.69338998123090734</v>
      </c>
      <c r="BJ44" s="710">
        <f t="shared" si="606"/>
        <v>2820.8150154977548</v>
      </c>
      <c r="BK44" s="24">
        <f t="shared" si="606"/>
        <v>0.69330320437140402</v>
      </c>
      <c r="BL44" s="710">
        <f t="shared" ref="BL44:BM44" si="607">+BL32-BL45-BL41</f>
        <v>4530.587411157022</v>
      </c>
      <c r="BM44" s="24">
        <f t="shared" si="607"/>
        <v>1.1135330578512392</v>
      </c>
      <c r="BN44" s="710">
        <f t="shared" ref="BN44:BO44" si="608">+BN32-BN45-BN41</f>
        <v>4530.587411157022</v>
      </c>
      <c r="BO44" s="24">
        <f t="shared" si="608"/>
        <v>1.1135330578512392</v>
      </c>
      <c r="BP44" s="710">
        <f t="shared" ref="BP44:BQ44" si="609">+BP32-BP45-BP41</f>
        <v>4530.587411157022</v>
      </c>
      <c r="BQ44" s="24">
        <f t="shared" si="609"/>
        <v>1.1135330578512392</v>
      </c>
      <c r="BR44" s="710">
        <f t="shared" ref="BR44:BS44" si="610">+BR32-BR45-BR41</f>
        <v>4530.587411157022</v>
      </c>
      <c r="BS44" s="24">
        <f t="shared" si="610"/>
        <v>1.1135330578512392</v>
      </c>
      <c r="BT44" s="710">
        <f t="shared" ref="BT44:BU44" si="611">+BT32-BT45-BT41</f>
        <v>4530.587411157022</v>
      </c>
      <c r="BU44" s="24">
        <f t="shared" si="611"/>
        <v>1.1135330578512392</v>
      </c>
      <c r="BV44" s="710">
        <f t="shared" ref="BV44:BW44" si="612">+BV32-BV45-BV41</f>
        <v>4530.587411157022</v>
      </c>
      <c r="BW44" s="24">
        <f t="shared" si="612"/>
        <v>1.1135330578512392</v>
      </c>
      <c r="BX44" s="710">
        <f t="shared" ref="BX44:BY44" si="613">+BX32-BX45-BX41</f>
        <v>4530.587411157022</v>
      </c>
      <c r="BY44" s="24">
        <f t="shared" si="613"/>
        <v>1.1135330578512392</v>
      </c>
      <c r="BZ44" s="710">
        <f t="shared" ref="BZ44:CA44" si="614">+BZ32-BZ45-BZ41</f>
        <v>4530.587411157022</v>
      </c>
      <c r="CA44" s="24">
        <f t="shared" si="614"/>
        <v>1.1135330578512392</v>
      </c>
      <c r="CB44" s="710">
        <f t="shared" ref="CB44:CC44" si="615">+CB32-CB45-CB41</f>
        <v>4530.587411157022</v>
      </c>
      <c r="CC44" s="24">
        <f t="shared" si="615"/>
        <v>1.1135330578512392</v>
      </c>
      <c r="CD44" s="710">
        <f t="shared" ref="CD44:CE44" si="616">+CD32-CD45-CD41</f>
        <v>4601.7931643181773</v>
      </c>
      <c r="CE44" s="24">
        <f t="shared" si="616"/>
        <v>1.1310340909090901</v>
      </c>
      <c r="CF44" s="710">
        <f t="shared" ref="CF44:CG44" si="617">+CF32-CF45-CF41</f>
        <v>4601.7931643181773</v>
      </c>
      <c r="CG44" s="24">
        <f t="shared" si="617"/>
        <v>1.1310340909090901</v>
      </c>
      <c r="CH44" s="710">
        <f t="shared" ref="CH44:CK44" si="618">+CH32-CH45-CH41</f>
        <v>4601.7931643181773</v>
      </c>
      <c r="CI44" s="24">
        <f t="shared" si="618"/>
        <v>1.1310340909090901</v>
      </c>
      <c r="CJ44" s="710">
        <f t="shared" si="618"/>
        <v>4601.7931643181773</v>
      </c>
      <c r="CK44" s="24">
        <f t="shared" si="618"/>
        <v>1.1310340909090901</v>
      </c>
      <c r="CL44" s="710">
        <f t="shared" ref="CL44:CM44" si="619">+CL32-CL45-CL41</f>
        <v>4601.7931643181773</v>
      </c>
      <c r="CM44" s="24">
        <f t="shared" si="619"/>
        <v>1.1310340909090901</v>
      </c>
      <c r="CN44" s="710">
        <f t="shared" ref="CN44:CO44" si="620">+CN32-CN45-CN41</f>
        <v>2762.3310709810712</v>
      </c>
      <c r="CO44" s="24">
        <f t="shared" si="620"/>
        <v>0.67892895227939265</v>
      </c>
      <c r="CP44" s="42">
        <f t="shared" ref="CP44:CQ44" si="621">+CP32-CP45-CP41</f>
        <v>2832.7560366557427</v>
      </c>
      <c r="CQ44" s="24">
        <f t="shared" si="621"/>
        <v>0.69623808247819785</v>
      </c>
      <c r="CR44" s="710">
        <f t="shared" ref="CR44:CW44" si="622">+CR32-CR45-CR41</f>
        <v>2821.168081034943</v>
      </c>
      <c r="CS44" s="24">
        <f t="shared" si="622"/>
        <v>0.69338998123090734</v>
      </c>
      <c r="CT44" s="710">
        <f t="shared" si="622"/>
        <v>2821.168081034943</v>
      </c>
      <c r="CU44" s="24">
        <f t="shared" si="622"/>
        <v>0.69338998123090734</v>
      </c>
      <c r="CV44" s="710">
        <f t="shared" si="622"/>
        <v>2821.168081034943</v>
      </c>
      <c r="CW44" s="24">
        <f t="shared" si="622"/>
        <v>0.69338998123090734</v>
      </c>
      <c r="CX44" s="710">
        <f t="shared" ref="CX44" si="623">+CX38-CX45-CX41</f>
        <v>-24313.747668891821</v>
      </c>
      <c r="CY44" s="24">
        <f t="shared" ref="CY44" si="624">+CY38-CY45-CY41</f>
        <v>-5.9758612587170772</v>
      </c>
      <c r="CZ44" s="710">
        <f t="shared" ref="CZ44" si="625">+CZ32-CZ45-CZ41</f>
        <v>2821.168081034943</v>
      </c>
      <c r="DA44" s="24">
        <f t="shared" ref="DA44" si="626">+DA32-DA45-DA41</f>
        <v>1.1136198347107427</v>
      </c>
      <c r="DB44" s="710">
        <f t="shared" ref="DB44:DG44" si="627">+DB32-DB45-DB41</f>
        <v>2788.4506745886633</v>
      </c>
      <c r="DC44" s="24">
        <f t="shared" si="627"/>
        <v>0.6853486589168577</v>
      </c>
      <c r="DD44" s="710">
        <f t="shared" si="627"/>
        <v>3671.8878992167597</v>
      </c>
      <c r="DE44" s="24">
        <f t="shared" si="627"/>
        <v>0.90248089032181633</v>
      </c>
      <c r="DF44" s="710">
        <f t="shared" si="627"/>
        <v>3671.8878992167597</v>
      </c>
      <c r="DG44" s="24">
        <f t="shared" si="627"/>
        <v>0.90248089032181633</v>
      </c>
    </row>
    <row r="45" spans="1:111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25797.338729999996</v>
      </c>
      <c r="G45" s="32">
        <f>+G49</f>
        <v>6.3404999999999996</v>
      </c>
      <c r="H45" s="66">
        <f>+I49*H12</f>
        <v>26267.268959999998</v>
      </c>
      <c r="I45" s="32">
        <f>+I49</f>
        <v>6.4559999999999995</v>
      </c>
      <c r="J45" s="66">
        <f>+K49*J12</f>
        <v>26267.268959999998</v>
      </c>
      <c r="K45" s="32">
        <f>+K49</f>
        <v>6.4559999999999995</v>
      </c>
      <c r="L45" s="66">
        <f>+M49*L12</f>
        <v>26267.268959999998</v>
      </c>
      <c r="M45" s="32">
        <f>+M49</f>
        <v>6.4559999999999995</v>
      </c>
      <c r="N45" s="66">
        <f>+O49*N12</f>
        <v>26533.388956286159</v>
      </c>
      <c r="O45" s="32">
        <f>+O49</f>
        <v>6.5214072830578518</v>
      </c>
      <c r="P45" s="66">
        <f>+Q49*P12</f>
        <v>26562.371223570248</v>
      </c>
      <c r="Q45" s="32">
        <f>+Q49</f>
        <v>6.528530578512397</v>
      </c>
      <c r="R45" s="66">
        <f>+S49*R12</f>
        <v>26562.371223570248</v>
      </c>
      <c r="S45" s="32">
        <f>+S49</f>
        <v>6.528530578512397</v>
      </c>
      <c r="T45" s="66">
        <f>+U49*T12</f>
        <v>26562.371223570248</v>
      </c>
      <c r="U45" s="32">
        <f>+U49</f>
        <v>6.528530578512397</v>
      </c>
      <c r="V45" s="66">
        <f>+W49*V12</f>
        <v>26562.371223570248</v>
      </c>
      <c r="W45" s="32">
        <f>+W49</f>
        <v>6.528530578512397</v>
      </c>
      <c r="X45" s="66">
        <f>+Y49*X12</f>
        <v>26562.371223570248</v>
      </c>
      <c r="Y45" s="32">
        <f>+Y49</f>
        <v>6.528530578512397</v>
      </c>
      <c r="Z45" s="66">
        <f>+AA49*Z12</f>
        <v>26562.371223570248</v>
      </c>
      <c r="AA45" s="32">
        <f>+AA49</f>
        <v>6.528530578512397</v>
      </c>
      <c r="AB45" s="66">
        <f>+AC49*AB12</f>
        <v>26562.371223570248</v>
      </c>
      <c r="AC45" s="32">
        <f>+AC49</f>
        <v>6.528530578512397</v>
      </c>
      <c r="AD45" s="66">
        <f>+AE49*AD12</f>
        <v>26562.371223570248</v>
      </c>
      <c r="AE45" s="32">
        <f>+AE49</f>
        <v>6.528530578512397</v>
      </c>
      <c r="AF45" s="66">
        <f>+AG49*AF12</f>
        <v>26562.371223570248</v>
      </c>
      <c r="AG45" s="32">
        <f>+AG49</f>
        <v>6.528530578512397</v>
      </c>
      <c r="AH45" s="66">
        <f>+AI49*AH12</f>
        <v>26562.371223570248</v>
      </c>
      <c r="AI45" s="32">
        <f>+AI49</f>
        <v>6.528530578512397</v>
      </c>
      <c r="AJ45" s="66">
        <f>+AK49*AJ12</f>
        <v>26562.371223570248</v>
      </c>
      <c r="AK45" s="32">
        <f>+AK49</f>
        <v>6.528530578512397</v>
      </c>
      <c r="AL45" s="66">
        <f t="shared" ref="AL45" si="628">+AM49*AL12</f>
        <v>26562.371223570248</v>
      </c>
      <c r="AM45" s="32">
        <f t="shared" ref="AM45" si="629">+AM49</f>
        <v>6.528530578512397</v>
      </c>
      <c r="AN45" s="66">
        <f t="shared" ref="AN45:AP45" si="630">+AO49*AN12</f>
        <v>26562.371223570248</v>
      </c>
      <c r="AO45" s="32">
        <f t="shared" ref="AO45:AQ45" si="631">+AO49</f>
        <v>6.528530578512397</v>
      </c>
      <c r="AP45" s="66">
        <f t="shared" si="630"/>
        <v>26562.371223570248</v>
      </c>
      <c r="AQ45" s="32">
        <f t="shared" si="631"/>
        <v>6.528530578512397</v>
      </c>
      <c r="AR45" s="66">
        <f t="shared" ref="AR45" si="632">+AS49*AR12</f>
        <v>26562.371223570248</v>
      </c>
      <c r="AS45" s="32">
        <f t="shared" ref="AS45" si="633">+AS49</f>
        <v>6.528530578512397</v>
      </c>
      <c r="AT45" s="66">
        <f t="shared" ref="AT45" si="634">+AU49*AT12</f>
        <v>26562.371223570248</v>
      </c>
      <c r="AU45" s="32">
        <f t="shared" ref="AU45" si="635">+AU49</f>
        <v>6.528530578512397</v>
      </c>
      <c r="AV45" s="66">
        <f t="shared" ref="AV45" si="636">+AW49*AV12</f>
        <v>26562.371223570248</v>
      </c>
      <c r="AW45" s="32">
        <f t="shared" ref="AW45" si="637">+AW49</f>
        <v>6.528530578512397</v>
      </c>
      <c r="AX45" s="66">
        <f t="shared" ref="AX45" si="638">+AY49*AX12</f>
        <v>26562.371223570248</v>
      </c>
      <c r="AY45" s="32">
        <f t="shared" ref="AY45" si="639">+AY49</f>
        <v>6.528530578512397</v>
      </c>
      <c r="AZ45" s="66">
        <f t="shared" ref="AZ45" si="640">+BA49*AZ12</f>
        <v>26562.371223570248</v>
      </c>
      <c r="BA45" s="32">
        <f t="shared" ref="BA45:BC45" si="641">+BA49</f>
        <v>6.528530578512397</v>
      </c>
      <c r="BB45" s="66">
        <f t="shared" ref="BB45" si="642">+BC49*BB12</f>
        <v>26562.371223570248</v>
      </c>
      <c r="BC45" s="32">
        <f t="shared" si="641"/>
        <v>6.528530578512397</v>
      </c>
      <c r="BD45" s="66">
        <f t="shared" ref="BD45" si="643">+BE49*BD12</f>
        <v>26562.371223570248</v>
      </c>
      <c r="BE45" s="32">
        <f t="shared" ref="BE45:BK45" si="644">+BE49</f>
        <v>6.528530578512397</v>
      </c>
      <c r="BF45" s="66">
        <f t="shared" ref="BF45" si="645">+BG49*BF12</f>
        <v>26562.371223570248</v>
      </c>
      <c r="BG45" s="32">
        <f t="shared" si="644"/>
        <v>6.528530578512397</v>
      </c>
      <c r="BH45" s="66">
        <f t="shared" ref="BH45" si="646">+BI49*BH12</f>
        <v>26562.371223570248</v>
      </c>
      <c r="BI45" s="32">
        <f t="shared" si="644"/>
        <v>6.528530578512397</v>
      </c>
      <c r="BJ45" s="66">
        <f t="shared" ref="BJ45" si="647">+BK49*BJ12</f>
        <v>26562.759595661155</v>
      </c>
      <c r="BK45" s="32">
        <f t="shared" si="644"/>
        <v>6.5286260330578507</v>
      </c>
      <c r="BL45" s="66">
        <f t="shared" ref="BL45" si="648">+BM49*BL12</f>
        <v>26562.759595661155</v>
      </c>
      <c r="BM45" s="32">
        <f t="shared" ref="BM45:BO45" si="649">+BM49</f>
        <v>6.5286260330578507</v>
      </c>
      <c r="BN45" s="66">
        <f t="shared" ref="BN45" si="650">+BO49*BN12</f>
        <v>26562.759595661155</v>
      </c>
      <c r="BO45" s="32">
        <f t="shared" si="649"/>
        <v>6.5286260330578507</v>
      </c>
      <c r="BP45" s="66">
        <f t="shared" ref="BP45" si="651">+BQ49*BP12</f>
        <v>26562.759595661155</v>
      </c>
      <c r="BQ45" s="32">
        <f t="shared" ref="BQ45:BS45" si="652">+BQ49</f>
        <v>6.5286260330578507</v>
      </c>
      <c r="BR45" s="66">
        <f t="shared" ref="BR45" si="653">+BS49*BR12</f>
        <v>26562.759595661155</v>
      </c>
      <c r="BS45" s="32">
        <f t="shared" si="652"/>
        <v>6.5286260330578507</v>
      </c>
      <c r="BT45" s="66">
        <f t="shared" ref="BT45" si="654">+BU49*BT12</f>
        <v>26562.759595661155</v>
      </c>
      <c r="BU45" s="32">
        <f t="shared" ref="BU45:BW45" si="655">+BU49</f>
        <v>6.5286260330578507</v>
      </c>
      <c r="BV45" s="66">
        <f t="shared" ref="BV45" si="656">+BW49*BV12</f>
        <v>26562.759595661155</v>
      </c>
      <c r="BW45" s="32">
        <f t="shared" si="655"/>
        <v>6.5286260330578507</v>
      </c>
      <c r="BX45" s="66">
        <f t="shared" ref="BX45" si="657">+BY49*BX12</f>
        <v>26562.759595661155</v>
      </c>
      <c r="BY45" s="32">
        <f t="shared" ref="BY45:CA45" si="658">+BY49</f>
        <v>6.5286260330578507</v>
      </c>
      <c r="BZ45" s="66">
        <f t="shared" ref="BZ45" si="659">+CA49*BZ12</f>
        <v>26562.759595661155</v>
      </c>
      <c r="CA45" s="32">
        <f t="shared" si="658"/>
        <v>6.5286260330578507</v>
      </c>
      <c r="CB45" s="66">
        <f t="shared" ref="CB45" si="660">+CC49*CB12</f>
        <v>26562.759595661155</v>
      </c>
      <c r="CC45" s="32">
        <f t="shared" ref="CC45:CE45" si="661">+CC49</f>
        <v>6.5286260330578507</v>
      </c>
      <c r="CD45" s="66">
        <f t="shared" ref="CD45" si="662">+CE49*CD12</f>
        <v>26490.48581925</v>
      </c>
      <c r="CE45" s="32">
        <f t="shared" si="661"/>
        <v>6.5108625</v>
      </c>
      <c r="CF45" s="66">
        <f t="shared" ref="CF45" si="663">+CG49*CF12</f>
        <v>26490.48581925</v>
      </c>
      <c r="CG45" s="32">
        <f t="shared" ref="CG45:CI45" si="664">+CG49</f>
        <v>6.5108625</v>
      </c>
      <c r="CH45" s="66">
        <f t="shared" ref="CH45" si="665">+CI49*CH12</f>
        <v>26490.48581925</v>
      </c>
      <c r="CI45" s="32">
        <f t="shared" si="664"/>
        <v>6.5108625</v>
      </c>
      <c r="CJ45" s="66">
        <f t="shared" ref="CJ45" si="666">+CK49*CJ12</f>
        <v>26490.48581925</v>
      </c>
      <c r="CK45" s="32">
        <f t="shared" ref="CK45" si="667">+CK49</f>
        <v>6.5108625</v>
      </c>
      <c r="CL45" s="66">
        <f t="shared" ref="CL45" si="668">+CM49*CL12</f>
        <v>26490.48581925</v>
      </c>
      <c r="CM45" s="32">
        <f t="shared" ref="CM45" si="669">+CM49</f>
        <v>6.5108625</v>
      </c>
      <c r="CN45" s="66">
        <f t="shared" ref="CN45" si="670">+CO49*CN12</f>
        <v>26562.759595661155</v>
      </c>
      <c r="CO45" s="32">
        <f t="shared" ref="CO45" si="671">+CO49</f>
        <v>6.5286260330578507</v>
      </c>
      <c r="CP45" s="66">
        <f>+CQ49*CP12</f>
        <v>26549.624472387368</v>
      </c>
      <c r="CQ45" s="32">
        <f>+CQ49</f>
        <v>6.5253976671403775</v>
      </c>
      <c r="CR45" s="66">
        <f>+CS49*CR12</f>
        <v>26562.371223570248</v>
      </c>
      <c r="CS45" s="32">
        <f>+CS49</f>
        <v>6.528530578512397</v>
      </c>
      <c r="CT45" s="66">
        <f>+CU49*CT12</f>
        <v>26562.371223570248</v>
      </c>
      <c r="CU45" s="32">
        <f>+CU49</f>
        <v>6.528530578512397</v>
      </c>
      <c r="CV45" s="66">
        <f>+CW49*CV12</f>
        <v>26562.371223570248</v>
      </c>
      <c r="CW45" s="32">
        <f>+CW49</f>
        <v>6.528530578512397</v>
      </c>
      <c r="CX45" s="66">
        <f>+CY49*CX12</f>
        <v>26555.980183714888</v>
      </c>
      <c r="CY45" s="32">
        <f>+CY49</f>
        <v>6.5269597812829998</v>
      </c>
      <c r="CZ45" s="66">
        <f>+DA49*CZ12</f>
        <v>26562.371223570248</v>
      </c>
      <c r="DA45" s="32">
        <f>+DA49</f>
        <v>6.528530578512397</v>
      </c>
      <c r="DB45" s="66">
        <f>+DC49*DB12</f>
        <v>27737.585170661154</v>
      </c>
      <c r="DC45" s="32">
        <f>+DC49</f>
        <v>6.817376033057851</v>
      </c>
      <c r="DD45" s="66">
        <f>+DE49*DD12</f>
        <v>26562.371223570248</v>
      </c>
      <c r="DE45" s="32">
        <f>+DE49</f>
        <v>6.528530578512397</v>
      </c>
      <c r="DF45" s="66">
        <f>+DG49*DF12</f>
        <v>26562.371223570248</v>
      </c>
      <c r="DG45" s="32">
        <f>+DG49</f>
        <v>6.528530578512397</v>
      </c>
    </row>
    <row r="46" spans="1:111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358"/>
      <c r="R46" s="27">
        <v>0</v>
      </c>
      <c r="S46" s="41"/>
      <c r="T46" s="352">
        <v>0</v>
      </c>
      <c r="U46" s="358"/>
      <c r="V46" s="352">
        <v>0</v>
      </c>
      <c r="W46" s="358"/>
      <c r="X46" s="27">
        <v>0</v>
      </c>
      <c r="Y46" s="41"/>
      <c r="Z46" s="352">
        <v>0</v>
      </c>
      <c r="AA46" s="358"/>
      <c r="AB46" s="27">
        <v>0</v>
      </c>
      <c r="AC46" s="41"/>
      <c r="AD46" s="352">
        <v>0</v>
      </c>
      <c r="AE46" s="358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27">
        <v>0</v>
      </c>
      <c r="AO46" s="41"/>
      <c r="AP46" s="27">
        <v>0</v>
      </c>
      <c r="AQ46" s="41"/>
      <c r="AR46" s="27">
        <v>0</v>
      </c>
      <c r="AS46" s="41"/>
      <c r="AT46" s="27">
        <v>0</v>
      </c>
      <c r="AU46" s="41"/>
      <c r="AV46" s="27">
        <v>0</v>
      </c>
      <c r="AW46" s="41"/>
      <c r="AX46" s="27">
        <v>0</v>
      </c>
      <c r="AY46" s="41"/>
      <c r="AZ46" s="27">
        <v>0</v>
      </c>
      <c r="BA46" s="41"/>
      <c r="BB46" s="27">
        <v>0</v>
      </c>
      <c r="BC46" s="41"/>
      <c r="BD46" s="27">
        <v>0</v>
      </c>
      <c r="BE46" s="41"/>
      <c r="BF46" s="27">
        <v>0</v>
      </c>
      <c r="BG46" s="41"/>
      <c r="BH46" s="27">
        <v>0</v>
      </c>
      <c r="BI46" s="41"/>
      <c r="BJ46" s="27">
        <v>0</v>
      </c>
      <c r="BK46" s="41"/>
      <c r="BL46" s="27">
        <v>0</v>
      </c>
      <c r="BM46" s="41"/>
      <c r="BN46" s="27">
        <v>0</v>
      </c>
      <c r="BO46" s="41"/>
      <c r="BP46" s="27">
        <v>0</v>
      </c>
      <c r="BQ46" s="41"/>
      <c r="BR46" s="27">
        <v>0</v>
      </c>
      <c r="BS46" s="41"/>
      <c r="BT46" s="27">
        <v>0</v>
      </c>
      <c r="BU46" s="41"/>
      <c r="BV46" s="27">
        <v>0</v>
      </c>
      <c r="BW46" s="41"/>
      <c r="BX46" s="27">
        <v>0</v>
      </c>
      <c r="BY46" s="41"/>
      <c r="BZ46" s="27">
        <v>0</v>
      </c>
      <c r="CA46" s="41"/>
      <c r="CB46" s="27">
        <v>0</v>
      </c>
      <c r="CC46" s="41"/>
      <c r="CD46" s="27">
        <v>0</v>
      </c>
      <c r="CE46" s="41"/>
      <c r="CF46" s="27">
        <v>0</v>
      </c>
      <c r="CG46" s="41"/>
      <c r="CH46" s="27">
        <v>0</v>
      </c>
      <c r="CI46" s="41"/>
      <c r="CJ46" s="27">
        <v>0</v>
      </c>
      <c r="CK46" s="41"/>
      <c r="CL46" s="27">
        <v>0</v>
      </c>
      <c r="CM46" s="41"/>
      <c r="CN46" s="27">
        <v>0</v>
      </c>
      <c r="CO46" s="41"/>
      <c r="CP46" s="352">
        <v>0</v>
      </c>
      <c r="CQ46" s="358"/>
      <c r="CR46" s="27">
        <v>0</v>
      </c>
      <c r="CS46" s="41"/>
      <c r="CT46" s="27">
        <v>0</v>
      </c>
      <c r="CU46" s="41"/>
      <c r="CV46" s="27">
        <v>0</v>
      </c>
      <c r="CW46" s="41"/>
      <c r="CX46" s="27">
        <v>0</v>
      </c>
      <c r="CY46" s="41"/>
      <c r="CZ46" s="27">
        <v>0</v>
      </c>
      <c r="DA46" s="41"/>
      <c r="DB46" s="27">
        <v>0</v>
      </c>
      <c r="DC46" s="41"/>
      <c r="DD46" s="27">
        <v>0</v>
      </c>
      <c r="DE46" s="41"/>
      <c r="DF46" s="27">
        <v>0</v>
      </c>
      <c r="DG46" s="41"/>
    </row>
    <row r="47" spans="1:111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364"/>
      <c r="O47" s="366"/>
      <c r="P47" s="364"/>
      <c r="Q47" s="366"/>
      <c r="R47" s="364"/>
      <c r="S47" s="366"/>
      <c r="T47" s="364"/>
      <c r="U47" s="366"/>
      <c r="V47" s="364"/>
      <c r="W47" s="366"/>
      <c r="X47" s="364"/>
      <c r="Y47" s="366"/>
      <c r="Z47" s="364"/>
      <c r="AA47" s="366"/>
      <c r="AB47" s="364"/>
      <c r="AC47" s="366"/>
      <c r="AD47" s="364"/>
      <c r="AE47" s="366"/>
      <c r="AF47" s="364"/>
      <c r="AG47" s="366"/>
      <c r="AH47" s="364"/>
      <c r="AI47" s="366"/>
      <c r="AJ47" s="364"/>
      <c r="AK47" s="366"/>
      <c r="AL47" s="364"/>
      <c r="AM47" s="366"/>
      <c r="AN47" s="364"/>
      <c r="AO47" s="366"/>
      <c r="AP47" s="364"/>
      <c r="AQ47" s="366"/>
      <c r="AR47" s="364"/>
      <c r="AS47" s="366"/>
      <c r="AT47" s="364"/>
      <c r="AU47" s="366"/>
      <c r="AV47" s="364"/>
      <c r="AW47" s="366"/>
      <c r="AX47" s="364"/>
      <c r="AY47" s="366"/>
      <c r="AZ47" s="364"/>
      <c r="BA47" s="366"/>
      <c r="BB47" s="364"/>
      <c r="BC47" s="366"/>
      <c r="BD47" s="364"/>
      <c r="BE47" s="366"/>
      <c r="BF47" s="364"/>
      <c r="BG47" s="366"/>
      <c r="BH47" s="364"/>
      <c r="BI47" s="366"/>
      <c r="BJ47" s="364"/>
      <c r="BK47" s="366"/>
      <c r="BL47" s="364"/>
      <c r="BM47" s="366"/>
      <c r="BN47" s="364"/>
      <c r="BO47" s="366"/>
      <c r="BP47" s="364"/>
      <c r="BQ47" s="366"/>
      <c r="BR47" s="364"/>
      <c r="BS47" s="366"/>
      <c r="BT47" s="364"/>
      <c r="BU47" s="366"/>
      <c r="BV47" s="364"/>
      <c r="BW47" s="366"/>
      <c r="BX47" s="364"/>
      <c r="BY47" s="366"/>
      <c r="BZ47" s="364"/>
      <c r="CA47" s="366"/>
      <c r="CB47" s="364"/>
      <c r="CC47" s="366"/>
      <c r="CD47" s="364"/>
      <c r="CE47" s="366"/>
      <c r="CF47" s="364"/>
      <c r="CG47" s="366"/>
      <c r="CH47" s="364"/>
      <c r="CI47" s="366"/>
      <c r="CJ47" s="364"/>
      <c r="CK47" s="366"/>
      <c r="CL47" s="364"/>
      <c r="CM47" s="366"/>
      <c r="CN47" s="364"/>
      <c r="CO47" s="366"/>
      <c r="CP47" s="364"/>
      <c r="CQ47" s="366"/>
      <c r="CR47" s="364"/>
      <c r="CS47" s="366"/>
      <c r="CT47" s="364"/>
      <c r="CU47" s="366"/>
      <c r="CV47" s="364"/>
      <c r="CW47" s="366"/>
      <c r="CX47" s="364"/>
      <c r="CY47" s="366"/>
      <c r="CZ47" s="364"/>
      <c r="DA47" s="366"/>
      <c r="DB47" s="364"/>
      <c r="DC47" s="366"/>
      <c r="DD47" s="364"/>
      <c r="DE47" s="366"/>
      <c r="DF47" s="364"/>
      <c r="DG47" s="366"/>
    </row>
    <row r="48" spans="1:111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O48" si="672">+F49/F10</f>
        <v>644.93346824999992</v>
      </c>
      <c r="G48" s="70">
        <f t="shared" si="672"/>
        <v>0.1585125</v>
      </c>
      <c r="H48" s="69">
        <f t="shared" si="672"/>
        <v>656.68172399999992</v>
      </c>
      <c r="I48" s="70">
        <f t="shared" si="672"/>
        <v>0.16139999999999999</v>
      </c>
      <c r="J48" s="69">
        <f t="shared" ref="J48:M48" si="673">+J49/J10</f>
        <v>656.68172399999992</v>
      </c>
      <c r="K48" s="70">
        <f t="shared" si="673"/>
        <v>0.16139999999999999</v>
      </c>
      <c r="L48" s="69">
        <f t="shared" si="673"/>
        <v>656.68172399999992</v>
      </c>
      <c r="M48" s="70">
        <f t="shared" si="673"/>
        <v>0.16139999999999999</v>
      </c>
      <c r="N48" s="69">
        <f t="shared" si="672"/>
        <v>663.33472390715394</v>
      </c>
      <c r="O48" s="70">
        <f t="shared" si="672"/>
        <v>0.16303518207644629</v>
      </c>
      <c r="P48" s="69">
        <f t="shared" ref="P48:U48" si="674">+P49/P10</f>
        <v>664.05928058925622</v>
      </c>
      <c r="Q48" s="70">
        <f t="shared" si="674"/>
        <v>0.16321326446280993</v>
      </c>
      <c r="R48" s="69">
        <f t="shared" si="674"/>
        <v>664.05928058925622</v>
      </c>
      <c r="S48" s="70">
        <f t="shared" si="674"/>
        <v>0.16321326446280993</v>
      </c>
      <c r="T48" s="69">
        <f t="shared" si="674"/>
        <v>664.05928058925622</v>
      </c>
      <c r="U48" s="70">
        <f t="shared" si="674"/>
        <v>0.16321326446280993</v>
      </c>
      <c r="V48" s="69">
        <f t="shared" ref="V48:Y48" si="675">+V49/V10</f>
        <v>664.05928058925622</v>
      </c>
      <c r="W48" s="70">
        <f t="shared" si="675"/>
        <v>0.16321326446280993</v>
      </c>
      <c r="X48" s="69">
        <f t="shared" si="675"/>
        <v>664.05928058925622</v>
      </c>
      <c r="Y48" s="70">
        <f t="shared" si="675"/>
        <v>0.16321326446280993</v>
      </c>
      <c r="Z48" s="69">
        <f t="shared" ref="Z48:AG48" si="676">+Z49/Z10</f>
        <v>664.05928058925622</v>
      </c>
      <c r="AA48" s="70">
        <f t="shared" si="676"/>
        <v>0.16321326446280993</v>
      </c>
      <c r="AB48" s="69">
        <f t="shared" si="676"/>
        <v>664.05928058925622</v>
      </c>
      <c r="AC48" s="70">
        <f t="shared" si="676"/>
        <v>0.16321326446280993</v>
      </c>
      <c r="AD48" s="69">
        <f t="shared" si="676"/>
        <v>664.05928058925622</v>
      </c>
      <c r="AE48" s="70">
        <f t="shared" si="676"/>
        <v>0.16321326446280993</v>
      </c>
      <c r="AF48" s="69">
        <f t="shared" si="676"/>
        <v>664.05928058925622</v>
      </c>
      <c r="AG48" s="70">
        <f t="shared" si="676"/>
        <v>0.16321326446280993</v>
      </c>
      <c r="AH48" s="69">
        <f t="shared" ref="AH48:CS48" si="677">+AH49/AH10</f>
        <v>664.05928058925622</v>
      </c>
      <c r="AI48" s="70">
        <f t="shared" si="677"/>
        <v>0.16321326446280993</v>
      </c>
      <c r="AJ48" s="69">
        <f t="shared" ref="AJ48:AK48" si="678">+AJ49/AJ10</f>
        <v>664.05928058925622</v>
      </c>
      <c r="AK48" s="70">
        <f t="shared" si="678"/>
        <v>0.16321326446280993</v>
      </c>
      <c r="AL48" s="69">
        <f t="shared" ref="AL48:AO48" si="679">+AL49/AL10</f>
        <v>664.05928058925622</v>
      </c>
      <c r="AM48" s="70">
        <f t="shared" si="679"/>
        <v>0.16321326446280993</v>
      </c>
      <c r="AN48" s="69">
        <f t="shared" si="679"/>
        <v>664.05928058925622</v>
      </c>
      <c r="AO48" s="70">
        <f t="shared" si="679"/>
        <v>0.16321326446280993</v>
      </c>
      <c r="AP48" s="69">
        <f t="shared" ref="AP48:AU48" si="680">+AP49/AP10</f>
        <v>664.05928058925622</v>
      </c>
      <c r="AQ48" s="70">
        <f t="shared" si="680"/>
        <v>0.16321326446280993</v>
      </c>
      <c r="AR48" s="69">
        <f t="shared" si="680"/>
        <v>664.05928058925622</v>
      </c>
      <c r="AS48" s="70">
        <f t="shared" si="680"/>
        <v>0.16321326446280993</v>
      </c>
      <c r="AT48" s="69">
        <f t="shared" si="680"/>
        <v>664.05928058925622</v>
      </c>
      <c r="AU48" s="70">
        <f t="shared" si="680"/>
        <v>0.16321326446280993</v>
      </c>
      <c r="AV48" s="69">
        <f t="shared" ref="AV48:BA48" si="681">+AV49/AV10</f>
        <v>664.05928058925622</v>
      </c>
      <c r="AW48" s="70">
        <f t="shared" si="681"/>
        <v>0.16321326446280993</v>
      </c>
      <c r="AX48" s="69">
        <f t="shared" si="681"/>
        <v>664.05928058925622</v>
      </c>
      <c r="AY48" s="70">
        <f t="shared" si="681"/>
        <v>0.16321326446280993</v>
      </c>
      <c r="AZ48" s="69">
        <f t="shared" si="681"/>
        <v>664.05928058925622</v>
      </c>
      <c r="BA48" s="70">
        <f t="shared" si="681"/>
        <v>0.16321326446280993</v>
      </c>
      <c r="BB48" s="69">
        <f t="shared" ref="BB48:BC48" si="682">+BB49/BB10</f>
        <v>664.05928058925622</v>
      </c>
      <c r="BC48" s="70">
        <f t="shared" si="682"/>
        <v>0.16321326446280993</v>
      </c>
      <c r="BD48" s="69">
        <f t="shared" ref="BD48:BK48" si="683">+BD49/BD10</f>
        <v>664.05928058925622</v>
      </c>
      <c r="BE48" s="70">
        <f t="shared" si="683"/>
        <v>0.16321326446280993</v>
      </c>
      <c r="BF48" s="69">
        <f t="shared" si="683"/>
        <v>664.05928058925622</v>
      </c>
      <c r="BG48" s="70">
        <f t="shared" si="683"/>
        <v>0.16321326446280993</v>
      </c>
      <c r="BH48" s="69">
        <f t="shared" si="683"/>
        <v>664.05928058925622</v>
      </c>
      <c r="BI48" s="70">
        <f t="shared" si="683"/>
        <v>0.16321326446280993</v>
      </c>
      <c r="BJ48" s="69">
        <f t="shared" si="683"/>
        <v>664.06898989152887</v>
      </c>
      <c r="BK48" s="70">
        <f t="shared" si="683"/>
        <v>0.16321565082644626</v>
      </c>
      <c r="BL48" s="69">
        <f t="shared" ref="BL48:BM48" si="684">+BL49/BL10</f>
        <v>664.06898989152887</v>
      </c>
      <c r="BM48" s="70">
        <f t="shared" si="684"/>
        <v>0.16321565082644626</v>
      </c>
      <c r="BN48" s="69">
        <f t="shared" ref="BN48:BO48" si="685">+BN49/BN10</f>
        <v>664.06898989152887</v>
      </c>
      <c r="BO48" s="70">
        <f t="shared" si="685"/>
        <v>0.16321565082644626</v>
      </c>
      <c r="BP48" s="69">
        <f t="shared" ref="BP48:BQ48" si="686">+BP49/BP10</f>
        <v>664.06898989152887</v>
      </c>
      <c r="BQ48" s="70">
        <f t="shared" si="686"/>
        <v>0.16321565082644626</v>
      </c>
      <c r="BR48" s="69">
        <f t="shared" ref="BR48:BS48" si="687">+BR49/BR10</f>
        <v>664.06898989152887</v>
      </c>
      <c r="BS48" s="70">
        <f t="shared" si="687"/>
        <v>0.16321565082644626</v>
      </c>
      <c r="BT48" s="69">
        <f t="shared" ref="BT48:BU48" si="688">+BT49/BT10</f>
        <v>664.06898989152887</v>
      </c>
      <c r="BU48" s="70">
        <f t="shared" si="688"/>
        <v>0.16321565082644626</v>
      </c>
      <c r="BV48" s="69">
        <f t="shared" ref="BV48:BW48" si="689">+BV49/BV10</f>
        <v>664.06898989152887</v>
      </c>
      <c r="BW48" s="70">
        <f t="shared" si="689"/>
        <v>0.16321565082644626</v>
      </c>
      <c r="BX48" s="69">
        <f t="shared" ref="BX48:BY48" si="690">+BX49/BX10</f>
        <v>664.06898989152887</v>
      </c>
      <c r="BY48" s="70">
        <f t="shared" si="690"/>
        <v>0.16321565082644626</v>
      </c>
      <c r="BZ48" s="69">
        <f t="shared" ref="BZ48:CA48" si="691">+BZ49/BZ10</f>
        <v>664.06898989152887</v>
      </c>
      <c r="CA48" s="70">
        <f t="shared" si="691"/>
        <v>0.16321565082644626</v>
      </c>
      <c r="CB48" s="69">
        <f t="shared" ref="CB48:CC48" si="692">+CB49/CB10</f>
        <v>664.06898989152887</v>
      </c>
      <c r="CC48" s="70">
        <f t="shared" si="692"/>
        <v>0.16321565082644626</v>
      </c>
      <c r="CD48" s="69">
        <f t="shared" ref="CD48:CE48" si="693">+CD49/CD10</f>
        <v>662.26214548124995</v>
      </c>
      <c r="CE48" s="70">
        <f t="shared" si="693"/>
        <v>0.16277156249999999</v>
      </c>
      <c r="CF48" s="69">
        <f t="shared" ref="CF48:CG48" si="694">+CF49/CF10</f>
        <v>662.26214548124995</v>
      </c>
      <c r="CG48" s="70">
        <f t="shared" si="694"/>
        <v>0.16277156249999999</v>
      </c>
      <c r="CH48" s="69">
        <f t="shared" ref="CH48:CK48" si="695">+CH49/CH10</f>
        <v>662.26214548124995</v>
      </c>
      <c r="CI48" s="70">
        <f t="shared" si="695"/>
        <v>0.16277156249999999</v>
      </c>
      <c r="CJ48" s="69">
        <f t="shared" si="695"/>
        <v>662.26214548124995</v>
      </c>
      <c r="CK48" s="70">
        <f t="shared" si="695"/>
        <v>0.16277156249999999</v>
      </c>
      <c r="CL48" s="69">
        <f t="shared" ref="CL48:CM48" si="696">+CL49/CL10</f>
        <v>662.26214548124995</v>
      </c>
      <c r="CM48" s="70">
        <f t="shared" si="696"/>
        <v>0.16277156249999999</v>
      </c>
      <c r="CN48" s="69">
        <f t="shared" ref="CN48:CO48" si="697">+CN49/CN10</f>
        <v>664.06898989152887</v>
      </c>
      <c r="CO48" s="70">
        <f t="shared" si="697"/>
        <v>0.16321565082644626</v>
      </c>
      <c r="CP48" s="69">
        <f t="shared" si="677"/>
        <v>663.7406118096842</v>
      </c>
      <c r="CQ48" s="70">
        <f t="shared" si="677"/>
        <v>0.16313494167850945</v>
      </c>
      <c r="CR48" s="69">
        <f t="shared" si="677"/>
        <v>664.05928058925622</v>
      </c>
      <c r="CS48" s="70">
        <f t="shared" si="677"/>
        <v>0.16321326446280993</v>
      </c>
      <c r="CT48" s="69">
        <f t="shared" ref="CT48:CU48" si="698">+CT49/CT10</f>
        <v>664.05928058925622</v>
      </c>
      <c r="CU48" s="70">
        <f t="shared" si="698"/>
        <v>0.16321326446280993</v>
      </c>
      <c r="CV48" s="69">
        <f t="shared" ref="CV48:CY48" si="699">+CV49/CV10</f>
        <v>664.05928058925622</v>
      </c>
      <c r="CW48" s="70">
        <f t="shared" si="699"/>
        <v>0.16321326446280993</v>
      </c>
      <c r="CX48" s="69">
        <f t="shared" si="699"/>
        <v>663.89950459287218</v>
      </c>
      <c r="CY48" s="70">
        <f t="shared" si="699"/>
        <v>0.16317399453207498</v>
      </c>
      <c r="CZ48" s="69">
        <f t="shared" ref="CZ48:DA48" si="700">+CZ49/CZ10</f>
        <v>664.05928058925622</v>
      </c>
      <c r="DA48" s="70">
        <f t="shared" si="700"/>
        <v>0.16321326446280993</v>
      </c>
      <c r="DB48" s="69">
        <f t="shared" ref="DB48:DC48" si="701">+DB49/DB10</f>
        <v>693.43962926652887</v>
      </c>
      <c r="DC48" s="70">
        <f t="shared" si="701"/>
        <v>0.17043440082644629</v>
      </c>
      <c r="DD48" s="69">
        <f t="shared" ref="DD48:DE48" si="702">+DD49/DD10</f>
        <v>664.05928058925622</v>
      </c>
      <c r="DE48" s="70">
        <f t="shared" si="702"/>
        <v>0.16321326446280993</v>
      </c>
      <c r="DF48" s="69">
        <f t="shared" ref="DF48:DG48" si="703">+DF49/DF10</f>
        <v>664.05928058925622</v>
      </c>
      <c r="DG48" s="70">
        <f t="shared" si="703"/>
        <v>0.16321326446280993</v>
      </c>
    </row>
    <row r="49" spans="1:111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25797.338729999996</v>
      </c>
      <c r="G49" s="70">
        <f>+G50+G52+G56+G54</f>
        <v>6.3404999999999996</v>
      </c>
      <c r="H49" s="69">
        <f>+I49*H12</f>
        <v>26267.268959999998</v>
      </c>
      <c r="I49" s="70">
        <f>+I50+I52+I56+I54</f>
        <v>6.4559999999999995</v>
      </c>
      <c r="J49" s="69">
        <f>+K49*J12</f>
        <v>26267.268959999998</v>
      </c>
      <c r="K49" s="70">
        <f>+K50+K52+K56+K54</f>
        <v>6.4559999999999995</v>
      </c>
      <c r="L49" s="69">
        <f>+M49*L12</f>
        <v>26267.268959999998</v>
      </c>
      <c r="M49" s="70">
        <f>+M50+M52+M56+M54</f>
        <v>6.4559999999999995</v>
      </c>
      <c r="N49" s="69">
        <f>+O49*N12</f>
        <v>26533.388956286159</v>
      </c>
      <c r="O49" s="70">
        <f>+O50+O52+O56+O54</f>
        <v>6.5214072830578518</v>
      </c>
      <c r="P49" s="69">
        <f>+Q49*P12</f>
        <v>26562.371223570248</v>
      </c>
      <c r="Q49" s="70">
        <f>+Q50+Q52+Q56+Q54</f>
        <v>6.528530578512397</v>
      </c>
      <c r="R49" s="69">
        <f>+S49*R12</f>
        <v>26562.371223570248</v>
      </c>
      <c r="S49" s="70">
        <f>+S50+S52+S56+S54</f>
        <v>6.528530578512397</v>
      </c>
      <c r="T49" s="69">
        <f>+U49*T12</f>
        <v>26562.371223570248</v>
      </c>
      <c r="U49" s="70">
        <f>+U50+U52+U56+U54</f>
        <v>6.528530578512397</v>
      </c>
      <c r="V49" s="69">
        <f>+W49*V12</f>
        <v>26562.371223570248</v>
      </c>
      <c r="W49" s="70">
        <f>+W50+W52+W56+W54</f>
        <v>6.528530578512397</v>
      </c>
      <c r="X49" s="69">
        <f>+Y49*X12</f>
        <v>26562.371223570248</v>
      </c>
      <c r="Y49" s="70">
        <f>+Y50+Y52+Y56+Y54</f>
        <v>6.528530578512397</v>
      </c>
      <c r="Z49" s="69">
        <f>+AA49*Z12</f>
        <v>26562.371223570248</v>
      </c>
      <c r="AA49" s="70">
        <f>+AA50+AA52+AA56+AA54</f>
        <v>6.528530578512397</v>
      </c>
      <c r="AB49" s="69">
        <f>+AC49*AB12</f>
        <v>26562.371223570248</v>
      </c>
      <c r="AC49" s="70">
        <f>+AC50+AC52+AC56+AC54</f>
        <v>6.528530578512397</v>
      </c>
      <c r="AD49" s="69">
        <f>+AE49*AD12</f>
        <v>26562.371223570248</v>
      </c>
      <c r="AE49" s="70">
        <f>+AE50+AE52+AE56+AE54</f>
        <v>6.528530578512397</v>
      </c>
      <c r="AF49" s="69">
        <f>+AG49*AF12</f>
        <v>26562.371223570248</v>
      </c>
      <c r="AG49" s="70">
        <f>+AG50+AG52+AG56+AG54</f>
        <v>6.528530578512397</v>
      </c>
      <c r="AH49" s="69">
        <f>+AI49*AH12</f>
        <v>26562.371223570248</v>
      </c>
      <c r="AI49" s="70">
        <f>+AI50+AI52+AI56+AI54</f>
        <v>6.528530578512397</v>
      </c>
      <c r="AJ49" s="69">
        <f>+AK49*AJ12</f>
        <v>26562.371223570248</v>
      </c>
      <c r="AK49" s="70">
        <f>+AK50+AK52+AK56+AK54</f>
        <v>6.528530578512397</v>
      </c>
      <c r="AL49" s="69">
        <f t="shared" ref="AL49" si="704">+AM49*AL12</f>
        <v>26562.371223570248</v>
      </c>
      <c r="AM49" s="70">
        <f t="shared" ref="AM49" si="705">+AM50+AM52+AM56+AM54</f>
        <v>6.528530578512397</v>
      </c>
      <c r="AN49" s="69">
        <f t="shared" ref="AN49:AP49" si="706">+AO49*AN12</f>
        <v>26562.371223570248</v>
      </c>
      <c r="AO49" s="70">
        <f t="shared" ref="AO49" si="707">+AO50+AO52+AO56+AO54</f>
        <v>6.528530578512397</v>
      </c>
      <c r="AP49" s="69">
        <f t="shared" si="706"/>
        <v>26562.371223570248</v>
      </c>
      <c r="AQ49" s="70">
        <f t="shared" ref="AQ49" si="708">+AQ50+AQ52+AQ56+AQ54</f>
        <v>6.528530578512397</v>
      </c>
      <c r="AR49" s="69">
        <f t="shared" ref="AR49" si="709">+AS49*AR12</f>
        <v>26562.371223570248</v>
      </c>
      <c r="AS49" s="70">
        <f t="shared" ref="AS49" si="710">+AS50+AS52+AS56+AS54</f>
        <v>6.528530578512397</v>
      </c>
      <c r="AT49" s="69">
        <f t="shared" ref="AT49" si="711">+AU49*AT12</f>
        <v>26562.371223570248</v>
      </c>
      <c r="AU49" s="70">
        <f t="shared" ref="AU49" si="712">+AU50+AU52+AU56+AU54</f>
        <v>6.528530578512397</v>
      </c>
      <c r="AV49" s="69">
        <f t="shared" ref="AV49" si="713">+AW49*AV12</f>
        <v>26562.371223570248</v>
      </c>
      <c r="AW49" s="70">
        <f t="shared" ref="AW49" si="714">+AW50+AW52+AW56+AW54</f>
        <v>6.528530578512397</v>
      </c>
      <c r="AX49" s="69">
        <f t="shared" ref="AX49" si="715">+AY49*AX12</f>
        <v>26562.371223570248</v>
      </c>
      <c r="AY49" s="70">
        <f t="shared" ref="AY49" si="716">+AY50+AY52+AY56+AY54</f>
        <v>6.528530578512397</v>
      </c>
      <c r="AZ49" s="69">
        <f t="shared" ref="AZ49" si="717">+BA49*AZ12</f>
        <v>26562.371223570248</v>
      </c>
      <c r="BA49" s="70">
        <f t="shared" ref="BA49:BC49" si="718">+BA50+BA52+BA56+BA54</f>
        <v>6.528530578512397</v>
      </c>
      <c r="BB49" s="69">
        <f t="shared" ref="BB49" si="719">+BC49*BB12</f>
        <v>26562.371223570248</v>
      </c>
      <c r="BC49" s="70">
        <f t="shared" si="718"/>
        <v>6.528530578512397</v>
      </c>
      <c r="BD49" s="69">
        <f t="shared" ref="BD49" si="720">+BE49*BD12</f>
        <v>26562.371223570248</v>
      </c>
      <c r="BE49" s="70">
        <f t="shared" ref="BE49:BK49" si="721">+BE50+BE52+BE56+BE54</f>
        <v>6.528530578512397</v>
      </c>
      <c r="BF49" s="69">
        <f t="shared" ref="BF49" si="722">+BG49*BF12</f>
        <v>26562.371223570248</v>
      </c>
      <c r="BG49" s="70">
        <f t="shared" si="721"/>
        <v>6.528530578512397</v>
      </c>
      <c r="BH49" s="69">
        <f t="shared" ref="BH49" si="723">+BI49*BH12</f>
        <v>26562.371223570248</v>
      </c>
      <c r="BI49" s="70">
        <f t="shared" si="721"/>
        <v>6.528530578512397</v>
      </c>
      <c r="BJ49" s="69">
        <f t="shared" ref="BJ49" si="724">+BK49*BJ12</f>
        <v>26562.759595661155</v>
      </c>
      <c r="BK49" s="70">
        <f t="shared" si="721"/>
        <v>6.5286260330578507</v>
      </c>
      <c r="BL49" s="69">
        <f t="shared" ref="BL49" si="725">+BM49*BL12</f>
        <v>26562.759595661155</v>
      </c>
      <c r="BM49" s="70">
        <f t="shared" ref="BM49:BO49" si="726">+BM50+BM52+BM56+BM54</f>
        <v>6.5286260330578507</v>
      </c>
      <c r="BN49" s="69">
        <f t="shared" ref="BN49" si="727">+BO49*BN12</f>
        <v>26562.759595661155</v>
      </c>
      <c r="BO49" s="70">
        <f t="shared" si="726"/>
        <v>6.5286260330578507</v>
      </c>
      <c r="BP49" s="69">
        <f t="shared" ref="BP49" si="728">+BQ49*BP12</f>
        <v>26562.759595661155</v>
      </c>
      <c r="BQ49" s="70">
        <f t="shared" ref="BQ49:BS49" si="729">+BQ50+BQ52+BQ56+BQ54</f>
        <v>6.5286260330578507</v>
      </c>
      <c r="BR49" s="69">
        <f t="shared" ref="BR49" si="730">+BS49*BR12</f>
        <v>26562.759595661155</v>
      </c>
      <c r="BS49" s="70">
        <f t="shared" si="729"/>
        <v>6.5286260330578507</v>
      </c>
      <c r="BT49" s="69">
        <f t="shared" ref="BT49" si="731">+BU49*BT12</f>
        <v>26562.759595661155</v>
      </c>
      <c r="BU49" s="70">
        <f t="shared" ref="BU49:BW49" si="732">+BU50+BU52+BU56+BU54</f>
        <v>6.5286260330578507</v>
      </c>
      <c r="BV49" s="69">
        <f t="shared" ref="BV49" si="733">+BW49*BV12</f>
        <v>26562.759595661155</v>
      </c>
      <c r="BW49" s="70">
        <f t="shared" si="732"/>
        <v>6.5286260330578507</v>
      </c>
      <c r="BX49" s="69">
        <f t="shared" ref="BX49" si="734">+BY49*BX12</f>
        <v>26562.759595661155</v>
      </c>
      <c r="BY49" s="70">
        <f t="shared" ref="BY49:CA49" si="735">+BY50+BY52+BY56+BY54</f>
        <v>6.5286260330578507</v>
      </c>
      <c r="BZ49" s="69">
        <f t="shared" ref="BZ49" si="736">+CA49*BZ12</f>
        <v>26562.759595661155</v>
      </c>
      <c r="CA49" s="70">
        <f t="shared" si="735"/>
        <v>6.5286260330578507</v>
      </c>
      <c r="CB49" s="69">
        <f t="shared" ref="CB49" si="737">+CC49*CB12</f>
        <v>26562.759595661155</v>
      </c>
      <c r="CC49" s="70">
        <f t="shared" ref="CC49:CE49" si="738">+CC50+CC52+CC56+CC54</f>
        <v>6.5286260330578507</v>
      </c>
      <c r="CD49" s="69">
        <f t="shared" ref="CD49" si="739">+CE49*CD12</f>
        <v>26490.48581925</v>
      </c>
      <c r="CE49" s="70">
        <f t="shared" si="738"/>
        <v>6.5108625</v>
      </c>
      <c r="CF49" s="69">
        <f t="shared" ref="CF49" si="740">+CG49*CF12</f>
        <v>26490.48581925</v>
      </c>
      <c r="CG49" s="70">
        <f t="shared" ref="CG49:CI49" si="741">+CG50+CG52+CG56+CG54</f>
        <v>6.5108625</v>
      </c>
      <c r="CH49" s="69">
        <f t="shared" ref="CH49" si="742">+CI49*CH12</f>
        <v>26490.48581925</v>
      </c>
      <c r="CI49" s="70">
        <f t="shared" si="741"/>
        <v>6.5108625</v>
      </c>
      <c r="CJ49" s="69">
        <f t="shared" ref="CJ49" si="743">+CK49*CJ12</f>
        <v>26490.48581925</v>
      </c>
      <c r="CK49" s="70">
        <f t="shared" ref="CK49" si="744">+CK50+CK52+CK56+CK54</f>
        <v>6.5108625</v>
      </c>
      <c r="CL49" s="69">
        <f t="shared" ref="CL49" si="745">+CM49*CL12</f>
        <v>26490.48581925</v>
      </c>
      <c r="CM49" s="70">
        <f t="shared" ref="CM49" si="746">+CM50+CM52+CM56+CM54</f>
        <v>6.5108625</v>
      </c>
      <c r="CN49" s="69">
        <f t="shared" ref="CN49" si="747">+CO49*CN12</f>
        <v>26562.759595661155</v>
      </c>
      <c r="CO49" s="70">
        <f t="shared" ref="CO49" si="748">+CO50+CO52+CO56+CO54</f>
        <v>6.5286260330578507</v>
      </c>
      <c r="CP49" s="69">
        <f>+CQ49*CP12</f>
        <v>26549.624472387368</v>
      </c>
      <c r="CQ49" s="70">
        <f>+CQ50+CQ52+CQ56+CQ54</f>
        <v>6.5253976671403775</v>
      </c>
      <c r="CR49" s="69">
        <f>+CS49*CR12</f>
        <v>26562.371223570248</v>
      </c>
      <c r="CS49" s="70">
        <f>+CS50+CS52+CS56+CS54</f>
        <v>6.528530578512397</v>
      </c>
      <c r="CT49" s="69">
        <f>+CU49*CT12</f>
        <v>26562.371223570248</v>
      </c>
      <c r="CU49" s="70">
        <f>+CU50+CU52+CU56+CU54</f>
        <v>6.528530578512397</v>
      </c>
      <c r="CV49" s="69">
        <f>+CW49*CV12</f>
        <v>26562.371223570248</v>
      </c>
      <c r="CW49" s="70">
        <f>+CW50+CW52+CW56+CW54</f>
        <v>6.528530578512397</v>
      </c>
      <c r="CX49" s="69">
        <f>+CY49*CX12</f>
        <v>26555.980183714888</v>
      </c>
      <c r="CY49" s="70">
        <f>+CY50+CY52+CY56+CY54</f>
        <v>6.5269597812829998</v>
      </c>
      <c r="CZ49" s="69">
        <f>+DA49*CZ12</f>
        <v>26562.371223570248</v>
      </c>
      <c r="DA49" s="70">
        <f>+DA50+DA52+DA56+DA54</f>
        <v>6.528530578512397</v>
      </c>
      <c r="DB49" s="69">
        <f>+DC49*DB12</f>
        <v>27737.585170661154</v>
      </c>
      <c r="DC49" s="70">
        <f>+DC50+DC52+DC56+DC54</f>
        <v>6.817376033057851</v>
      </c>
      <c r="DD49" s="69">
        <f>+DE49*DD12</f>
        <v>26562.371223570248</v>
      </c>
      <c r="DE49" s="70">
        <f>+DE50+DE52+DE56+DE54</f>
        <v>6.528530578512397</v>
      </c>
      <c r="DF49" s="69">
        <f>+DG49*DF12</f>
        <v>26562.371223570248</v>
      </c>
      <c r="DG49" s="70">
        <f>+DG50+DG52+DG56+DG54</f>
        <v>6.528530578512397</v>
      </c>
    </row>
    <row r="50" spans="1:111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323"/>
      <c r="G50" s="72">
        <f>+G51*G56</f>
        <v>0.255</v>
      </c>
      <c r="H50" s="323"/>
      <c r="I50" s="72">
        <f>+I51*I56</f>
        <v>0.25999999999999995</v>
      </c>
      <c r="J50" s="323"/>
      <c r="K50" s="72">
        <f>+K51*K56</f>
        <v>0.25999999999999995</v>
      </c>
      <c r="L50" s="323"/>
      <c r="M50" s="72">
        <f>+M51*M56</f>
        <v>0.25999999999999995</v>
      </c>
      <c r="N50" s="367"/>
      <c r="O50" s="368">
        <f>+O51*O56</f>
        <v>0.26218750000000002</v>
      </c>
      <c r="P50" s="367"/>
      <c r="Q50" s="368">
        <f>+Q51*Q56</f>
        <v>0.26249586776859507</v>
      </c>
      <c r="R50" s="367"/>
      <c r="S50" s="368">
        <f>+S51*S56</f>
        <v>0.26249586776859507</v>
      </c>
      <c r="T50" s="367"/>
      <c r="U50" s="368">
        <f>+U51*U56</f>
        <v>0.26249586776859507</v>
      </c>
      <c r="V50" s="367"/>
      <c r="W50" s="368">
        <f>+W51*W56</f>
        <v>0.26249586776859507</v>
      </c>
      <c r="X50" s="367"/>
      <c r="Y50" s="368">
        <f>+Y51*Y56</f>
        <v>0.26249586776859507</v>
      </c>
      <c r="Z50" s="367"/>
      <c r="AA50" s="368">
        <f>+AA51*AA56</f>
        <v>0.26249586776859507</v>
      </c>
      <c r="AB50" s="367"/>
      <c r="AC50" s="368">
        <f>+AC51*AC56</f>
        <v>0.26249586776859507</v>
      </c>
      <c r="AD50" s="367"/>
      <c r="AE50" s="368">
        <f>+AE51*AE56</f>
        <v>0.26249586776859507</v>
      </c>
      <c r="AF50" s="367"/>
      <c r="AG50" s="368">
        <f>+AG51*AG56</f>
        <v>0.26249586776859507</v>
      </c>
      <c r="AH50" s="367"/>
      <c r="AI50" s="368">
        <f>+AI51*AI56</f>
        <v>0.26249586776859507</v>
      </c>
      <c r="AJ50" s="367"/>
      <c r="AK50" s="368">
        <f>+AK51*AK56</f>
        <v>0.26249586776859507</v>
      </c>
      <c r="AL50" s="367"/>
      <c r="AM50" s="368">
        <f t="shared" ref="AM50" si="749">+AM51*AM56</f>
        <v>0.26249586776859507</v>
      </c>
      <c r="AN50" s="367"/>
      <c r="AO50" s="368">
        <f t="shared" ref="AO50" si="750">+AO51*AO56</f>
        <v>0.26249586776859507</v>
      </c>
      <c r="AP50" s="367"/>
      <c r="AQ50" s="368">
        <f t="shared" ref="AQ50" si="751">+AQ51*AQ56</f>
        <v>0.26249586776859507</v>
      </c>
      <c r="AR50" s="367"/>
      <c r="AS50" s="368">
        <f t="shared" ref="AS50" si="752">+AS51*AS56</f>
        <v>0.26249586776859507</v>
      </c>
      <c r="AT50" s="367"/>
      <c r="AU50" s="368">
        <f t="shared" ref="AU50" si="753">+AU51*AU56</f>
        <v>0.26249586776859507</v>
      </c>
      <c r="AV50" s="367"/>
      <c r="AW50" s="368">
        <f t="shared" ref="AW50" si="754">+AW51*AW56</f>
        <v>0.26249586776859507</v>
      </c>
      <c r="AX50" s="367"/>
      <c r="AY50" s="368">
        <f t="shared" ref="AY50" si="755">+AY51*AY56</f>
        <v>0.26249586776859507</v>
      </c>
      <c r="AZ50" s="367"/>
      <c r="BA50" s="368">
        <f t="shared" ref="BA50:BC50" si="756">+BA51*BA56</f>
        <v>0.26249586776859507</v>
      </c>
      <c r="BB50" s="367"/>
      <c r="BC50" s="368">
        <f t="shared" si="756"/>
        <v>0.26249586776859507</v>
      </c>
      <c r="BD50" s="367"/>
      <c r="BE50" s="368">
        <f t="shared" ref="BE50:BK50" si="757">+BE51*BE56</f>
        <v>0.26249586776859507</v>
      </c>
      <c r="BF50" s="367"/>
      <c r="BG50" s="368">
        <f t="shared" si="757"/>
        <v>0.26249586776859507</v>
      </c>
      <c r="BH50" s="367"/>
      <c r="BI50" s="368">
        <f t="shared" si="757"/>
        <v>0.26249586776859507</v>
      </c>
      <c r="BJ50" s="367"/>
      <c r="BK50" s="368">
        <f t="shared" si="757"/>
        <v>0.26250000000000001</v>
      </c>
      <c r="BL50" s="367"/>
      <c r="BM50" s="368">
        <f t="shared" ref="BM50:BO50" si="758">+BM51*BM56</f>
        <v>0.26250000000000001</v>
      </c>
      <c r="BN50" s="367"/>
      <c r="BO50" s="368">
        <f t="shared" si="758"/>
        <v>0.26250000000000001</v>
      </c>
      <c r="BP50" s="367"/>
      <c r="BQ50" s="368">
        <f t="shared" ref="BQ50:BS50" si="759">+BQ51*BQ56</f>
        <v>0.26250000000000001</v>
      </c>
      <c r="BR50" s="367"/>
      <c r="BS50" s="368">
        <f t="shared" si="759"/>
        <v>0.26250000000000001</v>
      </c>
      <c r="BT50" s="367"/>
      <c r="BU50" s="368">
        <f t="shared" ref="BU50:BW50" si="760">+BU51*BU56</f>
        <v>0.26250000000000001</v>
      </c>
      <c r="BV50" s="367"/>
      <c r="BW50" s="368">
        <f t="shared" si="760"/>
        <v>0.26250000000000001</v>
      </c>
      <c r="BX50" s="367"/>
      <c r="BY50" s="368">
        <f t="shared" ref="BY50:CA50" si="761">+BY51*BY56</f>
        <v>0.26250000000000001</v>
      </c>
      <c r="BZ50" s="367"/>
      <c r="CA50" s="368">
        <f t="shared" si="761"/>
        <v>0.26250000000000001</v>
      </c>
      <c r="CB50" s="367"/>
      <c r="CC50" s="368">
        <f t="shared" ref="CC50:CE50" si="762">+CC51*CC56</f>
        <v>0.26250000000000001</v>
      </c>
      <c r="CD50" s="367"/>
      <c r="CE50" s="368">
        <f t="shared" si="762"/>
        <v>0.26237500000000002</v>
      </c>
      <c r="CF50" s="367"/>
      <c r="CG50" s="368">
        <f t="shared" ref="CG50:CI50" si="763">+CG51*CG56</f>
        <v>0.26237500000000002</v>
      </c>
      <c r="CH50" s="367"/>
      <c r="CI50" s="368">
        <f t="shared" si="763"/>
        <v>0.26237500000000002</v>
      </c>
      <c r="CJ50" s="367"/>
      <c r="CK50" s="368">
        <f t="shared" ref="CK50" si="764">+CK51*CK56</f>
        <v>0.26237500000000002</v>
      </c>
      <c r="CL50" s="367"/>
      <c r="CM50" s="368">
        <f t="shared" ref="CM50" si="765">+CM51*CM56</f>
        <v>0.26237500000000002</v>
      </c>
      <c r="CN50" s="367"/>
      <c r="CO50" s="368">
        <f t="shared" ref="CO50" si="766">+CO51*CO56</f>
        <v>0.26250000000000001</v>
      </c>
      <c r="CP50" s="367"/>
      <c r="CQ50" s="368">
        <f>+CQ51*CQ56</f>
        <v>0.26236024389967649</v>
      </c>
      <c r="CR50" s="367"/>
      <c r="CS50" s="368">
        <f>+CS51*CS56</f>
        <v>0.26249586776859507</v>
      </c>
      <c r="CT50" s="367"/>
      <c r="CU50" s="368">
        <f>+CU51*CU56</f>
        <v>0.26249586776859507</v>
      </c>
      <c r="CV50" s="367"/>
      <c r="CW50" s="368">
        <f>+CW51*CW56</f>
        <v>0.26249586776859507</v>
      </c>
      <c r="CX50" s="367"/>
      <c r="CY50" s="368">
        <f>+CY51*CY56</f>
        <v>0.26242786788853456</v>
      </c>
      <c r="CZ50" s="367"/>
      <c r="DA50" s="368">
        <f>+DA51*DA56</f>
        <v>0.26249586776859507</v>
      </c>
      <c r="DB50" s="367"/>
      <c r="DC50" s="368">
        <f>+DC51*DC56</f>
        <v>0.27500000000000002</v>
      </c>
      <c r="DD50" s="367"/>
      <c r="DE50" s="368">
        <f>+DE51*DE56</f>
        <v>0.26249586776859507</v>
      </c>
      <c r="DF50" s="367"/>
      <c r="DG50" s="368">
        <f>+DG51*DG56</f>
        <v>0.26249586776859507</v>
      </c>
    </row>
    <row r="51" spans="1:111" s="4" customFormat="1" ht="18" customHeight="1" x14ac:dyDescent="0.45">
      <c r="A51" s="561"/>
      <c r="B51" s="1184"/>
      <c r="C51" s="15" t="s">
        <v>56</v>
      </c>
      <c r="D51" s="16"/>
      <c r="E51" s="16"/>
      <c r="F51" s="73"/>
      <c r="G51" s="74">
        <v>0.05</v>
      </c>
      <c r="H51" s="73"/>
      <c r="I51" s="74">
        <v>0.05</v>
      </c>
      <c r="J51" s="73"/>
      <c r="K51" s="74">
        <v>0.05</v>
      </c>
      <c r="L51" s="73"/>
      <c r="M51" s="74">
        <v>0.05</v>
      </c>
      <c r="N51" s="369"/>
      <c r="O51" s="370">
        <v>0.05</v>
      </c>
      <c r="P51" s="369"/>
      <c r="Q51" s="370">
        <v>0.05</v>
      </c>
      <c r="R51" s="369"/>
      <c r="S51" s="370">
        <v>0.05</v>
      </c>
      <c r="T51" s="369"/>
      <c r="U51" s="370">
        <v>0.05</v>
      </c>
      <c r="V51" s="369"/>
      <c r="W51" s="370">
        <v>0.05</v>
      </c>
      <c r="X51" s="369"/>
      <c r="Y51" s="370">
        <v>0.05</v>
      </c>
      <c r="Z51" s="369"/>
      <c r="AA51" s="370">
        <v>0.05</v>
      </c>
      <c r="AB51" s="369"/>
      <c r="AC51" s="370">
        <v>0.05</v>
      </c>
      <c r="AD51" s="369"/>
      <c r="AE51" s="370">
        <v>0.05</v>
      </c>
      <c r="AF51" s="369"/>
      <c r="AG51" s="370">
        <v>0.05</v>
      </c>
      <c r="AH51" s="369"/>
      <c r="AI51" s="370">
        <v>0.05</v>
      </c>
      <c r="AJ51" s="369"/>
      <c r="AK51" s="370">
        <v>0.05</v>
      </c>
      <c r="AL51" s="369"/>
      <c r="AM51" s="370">
        <v>0.05</v>
      </c>
      <c r="AN51" s="369"/>
      <c r="AO51" s="370">
        <v>0.05</v>
      </c>
      <c r="AP51" s="369"/>
      <c r="AQ51" s="370">
        <v>0.05</v>
      </c>
      <c r="AR51" s="369"/>
      <c r="AS51" s="370">
        <v>0.05</v>
      </c>
      <c r="AT51" s="369"/>
      <c r="AU51" s="370">
        <v>0.05</v>
      </c>
      <c r="AV51" s="369"/>
      <c r="AW51" s="370">
        <v>0.05</v>
      </c>
      <c r="AX51" s="369"/>
      <c r="AY51" s="370">
        <v>0.05</v>
      </c>
      <c r="AZ51" s="369"/>
      <c r="BA51" s="370">
        <v>0.05</v>
      </c>
      <c r="BB51" s="369"/>
      <c r="BC51" s="370">
        <v>0.05</v>
      </c>
      <c r="BD51" s="369"/>
      <c r="BE51" s="370">
        <v>0.05</v>
      </c>
      <c r="BF51" s="369"/>
      <c r="BG51" s="370">
        <v>0.05</v>
      </c>
      <c r="BH51" s="369"/>
      <c r="BI51" s="370">
        <v>0.05</v>
      </c>
      <c r="BJ51" s="369"/>
      <c r="BK51" s="370">
        <v>0.05</v>
      </c>
      <c r="BL51" s="369"/>
      <c r="BM51" s="370">
        <v>0.05</v>
      </c>
      <c r="BN51" s="369"/>
      <c r="BO51" s="370">
        <v>0.05</v>
      </c>
      <c r="BP51" s="369"/>
      <c r="BQ51" s="370">
        <v>0.05</v>
      </c>
      <c r="BR51" s="369"/>
      <c r="BS51" s="370">
        <v>0.05</v>
      </c>
      <c r="BT51" s="369"/>
      <c r="BU51" s="370">
        <v>0.05</v>
      </c>
      <c r="BV51" s="369"/>
      <c r="BW51" s="370">
        <v>0.05</v>
      </c>
      <c r="BX51" s="369"/>
      <c r="BY51" s="370">
        <v>0.05</v>
      </c>
      <c r="BZ51" s="369"/>
      <c r="CA51" s="370">
        <v>0.05</v>
      </c>
      <c r="CB51" s="369"/>
      <c r="CC51" s="370">
        <v>0.05</v>
      </c>
      <c r="CD51" s="369"/>
      <c r="CE51" s="370">
        <v>0.05</v>
      </c>
      <c r="CF51" s="369"/>
      <c r="CG51" s="370">
        <v>0.05</v>
      </c>
      <c r="CH51" s="369"/>
      <c r="CI51" s="370">
        <v>0.05</v>
      </c>
      <c r="CJ51" s="369"/>
      <c r="CK51" s="370">
        <v>0.05</v>
      </c>
      <c r="CL51" s="369"/>
      <c r="CM51" s="370">
        <v>0.05</v>
      </c>
      <c r="CN51" s="369"/>
      <c r="CO51" s="370">
        <v>0.05</v>
      </c>
      <c r="CP51" s="369"/>
      <c r="CQ51" s="370">
        <v>0.05</v>
      </c>
      <c r="CR51" s="369"/>
      <c r="CS51" s="370">
        <v>0.05</v>
      </c>
      <c r="CT51" s="369"/>
      <c r="CU51" s="370">
        <v>0.05</v>
      </c>
      <c r="CV51" s="369"/>
      <c r="CW51" s="370">
        <v>0.05</v>
      </c>
      <c r="CX51" s="369"/>
      <c r="CY51" s="370">
        <v>0.05</v>
      </c>
      <c r="CZ51" s="369"/>
      <c r="DA51" s="370">
        <v>0.05</v>
      </c>
      <c r="DB51" s="369"/>
      <c r="DC51" s="370">
        <v>0.05</v>
      </c>
      <c r="DD51" s="369"/>
      <c r="DE51" s="370">
        <v>0.05</v>
      </c>
      <c r="DF51" s="369"/>
      <c r="DG51" s="370">
        <v>0.05</v>
      </c>
    </row>
    <row r="52" spans="1:111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323"/>
      <c r="G52" s="72">
        <f>$D$53/G66</f>
        <v>0.45</v>
      </c>
      <c r="H52" s="323"/>
      <c r="I52" s="72">
        <f>$D$53/I66</f>
        <v>0.45</v>
      </c>
      <c r="J52" s="323"/>
      <c r="K52" s="72">
        <f>$D$53/K66</f>
        <v>0.45</v>
      </c>
      <c r="L52" s="323"/>
      <c r="M52" s="72">
        <f>$D$53/M66</f>
        <v>0.45</v>
      </c>
      <c r="N52" s="367"/>
      <c r="O52" s="368">
        <f>$D$53/O66</f>
        <v>0.46487603305785125</v>
      </c>
      <c r="P52" s="367"/>
      <c r="Q52" s="368">
        <f>$D$53/Q66</f>
        <v>0.46487603305785125</v>
      </c>
      <c r="R52" s="367"/>
      <c r="S52" s="368">
        <f>$D$53/S66</f>
        <v>0.46487603305785125</v>
      </c>
      <c r="T52" s="367"/>
      <c r="U52" s="368">
        <f>$D$53/U66</f>
        <v>0.46487603305785125</v>
      </c>
      <c r="V52" s="367"/>
      <c r="W52" s="368">
        <f>$D$53/W66</f>
        <v>0.46487603305785125</v>
      </c>
      <c r="X52" s="367"/>
      <c r="Y52" s="368">
        <f>$D$53/Y66</f>
        <v>0.46487603305785125</v>
      </c>
      <c r="Z52" s="367"/>
      <c r="AA52" s="368">
        <f>$D$53/AA66</f>
        <v>0.46487603305785125</v>
      </c>
      <c r="AB52" s="367"/>
      <c r="AC52" s="368">
        <f>$D$53/AC66</f>
        <v>0.46487603305785125</v>
      </c>
      <c r="AD52" s="367"/>
      <c r="AE52" s="368">
        <f>$D$53/AE66</f>
        <v>0.46487603305785125</v>
      </c>
      <c r="AF52" s="367"/>
      <c r="AG52" s="368">
        <f>$D$53/AG66</f>
        <v>0.46487603305785125</v>
      </c>
      <c r="AH52" s="367"/>
      <c r="AI52" s="368">
        <f>$D$53/AI66</f>
        <v>0.46487603305785125</v>
      </c>
      <c r="AJ52" s="367"/>
      <c r="AK52" s="368">
        <f>$D$53/AK66</f>
        <v>0.46487603305785125</v>
      </c>
      <c r="AL52" s="367"/>
      <c r="AM52" s="368">
        <f t="shared" ref="AM52" si="767">$D$53/AM66</f>
        <v>0.46487603305785125</v>
      </c>
      <c r="AN52" s="367"/>
      <c r="AO52" s="368">
        <f t="shared" ref="AO52:AQ52" si="768">$D$53/AO66</f>
        <v>0.46487603305785125</v>
      </c>
      <c r="AP52" s="367"/>
      <c r="AQ52" s="368">
        <f t="shared" si="768"/>
        <v>0.46487603305785125</v>
      </c>
      <c r="AR52" s="367"/>
      <c r="AS52" s="368">
        <f t="shared" ref="AS52" si="769">$D$53/AS66</f>
        <v>0.46487603305785125</v>
      </c>
      <c r="AT52" s="367"/>
      <c r="AU52" s="368">
        <f t="shared" ref="AU52" si="770">$D$53/AU66</f>
        <v>0.46487603305785125</v>
      </c>
      <c r="AV52" s="367"/>
      <c r="AW52" s="368">
        <f t="shared" ref="AW52" si="771">$D$53/AW66</f>
        <v>0.46487603305785125</v>
      </c>
      <c r="AX52" s="367"/>
      <c r="AY52" s="368">
        <f t="shared" ref="AY52" si="772">$D$53/AY66</f>
        <v>0.46487603305785125</v>
      </c>
      <c r="AZ52" s="367"/>
      <c r="BA52" s="368">
        <f t="shared" ref="BA52:BC52" si="773">$D$53/BA66</f>
        <v>0.46487603305785125</v>
      </c>
      <c r="BB52" s="367"/>
      <c r="BC52" s="368">
        <f t="shared" si="773"/>
        <v>0.46487603305785125</v>
      </c>
      <c r="BD52" s="367"/>
      <c r="BE52" s="368">
        <f t="shared" ref="BE52:BK52" si="774">$D$53/BE66</f>
        <v>0.46487603305785125</v>
      </c>
      <c r="BF52" s="367"/>
      <c r="BG52" s="368">
        <f t="shared" si="774"/>
        <v>0.46487603305785125</v>
      </c>
      <c r="BH52" s="367"/>
      <c r="BI52" s="368">
        <f t="shared" si="774"/>
        <v>0.46487603305785125</v>
      </c>
      <c r="BJ52" s="367"/>
      <c r="BK52" s="368">
        <f t="shared" si="774"/>
        <v>0.46487603305785125</v>
      </c>
      <c r="BL52" s="367"/>
      <c r="BM52" s="368">
        <f t="shared" ref="BM52:BO52" si="775">$D$53/BM66</f>
        <v>0.46487603305785125</v>
      </c>
      <c r="BN52" s="367"/>
      <c r="BO52" s="368">
        <f t="shared" si="775"/>
        <v>0.46487603305785125</v>
      </c>
      <c r="BP52" s="367"/>
      <c r="BQ52" s="368">
        <f t="shared" ref="BQ52:BS52" si="776">$D$53/BQ66</f>
        <v>0.46487603305785125</v>
      </c>
      <c r="BR52" s="367"/>
      <c r="BS52" s="368">
        <f t="shared" si="776"/>
        <v>0.46487603305785125</v>
      </c>
      <c r="BT52" s="367"/>
      <c r="BU52" s="368">
        <f t="shared" ref="BU52:BW52" si="777">$D$53/BU66</f>
        <v>0.46487603305785125</v>
      </c>
      <c r="BV52" s="367"/>
      <c r="BW52" s="368">
        <f t="shared" si="777"/>
        <v>0.46487603305785125</v>
      </c>
      <c r="BX52" s="367"/>
      <c r="BY52" s="368">
        <f t="shared" ref="BY52:CA52" si="778">$D$53/BY66</f>
        <v>0.46487603305785125</v>
      </c>
      <c r="BZ52" s="367"/>
      <c r="CA52" s="368">
        <f t="shared" si="778"/>
        <v>0.46487603305785125</v>
      </c>
      <c r="CB52" s="367"/>
      <c r="CC52" s="368">
        <f t="shared" ref="CC52:CE52" si="779">$D$53/CC66</f>
        <v>0.46487603305785125</v>
      </c>
      <c r="CD52" s="367"/>
      <c r="CE52" s="368">
        <f t="shared" si="779"/>
        <v>0.45</v>
      </c>
      <c r="CF52" s="367"/>
      <c r="CG52" s="368">
        <f t="shared" ref="CG52:CI52" si="780">$D$53/CG66</f>
        <v>0.45</v>
      </c>
      <c r="CH52" s="367"/>
      <c r="CI52" s="368">
        <f t="shared" si="780"/>
        <v>0.45</v>
      </c>
      <c r="CJ52" s="367"/>
      <c r="CK52" s="368">
        <f t="shared" ref="CK52" si="781">$D$53/CK66</f>
        <v>0.45</v>
      </c>
      <c r="CL52" s="367"/>
      <c r="CM52" s="368">
        <f t="shared" ref="CM52" si="782">$D$53/CM66</f>
        <v>0.45</v>
      </c>
      <c r="CN52" s="367"/>
      <c r="CO52" s="368">
        <f t="shared" ref="CO52" si="783">$D$53/CO66</f>
        <v>0.46487603305785125</v>
      </c>
      <c r="CP52" s="367"/>
      <c r="CQ52" s="368">
        <f>$D$53/CQ66</f>
        <v>0.46487603305785125</v>
      </c>
      <c r="CR52" s="367"/>
      <c r="CS52" s="368">
        <f>$D$53/CS66</f>
        <v>0.46487603305785125</v>
      </c>
      <c r="CT52" s="367"/>
      <c r="CU52" s="368">
        <f>$D$53/CU66</f>
        <v>0.46487603305785125</v>
      </c>
      <c r="CV52" s="367"/>
      <c r="CW52" s="368">
        <f>$D$53/CW66</f>
        <v>0.46487603305785125</v>
      </c>
      <c r="CX52" s="367"/>
      <c r="CY52" s="368">
        <f>$D$53/CY66</f>
        <v>0.46487603305785125</v>
      </c>
      <c r="CZ52" s="367"/>
      <c r="DA52" s="368">
        <f>$D$53/DA66</f>
        <v>0.46487603305785125</v>
      </c>
      <c r="DB52" s="367"/>
      <c r="DC52" s="368">
        <f>$D$53/DC66</f>
        <v>0.46487603305785125</v>
      </c>
      <c r="DD52" s="367"/>
      <c r="DE52" s="368">
        <f>$D$53/DE66</f>
        <v>0.46487603305785125</v>
      </c>
      <c r="DF52" s="367"/>
      <c r="DG52" s="368">
        <f>$D$53/DG66</f>
        <v>0.46487603305785125</v>
      </c>
    </row>
    <row r="53" spans="1:111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73"/>
      <c r="G53" s="74">
        <f>G52/G56</f>
        <v>8.8235294117647065E-2</v>
      </c>
      <c r="H53" s="73"/>
      <c r="I53" s="74">
        <f>I52/I56</f>
        <v>8.653846153846155E-2</v>
      </c>
      <c r="J53" s="73"/>
      <c r="K53" s="74">
        <f>K52/K56</f>
        <v>8.653846153846155E-2</v>
      </c>
      <c r="L53" s="73"/>
      <c r="M53" s="74">
        <f>M52/M56</f>
        <v>8.653846153846155E-2</v>
      </c>
      <c r="N53" s="369"/>
      <c r="O53" s="370">
        <f>O52/O56</f>
        <v>8.8653355529506789E-2</v>
      </c>
      <c r="P53" s="369"/>
      <c r="Q53" s="370">
        <f>Q52/Q56</f>
        <v>8.8549209747496999E-2</v>
      </c>
      <c r="R53" s="369"/>
      <c r="S53" s="370">
        <f>S52/S56</f>
        <v>8.8549209747496999E-2</v>
      </c>
      <c r="T53" s="369"/>
      <c r="U53" s="370">
        <f>U52/U56</f>
        <v>8.8549209747496999E-2</v>
      </c>
      <c r="V53" s="369"/>
      <c r="W53" s="370">
        <f>W52/W56</f>
        <v>8.8549209747496999E-2</v>
      </c>
      <c r="X53" s="369"/>
      <c r="Y53" s="370">
        <f>Y52/Y56</f>
        <v>8.8549209747496999E-2</v>
      </c>
      <c r="Z53" s="369"/>
      <c r="AA53" s="370">
        <f>AA52/AA56</f>
        <v>8.8549209747496999E-2</v>
      </c>
      <c r="AB53" s="369"/>
      <c r="AC53" s="370">
        <f>AC52/AC56</f>
        <v>8.8549209747496999E-2</v>
      </c>
      <c r="AD53" s="369"/>
      <c r="AE53" s="370">
        <f>AE52/AE56</f>
        <v>8.8549209747496999E-2</v>
      </c>
      <c r="AF53" s="369"/>
      <c r="AG53" s="370">
        <f>AG52/AG56</f>
        <v>8.8549209747496999E-2</v>
      </c>
      <c r="AH53" s="369"/>
      <c r="AI53" s="370">
        <f>AI52/AI56</f>
        <v>8.8549209747496999E-2</v>
      </c>
      <c r="AJ53" s="369"/>
      <c r="AK53" s="370">
        <f>AK52/AK56</f>
        <v>8.8549209747496999E-2</v>
      </c>
      <c r="AL53" s="369"/>
      <c r="AM53" s="370">
        <f t="shared" ref="AM53" si="784">AM52/AM56</f>
        <v>8.8549209747496999E-2</v>
      </c>
      <c r="AN53" s="369"/>
      <c r="AO53" s="370">
        <f t="shared" ref="AO53" si="785">AO52/AO56</f>
        <v>8.8549209747496999E-2</v>
      </c>
      <c r="AP53" s="369"/>
      <c r="AQ53" s="370">
        <f t="shared" ref="AQ53" si="786">AQ52/AQ56</f>
        <v>8.8549209747496999E-2</v>
      </c>
      <c r="AR53" s="369"/>
      <c r="AS53" s="370">
        <f t="shared" ref="AS53" si="787">AS52/AS56</f>
        <v>8.8549209747496999E-2</v>
      </c>
      <c r="AT53" s="369"/>
      <c r="AU53" s="370">
        <f t="shared" ref="AU53" si="788">AU52/AU56</f>
        <v>8.8549209747496999E-2</v>
      </c>
      <c r="AV53" s="369"/>
      <c r="AW53" s="370">
        <f t="shared" ref="AW53" si="789">AW52/AW56</f>
        <v>8.8549209747496999E-2</v>
      </c>
      <c r="AX53" s="369"/>
      <c r="AY53" s="370">
        <f t="shared" ref="AY53" si="790">AY52/AY56</f>
        <v>8.8549209747496999E-2</v>
      </c>
      <c r="AZ53" s="369"/>
      <c r="BA53" s="370">
        <f t="shared" ref="BA53:BC53" si="791">BA52/BA56</f>
        <v>8.8549209747496999E-2</v>
      </c>
      <c r="BB53" s="369"/>
      <c r="BC53" s="370">
        <f t="shared" si="791"/>
        <v>8.8549209747496999E-2</v>
      </c>
      <c r="BD53" s="369"/>
      <c r="BE53" s="370">
        <f t="shared" ref="BE53:BK53" si="792">BE52/BE56</f>
        <v>8.8549209747496999E-2</v>
      </c>
      <c r="BF53" s="369"/>
      <c r="BG53" s="370">
        <f t="shared" si="792"/>
        <v>8.8549209747496999E-2</v>
      </c>
      <c r="BH53" s="369"/>
      <c r="BI53" s="370">
        <f t="shared" si="792"/>
        <v>8.8549209747496999E-2</v>
      </c>
      <c r="BJ53" s="369"/>
      <c r="BK53" s="370">
        <f t="shared" si="792"/>
        <v>8.8547815820543094E-2</v>
      </c>
      <c r="BL53" s="369"/>
      <c r="BM53" s="370">
        <f t="shared" ref="BM53:BO53" si="793">BM52/BM56</f>
        <v>8.8547815820543094E-2</v>
      </c>
      <c r="BN53" s="369"/>
      <c r="BO53" s="370">
        <f t="shared" si="793"/>
        <v>8.8547815820543094E-2</v>
      </c>
      <c r="BP53" s="369"/>
      <c r="BQ53" s="370">
        <f t="shared" ref="BQ53:BS53" si="794">BQ52/BQ56</f>
        <v>8.8547815820543094E-2</v>
      </c>
      <c r="BR53" s="369"/>
      <c r="BS53" s="370">
        <f t="shared" si="794"/>
        <v>8.8547815820543094E-2</v>
      </c>
      <c r="BT53" s="369"/>
      <c r="BU53" s="370">
        <f t="shared" ref="BU53:BW53" si="795">BU52/BU56</f>
        <v>8.8547815820543094E-2</v>
      </c>
      <c r="BV53" s="369"/>
      <c r="BW53" s="370">
        <f t="shared" si="795"/>
        <v>8.8547815820543094E-2</v>
      </c>
      <c r="BX53" s="369"/>
      <c r="BY53" s="370">
        <f t="shared" ref="BY53:CA53" si="796">BY52/BY56</f>
        <v>8.8547815820543094E-2</v>
      </c>
      <c r="BZ53" s="369"/>
      <c r="CA53" s="370">
        <f t="shared" si="796"/>
        <v>8.8547815820543094E-2</v>
      </c>
      <c r="CB53" s="369"/>
      <c r="CC53" s="370">
        <f t="shared" ref="CC53:CE53" si="797">CC52/CC56</f>
        <v>8.8547815820543094E-2</v>
      </c>
      <c r="CD53" s="369"/>
      <c r="CE53" s="370">
        <f t="shared" si="797"/>
        <v>8.5755121486422101E-2</v>
      </c>
      <c r="CF53" s="369"/>
      <c r="CG53" s="370">
        <f t="shared" ref="CG53:CI53" si="798">CG52/CG56</f>
        <v>8.5755121486422101E-2</v>
      </c>
      <c r="CH53" s="369"/>
      <c r="CI53" s="370">
        <f t="shared" si="798"/>
        <v>8.5755121486422101E-2</v>
      </c>
      <c r="CJ53" s="369"/>
      <c r="CK53" s="370">
        <f t="shared" ref="CK53" si="799">CK52/CK56</f>
        <v>8.5755121486422101E-2</v>
      </c>
      <c r="CL53" s="369"/>
      <c r="CM53" s="370">
        <f t="shared" ref="CM53" si="800">CM52/CM56</f>
        <v>8.5755121486422101E-2</v>
      </c>
      <c r="CN53" s="369"/>
      <c r="CO53" s="370">
        <f t="shared" ref="CO53" si="801">CO52/CO56</f>
        <v>8.8547815820543094E-2</v>
      </c>
      <c r="CP53" s="369"/>
      <c r="CQ53" s="370">
        <f>CQ52/CQ56</f>
        <v>8.8594984161475029E-2</v>
      </c>
      <c r="CR53" s="369"/>
      <c r="CS53" s="370">
        <f>CS52/CS56</f>
        <v>8.8549209747496999E-2</v>
      </c>
      <c r="CT53" s="369"/>
      <c r="CU53" s="370">
        <f>CU52/CU56</f>
        <v>8.8549209747496999E-2</v>
      </c>
      <c r="CV53" s="369"/>
      <c r="CW53" s="370">
        <f>CW52/CW56</f>
        <v>8.8549209747496999E-2</v>
      </c>
      <c r="CX53" s="369"/>
      <c r="CY53" s="370">
        <f>CY52/CY56</f>
        <v>8.8572154473949755E-2</v>
      </c>
      <c r="CZ53" s="369"/>
      <c r="DA53" s="370">
        <f>DA52/DA56</f>
        <v>8.8549209747496999E-2</v>
      </c>
      <c r="DB53" s="369"/>
      <c r="DC53" s="370">
        <f>DC52/DC56</f>
        <v>8.4522915101427495E-2</v>
      </c>
      <c r="DD53" s="369"/>
      <c r="DE53" s="370">
        <f>DE52/DE56</f>
        <v>8.8549209747496999E-2</v>
      </c>
      <c r="DF53" s="369"/>
      <c r="DG53" s="370">
        <f>DG52/DG56</f>
        <v>8.8549209747496999E-2</v>
      </c>
    </row>
    <row r="54" spans="1:111" s="4" customFormat="1" ht="18" customHeight="1" x14ac:dyDescent="0.45">
      <c r="A54" s="561"/>
      <c r="B54" s="1184"/>
      <c r="C54" s="77" t="s">
        <v>59</v>
      </c>
      <c r="D54" s="76"/>
      <c r="E54" s="16"/>
      <c r="F54" s="324"/>
      <c r="G54" s="72">
        <f>(G55*(G56+G50))</f>
        <v>0.53549999999999998</v>
      </c>
      <c r="H54" s="324"/>
      <c r="I54" s="72">
        <f>(I55*(I56+I50))</f>
        <v>0.54599999999999993</v>
      </c>
      <c r="J54" s="324"/>
      <c r="K54" s="72">
        <f>(K55*(K56+K50))</f>
        <v>0.54599999999999993</v>
      </c>
      <c r="L54" s="324"/>
      <c r="M54" s="72">
        <f>(M55*(M56+M50))</f>
        <v>0.54599999999999993</v>
      </c>
      <c r="N54" s="371"/>
      <c r="O54" s="368">
        <f>(O55*(O56+O50))</f>
        <v>0.55059374999999999</v>
      </c>
      <c r="P54" s="371"/>
      <c r="Q54" s="368">
        <f>(Q55*(Q56+Q50))</f>
        <v>0.55124132231404965</v>
      </c>
      <c r="R54" s="371"/>
      <c r="S54" s="368">
        <f>(S55*(S56+S50))</f>
        <v>0.55124132231404965</v>
      </c>
      <c r="T54" s="371"/>
      <c r="U54" s="368">
        <f>(U55*(U56+U50))</f>
        <v>0.55124132231404965</v>
      </c>
      <c r="V54" s="371"/>
      <c r="W54" s="368">
        <f>(W55*(W56+W50))</f>
        <v>0.55124132231404965</v>
      </c>
      <c r="X54" s="371"/>
      <c r="Y54" s="368">
        <f>(Y55*(Y56+Y50))</f>
        <v>0.55124132231404965</v>
      </c>
      <c r="Z54" s="371"/>
      <c r="AA54" s="368">
        <f>(AA55*(AA56+AA50))</f>
        <v>0.55124132231404965</v>
      </c>
      <c r="AB54" s="371"/>
      <c r="AC54" s="368">
        <f>(AC55*(AC56+AC50))</f>
        <v>0.55124132231404965</v>
      </c>
      <c r="AD54" s="371"/>
      <c r="AE54" s="368">
        <f>(AE55*(AE56+AE50))</f>
        <v>0.55124132231404965</v>
      </c>
      <c r="AF54" s="371"/>
      <c r="AG54" s="368">
        <f>(AG55*(AG56+AG50))</f>
        <v>0.55124132231404965</v>
      </c>
      <c r="AH54" s="371"/>
      <c r="AI54" s="368">
        <f>(AI55*(AI56+AI50))</f>
        <v>0.55124132231404965</v>
      </c>
      <c r="AJ54" s="371"/>
      <c r="AK54" s="368">
        <f>(AK55*(AK56+AK50))</f>
        <v>0.55124132231404965</v>
      </c>
      <c r="AL54" s="371"/>
      <c r="AM54" s="368">
        <f t="shared" ref="AM54" si="802">(AM55*(AM56+AM50))</f>
        <v>0.55124132231404965</v>
      </c>
      <c r="AN54" s="371"/>
      <c r="AO54" s="368">
        <f t="shared" ref="AO54" si="803">(AO55*(AO56+AO50))</f>
        <v>0.55124132231404965</v>
      </c>
      <c r="AP54" s="371"/>
      <c r="AQ54" s="368">
        <f t="shared" ref="AQ54" si="804">(AQ55*(AQ56+AQ50))</f>
        <v>0.55124132231404965</v>
      </c>
      <c r="AR54" s="371"/>
      <c r="AS54" s="368">
        <f t="shared" ref="AS54" si="805">(AS55*(AS56+AS50))</f>
        <v>0.55124132231404965</v>
      </c>
      <c r="AT54" s="371"/>
      <c r="AU54" s="368">
        <f t="shared" ref="AU54" si="806">(AU55*(AU56+AU50))</f>
        <v>0.55124132231404965</v>
      </c>
      <c r="AV54" s="371"/>
      <c r="AW54" s="368">
        <f t="shared" ref="AW54" si="807">(AW55*(AW56+AW50))</f>
        <v>0.55124132231404965</v>
      </c>
      <c r="AX54" s="371"/>
      <c r="AY54" s="368">
        <f t="shared" ref="AY54" si="808">(AY55*(AY56+AY50))</f>
        <v>0.55124132231404965</v>
      </c>
      <c r="AZ54" s="371"/>
      <c r="BA54" s="368">
        <f t="shared" ref="BA54:BC54" si="809">(BA55*(BA56+BA50))</f>
        <v>0.55124132231404965</v>
      </c>
      <c r="BB54" s="371"/>
      <c r="BC54" s="368">
        <f t="shared" si="809"/>
        <v>0.55124132231404965</v>
      </c>
      <c r="BD54" s="371"/>
      <c r="BE54" s="368">
        <f t="shared" ref="BE54:BK54" si="810">(BE55*(BE56+BE50))</f>
        <v>0.55124132231404965</v>
      </c>
      <c r="BF54" s="371"/>
      <c r="BG54" s="368">
        <f t="shared" si="810"/>
        <v>0.55124132231404965</v>
      </c>
      <c r="BH54" s="371"/>
      <c r="BI54" s="368">
        <f t="shared" si="810"/>
        <v>0.55124132231404965</v>
      </c>
      <c r="BJ54" s="371"/>
      <c r="BK54" s="368">
        <f t="shared" si="810"/>
        <v>0.55125000000000002</v>
      </c>
      <c r="BL54" s="371"/>
      <c r="BM54" s="368">
        <f t="shared" ref="BM54:BO54" si="811">(BM55*(BM56+BM50))</f>
        <v>0.55125000000000002</v>
      </c>
      <c r="BN54" s="371"/>
      <c r="BO54" s="368">
        <f t="shared" si="811"/>
        <v>0.55125000000000002</v>
      </c>
      <c r="BP54" s="371"/>
      <c r="BQ54" s="368">
        <f t="shared" ref="BQ54:BS54" si="812">(BQ55*(BQ56+BQ50))</f>
        <v>0.55125000000000002</v>
      </c>
      <c r="BR54" s="371"/>
      <c r="BS54" s="368">
        <f t="shared" si="812"/>
        <v>0.55125000000000002</v>
      </c>
      <c r="BT54" s="371"/>
      <c r="BU54" s="368">
        <f t="shared" ref="BU54:BW54" si="813">(BU55*(BU56+BU50))</f>
        <v>0.55125000000000002</v>
      </c>
      <c r="BV54" s="371"/>
      <c r="BW54" s="368">
        <f t="shared" si="813"/>
        <v>0.55125000000000002</v>
      </c>
      <c r="BX54" s="371"/>
      <c r="BY54" s="368">
        <f t="shared" ref="BY54:CA54" si="814">(BY55*(BY56+BY50))</f>
        <v>0.55125000000000002</v>
      </c>
      <c r="BZ54" s="371"/>
      <c r="CA54" s="368">
        <f t="shared" si="814"/>
        <v>0.55125000000000002</v>
      </c>
      <c r="CB54" s="371"/>
      <c r="CC54" s="368">
        <f t="shared" ref="CC54:CE54" si="815">(CC55*(CC56+CC50))</f>
        <v>0.55125000000000002</v>
      </c>
      <c r="CD54" s="371"/>
      <c r="CE54" s="368">
        <f t="shared" si="815"/>
        <v>0.55098750000000007</v>
      </c>
      <c r="CF54" s="371"/>
      <c r="CG54" s="368">
        <f t="shared" ref="CG54:CI54" si="816">(CG55*(CG56+CG50))</f>
        <v>0.55098750000000007</v>
      </c>
      <c r="CH54" s="371"/>
      <c r="CI54" s="368">
        <f t="shared" si="816"/>
        <v>0.55098750000000007</v>
      </c>
      <c r="CJ54" s="371"/>
      <c r="CK54" s="368">
        <f t="shared" ref="CK54" si="817">(CK55*(CK56+CK50))</f>
        <v>0.55098750000000007</v>
      </c>
      <c r="CL54" s="371"/>
      <c r="CM54" s="368">
        <f t="shared" ref="CM54" si="818">(CM55*(CM56+CM50))</f>
        <v>0.55098750000000007</v>
      </c>
      <c r="CN54" s="371"/>
      <c r="CO54" s="368">
        <f t="shared" ref="CO54" si="819">(CO55*(CO56+CO50))</f>
        <v>0.55125000000000002</v>
      </c>
      <c r="CP54" s="371"/>
      <c r="CQ54" s="368">
        <f>(CQ55*(CQ56+CQ50))</f>
        <v>0.55095651218932062</v>
      </c>
      <c r="CR54" s="371"/>
      <c r="CS54" s="368">
        <f>(CS55*(CS56+CS50))</f>
        <v>0.55124132231404965</v>
      </c>
      <c r="CT54" s="371"/>
      <c r="CU54" s="368">
        <f>(CU55*(CU56+CU50))</f>
        <v>0.55124132231404965</v>
      </c>
      <c r="CV54" s="371"/>
      <c r="CW54" s="368">
        <f>(CW55*(CW56+CW50))</f>
        <v>0.55124132231404965</v>
      </c>
      <c r="CX54" s="371"/>
      <c r="CY54" s="368">
        <f>(CY55*(CY56+CY50))</f>
        <v>0.55109852256592262</v>
      </c>
      <c r="CZ54" s="371"/>
      <c r="DA54" s="368">
        <f>(DA55*(DA56+DA50))</f>
        <v>0.55124132231404965</v>
      </c>
      <c r="DB54" s="371"/>
      <c r="DC54" s="368">
        <f>(DC55*(DC56+DC50))</f>
        <v>0.57750000000000001</v>
      </c>
      <c r="DD54" s="371"/>
      <c r="DE54" s="368">
        <f>(DE55*(DE56+DE50))</f>
        <v>0.55124132231404965</v>
      </c>
      <c r="DF54" s="371"/>
      <c r="DG54" s="368">
        <f>(DG55*(DG56+DG50))</f>
        <v>0.55124132231404965</v>
      </c>
    </row>
    <row r="55" spans="1:111" s="4" customFormat="1" ht="18" customHeight="1" x14ac:dyDescent="0.45">
      <c r="A55" s="561"/>
      <c r="B55" s="1184"/>
      <c r="C55" s="77" t="s">
        <v>60</v>
      </c>
      <c r="D55" s="76"/>
      <c r="E55" s="16"/>
      <c r="F55" s="73"/>
      <c r="G55" s="74">
        <v>0.1</v>
      </c>
      <c r="H55" s="73"/>
      <c r="I55" s="74">
        <v>0.1</v>
      </c>
      <c r="J55" s="73"/>
      <c r="K55" s="74">
        <v>0.1</v>
      </c>
      <c r="L55" s="73"/>
      <c r="M55" s="74">
        <v>0.1</v>
      </c>
      <c r="N55" s="369"/>
      <c r="O55" s="370">
        <v>0.1</v>
      </c>
      <c r="P55" s="369"/>
      <c r="Q55" s="370">
        <v>0.1</v>
      </c>
      <c r="R55" s="369"/>
      <c r="S55" s="370">
        <v>0.1</v>
      </c>
      <c r="T55" s="369"/>
      <c r="U55" s="370">
        <v>0.1</v>
      </c>
      <c r="V55" s="369"/>
      <c r="W55" s="370">
        <v>0.1</v>
      </c>
      <c r="X55" s="369"/>
      <c r="Y55" s="370">
        <v>0.1</v>
      </c>
      <c r="Z55" s="369"/>
      <c r="AA55" s="370">
        <v>0.1</v>
      </c>
      <c r="AB55" s="369"/>
      <c r="AC55" s="370">
        <v>0.1</v>
      </c>
      <c r="AD55" s="369"/>
      <c r="AE55" s="370">
        <v>0.1</v>
      </c>
      <c r="AF55" s="369"/>
      <c r="AG55" s="370">
        <v>0.1</v>
      </c>
      <c r="AH55" s="369"/>
      <c r="AI55" s="370">
        <v>0.1</v>
      </c>
      <c r="AJ55" s="369"/>
      <c r="AK55" s="370">
        <v>0.1</v>
      </c>
      <c r="AL55" s="369"/>
      <c r="AM55" s="370">
        <v>0.1</v>
      </c>
      <c r="AN55" s="369"/>
      <c r="AO55" s="370">
        <v>0.1</v>
      </c>
      <c r="AP55" s="369"/>
      <c r="AQ55" s="370">
        <v>0.1</v>
      </c>
      <c r="AR55" s="369"/>
      <c r="AS55" s="370">
        <v>0.1</v>
      </c>
      <c r="AT55" s="369"/>
      <c r="AU55" s="370">
        <v>0.1</v>
      </c>
      <c r="AV55" s="369"/>
      <c r="AW55" s="370">
        <v>0.1</v>
      </c>
      <c r="AX55" s="369"/>
      <c r="AY55" s="370">
        <v>0.1</v>
      </c>
      <c r="AZ55" s="369"/>
      <c r="BA55" s="370">
        <v>0.1</v>
      </c>
      <c r="BB55" s="369"/>
      <c r="BC55" s="370">
        <v>0.1</v>
      </c>
      <c r="BD55" s="369"/>
      <c r="BE55" s="370">
        <v>0.1</v>
      </c>
      <c r="BF55" s="369"/>
      <c r="BG55" s="370">
        <v>0.1</v>
      </c>
      <c r="BH55" s="369"/>
      <c r="BI55" s="370">
        <v>0.1</v>
      </c>
      <c r="BJ55" s="369"/>
      <c r="BK55" s="370">
        <v>0.1</v>
      </c>
      <c r="BL55" s="369"/>
      <c r="BM55" s="370">
        <v>0.1</v>
      </c>
      <c r="BN55" s="369"/>
      <c r="BO55" s="370">
        <v>0.1</v>
      </c>
      <c r="BP55" s="369"/>
      <c r="BQ55" s="370">
        <v>0.1</v>
      </c>
      <c r="BR55" s="369"/>
      <c r="BS55" s="370">
        <v>0.1</v>
      </c>
      <c r="BT55" s="369"/>
      <c r="BU55" s="370">
        <v>0.1</v>
      </c>
      <c r="BV55" s="369"/>
      <c r="BW55" s="370">
        <v>0.1</v>
      </c>
      <c r="BX55" s="369"/>
      <c r="BY55" s="370">
        <v>0.1</v>
      </c>
      <c r="BZ55" s="369"/>
      <c r="CA55" s="370">
        <v>0.1</v>
      </c>
      <c r="CB55" s="369"/>
      <c r="CC55" s="370">
        <v>0.1</v>
      </c>
      <c r="CD55" s="369"/>
      <c r="CE55" s="370">
        <v>0.1</v>
      </c>
      <c r="CF55" s="369"/>
      <c r="CG55" s="370">
        <v>0.1</v>
      </c>
      <c r="CH55" s="369"/>
      <c r="CI55" s="370">
        <v>0.1</v>
      </c>
      <c r="CJ55" s="369"/>
      <c r="CK55" s="370">
        <v>0.1</v>
      </c>
      <c r="CL55" s="369"/>
      <c r="CM55" s="370">
        <v>0.1</v>
      </c>
      <c r="CN55" s="369"/>
      <c r="CO55" s="370">
        <v>0.1</v>
      </c>
      <c r="CP55" s="369"/>
      <c r="CQ55" s="370">
        <v>0.1</v>
      </c>
      <c r="CR55" s="369"/>
      <c r="CS55" s="370">
        <v>0.1</v>
      </c>
      <c r="CT55" s="369"/>
      <c r="CU55" s="370">
        <v>0.1</v>
      </c>
      <c r="CV55" s="369"/>
      <c r="CW55" s="370">
        <v>0.1</v>
      </c>
      <c r="CX55" s="369"/>
      <c r="CY55" s="370">
        <v>0.1</v>
      </c>
      <c r="CZ55" s="369"/>
      <c r="DA55" s="370">
        <v>0.1</v>
      </c>
      <c r="DB55" s="369"/>
      <c r="DC55" s="370">
        <v>0.1</v>
      </c>
      <c r="DD55" s="369"/>
      <c r="DE55" s="370">
        <v>0.1</v>
      </c>
      <c r="DF55" s="369"/>
      <c r="DG55" s="370">
        <v>0.1</v>
      </c>
    </row>
    <row r="56" spans="1:111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5.0999999999999996</v>
      </c>
      <c r="H56" s="81"/>
      <c r="I56" s="82">
        <f>I60-I57+I58</f>
        <v>5.1999999999999993</v>
      </c>
      <c r="J56" s="81"/>
      <c r="K56" s="82">
        <f>K60-K57+K58</f>
        <v>5.1999999999999993</v>
      </c>
      <c r="L56" s="81"/>
      <c r="M56" s="82">
        <f>M60-M57+M58</f>
        <v>5.1999999999999993</v>
      </c>
      <c r="N56" s="81"/>
      <c r="O56" s="82">
        <f>O60-O57+O58</f>
        <v>5.2437500000000004</v>
      </c>
      <c r="P56" s="81"/>
      <c r="Q56" s="82">
        <f>Q60-Q57+Q58</f>
        <v>5.2499173553719016</v>
      </c>
      <c r="R56" s="81"/>
      <c r="S56" s="82">
        <f>S60-S57+S58</f>
        <v>5.2499173553719016</v>
      </c>
      <c r="T56" s="81"/>
      <c r="U56" s="82">
        <f>U60-U57+U58</f>
        <v>5.2499173553719016</v>
      </c>
      <c r="V56" s="81"/>
      <c r="W56" s="82">
        <f>W60-W57+W58</f>
        <v>5.2499173553719016</v>
      </c>
      <c r="X56" s="81"/>
      <c r="Y56" s="82">
        <f>Y60-Y57+Y58</f>
        <v>5.2499173553719016</v>
      </c>
      <c r="Z56" s="81"/>
      <c r="AA56" s="82">
        <f>AA60-AA57+AA58</f>
        <v>5.2499173553719016</v>
      </c>
      <c r="AB56" s="81"/>
      <c r="AC56" s="82">
        <f>AC60-AC57+AC58</f>
        <v>5.2499173553719016</v>
      </c>
      <c r="AD56" s="81"/>
      <c r="AE56" s="82">
        <f>AE60-AE57+AE58</f>
        <v>5.2499173553719016</v>
      </c>
      <c r="AF56" s="81"/>
      <c r="AG56" s="82">
        <f>AG60-AG57+AG58</f>
        <v>5.2499173553719016</v>
      </c>
      <c r="AH56" s="81"/>
      <c r="AI56" s="82">
        <f>AI60-AI57+AI58</f>
        <v>5.2499173553719016</v>
      </c>
      <c r="AJ56" s="81"/>
      <c r="AK56" s="82">
        <f>AK60-AK57+AK58</f>
        <v>5.2499173553719016</v>
      </c>
      <c r="AL56" s="81"/>
      <c r="AM56" s="82">
        <f t="shared" ref="AM56" si="820">AM60-AM57+AM58</f>
        <v>5.2499173553719016</v>
      </c>
      <c r="AN56" s="81"/>
      <c r="AO56" s="82">
        <f t="shared" ref="AO56" si="821">AO60-AO57+AO58</f>
        <v>5.2499173553719016</v>
      </c>
      <c r="AP56" s="81"/>
      <c r="AQ56" s="82">
        <f t="shared" ref="AQ56" si="822">AQ60-AQ57+AQ58</f>
        <v>5.2499173553719016</v>
      </c>
      <c r="AR56" s="81"/>
      <c r="AS56" s="82">
        <f t="shared" ref="AS56" si="823">AS60-AS57+AS58</f>
        <v>5.2499173553719016</v>
      </c>
      <c r="AT56" s="81"/>
      <c r="AU56" s="82">
        <f t="shared" ref="AU56" si="824">AU60-AU57+AU58</f>
        <v>5.2499173553719016</v>
      </c>
      <c r="AV56" s="81"/>
      <c r="AW56" s="82">
        <f t="shared" ref="AW56" si="825">AW60-AW57+AW58</f>
        <v>5.2499173553719016</v>
      </c>
      <c r="AX56" s="81"/>
      <c r="AY56" s="82">
        <f t="shared" ref="AY56" si="826">AY60-AY57+AY58</f>
        <v>5.2499173553719016</v>
      </c>
      <c r="AZ56" s="81"/>
      <c r="BA56" s="82">
        <f t="shared" ref="BA56:BC56" si="827">BA60-BA57+BA58</f>
        <v>5.2499173553719016</v>
      </c>
      <c r="BB56" s="81"/>
      <c r="BC56" s="82">
        <f t="shared" si="827"/>
        <v>5.2499173553719016</v>
      </c>
      <c r="BD56" s="81"/>
      <c r="BE56" s="82">
        <f t="shared" ref="BE56:BK56" si="828">BE60-BE57+BE58</f>
        <v>5.2499173553719016</v>
      </c>
      <c r="BF56" s="81"/>
      <c r="BG56" s="82">
        <f t="shared" si="828"/>
        <v>5.2499173553719016</v>
      </c>
      <c r="BH56" s="81"/>
      <c r="BI56" s="82">
        <f t="shared" si="828"/>
        <v>5.2499173553719016</v>
      </c>
      <c r="BJ56" s="81"/>
      <c r="BK56" s="82">
        <f t="shared" si="828"/>
        <v>5.25</v>
      </c>
      <c r="BL56" s="81"/>
      <c r="BM56" s="82">
        <f t="shared" ref="BM56:BO56" si="829">BM60-BM57+BM58</f>
        <v>5.25</v>
      </c>
      <c r="BN56" s="81"/>
      <c r="BO56" s="82">
        <f t="shared" si="829"/>
        <v>5.25</v>
      </c>
      <c r="BP56" s="81"/>
      <c r="BQ56" s="82">
        <f t="shared" ref="BQ56:BS56" si="830">BQ60-BQ57+BQ58</f>
        <v>5.25</v>
      </c>
      <c r="BR56" s="81"/>
      <c r="BS56" s="82">
        <f t="shared" si="830"/>
        <v>5.25</v>
      </c>
      <c r="BT56" s="81"/>
      <c r="BU56" s="82">
        <f t="shared" ref="BU56:BW56" si="831">BU60-BU57+BU58</f>
        <v>5.25</v>
      </c>
      <c r="BV56" s="81"/>
      <c r="BW56" s="82">
        <f t="shared" si="831"/>
        <v>5.25</v>
      </c>
      <c r="BX56" s="81"/>
      <c r="BY56" s="82">
        <f t="shared" ref="BY56:CA56" si="832">BY60-BY57+BY58</f>
        <v>5.25</v>
      </c>
      <c r="BZ56" s="81"/>
      <c r="CA56" s="82">
        <f t="shared" si="832"/>
        <v>5.25</v>
      </c>
      <c r="CB56" s="81"/>
      <c r="CC56" s="82">
        <f t="shared" ref="CC56:CE56" si="833">CC60-CC57+CC58</f>
        <v>5.25</v>
      </c>
      <c r="CD56" s="81"/>
      <c r="CE56" s="82">
        <f t="shared" si="833"/>
        <v>5.2475000000000005</v>
      </c>
      <c r="CF56" s="81"/>
      <c r="CG56" s="82">
        <f t="shared" ref="CG56:CI56" si="834">CG60-CG57+CG58</f>
        <v>5.2475000000000005</v>
      </c>
      <c r="CH56" s="81"/>
      <c r="CI56" s="82">
        <f t="shared" si="834"/>
        <v>5.2475000000000005</v>
      </c>
      <c r="CJ56" s="81"/>
      <c r="CK56" s="82">
        <f t="shared" ref="CK56" si="835">CK60-CK57+CK58</f>
        <v>5.2475000000000005</v>
      </c>
      <c r="CL56" s="81"/>
      <c r="CM56" s="82">
        <f t="shared" ref="CM56" si="836">CM60-CM57+CM58</f>
        <v>5.2475000000000005</v>
      </c>
      <c r="CN56" s="81"/>
      <c r="CO56" s="82">
        <f t="shared" ref="CO56" si="837">CO60-CO57+CO58</f>
        <v>5.25</v>
      </c>
      <c r="CP56" s="81"/>
      <c r="CQ56" s="82">
        <f>CQ60-CQ57+CQ58</f>
        <v>5.2472048779935294</v>
      </c>
      <c r="CR56" s="81"/>
      <c r="CS56" s="82">
        <f>CS60-CS57+CS58</f>
        <v>5.2499173553719016</v>
      </c>
      <c r="CT56" s="81"/>
      <c r="CU56" s="82">
        <f>CU60-CU57+CU58</f>
        <v>5.2499173553719016</v>
      </c>
      <c r="CV56" s="81"/>
      <c r="CW56" s="82">
        <f>CW60-CW57+CW58</f>
        <v>5.2499173553719016</v>
      </c>
      <c r="CX56" s="81"/>
      <c r="CY56" s="82">
        <f>CY60-CY57+CY58</f>
        <v>5.2485573577706912</v>
      </c>
      <c r="CZ56" s="81"/>
      <c r="DA56" s="82">
        <f>DA60-DA57+DA58</f>
        <v>5.2499173553719016</v>
      </c>
      <c r="DB56" s="81"/>
      <c r="DC56" s="82">
        <f>DC60-DC57+DC58</f>
        <v>5.5</v>
      </c>
      <c r="DD56" s="81"/>
      <c r="DE56" s="82">
        <f>DE60-DE57+DE58</f>
        <v>5.2499173553719016</v>
      </c>
      <c r="DF56" s="81"/>
      <c r="DG56" s="82">
        <f>DG60-DG57+DG58</f>
        <v>5.2499173553719016</v>
      </c>
    </row>
    <row r="57" spans="1:111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0.5</v>
      </c>
      <c r="H57" s="85"/>
      <c r="I57" s="86">
        <v>0.4</v>
      </c>
      <c r="J57" s="85"/>
      <c r="K57" s="86">
        <v>0.4</v>
      </c>
      <c r="L57" s="85"/>
      <c r="M57" s="86">
        <v>0.4</v>
      </c>
      <c r="N57" s="85"/>
      <c r="O57" s="86">
        <v>0.75</v>
      </c>
      <c r="P57" s="85"/>
      <c r="Q57" s="86">
        <f>0.5+0.35-0.05</f>
        <v>0.79999999999999993</v>
      </c>
      <c r="R57" s="85"/>
      <c r="S57" s="86">
        <f>0.5+0.35-0.05</f>
        <v>0.79999999999999993</v>
      </c>
      <c r="T57" s="85"/>
      <c r="U57" s="86">
        <f>0.5+0.35-0.05</f>
        <v>0.79999999999999993</v>
      </c>
      <c r="V57" s="85"/>
      <c r="W57" s="86">
        <f>0.5+0.35-0.05</f>
        <v>0.79999999999999993</v>
      </c>
      <c r="X57" s="85"/>
      <c r="Y57" s="86">
        <f>0.5+0.35-0.05</f>
        <v>0.79999999999999993</v>
      </c>
      <c r="Z57" s="85"/>
      <c r="AA57" s="86">
        <f>0.5+0.35-0.05</f>
        <v>0.79999999999999993</v>
      </c>
      <c r="AB57" s="85"/>
      <c r="AC57" s="86">
        <f>0.5+0.35-0.05</f>
        <v>0.79999999999999993</v>
      </c>
      <c r="AD57" s="85"/>
      <c r="AE57" s="86">
        <f>0.5+0.35-0.05</f>
        <v>0.79999999999999993</v>
      </c>
      <c r="AF57" s="85"/>
      <c r="AG57" s="86">
        <f>0.5+0.35-0.05</f>
        <v>0.79999999999999993</v>
      </c>
      <c r="AH57" s="85"/>
      <c r="AI57" s="86">
        <f>0.5+0.35-0.05</f>
        <v>0.79999999999999993</v>
      </c>
      <c r="AJ57" s="85"/>
      <c r="AK57" s="86">
        <f>0.5+0.35-0.05</f>
        <v>0.79999999999999993</v>
      </c>
      <c r="AL57" s="85"/>
      <c r="AM57" s="86">
        <f t="shared" ref="AM57" si="838">0.5+0.35-0.05</f>
        <v>0.79999999999999993</v>
      </c>
      <c r="AN57" s="85"/>
      <c r="AO57" s="86">
        <f t="shared" ref="AO57:CO57" si="839">0.5+0.35-0.05</f>
        <v>0.79999999999999993</v>
      </c>
      <c r="AP57" s="85"/>
      <c r="AQ57" s="86">
        <f t="shared" si="839"/>
        <v>0.79999999999999993</v>
      </c>
      <c r="AR57" s="85"/>
      <c r="AS57" s="86">
        <f t="shared" si="839"/>
        <v>0.79999999999999993</v>
      </c>
      <c r="AT57" s="85"/>
      <c r="AU57" s="86">
        <f t="shared" si="839"/>
        <v>0.79999999999999993</v>
      </c>
      <c r="AV57" s="85"/>
      <c r="AW57" s="86">
        <f t="shared" si="839"/>
        <v>0.79999999999999993</v>
      </c>
      <c r="AX57" s="85"/>
      <c r="AY57" s="86">
        <f t="shared" si="839"/>
        <v>0.79999999999999993</v>
      </c>
      <c r="AZ57" s="85"/>
      <c r="BA57" s="86">
        <f t="shared" si="839"/>
        <v>0.79999999999999993</v>
      </c>
      <c r="BB57" s="85"/>
      <c r="BC57" s="86">
        <f t="shared" si="839"/>
        <v>0.79999999999999993</v>
      </c>
      <c r="BD57" s="85"/>
      <c r="BE57" s="86">
        <f t="shared" si="839"/>
        <v>0.79999999999999993</v>
      </c>
      <c r="BF57" s="85"/>
      <c r="BG57" s="86">
        <f t="shared" si="839"/>
        <v>0.79999999999999993</v>
      </c>
      <c r="BH57" s="85"/>
      <c r="BI57" s="86">
        <f t="shared" si="839"/>
        <v>0.79999999999999993</v>
      </c>
      <c r="BJ57" s="85"/>
      <c r="BK57" s="86">
        <f t="shared" si="839"/>
        <v>0.79999999999999993</v>
      </c>
      <c r="BL57" s="85"/>
      <c r="BM57" s="86">
        <f t="shared" si="839"/>
        <v>0.79999999999999993</v>
      </c>
      <c r="BN57" s="85"/>
      <c r="BO57" s="86">
        <f t="shared" si="839"/>
        <v>0.79999999999999993</v>
      </c>
      <c r="BP57" s="85"/>
      <c r="BQ57" s="86">
        <f t="shared" si="839"/>
        <v>0.79999999999999993</v>
      </c>
      <c r="BR57" s="85"/>
      <c r="BS57" s="86">
        <f t="shared" si="839"/>
        <v>0.79999999999999993</v>
      </c>
      <c r="BT57" s="85"/>
      <c r="BU57" s="86">
        <f t="shared" si="839"/>
        <v>0.79999999999999993</v>
      </c>
      <c r="BV57" s="85"/>
      <c r="BW57" s="86">
        <f t="shared" si="839"/>
        <v>0.79999999999999993</v>
      </c>
      <c r="BX57" s="85"/>
      <c r="BY57" s="86">
        <f t="shared" si="839"/>
        <v>0.79999999999999993</v>
      </c>
      <c r="BZ57" s="85"/>
      <c r="CA57" s="86">
        <f t="shared" si="839"/>
        <v>0.79999999999999993</v>
      </c>
      <c r="CB57" s="85"/>
      <c r="CC57" s="86">
        <f t="shared" si="839"/>
        <v>0.79999999999999993</v>
      </c>
      <c r="CD57" s="85"/>
      <c r="CE57" s="86">
        <f t="shared" si="839"/>
        <v>0.79999999999999993</v>
      </c>
      <c r="CF57" s="85"/>
      <c r="CG57" s="86">
        <f t="shared" si="839"/>
        <v>0.79999999999999993</v>
      </c>
      <c r="CH57" s="85"/>
      <c r="CI57" s="86">
        <f t="shared" si="839"/>
        <v>0.79999999999999993</v>
      </c>
      <c r="CJ57" s="85"/>
      <c r="CK57" s="86">
        <f t="shared" si="839"/>
        <v>0.79999999999999993</v>
      </c>
      <c r="CL57" s="85"/>
      <c r="CM57" s="86">
        <f t="shared" si="839"/>
        <v>0.79999999999999993</v>
      </c>
      <c r="CN57" s="85"/>
      <c r="CO57" s="86">
        <f t="shared" si="839"/>
        <v>0.79999999999999993</v>
      </c>
      <c r="CP57" s="85"/>
      <c r="CQ57" s="86">
        <f>(SUMPRODUCT(U57,U$131)+SUMPRODUCT(W57,W$131)+SUMPRODUCT(O57,O$131))/SUM(O$131,U$131,W$131)</f>
        <v>0.77948717948717949</v>
      </c>
      <c r="CR57" s="85"/>
      <c r="CS57" s="86">
        <f>(SUMPRODUCT(AA57,AA$131)+SUMPRODUCT(AC57,AC$131)+SUMPRODUCT(Y57,Y$131))/SUM(Y$131,AA$131,AC$131)</f>
        <v>0.8</v>
      </c>
      <c r="CT57" s="85"/>
      <c r="CU57" s="86">
        <f>(SUMPRODUCT(AG57,AG$131)+SUMPRODUCT(AE57,AE$131)+SUMPRODUCT(AI57,AI$131))/SUM(AI$131,AG$131,AE$131)</f>
        <v>0.8</v>
      </c>
      <c r="CV57" s="85"/>
      <c r="CW57" s="86">
        <v>0.8</v>
      </c>
      <c r="CX57" s="85"/>
      <c r="CY57" s="86">
        <f>(SUMPRODUCT(O57,O$131)+SUMPRODUCT(U57,U$131)+SUMPRODUCT(W57,W$131)+SUMPRODUCT(Y57,Y$131)+SUMPRODUCT(AA57,AA$131)+SUMPRODUCT(AC57,AC$131))/SUM(U$131,O$131,W$131,Y$131,AA$131,AC$131)</f>
        <v>0.78897422380258353</v>
      </c>
      <c r="CZ57" s="85"/>
      <c r="DA57" s="86">
        <v>0.8</v>
      </c>
      <c r="DB57" s="85"/>
      <c r="DC57" s="86">
        <f>0.8+0.25</f>
        <v>1.05</v>
      </c>
      <c r="DD57" s="85"/>
      <c r="DE57" s="86">
        <v>0.8</v>
      </c>
      <c r="DF57" s="85"/>
      <c r="DG57" s="86">
        <v>0.8</v>
      </c>
    </row>
    <row r="58" spans="1:111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>
        <v>0</v>
      </c>
      <c r="BX58" s="85"/>
      <c r="BY58" s="86">
        <v>0</v>
      </c>
      <c r="BZ58" s="85"/>
      <c r="CA58" s="86">
        <v>0</v>
      </c>
      <c r="CB58" s="85"/>
      <c r="CC58" s="86">
        <v>0</v>
      </c>
      <c r="CD58" s="85"/>
      <c r="CE58" s="86">
        <v>0</v>
      </c>
      <c r="CF58" s="85"/>
      <c r="CG58" s="86">
        <v>0</v>
      </c>
      <c r="CH58" s="85"/>
      <c r="CI58" s="86">
        <v>0</v>
      </c>
      <c r="CJ58" s="85"/>
      <c r="CK58" s="86">
        <v>0</v>
      </c>
      <c r="CL58" s="85"/>
      <c r="CM58" s="86">
        <v>0</v>
      </c>
      <c r="CN58" s="85"/>
      <c r="CO58" s="86">
        <v>0</v>
      </c>
      <c r="CP58" s="85"/>
      <c r="CQ58" s="86">
        <v>0</v>
      </c>
      <c r="CR58" s="85"/>
      <c r="CS58" s="86">
        <v>0</v>
      </c>
      <c r="CT58" s="85"/>
      <c r="CU58" s="86">
        <v>0</v>
      </c>
      <c r="CV58" s="85"/>
      <c r="CW58" s="86">
        <v>0</v>
      </c>
      <c r="CX58" s="85"/>
      <c r="CY58" s="86">
        <v>0</v>
      </c>
      <c r="CZ58" s="85"/>
      <c r="DA58" s="86">
        <v>0</v>
      </c>
      <c r="DB58" s="85"/>
      <c r="DC58" s="86">
        <v>0</v>
      </c>
      <c r="DD58" s="85"/>
      <c r="DE58" s="86">
        <v>0</v>
      </c>
      <c r="DF58" s="85"/>
      <c r="DG58" s="86">
        <v>0</v>
      </c>
    </row>
    <row r="59" spans="1:111" s="4" customFormat="1" ht="18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5.6030800000000003</v>
      </c>
      <c r="H59" s="85"/>
      <c r="I59" s="86">
        <f>+I62+I65+I67</f>
        <v>5.6030800000000003</v>
      </c>
      <c r="J59" s="85"/>
      <c r="K59" s="86">
        <f>+K62+K65+K67</f>
        <v>5.6030800000000003</v>
      </c>
      <c r="L59" s="85"/>
      <c r="M59" s="86">
        <f>+M62+M65+M67</f>
        <v>5.6030800000000003</v>
      </c>
      <c r="N59" s="85"/>
      <c r="O59" s="86">
        <f>+O62+O65+O67</f>
        <v>5.9970465625000005</v>
      </c>
      <c r="P59" s="85"/>
      <c r="Q59" s="86">
        <f>+Q62+Q65+Q67</f>
        <v>6.0532448099173557</v>
      </c>
      <c r="R59" s="85"/>
      <c r="S59" s="86">
        <f>+S62+S65+S67</f>
        <v>6.0532448099173557</v>
      </c>
      <c r="T59" s="85"/>
      <c r="U59" s="86">
        <f>+U62+U65+U67</f>
        <v>6.0532448099173557</v>
      </c>
      <c r="V59" s="85"/>
      <c r="W59" s="86">
        <f>+W62+W65+W67</f>
        <v>6.0532448099173557</v>
      </c>
      <c r="X59" s="85"/>
      <c r="Y59" s="86">
        <f>+Y62+Y65+Y67</f>
        <v>6.0532448099173557</v>
      </c>
      <c r="Z59" s="85"/>
      <c r="AA59" s="86">
        <f>+AA62+AA65+AA67</f>
        <v>6.0532448099173557</v>
      </c>
      <c r="AB59" s="85"/>
      <c r="AC59" s="86">
        <f>+AC62+AC65+AC67</f>
        <v>6.0532448099173557</v>
      </c>
      <c r="AD59" s="85"/>
      <c r="AE59" s="86">
        <f>+AE62+AE65+AE67</f>
        <v>6.0532448099173557</v>
      </c>
      <c r="AF59" s="85"/>
      <c r="AG59" s="86">
        <f>+AG62+AG65+AG67</f>
        <v>6.0532448099173557</v>
      </c>
      <c r="AH59" s="85"/>
      <c r="AI59" s="86">
        <f>+AI62+AI65+AI67</f>
        <v>6.0532448099173557</v>
      </c>
      <c r="AJ59" s="85"/>
      <c r="AK59" s="86">
        <f>+AK62+AK65+AK67</f>
        <v>6.0532448099173557</v>
      </c>
      <c r="AL59" s="85"/>
      <c r="AM59" s="86">
        <f t="shared" ref="AM59" si="840">+AM62+AM65+AM67</f>
        <v>6.0532448099173557</v>
      </c>
      <c r="AN59" s="85"/>
      <c r="AO59" s="86">
        <f t="shared" ref="AO59:AQ59" si="841">+AO62+AO65+AO67</f>
        <v>6.0532448099173557</v>
      </c>
      <c r="AP59" s="85"/>
      <c r="AQ59" s="86">
        <f t="shared" si="841"/>
        <v>6.0532448099173557</v>
      </c>
      <c r="AR59" s="85"/>
      <c r="AS59" s="86">
        <f t="shared" ref="AS59" si="842">+AS62+AS65+AS67</f>
        <v>6.0532448099173557</v>
      </c>
      <c r="AT59" s="85"/>
      <c r="AU59" s="86">
        <f t="shared" ref="AU59" si="843">+AU62+AU65+AU67</f>
        <v>6.0532448099173557</v>
      </c>
      <c r="AV59" s="85"/>
      <c r="AW59" s="86">
        <f t="shared" ref="AW59" si="844">+AW62+AW65+AW67</f>
        <v>6.0532448099173557</v>
      </c>
      <c r="AX59" s="85"/>
      <c r="AY59" s="86">
        <f t="shared" ref="AY59" si="845">+AY62+AY65+AY67</f>
        <v>6.0532448099173557</v>
      </c>
      <c r="AZ59" s="85"/>
      <c r="BA59" s="86">
        <f t="shared" ref="BA59:BC59" si="846">+BA62+BA65+BA67</f>
        <v>6.0532448099173557</v>
      </c>
      <c r="BB59" s="85"/>
      <c r="BC59" s="86">
        <f t="shared" si="846"/>
        <v>6.0532448099173557</v>
      </c>
      <c r="BD59" s="85"/>
      <c r="BE59" s="86">
        <f t="shared" ref="BE59:BK59" si="847">+BE62+BE65+BE67</f>
        <v>6.0532448099173557</v>
      </c>
      <c r="BF59" s="85"/>
      <c r="BG59" s="86">
        <f t="shared" si="847"/>
        <v>6.0532448099173557</v>
      </c>
      <c r="BH59" s="85"/>
      <c r="BI59" s="86">
        <f t="shared" si="847"/>
        <v>6.0532448099173557</v>
      </c>
      <c r="BJ59" s="85"/>
      <c r="BK59" s="86">
        <f t="shared" si="847"/>
        <v>6.05</v>
      </c>
      <c r="BL59" s="85"/>
      <c r="BM59" s="86">
        <f t="shared" ref="BM59:BO59" si="848">+BM62+BM65+BM67</f>
        <v>6.05</v>
      </c>
      <c r="BN59" s="85"/>
      <c r="BO59" s="86">
        <f t="shared" si="848"/>
        <v>6.05</v>
      </c>
      <c r="BP59" s="85"/>
      <c r="BQ59" s="86">
        <f t="shared" ref="BQ59:BS59" si="849">+BQ62+BQ65+BQ67</f>
        <v>6.05</v>
      </c>
      <c r="BR59" s="85"/>
      <c r="BS59" s="86">
        <f t="shared" si="849"/>
        <v>6.05</v>
      </c>
      <c r="BT59" s="85"/>
      <c r="BU59" s="86">
        <f t="shared" ref="BU59:BW59" si="850">+BU62+BU65+BU67</f>
        <v>6.05</v>
      </c>
      <c r="BV59" s="85"/>
      <c r="BW59" s="86">
        <f t="shared" si="850"/>
        <v>6.05</v>
      </c>
      <c r="BX59" s="85"/>
      <c r="BY59" s="86">
        <f t="shared" ref="BY59:CA59" si="851">+BY62+BY65+BY67</f>
        <v>6.05</v>
      </c>
      <c r="BZ59" s="85"/>
      <c r="CA59" s="86">
        <f t="shared" si="851"/>
        <v>6.05</v>
      </c>
      <c r="CB59" s="85"/>
      <c r="CC59" s="86">
        <f t="shared" ref="CC59:CE59" si="852">+CC62+CC65+CC67</f>
        <v>6.05</v>
      </c>
      <c r="CD59" s="85"/>
      <c r="CE59" s="86">
        <f t="shared" si="852"/>
        <v>6.0475000000000003</v>
      </c>
      <c r="CF59" s="85"/>
      <c r="CG59" s="86">
        <f t="shared" ref="CG59:CI59" si="853">+CG62+CG65+CG67</f>
        <v>6.0475000000000003</v>
      </c>
      <c r="CH59" s="85"/>
      <c r="CI59" s="86">
        <f t="shared" si="853"/>
        <v>6.0475000000000003</v>
      </c>
      <c r="CJ59" s="85"/>
      <c r="CK59" s="86">
        <f t="shared" ref="CK59" si="854">+CK62+CK65+CK67</f>
        <v>6.0475000000000003</v>
      </c>
      <c r="CL59" s="85"/>
      <c r="CM59" s="86">
        <f t="shared" ref="CM59" si="855">+CM62+CM65+CM67</f>
        <v>6.0475000000000003</v>
      </c>
      <c r="CN59" s="85"/>
      <c r="CO59" s="86">
        <f t="shared" ref="CO59" si="856">+CO62+CO65+CO67</f>
        <v>6.05</v>
      </c>
      <c r="CP59" s="85"/>
      <c r="CQ59" s="86">
        <f>+CQ62+CQ65+CQ67</f>
        <v>6.0300067381123226</v>
      </c>
      <c r="CR59" s="85"/>
      <c r="CS59" s="86">
        <f>+CS62+CS65+CS67</f>
        <v>6.0532448099173557</v>
      </c>
      <c r="CT59" s="85"/>
      <c r="CU59" s="86">
        <f>+CU62+CU65+CU67</f>
        <v>6.0532448099173557</v>
      </c>
      <c r="CV59" s="85"/>
      <c r="CW59" s="86">
        <f>+CW62+CW65+CW67</f>
        <v>6.0532448099173557</v>
      </c>
      <c r="CX59" s="85"/>
      <c r="CY59" s="86">
        <f>+CY62+CY65+CY67</f>
        <v>6.0408522239431397</v>
      </c>
      <c r="CZ59" s="85"/>
      <c r="DA59" s="86">
        <f>+DA62+DA65+DA67</f>
        <v>6.0532448099173557</v>
      </c>
      <c r="DB59" s="85"/>
      <c r="DC59" s="86">
        <f>+DC62+DC65+DC67</f>
        <v>6.55</v>
      </c>
      <c r="DD59" s="85"/>
      <c r="DE59" s="86">
        <f>+DE62+DE65+DE67</f>
        <v>6.0499173553719015</v>
      </c>
      <c r="DF59" s="85"/>
      <c r="DG59" s="86">
        <f>+DG62+DG65+DG67</f>
        <v>6.0499173553719015</v>
      </c>
    </row>
    <row r="60" spans="1:111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v>5.6</v>
      </c>
      <c r="H60" s="81"/>
      <c r="I60" s="82">
        <v>5.6</v>
      </c>
      <c r="J60" s="81"/>
      <c r="K60" s="82">
        <v>5.6</v>
      </c>
      <c r="L60" s="81"/>
      <c r="M60" s="82">
        <v>5.6</v>
      </c>
      <c r="N60" s="81"/>
      <c r="O60" s="82">
        <f>O65+O67</f>
        <v>5.9937500000000004</v>
      </c>
      <c r="P60" s="81"/>
      <c r="Q60" s="82">
        <f>Q65+Q67</f>
        <v>6.0499173553719015</v>
      </c>
      <c r="R60" s="81"/>
      <c r="S60" s="82">
        <f>S65+S67</f>
        <v>6.0499173553719015</v>
      </c>
      <c r="T60" s="81"/>
      <c r="U60" s="82">
        <f>U65+U67</f>
        <v>6.0499173553719015</v>
      </c>
      <c r="V60" s="81"/>
      <c r="W60" s="82">
        <f>W65+W67</f>
        <v>6.0499173553719015</v>
      </c>
      <c r="X60" s="81"/>
      <c r="Y60" s="82">
        <f>Y65+Y67</f>
        <v>6.0499173553719015</v>
      </c>
      <c r="Z60" s="81"/>
      <c r="AA60" s="82">
        <f>AA65+AA67</f>
        <v>6.0499173553719015</v>
      </c>
      <c r="AB60" s="81"/>
      <c r="AC60" s="82">
        <f>AC65+AC67</f>
        <v>6.0499173553719015</v>
      </c>
      <c r="AD60" s="81"/>
      <c r="AE60" s="82">
        <f>AE65+AE67</f>
        <v>6.0499173553719015</v>
      </c>
      <c r="AF60" s="81"/>
      <c r="AG60" s="82">
        <f>AG65+AG67</f>
        <v>6.0499173553719015</v>
      </c>
      <c r="AH60" s="81"/>
      <c r="AI60" s="82">
        <f>AI65+AI67</f>
        <v>6.0499173553719015</v>
      </c>
      <c r="AJ60" s="81"/>
      <c r="AK60" s="82">
        <f>AK65+AK67</f>
        <v>6.0499173553719015</v>
      </c>
      <c r="AL60" s="81"/>
      <c r="AM60" s="82">
        <f t="shared" ref="AM60" si="857">AM65+AM67</f>
        <v>6.0499173553719015</v>
      </c>
      <c r="AN60" s="81"/>
      <c r="AO60" s="82">
        <f t="shared" ref="AO60:AQ60" si="858">AO65+AO67</f>
        <v>6.0499173553719015</v>
      </c>
      <c r="AP60" s="81"/>
      <c r="AQ60" s="82">
        <f t="shared" si="858"/>
        <v>6.0499173553719015</v>
      </c>
      <c r="AR60" s="81"/>
      <c r="AS60" s="82">
        <f t="shared" ref="AS60" si="859">AS65+AS67</f>
        <v>6.0499173553719015</v>
      </c>
      <c r="AT60" s="81"/>
      <c r="AU60" s="82">
        <f t="shared" ref="AU60" si="860">AU65+AU67</f>
        <v>6.0499173553719015</v>
      </c>
      <c r="AV60" s="81"/>
      <c r="AW60" s="82">
        <f t="shared" ref="AW60" si="861">AW65+AW67</f>
        <v>6.0499173553719015</v>
      </c>
      <c r="AX60" s="81"/>
      <c r="AY60" s="82">
        <f t="shared" ref="AY60" si="862">AY65+AY67</f>
        <v>6.0499173553719015</v>
      </c>
      <c r="AZ60" s="81"/>
      <c r="BA60" s="82">
        <f t="shared" ref="BA60:BC60" si="863">BA65+BA67</f>
        <v>6.0499173553719015</v>
      </c>
      <c r="BB60" s="81"/>
      <c r="BC60" s="82">
        <f t="shared" si="863"/>
        <v>6.0499173553719015</v>
      </c>
      <c r="BD60" s="81"/>
      <c r="BE60" s="82">
        <f t="shared" ref="BE60:BI60" si="864">BE65+BE67</f>
        <v>6.0499173553719015</v>
      </c>
      <c r="BF60" s="81"/>
      <c r="BG60" s="82">
        <f t="shared" si="864"/>
        <v>6.0499173553719015</v>
      </c>
      <c r="BH60" s="81"/>
      <c r="BI60" s="82">
        <f t="shared" si="864"/>
        <v>6.0499173553719015</v>
      </c>
      <c r="BJ60" s="81"/>
      <c r="BK60" s="82">
        <f>BK65+BK67+BK62</f>
        <v>6.05</v>
      </c>
      <c r="BL60" s="81"/>
      <c r="BM60" s="82">
        <f>BM65+BM67+BM62</f>
        <v>6.05</v>
      </c>
      <c r="BN60" s="81"/>
      <c r="BO60" s="82">
        <f>BO65+BO67+BO62</f>
        <v>6.05</v>
      </c>
      <c r="BP60" s="81"/>
      <c r="BQ60" s="82">
        <f>BQ65+BQ67+BQ62</f>
        <v>6.05</v>
      </c>
      <c r="BR60" s="81"/>
      <c r="BS60" s="82">
        <f>BS65+BS67+BS62</f>
        <v>6.05</v>
      </c>
      <c r="BT60" s="81"/>
      <c r="BU60" s="82">
        <f>BU65+BU67+BU62</f>
        <v>6.05</v>
      </c>
      <c r="BV60" s="81"/>
      <c r="BW60" s="82">
        <f>BW65+BW67+BW62</f>
        <v>6.05</v>
      </c>
      <c r="BX60" s="81"/>
      <c r="BY60" s="82">
        <f>BY65+BY67+BY62</f>
        <v>6.05</v>
      </c>
      <c r="BZ60" s="81"/>
      <c r="CA60" s="82">
        <f>CA65+CA67+CA62</f>
        <v>6.05</v>
      </c>
      <c r="CB60" s="81"/>
      <c r="CC60" s="82">
        <f>CC65+CC67+CC62</f>
        <v>6.05</v>
      </c>
      <c r="CD60" s="81"/>
      <c r="CE60" s="82">
        <f>CE65+CE67+CE62</f>
        <v>6.0475000000000003</v>
      </c>
      <c r="CF60" s="81"/>
      <c r="CG60" s="82">
        <f>CG65+CG67+CG62</f>
        <v>6.0475000000000003</v>
      </c>
      <c r="CH60" s="81"/>
      <c r="CI60" s="82">
        <f>CI65+CI67+CI62</f>
        <v>6.0475000000000003</v>
      </c>
      <c r="CJ60" s="81"/>
      <c r="CK60" s="82">
        <f>CK65+CK67+CK62</f>
        <v>6.0475000000000003</v>
      </c>
      <c r="CL60" s="81"/>
      <c r="CM60" s="82">
        <f>CM65+CM67+CM62</f>
        <v>6.0475000000000003</v>
      </c>
      <c r="CN60" s="81"/>
      <c r="CO60" s="82">
        <f>CO65+CO67+CO62</f>
        <v>6.05</v>
      </c>
      <c r="CP60" s="81"/>
      <c r="CQ60" s="82">
        <f>CQ65+CQ67</f>
        <v>6.0266920574807088</v>
      </c>
      <c r="CR60" s="81"/>
      <c r="CS60" s="82">
        <f>CS65+CS67</f>
        <v>6.0499173553719015</v>
      </c>
      <c r="CT60" s="81"/>
      <c r="CU60" s="82">
        <f>CU65+CU67</f>
        <v>6.0499173553719015</v>
      </c>
      <c r="CV60" s="81"/>
      <c r="CW60" s="82">
        <f>CW65+CW67</f>
        <v>6.0499173553719015</v>
      </c>
      <c r="CX60" s="81"/>
      <c r="CY60" s="82">
        <f>CY65+CY67</f>
        <v>6.0375315815732744</v>
      </c>
      <c r="CZ60" s="81"/>
      <c r="DA60" s="82">
        <f>DA65+DA67</f>
        <v>6.0499173553719015</v>
      </c>
      <c r="DB60" s="81"/>
      <c r="DC60" s="82">
        <f>DC65+DC67+DC62</f>
        <v>6.55</v>
      </c>
      <c r="DD60" s="81"/>
      <c r="DE60" s="82">
        <f>DE65+DE67+DE62</f>
        <v>6.0499173553719015</v>
      </c>
      <c r="DF60" s="81"/>
      <c r="DG60" s="82">
        <f>DG65+DG67+DG62</f>
        <v>6.0499173553719015</v>
      </c>
    </row>
    <row r="61" spans="1:111" s="4" customFormat="1" ht="18" customHeight="1" outlineLevel="1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359"/>
      <c r="O61" s="372"/>
      <c r="P61" s="359"/>
      <c r="Q61" s="372"/>
      <c r="R61" s="359"/>
      <c r="S61" s="372"/>
      <c r="T61" s="359"/>
      <c r="U61" s="372"/>
      <c r="V61" s="359"/>
      <c r="W61" s="372"/>
      <c r="X61" s="359"/>
      <c r="Y61" s="372"/>
      <c r="Z61" s="359"/>
      <c r="AA61" s="372"/>
      <c r="AB61" s="359"/>
      <c r="AC61" s="372"/>
      <c r="AD61" s="359"/>
      <c r="AE61" s="372"/>
      <c r="AF61" s="359"/>
      <c r="AG61" s="372"/>
      <c r="AH61" s="359"/>
      <c r="AI61" s="372"/>
      <c r="AJ61" s="359"/>
      <c r="AK61" s="372"/>
      <c r="AL61" s="359"/>
      <c r="AM61" s="372"/>
      <c r="AN61" s="359"/>
      <c r="AO61" s="372"/>
      <c r="AP61" s="359"/>
      <c r="AQ61" s="372"/>
      <c r="AR61" s="359"/>
      <c r="AS61" s="372"/>
      <c r="AT61" s="359"/>
      <c r="AU61" s="372"/>
      <c r="AV61" s="359"/>
      <c r="AW61" s="372"/>
      <c r="AX61" s="359"/>
      <c r="AY61" s="372"/>
      <c r="AZ61" s="359"/>
      <c r="BA61" s="372"/>
      <c r="BB61" s="359"/>
      <c r="BC61" s="372"/>
      <c r="BD61" s="359"/>
      <c r="BE61" s="372"/>
      <c r="BF61" s="359"/>
      <c r="BG61" s="372"/>
      <c r="BH61" s="359"/>
      <c r="BI61" s="372"/>
      <c r="BJ61" s="359"/>
      <c r="BK61" s="372"/>
      <c r="BL61" s="359"/>
      <c r="BM61" s="372"/>
      <c r="BN61" s="359"/>
      <c r="BO61" s="372"/>
      <c r="BP61" s="359"/>
      <c r="BQ61" s="372"/>
      <c r="BR61" s="359"/>
      <c r="BS61" s="372"/>
      <c r="BT61" s="359"/>
      <c r="BU61" s="372"/>
      <c r="BV61" s="359"/>
      <c r="BW61" s="372"/>
      <c r="BX61" s="359"/>
      <c r="BY61" s="372"/>
      <c r="BZ61" s="359"/>
      <c r="CA61" s="372"/>
      <c r="CB61" s="359"/>
      <c r="CC61" s="372"/>
      <c r="CD61" s="359"/>
      <c r="CE61" s="372"/>
      <c r="CF61" s="359"/>
      <c r="CG61" s="372"/>
      <c r="CH61" s="359"/>
      <c r="CI61" s="372"/>
      <c r="CJ61" s="359"/>
      <c r="CK61" s="372"/>
      <c r="CL61" s="359"/>
      <c r="CM61" s="372"/>
      <c r="CN61" s="359"/>
      <c r="CO61" s="372"/>
      <c r="CP61" s="359"/>
      <c r="CQ61" s="372"/>
      <c r="CR61" s="359"/>
      <c r="CS61" s="372"/>
      <c r="CT61" s="359"/>
      <c r="CU61" s="372"/>
      <c r="CV61" s="359"/>
      <c r="CW61" s="372"/>
      <c r="CX61" s="359"/>
      <c r="CY61" s="372"/>
      <c r="CZ61" s="359"/>
      <c r="DA61" s="372"/>
      <c r="DB61" s="359"/>
      <c r="DC61" s="372"/>
      <c r="DD61" s="359"/>
      <c r="DE61" s="372"/>
      <c r="DF61" s="359"/>
      <c r="DG61" s="372"/>
    </row>
    <row r="62" spans="1:111" s="4" customFormat="1" ht="18" customHeight="1" outlineLevel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3.0799999999999998E-3</v>
      </c>
      <c r="H62" s="89"/>
      <c r="I62" s="90">
        <f>0.055/100*(I67+(I64/I66))</f>
        <v>3.0799999999999998E-3</v>
      </c>
      <c r="J62" s="89"/>
      <c r="K62" s="90">
        <f>0.055/100*(K67+(K64/K66))</f>
        <v>3.0799999999999998E-3</v>
      </c>
      <c r="L62" s="89"/>
      <c r="M62" s="90">
        <f>0.055/100*(M67+(M64/M66))</f>
        <v>3.0799999999999998E-3</v>
      </c>
      <c r="N62" s="373"/>
      <c r="O62" s="374">
        <f>0.055/100*(O67+(O64/O66))</f>
        <v>3.2965625000000004E-3</v>
      </c>
      <c r="P62" s="373"/>
      <c r="Q62" s="374">
        <f>0.055/100*(Q67+(Q64/Q66))</f>
        <v>3.3274545454545462E-3</v>
      </c>
      <c r="R62" s="373"/>
      <c r="S62" s="374">
        <f>0.055/100*(S67+(S64/S66))</f>
        <v>3.3274545454545462E-3</v>
      </c>
      <c r="T62" s="373"/>
      <c r="U62" s="374">
        <f>0.055/100*(U67+(U64/U66))</f>
        <v>3.3274545454545462E-3</v>
      </c>
      <c r="V62" s="373"/>
      <c r="W62" s="374">
        <f>0.055/100*(W67+(W64/W66))</f>
        <v>3.3274545454545462E-3</v>
      </c>
      <c r="X62" s="373"/>
      <c r="Y62" s="374">
        <f>0.055/100*(Y67+(Y64/Y66))</f>
        <v>3.3274545454545462E-3</v>
      </c>
      <c r="Z62" s="373"/>
      <c r="AA62" s="374">
        <f>0.055/100*(AA67+(AA64/AA66))</f>
        <v>3.3274545454545462E-3</v>
      </c>
      <c r="AB62" s="373"/>
      <c r="AC62" s="374">
        <f>0.055/100*(AC67+(AC64/AC66))</f>
        <v>3.3274545454545462E-3</v>
      </c>
      <c r="AD62" s="373"/>
      <c r="AE62" s="374">
        <f>0.055/100*(AE67+(AE64/AE66))</f>
        <v>3.3274545454545462E-3</v>
      </c>
      <c r="AF62" s="373"/>
      <c r="AG62" s="374">
        <f>0.055/100*(AG67+(AG64/AG66))</f>
        <v>3.3274545454545462E-3</v>
      </c>
      <c r="AH62" s="373"/>
      <c r="AI62" s="374">
        <f>0.055/100*(AI67+(AI64/AI66))</f>
        <v>3.3274545454545462E-3</v>
      </c>
      <c r="AJ62" s="373"/>
      <c r="AK62" s="374">
        <f>0.055/100*(AK67+(AK64/AK66))</f>
        <v>3.3274545454545462E-3</v>
      </c>
      <c r="AL62" s="373"/>
      <c r="AM62" s="374">
        <f t="shared" ref="AM62" si="865">0.055/100*(AM67+(AM64/AM66))</f>
        <v>3.3274545454545462E-3</v>
      </c>
      <c r="AN62" s="373"/>
      <c r="AO62" s="374">
        <f t="shared" ref="AO62:AQ63" si="866">0.055/100*(AO67+(AO64/AO66))</f>
        <v>3.3274545454545462E-3</v>
      </c>
      <c r="AP62" s="373"/>
      <c r="AQ62" s="374">
        <f t="shared" si="866"/>
        <v>3.3274545454545462E-3</v>
      </c>
      <c r="AR62" s="373"/>
      <c r="AS62" s="374">
        <f t="shared" ref="AS62" si="867">0.055/100*(AS67+(AS64/AS66))</f>
        <v>3.3274545454545462E-3</v>
      </c>
      <c r="AT62" s="373"/>
      <c r="AU62" s="374">
        <f t="shared" ref="AU62" si="868">0.055/100*(AU67+(AU64/AU66))</f>
        <v>3.3274545454545462E-3</v>
      </c>
      <c r="AV62" s="373"/>
      <c r="AW62" s="374">
        <f t="shared" ref="AW62" si="869">0.055/100*(AW67+(AW64/AW66))</f>
        <v>3.3274545454545462E-3</v>
      </c>
      <c r="AX62" s="373"/>
      <c r="AY62" s="374">
        <f t="shared" ref="AY62:AY63" si="870">0.055/100*(AY67+(AY64/AY66))</f>
        <v>3.3274545454545462E-3</v>
      </c>
      <c r="AZ62" s="373"/>
      <c r="BA62" s="374">
        <f t="shared" ref="BA62:BC63" si="871">0.055/100*(BA67+(BA64/BA66))</f>
        <v>3.3274545454545462E-3</v>
      </c>
      <c r="BB62" s="373"/>
      <c r="BC62" s="374">
        <f t="shared" si="871"/>
        <v>3.3274545454545462E-3</v>
      </c>
      <c r="BD62" s="373"/>
      <c r="BE62" s="374">
        <f t="shared" ref="BE62:BI62" si="872">0.055/100*(BE67+(BE64/BE66))</f>
        <v>3.3274545454545462E-3</v>
      </c>
      <c r="BF62" s="373"/>
      <c r="BG62" s="374">
        <f t="shared" si="872"/>
        <v>3.3274545454545462E-3</v>
      </c>
      <c r="BH62" s="373"/>
      <c r="BI62" s="374">
        <f t="shared" si="872"/>
        <v>3.3274545454545462E-3</v>
      </c>
      <c r="BJ62" s="373">
        <f>6.05-BK60</f>
        <v>0</v>
      </c>
      <c r="BK62" s="374">
        <v>6.301652892561016E-3</v>
      </c>
      <c r="BL62" s="373">
        <f>6.05-BM60</f>
        <v>0</v>
      </c>
      <c r="BM62" s="374">
        <v>6.301652892561016E-3</v>
      </c>
      <c r="BN62" s="373">
        <f>6.05-BO60</f>
        <v>0</v>
      </c>
      <c r="BO62" s="374">
        <v>6.301652892561016E-3</v>
      </c>
      <c r="BP62" s="373">
        <f>6.05-BQ60</f>
        <v>0</v>
      </c>
      <c r="BQ62" s="374">
        <v>6.301652892561016E-3</v>
      </c>
      <c r="BR62" s="373">
        <f>6.05-BS60</f>
        <v>0</v>
      </c>
      <c r="BS62" s="374">
        <v>6.301652892561016E-3</v>
      </c>
      <c r="BT62" s="373">
        <f>6.05-BU60</f>
        <v>0</v>
      </c>
      <c r="BU62" s="374">
        <v>6.301652892561016E-3</v>
      </c>
      <c r="BV62" s="373">
        <f>6.05-BW60</f>
        <v>0</v>
      </c>
      <c r="BW62" s="374">
        <v>6.301652892561016E-3</v>
      </c>
      <c r="BX62" s="373">
        <f>6.05-BY60</f>
        <v>0</v>
      </c>
      <c r="BY62" s="374">
        <v>6.301652892561016E-3</v>
      </c>
      <c r="BZ62" s="373">
        <f>6.05-CA60</f>
        <v>0</v>
      </c>
      <c r="CA62" s="374">
        <v>6.301652892561016E-3</v>
      </c>
      <c r="CB62" s="373">
        <f>6.05-CC60</f>
        <v>0</v>
      </c>
      <c r="CC62" s="374">
        <v>6.301652892561016E-3</v>
      </c>
      <c r="CD62" s="373">
        <f>6.05-CE60</f>
        <v>2.4999999999995026E-3</v>
      </c>
      <c r="CE62" s="374">
        <f>0.01</f>
        <v>0.01</v>
      </c>
      <c r="CF62" s="373">
        <f>6.05-CG60</f>
        <v>2.4999999999995026E-3</v>
      </c>
      <c r="CG62" s="374">
        <f>0.01</f>
        <v>0.01</v>
      </c>
      <c r="CH62" s="373">
        <f>6.05-CI60</f>
        <v>2.4999999999995026E-3</v>
      </c>
      <c r="CI62" s="374">
        <f>0.01</f>
        <v>0.01</v>
      </c>
      <c r="CJ62" s="373">
        <f>6.05-CK60</f>
        <v>2.4999999999995026E-3</v>
      </c>
      <c r="CK62" s="374">
        <f>0.01</f>
        <v>0.01</v>
      </c>
      <c r="CL62" s="373">
        <f>6.05-CM60</f>
        <v>2.4999999999995026E-3</v>
      </c>
      <c r="CM62" s="374">
        <f>0.01</f>
        <v>0.01</v>
      </c>
      <c r="CN62" s="373">
        <f>6.05-CO60</f>
        <v>0</v>
      </c>
      <c r="CO62" s="374">
        <v>6.301652892561016E-3</v>
      </c>
      <c r="CP62" s="373"/>
      <c r="CQ62" s="374">
        <f>0.055/100*(CQ67+(CQ64/CQ66))</f>
        <v>3.3146806316143901E-3</v>
      </c>
      <c r="CR62" s="373"/>
      <c r="CS62" s="374">
        <f>0.055/100*(CS67+(CS64/CS66))</f>
        <v>3.3274545454545462E-3</v>
      </c>
      <c r="CT62" s="373"/>
      <c r="CU62" s="374">
        <f>0.055/100*(CU67+(CU64/CU66))</f>
        <v>3.3274545454545462E-3</v>
      </c>
      <c r="CV62" s="373"/>
      <c r="CW62" s="374">
        <f>0.055/100*(CW67+(CW64/CW66))</f>
        <v>3.3274545454545462E-3</v>
      </c>
      <c r="CX62" s="373"/>
      <c r="CY62" s="374">
        <f>0.055/100*(CY67+(CY64/CY66))</f>
        <v>3.3206423698653011E-3</v>
      </c>
      <c r="CZ62" s="373"/>
      <c r="DA62" s="374">
        <f>0.055/100*(DA67+(DA64/DA66))</f>
        <v>3.3274545454545462E-3</v>
      </c>
      <c r="DB62" s="373">
        <f>6.5-DC60</f>
        <v>-4.9999999999999822E-2</v>
      </c>
      <c r="DC62" s="374">
        <v>-9.9173553719014151E-3</v>
      </c>
      <c r="DD62" s="373">
        <f>6.5-DE60</f>
        <v>0.45008264462809855</v>
      </c>
      <c r="DE62" s="374">
        <v>0</v>
      </c>
      <c r="DF62" s="373">
        <f>6.5-DG60</f>
        <v>0.45008264462809855</v>
      </c>
      <c r="DG62" s="374">
        <v>0</v>
      </c>
    </row>
    <row r="63" spans="1:111" s="4" customFormat="1" ht="18" customHeight="1" outlineLevel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0.055/100*(G68+(G65/G67))</f>
        <v>2.7320617816091954E-3</v>
      </c>
      <c r="H63" s="89"/>
      <c r="I63" s="90">
        <f>0.055/100*(I68+(I65/I67))</f>
        <v>2.7316397058823527E-3</v>
      </c>
      <c r="J63" s="89"/>
      <c r="K63" s="90">
        <f>0.055/100*(K68+(K65/K67))</f>
        <v>2.7316397058823527E-3</v>
      </c>
      <c r="L63" s="89"/>
      <c r="M63" s="90">
        <f>0.055/100*(M68+(M65/M67))</f>
        <v>2.7316397058823527E-3</v>
      </c>
      <c r="N63" s="373"/>
      <c r="O63" s="374">
        <f>0.055/100*(O68+(O65/O67))</f>
        <v>2.7446803006155205E-3</v>
      </c>
      <c r="P63" s="373"/>
      <c r="Q63" s="374">
        <f>0.055/100*(Q68+(Q65/Q67))</f>
        <v>2.7466959138422557E-3</v>
      </c>
      <c r="R63" s="373"/>
      <c r="S63" s="374">
        <f>0.055/100*(S68+(S65/S67))</f>
        <v>2.7466959138422557E-3</v>
      </c>
      <c r="T63" s="373"/>
      <c r="U63" s="374">
        <f>0.055/100*(U68+(U65/U67))</f>
        <v>2.7466959138422557E-3</v>
      </c>
      <c r="V63" s="373"/>
      <c r="W63" s="374">
        <f>0.055/100*(W68+(W65/W67))</f>
        <v>2.7466959138422557E-3</v>
      </c>
      <c r="X63" s="373"/>
      <c r="Y63" s="374">
        <f>0.055/100*(Y68+(Y65/Y67))</f>
        <v>2.7466959138422557E-3</v>
      </c>
      <c r="Z63" s="373"/>
      <c r="AA63" s="374">
        <f>0.055/100*(AA68+(AA65/AA67))</f>
        <v>2.7466959138422557E-3</v>
      </c>
      <c r="AB63" s="373"/>
      <c r="AC63" s="374">
        <f>0.055/100*(AC68+(AC65/AC67))</f>
        <v>2.7466959138422557E-3</v>
      </c>
      <c r="AD63" s="373"/>
      <c r="AE63" s="374">
        <f>0.055/100*(AE68+(AE65/AE67))</f>
        <v>2.7466959138422557E-3</v>
      </c>
      <c r="AF63" s="373"/>
      <c r="AG63" s="374">
        <f>0.055/100*(AG68+(AG65/AG67))</f>
        <v>2.7466959138422557E-3</v>
      </c>
      <c r="AH63" s="373"/>
      <c r="AI63" s="374">
        <f>0.055/100*(AI68+(AI65/AI67))</f>
        <v>2.7466959138422557E-3</v>
      </c>
      <c r="AJ63" s="373"/>
      <c r="AK63" s="374">
        <f>0.055/100*(AK68+(AK65/AK67))</f>
        <v>2.7466959138422557E-3</v>
      </c>
      <c r="AL63" s="373"/>
      <c r="AM63" s="374">
        <f t="shared" ref="AM63" si="873">0.055/100*(AM68+(AM65/AM67))</f>
        <v>2.7466959138422557E-3</v>
      </c>
      <c r="AN63" s="373"/>
      <c r="AO63" s="374">
        <f t="shared" si="866"/>
        <v>2.7466959138422557E-3</v>
      </c>
      <c r="AP63" s="373"/>
      <c r="AQ63" s="374">
        <f t="shared" si="866"/>
        <v>2.7466959138422557E-3</v>
      </c>
      <c r="AR63" s="373"/>
      <c r="AS63" s="374">
        <f t="shared" ref="AS63" si="874">0.055/100*(AS68+(AS65/AS67))</f>
        <v>2.7466959138422557E-3</v>
      </c>
      <c r="AT63" s="373"/>
      <c r="AU63" s="374">
        <f t="shared" ref="AU63" si="875">0.055/100*(AU68+(AU65/AU67))</f>
        <v>2.7466959138422557E-3</v>
      </c>
      <c r="AV63" s="373"/>
      <c r="AW63" s="374">
        <f t="shared" ref="AW63" si="876">0.055/100*(AW68+(AW65/AW67))</f>
        <v>2.7466959138422557E-3</v>
      </c>
      <c r="AX63" s="373"/>
      <c r="AY63" s="374">
        <f t="shared" si="870"/>
        <v>2.7466959138422557E-3</v>
      </c>
      <c r="AZ63" s="373"/>
      <c r="BA63" s="374">
        <f t="shared" si="871"/>
        <v>2.7466959138422557E-3</v>
      </c>
      <c r="BB63" s="373"/>
      <c r="BC63" s="374">
        <f t="shared" si="871"/>
        <v>2.7466959138422557E-3</v>
      </c>
      <c r="BD63" s="373"/>
      <c r="BE63" s="374">
        <f t="shared" ref="BE63:BK63" si="877">0.055/100*(BE68+(BE65/BE67))</f>
        <v>2.7466959138422557E-3</v>
      </c>
      <c r="BF63" s="373"/>
      <c r="BG63" s="374">
        <f t="shared" si="877"/>
        <v>2.7466959138422557E-3</v>
      </c>
      <c r="BH63" s="373"/>
      <c r="BI63" s="374">
        <f t="shared" si="877"/>
        <v>2.7466959138422557E-3</v>
      </c>
      <c r="BJ63" s="373"/>
      <c r="BK63" s="374">
        <f t="shared" si="877"/>
        <v>2.7991768648018651E-3</v>
      </c>
      <c r="BL63" s="373"/>
      <c r="BM63" s="374">
        <f t="shared" ref="BM63:BO63" si="878">0.055/100*(BM68+(BM65/BM67))</f>
        <v>2.7991768648018651E-3</v>
      </c>
      <c r="BN63" s="373"/>
      <c r="BO63" s="374">
        <f t="shared" si="878"/>
        <v>2.7991768648018651E-3</v>
      </c>
      <c r="BP63" s="373"/>
      <c r="BQ63" s="374">
        <f t="shared" ref="BQ63:BS63" si="879">0.055/100*(BQ68+(BQ65/BQ67))</f>
        <v>2.7991768648018651E-3</v>
      </c>
      <c r="BR63" s="373"/>
      <c r="BS63" s="374">
        <f t="shared" si="879"/>
        <v>2.7991768648018651E-3</v>
      </c>
      <c r="BT63" s="373"/>
      <c r="BU63" s="374">
        <f t="shared" ref="BU63:BW63" si="880">0.055/100*(BU68+(BU65/BU67))</f>
        <v>2.7991768648018651E-3</v>
      </c>
      <c r="BV63" s="373"/>
      <c r="BW63" s="374">
        <f t="shared" si="880"/>
        <v>2.7991768648018651E-3</v>
      </c>
      <c r="BX63" s="373"/>
      <c r="BY63" s="374">
        <f t="shared" ref="BY63:CA63" si="881">0.055/100*(BY68+(BY65/BY67))</f>
        <v>2.7991768648018651E-3</v>
      </c>
      <c r="BZ63" s="373"/>
      <c r="CA63" s="374">
        <f t="shared" si="881"/>
        <v>2.7991768648018651E-3</v>
      </c>
      <c r="CB63" s="373"/>
      <c r="CC63" s="374">
        <f t="shared" ref="CC63:CE63" si="882">0.055/100*(CC68+(CC65/CC67))</f>
        <v>2.7991768648018651E-3</v>
      </c>
      <c r="CD63" s="373"/>
      <c r="CE63" s="374">
        <f t="shared" si="882"/>
        <v>2.8006282051282055E-3</v>
      </c>
      <c r="CF63" s="373"/>
      <c r="CG63" s="374">
        <f t="shared" ref="CG63:CI63" si="883">0.055/100*(CG68+(CG65/CG67))</f>
        <v>2.8006282051282055E-3</v>
      </c>
      <c r="CH63" s="373"/>
      <c r="CI63" s="374">
        <f t="shared" si="883"/>
        <v>2.8006282051282055E-3</v>
      </c>
      <c r="CJ63" s="373"/>
      <c r="CK63" s="374">
        <f t="shared" ref="CK63" si="884">0.055/100*(CK68+(CK65/CK67))</f>
        <v>2.8006282051282055E-3</v>
      </c>
      <c r="CL63" s="373"/>
      <c r="CM63" s="374">
        <f t="shared" ref="CM63" si="885">0.055/100*(CM68+(CM65/CM67))</f>
        <v>2.8006282051282055E-3</v>
      </c>
      <c r="CN63" s="373"/>
      <c r="CO63" s="374">
        <f t="shared" ref="CO63" si="886">0.055/100*(CO68+(CO65/CO67))</f>
        <v>2.7991768648018651E-3</v>
      </c>
      <c r="CP63" s="373"/>
      <c r="CQ63" s="374">
        <f>0.055/100*(CQ68+(CQ65/CQ67))</f>
        <v>2.7457695820967756E-3</v>
      </c>
      <c r="CR63" s="373"/>
      <c r="CS63" s="374">
        <f>0.055/100*(CS68+(CS65/CS67))</f>
        <v>2.7466959138422557E-3</v>
      </c>
      <c r="CT63" s="373"/>
      <c r="CU63" s="374">
        <f>0.055/100*(CU68+(CU65/CU67))</f>
        <v>2.7466959138422557E-3</v>
      </c>
      <c r="CV63" s="373"/>
      <c r="CW63" s="374">
        <f>0.055/100*(CW68+(CW65/CW67))</f>
        <v>2.7466959138422557E-3</v>
      </c>
      <c r="CX63" s="373"/>
      <c r="CY63" s="374">
        <f>0.055/100*(CY68+(CY65/CY67))</f>
        <v>2.746251364211201E-3</v>
      </c>
      <c r="CZ63" s="373"/>
      <c r="DA63" s="374">
        <f>0.055/100*(DA68+(DA65/DA67))</f>
        <v>2.7466959138422557E-3</v>
      </c>
      <c r="DB63" s="373"/>
      <c r="DC63" s="374">
        <f>0.055/100*(DC68+(DC65/DC67))</f>
        <v>2.881818181818182E-3</v>
      </c>
      <c r="DD63" s="373"/>
      <c r="DE63" s="374">
        <f>0.055/100*(DE68+(DE65/DE67))</f>
        <v>2.7466959138422557E-3</v>
      </c>
      <c r="DF63" s="373"/>
      <c r="DG63" s="374">
        <f>0.055/100*(DG68+(DG65/DG67))</f>
        <v>2.7466959138422557E-3</v>
      </c>
    </row>
    <row r="64" spans="1:111" s="4" customFormat="1" ht="18" customHeight="1" outlineLevel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650</v>
      </c>
      <c r="H64" s="42"/>
      <c r="I64" s="91">
        <v>1150</v>
      </c>
      <c r="J64" s="42"/>
      <c r="K64" s="91">
        <v>1150</v>
      </c>
      <c r="L64" s="42"/>
      <c r="M64" s="91">
        <v>1150</v>
      </c>
      <c r="N64" s="359"/>
      <c r="O64" s="91">
        <v>1190.6399999999999</v>
      </c>
      <c r="P64" s="359"/>
      <c r="Q64" s="91">
        <v>1200</v>
      </c>
      <c r="R64" s="359"/>
      <c r="S64" s="91">
        <v>1200</v>
      </c>
      <c r="T64" s="359"/>
      <c r="U64" s="91">
        <v>1200</v>
      </c>
      <c r="V64" s="359"/>
      <c r="W64" s="91">
        <v>1200</v>
      </c>
      <c r="X64" s="359"/>
      <c r="Y64" s="91">
        <v>1200</v>
      </c>
      <c r="Z64" s="359"/>
      <c r="AA64" s="91">
        <v>1200</v>
      </c>
      <c r="AB64" s="359"/>
      <c r="AC64" s="91">
        <v>1200</v>
      </c>
      <c r="AD64" s="359"/>
      <c r="AE64" s="91">
        <v>1200</v>
      </c>
      <c r="AF64" s="359"/>
      <c r="AG64" s="91">
        <v>1200</v>
      </c>
      <c r="AH64" s="359"/>
      <c r="AI64" s="91">
        <v>1200</v>
      </c>
      <c r="AJ64" s="359"/>
      <c r="AK64" s="91">
        <v>1200</v>
      </c>
      <c r="AL64" s="359"/>
      <c r="AM64" s="91">
        <v>1200</v>
      </c>
      <c r="AN64" s="359"/>
      <c r="AO64" s="91">
        <v>1200</v>
      </c>
      <c r="AP64" s="359"/>
      <c r="AQ64" s="91">
        <v>1200</v>
      </c>
      <c r="AR64" s="359"/>
      <c r="AS64" s="91">
        <v>1200</v>
      </c>
      <c r="AT64" s="359"/>
      <c r="AU64" s="91">
        <v>1200</v>
      </c>
      <c r="AV64" s="359"/>
      <c r="AW64" s="91">
        <v>1200</v>
      </c>
      <c r="AX64" s="359"/>
      <c r="AY64" s="91">
        <v>1200</v>
      </c>
      <c r="AZ64" s="359"/>
      <c r="BA64" s="91">
        <v>1200</v>
      </c>
      <c r="BB64" s="359"/>
      <c r="BC64" s="91">
        <v>1200</v>
      </c>
      <c r="BD64" s="359"/>
      <c r="BE64" s="91">
        <v>1200</v>
      </c>
      <c r="BF64" s="359"/>
      <c r="BG64" s="91">
        <v>1200</v>
      </c>
      <c r="BH64" s="359"/>
      <c r="BI64" s="91">
        <v>1200</v>
      </c>
      <c r="BJ64" s="359"/>
      <c r="BK64" s="91">
        <v>750</v>
      </c>
      <c r="BL64" s="359"/>
      <c r="BM64" s="91">
        <v>750</v>
      </c>
      <c r="BN64" s="359"/>
      <c r="BO64" s="91">
        <v>750</v>
      </c>
      <c r="BP64" s="359"/>
      <c r="BQ64" s="91">
        <v>750</v>
      </c>
      <c r="BR64" s="359"/>
      <c r="BS64" s="91">
        <v>750</v>
      </c>
      <c r="BT64" s="359"/>
      <c r="BU64" s="91">
        <v>750</v>
      </c>
      <c r="BV64" s="359"/>
      <c r="BW64" s="91">
        <v>750</v>
      </c>
      <c r="BX64" s="359"/>
      <c r="BY64" s="91">
        <v>750</v>
      </c>
      <c r="BZ64" s="359"/>
      <c r="CA64" s="91">
        <v>750</v>
      </c>
      <c r="CB64" s="359"/>
      <c r="CC64" s="91">
        <v>750</v>
      </c>
      <c r="CD64" s="359"/>
      <c r="CE64" s="91">
        <v>750</v>
      </c>
      <c r="CF64" s="359"/>
      <c r="CG64" s="91">
        <v>750</v>
      </c>
      <c r="CH64" s="359"/>
      <c r="CI64" s="91">
        <v>750</v>
      </c>
      <c r="CJ64" s="359"/>
      <c r="CK64" s="91">
        <v>750</v>
      </c>
      <c r="CL64" s="359"/>
      <c r="CM64" s="91">
        <v>750</v>
      </c>
      <c r="CN64" s="359"/>
      <c r="CO64" s="91">
        <v>750</v>
      </c>
      <c r="CP64" s="359"/>
      <c r="CQ64" s="91">
        <f>(SUMPRODUCT(U64,U$131)+SUMPRODUCT(W64,W$131)+SUMPRODUCT(O64,O$131))/SUM(O$131,U$131,W$131)</f>
        <v>1196.1600000000001</v>
      </c>
      <c r="CR64" s="359"/>
      <c r="CS64" s="91">
        <f>(SUMPRODUCT(AA64,AA$131)+SUMPRODUCT(AC64,AC$131)+SUMPRODUCT(Y64,Y$131))/SUM(Y$131,AA$131,AC$131)</f>
        <v>1200</v>
      </c>
      <c r="CT64" s="359"/>
      <c r="CU64" s="91">
        <f>(SUMPRODUCT(AG64,AG$131)+SUMPRODUCT(AE64,AE$131)+SUMPRODUCT(AI64,AI$131))/SUM(AI$131,AG$131,AE$131)</f>
        <v>1200</v>
      </c>
      <c r="CV64" s="359"/>
      <c r="CW64" s="91">
        <v>1200</v>
      </c>
      <c r="CX64" s="359"/>
      <c r="CY64" s="91">
        <f>(SUMPRODUCT(O64,O$131)+SUMPRODUCT(U64,U$131)+SUMPRODUCT(W64,W$131)+SUMPRODUCT(Y64,Y$131)+SUMPRODUCT(AA64,AA$131)+SUMPRODUCT(AC64,AC$131))/SUM(U$131,O$131,W$131,Y$131,AA$131,AC$131)</f>
        <v>1197.9359746958437</v>
      </c>
      <c r="CZ64" s="359"/>
      <c r="DA64" s="91">
        <v>1200</v>
      </c>
      <c r="DB64" s="359"/>
      <c r="DC64" s="91">
        <v>1200</v>
      </c>
      <c r="DD64" s="359"/>
      <c r="DE64" s="91">
        <v>1200</v>
      </c>
      <c r="DF64" s="359"/>
      <c r="DG64" s="91">
        <v>1200</v>
      </c>
    </row>
    <row r="65" spans="1:111" s="97" customFormat="1" ht="18" customHeight="1" outlineLevel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0.16250000000000001</v>
      </c>
      <c r="H65" s="95"/>
      <c r="I65" s="96">
        <f>+I64/I66</f>
        <v>0.28749999999999998</v>
      </c>
      <c r="J65" s="95"/>
      <c r="K65" s="96">
        <f>+K64/K66</f>
        <v>0.28749999999999998</v>
      </c>
      <c r="L65" s="95"/>
      <c r="M65" s="96">
        <f>+M64/M66</f>
        <v>0.28749999999999998</v>
      </c>
      <c r="N65" s="375"/>
      <c r="O65" s="376">
        <f>+O64/O66</f>
        <v>0.30749999999999994</v>
      </c>
      <c r="P65" s="375"/>
      <c r="Q65" s="376">
        <f>+Q64/Q66</f>
        <v>0.30991735537190085</v>
      </c>
      <c r="R65" s="375"/>
      <c r="S65" s="376">
        <f>+S64/S66</f>
        <v>0.30991735537190085</v>
      </c>
      <c r="T65" s="375"/>
      <c r="U65" s="376">
        <f>+U64/U66</f>
        <v>0.30991735537190085</v>
      </c>
      <c r="V65" s="375"/>
      <c r="W65" s="376">
        <f>+W64/W66</f>
        <v>0.30991735537190085</v>
      </c>
      <c r="X65" s="375"/>
      <c r="Y65" s="376">
        <f>+Y64/Y66</f>
        <v>0.30991735537190085</v>
      </c>
      <c r="Z65" s="375"/>
      <c r="AA65" s="376">
        <f>+AA64/AA66</f>
        <v>0.30991735537190085</v>
      </c>
      <c r="AB65" s="375"/>
      <c r="AC65" s="376">
        <f>+AC64/AC66</f>
        <v>0.30991735537190085</v>
      </c>
      <c r="AD65" s="375"/>
      <c r="AE65" s="376">
        <f>+AE64/AE66</f>
        <v>0.30991735537190085</v>
      </c>
      <c r="AF65" s="375"/>
      <c r="AG65" s="376">
        <f>+AG64/AG66</f>
        <v>0.30991735537190085</v>
      </c>
      <c r="AH65" s="375"/>
      <c r="AI65" s="376">
        <f>+AI64/AI66</f>
        <v>0.30991735537190085</v>
      </c>
      <c r="AJ65" s="375"/>
      <c r="AK65" s="376">
        <f>+AK64/AK66</f>
        <v>0.30991735537190085</v>
      </c>
      <c r="AL65" s="375"/>
      <c r="AM65" s="376">
        <f t="shared" ref="AM65" si="887">+AM64/AM66</f>
        <v>0.30991735537190085</v>
      </c>
      <c r="AN65" s="375"/>
      <c r="AO65" s="376">
        <f t="shared" ref="AO65" si="888">+AO64/AO66</f>
        <v>0.30991735537190085</v>
      </c>
      <c r="AP65" s="375"/>
      <c r="AQ65" s="376">
        <f t="shared" ref="AQ65" si="889">+AQ64/AQ66</f>
        <v>0.30991735537190085</v>
      </c>
      <c r="AR65" s="375"/>
      <c r="AS65" s="376">
        <f t="shared" ref="AS65" si="890">+AS64/AS66</f>
        <v>0.30991735537190085</v>
      </c>
      <c r="AT65" s="375"/>
      <c r="AU65" s="376">
        <f t="shared" ref="AU65" si="891">+AU64/AU66</f>
        <v>0.30991735537190085</v>
      </c>
      <c r="AV65" s="375"/>
      <c r="AW65" s="376">
        <f t="shared" ref="AW65" si="892">+AW64/AW66</f>
        <v>0.30991735537190085</v>
      </c>
      <c r="AX65" s="375"/>
      <c r="AY65" s="376">
        <f t="shared" ref="AY65" si="893">+AY64/AY66</f>
        <v>0.30991735537190085</v>
      </c>
      <c r="AZ65" s="375"/>
      <c r="BA65" s="376">
        <f t="shared" ref="BA65:BC65" si="894">+BA64/BA66</f>
        <v>0.30991735537190085</v>
      </c>
      <c r="BB65" s="375"/>
      <c r="BC65" s="376">
        <f t="shared" si="894"/>
        <v>0.30991735537190085</v>
      </c>
      <c r="BD65" s="375"/>
      <c r="BE65" s="376">
        <f t="shared" ref="BE65:BK65" si="895">+BE64/BE66</f>
        <v>0.30991735537190085</v>
      </c>
      <c r="BF65" s="375"/>
      <c r="BG65" s="376">
        <f t="shared" si="895"/>
        <v>0.30991735537190085</v>
      </c>
      <c r="BH65" s="375"/>
      <c r="BI65" s="376">
        <f t="shared" si="895"/>
        <v>0.30991735537190085</v>
      </c>
      <c r="BJ65" s="375"/>
      <c r="BK65" s="376">
        <f t="shared" si="895"/>
        <v>0.19369834710743802</v>
      </c>
      <c r="BL65" s="375"/>
      <c r="BM65" s="376">
        <f t="shared" ref="BM65:BO65" si="896">+BM64/BM66</f>
        <v>0.19369834710743802</v>
      </c>
      <c r="BN65" s="375"/>
      <c r="BO65" s="376">
        <f t="shared" si="896"/>
        <v>0.19369834710743802</v>
      </c>
      <c r="BP65" s="375"/>
      <c r="BQ65" s="376">
        <f t="shared" ref="BQ65:BS65" si="897">+BQ64/BQ66</f>
        <v>0.19369834710743802</v>
      </c>
      <c r="BR65" s="375"/>
      <c r="BS65" s="376">
        <f t="shared" si="897"/>
        <v>0.19369834710743802</v>
      </c>
      <c r="BT65" s="375"/>
      <c r="BU65" s="376">
        <f t="shared" ref="BU65:BW65" si="898">+BU64/BU66</f>
        <v>0.19369834710743802</v>
      </c>
      <c r="BV65" s="375"/>
      <c r="BW65" s="376">
        <f t="shared" si="898"/>
        <v>0.19369834710743802</v>
      </c>
      <c r="BX65" s="375"/>
      <c r="BY65" s="376">
        <f t="shared" ref="BY65:CA65" si="899">+BY64/BY66</f>
        <v>0.19369834710743802</v>
      </c>
      <c r="BZ65" s="375"/>
      <c r="CA65" s="376">
        <f t="shared" si="899"/>
        <v>0.19369834710743802</v>
      </c>
      <c r="CB65" s="375"/>
      <c r="CC65" s="376">
        <f t="shared" ref="CC65:CE65" si="900">+CC64/CC66</f>
        <v>0.19369834710743802</v>
      </c>
      <c r="CD65" s="375"/>
      <c r="CE65" s="376">
        <f t="shared" si="900"/>
        <v>0.1875</v>
      </c>
      <c r="CF65" s="375"/>
      <c r="CG65" s="376">
        <f t="shared" ref="CG65:CI65" si="901">+CG64/CG66</f>
        <v>0.1875</v>
      </c>
      <c r="CH65" s="375"/>
      <c r="CI65" s="376">
        <f t="shared" si="901"/>
        <v>0.1875</v>
      </c>
      <c r="CJ65" s="375"/>
      <c r="CK65" s="376">
        <f t="shared" ref="CK65" si="902">+CK64/CK66</f>
        <v>0.1875</v>
      </c>
      <c r="CL65" s="375"/>
      <c r="CM65" s="376">
        <f t="shared" ref="CM65" si="903">+CM64/CM66</f>
        <v>0.1875</v>
      </c>
      <c r="CN65" s="375"/>
      <c r="CO65" s="376">
        <f t="shared" ref="CO65" si="904">+CO64/CO66</f>
        <v>0.19369834710743802</v>
      </c>
      <c r="CP65" s="375"/>
      <c r="CQ65" s="376">
        <f>+CQ64/CQ66</f>
        <v>0.30892561983471079</v>
      </c>
      <c r="CR65" s="375"/>
      <c r="CS65" s="376">
        <f>+CS64/CS66</f>
        <v>0.30991735537190085</v>
      </c>
      <c r="CT65" s="375"/>
      <c r="CU65" s="376">
        <f>+CU64/CU66</f>
        <v>0.30991735537190085</v>
      </c>
      <c r="CV65" s="375"/>
      <c r="CW65" s="376">
        <f>+CW64/CW66</f>
        <v>0.30991735537190085</v>
      </c>
      <c r="CX65" s="375"/>
      <c r="CY65" s="376">
        <f>+CY64/CY66</f>
        <v>0.3093842909854968</v>
      </c>
      <c r="CZ65" s="375"/>
      <c r="DA65" s="376">
        <f>+DA64/DA66</f>
        <v>0.30991735537190085</v>
      </c>
      <c r="DB65" s="375"/>
      <c r="DC65" s="376">
        <f>+DC64/DC66</f>
        <v>0.30991735537190085</v>
      </c>
      <c r="DD65" s="375"/>
      <c r="DE65" s="376">
        <f>+DE64/DE66</f>
        <v>0.30991735537190085</v>
      </c>
      <c r="DF65" s="375"/>
      <c r="DG65" s="376">
        <f>+DG64/DG66</f>
        <v>0.30991735537190085</v>
      </c>
    </row>
    <row r="66" spans="1:111" s="4" customFormat="1" ht="18" customHeight="1" outlineLevel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4000</v>
      </c>
      <c r="H66" s="42"/>
      <c r="I66" s="88">
        <v>4000</v>
      </c>
      <c r="J66" s="42"/>
      <c r="K66" s="88">
        <v>4000</v>
      </c>
      <c r="L66" s="42"/>
      <c r="M66" s="88">
        <v>4000</v>
      </c>
      <c r="N66" s="359"/>
      <c r="O66" s="372">
        <v>3872</v>
      </c>
      <c r="P66" s="359"/>
      <c r="Q66" s="372">
        <v>3872</v>
      </c>
      <c r="R66" s="359"/>
      <c r="S66" s="372">
        <v>3872</v>
      </c>
      <c r="T66" s="359"/>
      <c r="U66" s="372">
        <v>3872</v>
      </c>
      <c r="V66" s="359"/>
      <c r="W66" s="372">
        <v>3872</v>
      </c>
      <c r="X66" s="359"/>
      <c r="Y66" s="372">
        <v>3872</v>
      </c>
      <c r="Z66" s="359"/>
      <c r="AA66" s="372">
        <v>3872</v>
      </c>
      <c r="AB66" s="359"/>
      <c r="AC66" s="372">
        <v>3872</v>
      </c>
      <c r="AD66" s="359"/>
      <c r="AE66" s="372">
        <v>3872</v>
      </c>
      <c r="AF66" s="359"/>
      <c r="AG66" s="372">
        <v>3872</v>
      </c>
      <c r="AH66" s="359"/>
      <c r="AI66" s="372">
        <v>3872</v>
      </c>
      <c r="AJ66" s="359"/>
      <c r="AK66" s="372">
        <v>3872</v>
      </c>
      <c r="AL66" s="359"/>
      <c r="AM66" s="372">
        <v>3872</v>
      </c>
      <c r="AN66" s="359"/>
      <c r="AO66" s="372">
        <v>3872</v>
      </c>
      <c r="AP66" s="359"/>
      <c r="AQ66" s="372">
        <v>3872</v>
      </c>
      <c r="AR66" s="359"/>
      <c r="AS66" s="372">
        <v>3872</v>
      </c>
      <c r="AT66" s="359"/>
      <c r="AU66" s="372">
        <v>3872</v>
      </c>
      <c r="AV66" s="359"/>
      <c r="AW66" s="372">
        <v>3872</v>
      </c>
      <c r="AX66" s="359"/>
      <c r="AY66" s="372">
        <v>3872</v>
      </c>
      <c r="AZ66" s="359"/>
      <c r="BA66" s="372">
        <v>3872</v>
      </c>
      <c r="BB66" s="359"/>
      <c r="BC66" s="372">
        <v>3872</v>
      </c>
      <c r="BD66" s="359"/>
      <c r="BE66" s="372">
        <v>3872</v>
      </c>
      <c r="BF66" s="359"/>
      <c r="BG66" s="372">
        <v>3872</v>
      </c>
      <c r="BH66" s="359"/>
      <c r="BI66" s="372">
        <v>3872</v>
      </c>
      <c r="BJ66" s="359"/>
      <c r="BK66" s="372">
        <v>3872</v>
      </c>
      <c r="BL66" s="359"/>
      <c r="BM66" s="372">
        <v>3872</v>
      </c>
      <c r="BN66" s="359"/>
      <c r="BO66" s="372">
        <v>3872</v>
      </c>
      <c r="BP66" s="359"/>
      <c r="BQ66" s="372">
        <v>3872</v>
      </c>
      <c r="BR66" s="359"/>
      <c r="BS66" s="372">
        <v>3872</v>
      </c>
      <c r="BT66" s="359"/>
      <c r="BU66" s="372">
        <v>3872</v>
      </c>
      <c r="BV66" s="359"/>
      <c r="BW66" s="372">
        <v>3872</v>
      </c>
      <c r="BX66" s="359"/>
      <c r="BY66" s="372">
        <v>3872</v>
      </c>
      <c r="BZ66" s="359"/>
      <c r="CA66" s="372">
        <v>3872</v>
      </c>
      <c r="CB66" s="359"/>
      <c r="CC66" s="372">
        <v>3872</v>
      </c>
      <c r="CD66" s="359"/>
      <c r="CE66" s="372">
        <v>4000</v>
      </c>
      <c r="CF66" s="359"/>
      <c r="CG66" s="372">
        <v>4000</v>
      </c>
      <c r="CH66" s="359"/>
      <c r="CI66" s="372">
        <v>4000</v>
      </c>
      <c r="CJ66" s="359"/>
      <c r="CK66" s="372">
        <v>4000</v>
      </c>
      <c r="CL66" s="359"/>
      <c r="CM66" s="372">
        <v>4000</v>
      </c>
      <c r="CN66" s="359"/>
      <c r="CO66" s="372">
        <v>3872</v>
      </c>
      <c r="CP66" s="359"/>
      <c r="CQ66" s="372">
        <v>3872</v>
      </c>
      <c r="CR66" s="359"/>
      <c r="CS66" s="372">
        <v>3872</v>
      </c>
      <c r="CT66" s="359"/>
      <c r="CU66" s="372">
        <v>3872</v>
      </c>
      <c r="CV66" s="359"/>
      <c r="CW66" s="372">
        <v>3872</v>
      </c>
      <c r="CX66" s="359"/>
      <c r="CY66" s="372">
        <v>3872</v>
      </c>
      <c r="CZ66" s="359"/>
      <c r="DA66" s="372">
        <v>3872</v>
      </c>
      <c r="DB66" s="359"/>
      <c r="DC66" s="372">
        <v>3872</v>
      </c>
      <c r="DD66" s="359"/>
      <c r="DE66" s="372">
        <v>3872</v>
      </c>
      <c r="DF66" s="359"/>
      <c r="DG66" s="372">
        <v>3872</v>
      </c>
    </row>
    <row r="67" spans="1:111" s="7" customFormat="1" ht="18" customHeight="1" outlineLevel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f>G60-G65</f>
        <v>5.4375</v>
      </c>
      <c r="H67" s="81"/>
      <c r="I67" s="82">
        <f>I60-I65</f>
        <v>5.3125</v>
      </c>
      <c r="J67" s="81"/>
      <c r="K67" s="82">
        <f>K60-K65</f>
        <v>5.3125</v>
      </c>
      <c r="L67" s="81"/>
      <c r="M67" s="82">
        <f>M60-M65</f>
        <v>5.3125</v>
      </c>
      <c r="N67" s="81">
        <f>O67-O57-O92</f>
        <v>4.4112499999999999</v>
      </c>
      <c r="O67" s="82">
        <v>5.6862500000000002</v>
      </c>
      <c r="P67" s="81"/>
      <c r="Q67" s="82">
        <f>5.44+0.3</f>
        <v>5.74</v>
      </c>
      <c r="R67" s="81"/>
      <c r="S67" s="82">
        <f>5.44+0.3</f>
        <v>5.74</v>
      </c>
      <c r="T67" s="81"/>
      <c r="U67" s="82">
        <f>5.44+0.3</f>
        <v>5.74</v>
      </c>
      <c r="V67" s="81"/>
      <c r="W67" s="82">
        <f>5.44+0.3</f>
        <v>5.74</v>
      </c>
      <c r="X67" s="81"/>
      <c r="Y67" s="82">
        <f>5.44+0.3</f>
        <v>5.74</v>
      </c>
      <c r="Z67" s="81"/>
      <c r="AA67" s="82">
        <f>5.44+0.3</f>
        <v>5.74</v>
      </c>
      <c r="AB67" s="81"/>
      <c r="AC67" s="82">
        <f>5.44+0.3</f>
        <v>5.74</v>
      </c>
      <c r="AD67" s="81"/>
      <c r="AE67" s="82">
        <f>5.44+0.3</f>
        <v>5.74</v>
      </c>
      <c r="AF67" s="81"/>
      <c r="AG67" s="82">
        <f>5.44+0.3</f>
        <v>5.74</v>
      </c>
      <c r="AH67" s="81"/>
      <c r="AI67" s="82">
        <f>5.44+0.3</f>
        <v>5.74</v>
      </c>
      <c r="AJ67" s="81"/>
      <c r="AK67" s="82">
        <f>5.44+0.3</f>
        <v>5.74</v>
      </c>
      <c r="AL67" s="81"/>
      <c r="AM67" s="82">
        <f t="shared" ref="AM67" si="905">5.44+0.3</f>
        <v>5.74</v>
      </c>
      <c r="AN67" s="81"/>
      <c r="AO67" s="82">
        <f t="shared" ref="AO67:BI67" si="906">5.44+0.3</f>
        <v>5.74</v>
      </c>
      <c r="AP67" s="81"/>
      <c r="AQ67" s="82">
        <f t="shared" si="906"/>
        <v>5.74</v>
      </c>
      <c r="AR67" s="81"/>
      <c r="AS67" s="82">
        <f t="shared" si="906"/>
        <v>5.74</v>
      </c>
      <c r="AT67" s="81"/>
      <c r="AU67" s="82">
        <f t="shared" si="906"/>
        <v>5.74</v>
      </c>
      <c r="AV67" s="81"/>
      <c r="AW67" s="82">
        <f t="shared" si="906"/>
        <v>5.74</v>
      </c>
      <c r="AX67" s="81"/>
      <c r="AY67" s="82">
        <f t="shared" si="906"/>
        <v>5.74</v>
      </c>
      <c r="AZ67" s="81"/>
      <c r="BA67" s="82">
        <f t="shared" si="906"/>
        <v>5.74</v>
      </c>
      <c r="BB67" s="81"/>
      <c r="BC67" s="82">
        <f t="shared" si="906"/>
        <v>5.74</v>
      </c>
      <c r="BD67" s="81"/>
      <c r="BE67" s="82">
        <f t="shared" si="906"/>
        <v>5.74</v>
      </c>
      <c r="BF67" s="81"/>
      <c r="BG67" s="82">
        <f t="shared" si="906"/>
        <v>5.74</v>
      </c>
      <c r="BH67" s="81"/>
      <c r="BI67" s="82">
        <f t="shared" si="906"/>
        <v>5.74</v>
      </c>
      <c r="BJ67" s="81"/>
      <c r="BK67" s="82">
        <f>5.44+0.41</f>
        <v>5.8500000000000005</v>
      </c>
      <c r="BL67" s="81"/>
      <c r="BM67" s="82">
        <f>5.44+0.41</f>
        <v>5.8500000000000005</v>
      </c>
      <c r="BN67" s="81"/>
      <c r="BO67" s="82">
        <f>5.44+0.41</f>
        <v>5.8500000000000005</v>
      </c>
      <c r="BP67" s="81"/>
      <c r="BQ67" s="82">
        <f>5.44+0.41</f>
        <v>5.8500000000000005</v>
      </c>
      <c r="BR67" s="81"/>
      <c r="BS67" s="82">
        <f>5.44+0.41</f>
        <v>5.8500000000000005</v>
      </c>
      <c r="BT67" s="81"/>
      <c r="BU67" s="82">
        <f>5.44+0.41</f>
        <v>5.8500000000000005</v>
      </c>
      <c r="BV67" s="81"/>
      <c r="BW67" s="82">
        <f>5.44+0.41</f>
        <v>5.8500000000000005</v>
      </c>
      <c r="BX67" s="81"/>
      <c r="BY67" s="82">
        <f>5.44+0.41</f>
        <v>5.8500000000000005</v>
      </c>
      <c r="BZ67" s="81"/>
      <c r="CA67" s="82">
        <f>5.44+0.41</f>
        <v>5.8500000000000005</v>
      </c>
      <c r="CB67" s="81"/>
      <c r="CC67" s="82">
        <f>5.44+0.41</f>
        <v>5.8500000000000005</v>
      </c>
      <c r="CD67" s="81"/>
      <c r="CE67" s="82">
        <f>5.44+0.41</f>
        <v>5.8500000000000005</v>
      </c>
      <c r="CF67" s="81"/>
      <c r="CG67" s="82">
        <f>5.44+0.41</f>
        <v>5.8500000000000005</v>
      </c>
      <c r="CH67" s="81"/>
      <c r="CI67" s="82">
        <f>5.44+0.41</f>
        <v>5.8500000000000005</v>
      </c>
      <c r="CJ67" s="81"/>
      <c r="CK67" s="82">
        <f>5.44+0.41</f>
        <v>5.8500000000000005</v>
      </c>
      <c r="CL67" s="81"/>
      <c r="CM67" s="82">
        <f>5.44+0.41</f>
        <v>5.8500000000000005</v>
      </c>
      <c r="CN67" s="81"/>
      <c r="CO67" s="82">
        <f>5.44+0.41</f>
        <v>5.8500000000000005</v>
      </c>
      <c r="CP67" s="81"/>
      <c r="CQ67" s="82">
        <f>(SUMPRODUCT(U67,U141)+SUMPRODUCT(W67,W141)+SUMPRODUCT(O67,O141))/SUM(O141,U141,W141)</f>
        <v>5.7177664376459978</v>
      </c>
      <c r="CR67" s="81"/>
      <c r="CS67" s="82">
        <f>(SUMPRODUCT(AA67,AA$131)+SUMPRODUCT(AC67,AC$131)+SUMPRODUCT(Y67,Y$131))/SUM(Y$131,AA$131,AC$131)</f>
        <v>5.74</v>
      </c>
      <c r="CT67" s="81"/>
      <c r="CU67" s="82">
        <f>(SUMPRODUCT(AG67,AG$131)+SUMPRODUCT(AE67,AE$131)+SUMPRODUCT(AI67,AI$131))/SUM(AI$131,AG$131,AE$131)</f>
        <v>5.74</v>
      </c>
      <c r="CV67" s="81"/>
      <c r="CW67" s="82">
        <v>5.74</v>
      </c>
      <c r="CX67" s="81"/>
      <c r="CY67" s="82">
        <f>(SUMPRODUCT(O67,O$131)+SUMPRODUCT(U67,U$131)+SUMPRODUCT(W67,W$131)+SUMPRODUCT(Y67,Y$131)+SUMPRODUCT(AA67,AA$131)+SUMPRODUCT(AC67,AC$131))/SUM(U$131,O$131,W$131,Y$131,AA$131,AC$131)</f>
        <v>5.7281472905877777</v>
      </c>
      <c r="CZ67" s="81"/>
      <c r="DA67" s="82">
        <v>5.74</v>
      </c>
      <c r="DB67" s="81"/>
      <c r="DC67" s="82">
        <f>5.74+0.51</f>
        <v>6.25</v>
      </c>
      <c r="DD67" s="81"/>
      <c r="DE67" s="82">
        <v>5.74</v>
      </c>
      <c r="DF67" s="81"/>
      <c r="DG67" s="82">
        <v>5.74</v>
      </c>
    </row>
    <row r="68" spans="1:111" s="7" customFormat="1" ht="18" customHeight="1" outlineLevel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4.9375</v>
      </c>
      <c r="H68" s="81"/>
      <c r="I68" s="82">
        <f>I56-I65</f>
        <v>4.9124999999999996</v>
      </c>
      <c r="J68" s="81"/>
      <c r="K68" s="82">
        <f>K56-K65</f>
        <v>4.9124999999999996</v>
      </c>
      <c r="L68" s="81"/>
      <c r="M68" s="82">
        <f>M56-M65</f>
        <v>4.9124999999999996</v>
      </c>
      <c r="N68" s="81"/>
      <c r="O68" s="82">
        <f>O56-O65</f>
        <v>4.9362500000000002</v>
      </c>
      <c r="P68" s="81"/>
      <c r="Q68" s="82">
        <f>Q56-Q65</f>
        <v>4.9400000000000004</v>
      </c>
      <c r="R68" s="81"/>
      <c r="S68" s="82">
        <f>S56-S65</f>
        <v>4.9400000000000004</v>
      </c>
      <c r="T68" s="81"/>
      <c r="U68" s="82">
        <f>U56-U65</f>
        <v>4.9400000000000004</v>
      </c>
      <c r="V68" s="81"/>
      <c r="W68" s="82">
        <f>W56-W65</f>
        <v>4.9400000000000004</v>
      </c>
      <c r="X68" s="81"/>
      <c r="Y68" s="82">
        <f>Y56-Y65</f>
        <v>4.9400000000000004</v>
      </c>
      <c r="Z68" s="81"/>
      <c r="AA68" s="82">
        <f>AA56-AA65</f>
        <v>4.9400000000000004</v>
      </c>
      <c r="AB68" s="81"/>
      <c r="AC68" s="82">
        <f>AC56-AC65</f>
        <v>4.9400000000000004</v>
      </c>
      <c r="AD68" s="81"/>
      <c r="AE68" s="82">
        <f>AE56-AE65</f>
        <v>4.9400000000000004</v>
      </c>
      <c r="AF68" s="81"/>
      <c r="AG68" s="82">
        <f>AG56-AG65</f>
        <v>4.9400000000000004</v>
      </c>
      <c r="AH68" s="81"/>
      <c r="AI68" s="82">
        <f>AI56-AI65</f>
        <v>4.9400000000000004</v>
      </c>
      <c r="AJ68" s="81"/>
      <c r="AK68" s="82">
        <f>AK56-AK65</f>
        <v>4.9400000000000004</v>
      </c>
      <c r="AL68" s="81"/>
      <c r="AM68" s="82">
        <f t="shared" ref="AM68" si="907">AM56-AM65</f>
        <v>4.9400000000000004</v>
      </c>
      <c r="AN68" s="81"/>
      <c r="AO68" s="82">
        <f t="shared" ref="AO68:AQ68" si="908">AO56-AO65</f>
        <v>4.9400000000000004</v>
      </c>
      <c r="AP68" s="81"/>
      <c r="AQ68" s="82">
        <f t="shared" si="908"/>
        <v>4.9400000000000004</v>
      </c>
      <c r="AR68" s="81"/>
      <c r="AS68" s="82">
        <f t="shared" ref="AS68" si="909">AS56-AS65</f>
        <v>4.9400000000000004</v>
      </c>
      <c r="AT68" s="81"/>
      <c r="AU68" s="82">
        <f t="shared" ref="AU68" si="910">AU56-AU65</f>
        <v>4.9400000000000004</v>
      </c>
      <c r="AV68" s="81"/>
      <c r="AW68" s="82">
        <f t="shared" ref="AW68" si="911">AW56-AW65</f>
        <v>4.9400000000000004</v>
      </c>
      <c r="AX68" s="81"/>
      <c r="AY68" s="82">
        <f t="shared" ref="AY68" si="912">AY56-AY65</f>
        <v>4.9400000000000004</v>
      </c>
      <c r="AZ68" s="81"/>
      <c r="BA68" s="82">
        <f t="shared" ref="BA68:BC68" si="913">BA56-BA65</f>
        <v>4.9400000000000004</v>
      </c>
      <c r="BB68" s="81"/>
      <c r="BC68" s="82">
        <f t="shared" si="913"/>
        <v>4.9400000000000004</v>
      </c>
      <c r="BD68" s="81"/>
      <c r="BE68" s="82">
        <f t="shared" ref="BE68:BK68" si="914">BE56-BE65</f>
        <v>4.9400000000000004</v>
      </c>
      <c r="BF68" s="81"/>
      <c r="BG68" s="82">
        <f t="shared" si="914"/>
        <v>4.9400000000000004</v>
      </c>
      <c r="BH68" s="81"/>
      <c r="BI68" s="82">
        <f t="shared" si="914"/>
        <v>4.9400000000000004</v>
      </c>
      <c r="BJ68" s="81"/>
      <c r="BK68" s="82">
        <f t="shared" si="914"/>
        <v>5.0563016528925617</v>
      </c>
      <c r="BL68" s="81"/>
      <c r="BM68" s="82">
        <f t="shared" ref="BM68:BO68" si="915">BM56-BM65</f>
        <v>5.0563016528925617</v>
      </c>
      <c r="BN68" s="81"/>
      <c r="BO68" s="82">
        <f t="shared" si="915"/>
        <v>5.0563016528925617</v>
      </c>
      <c r="BP68" s="81"/>
      <c r="BQ68" s="82">
        <f t="shared" ref="BQ68:BS68" si="916">BQ56-BQ65</f>
        <v>5.0563016528925617</v>
      </c>
      <c r="BR68" s="81"/>
      <c r="BS68" s="82">
        <f t="shared" si="916"/>
        <v>5.0563016528925617</v>
      </c>
      <c r="BT68" s="81"/>
      <c r="BU68" s="82">
        <f t="shared" ref="BU68:BW68" si="917">BU56-BU65</f>
        <v>5.0563016528925617</v>
      </c>
      <c r="BV68" s="81"/>
      <c r="BW68" s="82">
        <f t="shared" si="917"/>
        <v>5.0563016528925617</v>
      </c>
      <c r="BX68" s="81"/>
      <c r="BY68" s="82">
        <f t="shared" ref="BY68:CA68" si="918">BY56-BY65</f>
        <v>5.0563016528925617</v>
      </c>
      <c r="BZ68" s="81"/>
      <c r="CA68" s="82">
        <f t="shared" si="918"/>
        <v>5.0563016528925617</v>
      </c>
      <c r="CB68" s="81"/>
      <c r="CC68" s="82">
        <f t="shared" ref="CC68:CE68" si="919">CC56-CC65</f>
        <v>5.0563016528925617</v>
      </c>
      <c r="CD68" s="81"/>
      <c r="CE68" s="82">
        <f t="shared" si="919"/>
        <v>5.0600000000000005</v>
      </c>
      <c r="CF68" s="81"/>
      <c r="CG68" s="82">
        <f t="shared" ref="CG68:CI68" si="920">CG56-CG65</f>
        <v>5.0600000000000005</v>
      </c>
      <c r="CH68" s="81"/>
      <c r="CI68" s="82">
        <f t="shared" si="920"/>
        <v>5.0600000000000005</v>
      </c>
      <c r="CJ68" s="81"/>
      <c r="CK68" s="82">
        <f t="shared" ref="CK68" si="921">CK56-CK65</f>
        <v>5.0600000000000005</v>
      </c>
      <c r="CL68" s="81"/>
      <c r="CM68" s="82">
        <f t="shared" ref="CM68" si="922">CM56-CM65</f>
        <v>5.0600000000000005</v>
      </c>
      <c r="CN68" s="81"/>
      <c r="CO68" s="82">
        <f t="shared" ref="CO68" si="923">CO56-CO65</f>
        <v>5.0563016528925617</v>
      </c>
      <c r="CP68" s="81"/>
      <c r="CQ68" s="82">
        <f>CQ56-CQ65</f>
        <v>4.9382792581588184</v>
      </c>
      <c r="CR68" s="81"/>
      <c r="CS68" s="82">
        <f>CS56-CS65</f>
        <v>4.9400000000000004</v>
      </c>
      <c r="CT68" s="81"/>
      <c r="CU68" s="82">
        <f>CU56-CU65</f>
        <v>4.9400000000000004</v>
      </c>
      <c r="CV68" s="81"/>
      <c r="CW68" s="82">
        <f>CW56-CW65</f>
        <v>4.9400000000000004</v>
      </c>
      <c r="CX68" s="81"/>
      <c r="CY68" s="82">
        <f>CY56-CY65</f>
        <v>4.9391730667851945</v>
      </c>
      <c r="CZ68" s="81"/>
      <c r="DA68" s="82">
        <f>DA56-DA65</f>
        <v>4.9400000000000004</v>
      </c>
      <c r="DB68" s="81"/>
      <c r="DC68" s="82">
        <f>DC56-DC65</f>
        <v>5.1900826446280988</v>
      </c>
      <c r="DD68" s="81"/>
      <c r="DE68" s="82">
        <f>DE56-DE65</f>
        <v>4.9400000000000004</v>
      </c>
      <c r="DF68" s="81"/>
      <c r="DG68" s="82">
        <f>DG56-DG65</f>
        <v>4.9400000000000004</v>
      </c>
    </row>
    <row r="69" spans="1:111" s="103" customFormat="1" ht="18" customHeight="1" outlineLevel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0.13593749999999999</v>
      </c>
      <c r="H69" s="101"/>
      <c r="I69" s="102">
        <f>+I67/I10</f>
        <v>0.1328125</v>
      </c>
      <c r="J69" s="101"/>
      <c r="K69" s="102">
        <f>+K67/K10</f>
        <v>0.1328125</v>
      </c>
      <c r="L69" s="101"/>
      <c r="M69" s="102">
        <f>+M67/M10</f>
        <v>0.1328125</v>
      </c>
      <c r="N69" s="101"/>
      <c r="O69" s="102">
        <f>+O67/O10</f>
        <v>0.14215625000000001</v>
      </c>
      <c r="P69" s="101"/>
      <c r="Q69" s="102">
        <f>+Q67/Q10</f>
        <v>0.14350000000000002</v>
      </c>
      <c r="R69" s="101"/>
      <c r="S69" s="102">
        <f>+S67/S10</f>
        <v>0.14350000000000002</v>
      </c>
      <c r="T69" s="101"/>
      <c r="U69" s="102">
        <f>+U67/U10</f>
        <v>0.14350000000000002</v>
      </c>
      <c r="V69" s="101"/>
      <c r="W69" s="102">
        <f>+W67/W10</f>
        <v>0.14350000000000002</v>
      </c>
      <c r="X69" s="101"/>
      <c r="Y69" s="102">
        <f>+Y67/Y10</f>
        <v>0.14350000000000002</v>
      </c>
      <c r="Z69" s="101"/>
      <c r="AA69" s="102">
        <f>+AA67/AA10</f>
        <v>0.14350000000000002</v>
      </c>
      <c r="AB69" s="101"/>
      <c r="AC69" s="102">
        <f>+AC67/AC10</f>
        <v>0.14350000000000002</v>
      </c>
      <c r="AD69" s="101"/>
      <c r="AE69" s="102">
        <f>+AE67/AE10</f>
        <v>0.14350000000000002</v>
      </c>
      <c r="AF69" s="101"/>
      <c r="AG69" s="102">
        <f>+AG67/AG10</f>
        <v>0.14350000000000002</v>
      </c>
      <c r="AH69" s="101"/>
      <c r="AI69" s="102">
        <f>+AI67/AI10</f>
        <v>0.14350000000000002</v>
      </c>
      <c r="AJ69" s="101"/>
      <c r="AK69" s="102">
        <f>+AK67/AK10</f>
        <v>0.14350000000000002</v>
      </c>
      <c r="AL69" s="101"/>
      <c r="AM69" s="102">
        <f t="shared" ref="AM69" si="924">+AM67/AM10</f>
        <v>0.14350000000000002</v>
      </c>
      <c r="AN69" s="101"/>
      <c r="AO69" s="102">
        <f t="shared" ref="AO69:AQ69" si="925">+AO67/AO10</f>
        <v>0.14350000000000002</v>
      </c>
      <c r="AP69" s="101"/>
      <c r="AQ69" s="102">
        <f t="shared" si="925"/>
        <v>0.14350000000000002</v>
      </c>
      <c r="AR69" s="101"/>
      <c r="AS69" s="102">
        <f t="shared" ref="AS69" si="926">+AS67/AS10</f>
        <v>0.14350000000000002</v>
      </c>
      <c r="AT69" s="101"/>
      <c r="AU69" s="102">
        <f t="shared" ref="AU69" si="927">+AU67/AU10</f>
        <v>0.14350000000000002</v>
      </c>
      <c r="AV69" s="101"/>
      <c r="AW69" s="102">
        <f t="shared" ref="AW69" si="928">+AW67/AW10</f>
        <v>0.14350000000000002</v>
      </c>
      <c r="AX69" s="101"/>
      <c r="AY69" s="102">
        <f t="shared" ref="AY69" si="929">+AY67/AY10</f>
        <v>0.14350000000000002</v>
      </c>
      <c r="AZ69" s="101"/>
      <c r="BA69" s="102">
        <f t="shared" ref="BA69:BC69" si="930">+BA67/BA10</f>
        <v>0.14350000000000002</v>
      </c>
      <c r="BB69" s="101"/>
      <c r="BC69" s="102">
        <f t="shared" si="930"/>
        <v>0.14350000000000002</v>
      </c>
      <c r="BD69" s="101"/>
      <c r="BE69" s="102">
        <f t="shared" ref="BE69:BK69" si="931">+BE67/BE10</f>
        <v>0.14350000000000002</v>
      </c>
      <c r="BF69" s="101"/>
      <c r="BG69" s="102">
        <f t="shared" si="931"/>
        <v>0.14350000000000002</v>
      </c>
      <c r="BH69" s="101"/>
      <c r="BI69" s="102">
        <f t="shared" si="931"/>
        <v>0.14350000000000002</v>
      </c>
      <c r="BJ69" s="101"/>
      <c r="BK69" s="102">
        <f t="shared" si="931"/>
        <v>0.14625000000000002</v>
      </c>
      <c r="BL69" s="101"/>
      <c r="BM69" s="102">
        <f t="shared" ref="BM69:BO69" si="932">+BM67/BM10</f>
        <v>0.14625000000000002</v>
      </c>
      <c r="BN69" s="101"/>
      <c r="BO69" s="102">
        <f t="shared" si="932"/>
        <v>0.14625000000000002</v>
      </c>
      <c r="BP69" s="101"/>
      <c r="BQ69" s="102">
        <f t="shared" ref="BQ69:BS69" si="933">+BQ67/BQ10</f>
        <v>0.14625000000000002</v>
      </c>
      <c r="BR69" s="101"/>
      <c r="BS69" s="102">
        <f t="shared" si="933"/>
        <v>0.14625000000000002</v>
      </c>
      <c r="BT69" s="101"/>
      <c r="BU69" s="102">
        <f t="shared" ref="BU69:BW69" si="934">+BU67/BU10</f>
        <v>0.14625000000000002</v>
      </c>
      <c r="BV69" s="101"/>
      <c r="BW69" s="102">
        <f t="shared" si="934"/>
        <v>0.14625000000000002</v>
      </c>
      <c r="BX69" s="101"/>
      <c r="BY69" s="102">
        <f t="shared" ref="BY69:CA69" si="935">+BY67/BY10</f>
        <v>0.14625000000000002</v>
      </c>
      <c r="BZ69" s="101"/>
      <c r="CA69" s="102">
        <f t="shared" si="935"/>
        <v>0.14625000000000002</v>
      </c>
      <c r="CB69" s="101"/>
      <c r="CC69" s="102">
        <f t="shared" ref="CC69:CE69" si="936">+CC67/CC10</f>
        <v>0.14625000000000002</v>
      </c>
      <c r="CD69" s="101"/>
      <c r="CE69" s="102">
        <f t="shared" si="936"/>
        <v>0.14625000000000002</v>
      </c>
      <c r="CF69" s="101"/>
      <c r="CG69" s="102">
        <f t="shared" ref="CG69:CI69" si="937">+CG67/CG10</f>
        <v>0.14625000000000002</v>
      </c>
      <c r="CH69" s="101"/>
      <c r="CI69" s="102">
        <f t="shared" si="937"/>
        <v>0.14625000000000002</v>
      </c>
      <c r="CJ69" s="101"/>
      <c r="CK69" s="102">
        <f t="shared" ref="CK69" si="938">+CK67/CK10</f>
        <v>0.14625000000000002</v>
      </c>
      <c r="CL69" s="101"/>
      <c r="CM69" s="102">
        <f t="shared" ref="CM69" si="939">+CM67/CM10</f>
        <v>0.14625000000000002</v>
      </c>
      <c r="CN69" s="101"/>
      <c r="CO69" s="102">
        <f t="shared" ref="CO69" si="940">+CO67/CO10</f>
        <v>0.14625000000000002</v>
      </c>
      <c r="CP69" s="101"/>
      <c r="CQ69" s="102">
        <f>+CQ67/CQ10</f>
        <v>0.14294416094114995</v>
      </c>
      <c r="CR69" s="101"/>
      <c r="CS69" s="102">
        <f>+CS67/CS10</f>
        <v>0.14350000000000002</v>
      </c>
      <c r="CT69" s="101"/>
      <c r="CU69" s="102">
        <f>+CU67/CU10</f>
        <v>0.14350000000000002</v>
      </c>
      <c r="CV69" s="101"/>
      <c r="CW69" s="102">
        <f>+CW67/CW10</f>
        <v>0.14350000000000002</v>
      </c>
      <c r="CX69" s="101"/>
      <c r="CY69" s="102">
        <f>+CY67/CY10</f>
        <v>0.14320368226469443</v>
      </c>
      <c r="CZ69" s="101"/>
      <c r="DA69" s="102">
        <f>+DA67/DA10</f>
        <v>0.14350000000000002</v>
      </c>
      <c r="DB69" s="101"/>
      <c r="DC69" s="102">
        <f>+DC67/DC10</f>
        <v>0.15625</v>
      </c>
      <c r="DD69" s="101"/>
      <c r="DE69" s="102">
        <f>+DE67/DE10</f>
        <v>0.14350000000000002</v>
      </c>
      <c r="DF69" s="101"/>
      <c r="DG69" s="102">
        <f>+DG67/DG10</f>
        <v>0.14350000000000002</v>
      </c>
    </row>
    <row r="70" spans="1:111" s="4" customFormat="1" ht="18" customHeight="1" outlineLevel="1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377"/>
      <c r="O70" s="378"/>
      <c r="P70" s="377"/>
      <c r="Q70" s="378"/>
      <c r="R70" s="377"/>
      <c r="S70" s="378"/>
      <c r="T70" s="377"/>
      <c r="U70" s="378"/>
      <c r="V70" s="377"/>
      <c r="W70" s="378"/>
      <c r="X70" s="377"/>
      <c r="Y70" s="378"/>
      <c r="Z70" s="377"/>
      <c r="AA70" s="378"/>
      <c r="AB70" s="377"/>
      <c r="AC70" s="378"/>
      <c r="AD70" s="377"/>
      <c r="AE70" s="378"/>
      <c r="AF70" s="377"/>
      <c r="AG70" s="378"/>
      <c r="AH70" s="377"/>
      <c r="AI70" s="378"/>
      <c r="AJ70" s="377"/>
      <c r="AK70" s="378"/>
      <c r="AL70" s="377"/>
      <c r="AM70" s="378"/>
      <c r="AN70" s="377"/>
      <c r="AO70" s="378"/>
      <c r="AP70" s="377"/>
      <c r="AQ70" s="378"/>
      <c r="AR70" s="377"/>
      <c r="AS70" s="378"/>
      <c r="AT70" s="377"/>
      <c r="AU70" s="378"/>
      <c r="AV70" s="377"/>
      <c r="AW70" s="378"/>
      <c r="AX70" s="377"/>
      <c r="AY70" s="378"/>
      <c r="AZ70" s="377"/>
      <c r="BA70" s="378"/>
      <c r="BB70" s="377"/>
      <c r="BC70" s="378"/>
      <c r="BD70" s="377"/>
      <c r="BE70" s="378"/>
      <c r="BF70" s="377"/>
      <c r="BG70" s="378"/>
      <c r="BH70" s="377"/>
      <c r="BI70" s="378"/>
      <c r="BJ70" s="377"/>
      <c r="BK70" s="378"/>
      <c r="BL70" s="377"/>
      <c r="BM70" s="378"/>
      <c r="BN70" s="377"/>
      <c r="BO70" s="378"/>
      <c r="BP70" s="377"/>
      <c r="BQ70" s="378"/>
      <c r="BR70" s="377"/>
      <c r="BS70" s="378"/>
      <c r="BT70" s="377"/>
      <c r="BU70" s="378"/>
      <c r="BV70" s="377"/>
      <c r="BW70" s="378"/>
      <c r="BX70" s="377"/>
      <c r="BY70" s="378"/>
      <c r="BZ70" s="377"/>
      <c r="CA70" s="378"/>
      <c r="CB70" s="377"/>
      <c r="CC70" s="378"/>
      <c r="CD70" s="377"/>
      <c r="CE70" s="378"/>
      <c r="CF70" s="377"/>
      <c r="CG70" s="378"/>
      <c r="CH70" s="377"/>
      <c r="CI70" s="378"/>
      <c r="CJ70" s="377"/>
      <c r="CK70" s="378"/>
      <c r="CL70" s="377"/>
      <c r="CM70" s="378"/>
      <c r="CN70" s="377"/>
      <c r="CO70" s="378"/>
      <c r="CP70" s="377"/>
      <c r="CQ70" s="378"/>
      <c r="CR70" s="377"/>
      <c r="CS70" s="378"/>
      <c r="CT70" s="377"/>
      <c r="CU70" s="378"/>
      <c r="CV70" s="377"/>
      <c r="CW70" s="378"/>
      <c r="CX70" s="377"/>
      <c r="CY70" s="378"/>
      <c r="CZ70" s="377"/>
      <c r="DA70" s="378"/>
      <c r="DB70" s="377"/>
      <c r="DC70" s="378"/>
      <c r="DD70" s="377"/>
      <c r="DE70" s="378"/>
      <c r="DF70" s="377"/>
      <c r="DG70" s="378"/>
    </row>
    <row r="71" spans="1:111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3.8143804026987143</v>
      </c>
      <c r="H71" s="111"/>
      <c r="I71" s="112">
        <f>I74+I72</f>
        <v>4.0933166605485356</v>
      </c>
      <c r="J71" s="111"/>
      <c r="K71" s="112">
        <f>K74+K72</f>
        <v>4.0933166605485356</v>
      </c>
      <c r="L71" s="111"/>
      <c r="M71" s="112">
        <f>M74+M72</f>
        <v>4.0933166605485356</v>
      </c>
      <c r="N71" s="111"/>
      <c r="O71" s="112">
        <f>O74+O72</f>
        <v>4.0924337767724541</v>
      </c>
      <c r="P71" s="111"/>
      <c r="Q71" s="112">
        <f>Q74+Q72</f>
        <v>0.11813598533348853</v>
      </c>
      <c r="R71" s="111"/>
      <c r="S71" s="112">
        <f>S74+S72</f>
        <v>0.11813598533348853</v>
      </c>
      <c r="T71" s="111"/>
      <c r="U71" s="112">
        <f>U74+U72</f>
        <v>4.2415162187927047</v>
      </c>
      <c r="V71" s="111"/>
      <c r="W71" s="112">
        <f>W74+W72</f>
        <v>4.2296411023076512</v>
      </c>
      <c r="X71" s="111"/>
      <c r="Y71" s="112">
        <f>Y74+Y72</f>
        <v>4.2922767071171872</v>
      </c>
      <c r="Z71" s="111"/>
      <c r="AA71" s="112">
        <f>AA74+AA72</f>
        <v>4.7525088697338402</v>
      </c>
      <c r="AB71" s="111"/>
      <c r="AC71" s="112">
        <f>AC74+AC72</f>
        <v>4.687478526163261</v>
      </c>
      <c r="AD71" s="111"/>
      <c r="AE71" s="112">
        <f>AE74+AE72</f>
        <v>4.4451208698401059</v>
      </c>
      <c r="AF71" s="111"/>
      <c r="AG71" s="112">
        <f>AG74+AG72</f>
        <v>4.4000833900177261</v>
      </c>
      <c r="AH71" s="111"/>
      <c r="AI71" s="112">
        <f>AI74+AI72</f>
        <v>4.1914184271992703</v>
      </c>
      <c r="AJ71" s="111"/>
      <c r="AK71" s="112">
        <f>AK74+AK72</f>
        <v>4.0611074848925135</v>
      </c>
      <c r="AL71" s="111"/>
      <c r="AM71" s="112">
        <f t="shared" ref="AM71" si="941">AM74+AM72</f>
        <v>4.0094235035339407</v>
      </c>
      <c r="AN71" s="111"/>
      <c r="AO71" s="112">
        <f t="shared" ref="AO71" si="942">AO74+AO72</f>
        <v>4.0452702729397974</v>
      </c>
      <c r="AP71" s="111"/>
      <c r="AQ71" s="112">
        <f t="shared" ref="AQ71" si="943">AQ74+AQ72</f>
        <v>4.1659066547637984</v>
      </c>
      <c r="AR71" s="111"/>
      <c r="AS71" s="112">
        <f t="shared" ref="AS71" si="944">AS74+AS72</f>
        <v>4.1948206505037779</v>
      </c>
      <c r="AT71" s="111"/>
      <c r="AU71" s="112">
        <f t="shared" ref="AU71" si="945">AU74+AU72</f>
        <v>4.049757046726266</v>
      </c>
      <c r="AV71" s="111"/>
      <c r="AW71" s="112">
        <f t="shared" ref="AW71" si="946">AW74+AW72</f>
        <v>4.405034372194959</v>
      </c>
      <c r="AX71" s="111"/>
      <c r="AY71" s="112">
        <f t="shared" ref="AY71" si="947">AY74+AY72</f>
        <v>4.4370906211320769</v>
      </c>
      <c r="AZ71" s="111"/>
      <c r="BA71" s="112">
        <f t="shared" ref="BA71:BC71" si="948">BA74+BA72</f>
        <v>4.2454011133324743</v>
      </c>
      <c r="BB71" s="111"/>
      <c r="BC71" s="112">
        <f t="shared" si="948"/>
        <v>4.1509402357111158</v>
      </c>
      <c r="BD71" s="111"/>
      <c r="BE71" s="112">
        <f t="shared" ref="BE71:BK71" si="949">BE74+BE72</f>
        <v>3.951621795216639</v>
      </c>
      <c r="BF71" s="111"/>
      <c r="BG71" s="112">
        <f t="shared" si="949"/>
        <v>3.9380026760678053</v>
      </c>
      <c r="BH71" s="111"/>
      <c r="BI71" s="112">
        <f t="shared" si="949"/>
        <v>3.8497881648086403</v>
      </c>
      <c r="BJ71" s="111"/>
      <c r="BK71" s="112">
        <f t="shared" si="949"/>
        <v>3.8156811782407107</v>
      </c>
      <c r="BL71" s="111"/>
      <c r="BM71" s="112">
        <f t="shared" ref="BM71:BO71" si="950">BM74+BM72</f>
        <v>3.8265337413228249</v>
      </c>
      <c r="BN71" s="111"/>
      <c r="BO71" s="112">
        <f t="shared" si="950"/>
        <v>3.9665840900322409</v>
      </c>
      <c r="BP71" s="111"/>
      <c r="BQ71" s="112">
        <f t="shared" ref="BQ71:BS71" si="951">BQ74+BQ72</f>
        <v>3.9744680342995715</v>
      </c>
      <c r="BR71" s="111"/>
      <c r="BS71" s="112">
        <f t="shared" si="951"/>
        <v>3.910278601401481</v>
      </c>
      <c r="BT71" s="111"/>
      <c r="BU71" s="112">
        <f t="shared" ref="BU71:BW71" si="952">BU74+BU72</f>
        <v>3.9043882661263889</v>
      </c>
      <c r="BV71" s="111"/>
      <c r="BW71" s="112">
        <f t="shared" si="952"/>
        <v>3.9314141331794774</v>
      </c>
      <c r="BX71" s="111"/>
      <c r="BY71" s="112">
        <f t="shared" ref="BY71:CA71" si="953">BY74+BY72</f>
        <v>3.8748036277848565</v>
      </c>
      <c r="BZ71" s="111"/>
      <c r="CA71" s="112">
        <f t="shared" si="953"/>
        <v>4.0252301974772751</v>
      </c>
      <c r="CB71" s="111"/>
      <c r="CC71" s="112">
        <f t="shared" ref="CC71:CE71" si="954">CC74+CC72</f>
        <v>4.0654470293462266</v>
      </c>
      <c r="CD71" s="111"/>
      <c r="CE71" s="112">
        <f t="shared" si="954"/>
        <v>4.0907113843644165</v>
      </c>
      <c r="CF71" s="111"/>
      <c r="CG71" s="112">
        <f t="shared" ref="CG71:CI71" si="955">CG74+CG72</f>
        <v>4.063198043267219</v>
      </c>
      <c r="CH71" s="111"/>
      <c r="CI71" s="112">
        <f t="shared" si="955"/>
        <v>3.8842512889068255</v>
      </c>
      <c r="CJ71" s="111"/>
      <c r="CK71" s="112">
        <f t="shared" ref="CK71" si="956">CK74+CK72</f>
        <v>3.8338062976348426</v>
      </c>
      <c r="CL71" s="111"/>
      <c r="CM71" s="112">
        <f t="shared" ref="CM71" si="957">CM74+CM72</f>
        <v>4.060680747276554</v>
      </c>
      <c r="CN71" s="111"/>
      <c r="CO71" s="112">
        <f t="shared" ref="CO71" si="958">CO74+CO72</f>
        <v>3.8993240951752957</v>
      </c>
      <c r="CP71" s="111"/>
      <c r="CQ71" s="112">
        <f>CQ74+CQ72</f>
        <v>4.1773583277952486</v>
      </c>
      <c r="CR71" s="111"/>
      <c r="CS71" s="112">
        <f>CS74+CS72</f>
        <v>4.6326718551247357</v>
      </c>
      <c r="CT71" s="111"/>
      <c r="CU71" s="112">
        <f>CU74+CU72</f>
        <v>4.2920547375775451</v>
      </c>
      <c r="CV71" s="111"/>
      <c r="CW71" s="112">
        <f>CW74+CW72</f>
        <v>4.2535090432125564</v>
      </c>
      <c r="CX71" s="111"/>
      <c r="CY71" s="112">
        <f>CY74+CY72</f>
        <v>4.390053836584209</v>
      </c>
      <c r="CZ71" s="111"/>
      <c r="DA71" s="112">
        <f>DA74+DA72</f>
        <v>4.3093648990684121</v>
      </c>
      <c r="DB71" s="111"/>
      <c r="DC71" s="112">
        <f>DC74+DC72</f>
        <v>4.6336892233927358</v>
      </c>
      <c r="DD71" s="111"/>
      <c r="DE71" s="112">
        <f>DE74+DE72</f>
        <v>4.3868423765458893</v>
      </c>
      <c r="DF71" s="111"/>
      <c r="DG71" s="112">
        <f>DG74+DG72</f>
        <v>4.4268423765458893</v>
      </c>
    </row>
    <row r="72" spans="1:111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f>G115</f>
        <v>0.1143804026987139</v>
      </c>
      <c r="H72" s="116"/>
      <c r="I72" s="117">
        <f>I115</f>
        <v>0.1143804026987139</v>
      </c>
      <c r="J72" s="116"/>
      <c r="K72" s="117">
        <f>K115</f>
        <v>0.1143804026987139</v>
      </c>
      <c r="L72" s="116"/>
      <c r="M72" s="117">
        <f>M115</f>
        <v>0.1143804026987139</v>
      </c>
      <c r="N72" s="1024">
        <f>O72/O67</f>
        <v>1.74780968647286E-2</v>
      </c>
      <c r="O72" s="596">
        <v>9.9384828297063008E-2</v>
      </c>
      <c r="P72" s="116"/>
      <c r="Q72" s="596">
        <f>Q115</f>
        <v>0.11813598533348853</v>
      </c>
      <c r="R72" s="116"/>
      <c r="S72" s="596">
        <f>S115</f>
        <v>0.11813598533348853</v>
      </c>
      <c r="T72" s="1024">
        <f>U72/U67</f>
        <v>1.718204736735314E-2</v>
      </c>
      <c r="U72" s="596">
        <v>9.8624951888607024E-2</v>
      </c>
      <c r="V72" s="1024">
        <f>W72/W67</f>
        <v>2.4227203106939266E-2</v>
      </c>
      <c r="W72" s="596">
        <v>0.13906414583383139</v>
      </c>
      <c r="X72" s="1024">
        <f>Y72/Y67</f>
        <v>8.4558507689364518E-3</v>
      </c>
      <c r="Y72" s="596">
        <v>4.8536583413695232E-2</v>
      </c>
      <c r="Z72" s="1024">
        <f>AA72/AA67</f>
        <v>1.919250074951899E-2</v>
      </c>
      <c r="AA72" s="596">
        <v>0.11016495430223901</v>
      </c>
      <c r="AB72" s="1024">
        <f>AC72/AC67</f>
        <v>1.6554107043047037E-2</v>
      </c>
      <c r="AC72" s="596">
        <v>9.5020574427089999E-2</v>
      </c>
      <c r="AD72" s="1024">
        <f>AE72/AE67</f>
        <v>2.1251696457756129E-2</v>
      </c>
      <c r="AE72" s="596">
        <v>0.12198473766752019</v>
      </c>
      <c r="AF72" s="1024">
        <f>AG72/AG67</f>
        <v>2.9132454843200525E-2</v>
      </c>
      <c r="AG72" s="596">
        <v>0.16722029079997103</v>
      </c>
      <c r="AH72" s="1024">
        <f>AI72/AI67</f>
        <v>1.9210292433361642E-2</v>
      </c>
      <c r="AI72" s="596">
        <v>0.11026707856749583</v>
      </c>
      <c r="AJ72" s="1024">
        <f>AK72/AK67</f>
        <v>1.8876129554786597E-2</v>
      </c>
      <c r="AK72" s="596">
        <v>0.10834898364447508</v>
      </c>
      <c r="AL72" s="1024">
        <f t="shared" ref="AL72" si="959">AM72/AM67</f>
        <v>2.2773367836375406E-2</v>
      </c>
      <c r="AM72" s="596">
        <v>0.13071913138079483</v>
      </c>
      <c r="AN72" s="1024">
        <f t="shared" ref="AN72:AP72" si="960">AO72/AO67</f>
        <v>2.0682972825381996E-2</v>
      </c>
      <c r="AO72" s="596">
        <v>0.11872026401769266</v>
      </c>
      <c r="AP72" s="1024">
        <f t="shared" si="960"/>
        <v>2.0520116028782343E-2</v>
      </c>
      <c r="AQ72" s="596">
        <v>0.11778546600521064</v>
      </c>
      <c r="AR72" s="1024">
        <f t="shared" ref="AR72" si="961">AS72/AS67</f>
        <v>1.8897077491987088E-2</v>
      </c>
      <c r="AS72" s="596">
        <v>0.10846922480400589</v>
      </c>
      <c r="AT72" s="1024">
        <f t="shared" ref="AT72" si="962">AU72/AU67</f>
        <v>1.5791835493988285E-2</v>
      </c>
      <c r="AU72" s="596">
        <v>9.0645135735492766E-2</v>
      </c>
      <c r="AV72" s="1024">
        <f t="shared" ref="AV72" si="963">AW72/AW67</f>
        <v>2.0520116028782343E-2</v>
      </c>
      <c r="AW72" s="596">
        <v>0.11778546600521064</v>
      </c>
      <c r="AX72" s="1024">
        <f t="shared" ref="AX72" si="964">AY72/AY67</f>
        <v>1.8897077491987088E-2</v>
      </c>
      <c r="AY72" s="596">
        <v>0.10846922480400589</v>
      </c>
      <c r="AZ72" s="1024">
        <f t="shared" ref="AZ72" si="965">BA72/BA67</f>
        <v>1.875769482386128E-2</v>
      </c>
      <c r="BA72" s="596">
        <v>0.10766916828896375</v>
      </c>
      <c r="BB72" s="1024">
        <f t="shared" ref="BB72" si="966">BC72/BC67</f>
        <v>1.8876536807063318E-2</v>
      </c>
      <c r="BC72" s="596">
        <v>0.10835132127254345</v>
      </c>
      <c r="BD72" s="1024">
        <f t="shared" ref="BD72" si="967">BE72/BE67</f>
        <v>1.681963827711868E-2</v>
      </c>
      <c r="BE72" s="596">
        <v>9.6544723710661223E-2</v>
      </c>
      <c r="BF72" s="1024">
        <f t="shared" ref="BF72" si="968">BG72/BG67</f>
        <v>1.7997127092000794E-2</v>
      </c>
      <c r="BG72" s="596">
        <v>0.10330350950808456</v>
      </c>
      <c r="BH72" s="1024">
        <f t="shared" ref="BH72" si="969">BI72/BI67</f>
        <v>1.7384697701853691E-2</v>
      </c>
      <c r="BI72" s="596">
        <v>9.9788164808640195E-2</v>
      </c>
      <c r="BJ72" s="1024">
        <f t="shared" ref="BJ72" si="970">BK72/BK67</f>
        <v>1.8065158673625809E-2</v>
      </c>
      <c r="BK72" s="596">
        <v>0.10568117824071099</v>
      </c>
      <c r="BL72" s="1024">
        <f t="shared" ref="BL72" si="971">BM72/BM67</f>
        <v>1.8190108013204274E-2</v>
      </c>
      <c r="BM72" s="596">
        <v>0.10641213187724501</v>
      </c>
      <c r="BN72" s="1024">
        <f t="shared" ref="BN72" si="972">BO72/BO67</f>
        <v>1.719399318830923E-2</v>
      </c>
      <c r="BO72" s="596">
        <v>0.100584860151609</v>
      </c>
      <c r="BP72" s="1024">
        <f t="shared" ref="BP72" si="973">BQ72/BQ67</f>
        <v>1.9195495812369397E-2</v>
      </c>
      <c r="BQ72" s="596">
        <v>0.11229365050236099</v>
      </c>
      <c r="BR72" s="1024">
        <f t="shared" ref="BR72" si="974">BS72/BS67</f>
        <v>1.9195495812369397E-2</v>
      </c>
      <c r="BS72" s="596">
        <v>0.11229365050236099</v>
      </c>
      <c r="BT72" s="1024">
        <f t="shared" ref="BT72" si="975">BU72/BU67</f>
        <v>1.9195495812369397E-2</v>
      </c>
      <c r="BU72" s="596">
        <v>0.11229365050236099</v>
      </c>
      <c r="BV72" s="1024">
        <f t="shared" ref="BV72" si="976">BW72/BW67</f>
        <v>1.9195495812369397E-2</v>
      </c>
      <c r="BW72" s="596">
        <v>0.11229365050236099</v>
      </c>
      <c r="BX72" s="1024">
        <f t="shared" ref="BX72" si="977">BY72/BY67</f>
        <v>1.9195495812369397E-2</v>
      </c>
      <c r="BY72" s="596">
        <v>0.11229365050236099</v>
      </c>
      <c r="BZ72" s="1024">
        <f t="shared" ref="BZ72" si="978">CA72/CA67</f>
        <v>1.9195495812369397E-2</v>
      </c>
      <c r="CA72" s="596">
        <v>0.11229365050236099</v>
      </c>
      <c r="CB72" s="1024">
        <f t="shared" ref="CB72" si="979">CC72/CC67</f>
        <v>1.9195495812369397E-2</v>
      </c>
      <c r="CC72" s="596">
        <v>0.11229365050236099</v>
      </c>
      <c r="CD72" s="1024"/>
      <c r="CE72" s="596">
        <v>0.11229365050236099</v>
      </c>
      <c r="CF72" s="1024"/>
      <c r="CG72" s="596">
        <v>0.11229365050236099</v>
      </c>
      <c r="CH72" s="1024"/>
      <c r="CI72" s="596">
        <v>0.11229365050236099</v>
      </c>
      <c r="CJ72" s="1024"/>
      <c r="CK72" s="596">
        <v>0.11229365050236099</v>
      </c>
      <c r="CL72" s="1024"/>
      <c r="CM72" s="596">
        <v>0.11229365050236099</v>
      </c>
      <c r="CN72" s="1024">
        <f t="shared" ref="CN72" si="980">CO72/CO67</f>
        <v>1.9195495812369397E-2</v>
      </c>
      <c r="CO72" s="596">
        <v>0.11229365050236099</v>
      </c>
      <c r="CP72" s="1024">
        <f>CQ72/CQ67</f>
        <v>1.9116856439784714E-2</v>
      </c>
      <c r="CQ72" s="596">
        <f>(SUMPRODUCT(U72,U$131)+SUMPRODUCT(W72,W$131)+SUMPRODUCT(O72,O$131))/SUM(O$131,U$131,W$131)</f>
        <v>0.10930572014469779</v>
      </c>
      <c r="CR72" s="1024">
        <f>CS72/CS67</f>
        <v>1.5759703339173307E-2</v>
      </c>
      <c r="CS72" s="596">
        <f>(SUMPRODUCT(AA72,AA$131)+SUMPRODUCT(AC72,AC$131)+SUMPRODUCT(Y72,Y$131))/SUM(Y$131,AA$131,AC$131)</f>
        <v>9.0460697166854787E-2</v>
      </c>
      <c r="CT72" s="1024">
        <f>CU72/CU67</f>
        <v>2.0936534822164246E-2</v>
      </c>
      <c r="CU72" s="596">
        <f>(SUMPRODUCT(AG72,AG$131)+SUMPRODUCT(AE72,AE$131)+SUMPRODUCT(AI72,AI$131))/SUM(AI$131,AG$131,AE$131)</f>
        <v>0.12017570987922277</v>
      </c>
      <c r="CV72" s="1024">
        <f>CW72/CW67</f>
        <v>2.0936534822164246E-2</v>
      </c>
      <c r="CW72" s="596">
        <f>(SUMPRODUCT(AG72,AG$131)+SUMPRODUCT(AE72,AE$131)+SUMPRODUCT(AI72,AI$131))/SUM(AI$131,AG$131,AE$131)</f>
        <v>0.12017570987922277</v>
      </c>
      <c r="CX72" s="1024">
        <f>CY72/CY67</f>
        <v>1.7560655495773812E-2</v>
      </c>
      <c r="CY72" s="596">
        <f>(SUMPRODUCT(O72,O$131)+SUMPRODUCT(U72,U$131)+SUMPRODUCT(W72,W$131)+SUMPRODUCT(Y72,Y$131)+SUMPRODUCT(AA72,AA$131)+SUMPRODUCT(AC72,AC$131))/SUM(U$131,O$131,W$131,Y$131,AA$131,AC$131)</f>
        <v>0.10059002119906213</v>
      </c>
      <c r="CZ72" s="1024">
        <f>DA72/DA67</f>
        <v>2.0936534822164246E-2</v>
      </c>
      <c r="DA72" s="596">
        <f>(SUMPRODUCT(AG72,AG$131)+SUMPRODUCT(AE72,AE$131)+SUMPRODUCT(AI72,AI$131))/SUM(AI$131,AG$131,AE$131)</f>
        <v>0.12017570987922277</v>
      </c>
      <c r="DB72" s="1024">
        <f>DC72/DC67</f>
        <v>1.9228113580675645E-2</v>
      </c>
      <c r="DC72" s="596">
        <f>(SUMPRODUCT(AG72,AG$131)+SUMPRODUCT(AE72,AE$131)+SUMPRODUCT(AI72,AI$131))/SUM(AI$131,AG$131,AE$131)</f>
        <v>0.12017570987922277</v>
      </c>
      <c r="DD72" s="1024">
        <f>DE72/DE67</f>
        <v>2.0936534822164246E-2</v>
      </c>
      <c r="DE72" s="596">
        <f>DC72</f>
        <v>0.12017570987922277</v>
      </c>
      <c r="DF72" s="1024">
        <f>DG72/DG67</f>
        <v>2.0936534822164246E-2</v>
      </c>
      <c r="DG72" s="596">
        <f>DE72</f>
        <v>0.12017570987922277</v>
      </c>
    </row>
    <row r="73" spans="1:111" s="4" customFormat="1" ht="18" customHeight="1" outlineLevel="1" x14ac:dyDescent="0.45">
      <c r="A73" s="561"/>
      <c r="B73" s="1241"/>
      <c r="C73" s="16"/>
      <c r="D73" s="16"/>
      <c r="E73" s="16"/>
      <c r="F73" s="42"/>
      <c r="G73" s="88"/>
      <c r="H73" s="42"/>
      <c r="I73" s="88"/>
      <c r="J73" s="42"/>
      <c r="K73" s="88"/>
      <c r="L73" s="42"/>
      <c r="M73" s="88"/>
      <c r="N73" s="359"/>
      <c r="O73" s="560"/>
      <c r="P73" s="359"/>
      <c r="Q73" s="560"/>
      <c r="R73" s="359"/>
      <c r="S73" s="560"/>
      <c r="T73" s="359"/>
      <c r="U73" s="560"/>
      <c r="V73" s="359"/>
      <c r="W73" s="560"/>
      <c r="X73" s="359"/>
      <c r="Y73" s="560"/>
      <c r="Z73" s="359"/>
      <c r="AA73" s="560"/>
      <c r="AB73" s="359"/>
      <c r="AC73" s="560"/>
      <c r="AD73" s="359"/>
      <c r="AE73" s="560"/>
      <c r="AF73" s="359"/>
      <c r="AG73" s="560"/>
      <c r="AH73" s="359"/>
      <c r="AI73" s="560"/>
      <c r="AJ73" s="359"/>
      <c r="AK73" s="560"/>
      <c r="AL73" s="359"/>
      <c r="AM73" s="560"/>
      <c r="AN73" s="359"/>
      <c r="AO73" s="560"/>
      <c r="AP73" s="359"/>
      <c r="AQ73" s="560"/>
      <c r="AR73" s="359"/>
      <c r="AS73" s="560"/>
      <c r="AT73" s="359"/>
      <c r="AU73" s="560"/>
      <c r="AV73" s="359"/>
      <c r="AW73" s="560"/>
      <c r="AX73" s="359"/>
      <c r="AY73" s="560"/>
      <c r="AZ73" s="359"/>
      <c r="BA73" s="560"/>
      <c r="BB73" s="359"/>
      <c r="BC73" s="560"/>
      <c r="BD73" s="359"/>
      <c r="BE73" s="560"/>
      <c r="BF73" s="359"/>
      <c r="BG73" s="560"/>
      <c r="BH73" s="359"/>
      <c r="BI73" s="560"/>
      <c r="BJ73" s="359"/>
      <c r="BK73" s="560"/>
      <c r="BL73" s="359"/>
      <c r="BM73" s="560"/>
      <c r="BN73" s="359"/>
      <c r="BO73" s="560"/>
      <c r="BP73" s="359"/>
      <c r="BQ73" s="560"/>
      <c r="BR73" s="359"/>
      <c r="BS73" s="560"/>
      <c r="BT73" s="359"/>
      <c r="BU73" s="560"/>
      <c r="BV73" s="359"/>
      <c r="BW73" s="560"/>
      <c r="BX73" s="359"/>
      <c r="BY73" s="560"/>
      <c r="BZ73" s="359"/>
      <c r="CA73" s="560"/>
      <c r="CB73" s="359"/>
      <c r="CC73" s="560"/>
      <c r="CD73" s="359"/>
      <c r="CE73" s="560"/>
      <c r="CF73" s="359"/>
      <c r="CG73" s="560"/>
      <c r="CH73" s="359"/>
      <c r="CI73" s="560"/>
      <c r="CJ73" s="359"/>
      <c r="CK73" s="560"/>
      <c r="CL73" s="359"/>
      <c r="CM73" s="560"/>
      <c r="CN73" s="359"/>
      <c r="CO73" s="560"/>
      <c r="CP73" s="359"/>
      <c r="CQ73" s="560"/>
      <c r="CR73" s="359"/>
      <c r="CS73" s="560"/>
      <c r="CT73" s="359"/>
      <c r="CU73" s="560"/>
      <c r="CV73" s="359"/>
      <c r="CW73" s="560"/>
      <c r="CX73" s="359"/>
      <c r="CY73" s="560"/>
      <c r="CZ73" s="359"/>
      <c r="DA73" s="560"/>
      <c r="DB73" s="359"/>
      <c r="DC73" s="560"/>
      <c r="DD73" s="359"/>
      <c r="DE73" s="560"/>
      <c r="DF73" s="359"/>
      <c r="DG73" s="560"/>
    </row>
    <row r="74" spans="1:111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f>'Pricing Structure - All SKU'!T74</f>
        <v>3.7</v>
      </c>
      <c r="H74" s="66"/>
      <c r="I74" s="70">
        <v>3.9789362578498215</v>
      </c>
      <c r="J74" s="66"/>
      <c r="K74" s="70">
        <v>3.9789362578498215</v>
      </c>
      <c r="L74" s="66"/>
      <c r="M74" s="70">
        <v>3.9789362578498215</v>
      </c>
      <c r="N74" s="66"/>
      <c r="O74" s="70">
        <v>3.993048948475391</v>
      </c>
      <c r="P74" s="66"/>
      <c r="Q74" s="70"/>
      <c r="R74" s="66"/>
      <c r="S74" s="70"/>
      <c r="T74" s="66"/>
      <c r="U74" s="70">
        <v>4.1428912669040976</v>
      </c>
      <c r="V74" s="66"/>
      <c r="W74" s="70">
        <v>4.0905769564738197</v>
      </c>
      <c r="X74" s="66"/>
      <c r="Y74" s="70">
        <v>4.2437401237034917</v>
      </c>
      <c r="Z74" s="66"/>
      <c r="AA74" s="70">
        <v>4.6423439154316011</v>
      </c>
      <c r="AB74" s="66"/>
      <c r="AC74" s="70">
        <v>4.5924579517361712</v>
      </c>
      <c r="AD74" s="66"/>
      <c r="AE74" s="70">
        <v>4.3231361321725856</v>
      </c>
      <c r="AF74" s="66"/>
      <c r="AG74" s="70">
        <v>4.2328630992177549</v>
      </c>
      <c r="AH74" s="66"/>
      <c r="AI74" s="70">
        <v>4.0811513486317743</v>
      </c>
      <c r="AJ74" s="66"/>
      <c r="AK74" s="70">
        <v>3.9527585012480388</v>
      </c>
      <c r="AL74" s="66"/>
      <c r="AM74" s="70">
        <v>3.878704372153146</v>
      </c>
      <c r="AN74" s="66"/>
      <c r="AO74" s="70">
        <v>3.9265500089221046</v>
      </c>
      <c r="AP74" s="66"/>
      <c r="AQ74" s="70">
        <v>4.0481211887585875</v>
      </c>
      <c r="AR74" s="66"/>
      <c r="AS74" s="70">
        <v>4.0863514256997719</v>
      </c>
      <c r="AT74" s="66"/>
      <c r="AU74" s="70">
        <v>3.9591119109907731</v>
      </c>
      <c r="AV74" s="66"/>
      <c r="AW74" s="70">
        <v>4.2872489061897481</v>
      </c>
      <c r="AX74" s="66"/>
      <c r="AY74" s="70">
        <v>4.3286213963280709</v>
      </c>
      <c r="AZ74" s="66"/>
      <c r="BA74" s="70">
        <v>4.1377319450435106</v>
      </c>
      <c r="BB74" s="66"/>
      <c r="BC74" s="70">
        <v>4.0425889144385723</v>
      </c>
      <c r="BD74" s="66"/>
      <c r="BE74" s="70">
        <v>3.8550770715059777</v>
      </c>
      <c r="BF74" s="66"/>
      <c r="BG74" s="70">
        <v>3.8346991665597208</v>
      </c>
      <c r="BH74" s="66"/>
      <c r="BI74" s="70">
        <v>3.75</v>
      </c>
      <c r="BJ74" s="66"/>
      <c r="BK74" s="70">
        <v>3.71</v>
      </c>
      <c r="BL74" s="66"/>
      <c r="BM74" s="70">
        <v>3.72012160944558</v>
      </c>
      <c r="BN74" s="66"/>
      <c r="BO74" s="70">
        <f>BO77/BO79*BO10</f>
        <v>3.8659992298806318</v>
      </c>
      <c r="BP74" s="66"/>
      <c r="BQ74" s="70">
        <f>BQ77/BQ79*BQ10</f>
        <v>3.8621743837972105</v>
      </c>
      <c r="BR74" s="66"/>
      <c r="BS74" s="70">
        <f>BS77/BS79*BS10</f>
        <v>3.7979849508991199</v>
      </c>
      <c r="BT74" s="66"/>
      <c r="BU74" s="70">
        <f>BU77/BU79*BU10</f>
        <v>3.7920946156240278</v>
      </c>
      <c r="BV74" s="66"/>
      <c r="BW74" s="70">
        <f>BW77/BW79*BW10</f>
        <v>3.8191204826771163</v>
      </c>
      <c r="BX74" s="66"/>
      <c r="BY74" s="70">
        <f>BY77/BY79*BY10</f>
        <v>3.7625099772824955</v>
      </c>
      <c r="BZ74" s="66"/>
      <c r="CA74" s="70">
        <f>CA77/CA79*CA10</f>
        <v>3.912936546974914</v>
      </c>
      <c r="CB74" s="66"/>
      <c r="CC74" s="70">
        <f>CC77/CC79*CC10</f>
        <v>3.9531533788438655</v>
      </c>
      <c r="CD74" s="66"/>
      <c r="CE74" s="70">
        <f>CE77/CE79*CE10</f>
        <v>3.9784177338620559</v>
      </c>
      <c r="CF74" s="66"/>
      <c r="CG74" s="70">
        <f>CG77/CG79*CG10</f>
        <v>3.9509043927648579</v>
      </c>
      <c r="CH74" s="66"/>
      <c r="CI74" s="70">
        <f>CI77/CI79*CI10</f>
        <v>3.7719576384044644</v>
      </c>
      <c r="CJ74" s="66"/>
      <c r="CK74" s="70">
        <f>CK77/CK79*CK10</f>
        <v>3.7215126471324815</v>
      </c>
      <c r="CL74" s="66"/>
      <c r="CM74" s="70">
        <f>CM77/CM79*CM10</f>
        <v>3.9483870967741934</v>
      </c>
      <c r="CN74" s="66"/>
      <c r="CO74" s="70">
        <v>3.7870304446729346</v>
      </c>
      <c r="CP74" s="66"/>
      <c r="CQ74" s="70">
        <f>CQ76/CQ79</f>
        <v>4.068052607650551</v>
      </c>
      <c r="CR74" s="66"/>
      <c r="CS74" s="70">
        <f>CS76/CS79</f>
        <v>4.5422111579578806</v>
      </c>
      <c r="CT74" s="66"/>
      <c r="CU74" s="70">
        <f>CU76/CU79</f>
        <v>4.1718790276983224</v>
      </c>
      <c r="CV74" s="66"/>
      <c r="CW74" s="70">
        <f>CW76/CW79</f>
        <v>4.1333333333333337</v>
      </c>
      <c r="CX74" s="66"/>
      <c r="CY74" s="70">
        <f>CY76/CY79</f>
        <v>4.2894638153851465</v>
      </c>
      <c r="CZ74" s="66"/>
      <c r="DA74" s="70">
        <f>DA76/DA79</f>
        <v>4.1891891891891895</v>
      </c>
      <c r="DB74" s="66"/>
      <c r="DC74" s="70">
        <f>DC76/DC79</f>
        <v>4.5135135135135132</v>
      </c>
      <c r="DD74" s="66"/>
      <c r="DE74" s="70">
        <f>DE76/DE79</f>
        <v>4.2666666666666666</v>
      </c>
      <c r="DF74" s="66"/>
      <c r="DG74" s="70">
        <f>DG76/DG79</f>
        <v>4.3066666666666666</v>
      </c>
    </row>
    <row r="75" spans="1:111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9.2499999999999999E-2</v>
      </c>
      <c r="H75" s="124"/>
      <c r="I75" s="125">
        <f>+I74/I10</f>
        <v>9.9473406446245541E-2</v>
      </c>
      <c r="J75" s="124"/>
      <c r="K75" s="125">
        <f>+K74/K10</f>
        <v>9.9473406446245541E-2</v>
      </c>
      <c r="L75" s="124"/>
      <c r="M75" s="125">
        <f>+M74/M10</f>
        <v>9.9473406446245541E-2</v>
      </c>
      <c r="N75" s="124"/>
      <c r="O75" s="125">
        <f>+O74/O10</f>
        <v>9.9826223711884779E-2</v>
      </c>
      <c r="P75" s="124"/>
      <c r="Q75" s="125">
        <f>+Q74/Q10</f>
        <v>0</v>
      </c>
      <c r="R75" s="124"/>
      <c r="S75" s="125">
        <f>+S74/S10</f>
        <v>0</v>
      </c>
      <c r="T75" s="124"/>
      <c r="U75" s="125">
        <f>+U74/U10</f>
        <v>0.10357228167260243</v>
      </c>
      <c r="V75" s="124"/>
      <c r="W75" s="125">
        <f>+W74/W10</f>
        <v>0.1022644239118455</v>
      </c>
      <c r="X75" s="124"/>
      <c r="Y75" s="125">
        <f>+Y74/Y10</f>
        <v>0.10609350309258729</v>
      </c>
      <c r="Z75" s="124"/>
      <c r="AA75" s="125">
        <f>+AA74/AA10</f>
        <v>0.11605859788579002</v>
      </c>
      <c r="AB75" s="124"/>
      <c r="AC75" s="125">
        <f>+AC74/AC10</f>
        <v>0.11481144879340428</v>
      </c>
      <c r="AD75" s="124"/>
      <c r="AE75" s="125">
        <f>+AE74/AE10</f>
        <v>0.10807840330431465</v>
      </c>
      <c r="AF75" s="124"/>
      <c r="AG75" s="125">
        <f>+AG74/AG10</f>
        <v>0.10582157748044388</v>
      </c>
      <c r="AH75" s="124"/>
      <c r="AI75" s="125">
        <f>+AI74/AI10</f>
        <v>0.10202878371579435</v>
      </c>
      <c r="AJ75" s="124"/>
      <c r="AK75" s="125">
        <f>+AK74/AK10</f>
        <v>9.8818962531200968E-2</v>
      </c>
      <c r="AL75" s="124"/>
      <c r="AM75" s="125">
        <f t="shared" ref="AM75" si="981">+AM74/AM10</f>
        <v>9.6967609303828653E-2</v>
      </c>
      <c r="AN75" s="124"/>
      <c r="AO75" s="125">
        <f t="shared" ref="AO75" si="982">+AO74/AO10</f>
        <v>9.8163750223052612E-2</v>
      </c>
      <c r="AP75" s="124"/>
      <c r="AQ75" s="125">
        <f t="shared" ref="AQ75" si="983">+AQ74/AQ10</f>
        <v>0.10120302971896469</v>
      </c>
      <c r="AR75" s="124"/>
      <c r="AS75" s="125">
        <f t="shared" ref="AS75" si="984">+AS74/AS10</f>
        <v>0.1021587856424943</v>
      </c>
      <c r="AT75" s="124"/>
      <c r="AU75" s="125">
        <f t="shared" ref="AU75" si="985">+AU74/AU10</f>
        <v>9.8977797774769324E-2</v>
      </c>
      <c r="AV75" s="124"/>
      <c r="AW75" s="125">
        <f t="shared" ref="AW75" si="986">+AW74/AW10</f>
        <v>0.1071812226547437</v>
      </c>
      <c r="AX75" s="124"/>
      <c r="AY75" s="125">
        <f t="shared" ref="AY75" si="987">+AY74/AY10</f>
        <v>0.10821553490820177</v>
      </c>
      <c r="AZ75" s="124"/>
      <c r="BA75" s="125">
        <f t="shared" ref="BA75:BC75" si="988">+BA74/BA10</f>
        <v>0.10344329862608777</v>
      </c>
      <c r="BB75" s="124"/>
      <c r="BC75" s="125">
        <f t="shared" si="988"/>
        <v>0.10106472286096431</v>
      </c>
      <c r="BD75" s="124"/>
      <c r="BE75" s="125">
        <f t="shared" ref="BE75:BK75" si="989">+BE74/BE10</f>
        <v>9.6376926787649447E-2</v>
      </c>
      <c r="BF75" s="124"/>
      <c r="BG75" s="125">
        <f t="shared" si="989"/>
        <v>9.5867479163993019E-2</v>
      </c>
      <c r="BH75" s="124"/>
      <c r="BI75" s="125">
        <f t="shared" si="989"/>
        <v>9.375E-2</v>
      </c>
      <c r="BJ75" s="124"/>
      <c r="BK75" s="125">
        <f t="shared" si="989"/>
        <v>9.2749999999999999E-2</v>
      </c>
      <c r="BL75" s="124"/>
      <c r="BM75" s="125">
        <f t="shared" ref="BM75:BO75" si="990">+BM74/BM10</f>
        <v>9.3003040236139506E-2</v>
      </c>
      <c r="BN75" s="124"/>
      <c r="BO75" s="125">
        <f t="shared" si="990"/>
        <v>9.6649980747015793E-2</v>
      </c>
      <c r="BP75" s="124"/>
      <c r="BQ75" s="125">
        <f t="shared" ref="BQ75:BS75" si="991">+BQ74/BQ10</f>
        <v>9.6554359594930264E-2</v>
      </c>
      <c r="BR75" s="124"/>
      <c r="BS75" s="125">
        <f t="shared" si="991"/>
        <v>9.4949623772477995E-2</v>
      </c>
      <c r="BT75" s="124"/>
      <c r="BU75" s="125">
        <f t="shared" ref="BU75:BW75" si="992">+BU74/BU10</f>
        <v>9.480236539060069E-2</v>
      </c>
      <c r="BV75" s="124"/>
      <c r="BW75" s="125">
        <f t="shared" si="992"/>
        <v>9.5478012066927909E-2</v>
      </c>
      <c r="BX75" s="124"/>
      <c r="BY75" s="125">
        <f t="shared" ref="BY75:CA75" si="993">+BY74/BY10</f>
        <v>9.4062749432062387E-2</v>
      </c>
      <c r="BZ75" s="124"/>
      <c r="CA75" s="125">
        <f t="shared" si="993"/>
        <v>9.7823413674372847E-2</v>
      </c>
      <c r="CB75" s="124"/>
      <c r="CC75" s="125">
        <f t="shared" ref="CC75:CE75" si="994">+CC74/CC10</f>
        <v>9.8828834471096638E-2</v>
      </c>
      <c r="CD75" s="124"/>
      <c r="CE75" s="125">
        <f t="shared" si="994"/>
        <v>9.9460443346551394E-2</v>
      </c>
      <c r="CF75" s="124"/>
      <c r="CG75" s="125">
        <f t="shared" ref="CG75:CI75" si="995">+CG74/CG10</f>
        <v>9.8772609819121449E-2</v>
      </c>
      <c r="CH75" s="124"/>
      <c r="CI75" s="125">
        <f t="shared" si="995"/>
        <v>9.4298940960111613E-2</v>
      </c>
      <c r="CJ75" s="124"/>
      <c r="CK75" s="125">
        <f t="shared" ref="CK75" si="996">+CK74/CK10</f>
        <v>9.3037816178312041E-2</v>
      </c>
      <c r="CL75" s="124"/>
      <c r="CM75" s="125">
        <f t="shared" ref="CM75" si="997">+CM74/CM10</f>
        <v>9.8709677419354838E-2</v>
      </c>
      <c r="CN75" s="124"/>
      <c r="CO75" s="125">
        <f t="shared" ref="CO75" si="998">+CO74/CO10</f>
        <v>9.4675761116823368E-2</v>
      </c>
      <c r="CP75" s="124"/>
      <c r="CQ75" s="125">
        <f>+CQ74/CQ10</f>
        <v>0.10170131519126377</v>
      </c>
      <c r="CR75" s="124"/>
      <c r="CS75" s="125">
        <f>+CS74/CS10</f>
        <v>0.11355527894894701</v>
      </c>
      <c r="CT75" s="124"/>
      <c r="CU75" s="125">
        <f>+CU74/CU10</f>
        <v>0.10429697569245806</v>
      </c>
      <c r="CV75" s="124"/>
      <c r="CW75" s="125">
        <f>+CW74/CW10</f>
        <v>0.10333333333333335</v>
      </c>
      <c r="CX75" s="124"/>
      <c r="CY75" s="125">
        <f>+CY74/CY10</f>
        <v>0.10723659538462867</v>
      </c>
      <c r="CZ75" s="124"/>
      <c r="DA75" s="125">
        <f>+DA74/DA10</f>
        <v>0.10472972972972974</v>
      </c>
      <c r="DB75" s="124"/>
      <c r="DC75" s="125">
        <f>+DC74/DC10</f>
        <v>0.11283783783783782</v>
      </c>
      <c r="DD75" s="124"/>
      <c r="DE75" s="125">
        <f>+DE74/DE10</f>
        <v>0.10666666666666666</v>
      </c>
      <c r="DF75" s="124"/>
      <c r="DG75" s="125">
        <f>+DG74/DG10</f>
        <v>0.10766666666666666</v>
      </c>
    </row>
    <row r="76" spans="1:111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90">
        <f>G74*G79</f>
        <v>52647.3</v>
      </c>
      <c r="H76" s="127"/>
      <c r="I76" s="90">
        <f>I74*I79</f>
        <v>56616.284012945107</v>
      </c>
      <c r="J76" s="127"/>
      <c r="K76" s="90">
        <f>K74*K79</f>
        <v>56616.284012945107</v>
      </c>
      <c r="L76" s="127"/>
      <c r="M76" s="90">
        <f>M74*M79</f>
        <v>56616.284012945107</v>
      </c>
      <c r="N76" s="380"/>
      <c r="O76" s="374">
        <f>O77*O10</f>
        <v>57216.398382703876</v>
      </c>
      <c r="P76" s="380"/>
      <c r="Q76" s="374">
        <f>Q77*Q10</f>
        <v>58466.268881404023</v>
      </c>
      <c r="R76" s="380"/>
      <c r="S76" s="374">
        <f>S77*S10</f>
        <v>58466.268881404023</v>
      </c>
      <c r="T76" s="380"/>
      <c r="U76" s="374">
        <f>U77*U10</f>
        <v>59462.918353874513</v>
      </c>
      <c r="V76" s="380"/>
      <c r="W76" s="374">
        <f>W77*W10</f>
        <v>58687.507594529889</v>
      </c>
      <c r="X76" s="380"/>
      <c r="Y76" s="374">
        <f>Y77*Y10</f>
        <v>60969.814357248069</v>
      </c>
      <c r="Z76" s="380"/>
      <c r="AA76" s="374">
        <f>AA77*AA10</f>
        <v>67857.141011863714</v>
      </c>
      <c r="AB76" s="380"/>
      <c r="AC76" s="374">
        <f>AC77*AC10</f>
        <v>67385.135525824837</v>
      </c>
      <c r="AD76" s="380"/>
      <c r="AE76" s="374">
        <f>AE77*AE10</f>
        <v>64756.25612381316</v>
      </c>
      <c r="AF76" s="380"/>
      <c r="AG76" s="374">
        <f>AG77*AG10</f>
        <v>62870.715612681313</v>
      </c>
      <c r="AH76" s="380"/>
      <c r="AI76" s="374">
        <f>AI77*AI10</f>
        <v>61368.272829375994</v>
      </c>
      <c r="AJ76" s="380"/>
      <c r="AK76" s="374">
        <f>AK77*AK10</f>
        <v>60943.630572242262</v>
      </c>
      <c r="AL76" s="380"/>
      <c r="AM76" s="374">
        <f t="shared" ref="AM76" si="999">AM77*AM10</f>
        <v>60682.329902335972</v>
      </c>
      <c r="AN76" s="380"/>
      <c r="AO76" s="374">
        <f t="shared" ref="AO76" si="1000">AO77*AO10</f>
        <v>61344.490789390038</v>
      </c>
      <c r="AP76" s="380"/>
      <c r="AQ76" s="374">
        <f t="shared" ref="AQ76" si="1001">AQ77*AQ10</f>
        <v>62061.745944857903</v>
      </c>
      <c r="AR76" s="380"/>
      <c r="AS76" s="374">
        <f t="shared" ref="AS76" si="1002">AS77*AS10</f>
        <v>61667.129365235262</v>
      </c>
      <c r="AT76" s="380"/>
      <c r="AU76" s="374">
        <f t="shared" ref="AU76" si="1003">AU77*AU10</f>
        <v>60475.434440384059</v>
      </c>
      <c r="AV76" s="380"/>
      <c r="AW76" s="374">
        <f t="shared" ref="AW76" si="1004">AW77*AW10</f>
        <v>63695.656999261089</v>
      </c>
      <c r="AX76" s="380"/>
      <c r="AY76" s="374">
        <f t="shared" ref="AY76" si="1005">AY77*AY10</f>
        <v>63981.352859125218</v>
      </c>
      <c r="AZ76" s="380"/>
      <c r="BA76" s="374">
        <f t="shared" ref="BA76:BC76" si="1006">BA77*BA10</f>
        <v>61780.475671444656</v>
      </c>
      <c r="BB76" s="380"/>
      <c r="BC76" s="374">
        <f t="shared" si="1006"/>
        <v>60735.855850525113</v>
      </c>
      <c r="BD76" s="380"/>
      <c r="BE76" s="374">
        <f t="shared" ref="BE76:BK76" si="1007">BE77*BE10</f>
        <v>58735.954261465078</v>
      </c>
      <c r="BF76" s="380"/>
      <c r="BG76" s="374">
        <f t="shared" si="1007"/>
        <v>58805.111719193315</v>
      </c>
      <c r="BH76" s="380"/>
      <c r="BI76" s="374">
        <f t="shared" si="1007"/>
        <v>58923.75</v>
      </c>
      <c r="BJ76" s="380"/>
      <c r="BK76" s="374">
        <f t="shared" si="1007"/>
        <v>58206.19</v>
      </c>
      <c r="BL76" s="380"/>
      <c r="BM76" s="374">
        <f t="shared" ref="BM76:BO76" si="1008">BM77*BM10</f>
        <v>57736.2873785954</v>
      </c>
      <c r="BN76" s="380"/>
      <c r="BO76" s="374">
        <f t="shared" si="1008"/>
        <v>60240</v>
      </c>
      <c r="BP76" s="380"/>
      <c r="BQ76" s="374">
        <f t="shared" ref="BQ76:BS76" si="1009">BQ77*BQ10</f>
        <v>60640</v>
      </c>
      <c r="BR76" s="380"/>
      <c r="BS76" s="374">
        <f t="shared" si="1009"/>
        <v>59560</v>
      </c>
      <c r="BT76" s="380"/>
      <c r="BU76" s="374">
        <f t="shared" ref="BU76:BW76" si="1010">BU77*BU10</f>
        <v>60920</v>
      </c>
      <c r="BV76" s="380"/>
      <c r="BW76" s="374">
        <f t="shared" si="1010"/>
        <v>61400</v>
      </c>
      <c r="BX76" s="380"/>
      <c r="BY76" s="374">
        <f t="shared" ref="BY76:CA76" si="1011">BY77*BY10</f>
        <v>61280</v>
      </c>
      <c r="BZ76" s="380"/>
      <c r="CA76" s="374">
        <f t="shared" si="1011"/>
        <v>63640</v>
      </c>
      <c r="CB76" s="380"/>
      <c r="CC76" s="374">
        <f t="shared" ref="CC76:CE76" si="1012">CC77*CC10</f>
        <v>63120</v>
      </c>
      <c r="CD76" s="380"/>
      <c r="CE76" s="374">
        <f t="shared" si="1012"/>
        <v>61200</v>
      </c>
      <c r="CF76" s="380"/>
      <c r="CG76" s="374">
        <f t="shared" ref="CG76:CI76" si="1013">CG77*CG10</f>
        <v>61160</v>
      </c>
      <c r="CH76" s="380"/>
      <c r="CI76" s="374">
        <f t="shared" si="1013"/>
        <v>59480</v>
      </c>
      <c r="CJ76" s="380"/>
      <c r="CK76" s="374">
        <f t="shared" ref="CK76" si="1014">CK77*CK10</f>
        <v>59440</v>
      </c>
      <c r="CL76" s="380"/>
      <c r="CM76" s="374">
        <f t="shared" ref="CM76" si="1015">CM77*CM10</f>
        <v>61200</v>
      </c>
      <c r="CN76" s="380"/>
      <c r="CO76" s="374">
        <f t="shared" ref="CO76" si="1016">CO77*CO10</f>
        <v>59388.211433360957</v>
      </c>
      <c r="CP76" s="380"/>
      <c r="CQ76" s="374">
        <f>CQ77*CQ10</f>
        <v>58342.445863305882</v>
      </c>
      <c r="CR76" s="380"/>
      <c r="CS76" s="374">
        <f>CS77*CS10</f>
        <v>66321.850853246724</v>
      </c>
      <c r="CT76" s="380"/>
      <c r="CU76" s="374">
        <f>CU77*CU10</f>
        <v>62732.544939499676</v>
      </c>
      <c r="CV76" s="380"/>
      <c r="CW76" s="374">
        <f>CW77*CW10</f>
        <v>62000</v>
      </c>
      <c r="CX76" s="380"/>
      <c r="CY76" s="374">
        <f>CY77*CY10</f>
        <v>62032.86808987445</v>
      </c>
      <c r="CZ76" s="380"/>
      <c r="DA76" s="374">
        <f>DA77*DA10</f>
        <v>62000</v>
      </c>
      <c r="DB76" s="380"/>
      <c r="DC76" s="374">
        <f>DC77*DC10</f>
        <v>66800</v>
      </c>
      <c r="DD76" s="380"/>
      <c r="DE76" s="374">
        <f>DE77*DE10</f>
        <v>64000</v>
      </c>
      <c r="DF76" s="380"/>
      <c r="DG76" s="374">
        <f>DG77*DG10</f>
        <v>64600</v>
      </c>
    </row>
    <row r="77" spans="1:111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G76/G10</f>
        <v>1316.1825000000001</v>
      </c>
      <c r="H77" s="127"/>
      <c r="I77" s="90">
        <f>I76/I10</f>
        <v>1415.4071003236277</v>
      </c>
      <c r="J77" s="127"/>
      <c r="K77" s="90">
        <f>K76/K10</f>
        <v>1415.4071003236277</v>
      </c>
      <c r="L77" s="127"/>
      <c r="M77" s="90">
        <f>M76/M10</f>
        <v>1415.4071003236277</v>
      </c>
      <c r="N77" s="684">
        <f>O77/I77-1</f>
        <v>1.05996778174553E-2</v>
      </c>
      <c r="O77" s="622">
        <f>O74*O79/O10</f>
        <v>1430.4099595675968</v>
      </c>
      <c r="P77" s="380"/>
      <c r="Q77" s="622">
        <v>1461.6567220351005</v>
      </c>
      <c r="R77" s="380"/>
      <c r="S77" s="622">
        <v>1461.6567220351005</v>
      </c>
      <c r="T77" s="684">
        <f>U77/O77-1</f>
        <v>3.9263568394227066E-2</v>
      </c>
      <c r="U77" s="622">
        <f>U74*U79/U10</f>
        <v>1486.5729588468628</v>
      </c>
      <c r="V77" s="380"/>
      <c r="W77" s="622">
        <f>W74*W79/W10</f>
        <v>1467.1876898632472</v>
      </c>
      <c r="X77" s="380"/>
      <c r="Y77" s="622">
        <f>Y74*Y79/Y10</f>
        <v>1524.2453589312017</v>
      </c>
      <c r="Z77" s="380"/>
      <c r="AA77" s="622">
        <f>AA74*AA79/AA10</f>
        <v>1696.4285252965929</v>
      </c>
      <c r="AB77" s="380"/>
      <c r="AC77" s="622">
        <f>AC74*AC79/AC10</f>
        <v>1684.6283881456209</v>
      </c>
      <c r="AD77" s="380"/>
      <c r="AE77" s="622">
        <f>AE74*AE79/AE10</f>
        <v>1618.9064030953291</v>
      </c>
      <c r="AF77" s="380"/>
      <c r="AG77" s="622">
        <f>AG74*AG79/AG10</f>
        <v>1571.7678903170329</v>
      </c>
      <c r="AH77" s="380"/>
      <c r="AI77" s="622">
        <f>AI74*AI79/AI10</f>
        <v>1534.2068207343998</v>
      </c>
      <c r="AJ77" s="380"/>
      <c r="AK77" s="622">
        <f>AK74*AK79/AK10</f>
        <v>1523.5907643060566</v>
      </c>
      <c r="AL77" s="380"/>
      <c r="AM77" s="622">
        <f t="shared" ref="AM77" si="1017">AM74*AM79/AM10</f>
        <v>1517.0582475583992</v>
      </c>
      <c r="AN77" s="380"/>
      <c r="AO77" s="622">
        <f t="shared" ref="AO77:AQ77" si="1018">AO74*AO79/AO10</f>
        <v>1533.612269734751</v>
      </c>
      <c r="AP77" s="380"/>
      <c r="AQ77" s="622">
        <f t="shared" si="1018"/>
        <v>1551.5436486214476</v>
      </c>
      <c r="AR77" s="380"/>
      <c r="AS77" s="622">
        <f t="shared" ref="AS77" si="1019">AS74*AS79/AS10</f>
        <v>1541.6782341308815</v>
      </c>
      <c r="AT77" s="380"/>
      <c r="AU77" s="622">
        <f t="shared" ref="AU77" si="1020">AU74*AU79/AU10</f>
        <v>1511.8858610096015</v>
      </c>
      <c r="AV77" s="380"/>
      <c r="AW77" s="622">
        <f t="shared" ref="AW77" si="1021">AW74*AW79/AW10</f>
        <v>1592.3914249815273</v>
      </c>
      <c r="AX77" s="380"/>
      <c r="AY77" s="622">
        <f t="shared" ref="AY77" si="1022">AY74*AY79/AY10</f>
        <v>1599.5338214781304</v>
      </c>
      <c r="AZ77" s="380"/>
      <c r="BA77" s="622">
        <f t="shared" ref="BA77:BC77" si="1023">BA74*BA79/BA10</f>
        <v>1544.5118917861164</v>
      </c>
      <c r="BB77" s="380"/>
      <c r="BC77" s="622">
        <f t="shared" si="1023"/>
        <v>1518.3963962631278</v>
      </c>
      <c r="BD77" s="380"/>
      <c r="BE77" s="622">
        <f t="shared" ref="BE77:BK77" si="1024">BE74*BE79/BE10</f>
        <v>1468.3988565366269</v>
      </c>
      <c r="BF77" s="380"/>
      <c r="BG77" s="622">
        <f t="shared" si="1024"/>
        <v>1470.127792979833</v>
      </c>
      <c r="BH77" s="380"/>
      <c r="BI77" s="622">
        <f t="shared" si="1024"/>
        <v>1473.09375</v>
      </c>
      <c r="BJ77" s="380"/>
      <c r="BK77" s="622">
        <f t="shared" si="1024"/>
        <v>1455.1547500000001</v>
      </c>
      <c r="BL77" s="380"/>
      <c r="BM77" s="622">
        <f t="shared" ref="BM77" si="1025">BM74*BM79/BM10</f>
        <v>1443.4071844648849</v>
      </c>
      <c r="BN77" s="380"/>
      <c r="BO77" s="622">
        <v>1506</v>
      </c>
      <c r="BP77" s="380"/>
      <c r="BQ77" s="622">
        <v>1516</v>
      </c>
      <c r="BR77" s="380"/>
      <c r="BS77" s="622">
        <v>1489</v>
      </c>
      <c r="BT77" s="380"/>
      <c r="BU77" s="622">
        <v>1523</v>
      </c>
      <c r="BV77" s="380"/>
      <c r="BW77" s="622">
        <v>1535</v>
      </c>
      <c r="BX77" s="380"/>
      <c r="BY77" s="622">
        <v>1532</v>
      </c>
      <c r="BZ77" s="380"/>
      <c r="CA77" s="622">
        <v>1591</v>
      </c>
      <c r="CB77" s="380"/>
      <c r="CC77" s="622">
        <v>1578</v>
      </c>
      <c r="CD77" s="380"/>
      <c r="CE77" s="622">
        <v>1530</v>
      </c>
      <c r="CF77" s="380"/>
      <c r="CG77" s="622">
        <v>1529</v>
      </c>
      <c r="CH77" s="380"/>
      <c r="CI77" s="622">
        <v>1487</v>
      </c>
      <c r="CJ77" s="380"/>
      <c r="CK77" s="622">
        <v>1486</v>
      </c>
      <c r="CL77" s="380"/>
      <c r="CM77" s="622">
        <v>1530</v>
      </c>
      <c r="CN77" s="380"/>
      <c r="CO77" s="622">
        <f t="shared" ref="CO77" si="1026">CO74*CO79/CO10</f>
        <v>1484.7052858340239</v>
      </c>
      <c r="CP77" s="380"/>
      <c r="CQ77" s="622">
        <f>(SUMPRODUCT(U77,U$131)+SUMPRODUCT(W77,W$131)+SUMPRODUCT(O77,O$131))/SUM(O$131,U$131,W$131)</f>
        <v>1458.5611465826471</v>
      </c>
      <c r="CR77" s="380"/>
      <c r="CS77" s="622">
        <f>(SUMPRODUCT(AA77,AA$131)+SUMPRODUCT(AC77,AC$131)+SUMPRODUCT(Y77,Y$131))/SUM(Y$131,AA$131,AC$131)</f>
        <v>1658.0462713311681</v>
      </c>
      <c r="CT77" s="380"/>
      <c r="CU77" s="622">
        <f>(SUMPRODUCT(AG77,AG$131)+SUMPRODUCT(AE77,AE$131)+SUMPRODUCT(AI77,AI$131))/SUM(AI$131,AG$131,AE$131)</f>
        <v>1568.3136234874919</v>
      </c>
      <c r="CV77" s="380"/>
      <c r="CW77" s="622">
        <v>1550</v>
      </c>
      <c r="CX77" s="380"/>
      <c r="CY77" s="622">
        <f>(SUMPRODUCT(O77,O$131)+SUMPRODUCT(U77,U$131)+SUMPRODUCT(W77,W$131)+SUMPRODUCT(Y77,Y$131)+SUMPRODUCT(AA77,AA$131)+SUMPRODUCT(AC77,AC$131))/SUM(U$131,O$131,W$131,Y$131,AA$131,AC$131)</f>
        <v>1550.8217022468612</v>
      </c>
      <c r="CZ77" s="380"/>
      <c r="DA77" s="622">
        <v>1550</v>
      </c>
      <c r="DB77" s="380"/>
      <c r="DC77" s="622">
        <v>1670</v>
      </c>
      <c r="DD77" s="380"/>
      <c r="DE77" s="622">
        <v>1600</v>
      </c>
      <c r="DF77" s="380"/>
      <c r="DG77" s="622">
        <v>1615</v>
      </c>
    </row>
    <row r="78" spans="1:111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380"/>
      <c r="O78" s="374"/>
      <c r="P78" s="380"/>
      <c r="Q78" s="374"/>
      <c r="R78" s="380"/>
      <c r="S78" s="374"/>
      <c r="T78" s="380"/>
      <c r="U78" s="374"/>
      <c r="V78" s="380"/>
      <c r="W78" s="374"/>
      <c r="X78" s="380"/>
      <c r="Y78" s="374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>
        <f>AK74/AK67</f>
        <v>0.68863388523484992</v>
      </c>
      <c r="AL78" s="380"/>
      <c r="AM78" s="374">
        <f t="shared" ref="AM78" si="1027">AM74/AM67</f>
        <v>0.67573246901622752</v>
      </c>
      <c r="AN78" s="380"/>
      <c r="AO78" s="374">
        <f t="shared" ref="AO78:AQ78" si="1028">AO74/AO67</f>
        <v>0.68406794580524466</v>
      </c>
      <c r="AP78" s="380"/>
      <c r="AQ78" s="374">
        <f t="shared" si="1028"/>
        <v>0.70524759386038105</v>
      </c>
      <c r="AR78" s="380"/>
      <c r="AS78" s="374">
        <f t="shared" ref="AS78" si="1029">AS74/AS67</f>
        <v>0.71190791388497765</v>
      </c>
      <c r="AT78" s="380"/>
      <c r="AU78" s="374">
        <f t="shared" ref="AU78" si="1030">AU74/AU67</f>
        <v>0.6897407510436887</v>
      </c>
      <c r="AV78" s="380"/>
      <c r="AW78" s="374">
        <f t="shared" ref="AW78" si="1031">AW74/AW67</f>
        <v>0.74690747494594911</v>
      </c>
      <c r="AX78" s="380"/>
      <c r="AY78" s="374">
        <f t="shared" ref="AY78" si="1032">AY74/AY67</f>
        <v>0.75411522584112733</v>
      </c>
      <c r="AZ78" s="380"/>
      <c r="BA78" s="374">
        <f t="shared" ref="BA78:BC78" si="1033">BA74/BA67</f>
        <v>0.72085922387517609</v>
      </c>
      <c r="BB78" s="380"/>
      <c r="BC78" s="374">
        <f t="shared" si="1033"/>
        <v>0.70428378300323558</v>
      </c>
      <c r="BD78" s="380"/>
      <c r="BE78" s="374">
        <f t="shared" ref="BE78:BK78" si="1034">BE74/BE67</f>
        <v>0.67161621454807974</v>
      </c>
      <c r="BF78" s="380"/>
      <c r="BG78" s="374">
        <f t="shared" si="1034"/>
        <v>0.66806605689193743</v>
      </c>
      <c r="BH78" s="380"/>
      <c r="BI78" s="374">
        <f t="shared" si="1034"/>
        <v>0.65331010452961669</v>
      </c>
      <c r="BJ78" s="380"/>
      <c r="BK78" s="374">
        <f t="shared" si="1034"/>
        <v>0.63418803418803416</v>
      </c>
      <c r="BL78" s="380"/>
      <c r="BM78" s="374">
        <f t="shared" ref="BM78:BO78" si="1035">BM74/BM67</f>
        <v>0.63591822383685126</v>
      </c>
      <c r="BN78" s="380"/>
      <c r="BO78" s="374">
        <f t="shared" si="1035"/>
        <v>0.66085456921036434</v>
      </c>
      <c r="BP78" s="380"/>
      <c r="BQ78" s="374">
        <f t="shared" ref="BQ78:BS78" si="1036">BQ74/BQ67</f>
        <v>0.66020074936704443</v>
      </c>
      <c r="BR78" s="380"/>
      <c r="BS78" s="374">
        <f t="shared" si="1036"/>
        <v>0.64922819673489218</v>
      </c>
      <c r="BT78" s="380"/>
      <c r="BU78" s="374">
        <f t="shared" ref="BU78:BW78" si="1037">BU74/BU67</f>
        <v>0.64822130181607307</v>
      </c>
      <c r="BV78" s="380"/>
      <c r="BW78" s="374">
        <f t="shared" si="1037"/>
        <v>0.65284110814993435</v>
      </c>
      <c r="BX78" s="380"/>
      <c r="BY78" s="374">
        <f t="shared" ref="BY78:CA78" si="1038">BY74/BY67</f>
        <v>0.6431640986807684</v>
      </c>
      <c r="BZ78" s="380"/>
      <c r="CA78" s="374">
        <f t="shared" si="1038"/>
        <v>0.66887804221793401</v>
      </c>
      <c r="CB78" s="380"/>
      <c r="CC78" s="374">
        <f t="shared" ref="CC78:CE78" si="1039">CC74/CC67</f>
        <v>0.67575271433228468</v>
      </c>
      <c r="CD78" s="380"/>
      <c r="CE78" s="374">
        <f t="shared" si="1039"/>
        <v>0.68007140749778727</v>
      </c>
      <c r="CF78" s="380"/>
      <c r="CG78" s="374">
        <f t="shared" ref="CG78:CI78" si="1040">CG74/CG67</f>
        <v>0.67536827226749707</v>
      </c>
      <c r="CH78" s="380"/>
      <c r="CI78" s="374">
        <f t="shared" si="1040"/>
        <v>0.64477908348794255</v>
      </c>
      <c r="CJ78" s="380"/>
      <c r="CK78" s="374">
        <f t="shared" ref="CK78" si="1041">CK74/CK67</f>
        <v>0.63615600805683437</v>
      </c>
      <c r="CL78" s="380"/>
      <c r="CM78" s="374">
        <f t="shared" ref="CM78" si="1042">CM74/CM67</f>
        <v>0.67493796526054584</v>
      </c>
      <c r="CN78" s="380"/>
      <c r="CO78" s="374">
        <f t="shared" ref="CO78" si="1043">CO74/CO67</f>
        <v>0.64735563156802289</v>
      </c>
      <c r="CP78" s="380"/>
      <c r="CQ78" s="374"/>
      <c r="CR78" s="380"/>
      <c r="CS78" s="374"/>
      <c r="CT78" s="380"/>
      <c r="CU78" s="374"/>
      <c r="CV78" s="380"/>
      <c r="CW78" s="374"/>
      <c r="CX78" s="380"/>
      <c r="CY78" s="374"/>
      <c r="CZ78" s="380"/>
      <c r="DA78" s="374"/>
      <c r="DB78" s="380"/>
      <c r="DC78" s="374"/>
      <c r="DD78" s="380"/>
      <c r="DE78" s="374"/>
      <c r="DF78" s="380"/>
      <c r="DG78" s="374"/>
    </row>
    <row r="79" spans="1:111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v>14229</v>
      </c>
      <c r="H79" s="42"/>
      <c r="I79" s="88">
        <v>14229</v>
      </c>
      <c r="J79" s="42"/>
      <c r="K79" s="88">
        <v>14229</v>
      </c>
      <c r="L79" s="42"/>
      <c r="M79" s="88">
        <v>14229</v>
      </c>
      <c r="N79" s="359"/>
      <c r="O79" s="372">
        <v>14329</v>
      </c>
      <c r="P79" s="359"/>
      <c r="Q79" s="372">
        <v>14200</v>
      </c>
      <c r="R79" s="359"/>
      <c r="S79" s="372">
        <v>14200</v>
      </c>
      <c r="T79" s="359"/>
      <c r="U79" s="372">
        <v>14353</v>
      </c>
      <c r="V79" s="359"/>
      <c r="W79" s="372">
        <v>14347</v>
      </c>
      <c r="X79" s="359"/>
      <c r="Y79" s="372">
        <v>14367</v>
      </c>
      <c r="Z79" s="359"/>
      <c r="AA79" s="372">
        <v>14617</v>
      </c>
      <c r="AB79" s="359"/>
      <c r="AC79" s="372">
        <v>14673</v>
      </c>
      <c r="AD79" s="359"/>
      <c r="AE79" s="372">
        <v>14979</v>
      </c>
      <c r="AF79" s="359"/>
      <c r="AG79" s="372">
        <v>14853</v>
      </c>
      <c r="AH79" s="359"/>
      <c r="AI79" s="372">
        <v>15037</v>
      </c>
      <c r="AJ79" s="359"/>
      <c r="AK79" s="372">
        <v>15418</v>
      </c>
      <c r="AL79" s="359"/>
      <c r="AM79" s="372">
        <f>'Pricing Structure - GSS'!AM79</f>
        <v>15645</v>
      </c>
      <c r="AN79" s="359"/>
      <c r="AO79" s="372">
        <f>'Pricing Structure - GSS'!AO79</f>
        <v>15623</v>
      </c>
      <c r="AP79" s="359"/>
      <c r="AQ79" s="372">
        <f>'Pricing Structure - GSS'!AQ79</f>
        <v>15331</v>
      </c>
      <c r="AR79" s="359"/>
      <c r="AS79" s="372">
        <f>'Pricing Structure - GSS'!AS79</f>
        <v>15091</v>
      </c>
      <c r="AT79" s="359"/>
      <c r="AU79" s="372">
        <f>'Pricing Structure - GSS'!AU79</f>
        <v>15275</v>
      </c>
      <c r="AV79" s="359"/>
      <c r="AW79" s="372">
        <f>'Pricing Structure - GSS'!AW79</f>
        <v>14857</v>
      </c>
      <c r="AX79" s="359"/>
      <c r="AY79" s="372">
        <f>'Pricing Structure - GSS'!AY79</f>
        <v>14781</v>
      </c>
      <c r="AZ79" s="359"/>
      <c r="BA79" s="372">
        <f>'Pricing Structure - GSS'!BA79</f>
        <v>14931</v>
      </c>
      <c r="BB79" s="359"/>
      <c r="BC79" s="372">
        <f>'Pricing Structure - GSS'!BC79</f>
        <v>15024</v>
      </c>
      <c r="BD79" s="359"/>
      <c r="BE79" s="372">
        <f>'Pricing Structure - GSS'!BE79</f>
        <v>15236</v>
      </c>
      <c r="BF79" s="359"/>
      <c r="BG79" s="372">
        <v>15335</v>
      </c>
      <c r="BH79" s="359"/>
      <c r="BI79" s="372">
        <v>15713</v>
      </c>
      <c r="BJ79" s="359"/>
      <c r="BK79" s="372">
        <v>15689</v>
      </c>
      <c r="BL79" s="359"/>
      <c r="BM79" s="372">
        <v>15520</v>
      </c>
      <c r="BN79" s="359"/>
      <c r="BO79" s="372">
        <v>15582</v>
      </c>
      <c r="BP79" s="359"/>
      <c r="BQ79" s="372">
        <v>15701</v>
      </c>
      <c r="BR79" s="359"/>
      <c r="BS79" s="372">
        <v>15682</v>
      </c>
      <c r="BT79" s="359"/>
      <c r="BU79" s="372">
        <v>16065</v>
      </c>
      <c r="BV79" s="359"/>
      <c r="BW79" s="372">
        <v>16077</v>
      </c>
      <c r="BX79" s="359"/>
      <c r="BY79" s="372">
        <v>16287</v>
      </c>
      <c r="BZ79" s="359"/>
      <c r="CA79" s="372">
        <v>16264</v>
      </c>
      <c r="CB79" s="359"/>
      <c r="CC79" s="372">
        <v>15967</v>
      </c>
      <c r="CD79" s="359"/>
      <c r="CE79" s="372">
        <v>15383</v>
      </c>
      <c r="CF79" s="359"/>
      <c r="CG79" s="372">
        <v>15480</v>
      </c>
      <c r="CH79" s="359"/>
      <c r="CI79" s="372">
        <v>15769</v>
      </c>
      <c r="CJ79" s="359"/>
      <c r="CK79" s="372">
        <v>15972</v>
      </c>
      <c r="CL79" s="359"/>
      <c r="CM79" s="372">
        <v>15500</v>
      </c>
      <c r="CN79" s="359"/>
      <c r="CO79" s="372">
        <v>15682</v>
      </c>
      <c r="CP79" s="359"/>
      <c r="CQ79" s="372">
        <f>(SUMPRODUCT(U79,U$131)+SUMPRODUCT(W79,W$131)+SUMPRODUCT(O79,O$131))/SUM(O$131,U$131,W$131)</f>
        <v>14341.615384615385</v>
      </c>
      <c r="CR79" s="359"/>
      <c r="CS79" s="372">
        <f>(SUMPRODUCT(AA79,AA$131)+SUMPRODUCT(AC79,AC$131)+SUMPRODUCT(Y79,Y$131))/SUM(Y$131,AA$131,AC$131)</f>
        <v>14601.22582303377</v>
      </c>
      <c r="CT79" s="359"/>
      <c r="CU79" s="372">
        <v>15037</v>
      </c>
      <c r="CV79" s="359"/>
      <c r="CW79" s="372">
        <v>15000</v>
      </c>
      <c r="CX79" s="359"/>
      <c r="CY79" s="372">
        <f>(SUMPRODUCT(O79,O$131)+SUMPRODUCT(U79,U$131)+SUMPRODUCT(W79,W$131)+SUMPRODUCT(Y79,Y$131)+SUMPRODUCT(AA79,AA$131)+SUMPRODUCT(AC79,AC$131))/SUM(U$131,O$131,W$131,Y$131,AA$131,AC$131)</f>
        <v>14461.683501648698</v>
      </c>
      <c r="CZ79" s="359"/>
      <c r="DA79" s="372">
        <v>14800</v>
      </c>
      <c r="DB79" s="359"/>
      <c r="DC79" s="372">
        <v>14800</v>
      </c>
      <c r="DD79" s="359"/>
      <c r="DE79" s="372">
        <v>15000</v>
      </c>
      <c r="DF79" s="359"/>
      <c r="DG79" s="372">
        <v>15000</v>
      </c>
    </row>
    <row r="80" spans="1:111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368">
        <f>+G67-G74</f>
        <v>1.7374999999999998</v>
      </c>
      <c r="H80" s="50"/>
      <c r="I80" s="72">
        <f>+I67-I74</f>
        <v>1.3335637421501785</v>
      </c>
      <c r="J80" s="50"/>
      <c r="K80" s="72">
        <f>+K67-K74</f>
        <v>1.3335637421501785</v>
      </c>
      <c r="L80" s="50"/>
      <c r="M80" s="72">
        <f>+M67-M74</f>
        <v>1.3335637421501785</v>
      </c>
      <c r="N80" s="363"/>
      <c r="O80" s="368">
        <f>+O67-O74</f>
        <v>1.6932010515246092</v>
      </c>
      <c r="P80" s="363"/>
      <c r="Q80" s="368">
        <f>+Q67-Q74</f>
        <v>5.74</v>
      </c>
      <c r="R80" s="363"/>
      <c r="S80" s="368">
        <f>+S67-S74</f>
        <v>5.74</v>
      </c>
      <c r="T80" s="363"/>
      <c r="U80" s="368">
        <f>+U67-U74</f>
        <v>1.5971087330959026</v>
      </c>
      <c r="V80" s="363"/>
      <c r="W80" s="368">
        <f>+W67-W74</f>
        <v>1.6494230435261805</v>
      </c>
      <c r="X80" s="363"/>
      <c r="Y80" s="368">
        <f>+Y67-Y74</f>
        <v>1.4962598762965085</v>
      </c>
      <c r="Z80" s="363"/>
      <c r="AA80" s="368">
        <f>+AA67-AA74</f>
        <v>1.0976560845683991</v>
      </c>
      <c r="AB80" s="363"/>
      <c r="AC80" s="368">
        <f>+AC67-AC74</f>
        <v>1.147542048263829</v>
      </c>
      <c r="AD80" s="363"/>
      <c r="AE80" s="368">
        <f>+AE67-AE74</f>
        <v>1.4168638678274146</v>
      </c>
      <c r="AF80" s="363"/>
      <c r="AG80" s="368">
        <f>+AG67-AG74</f>
        <v>1.5071369007822453</v>
      </c>
      <c r="AH80" s="363"/>
      <c r="AI80" s="368">
        <f>+AI67-AI74</f>
        <v>1.6588486513682259</v>
      </c>
      <c r="AJ80" s="363"/>
      <c r="AK80" s="368">
        <f>+AK67-AK74</f>
        <v>1.7872414987519614</v>
      </c>
      <c r="AL80" s="363"/>
      <c r="AM80" s="368">
        <f t="shared" ref="AM80" si="1044">+AM67-AM74</f>
        <v>1.8612956278468542</v>
      </c>
      <c r="AN80" s="363"/>
      <c r="AO80" s="368">
        <f t="shared" ref="AO80:AQ80" si="1045">+AO67-AO74</f>
        <v>1.8134499910778956</v>
      </c>
      <c r="AP80" s="363"/>
      <c r="AQ80" s="368">
        <f t="shared" si="1045"/>
        <v>1.6918788112414127</v>
      </c>
      <c r="AR80" s="363"/>
      <c r="AS80" s="368">
        <f t="shared" ref="AS80" si="1046">+AS67-AS74</f>
        <v>1.6536485743002283</v>
      </c>
      <c r="AT80" s="363"/>
      <c r="AU80" s="368">
        <f t="shared" ref="AU80" si="1047">+AU67-AU74</f>
        <v>1.7808880890092271</v>
      </c>
      <c r="AV80" s="363"/>
      <c r="AW80" s="368">
        <f t="shared" ref="AW80" si="1048">+AW67-AW74</f>
        <v>1.4527510938102521</v>
      </c>
      <c r="AX80" s="363"/>
      <c r="AY80" s="368">
        <f t="shared" ref="AY80" si="1049">+AY67-AY74</f>
        <v>1.4113786036719294</v>
      </c>
      <c r="AZ80" s="363"/>
      <c r="BA80" s="368">
        <f t="shared" ref="BA80:BC80" si="1050">+BA67-BA74</f>
        <v>1.6022680549564896</v>
      </c>
      <c r="BB80" s="363"/>
      <c r="BC80" s="368">
        <f t="shared" si="1050"/>
        <v>1.6974110855614279</v>
      </c>
      <c r="BD80" s="363"/>
      <c r="BE80" s="368">
        <f t="shared" ref="BE80:BK80" si="1051">+BE67-BE74</f>
        <v>1.8849229284940225</v>
      </c>
      <c r="BF80" s="363"/>
      <c r="BG80" s="368">
        <f t="shared" si="1051"/>
        <v>1.9053008334402795</v>
      </c>
      <c r="BH80" s="363"/>
      <c r="BI80" s="368">
        <f t="shared" si="1051"/>
        <v>1.9900000000000002</v>
      </c>
      <c r="BJ80" s="363"/>
      <c r="BK80" s="368">
        <f t="shared" si="1051"/>
        <v>2.1400000000000006</v>
      </c>
      <c r="BL80" s="363"/>
      <c r="BM80" s="368">
        <f t="shared" ref="BM80:BO80" si="1052">+BM67-BM74</f>
        <v>2.1298783905544205</v>
      </c>
      <c r="BN80" s="363"/>
      <c r="BO80" s="368">
        <f t="shared" si="1052"/>
        <v>1.9840007701193687</v>
      </c>
      <c r="BP80" s="363"/>
      <c r="BQ80" s="368">
        <f t="shared" ref="BQ80:BS80" si="1053">+BQ67-BQ74</f>
        <v>1.9878256162027901</v>
      </c>
      <c r="BR80" s="363"/>
      <c r="BS80" s="368">
        <f t="shared" si="1053"/>
        <v>2.0520150491008806</v>
      </c>
      <c r="BT80" s="363"/>
      <c r="BU80" s="368">
        <f t="shared" ref="BU80:BW80" si="1054">+BU67-BU74</f>
        <v>2.0579053843759727</v>
      </c>
      <c r="BV80" s="363"/>
      <c r="BW80" s="368">
        <f t="shared" si="1054"/>
        <v>2.0308795173228842</v>
      </c>
      <c r="BX80" s="363"/>
      <c r="BY80" s="368">
        <f t="shared" ref="BY80:CA80" si="1055">+BY67-BY74</f>
        <v>2.0874900227175051</v>
      </c>
      <c r="BZ80" s="363"/>
      <c r="CA80" s="368">
        <f t="shared" si="1055"/>
        <v>1.9370634530250865</v>
      </c>
      <c r="CB80" s="363"/>
      <c r="CC80" s="368">
        <f t="shared" ref="CC80:CE80" si="1056">+CC67-CC74</f>
        <v>1.896846621156135</v>
      </c>
      <c r="CD80" s="363"/>
      <c r="CE80" s="368">
        <f t="shared" si="1056"/>
        <v>1.8715822661379447</v>
      </c>
      <c r="CF80" s="363"/>
      <c r="CG80" s="368">
        <f t="shared" ref="CG80:CI80" si="1057">+CG67-CG74</f>
        <v>1.8990956072351426</v>
      </c>
      <c r="CH80" s="363"/>
      <c r="CI80" s="368">
        <f t="shared" si="1057"/>
        <v>2.0780423615955361</v>
      </c>
      <c r="CJ80" s="363"/>
      <c r="CK80" s="368">
        <f t="shared" ref="CK80" si="1058">+CK67-CK74</f>
        <v>2.128487352867519</v>
      </c>
      <c r="CL80" s="363"/>
      <c r="CM80" s="368">
        <f t="shared" ref="CM80" si="1059">+CM67-CM74</f>
        <v>1.9016129032258071</v>
      </c>
      <c r="CN80" s="363"/>
      <c r="CO80" s="368">
        <f t="shared" ref="CO80" si="1060">+CO67-CO74</f>
        <v>2.0629695553270659</v>
      </c>
      <c r="CP80" s="363"/>
      <c r="CQ80" s="368">
        <f>+CQ67-CQ74</f>
        <v>1.6497138299954468</v>
      </c>
      <c r="CR80" s="363"/>
      <c r="CS80" s="368">
        <f>+CS67-CS74</f>
        <v>1.1977888420421197</v>
      </c>
      <c r="CT80" s="363"/>
      <c r="CU80" s="368">
        <f>+CU67-CU74</f>
        <v>1.5681209723016778</v>
      </c>
      <c r="CV80" s="363"/>
      <c r="CW80" s="368">
        <f>+CW67-CW74</f>
        <v>1.6066666666666665</v>
      </c>
      <c r="CX80" s="363"/>
      <c r="CY80" s="368">
        <f>+CY67-CY74</f>
        <v>1.4386834752026312</v>
      </c>
      <c r="CZ80" s="363"/>
      <c r="DA80" s="368">
        <f>+DA67-DA74</f>
        <v>1.5508108108108107</v>
      </c>
      <c r="DB80" s="363"/>
      <c r="DC80" s="368">
        <f>+DC67-DC74</f>
        <v>1.7364864864864868</v>
      </c>
      <c r="DD80" s="363"/>
      <c r="DE80" s="368">
        <f>+DE67-DE74</f>
        <v>1.4733333333333336</v>
      </c>
      <c r="DF80" s="363"/>
      <c r="DG80" s="368">
        <f>+DG67-DG74</f>
        <v>1.4333333333333336</v>
      </c>
    </row>
    <row r="81" spans="1:111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4.3437499999999997E-2</v>
      </c>
      <c r="H81" s="50"/>
      <c r="I81" s="72">
        <f>+I80/I10</f>
        <v>3.3339093553754459E-2</v>
      </c>
      <c r="J81" s="50"/>
      <c r="K81" s="72">
        <f>+K80/K10</f>
        <v>3.3339093553754459E-2</v>
      </c>
      <c r="L81" s="50"/>
      <c r="M81" s="72">
        <f>+M80/M10</f>
        <v>3.3339093553754459E-2</v>
      </c>
      <c r="N81" s="363"/>
      <c r="O81" s="368">
        <f>+O80/O10</f>
        <v>4.2330026288115233E-2</v>
      </c>
      <c r="P81" s="363"/>
      <c r="Q81" s="368">
        <f>+Q80/Q10</f>
        <v>0.14350000000000002</v>
      </c>
      <c r="R81" s="363"/>
      <c r="S81" s="368">
        <f>+S80/S10</f>
        <v>0.14350000000000002</v>
      </c>
      <c r="T81" s="363"/>
      <c r="U81" s="368">
        <f>+U80/U10</f>
        <v>3.9927718327397568E-2</v>
      </c>
      <c r="V81" s="363"/>
      <c r="W81" s="368">
        <f>+W80/W10</f>
        <v>4.1235576088154514E-2</v>
      </c>
      <c r="X81" s="363"/>
      <c r="Y81" s="368">
        <f>+Y80/Y10</f>
        <v>3.7406496907412712E-2</v>
      </c>
      <c r="Z81" s="363"/>
      <c r="AA81" s="368">
        <f>+AA80/AA10</f>
        <v>2.7441402114209978E-2</v>
      </c>
      <c r="AB81" s="363"/>
      <c r="AC81" s="368">
        <f>+AC80/AC10</f>
        <v>2.8688551206595726E-2</v>
      </c>
      <c r="AD81" s="363"/>
      <c r="AE81" s="368">
        <f>+AE80/AE10</f>
        <v>3.5421596695685363E-2</v>
      </c>
      <c r="AF81" s="363"/>
      <c r="AG81" s="368">
        <f>+AG80/AG10</f>
        <v>3.767842251955613E-2</v>
      </c>
      <c r="AH81" s="363"/>
      <c r="AI81" s="368">
        <f>+AI80/AI10</f>
        <v>4.147121628420565E-2</v>
      </c>
      <c r="AJ81" s="363"/>
      <c r="AK81" s="368">
        <f>+AK80/AK10</f>
        <v>4.4681037468799034E-2</v>
      </c>
      <c r="AL81" s="363"/>
      <c r="AM81" s="368">
        <f t="shared" ref="AM81" si="1061">+AM80/AM10</f>
        <v>4.6532390696171357E-2</v>
      </c>
      <c r="AN81" s="363"/>
      <c r="AO81" s="368">
        <f t="shared" ref="AO81" si="1062">+AO80/AO10</f>
        <v>4.533624977694739E-2</v>
      </c>
      <c r="AP81" s="363"/>
      <c r="AQ81" s="368">
        <f t="shared" ref="AQ81" si="1063">+AQ80/AQ10</f>
        <v>4.2296970281035316E-2</v>
      </c>
      <c r="AR81" s="363"/>
      <c r="AS81" s="368">
        <f t="shared" ref="AS81" si="1064">+AS80/AS10</f>
        <v>4.1341214357505707E-2</v>
      </c>
      <c r="AT81" s="363"/>
      <c r="AU81" s="368">
        <f t="shared" ref="AU81" si="1065">+AU80/AU10</f>
        <v>4.4522202225230678E-2</v>
      </c>
      <c r="AV81" s="363"/>
      <c r="AW81" s="368">
        <f t="shared" ref="AW81" si="1066">+AW80/AW10</f>
        <v>3.6318777345256306E-2</v>
      </c>
      <c r="AX81" s="363"/>
      <c r="AY81" s="368">
        <f t="shared" ref="AY81" si="1067">+AY80/AY10</f>
        <v>3.5284465091798237E-2</v>
      </c>
      <c r="AZ81" s="363"/>
      <c r="BA81" s="368">
        <f t="shared" ref="BA81:BC81" si="1068">+BA80/BA10</f>
        <v>4.0056701373912242E-2</v>
      </c>
      <c r="BB81" s="363"/>
      <c r="BC81" s="368">
        <f t="shared" si="1068"/>
        <v>4.24352771390357E-2</v>
      </c>
      <c r="BD81" s="363"/>
      <c r="BE81" s="368">
        <f t="shared" ref="BE81:BK81" si="1069">+BE80/BE10</f>
        <v>4.7123073212350562E-2</v>
      </c>
      <c r="BF81" s="363"/>
      <c r="BG81" s="368">
        <f t="shared" si="1069"/>
        <v>4.7632520836006984E-2</v>
      </c>
      <c r="BH81" s="363"/>
      <c r="BI81" s="368">
        <f t="shared" si="1069"/>
        <v>4.9750000000000003E-2</v>
      </c>
      <c r="BJ81" s="363"/>
      <c r="BK81" s="368">
        <f t="shared" si="1069"/>
        <v>5.3500000000000013E-2</v>
      </c>
      <c r="BL81" s="363"/>
      <c r="BM81" s="368">
        <f t="shared" ref="BM81:BO81" si="1070">+BM80/BM10</f>
        <v>5.3246959763860513E-2</v>
      </c>
      <c r="BN81" s="363"/>
      <c r="BO81" s="368">
        <f t="shared" si="1070"/>
        <v>4.9600019252984219E-2</v>
      </c>
      <c r="BP81" s="363"/>
      <c r="BQ81" s="368">
        <f t="shared" ref="BQ81:BS81" si="1071">+BQ80/BQ10</f>
        <v>4.9695640405069755E-2</v>
      </c>
      <c r="BR81" s="363"/>
      <c r="BS81" s="368">
        <f t="shared" si="1071"/>
        <v>5.1300376227522017E-2</v>
      </c>
      <c r="BT81" s="363"/>
      <c r="BU81" s="368">
        <f t="shared" ref="BU81:BW81" si="1072">+BU80/BU10</f>
        <v>5.1447634609399315E-2</v>
      </c>
      <c r="BV81" s="363"/>
      <c r="BW81" s="368">
        <f t="shared" si="1072"/>
        <v>5.0771987933072103E-2</v>
      </c>
      <c r="BX81" s="363"/>
      <c r="BY81" s="368">
        <f t="shared" ref="BY81:CA81" si="1073">+BY80/BY10</f>
        <v>5.2187250567937625E-2</v>
      </c>
      <c r="BZ81" s="363"/>
      <c r="CA81" s="368">
        <f t="shared" si="1073"/>
        <v>4.8426586325627165E-2</v>
      </c>
      <c r="CB81" s="363"/>
      <c r="CC81" s="368">
        <f t="shared" ref="CC81:CE81" si="1074">+CC80/CC10</f>
        <v>4.7421165528903374E-2</v>
      </c>
      <c r="CD81" s="363"/>
      <c r="CE81" s="368">
        <f t="shared" si="1074"/>
        <v>4.6789556653448618E-2</v>
      </c>
      <c r="CF81" s="363"/>
      <c r="CG81" s="368">
        <f t="shared" ref="CG81:CI81" si="1075">+CG80/CG10</f>
        <v>4.7477390180878563E-2</v>
      </c>
      <c r="CH81" s="363"/>
      <c r="CI81" s="368">
        <f t="shared" si="1075"/>
        <v>5.1951059039888406E-2</v>
      </c>
      <c r="CJ81" s="363"/>
      <c r="CK81" s="368">
        <f t="shared" ref="CK81" si="1076">+CK80/CK10</f>
        <v>5.3212183821687978E-2</v>
      </c>
      <c r="CL81" s="363"/>
      <c r="CM81" s="368">
        <f t="shared" ref="CM81" si="1077">+CM80/CM10</f>
        <v>4.7540322580645181E-2</v>
      </c>
      <c r="CN81" s="363"/>
      <c r="CO81" s="368">
        <f t="shared" ref="CO81" si="1078">+CO80/CO10</f>
        <v>5.1574238883176651E-2</v>
      </c>
      <c r="CP81" s="363"/>
      <c r="CQ81" s="368">
        <f>+CQ80/CQ10</f>
        <v>4.1242845749886167E-2</v>
      </c>
      <c r="CR81" s="363"/>
      <c r="CS81" s="368">
        <f>+CS80/CS10</f>
        <v>2.9944721051052992E-2</v>
      </c>
      <c r="CT81" s="363"/>
      <c r="CU81" s="368">
        <f>+CU80/CU10</f>
        <v>3.9203024307541946E-2</v>
      </c>
      <c r="CV81" s="363"/>
      <c r="CW81" s="368">
        <f>+CW80/CW10</f>
        <v>4.0166666666666663E-2</v>
      </c>
      <c r="CX81" s="363"/>
      <c r="CY81" s="368">
        <f>+CY80/CY10</f>
        <v>3.5967086880065779E-2</v>
      </c>
      <c r="CZ81" s="363"/>
      <c r="DA81" s="368">
        <f>+DA80/DA10</f>
        <v>3.8770270270270267E-2</v>
      </c>
      <c r="DB81" s="363"/>
      <c r="DC81" s="368">
        <f>+DC80/DC10</f>
        <v>4.341216216216217E-2</v>
      </c>
      <c r="DD81" s="363"/>
      <c r="DE81" s="368">
        <f>+DE80/DE10</f>
        <v>3.6833333333333343E-2</v>
      </c>
      <c r="DF81" s="363"/>
      <c r="DG81" s="368">
        <f>+DG80/DG10</f>
        <v>3.5833333333333342E-2</v>
      </c>
    </row>
    <row r="82" spans="1:111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382">
        <f>+G80/G67</f>
        <v>0.31954022988505743</v>
      </c>
      <c r="H82" s="132"/>
      <c r="I82" s="133">
        <f>+I80/I67</f>
        <v>0.25102376322826891</v>
      </c>
      <c r="J82" s="132"/>
      <c r="K82" s="133">
        <f>+K80/K67</f>
        <v>0.25102376322826891</v>
      </c>
      <c r="L82" s="132"/>
      <c r="M82" s="133">
        <f>+M80/M67</f>
        <v>0.25102376322826891</v>
      </c>
      <c r="N82" s="381"/>
      <c r="O82" s="1096">
        <f>+O80/O67</f>
        <v>0.29777112359192948</v>
      </c>
      <c r="P82" s="381"/>
      <c r="Q82" s="1096">
        <f>+Q80/Q67</f>
        <v>1</v>
      </c>
      <c r="R82" s="381"/>
      <c r="S82" s="1096">
        <f>+S80/S67</f>
        <v>1</v>
      </c>
      <c r="T82" s="381"/>
      <c r="U82" s="1096">
        <f>+U80/U67</f>
        <v>0.2782419395637461</v>
      </c>
      <c r="V82" s="381"/>
      <c r="W82" s="1096">
        <f>+W80/W67</f>
        <v>0.28735593092790601</v>
      </c>
      <c r="X82" s="381"/>
      <c r="Y82" s="1096">
        <f>+Y80/Y67</f>
        <v>0.26067245231646491</v>
      </c>
      <c r="Z82" s="381"/>
      <c r="AA82" s="1096">
        <f>+AA80/AA67</f>
        <v>0.19122928302585351</v>
      </c>
      <c r="AB82" s="381"/>
      <c r="AC82" s="1096">
        <f>+AC80/AC67</f>
        <v>0.19992021746756602</v>
      </c>
      <c r="AD82" s="381"/>
      <c r="AE82" s="1096">
        <f>+AE80/AE67</f>
        <v>0.24684039509188407</v>
      </c>
      <c r="AF82" s="381"/>
      <c r="AG82" s="1096">
        <f>+AG80/AG67</f>
        <v>0.26256740431746434</v>
      </c>
      <c r="AH82" s="381"/>
      <c r="AI82" s="1096">
        <f>+AI80/AI67</f>
        <v>0.28899802288645049</v>
      </c>
      <c r="AJ82" s="381"/>
      <c r="AK82" s="1096">
        <f>+AK80/AK67</f>
        <v>0.31136611476515003</v>
      </c>
      <c r="AL82" s="381"/>
      <c r="AM82" s="1096">
        <f t="shared" ref="AM82" si="1079">+AM80/AM67</f>
        <v>0.32426753098377248</v>
      </c>
      <c r="AN82" s="381"/>
      <c r="AO82" s="1096">
        <f t="shared" ref="AO82:AQ82" si="1080">+AO80/AO67</f>
        <v>0.31593205419475534</v>
      </c>
      <c r="AP82" s="381"/>
      <c r="AQ82" s="1096">
        <f t="shared" si="1080"/>
        <v>0.29475240613961895</v>
      </c>
      <c r="AR82" s="381"/>
      <c r="AS82" s="1096">
        <f t="shared" ref="AS82" si="1081">+AS80/AS67</f>
        <v>0.28809208611502235</v>
      </c>
      <c r="AT82" s="381"/>
      <c r="AU82" s="1096">
        <f t="shared" ref="AU82" si="1082">+AU80/AU67</f>
        <v>0.31025924895631135</v>
      </c>
      <c r="AV82" s="381"/>
      <c r="AW82" s="1096">
        <f t="shared" ref="AW82" si="1083">+AW80/AW67</f>
        <v>0.25309252505405089</v>
      </c>
      <c r="AX82" s="381"/>
      <c r="AY82" s="1096">
        <f t="shared" ref="AY82" si="1084">+AY80/AY67</f>
        <v>0.24588477415887269</v>
      </c>
      <c r="AZ82" s="381"/>
      <c r="BA82" s="1096">
        <f t="shared" ref="BA82:BC82" si="1085">+BA80/BA67</f>
        <v>0.27914077612482396</v>
      </c>
      <c r="BB82" s="381"/>
      <c r="BC82" s="1096">
        <f t="shared" si="1085"/>
        <v>0.29571621699676442</v>
      </c>
      <c r="BD82" s="381"/>
      <c r="BE82" s="1096">
        <f t="shared" ref="BE82:BK82" si="1086">+BE80/BE67</f>
        <v>0.32838378545192032</v>
      </c>
      <c r="BF82" s="381"/>
      <c r="BG82" s="1096">
        <f t="shared" si="1086"/>
        <v>0.33193394310806262</v>
      </c>
      <c r="BH82" s="381"/>
      <c r="BI82" s="1096">
        <f t="shared" si="1086"/>
        <v>0.34668989547038331</v>
      </c>
      <c r="BJ82" s="381"/>
      <c r="BK82" s="1096">
        <f t="shared" si="1086"/>
        <v>0.3658119658119659</v>
      </c>
      <c r="BL82" s="381"/>
      <c r="BM82" s="1096">
        <f t="shared" ref="BM82:BO82" si="1087">+BM80/BM67</f>
        <v>0.3640817761631488</v>
      </c>
      <c r="BN82" s="381"/>
      <c r="BO82" s="1096">
        <f t="shared" si="1087"/>
        <v>0.33914543078963566</v>
      </c>
      <c r="BP82" s="381"/>
      <c r="BQ82" s="1096">
        <f t="shared" ref="BQ82:BS82" si="1088">+BQ80/BQ67</f>
        <v>0.33979925063295552</v>
      </c>
      <c r="BR82" s="381"/>
      <c r="BS82" s="1096">
        <f t="shared" si="1088"/>
        <v>0.35077180326510776</v>
      </c>
      <c r="BT82" s="381"/>
      <c r="BU82" s="1096">
        <f t="shared" ref="BU82:BW82" si="1089">+BU80/BU67</f>
        <v>0.35177869818392693</v>
      </c>
      <c r="BV82" s="381"/>
      <c r="BW82" s="1096">
        <f t="shared" si="1089"/>
        <v>0.34715889185006565</v>
      </c>
      <c r="BX82" s="381"/>
      <c r="BY82" s="1096">
        <f t="shared" ref="BY82:CA82" si="1090">+BY80/BY67</f>
        <v>0.3568359013192316</v>
      </c>
      <c r="BZ82" s="381"/>
      <c r="CA82" s="1096">
        <f t="shared" si="1090"/>
        <v>0.33112195778206605</v>
      </c>
      <c r="CB82" s="381"/>
      <c r="CC82" s="1096">
        <f t="shared" ref="CC82:CE82" si="1091">+CC80/CC67</f>
        <v>0.32424728566771538</v>
      </c>
      <c r="CD82" s="381"/>
      <c r="CE82" s="1096">
        <f t="shared" si="1091"/>
        <v>0.31992859250221273</v>
      </c>
      <c r="CF82" s="381"/>
      <c r="CG82" s="1096">
        <f t="shared" ref="CG82:CI82" si="1092">+CG80/CG67</f>
        <v>0.32463172773250298</v>
      </c>
      <c r="CH82" s="381"/>
      <c r="CI82" s="1096">
        <f t="shared" si="1092"/>
        <v>0.35522091651205745</v>
      </c>
      <c r="CJ82" s="381"/>
      <c r="CK82" s="1096">
        <f t="shared" ref="CK82" si="1093">+CK80/CK67</f>
        <v>0.36384399194316563</v>
      </c>
      <c r="CL82" s="381"/>
      <c r="CM82" s="1096">
        <f t="shared" ref="CM82" si="1094">+CM80/CM67</f>
        <v>0.32506203473945416</v>
      </c>
      <c r="CN82" s="381"/>
      <c r="CO82" s="1096">
        <f t="shared" ref="CO82" si="1095">+CO80/CO67</f>
        <v>0.35264436843197705</v>
      </c>
      <c r="CP82" s="381"/>
      <c r="CQ82" s="1096">
        <f>+CQ80/CQ67</f>
        <v>0.28852417250443574</v>
      </c>
      <c r="CR82" s="381"/>
      <c r="CS82" s="1096">
        <f>+CS80/CS67</f>
        <v>0.20867401429305218</v>
      </c>
      <c r="CT82" s="381"/>
      <c r="CU82" s="1096">
        <f>+CU80/CU67</f>
        <v>0.27319180702119822</v>
      </c>
      <c r="CV82" s="381"/>
      <c r="CW82" s="1096">
        <f>+CW80/CW67</f>
        <v>0.27990708478513354</v>
      </c>
      <c r="CX82" s="381"/>
      <c r="CY82" s="1096">
        <f>+CY80/CY67</f>
        <v>0.25116034944956955</v>
      </c>
      <c r="CZ82" s="381"/>
      <c r="DA82" s="1096">
        <f>+DA80/DA67</f>
        <v>0.27017609944439208</v>
      </c>
      <c r="DB82" s="381"/>
      <c r="DC82" s="1096">
        <f>+DC80/DC67</f>
        <v>0.27783783783783789</v>
      </c>
      <c r="DD82" s="381"/>
      <c r="DE82" s="1096">
        <f>+DE80/DE67</f>
        <v>0.25667828106852503</v>
      </c>
      <c r="DF82" s="381"/>
      <c r="DG82" s="1096">
        <f>+DG80/DG67</f>
        <v>0.24970963995354242</v>
      </c>
    </row>
    <row r="83" spans="1:111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1.2374999999999998</v>
      </c>
      <c r="H83" s="137"/>
      <c r="I83" s="138">
        <f>I80-I57</f>
        <v>0.93356374215017845</v>
      </c>
      <c r="J83" s="137"/>
      <c r="K83" s="138">
        <f>K80-K57</f>
        <v>0.93356374215017845</v>
      </c>
      <c r="L83" s="137"/>
      <c r="M83" s="138">
        <f>M80-M57</f>
        <v>0.93356374215017845</v>
      </c>
      <c r="N83" s="137"/>
      <c r="O83" s="138">
        <f>O80-O57</f>
        <v>0.9432010515246092</v>
      </c>
      <c r="P83" s="137"/>
      <c r="Q83" s="138">
        <f>Q80-Q57</f>
        <v>4.9400000000000004</v>
      </c>
      <c r="R83" s="137"/>
      <c r="S83" s="138">
        <f>S80-S57</f>
        <v>4.9400000000000004</v>
      </c>
      <c r="T83" s="137"/>
      <c r="U83" s="138">
        <f>U80-U57</f>
        <v>0.79710873309590269</v>
      </c>
      <c r="V83" s="137"/>
      <c r="W83" s="138">
        <f>W80-W57</f>
        <v>0.84942304352618059</v>
      </c>
      <c r="X83" s="137"/>
      <c r="Y83" s="138">
        <f>Y80-Y57</f>
        <v>0.69625987629650854</v>
      </c>
      <c r="Z83" s="137"/>
      <c r="AA83" s="138">
        <f>AA80-AA57</f>
        <v>0.2976560845683992</v>
      </c>
      <c r="AB83" s="137"/>
      <c r="AC83" s="138">
        <f>AC80-AC57</f>
        <v>0.34754204826382906</v>
      </c>
      <c r="AD83" s="137"/>
      <c r="AE83" s="138">
        <f>AE80-AE57</f>
        <v>0.61686386782741465</v>
      </c>
      <c r="AF83" s="137"/>
      <c r="AG83" s="138">
        <f>AG80-AG57</f>
        <v>0.70713690078224534</v>
      </c>
      <c r="AH83" s="137"/>
      <c r="AI83" s="138">
        <f>AI80-AI57</f>
        <v>0.85884865136822597</v>
      </c>
      <c r="AJ83" s="137"/>
      <c r="AK83" s="138">
        <f>AK80-AK57</f>
        <v>0.98724149875196143</v>
      </c>
      <c r="AL83" s="137"/>
      <c r="AM83" s="138">
        <f t="shared" ref="AM83" si="1096">AM80-AM57</f>
        <v>1.0612956278468544</v>
      </c>
      <c r="AN83" s="137"/>
      <c r="AO83" s="138">
        <f t="shared" ref="AO83:AQ83" si="1097">AO80-AO57</f>
        <v>1.0134499910778958</v>
      </c>
      <c r="AP83" s="137"/>
      <c r="AQ83" s="138">
        <f t="shared" si="1097"/>
        <v>0.89187881124141277</v>
      </c>
      <c r="AR83" s="137"/>
      <c r="AS83" s="138">
        <f t="shared" ref="AS83" si="1098">AS80-AS57</f>
        <v>0.85364857430022834</v>
      </c>
      <c r="AT83" s="137"/>
      <c r="AU83" s="138">
        <f t="shared" ref="AU83" si="1099">AU80-AU57</f>
        <v>0.98088808900922719</v>
      </c>
      <c r="AV83" s="137"/>
      <c r="AW83" s="138">
        <f t="shared" ref="AW83" si="1100">AW80-AW57</f>
        <v>0.6527510938102522</v>
      </c>
      <c r="AX83" s="137"/>
      <c r="AY83" s="138">
        <f t="shared" ref="AY83" si="1101">AY80-AY57</f>
        <v>0.61137860367192942</v>
      </c>
      <c r="AZ83" s="137"/>
      <c r="BA83" s="138">
        <f t="shared" ref="BA83:BC83" si="1102">BA80-BA57</f>
        <v>0.80226805495648967</v>
      </c>
      <c r="BB83" s="137"/>
      <c r="BC83" s="138">
        <f t="shared" si="1102"/>
        <v>0.89741108556142801</v>
      </c>
      <c r="BD83" s="137"/>
      <c r="BE83" s="138">
        <f t="shared" ref="BE83:BK83" si="1103">BE80-BE57</f>
        <v>1.0849229284940227</v>
      </c>
      <c r="BF83" s="137"/>
      <c r="BG83" s="138">
        <f t="shared" si="1103"/>
        <v>1.1053008334402796</v>
      </c>
      <c r="BH83" s="137"/>
      <c r="BI83" s="138">
        <f t="shared" si="1103"/>
        <v>1.1900000000000004</v>
      </c>
      <c r="BJ83" s="137"/>
      <c r="BK83" s="138">
        <f t="shared" si="1103"/>
        <v>1.3400000000000007</v>
      </c>
      <c r="BL83" s="137"/>
      <c r="BM83" s="138">
        <f t="shared" ref="BM83:BO83" si="1104">BM80-BM57</f>
        <v>1.3298783905544207</v>
      </c>
      <c r="BN83" s="137"/>
      <c r="BO83" s="138">
        <f t="shared" si="1104"/>
        <v>1.1840007701193689</v>
      </c>
      <c r="BP83" s="137"/>
      <c r="BQ83" s="138">
        <f t="shared" ref="BQ83:BS83" si="1105">BQ80-BQ57</f>
        <v>1.1878256162027903</v>
      </c>
      <c r="BR83" s="137"/>
      <c r="BS83" s="138">
        <f t="shared" si="1105"/>
        <v>1.2520150491008808</v>
      </c>
      <c r="BT83" s="137"/>
      <c r="BU83" s="138">
        <f t="shared" ref="BU83:BW83" si="1106">BU80-BU57</f>
        <v>1.2579053843759729</v>
      </c>
      <c r="BV83" s="137"/>
      <c r="BW83" s="138">
        <f t="shared" si="1106"/>
        <v>1.2308795173228844</v>
      </c>
      <c r="BX83" s="137"/>
      <c r="BY83" s="138">
        <f t="shared" ref="BY83:CA83" si="1107">BY80-BY57</f>
        <v>1.2874900227175052</v>
      </c>
      <c r="BZ83" s="137"/>
      <c r="CA83" s="138">
        <f t="shared" si="1107"/>
        <v>1.1370634530250867</v>
      </c>
      <c r="CB83" s="137"/>
      <c r="CC83" s="138">
        <f t="shared" ref="CC83:CE83" si="1108">CC80-CC57</f>
        <v>1.0968466211561352</v>
      </c>
      <c r="CD83" s="137"/>
      <c r="CE83" s="138">
        <f t="shared" si="1108"/>
        <v>1.0715822661379448</v>
      </c>
      <c r="CF83" s="137"/>
      <c r="CG83" s="138">
        <f t="shared" ref="CG83:CI83" si="1109">CG80-CG57</f>
        <v>1.0990956072351428</v>
      </c>
      <c r="CH83" s="137"/>
      <c r="CI83" s="138">
        <f t="shared" si="1109"/>
        <v>1.2780423615955363</v>
      </c>
      <c r="CJ83" s="137"/>
      <c r="CK83" s="138">
        <f t="shared" ref="CK83" si="1110">CK80-CK57</f>
        <v>1.3284873528675192</v>
      </c>
      <c r="CL83" s="137"/>
      <c r="CM83" s="138">
        <f t="shared" ref="CM83" si="1111">CM80-CM57</f>
        <v>1.1016129032258073</v>
      </c>
      <c r="CN83" s="137"/>
      <c r="CO83" s="138">
        <f t="shared" ref="CO83" si="1112">CO80-CO57</f>
        <v>1.2629695553270661</v>
      </c>
      <c r="CP83" s="137"/>
      <c r="CQ83" s="138">
        <f>CQ80-CQ57</f>
        <v>0.87022665050826731</v>
      </c>
      <c r="CR83" s="137"/>
      <c r="CS83" s="138">
        <f>CS80-CS57</f>
        <v>0.39778884204211962</v>
      </c>
      <c r="CT83" s="137"/>
      <c r="CU83" s="138">
        <f>CU80-CU57</f>
        <v>0.76812097230167775</v>
      </c>
      <c r="CV83" s="137"/>
      <c r="CW83" s="138">
        <f>CW80-CW57</f>
        <v>0.80666666666666642</v>
      </c>
      <c r="CX83" s="137"/>
      <c r="CY83" s="138">
        <f>CY80-CY57</f>
        <v>0.64970925140004765</v>
      </c>
      <c r="CZ83" s="137"/>
      <c r="DA83" s="138">
        <f>DA80-DA57</f>
        <v>0.75081081081081069</v>
      </c>
      <c r="DB83" s="137"/>
      <c r="DC83" s="138">
        <f>DC80-DC57</f>
        <v>0.6864864864864868</v>
      </c>
      <c r="DD83" s="137"/>
      <c r="DE83" s="138">
        <f>DE80-DE57</f>
        <v>0.67333333333333356</v>
      </c>
      <c r="DF83" s="137"/>
      <c r="DG83" s="138">
        <f>DG80-DG57</f>
        <v>0.63333333333333353</v>
      </c>
    </row>
    <row r="84" spans="1:111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0.22758620689655168</v>
      </c>
      <c r="H84" s="132"/>
      <c r="I84" s="133">
        <f>I83/I67</f>
        <v>0.17572964558121007</v>
      </c>
      <c r="J84" s="132"/>
      <c r="K84" s="133">
        <f>K83/K67</f>
        <v>0.17572964558121007</v>
      </c>
      <c r="L84" s="132"/>
      <c r="M84" s="133">
        <f>M83/M67</f>
        <v>0.17572964558121007</v>
      </c>
      <c r="N84" s="381"/>
      <c r="O84" s="382">
        <f>O83/O67</f>
        <v>0.16587400334572155</v>
      </c>
      <c r="P84" s="381"/>
      <c r="Q84" s="382">
        <f>Q83/Q67</f>
        <v>0.86062717770034847</v>
      </c>
      <c r="R84" s="381"/>
      <c r="S84" s="382">
        <f>S83/S67</f>
        <v>0.86062717770034847</v>
      </c>
      <c r="T84" s="381"/>
      <c r="U84" s="382">
        <f>U83/U67</f>
        <v>0.13886911726409454</v>
      </c>
      <c r="V84" s="381"/>
      <c r="W84" s="382">
        <f>W83/W67</f>
        <v>0.14798310862825445</v>
      </c>
      <c r="X84" s="381"/>
      <c r="Y84" s="382">
        <f>Y83/Y67</f>
        <v>0.12129963001681333</v>
      </c>
      <c r="Z84" s="381"/>
      <c r="AA84" s="382">
        <f>AA83/AA67</f>
        <v>5.1856460726201953E-2</v>
      </c>
      <c r="AB84" s="381"/>
      <c r="AC84" s="382">
        <f>AC83/AC67</f>
        <v>6.0547395167914471E-2</v>
      </c>
      <c r="AD84" s="381"/>
      <c r="AE84" s="382">
        <f>AE83/AE67</f>
        <v>0.10746757279223251</v>
      </c>
      <c r="AF84" s="381"/>
      <c r="AG84" s="382">
        <f>AG83/AG67</f>
        <v>0.12319458201781278</v>
      </c>
      <c r="AH84" s="381"/>
      <c r="AI84" s="382">
        <f>AI83/AI67</f>
        <v>0.14962520058679896</v>
      </c>
      <c r="AJ84" s="381"/>
      <c r="AK84" s="382">
        <f>AK83/AK67</f>
        <v>0.17199329246549849</v>
      </c>
      <c r="AL84" s="381"/>
      <c r="AM84" s="382">
        <f t="shared" ref="AM84" si="1113">AM83/AM67</f>
        <v>0.18489470868412097</v>
      </c>
      <c r="AN84" s="381"/>
      <c r="AO84" s="382">
        <f t="shared" ref="AO84" si="1114">AO83/AO67</f>
        <v>0.17655923189510378</v>
      </c>
      <c r="AP84" s="381"/>
      <c r="AQ84" s="382">
        <f t="shared" ref="AQ84" si="1115">AQ83/AQ67</f>
        <v>0.15537958383996739</v>
      </c>
      <c r="AR84" s="381"/>
      <c r="AS84" s="382">
        <f t="shared" ref="AS84" si="1116">AS83/AS67</f>
        <v>0.14871926381537079</v>
      </c>
      <c r="AT84" s="381"/>
      <c r="AU84" s="382">
        <f t="shared" ref="AU84" si="1117">AU83/AU67</f>
        <v>0.17088642665665979</v>
      </c>
      <c r="AV84" s="381"/>
      <c r="AW84" s="382">
        <f t="shared" ref="AW84" si="1118">AW83/AW67</f>
        <v>0.11371970275439934</v>
      </c>
      <c r="AX84" s="381"/>
      <c r="AY84" s="382">
        <f t="shared" ref="AY84" si="1119">AY83/AY67</f>
        <v>0.10651195185922115</v>
      </c>
      <c r="AZ84" s="381"/>
      <c r="BA84" s="382">
        <f t="shared" ref="BA84:BC84" si="1120">BA83/BA67</f>
        <v>0.1397679538251724</v>
      </c>
      <c r="BB84" s="381"/>
      <c r="BC84" s="382">
        <f t="shared" si="1120"/>
        <v>0.15634339469711289</v>
      </c>
      <c r="BD84" s="381"/>
      <c r="BE84" s="382">
        <f t="shared" ref="BE84:BK84" si="1121">BE83/BE67</f>
        <v>0.18901096315226876</v>
      </c>
      <c r="BF84" s="381"/>
      <c r="BG84" s="382">
        <f t="shared" si="1121"/>
        <v>0.19256112080841109</v>
      </c>
      <c r="BH84" s="381"/>
      <c r="BI84" s="382">
        <f t="shared" si="1121"/>
        <v>0.20731707317073178</v>
      </c>
      <c r="BJ84" s="381"/>
      <c r="BK84" s="382">
        <f t="shared" si="1121"/>
        <v>0.22905982905982916</v>
      </c>
      <c r="BL84" s="381"/>
      <c r="BM84" s="382">
        <f t="shared" ref="BM84:BO84" si="1122">BM83/BM67</f>
        <v>0.22732963941101206</v>
      </c>
      <c r="BN84" s="381"/>
      <c r="BO84" s="382">
        <f t="shared" si="1122"/>
        <v>0.20239329403749895</v>
      </c>
      <c r="BP84" s="381"/>
      <c r="BQ84" s="382">
        <f t="shared" ref="BQ84:BS84" si="1123">BQ83/BQ67</f>
        <v>0.20304711388081884</v>
      </c>
      <c r="BR84" s="381"/>
      <c r="BS84" s="382">
        <f t="shared" si="1123"/>
        <v>0.21401966651297105</v>
      </c>
      <c r="BT84" s="381"/>
      <c r="BU84" s="382">
        <f t="shared" ref="BU84:BW84" si="1124">BU83/BU67</f>
        <v>0.21502656143179022</v>
      </c>
      <c r="BV84" s="381"/>
      <c r="BW84" s="382">
        <f t="shared" si="1124"/>
        <v>0.21040675509792894</v>
      </c>
      <c r="BX84" s="381"/>
      <c r="BY84" s="382">
        <f t="shared" ref="BY84:CA84" si="1125">BY83/BY67</f>
        <v>0.22008376456709489</v>
      </c>
      <c r="BZ84" s="381"/>
      <c r="CA84" s="382">
        <f t="shared" si="1125"/>
        <v>0.19436982102992933</v>
      </c>
      <c r="CB84" s="381"/>
      <c r="CC84" s="382">
        <f t="shared" ref="CC84:CE84" si="1126">CC83/CC67</f>
        <v>0.18749514891557864</v>
      </c>
      <c r="CD84" s="381"/>
      <c r="CE84" s="382">
        <f t="shared" si="1126"/>
        <v>0.18317645575007602</v>
      </c>
      <c r="CF84" s="381"/>
      <c r="CG84" s="382">
        <f t="shared" ref="CG84:CI84" si="1127">CG83/CG67</f>
        <v>0.18787959098036627</v>
      </c>
      <c r="CH84" s="381"/>
      <c r="CI84" s="382">
        <f t="shared" si="1127"/>
        <v>0.21846877975992071</v>
      </c>
      <c r="CJ84" s="381"/>
      <c r="CK84" s="382">
        <f t="shared" ref="CK84" si="1128">CK83/CK67</f>
        <v>0.2270918551910289</v>
      </c>
      <c r="CL84" s="381"/>
      <c r="CM84" s="382">
        <f t="shared" ref="CM84" si="1129">CM83/CM67</f>
        <v>0.18830989798731748</v>
      </c>
      <c r="CN84" s="381"/>
      <c r="CO84" s="382">
        <f t="shared" ref="CO84" si="1130">CO83/CO67</f>
        <v>0.21589223167984034</v>
      </c>
      <c r="CP84" s="381"/>
      <c r="CQ84" s="382">
        <f>CQ83/CQ67</f>
        <v>0.15219695662604563</v>
      </c>
      <c r="CR84" s="381"/>
      <c r="CS84" s="382">
        <f>CS83/CS67</f>
        <v>6.9301191993400624E-2</v>
      </c>
      <c r="CT84" s="381"/>
      <c r="CU84" s="382">
        <f>CU83/CU67</f>
        <v>0.13381898472154663</v>
      </c>
      <c r="CV84" s="381"/>
      <c r="CW84" s="382">
        <f>CW83/CW67</f>
        <v>0.14053426248548195</v>
      </c>
      <c r="CX84" s="381"/>
      <c r="CY84" s="382">
        <f>CY83/CY67</f>
        <v>0.11342397784840821</v>
      </c>
      <c r="CZ84" s="381"/>
      <c r="DA84" s="382">
        <f>DA83/DA67</f>
        <v>0.13080327714474052</v>
      </c>
      <c r="DB84" s="381"/>
      <c r="DC84" s="382">
        <f>DC83/DC67</f>
        <v>0.10983783783783789</v>
      </c>
      <c r="DD84" s="381"/>
      <c r="DE84" s="382">
        <f>DE83/DE67</f>
        <v>0.11730545876887344</v>
      </c>
      <c r="DF84" s="381"/>
      <c r="DG84" s="382">
        <f>DG83/DG67</f>
        <v>0.11033681765389085</v>
      </c>
    </row>
    <row r="85" spans="1:111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381"/>
      <c r="O85" s="382"/>
      <c r="P85" s="381"/>
      <c r="Q85" s="382"/>
      <c r="R85" s="381"/>
      <c r="S85" s="382"/>
      <c r="T85" s="381"/>
      <c r="U85" s="382"/>
      <c r="V85" s="381"/>
      <c r="W85" s="382"/>
      <c r="X85" s="381"/>
      <c r="Y85" s="382"/>
      <c r="Z85" s="381"/>
      <c r="AA85" s="382"/>
      <c r="AB85" s="381"/>
      <c r="AC85" s="382"/>
      <c r="AD85" s="381"/>
      <c r="AE85" s="382"/>
      <c r="AF85" s="381"/>
      <c r="AG85" s="382"/>
      <c r="AH85" s="381"/>
      <c r="AI85" s="382"/>
      <c r="AJ85" s="381"/>
      <c r="AK85" s="382"/>
      <c r="AL85" s="381"/>
      <c r="AM85" s="382"/>
      <c r="AN85" s="381"/>
      <c r="AO85" s="382"/>
      <c r="AP85" s="381"/>
      <c r="AQ85" s="382"/>
      <c r="AR85" s="381"/>
      <c r="AS85" s="382"/>
      <c r="AT85" s="381"/>
      <c r="AU85" s="382"/>
      <c r="AV85" s="381"/>
      <c r="AW85" s="382"/>
      <c r="AX85" s="381"/>
      <c r="AY85" s="382"/>
      <c r="AZ85" s="381"/>
      <c r="BA85" s="382"/>
      <c r="BB85" s="381"/>
      <c r="BC85" s="382"/>
      <c r="BD85" s="381"/>
      <c r="BE85" s="382"/>
      <c r="BF85" s="381"/>
      <c r="BG85" s="382"/>
      <c r="BH85" s="381"/>
      <c r="BI85" s="382"/>
      <c r="BJ85" s="381"/>
      <c r="BK85" s="382"/>
      <c r="BL85" s="381"/>
      <c r="BM85" s="382"/>
      <c r="BN85" s="381"/>
      <c r="BO85" s="382"/>
      <c r="BP85" s="381"/>
      <c r="BQ85" s="382"/>
      <c r="BR85" s="381"/>
      <c r="BS85" s="382"/>
      <c r="BT85" s="381"/>
      <c r="BU85" s="382"/>
      <c r="BV85" s="381"/>
      <c r="BW85" s="382"/>
      <c r="BX85" s="381"/>
      <c r="BY85" s="382"/>
      <c r="BZ85" s="381"/>
      <c r="CA85" s="382"/>
      <c r="CB85" s="381"/>
      <c r="CC85" s="382"/>
      <c r="CD85" s="381"/>
      <c r="CE85" s="382"/>
      <c r="CF85" s="381"/>
      <c r="CG85" s="382"/>
      <c r="CH85" s="381"/>
      <c r="CI85" s="382"/>
      <c r="CJ85" s="381"/>
      <c r="CK85" s="382"/>
      <c r="CL85" s="381"/>
      <c r="CM85" s="382"/>
      <c r="CN85" s="381"/>
      <c r="CO85" s="382"/>
      <c r="CP85" s="381"/>
      <c r="CQ85" s="382"/>
      <c r="CR85" s="381"/>
      <c r="CS85" s="382"/>
      <c r="CT85" s="381"/>
      <c r="CU85" s="382"/>
      <c r="CV85" s="381"/>
      <c r="CW85" s="382"/>
      <c r="CX85" s="381"/>
      <c r="CY85" s="382"/>
      <c r="CZ85" s="381"/>
      <c r="DA85" s="382"/>
      <c r="DB85" s="381"/>
      <c r="DC85" s="382"/>
      <c r="DD85" s="381"/>
      <c r="DE85" s="382"/>
      <c r="DF85" s="381"/>
      <c r="DG85" s="382"/>
    </row>
    <row r="86" spans="1:111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1.123119597301286</v>
      </c>
      <c r="H86" s="141"/>
      <c r="I86" s="142">
        <f>I83-I72</f>
        <v>0.8191833394514646</v>
      </c>
      <c r="J86" s="141"/>
      <c r="K86" s="142">
        <f>K83-K72</f>
        <v>0.8191833394514646</v>
      </c>
      <c r="L86" s="141"/>
      <c r="M86" s="142">
        <f>M83-M72</f>
        <v>0.8191833394514646</v>
      </c>
      <c r="N86" s="141"/>
      <c r="O86" s="142">
        <f>O83-O72</f>
        <v>0.84381622322754624</v>
      </c>
      <c r="P86" s="141"/>
      <c r="Q86" s="142">
        <f>Q83-Q72</f>
        <v>4.8218640146665122</v>
      </c>
      <c r="R86" s="141"/>
      <c r="S86" s="142">
        <f>S83-S72</f>
        <v>4.8218640146665122</v>
      </c>
      <c r="T86" s="141"/>
      <c r="U86" s="142">
        <f>U83-U72</f>
        <v>0.69848378120729571</v>
      </c>
      <c r="V86" s="141"/>
      <c r="W86" s="142">
        <f>W83-W72</f>
        <v>0.71035889769234917</v>
      </c>
      <c r="X86" s="141"/>
      <c r="Y86" s="142">
        <f>Y83-Y72</f>
        <v>0.64772329288281327</v>
      </c>
      <c r="Z86" s="141"/>
      <c r="AA86" s="142">
        <f>AA83-AA72</f>
        <v>0.18749113026616021</v>
      </c>
      <c r="AB86" s="141"/>
      <c r="AC86" s="142">
        <f>AC83-AC72</f>
        <v>0.25252147383673906</v>
      </c>
      <c r="AD86" s="141"/>
      <c r="AE86" s="142">
        <f>AE83-AE72</f>
        <v>0.49487913015989449</v>
      </c>
      <c r="AF86" s="141"/>
      <c r="AG86" s="142">
        <f>AG83-AG72</f>
        <v>0.53991660998227431</v>
      </c>
      <c r="AH86" s="141"/>
      <c r="AI86" s="142">
        <f>AI83-AI72</f>
        <v>0.74858157280073012</v>
      </c>
      <c r="AJ86" s="141"/>
      <c r="AK86" s="142">
        <f>AK83-AK72</f>
        <v>0.87889251510748634</v>
      </c>
      <c r="AL86" s="141"/>
      <c r="AM86" s="142">
        <f t="shared" ref="AM86" si="1131">AM83-AM72</f>
        <v>0.93057649646605956</v>
      </c>
      <c r="AN86" s="141"/>
      <c r="AO86" s="142">
        <f t="shared" ref="AO86:AQ86" si="1132">AO83-AO72</f>
        <v>0.89472972706020315</v>
      </c>
      <c r="AP86" s="141"/>
      <c r="AQ86" s="142">
        <f t="shared" si="1132"/>
        <v>0.7740933452362021</v>
      </c>
      <c r="AR86" s="141"/>
      <c r="AS86" s="142">
        <f t="shared" ref="AS86" si="1133">AS83-AS72</f>
        <v>0.74517934949622244</v>
      </c>
      <c r="AT86" s="141"/>
      <c r="AU86" s="142">
        <f t="shared" ref="AU86" si="1134">AU83-AU72</f>
        <v>0.89024295327373437</v>
      </c>
      <c r="AV86" s="141"/>
      <c r="AW86" s="142">
        <f t="shared" ref="AW86" si="1135">AW83-AW72</f>
        <v>0.53496562780504153</v>
      </c>
      <c r="AX86" s="141"/>
      <c r="AY86" s="142">
        <f t="shared" ref="AY86" si="1136">AY83-AY72</f>
        <v>0.50290937886792353</v>
      </c>
      <c r="AZ86" s="141"/>
      <c r="BA86" s="142">
        <f t="shared" ref="BA86:BC86" si="1137">BA83-BA72</f>
        <v>0.69459888666752589</v>
      </c>
      <c r="BB86" s="141"/>
      <c r="BC86" s="142">
        <f t="shared" si="1137"/>
        <v>0.78905976428888458</v>
      </c>
      <c r="BD86" s="141"/>
      <c r="BE86" s="142">
        <f t="shared" ref="BE86:BK86" si="1138">BE83-BE72</f>
        <v>0.98837820478336147</v>
      </c>
      <c r="BF86" s="141"/>
      <c r="BG86" s="142">
        <f t="shared" si="1138"/>
        <v>1.0019973239321951</v>
      </c>
      <c r="BH86" s="141"/>
      <c r="BI86" s="142">
        <f t="shared" si="1138"/>
        <v>1.0902118351913601</v>
      </c>
      <c r="BJ86" s="141"/>
      <c r="BK86" s="142">
        <f t="shared" si="1138"/>
        <v>1.2343188217592898</v>
      </c>
      <c r="BL86" s="141"/>
      <c r="BM86" s="142">
        <f t="shared" ref="BM86:BO86" si="1139">BM83-BM72</f>
        <v>1.2234662586771756</v>
      </c>
      <c r="BN86" s="141"/>
      <c r="BO86" s="142">
        <f t="shared" si="1139"/>
        <v>1.0834159099677598</v>
      </c>
      <c r="BP86" s="141"/>
      <c r="BQ86" s="142">
        <f t="shared" ref="BQ86:BS86" si="1140">BQ83-BQ72</f>
        <v>1.0755319657004292</v>
      </c>
      <c r="BR86" s="141"/>
      <c r="BS86" s="142">
        <f t="shared" si="1140"/>
        <v>1.1397213985985197</v>
      </c>
      <c r="BT86" s="141"/>
      <c r="BU86" s="142">
        <f t="shared" ref="BU86:BW86" si="1141">BU83-BU72</f>
        <v>1.1456117338736118</v>
      </c>
      <c r="BV86" s="141"/>
      <c r="BW86" s="142">
        <f t="shared" si="1141"/>
        <v>1.1185858668205233</v>
      </c>
      <c r="BX86" s="141"/>
      <c r="BY86" s="142">
        <f t="shared" ref="BY86:CA86" si="1142">BY83-BY72</f>
        <v>1.1751963722151442</v>
      </c>
      <c r="BZ86" s="141"/>
      <c r="CA86" s="142">
        <f t="shared" si="1142"/>
        <v>1.0247698025227256</v>
      </c>
      <c r="CB86" s="141"/>
      <c r="CC86" s="142">
        <f t="shared" ref="CC86:CE86" si="1143">CC83-CC72</f>
        <v>0.98455297065377423</v>
      </c>
      <c r="CD86" s="141"/>
      <c r="CE86" s="142">
        <f t="shared" si="1143"/>
        <v>0.95928861563558387</v>
      </c>
      <c r="CF86" s="141"/>
      <c r="CG86" s="142">
        <f t="shared" ref="CG86:CI86" si="1144">CG83-CG72</f>
        <v>0.98680195673278182</v>
      </c>
      <c r="CH86" s="141"/>
      <c r="CI86" s="142">
        <f t="shared" si="1144"/>
        <v>1.1657487110931752</v>
      </c>
      <c r="CJ86" s="141"/>
      <c r="CK86" s="142">
        <f t="shared" ref="CK86" si="1145">CK83-CK72</f>
        <v>1.2161937023651581</v>
      </c>
      <c r="CL86" s="141"/>
      <c r="CM86" s="142">
        <f t="shared" ref="CM86" si="1146">CM83-CM72</f>
        <v>0.98931925272344634</v>
      </c>
      <c r="CN86" s="141"/>
      <c r="CO86" s="142">
        <f t="shared" ref="CO86" si="1147">CO83-CO72</f>
        <v>1.1506759048247051</v>
      </c>
      <c r="CP86" s="141"/>
      <c r="CQ86" s="142">
        <f>CQ83-CQ72</f>
        <v>0.76092093036356956</v>
      </c>
      <c r="CR86" s="141"/>
      <c r="CS86" s="142">
        <f>CS83-CS72</f>
        <v>0.30732814487526483</v>
      </c>
      <c r="CT86" s="141"/>
      <c r="CU86" s="142">
        <f>CU83-CU72</f>
        <v>0.64794526242245498</v>
      </c>
      <c r="CV86" s="141"/>
      <c r="CW86" s="142">
        <f>CW83-CW72</f>
        <v>0.68649095678744365</v>
      </c>
      <c r="CX86" s="141"/>
      <c r="CY86" s="142">
        <f>CY83-CY72</f>
        <v>0.54911923020098552</v>
      </c>
      <c r="CZ86" s="141"/>
      <c r="DA86" s="142">
        <f>DA83-DA72</f>
        <v>0.63063510093158792</v>
      </c>
      <c r="DB86" s="141"/>
      <c r="DC86" s="142">
        <f>DC83-DC72</f>
        <v>0.56631077660726403</v>
      </c>
      <c r="DD86" s="141"/>
      <c r="DE86" s="142">
        <f>DE83-DE72</f>
        <v>0.55315762345411079</v>
      </c>
      <c r="DF86" s="141"/>
      <c r="DG86" s="142">
        <f>DG83-DG72</f>
        <v>0.51315762345411076</v>
      </c>
    </row>
    <row r="87" spans="1:111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0.20655073053816753</v>
      </c>
      <c r="H87" s="132"/>
      <c r="I87" s="133">
        <f>I86/I67</f>
        <v>0.15419921683792276</v>
      </c>
      <c r="J87" s="132"/>
      <c r="K87" s="133">
        <f>K86/K67</f>
        <v>0.15419921683792276</v>
      </c>
      <c r="L87" s="132"/>
      <c r="M87" s="133">
        <f>M86/M67</f>
        <v>0.15419921683792276</v>
      </c>
      <c r="N87" s="381"/>
      <c r="O87" s="382">
        <f>O86/O67</f>
        <v>0.14839590648099296</v>
      </c>
      <c r="P87" s="381"/>
      <c r="Q87" s="382">
        <f>Q86/Q67</f>
        <v>0.84004599558650039</v>
      </c>
      <c r="R87" s="381"/>
      <c r="S87" s="382">
        <f>S86/S67</f>
        <v>0.84004599558650039</v>
      </c>
      <c r="T87" s="381"/>
      <c r="U87" s="382">
        <f>U86/U67</f>
        <v>0.12168706989674141</v>
      </c>
      <c r="V87" s="381"/>
      <c r="W87" s="382">
        <f>W86/W67</f>
        <v>0.12375590552131518</v>
      </c>
      <c r="X87" s="381"/>
      <c r="Y87" s="382">
        <f>Y86/Y67</f>
        <v>0.11284377924787688</v>
      </c>
      <c r="Z87" s="381"/>
      <c r="AA87" s="382">
        <f>AA86/AA67</f>
        <v>3.2663959976682963E-2</v>
      </c>
      <c r="AB87" s="381"/>
      <c r="AC87" s="382">
        <f>AC86/AC67</f>
        <v>4.3993288124867434E-2</v>
      </c>
      <c r="AD87" s="381"/>
      <c r="AE87" s="382">
        <f>AE86/AE67</f>
        <v>8.6215876334476388E-2</v>
      </c>
      <c r="AF87" s="381"/>
      <c r="AG87" s="382">
        <f>AG86/AG67</f>
        <v>9.4062127174612251E-2</v>
      </c>
      <c r="AH87" s="381"/>
      <c r="AI87" s="382">
        <f>AI86/AI67</f>
        <v>0.13041490815343729</v>
      </c>
      <c r="AJ87" s="381"/>
      <c r="AK87" s="382">
        <f>AK86/AK67</f>
        <v>0.1531171629107119</v>
      </c>
      <c r="AL87" s="381"/>
      <c r="AM87" s="382">
        <f t="shared" ref="AM87" si="1148">AM86/AM67</f>
        <v>0.16212134084774557</v>
      </c>
      <c r="AN87" s="381"/>
      <c r="AO87" s="382">
        <f t="shared" ref="AO87" si="1149">AO86/AO67</f>
        <v>0.1558762590697218</v>
      </c>
      <c r="AP87" s="381"/>
      <c r="AQ87" s="382">
        <f t="shared" ref="AQ87" si="1150">AQ86/AQ67</f>
        <v>0.13485946781118502</v>
      </c>
      <c r="AR87" s="381"/>
      <c r="AS87" s="382">
        <f t="shared" ref="AS87" si="1151">AS86/AS67</f>
        <v>0.12982218632338369</v>
      </c>
      <c r="AT87" s="381"/>
      <c r="AU87" s="382">
        <f t="shared" ref="AU87" si="1152">AU86/AU67</f>
        <v>0.15509459116267149</v>
      </c>
      <c r="AV87" s="381"/>
      <c r="AW87" s="382">
        <f t="shared" ref="AW87" si="1153">AW86/AW67</f>
        <v>9.3199586725616984E-2</v>
      </c>
      <c r="AX87" s="381"/>
      <c r="AY87" s="382">
        <f t="shared" ref="AY87" si="1154">AY86/AY67</f>
        <v>8.7614874367234058E-2</v>
      </c>
      <c r="AZ87" s="381"/>
      <c r="BA87" s="382">
        <f t="shared" ref="BA87:BC87" si="1155">BA86/BA67</f>
        <v>0.12101025900131113</v>
      </c>
      <c r="BB87" s="381"/>
      <c r="BC87" s="382">
        <f t="shared" si="1155"/>
        <v>0.13746685789004956</v>
      </c>
      <c r="BD87" s="381"/>
      <c r="BE87" s="382">
        <f t="shared" ref="BE87:BK87" si="1156">BE86/BE67</f>
        <v>0.17219132487515007</v>
      </c>
      <c r="BF87" s="381"/>
      <c r="BG87" s="382">
        <f t="shared" si="1156"/>
        <v>0.17456399371641029</v>
      </c>
      <c r="BH87" s="381"/>
      <c r="BI87" s="382">
        <f t="shared" si="1156"/>
        <v>0.18993237546887806</v>
      </c>
      <c r="BJ87" s="381"/>
      <c r="BK87" s="382">
        <f t="shared" si="1156"/>
        <v>0.21099467038620337</v>
      </c>
      <c r="BL87" s="381"/>
      <c r="BM87" s="382">
        <f t="shared" ref="BM87:BO87" si="1157">BM86/BM67</f>
        <v>0.20913953139780778</v>
      </c>
      <c r="BN87" s="381"/>
      <c r="BO87" s="382">
        <f t="shared" si="1157"/>
        <v>0.1851993008491897</v>
      </c>
      <c r="BP87" s="381"/>
      <c r="BQ87" s="382">
        <f t="shared" ref="BQ87:BS87" si="1158">BQ86/BQ67</f>
        <v>0.18385161806844941</v>
      </c>
      <c r="BR87" s="381"/>
      <c r="BS87" s="382">
        <f t="shared" si="1158"/>
        <v>0.19482417070060165</v>
      </c>
      <c r="BT87" s="381"/>
      <c r="BU87" s="382">
        <f t="shared" ref="BU87:BW87" si="1159">BU86/BU67</f>
        <v>0.19583106561942082</v>
      </c>
      <c r="BV87" s="381"/>
      <c r="BW87" s="382">
        <f t="shared" si="1159"/>
        <v>0.19121125928555952</v>
      </c>
      <c r="BX87" s="381"/>
      <c r="BY87" s="382">
        <f t="shared" ref="BY87:CA87" si="1160">BY86/BY67</f>
        <v>0.20088826875472549</v>
      </c>
      <c r="BZ87" s="381"/>
      <c r="CA87" s="382">
        <f t="shared" si="1160"/>
        <v>0.17517432521755993</v>
      </c>
      <c r="CB87" s="381"/>
      <c r="CC87" s="382">
        <f t="shared" ref="CC87:CE87" si="1161">CC86/CC67</f>
        <v>0.16829965310320927</v>
      </c>
      <c r="CD87" s="381"/>
      <c r="CE87" s="382">
        <f t="shared" si="1161"/>
        <v>0.16398095993770664</v>
      </c>
      <c r="CF87" s="381"/>
      <c r="CG87" s="382">
        <f t="shared" ref="CG87:CI87" si="1162">CG86/CG67</f>
        <v>0.16868409516799687</v>
      </c>
      <c r="CH87" s="381"/>
      <c r="CI87" s="382">
        <f t="shared" si="1162"/>
        <v>0.19927328394755131</v>
      </c>
      <c r="CJ87" s="381"/>
      <c r="CK87" s="382">
        <f t="shared" ref="CK87" si="1163">CK86/CK67</f>
        <v>0.2078963593786595</v>
      </c>
      <c r="CL87" s="381"/>
      <c r="CM87" s="382">
        <f t="shared" ref="CM87" si="1164">CM86/CM67</f>
        <v>0.16911440217494808</v>
      </c>
      <c r="CN87" s="381"/>
      <c r="CO87" s="382">
        <f t="shared" ref="CO87" si="1165">CO86/CO67</f>
        <v>0.19669673586747094</v>
      </c>
      <c r="CP87" s="381"/>
      <c r="CQ87" s="382">
        <f>CQ86/CQ67</f>
        <v>0.1330801001862609</v>
      </c>
      <c r="CR87" s="381"/>
      <c r="CS87" s="382">
        <f>CS86/CS67</f>
        <v>5.3541488654227323E-2</v>
      </c>
      <c r="CT87" s="381"/>
      <c r="CU87" s="382">
        <f>CU86/CU67</f>
        <v>0.1128824498993824</v>
      </c>
      <c r="CV87" s="381"/>
      <c r="CW87" s="382">
        <f>CW86/CW67</f>
        <v>0.11959772766331771</v>
      </c>
      <c r="CX87" s="381"/>
      <c r="CY87" s="382">
        <f>CY86/CY67</f>
        <v>9.5863322352634409E-2</v>
      </c>
      <c r="CZ87" s="381"/>
      <c r="DA87" s="382">
        <f>DA86/DA67</f>
        <v>0.10986674232257629</v>
      </c>
      <c r="DB87" s="381"/>
      <c r="DC87" s="382">
        <f>DC86/DC67</f>
        <v>9.0609724257162239E-2</v>
      </c>
      <c r="DD87" s="381"/>
      <c r="DE87" s="382">
        <f>DE86/DE67</f>
        <v>9.6368923946709192E-2</v>
      </c>
      <c r="DF87" s="381"/>
      <c r="DG87" s="382">
        <f>DG86/DG67</f>
        <v>8.9400282831726616E-2</v>
      </c>
    </row>
    <row r="88" spans="1:111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381"/>
      <c r="O88" s="382"/>
      <c r="P88" s="381"/>
      <c r="Q88" s="382"/>
      <c r="R88" s="381"/>
      <c r="S88" s="382"/>
      <c r="T88" s="381"/>
      <c r="U88" s="382"/>
      <c r="V88" s="381"/>
      <c r="W88" s="382"/>
      <c r="X88" s="381"/>
      <c r="Y88" s="382"/>
      <c r="Z88" s="381"/>
      <c r="AA88" s="382"/>
      <c r="AB88" s="381"/>
      <c r="AC88" s="382"/>
      <c r="AD88" s="381"/>
      <c r="AE88" s="382"/>
      <c r="AF88" s="381"/>
      <c r="AG88" s="382"/>
      <c r="AH88" s="381"/>
      <c r="AI88" s="382"/>
      <c r="AJ88" s="381"/>
      <c r="AK88" s="382"/>
      <c r="AL88" s="381"/>
      <c r="AM88" s="382"/>
      <c r="AN88" s="381"/>
      <c r="AO88" s="382"/>
      <c r="AP88" s="381"/>
      <c r="AQ88" s="382"/>
      <c r="AR88" s="381"/>
      <c r="AS88" s="382"/>
      <c r="AT88" s="381"/>
      <c r="AU88" s="382"/>
      <c r="AV88" s="381"/>
      <c r="AW88" s="382"/>
      <c r="AX88" s="381"/>
      <c r="AY88" s="382"/>
      <c r="AZ88" s="381"/>
      <c r="BA88" s="382"/>
      <c r="BB88" s="381"/>
      <c r="BC88" s="382"/>
      <c r="BD88" s="381"/>
      <c r="BE88" s="382"/>
      <c r="BF88" s="381"/>
      <c r="BG88" s="382"/>
      <c r="BH88" s="381"/>
      <c r="BI88" s="382"/>
      <c r="BJ88" s="381"/>
      <c r="BK88" s="382"/>
      <c r="BL88" s="381"/>
      <c r="BM88" s="382"/>
      <c r="BN88" s="381"/>
      <c r="BO88" s="382"/>
      <c r="BP88" s="381"/>
      <c r="BQ88" s="382"/>
      <c r="BR88" s="381"/>
      <c r="BS88" s="382"/>
      <c r="BT88" s="381"/>
      <c r="BU88" s="382"/>
      <c r="BV88" s="381"/>
      <c r="BW88" s="382"/>
      <c r="BX88" s="381"/>
      <c r="BY88" s="382"/>
      <c r="BZ88" s="381"/>
      <c r="CA88" s="382"/>
      <c r="CB88" s="381"/>
      <c r="CC88" s="382"/>
      <c r="CD88" s="381"/>
      <c r="CE88" s="382"/>
      <c r="CF88" s="381"/>
      <c r="CG88" s="382"/>
      <c r="CH88" s="381"/>
      <c r="CI88" s="382"/>
      <c r="CJ88" s="381"/>
      <c r="CK88" s="382"/>
      <c r="CL88" s="381"/>
      <c r="CM88" s="382"/>
      <c r="CN88" s="381"/>
      <c r="CO88" s="382"/>
      <c r="CP88" s="381"/>
      <c r="CQ88" s="382"/>
      <c r="CR88" s="381"/>
      <c r="CS88" s="382"/>
      <c r="CT88" s="381"/>
      <c r="CU88" s="382"/>
      <c r="CV88" s="381"/>
      <c r="CW88" s="382"/>
      <c r="CX88" s="381"/>
      <c r="CY88" s="382"/>
      <c r="CZ88" s="381"/>
      <c r="DA88" s="382"/>
      <c r="DB88" s="381"/>
      <c r="DC88" s="382"/>
      <c r="DD88" s="381"/>
      <c r="DE88" s="382"/>
      <c r="DF88" s="381"/>
      <c r="DG88" s="382"/>
    </row>
    <row r="89" spans="1:111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1.123119597301286</v>
      </c>
      <c r="H89" s="146"/>
      <c r="I89" s="147">
        <f>I86</f>
        <v>0.8191833394514646</v>
      </c>
      <c r="J89" s="146"/>
      <c r="K89" s="147">
        <f>K86</f>
        <v>0.8191833394514646</v>
      </c>
      <c r="L89" s="146"/>
      <c r="M89" s="147">
        <f>M86</f>
        <v>0.8191833394514646</v>
      </c>
      <c r="N89" s="146"/>
      <c r="O89" s="147">
        <f>O86</f>
        <v>0.84381622322754624</v>
      </c>
      <c r="P89" s="146"/>
      <c r="Q89" s="147">
        <f>Q86</f>
        <v>4.8218640146665122</v>
      </c>
      <c r="R89" s="146"/>
      <c r="S89" s="147">
        <f>S86</f>
        <v>4.8218640146665122</v>
      </c>
      <c r="T89" s="146"/>
      <c r="U89" s="147">
        <f>U86</f>
        <v>0.69848378120729571</v>
      </c>
      <c r="V89" s="146"/>
      <c r="W89" s="147">
        <f>W86</f>
        <v>0.71035889769234917</v>
      </c>
      <c r="X89" s="146"/>
      <c r="Y89" s="147">
        <f>Y86</f>
        <v>0.64772329288281327</v>
      </c>
      <c r="Z89" s="146"/>
      <c r="AA89" s="147">
        <f>AA86</f>
        <v>0.18749113026616021</v>
      </c>
      <c r="AB89" s="146"/>
      <c r="AC89" s="147">
        <f>AC86</f>
        <v>0.25252147383673906</v>
      </c>
      <c r="AD89" s="146"/>
      <c r="AE89" s="147">
        <f>AE86</f>
        <v>0.49487913015989449</v>
      </c>
      <c r="AF89" s="146"/>
      <c r="AG89" s="147">
        <f>AG86</f>
        <v>0.53991660998227431</v>
      </c>
      <c r="AH89" s="146"/>
      <c r="AI89" s="147">
        <f>AI86</f>
        <v>0.74858157280073012</v>
      </c>
      <c r="AJ89" s="146"/>
      <c r="AK89" s="147">
        <f>AK86</f>
        <v>0.87889251510748634</v>
      </c>
      <c r="AL89" s="146"/>
      <c r="AM89" s="147">
        <f t="shared" ref="AM89" si="1166">AM86</f>
        <v>0.93057649646605956</v>
      </c>
      <c r="AN89" s="146"/>
      <c r="AO89" s="147">
        <f t="shared" ref="AO89:AQ89" si="1167">AO86</f>
        <v>0.89472972706020315</v>
      </c>
      <c r="AP89" s="146"/>
      <c r="AQ89" s="147">
        <f t="shared" si="1167"/>
        <v>0.7740933452362021</v>
      </c>
      <c r="AR89" s="146"/>
      <c r="AS89" s="147">
        <f t="shared" ref="AS89" si="1168">AS86</f>
        <v>0.74517934949622244</v>
      </c>
      <c r="AT89" s="146"/>
      <c r="AU89" s="147">
        <f t="shared" ref="AU89" si="1169">AU86</f>
        <v>0.89024295327373437</v>
      </c>
      <c r="AV89" s="146"/>
      <c r="AW89" s="147">
        <f t="shared" ref="AW89" si="1170">AW86</f>
        <v>0.53496562780504153</v>
      </c>
      <c r="AX89" s="146"/>
      <c r="AY89" s="147">
        <f t="shared" ref="AY89" si="1171">AY86</f>
        <v>0.50290937886792353</v>
      </c>
      <c r="AZ89" s="146"/>
      <c r="BA89" s="147">
        <f t="shared" ref="BA89:BC89" si="1172">BA86</f>
        <v>0.69459888666752589</v>
      </c>
      <c r="BB89" s="146"/>
      <c r="BC89" s="147">
        <f t="shared" si="1172"/>
        <v>0.78905976428888458</v>
      </c>
      <c r="BD89" s="146"/>
      <c r="BE89" s="147">
        <f t="shared" ref="BE89:BK89" si="1173">BE86</f>
        <v>0.98837820478336147</v>
      </c>
      <c r="BF89" s="146"/>
      <c r="BG89" s="147">
        <f t="shared" si="1173"/>
        <v>1.0019973239321951</v>
      </c>
      <c r="BH89" s="146"/>
      <c r="BI89" s="147">
        <f t="shared" si="1173"/>
        <v>1.0902118351913601</v>
      </c>
      <c r="BJ89" s="146"/>
      <c r="BK89" s="147">
        <f t="shared" si="1173"/>
        <v>1.2343188217592898</v>
      </c>
      <c r="BL89" s="146"/>
      <c r="BM89" s="147">
        <f t="shared" ref="BM89:BO89" si="1174">BM86</f>
        <v>1.2234662586771756</v>
      </c>
      <c r="BN89" s="146"/>
      <c r="BO89" s="147">
        <f t="shared" si="1174"/>
        <v>1.0834159099677598</v>
      </c>
      <c r="BP89" s="146"/>
      <c r="BQ89" s="147">
        <f t="shared" ref="BQ89:BS89" si="1175">BQ86</f>
        <v>1.0755319657004292</v>
      </c>
      <c r="BR89" s="146"/>
      <c r="BS89" s="147">
        <f t="shared" si="1175"/>
        <v>1.1397213985985197</v>
      </c>
      <c r="BT89" s="146"/>
      <c r="BU89" s="147">
        <f t="shared" ref="BU89:BW89" si="1176">BU86</f>
        <v>1.1456117338736118</v>
      </c>
      <c r="BV89" s="146"/>
      <c r="BW89" s="147">
        <f t="shared" si="1176"/>
        <v>1.1185858668205233</v>
      </c>
      <c r="BX89" s="146"/>
      <c r="BY89" s="147">
        <f t="shared" ref="BY89:CA89" si="1177">BY86</f>
        <v>1.1751963722151442</v>
      </c>
      <c r="BZ89" s="146"/>
      <c r="CA89" s="147">
        <f t="shared" si="1177"/>
        <v>1.0247698025227256</v>
      </c>
      <c r="CB89" s="146"/>
      <c r="CC89" s="147">
        <f t="shared" ref="CC89:CE89" si="1178">CC86</f>
        <v>0.98455297065377423</v>
      </c>
      <c r="CD89" s="146"/>
      <c r="CE89" s="147">
        <f t="shared" si="1178"/>
        <v>0.95928861563558387</v>
      </c>
      <c r="CF89" s="146"/>
      <c r="CG89" s="147">
        <f t="shared" ref="CG89:CI89" si="1179">CG86</f>
        <v>0.98680195673278182</v>
      </c>
      <c r="CH89" s="146"/>
      <c r="CI89" s="147">
        <f t="shared" si="1179"/>
        <v>1.1657487110931752</v>
      </c>
      <c r="CJ89" s="146"/>
      <c r="CK89" s="147">
        <f t="shared" ref="CK89" si="1180">CK86</f>
        <v>1.2161937023651581</v>
      </c>
      <c r="CL89" s="146"/>
      <c r="CM89" s="147">
        <f t="shared" ref="CM89" si="1181">CM86</f>
        <v>0.98931925272344634</v>
      </c>
      <c r="CN89" s="146"/>
      <c r="CO89" s="147">
        <f t="shared" ref="CO89" si="1182">CO86</f>
        <v>1.1506759048247051</v>
      </c>
      <c r="CP89" s="146"/>
      <c r="CQ89" s="147">
        <f>CQ86</f>
        <v>0.76092093036356956</v>
      </c>
      <c r="CR89" s="146"/>
      <c r="CS89" s="147">
        <f>CS86</f>
        <v>0.30732814487526483</v>
      </c>
      <c r="CT89" s="146"/>
      <c r="CU89" s="147">
        <f>CU86</f>
        <v>0.64794526242245498</v>
      </c>
      <c r="CV89" s="146"/>
      <c r="CW89" s="147">
        <f>CW86</f>
        <v>0.68649095678744365</v>
      </c>
      <c r="CX89" s="146"/>
      <c r="CY89" s="147">
        <f>CY86</f>
        <v>0.54911923020098552</v>
      </c>
      <c r="CZ89" s="146"/>
      <c r="DA89" s="147">
        <f>DA86</f>
        <v>0.63063510093158792</v>
      </c>
      <c r="DB89" s="146"/>
      <c r="DC89" s="147">
        <f>DC86</f>
        <v>0.56631077660726403</v>
      </c>
      <c r="DD89" s="146"/>
      <c r="DE89" s="147">
        <f>DE86</f>
        <v>0.55315762345411079</v>
      </c>
      <c r="DF89" s="146"/>
      <c r="DG89" s="147">
        <f>DG86</f>
        <v>0.51315762345411076</v>
      </c>
    </row>
    <row r="90" spans="1:111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0.20655073053816753</v>
      </c>
      <c r="H90" s="132"/>
      <c r="I90" s="133">
        <f>I89/I67</f>
        <v>0.15419921683792276</v>
      </c>
      <c r="J90" s="132"/>
      <c r="K90" s="133">
        <f>K89/K67</f>
        <v>0.15419921683792276</v>
      </c>
      <c r="L90" s="132"/>
      <c r="M90" s="133">
        <f>M89/M67</f>
        <v>0.15419921683792276</v>
      </c>
      <c r="N90" s="381"/>
      <c r="O90" s="382">
        <f>O89/O67</f>
        <v>0.14839590648099296</v>
      </c>
      <c r="P90" s="381"/>
      <c r="Q90" s="382">
        <f>Q89/Q67</f>
        <v>0.84004599558650039</v>
      </c>
      <c r="R90" s="381"/>
      <c r="S90" s="382">
        <f>S89/S67</f>
        <v>0.84004599558650039</v>
      </c>
      <c r="T90" s="381"/>
      <c r="U90" s="382">
        <f>U89/U67</f>
        <v>0.12168706989674141</v>
      </c>
      <c r="V90" s="381"/>
      <c r="W90" s="382">
        <f>W89/W67</f>
        <v>0.12375590552131518</v>
      </c>
      <c r="X90" s="381"/>
      <c r="Y90" s="382">
        <f>Y89/Y67</f>
        <v>0.11284377924787688</v>
      </c>
      <c r="Z90" s="381"/>
      <c r="AA90" s="382">
        <f>AA89/AA67</f>
        <v>3.2663959976682963E-2</v>
      </c>
      <c r="AB90" s="381"/>
      <c r="AC90" s="382">
        <f>AC89/AC67</f>
        <v>4.3993288124867434E-2</v>
      </c>
      <c r="AD90" s="381"/>
      <c r="AE90" s="382">
        <f>AE89/AE67</f>
        <v>8.6215876334476388E-2</v>
      </c>
      <c r="AF90" s="381"/>
      <c r="AG90" s="382">
        <f>AG89/AG67</f>
        <v>9.4062127174612251E-2</v>
      </c>
      <c r="AH90" s="381"/>
      <c r="AI90" s="382">
        <f>AI89/AI67</f>
        <v>0.13041490815343729</v>
      </c>
      <c r="AJ90" s="381"/>
      <c r="AK90" s="382">
        <f>AK89/AK67</f>
        <v>0.1531171629107119</v>
      </c>
      <c r="AL90" s="381"/>
      <c r="AM90" s="382">
        <f t="shared" ref="AM90" si="1183">AM89/AM67</f>
        <v>0.16212134084774557</v>
      </c>
      <c r="AN90" s="381"/>
      <c r="AO90" s="382">
        <f t="shared" ref="AO90" si="1184">AO89/AO67</f>
        <v>0.1558762590697218</v>
      </c>
      <c r="AP90" s="381"/>
      <c r="AQ90" s="382">
        <f t="shared" ref="AQ90" si="1185">AQ89/AQ67</f>
        <v>0.13485946781118502</v>
      </c>
      <c r="AR90" s="381"/>
      <c r="AS90" s="382">
        <f t="shared" ref="AS90" si="1186">AS89/AS67</f>
        <v>0.12982218632338369</v>
      </c>
      <c r="AT90" s="381"/>
      <c r="AU90" s="382">
        <f t="shared" ref="AU90" si="1187">AU89/AU67</f>
        <v>0.15509459116267149</v>
      </c>
      <c r="AV90" s="381"/>
      <c r="AW90" s="382">
        <f t="shared" ref="AW90" si="1188">AW89/AW67</f>
        <v>9.3199586725616984E-2</v>
      </c>
      <c r="AX90" s="381"/>
      <c r="AY90" s="382">
        <f t="shared" ref="AY90" si="1189">AY89/AY67</f>
        <v>8.7614874367234058E-2</v>
      </c>
      <c r="AZ90" s="381"/>
      <c r="BA90" s="382">
        <f t="shared" ref="BA90:BC90" si="1190">BA89/BA67</f>
        <v>0.12101025900131113</v>
      </c>
      <c r="BB90" s="381"/>
      <c r="BC90" s="382">
        <f t="shared" si="1190"/>
        <v>0.13746685789004956</v>
      </c>
      <c r="BD90" s="381"/>
      <c r="BE90" s="382">
        <f t="shared" ref="BE90:BK90" si="1191">BE89/BE67</f>
        <v>0.17219132487515007</v>
      </c>
      <c r="BF90" s="381"/>
      <c r="BG90" s="382">
        <f t="shared" si="1191"/>
        <v>0.17456399371641029</v>
      </c>
      <c r="BH90" s="381"/>
      <c r="BI90" s="382">
        <f t="shared" si="1191"/>
        <v>0.18993237546887806</v>
      </c>
      <c r="BJ90" s="381"/>
      <c r="BK90" s="382">
        <f t="shared" si="1191"/>
        <v>0.21099467038620337</v>
      </c>
      <c r="BL90" s="381"/>
      <c r="BM90" s="382">
        <f t="shared" ref="BM90:BO90" si="1192">BM89/BM67</f>
        <v>0.20913953139780778</v>
      </c>
      <c r="BN90" s="381"/>
      <c r="BO90" s="382">
        <f t="shared" si="1192"/>
        <v>0.1851993008491897</v>
      </c>
      <c r="BP90" s="381"/>
      <c r="BQ90" s="382">
        <f t="shared" ref="BQ90:BS90" si="1193">BQ89/BQ67</f>
        <v>0.18385161806844941</v>
      </c>
      <c r="BR90" s="381"/>
      <c r="BS90" s="382">
        <f t="shared" si="1193"/>
        <v>0.19482417070060165</v>
      </c>
      <c r="BT90" s="381"/>
      <c r="BU90" s="382">
        <f t="shared" ref="BU90:BW90" si="1194">BU89/BU67</f>
        <v>0.19583106561942082</v>
      </c>
      <c r="BV90" s="381"/>
      <c r="BW90" s="382">
        <f t="shared" si="1194"/>
        <v>0.19121125928555952</v>
      </c>
      <c r="BX90" s="381"/>
      <c r="BY90" s="382">
        <f t="shared" ref="BY90:CA90" si="1195">BY89/BY67</f>
        <v>0.20088826875472549</v>
      </c>
      <c r="BZ90" s="381"/>
      <c r="CA90" s="382">
        <f t="shared" si="1195"/>
        <v>0.17517432521755993</v>
      </c>
      <c r="CB90" s="381"/>
      <c r="CC90" s="382">
        <f t="shared" ref="CC90:CE90" si="1196">CC89/CC67</f>
        <v>0.16829965310320927</v>
      </c>
      <c r="CD90" s="381"/>
      <c r="CE90" s="382">
        <f t="shared" si="1196"/>
        <v>0.16398095993770664</v>
      </c>
      <c r="CF90" s="381"/>
      <c r="CG90" s="382">
        <f t="shared" ref="CG90:CI90" si="1197">CG89/CG67</f>
        <v>0.16868409516799687</v>
      </c>
      <c r="CH90" s="381"/>
      <c r="CI90" s="382">
        <f t="shared" si="1197"/>
        <v>0.19927328394755131</v>
      </c>
      <c r="CJ90" s="381"/>
      <c r="CK90" s="382">
        <f t="shared" ref="CK90" si="1198">CK89/CK67</f>
        <v>0.2078963593786595</v>
      </c>
      <c r="CL90" s="381"/>
      <c r="CM90" s="382">
        <f t="shared" ref="CM90" si="1199">CM89/CM67</f>
        <v>0.16911440217494808</v>
      </c>
      <c r="CN90" s="381"/>
      <c r="CO90" s="382">
        <f t="shared" ref="CO90" si="1200">CO89/CO67</f>
        <v>0.19669673586747094</v>
      </c>
      <c r="CP90" s="381"/>
      <c r="CQ90" s="382">
        <f>CQ89/CQ67</f>
        <v>0.1330801001862609</v>
      </c>
      <c r="CR90" s="381"/>
      <c r="CS90" s="382">
        <f>CS89/CS67</f>
        <v>5.3541488654227323E-2</v>
      </c>
      <c r="CT90" s="381"/>
      <c r="CU90" s="382">
        <f>CU89/CU67</f>
        <v>0.1128824498993824</v>
      </c>
      <c r="CV90" s="381"/>
      <c r="CW90" s="382">
        <f>CW89/CW67</f>
        <v>0.11959772766331771</v>
      </c>
      <c r="CX90" s="381"/>
      <c r="CY90" s="382">
        <f>CY89/CY67</f>
        <v>9.5863322352634409E-2</v>
      </c>
      <c r="CZ90" s="381"/>
      <c r="DA90" s="382">
        <f>DA89/DA67</f>
        <v>0.10986674232257629</v>
      </c>
      <c r="DB90" s="381"/>
      <c r="DC90" s="382">
        <f>DC89/DC67</f>
        <v>9.0609724257162239E-2</v>
      </c>
      <c r="DD90" s="381"/>
      <c r="DE90" s="382">
        <f>DE89/DE67</f>
        <v>9.6368923946709192E-2</v>
      </c>
      <c r="DF90" s="381"/>
      <c r="DG90" s="382">
        <f>DG89/DG67</f>
        <v>8.9400282831726616E-2</v>
      </c>
    </row>
    <row r="91" spans="1:111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381"/>
      <c r="O91" s="382"/>
      <c r="P91" s="381"/>
      <c r="Q91" s="382"/>
      <c r="R91" s="381"/>
      <c r="S91" s="382"/>
      <c r="T91" s="381"/>
      <c r="U91" s="382"/>
      <c r="V91" s="381"/>
      <c r="W91" s="382"/>
      <c r="X91" s="381"/>
      <c r="Y91" s="382"/>
      <c r="Z91" s="381"/>
      <c r="AA91" s="382"/>
      <c r="AB91" s="381"/>
      <c r="AC91" s="382"/>
      <c r="AD91" s="381"/>
      <c r="AE91" s="382"/>
      <c r="AF91" s="381"/>
      <c r="AG91" s="382"/>
      <c r="AH91" s="381"/>
      <c r="AI91" s="382"/>
      <c r="AJ91" s="381"/>
      <c r="AK91" s="382"/>
      <c r="AL91" s="381"/>
      <c r="AM91" s="382"/>
      <c r="AN91" s="381"/>
      <c r="AO91" s="382"/>
      <c r="AP91" s="381"/>
      <c r="AQ91" s="382"/>
      <c r="AR91" s="381"/>
      <c r="AS91" s="382"/>
      <c r="AT91" s="381"/>
      <c r="AU91" s="382"/>
      <c r="AV91" s="381"/>
      <c r="AW91" s="382"/>
      <c r="AX91" s="381"/>
      <c r="AY91" s="382"/>
      <c r="AZ91" s="381"/>
      <c r="BA91" s="382"/>
      <c r="BB91" s="381"/>
      <c r="BC91" s="382"/>
      <c r="BD91" s="381"/>
      <c r="BE91" s="382"/>
      <c r="BF91" s="381"/>
      <c r="BG91" s="382"/>
      <c r="BH91" s="381"/>
      <c r="BI91" s="382"/>
      <c r="BJ91" s="381"/>
      <c r="BK91" s="382"/>
      <c r="BL91" s="381"/>
      <c r="BM91" s="382"/>
      <c r="BN91" s="381"/>
      <c r="BO91" s="382"/>
      <c r="BP91" s="381"/>
      <c r="BQ91" s="382"/>
      <c r="BR91" s="381"/>
      <c r="BS91" s="382"/>
      <c r="BT91" s="381"/>
      <c r="BU91" s="382"/>
      <c r="BV91" s="381"/>
      <c r="BW91" s="382"/>
      <c r="BX91" s="381"/>
      <c r="BY91" s="382"/>
      <c r="BZ91" s="381"/>
      <c r="CA91" s="382"/>
      <c r="CB91" s="381"/>
      <c r="CC91" s="382"/>
      <c r="CD91" s="381"/>
      <c r="CE91" s="382"/>
      <c r="CF91" s="381"/>
      <c r="CG91" s="382"/>
      <c r="CH91" s="381"/>
      <c r="CI91" s="382"/>
      <c r="CJ91" s="381"/>
      <c r="CK91" s="382"/>
      <c r="CL91" s="381"/>
      <c r="CM91" s="382"/>
      <c r="CN91" s="381"/>
      <c r="CO91" s="382"/>
      <c r="CP91" s="381"/>
      <c r="CQ91" s="382"/>
      <c r="CR91" s="381"/>
      <c r="CS91" s="382"/>
      <c r="CT91" s="381"/>
      <c r="CU91" s="382"/>
      <c r="CV91" s="381"/>
      <c r="CW91" s="382"/>
      <c r="CX91" s="381"/>
      <c r="CY91" s="382"/>
      <c r="CZ91" s="381"/>
      <c r="DA91" s="382"/>
      <c r="DB91" s="381"/>
      <c r="DC91" s="382"/>
      <c r="DD91" s="381"/>
      <c r="DE91" s="382"/>
      <c r="DF91" s="381"/>
      <c r="DG91" s="382"/>
    </row>
    <row r="92" spans="1:111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0.9</v>
      </c>
      <c r="H92" s="256"/>
      <c r="I92" s="257">
        <v>0.55000000000000004</v>
      </c>
      <c r="J92" s="256"/>
      <c r="K92" s="257">
        <v>0.55000000000000004</v>
      </c>
      <c r="L92" s="256"/>
      <c r="M92" s="257">
        <v>0.55000000000000004</v>
      </c>
      <c r="N92" s="256"/>
      <c r="O92" s="257">
        <v>0.52500000000000002</v>
      </c>
      <c r="P92" s="256"/>
      <c r="Q92" s="257">
        <v>0.5</v>
      </c>
      <c r="R92" s="256"/>
      <c r="S92" s="257">
        <v>0.5</v>
      </c>
      <c r="T92" s="256"/>
      <c r="U92" s="257">
        <v>0.5</v>
      </c>
      <c r="V92" s="256"/>
      <c r="W92" s="257">
        <v>0.5</v>
      </c>
      <c r="X92" s="256"/>
      <c r="Y92" s="257">
        <v>0.5</v>
      </c>
      <c r="Z92" s="256"/>
      <c r="AA92" s="257">
        <v>0.26666666666666666</v>
      </c>
      <c r="AB92" s="256"/>
      <c r="AC92" s="257">
        <v>0.17545307024122836</v>
      </c>
      <c r="AD92" s="256"/>
      <c r="AE92" s="257">
        <v>0.1668626298255928</v>
      </c>
      <c r="AF92" s="256"/>
      <c r="AG92" s="257">
        <v>0.03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0.2899391127863149</v>
      </c>
      <c r="AP92" s="256"/>
      <c r="AQ92" s="257">
        <v>0.5</v>
      </c>
      <c r="AR92" s="256"/>
      <c r="AS92" s="257">
        <v>0.5</v>
      </c>
      <c r="AT92" s="256"/>
      <c r="AU92" s="257">
        <v>0.5</v>
      </c>
      <c r="AV92" s="256"/>
      <c r="AW92" s="257">
        <v>0.5</v>
      </c>
      <c r="AX92" s="256"/>
      <c r="AY92" s="257">
        <v>0.5</v>
      </c>
      <c r="AZ92" s="256"/>
      <c r="BA92" s="257">
        <v>0.5</v>
      </c>
      <c r="BB92" s="256"/>
      <c r="BC92" s="257">
        <v>0.5</v>
      </c>
      <c r="BD92" s="256"/>
      <c r="BE92" s="257">
        <v>0.5</v>
      </c>
      <c r="BF92" s="256"/>
      <c r="BG92" s="257">
        <v>0.5</v>
      </c>
      <c r="BH92" s="256"/>
      <c r="BI92" s="257">
        <v>0.5</v>
      </c>
      <c r="BJ92" s="256"/>
      <c r="BK92" s="257">
        <v>0.5</v>
      </c>
      <c r="BL92" s="256"/>
      <c r="BM92" s="257">
        <v>0.5</v>
      </c>
      <c r="BN92" s="256"/>
      <c r="BO92" s="257">
        <v>0.5</v>
      </c>
      <c r="BP92" s="256"/>
      <c r="BQ92" s="257">
        <v>0.5</v>
      </c>
      <c r="BR92" s="256"/>
      <c r="BS92" s="257">
        <v>0.5</v>
      </c>
      <c r="BT92" s="256"/>
      <c r="BU92" s="257">
        <v>0.5</v>
      </c>
      <c r="BV92" s="256"/>
      <c r="BW92" s="257">
        <v>0.5</v>
      </c>
      <c r="BX92" s="256"/>
      <c r="BY92" s="257">
        <v>0.5</v>
      </c>
      <c r="BZ92" s="256"/>
      <c r="CA92" s="257">
        <v>0.5</v>
      </c>
      <c r="CB92" s="256"/>
      <c r="CC92" s="257">
        <v>0.5</v>
      </c>
      <c r="CD92" s="256"/>
      <c r="CE92" s="257">
        <v>0.5</v>
      </c>
      <c r="CF92" s="256"/>
      <c r="CG92" s="257">
        <v>0.5</v>
      </c>
      <c r="CH92" s="256"/>
      <c r="CI92" s="257">
        <v>0.5</v>
      </c>
      <c r="CJ92" s="256"/>
      <c r="CK92" s="257">
        <v>0.5</v>
      </c>
      <c r="CL92" s="256"/>
      <c r="CM92" s="257">
        <v>0.5</v>
      </c>
      <c r="CN92" s="256"/>
      <c r="CO92" s="257">
        <v>0.5</v>
      </c>
      <c r="CP92" s="256"/>
      <c r="CQ92" s="257">
        <f>(SUMPRODUCT(U92,U$131)+SUMPRODUCT(W92,W$131)+SUMPRODUCT(O92,O$131))/SUM(O$131,U$131,W$131)</f>
        <v>0.51025641025641022</v>
      </c>
      <c r="CR92" s="256"/>
      <c r="CS92" s="257">
        <f>(SUMPRODUCT(AA92,AA$131)+SUMPRODUCT(AC92,AC$131)+SUMPRODUCT(Y92,Y$131))/SUM(Y$131,AA$131,AC$131)</f>
        <v>0.2601114513257195</v>
      </c>
      <c r="CT92" s="256"/>
      <c r="CU92" s="257">
        <f>(SUMPRODUCT(AG92,AG$131)+SUMPRODUCT(AE92,AE$131)+SUMPRODUCT(AI92,AI$131))/SUM(AI$131,AG$131,AE$131)</f>
        <v>6.278015663701729E-2</v>
      </c>
      <c r="CV92" s="256"/>
      <c r="CW92" s="257">
        <v>0.5</v>
      </c>
      <c r="CX92" s="256"/>
      <c r="CY92" s="257">
        <f>(SUMPRODUCT(O92,O$131)+SUMPRODUCT(U92,U$131)+SUMPRODUCT(W92,W$131)+SUMPRODUCT(Y92,Y$131)+SUMPRODUCT(AA92,AA$131)+SUMPRODUCT(AC92,AC$131))/SUM(U$131,O$131,W$131,Y$131,AA$131,AC$131)</f>
        <v>0.39456601511220452</v>
      </c>
      <c r="CZ92" s="256"/>
      <c r="DA92" s="257">
        <v>0</v>
      </c>
      <c r="DB92" s="256"/>
      <c r="DC92" s="257">
        <v>0.4</v>
      </c>
      <c r="DD92" s="256"/>
      <c r="DE92" s="257">
        <v>0.5</v>
      </c>
      <c r="DF92" s="256"/>
      <c r="DG92" s="257">
        <v>0.5</v>
      </c>
    </row>
    <row r="93" spans="1:111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0.22311959730128594</v>
      </c>
      <c r="H93" s="146"/>
      <c r="I93" s="147">
        <f>I89-I92</f>
        <v>0.26918333945146455</v>
      </c>
      <c r="J93" s="146"/>
      <c r="K93" s="147">
        <f>K89-K92</f>
        <v>0.26918333945146455</v>
      </c>
      <c r="L93" s="146"/>
      <c r="M93" s="147">
        <f>M89-M92</f>
        <v>0.26918333945146455</v>
      </c>
      <c r="N93" s="146"/>
      <c r="O93" s="147">
        <f>O89-O92</f>
        <v>0.31881622322754621</v>
      </c>
      <c r="P93" s="146"/>
      <c r="Q93" s="147">
        <f>Q89-Q92</f>
        <v>4.3218640146665122</v>
      </c>
      <c r="R93" s="146"/>
      <c r="S93" s="147">
        <f>S89-S92</f>
        <v>4.3218640146665122</v>
      </c>
      <c r="T93" s="146"/>
      <c r="U93" s="147">
        <f>U89-U92</f>
        <v>0.19848378120729571</v>
      </c>
      <c r="V93" s="146"/>
      <c r="W93" s="147">
        <f>W89-W92</f>
        <v>0.21035889769234917</v>
      </c>
      <c r="X93" s="146"/>
      <c r="Y93" s="147">
        <f>Y89-Y92</f>
        <v>0.14772329288281327</v>
      </c>
      <c r="Z93" s="146"/>
      <c r="AA93" s="147">
        <f>AA89-AA92</f>
        <v>-7.9175536400506452E-2</v>
      </c>
      <c r="AB93" s="146"/>
      <c r="AC93" s="147">
        <f>AC89-AC92</f>
        <v>7.7068403595510704E-2</v>
      </c>
      <c r="AD93" s="146"/>
      <c r="AE93" s="147">
        <f>AE89-AE92</f>
        <v>0.32801650033430169</v>
      </c>
      <c r="AF93" s="146"/>
      <c r="AG93" s="147">
        <f>AG89-AG92</f>
        <v>0.50991660998227428</v>
      </c>
      <c r="AH93" s="146"/>
      <c r="AI93" s="147">
        <f>AI89-AI92</f>
        <v>0.74858157280073012</v>
      </c>
      <c r="AJ93" s="146"/>
      <c r="AK93" s="147">
        <f>AK89-AK92</f>
        <v>0.87889251510748634</v>
      </c>
      <c r="AL93" s="146"/>
      <c r="AM93" s="147">
        <f t="shared" ref="AM93" si="1201">AM89-AM92</f>
        <v>0.93057649646605956</v>
      </c>
      <c r="AN93" s="146"/>
      <c r="AO93" s="147">
        <f t="shared" ref="AO93" si="1202">AO89-AO92</f>
        <v>0.60479061427388825</v>
      </c>
      <c r="AP93" s="146"/>
      <c r="AQ93" s="147">
        <f t="shared" ref="AQ93" si="1203">AQ89-AQ92</f>
        <v>0.2740933452362021</v>
      </c>
      <c r="AR93" s="146"/>
      <c r="AS93" s="147">
        <f t="shared" ref="AS93" si="1204">AS89-AS92</f>
        <v>0.24517934949622244</v>
      </c>
      <c r="AT93" s="146"/>
      <c r="AU93" s="147">
        <f t="shared" ref="AU93" si="1205">AU89-AU92</f>
        <v>0.39024295327373437</v>
      </c>
      <c r="AV93" s="146"/>
      <c r="AW93" s="147">
        <f t="shared" ref="AW93" si="1206">AW89-AW92</f>
        <v>3.4965627805041533E-2</v>
      </c>
      <c r="AX93" s="146"/>
      <c r="AY93" s="147">
        <f t="shared" ref="AY93" si="1207">AY89-AY92</f>
        <v>2.9093788679235288E-3</v>
      </c>
      <c r="AZ93" s="146"/>
      <c r="BA93" s="147">
        <f t="shared" ref="BA93:BC93" si="1208">BA89-BA92</f>
        <v>0.19459888666752589</v>
      </c>
      <c r="BB93" s="146"/>
      <c r="BC93" s="147">
        <f t="shared" si="1208"/>
        <v>0.28905976428888458</v>
      </c>
      <c r="BD93" s="146"/>
      <c r="BE93" s="147">
        <f t="shared" ref="BE93:BK93" si="1209">BE89-BE92</f>
        <v>0.48837820478336147</v>
      </c>
      <c r="BF93" s="146"/>
      <c r="BG93" s="147">
        <f t="shared" si="1209"/>
        <v>0.50199732393219509</v>
      </c>
      <c r="BH93" s="146"/>
      <c r="BI93" s="147">
        <f t="shared" si="1209"/>
        <v>0.59021183519136011</v>
      </c>
      <c r="BJ93" s="146"/>
      <c r="BK93" s="147">
        <f t="shared" si="1209"/>
        <v>0.73431882175928975</v>
      </c>
      <c r="BL93" s="146"/>
      <c r="BM93" s="147">
        <f t="shared" ref="BM93:BO93" si="1210">BM89-BM92</f>
        <v>0.72346625867717562</v>
      </c>
      <c r="BN93" s="146"/>
      <c r="BO93" s="147">
        <f t="shared" si="1210"/>
        <v>0.58341590996775983</v>
      </c>
      <c r="BP93" s="146"/>
      <c r="BQ93" s="147">
        <f t="shared" ref="BQ93:BS93" si="1211">BQ89-BQ92</f>
        <v>0.57553196570042919</v>
      </c>
      <c r="BR93" s="146"/>
      <c r="BS93" s="147">
        <f t="shared" si="1211"/>
        <v>0.63972139859851973</v>
      </c>
      <c r="BT93" s="146"/>
      <c r="BU93" s="147">
        <f t="shared" ref="BU93:BW93" si="1212">BU89-BU92</f>
        <v>0.64561173387361181</v>
      </c>
      <c r="BV93" s="146"/>
      <c r="BW93" s="147">
        <f t="shared" si="1212"/>
        <v>0.6185858668205233</v>
      </c>
      <c r="BX93" s="146"/>
      <c r="BY93" s="147">
        <f t="shared" ref="BY93:CA93" si="1213">BY89-BY92</f>
        <v>0.67519637221514417</v>
      </c>
      <c r="BZ93" s="146"/>
      <c r="CA93" s="147">
        <f t="shared" si="1213"/>
        <v>0.52476980252272565</v>
      </c>
      <c r="CB93" s="146"/>
      <c r="CC93" s="147">
        <f t="shared" ref="CC93:CE93" si="1214">CC89-CC92</f>
        <v>0.48455297065377423</v>
      </c>
      <c r="CD93" s="146"/>
      <c r="CE93" s="147">
        <f t="shared" si="1214"/>
        <v>0.45928861563558387</v>
      </c>
      <c r="CF93" s="146"/>
      <c r="CG93" s="147">
        <f t="shared" ref="CG93:CI93" si="1215">CG89-CG92</f>
        <v>0.48680195673278182</v>
      </c>
      <c r="CH93" s="146"/>
      <c r="CI93" s="147">
        <f t="shared" si="1215"/>
        <v>0.66574871109317524</v>
      </c>
      <c r="CJ93" s="146"/>
      <c r="CK93" s="147">
        <f t="shared" ref="CK93" si="1216">CK89-CK92</f>
        <v>0.71619370236515811</v>
      </c>
      <c r="CL93" s="146"/>
      <c r="CM93" s="147">
        <f t="shared" ref="CM93" si="1217">CM89-CM92</f>
        <v>0.48931925272344634</v>
      </c>
      <c r="CN93" s="146"/>
      <c r="CO93" s="147">
        <f t="shared" ref="CO93" si="1218">CO89-CO92</f>
        <v>0.65067590482470505</v>
      </c>
      <c r="CP93" s="146"/>
      <c r="CQ93" s="147">
        <f>CQ89-CQ92</f>
        <v>0.25066452010715934</v>
      </c>
      <c r="CR93" s="146"/>
      <c r="CS93" s="147">
        <f>CS89-CS92</f>
        <v>4.721669354954533E-2</v>
      </c>
      <c r="CT93" s="146"/>
      <c r="CU93" s="147">
        <f>CU89-CU92</f>
        <v>0.58516510578543768</v>
      </c>
      <c r="CV93" s="146"/>
      <c r="CW93" s="147">
        <f>CW89-CW92</f>
        <v>0.18649095678744365</v>
      </c>
      <c r="CX93" s="146"/>
      <c r="CY93" s="147">
        <f>CY89-CY92</f>
        <v>0.154553215088781</v>
      </c>
      <c r="CZ93" s="146"/>
      <c r="DA93" s="147">
        <f>DA89-DA92</f>
        <v>0.63063510093158792</v>
      </c>
      <c r="DB93" s="146"/>
      <c r="DC93" s="147">
        <f>DC89-DC92</f>
        <v>0.16631077660726401</v>
      </c>
      <c r="DD93" s="146"/>
      <c r="DE93" s="147">
        <f>DE89-DE92</f>
        <v>5.3157623454110792E-2</v>
      </c>
      <c r="DF93" s="146"/>
      <c r="DG93" s="147">
        <f>DG89-DG92</f>
        <v>1.3157623454110756E-2</v>
      </c>
    </row>
    <row r="94" spans="1:111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4.1033489158857184E-2</v>
      </c>
      <c r="H94" s="132"/>
      <c r="I94" s="133">
        <f>I93/I67</f>
        <v>5.0669805073216855E-2</v>
      </c>
      <c r="J94" s="132"/>
      <c r="K94" s="133">
        <f>K93/K67</f>
        <v>5.0669805073216855E-2</v>
      </c>
      <c r="L94" s="132"/>
      <c r="M94" s="133">
        <f>M93/M67</f>
        <v>5.0669805073216855E-2</v>
      </c>
      <c r="N94" s="381"/>
      <c r="O94" s="382">
        <f>O93/O67</f>
        <v>5.6067922308647385E-2</v>
      </c>
      <c r="P94" s="381"/>
      <c r="Q94" s="382">
        <f>Q93/Q67</f>
        <v>0.7529379816492181</v>
      </c>
      <c r="R94" s="381"/>
      <c r="S94" s="382">
        <f>S93/S67</f>
        <v>0.7529379816492181</v>
      </c>
      <c r="T94" s="381"/>
      <c r="U94" s="382">
        <f>U93/U67</f>
        <v>3.4579055959459183E-2</v>
      </c>
      <c r="V94" s="381"/>
      <c r="W94" s="382">
        <f>W93/W67</f>
        <v>3.6647891584032956E-2</v>
      </c>
      <c r="X94" s="381"/>
      <c r="Y94" s="382">
        <f>Y93/Y67</f>
        <v>2.5735765310594644E-2</v>
      </c>
      <c r="Z94" s="381"/>
      <c r="AA94" s="382">
        <f>AA93/AA67</f>
        <v>-1.3793647456534225E-2</v>
      </c>
      <c r="AB94" s="381"/>
      <c r="AC94" s="382">
        <f>AC93/AC67</f>
        <v>1.3426551149043677E-2</v>
      </c>
      <c r="AD94" s="381"/>
      <c r="AE94" s="382">
        <f>AE93/AE67</f>
        <v>5.7145731765557782E-2</v>
      </c>
      <c r="AF94" s="381"/>
      <c r="AG94" s="382">
        <f>AG93/AG67</f>
        <v>8.8835646338375304E-2</v>
      </c>
      <c r="AH94" s="381"/>
      <c r="AI94" s="382">
        <f>AI93/AI67</f>
        <v>0.13041490815343729</v>
      </c>
      <c r="AJ94" s="381"/>
      <c r="AK94" s="382">
        <f>AK93/AK67</f>
        <v>0.1531171629107119</v>
      </c>
      <c r="AL94" s="381"/>
      <c r="AM94" s="382">
        <f t="shared" ref="AM94" si="1219">AM93/AM67</f>
        <v>0.16212134084774557</v>
      </c>
      <c r="AN94" s="381"/>
      <c r="AO94" s="382">
        <f t="shared" ref="AO94" si="1220">AO93/AO67</f>
        <v>0.10536421851461468</v>
      </c>
      <c r="AP94" s="381"/>
      <c r="AQ94" s="382">
        <f t="shared" ref="AQ94" si="1221">AQ93/AQ67</f>
        <v>4.7751453873902804E-2</v>
      </c>
      <c r="AR94" s="381"/>
      <c r="AS94" s="382">
        <f t="shared" ref="AS94" si="1222">AS93/AS67</f>
        <v>4.2714172386101472E-2</v>
      </c>
      <c r="AT94" s="381"/>
      <c r="AU94" s="382">
        <f t="shared" ref="AU94" si="1223">AU93/AU67</f>
        <v>6.7986577225389255E-2</v>
      </c>
      <c r="AV94" s="381"/>
      <c r="AW94" s="382">
        <f t="shared" ref="AW94" si="1224">AW93/AW67</f>
        <v>6.0915727883347611E-3</v>
      </c>
      <c r="AX94" s="381"/>
      <c r="AY94" s="382">
        <f t="shared" ref="AY94" si="1225">AY93/AY67</f>
        <v>5.0686042995183426E-4</v>
      </c>
      <c r="AZ94" s="381"/>
      <c r="BA94" s="382">
        <f t="shared" ref="BA94:BC94" si="1226">BA93/BA67</f>
        <v>3.3902245064028898E-2</v>
      </c>
      <c r="BB94" s="381"/>
      <c r="BC94" s="382">
        <f t="shared" si="1226"/>
        <v>5.0358843952767345E-2</v>
      </c>
      <c r="BD94" s="381"/>
      <c r="BE94" s="382">
        <f t="shared" ref="BE94:BK94" si="1227">BE93/BE67</f>
        <v>8.5083310937867848E-2</v>
      </c>
      <c r="BF94" s="381"/>
      <c r="BG94" s="382">
        <f t="shared" si="1227"/>
        <v>8.7455979779128057E-2</v>
      </c>
      <c r="BH94" s="381"/>
      <c r="BI94" s="382">
        <f t="shared" si="1227"/>
        <v>0.10282436153159584</v>
      </c>
      <c r="BJ94" s="381"/>
      <c r="BK94" s="382">
        <f t="shared" si="1227"/>
        <v>0.1255245849161179</v>
      </c>
      <c r="BL94" s="381"/>
      <c r="BM94" s="382">
        <f t="shared" ref="BM94:BO94" si="1228">BM93/BM67</f>
        <v>0.12366944592772232</v>
      </c>
      <c r="BN94" s="381"/>
      <c r="BO94" s="382">
        <f t="shared" si="1228"/>
        <v>9.972921537910423E-2</v>
      </c>
      <c r="BP94" s="381"/>
      <c r="BQ94" s="382">
        <f t="shared" ref="BQ94:BS94" si="1229">BQ93/BQ67</f>
        <v>9.8381532598363949E-2</v>
      </c>
      <c r="BR94" s="381"/>
      <c r="BS94" s="382">
        <f t="shared" si="1229"/>
        <v>0.10935408523051618</v>
      </c>
      <c r="BT94" s="381"/>
      <c r="BU94" s="382">
        <f t="shared" ref="BU94:BW94" si="1230">BU93/BU67</f>
        <v>0.11036098014933535</v>
      </c>
      <c r="BV94" s="381"/>
      <c r="BW94" s="382">
        <f t="shared" si="1230"/>
        <v>0.10574117381547406</v>
      </c>
      <c r="BX94" s="381"/>
      <c r="BY94" s="382">
        <f t="shared" ref="BY94:CA94" si="1231">BY93/BY67</f>
        <v>0.11541818328464001</v>
      </c>
      <c r="BZ94" s="381"/>
      <c r="CA94" s="382">
        <f t="shared" si="1231"/>
        <v>8.9704239747474462E-2</v>
      </c>
      <c r="CB94" s="381"/>
      <c r="CC94" s="382">
        <f t="shared" ref="CC94:CE94" si="1232">CC93/CC67</f>
        <v>8.2829567633123796E-2</v>
      </c>
      <c r="CD94" s="381"/>
      <c r="CE94" s="382">
        <f t="shared" si="1232"/>
        <v>7.8510874467621172E-2</v>
      </c>
      <c r="CF94" s="381"/>
      <c r="CG94" s="382">
        <f t="shared" ref="CG94:CI94" si="1233">CG93/CG67</f>
        <v>8.3214009697911415E-2</v>
      </c>
      <c r="CH94" s="381"/>
      <c r="CI94" s="382">
        <f t="shared" si="1233"/>
        <v>0.11380319847746584</v>
      </c>
      <c r="CJ94" s="381"/>
      <c r="CK94" s="382">
        <f t="shared" ref="CK94" si="1234">CK93/CK67</f>
        <v>0.12242627390857402</v>
      </c>
      <c r="CL94" s="381"/>
      <c r="CM94" s="382">
        <f t="shared" ref="CM94" si="1235">CM93/CM67</f>
        <v>8.3644316704862609E-2</v>
      </c>
      <c r="CN94" s="381"/>
      <c r="CO94" s="382">
        <f t="shared" ref="CO94" si="1236">CO93/CO67</f>
        <v>0.11122665039738547</v>
      </c>
      <c r="CP94" s="381"/>
      <c r="CQ94" s="382">
        <f>CQ93/CQ67</f>
        <v>4.3839587160604244E-2</v>
      </c>
      <c r="CR94" s="381"/>
      <c r="CS94" s="382">
        <f>CS93/CS67</f>
        <v>8.2259047995723571E-3</v>
      </c>
      <c r="CT94" s="381"/>
      <c r="CU94" s="382">
        <f>CU93/CU67</f>
        <v>0.10194514038073826</v>
      </c>
      <c r="CV94" s="381"/>
      <c r="CW94" s="382">
        <f>CW93/CW67</f>
        <v>3.2489713726035478E-2</v>
      </c>
      <c r="CX94" s="381"/>
      <c r="CY94" s="382">
        <f>CY93/CY67</f>
        <v>2.6981361904351794E-2</v>
      </c>
      <c r="CZ94" s="381"/>
      <c r="DA94" s="382">
        <f>DA93/DA67</f>
        <v>0.10986674232257629</v>
      </c>
      <c r="DB94" s="381"/>
      <c r="DC94" s="382">
        <f>DC93/DC67</f>
        <v>2.6609724257162241E-2</v>
      </c>
      <c r="DD94" s="381"/>
      <c r="DE94" s="382">
        <f>DE93/DE67</f>
        <v>9.2609100094269668E-3</v>
      </c>
      <c r="DF94" s="381"/>
      <c r="DG94" s="382">
        <f>DG93/DG67</f>
        <v>2.2922688944443824E-3</v>
      </c>
    </row>
    <row r="95" spans="1:111" s="65" customFormat="1" ht="6.75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2"/>
      <c r="P95" s="381"/>
      <c r="Q95" s="382"/>
      <c r="R95" s="381"/>
      <c r="S95" s="382"/>
      <c r="T95" s="381"/>
      <c r="U95" s="382"/>
      <c r="V95" s="381"/>
      <c r="W95" s="382"/>
      <c r="X95" s="381"/>
      <c r="Y95" s="382"/>
      <c r="Z95" s="381"/>
      <c r="AA95" s="382"/>
      <c r="AB95" s="381"/>
      <c r="AC95" s="382"/>
      <c r="AD95" s="381"/>
      <c r="AE95" s="382"/>
      <c r="AF95" s="381"/>
      <c r="AG95" s="382"/>
      <c r="AH95" s="381"/>
      <c r="AI95" s="382"/>
      <c r="AJ95" s="381"/>
      <c r="AK95" s="382"/>
      <c r="AL95" s="381"/>
      <c r="AM95" s="382"/>
      <c r="AN95" s="381"/>
      <c r="AO95" s="382"/>
      <c r="AP95" s="381"/>
      <c r="AQ95" s="382"/>
      <c r="AR95" s="381"/>
      <c r="AS95" s="382"/>
      <c r="AT95" s="381"/>
      <c r="AU95" s="382"/>
      <c r="AV95" s="381"/>
      <c r="AW95" s="382"/>
      <c r="AX95" s="381"/>
      <c r="AY95" s="382"/>
      <c r="AZ95" s="381"/>
      <c r="BA95" s="382"/>
      <c r="BB95" s="381"/>
      <c r="BC95" s="382"/>
      <c r="BD95" s="381"/>
      <c r="BE95" s="382"/>
      <c r="BF95" s="381"/>
      <c r="BG95" s="382"/>
      <c r="BH95" s="381"/>
      <c r="BI95" s="382"/>
      <c r="BJ95" s="381"/>
      <c r="BK95" s="382"/>
      <c r="BL95" s="381"/>
      <c r="BM95" s="382"/>
      <c r="BN95" s="381"/>
      <c r="BO95" s="382"/>
      <c r="BP95" s="381"/>
      <c r="BQ95" s="382"/>
      <c r="BR95" s="381"/>
      <c r="BS95" s="382"/>
      <c r="BT95" s="381"/>
      <c r="BU95" s="382"/>
      <c r="BV95" s="381"/>
      <c r="BW95" s="382"/>
      <c r="BX95" s="381"/>
      <c r="BY95" s="382"/>
      <c r="BZ95" s="381"/>
      <c r="CA95" s="382"/>
      <c r="CB95" s="381"/>
      <c r="CC95" s="382"/>
      <c r="CD95" s="381"/>
      <c r="CE95" s="382"/>
      <c r="CF95" s="381"/>
      <c r="CG95" s="382"/>
      <c r="CH95" s="381"/>
      <c r="CI95" s="382"/>
      <c r="CJ95" s="381"/>
      <c r="CK95" s="382"/>
      <c r="CL95" s="381"/>
      <c r="CM95" s="382"/>
      <c r="CN95" s="381"/>
      <c r="CO95" s="382"/>
      <c r="CP95" s="381"/>
      <c r="CQ95" s="382"/>
      <c r="CR95" s="381"/>
      <c r="CS95" s="382"/>
      <c r="CT95" s="381"/>
      <c r="CU95" s="382"/>
      <c r="CV95" s="381"/>
      <c r="CW95" s="382"/>
      <c r="CX95" s="381"/>
      <c r="CY95" s="382"/>
      <c r="CZ95" s="381"/>
      <c r="DA95" s="382"/>
      <c r="DB95" s="381"/>
      <c r="DC95" s="382"/>
      <c r="DD95" s="381"/>
      <c r="DE95" s="382"/>
      <c r="DF95" s="381"/>
      <c r="DG95" s="382"/>
    </row>
    <row r="96" spans="1:111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151">
        <f>(G138-G135)/G66</f>
        <v>0.13750000000000001</v>
      </c>
      <c r="H96" s="132"/>
      <c r="I96" s="151">
        <f>(I138-I135)/I66</f>
        <v>1.2500000000000001E-2</v>
      </c>
      <c r="J96" s="132"/>
      <c r="K96" s="151">
        <f>(K138-K135)/K66</f>
        <v>1.2500000000000001E-2</v>
      </c>
      <c r="L96" s="132"/>
      <c r="M96" s="151">
        <f>(M138-M135)/M66</f>
        <v>1.2500000000000001E-2</v>
      </c>
      <c r="N96" s="381"/>
      <c r="O96" s="383">
        <f>(O136-O135)/O66</f>
        <v>6.7657649969839584E-2</v>
      </c>
      <c r="P96" s="381"/>
      <c r="Q96" s="383">
        <f>(Q137-Q135)/Q66</f>
        <v>4.6487603305785125E-3</v>
      </c>
      <c r="R96" s="381"/>
      <c r="S96" s="383">
        <f>(S137-S135)/S66</f>
        <v>4.6487603305785125E-3</v>
      </c>
      <c r="T96" s="381"/>
      <c r="U96" s="383">
        <f>(U136-U135)/U66</f>
        <v>5.247107433615078E-2</v>
      </c>
      <c r="V96" s="381"/>
      <c r="W96" s="383">
        <f>(W136-W135)/W66</f>
        <v>4.3434749148099042E-2</v>
      </c>
      <c r="X96" s="381"/>
      <c r="Y96" s="383">
        <f>(Y136-Y135)/Y66</f>
        <v>-1.0417327167881962E-2</v>
      </c>
      <c r="Z96" s="381"/>
      <c r="AA96" s="383">
        <f>(AA136-AA135)/AA66</f>
        <v>-4.4938149483603794E-3</v>
      </c>
      <c r="AB96" s="381"/>
      <c r="AC96" s="383">
        <f>(AC136-AC135)/AC66</f>
        <v>-7.0437085772029904E-3</v>
      </c>
      <c r="AD96" s="381"/>
      <c r="AE96" s="383">
        <f>(AE136-AE135)/AE66</f>
        <v>2.2455364966921069E-3</v>
      </c>
      <c r="AF96" s="381"/>
      <c r="AG96" s="383">
        <f>(AG136-AG135)/AG66</f>
        <v>-6.9344202183172282E-3</v>
      </c>
      <c r="AH96" s="381"/>
      <c r="AI96" s="383">
        <f>(AI136-AI135)/AI66</f>
        <v>-6.1725206611570251E-2</v>
      </c>
      <c r="AJ96" s="381"/>
      <c r="AK96" s="383">
        <f>(AK136-AK135)/AK66</f>
        <v>-0.13161235056122422</v>
      </c>
      <c r="AL96" s="381"/>
      <c r="AM96" s="383">
        <f t="shared" ref="AM96" si="1237">(AM136-AM135)/AM66</f>
        <v>-0.14036914511887089</v>
      </c>
      <c r="AN96" s="381"/>
      <c r="AO96" s="383">
        <f t="shared" ref="AO96:AQ96" si="1238">(AO136-AO135)/AO66</f>
        <v>-0.16491306637620318</v>
      </c>
      <c r="AP96" s="381"/>
      <c r="AQ96" s="383">
        <f t="shared" si="1238"/>
        <v>-0.21862510721401709</v>
      </c>
      <c r="AR96" s="381"/>
      <c r="AS96" s="383">
        <f t="shared" ref="AS96" si="1239">(AS136-AS135)/AS66</f>
        <v>-0.23486958354250845</v>
      </c>
      <c r="AT96" s="381"/>
      <c r="AU96" s="383">
        <f t="shared" ref="AU96" si="1240">(AU136-AU135)/AU66</f>
        <v>-0.23624628069925302</v>
      </c>
      <c r="AV96" s="381"/>
      <c r="AW96" s="383">
        <f t="shared" ref="AW96" si="1241">(AW136-AW135)/AW66</f>
        <v>-0.24715909090909091</v>
      </c>
      <c r="AX96" s="381"/>
      <c r="AY96" s="383">
        <f t="shared" ref="AY96" si="1242">(AY136-AY135)/AY66</f>
        <v>-0.25051652892561982</v>
      </c>
      <c r="AZ96" s="381"/>
      <c r="BA96" s="383">
        <f t="shared" ref="BA96:BC96" si="1243">(BA136-BA135)/BA66</f>
        <v>-0.28202479338842973</v>
      </c>
      <c r="BB96" s="381"/>
      <c r="BC96" s="383">
        <f t="shared" si="1243"/>
        <v>-0.28279958677685951</v>
      </c>
      <c r="BD96" s="381"/>
      <c r="BE96" s="383">
        <f t="shared" ref="BE96:BK96" si="1244">(BE136-BE135)/BE66</f>
        <v>-0.28279958677685951</v>
      </c>
      <c r="BF96" s="381"/>
      <c r="BG96" s="383">
        <f t="shared" si="1244"/>
        <v>-0.28589876033057854</v>
      </c>
      <c r="BH96" s="381"/>
      <c r="BI96" s="383">
        <f t="shared" si="1244"/>
        <v>-0.29442148760330578</v>
      </c>
      <c r="BJ96" s="381"/>
      <c r="BK96" s="383">
        <f t="shared" si="1244"/>
        <v>-0.17820247933884298</v>
      </c>
      <c r="BL96" s="381"/>
      <c r="BM96" s="383">
        <f t="shared" ref="BM96:BO96" si="1245">(BM136-BM135)/BM66</f>
        <v>-0.17949380165289255</v>
      </c>
      <c r="BN96" s="381"/>
      <c r="BO96" s="383">
        <f t="shared" si="1245"/>
        <v>-0.17407024793388429</v>
      </c>
      <c r="BP96" s="381"/>
      <c r="BQ96" s="383">
        <f t="shared" ref="BQ96:BS96" si="1246">(BQ136-BQ135)/BQ66</f>
        <v>-0.18104338842975207</v>
      </c>
      <c r="BR96" s="381"/>
      <c r="BS96" s="383">
        <f t="shared" si="1246"/>
        <v>-0.17613636363636365</v>
      </c>
      <c r="BT96" s="381"/>
      <c r="BU96" s="383">
        <f t="shared" ref="BU96:BW96" si="1247">(BU136-BU135)/BU66</f>
        <v>-0.17820247933884298</v>
      </c>
      <c r="BV96" s="381"/>
      <c r="BW96" s="383">
        <f t="shared" si="1247"/>
        <v>-0.190599173553719</v>
      </c>
      <c r="BX96" s="381"/>
      <c r="BY96" s="383">
        <f t="shared" ref="BY96:CA96" si="1248">(BY136-BY135)/BY66</f>
        <v>-0.17053202479338841</v>
      </c>
      <c r="BZ96" s="381"/>
      <c r="CA96" s="383">
        <f t="shared" si="1248"/>
        <v>-0.11743163196538148</v>
      </c>
      <c r="CB96" s="381"/>
      <c r="CC96" s="383">
        <f t="shared" ref="CC96:CE96" si="1249">(CC136-CC135)/CC66</f>
        <v>-0.13894628099173553</v>
      </c>
      <c r="CD96" s="381"/>
      <c r="CE96" s="383">
        <f t="shared" si="1249"/>
        <v>-0.17524999999999999</v>
      </c>
      <c r="CF96" s="381"/>
      <c r="CG96" s="383">
        <f t="shared" ref="CG96:CI96" si="1250">(CG136-CG135)/CG66</f>
        <v>-0.17206081081081082</v>
      </c>
      <c r="CH96" s="381"/>
      <c r="CI96" s="383">
        <f t="shared" si="1250"/>
        <v>-0.18375</v>
      </c>
      <c r="CJ96" s="381"/>
      <c r="CK96" s="383">
        <f t="shared" ref="CK96" si="1251">(CK136-CK135)/CK66</f>
        <v>-0.18575</v>
      </c>
      <c r="CL96" s="381"/>
      <c r="CM96" s="383">
        <f t="shared" ref="CM96" si="1252">(CM136-CM135)/CM66</f>
        <v>-0.13750000000000001</v>
      </c>
      <c r="CN96" s="381"/>
      <c r="CO96" s="383">
        <f t="shared" ref="CO96" si="1253">(CO136-CO135)/CO66</f>
        <v>-0.18465909090909091</v>
      </c>
      <c r="CP96" s="381"/>
      <c r="CQ96" s="383">
        <f>(CQ136-CQ135)/CQ66</f>
        <v>5.6384457881240579E-2</v>
      </c>
      <c r="CR96" s="381"/>
      <c r="CS96" s="383">
        <f>(CS136-CS135)/CS66</f>
        <v>-6.9855500406364708E-3</v>
      </c>
      <c r="CT96" s="381"/>
      <c r="CU96" s="383">
        <f>(CU136-CU135)/CU66</f>
        <v>-3.3315876796358113E-2</v>
      </c>
      <c r="CV96" s="381"/>
      <c r="CW96" s="383">
        <f>(CW136-CW135)/CW66</f>
        <v>-0.15495867768595042</v>
      </c>
      <c r="CX96" s="381"/>
      <c r="CY96" s="383">
        <f>(CY136-CY135)/CY66</f>
        <v>2.7076246801900999E-2</v>
      </c>
      <c r="CZ96" s="381"/>
      <c r="DA96" s="383">
        <f>(DA136-DA135)/DA66</f>
        <v>-7.7479338842975212E-2</v>
      </c>
      <c r="DB96" s="381"/>
      <c r="DC96" s="383">
        <f>(DC136-DC135)/DC66</f>
        <v>-7.7479338842975212E-2</v>
      </c>
      <c r="DD96" s="381"/>
      <c r="DE96" s="383">
        <f>(DE136-DE135)/DE66</f>
        <v>-7.7479338842975212E-2</v>
      </c>
      <c r="DF96" s="381"/>
      <c r="DG96" s="383">
        <f>(DG136-DG135)/DG66</f>
        <v>-7.7479338842975212E-2</v>
      </c>
    </row>
    <row r="97" spans="1:111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381"/>
      <c r="O97" s="382"/>
      <c r="P97" s="381"/>
      <c r="Q97" s="382"/>
      <c r="R97" s="381"/>
      <c r="S97" s="382"/>
      <c r="T97" s="381"/>
      <c r="U97" s="382"/>
      <c r="V97" s="381"/>
      <c r="W97" s="382"/>
      <c r="X97" s="381"/>
      <c r="Y97" s="382"/>
      <c r="Z97" s="381"/>
      <c r="AA97" s="382"/>
      <c r="AB97" s="381"/>
      <c r="AC97" s="382"/>
      <c r="AD97" s="381"/>
      <c r="AE97" s="382"/>
      <c r="AF97" s="381"/>
      <c r="AG97" s="382"/>
      <c r="AH97" s="381"/>
      <c r="AI97" s="382"/>
      <c r="AJ97" s="381"/>
      <c r="AK97" s="382"/>
      <c r="AL97" s="381"/>
      <c r="AM97" s="382"/>
      <c r="AN97" s="381"/>
      <c r="AO97" s="382"/>
      <c r="AP97" s="381"/>
      <c r="AQ97" s="382"/>
      <c r="AR97" s="381"/>
      <c r="AS97" s="382"/>
      <c r="AT97" s="381"/>
      <c r="AU97" s="382"/>
      <c r="AV97" s="381"/>
      <c r="AW97" s="382"/>
      <c r="AX97" s="381"/>
      <c r="AY97" s="382"/>
      <c r="AZ97" s="381"/>
      <c r="BA97" s="382"/>
      <c r="BB97" s="381"/>
      <c r="BC97" s="382"/>
      <c r="BD97" s="381"/>
      <c r="BE97" s="382"/>
      <c r="BF97" s="381"/>
      <c r="BG97" s="382"/>
      <c r="BH97" s="381"/>
      <c r="BI97" s="382"/>
      <c r="BJ97" s="381"/>
      <c r="BK97" s="382"/>
      <c r="BL97" s="381"/>
      <c r="BM97" s="382"/>
      <c r="BN97" s="381"/>
      <c r="BO97" s="382"/>
      <c r="BP97" s="381"/>
      <c r="BQ97" s="382"/>
      <c r="BR97" s="381"/>
      <c r="BS97" s="382"/>
      <c r="BT97" s="381"/>
      <c r="BU97" s="382"/>
      <c r="BV97" s="381"/>
      <c r="BW97" s="382"/>
      <c r="BX97" s="381"/>
      <c r="BY97" s="382"/>
      <c r="BZ97" s="381"/>
      <c r="CA97" s="382"/>
      <c r="CB97" s="381"/>
      <c r="CC97" s="382"/>
      <c r="CD97" s="381"/>
      <c r="CE97" s="382"/>
      <c r="CF97" s="381"/>
      <c r="CG97" s="382"/>
      <c r="CH97" s="381"/>
      <c r="CI97" s="382"/>
      <c r="CJ97" s="381"/>
      <c r="CK97" s="382"/>
      <c r="CL97" s="381"/>
      <c r="CM97" s="382"/>
      <c r="CN97" s="381"/>
      <c r="CO97" s="382"/>
      <c r="CP97" s="381"/>
      <c r="CQ97" s="382"/>
      <c r="CR97" s="381"/>
      <c r="CS97" s="382"/>
      <c r="CT97" s="381"/>
      <c r="CU97" s="382"/>
      <c r="CV97" s="381"/>
      <c r="CW97" s="382"/>
      <c r="CX97" s="381"/>
      <c r="CY97" s="382"/>
      <c r="CZ97" s="381"/>
      <c r="DA97" s="382"/>
      <c r="DB97" s="381"/>
      <c r="DC97" s="382"/>
      <c r="DD97" s="381"/>
      <c r="DE97" s="382"/>
      <c r="DF97" s="381"/>
      <c r="DG97" s="382"/>
    </row>
    <row r="98" spans="1:111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8.5619597301285932E-2</v>
      </c>
      <c r="H98" s="591"/>
      <c r="I98" s="590">
        <f>I93-I96</f>
        <v>0.25668333945146454</v>
      </c>
      <c r="J98" s="591"/>
      <c r="K98" s="590">
        <f>K93-K96</f>
        <v>0.25668333945146454</v>
      </c>
      <c r="L98" s="591"/>
      <c r="M98" s="590">
        <f>M93-M96</f>
        <v>0.25668333945146454</v>
      </c>
      <c r="N98" s="591"/>
      <c r="O98" s="590">
        <f>O93-O96</f>
        <v>0.25115857325770663</v>
      </c>
      <c r="P98" s="591"/>
      <c r="Q98" s="590">
        <f>Q93-Q96</f>
        <v>4.3172152543359337</v>
      </c>
      <c r="R98" s="591"/>
      <c r="S98" s="590">
        <f>S93-S96</f>
        <v>4.3172152543359337</v>
      </c>
      <c r="T98" s="591"/>
      <c r="U98" s="590">
        <f>U93-U96</f>
        <v>0.14601270687114493</v>
      </c>
      <c r="V98" s="591"/>
      <c r="W98" s="590">
        <f>W93-W96</f>
        <v>0.16692414854425014</v>
      </c>
      <c r="X98" s="591"/>
      <c r="Y98" s="590">
        <f>Y93-Y96</f>
        <v>0.15814062005069524</v>
      </c>
      <c r="Z98" s="591"/>
      <c r="AA98" s="590">
        <f>AA93-AA96</f>
        <v>-7.4681721452146077E-2</v>
      </c>
      <c r="AB98" s="591"/>
      <c r="AC98" s="590">
        <f>AC93-AC96</f>
        <v>8.4112112172713693E-2</v>
      </c>
      <c r="AD98" s="591"/>
      <c r="AE98" s="590">
        <f>AE93-AE96</f>
        <v>0.32577096383760956</v>
      </c>
      <c r="AF98" s="591"/>
      <c r="AG98" s="590">
        <f>AG93-AG96</f>
        <v>0.51685103020059153</v>
      </c>
      <c r="AH98" s="591"/>
      <c r="AI98" s="590">
        <f>AI93-AI96</f>
        <v>0.81030677941230034</v>
      </c>
      <c r="AJ98" s="591"/>
      <c r="AK98" s="590">
        <f>AK93-AK96</f>
        <v>1.0105048656687106</v>
      </c>
      <c r="AL98" s="591"/>
      <c r="AM98" s="590">
        <f t="shared" ref="AM98" si="1254">AM93-AM96</f>
        <v>1.0709456415849306</v>
      </c>
      <c r="AN98" s="591"/>
      <c r="AO98" s="590">
        <f t="shared" ref="AO98:AQ98" si="1255">AO93-AO96</f>
        <v>0.76970368065009143</v>
      </c>
      <c r="AP98" s="591"/>
      <c r="AQ98" s="590">
        <f t="shared" si="1255"/>
        <v>0.49271845245021917</v>
      </c>
      <c r="AR98" s="591"/>
      <c r="AS98" s="590">
        <f t="shared" ref="AS98" si="1256">AS93-AS96</f>
        <v>0.48004893303873086</v>
      </c>
      <c r="AT98" s="591"/>
      <c r="AU98" s="590">
        <f t="shared" ref="AU98" si="1257">AU93-AU96</f>
        <v>0.62648923397298739</v>
      </c>
      <c r="AV98" s="591"/>
      <c r="AW98" s="590">
        <f t="shared" ref="AW98" si="1258">AW93-AW96</f>
        <v>0.28212471871413247</v>
      </c>
      <c r="AX98" s="591"/>
      <c r="AY98" s="590">
        <f t="shared" ref="AY98" si="1259">AY93-AY96</f>
        <v>0.25342590779354335</v>
      </c>
      <c r="AZ98" s="591"/>
      <c r="BA98" s="590">
        <f t="shared" ref="BA98:BC98" si="1260">BA93-BA96</f>
        <v>0.47662368005595562</v>
      </c>
      <c r="BB98" s="591"/>
      <c r="BC98" s="590">
        <f t="shared" si="1260"/>
        <v>0.57185935106574415</v>
      </c>
      <c r="BD98" s="591"/>
      <c r="BE98" s="590">
        <f t="shared" ref="BE98:BK98" si="1261">BE93-BE96</f>
        <v>0.77117779156022093</v>
      </c>
      <c r="BF98" s="591"/>
      <c r="BG98" s="590">
        <f t="shared" si="1261"/>
        <v>0.78789608426277358</v>
      </c>
      <c r="BH98" s="591"/>
      <c r="BI98" s="590">
        <f t="shared" si="1261"/>
        <v>0.88463332279466589</v>
      </c>
      <c r="BJ98" s="591"/>
      <c r="BK98" s="590">
        <f t="shared" si="1261"/>
        <v>0.91252130109813279</v>
      </c>
      <c r="BL98" s="591"/>
      <c r="BM98" s="590">
        <f t="shared" ref="BM98:BO98" si="1262">BM93-BM96</f>
        <v>0.90296006033006815</v>
      </c>
      <c r="BN98" s="591"/>
      <c r="BO98" s="590">
        <f t="shared" si="1262"/>
        <v>0.75748615790164409</v>
      </c>
      <c r="BP98" s="591"/>
      <c r="BQ98" s="590">
        <f t="shared" ref="BQ98:BS98" si="1263">BQ93-BQ96</f>
        <v>0.75657535413018129</v>
      </c>
      <c r="BR98" s="591"/>
      <c r="BS98" s="590">
        <f t="shared" si="1263"/>
        <v>0.81585776223488338</v>
      </c>
      <c r="BT98" s="591"/>
      <c r="BU98" s="590">
        <f t="shared" ref="BU98:BW98" si="1264">BU93-BU96</f>
        <v>0.82381421321245485</v>
      </c>
      <c r="BV98" s="591"/>
      <c r="BW98" s="590">
        <f t="shared" si="1264"/>
        <v>0.80918504037424233</v>
      </c>
      <c r="BX98" s="591"/>
      <c r="BY98" s="590">
        <f t="shared" ref="BY98:CA98" si="1265">BY93-BY96</f>
        <v>0.84572839700853253</v>
      </c>
      <c r="BZ98" s="591"/>
      <c r="CA98" s="590">
        <f t="shared" si="1265"/>
        <v>0.64220143448810707</v>
      </c>
      <c r="CB98" s="591"/>
      <c r="CC98" s="590">
        <f t="shared" ref="CC98:CE98" si="1266">CC93-CC96</f>
        <v>0.62349925164550979</v>
      </c>
      <c r="CD98" s="591"/>
      <c r="CE98" s="590">
        <f t="shared" si="1266"/>
        <v>0.63453861563558389</v>
      </c>
      <c r="CF98" s="591"/>
      <c r="CG98" s="590">
        <f t="shared" ref="CG98:CI98" si="1267">CG93-CG96</f>
        <v>0.65886276754359263</v>
      </c>
      <c r="CH98" s="591"/>
      <c r="CI98" s="590">
        <f t="shared" si="1267"/>
        <v>0.84949871109317521</v>
      </c>
      <c r="CJ98" s="591"/>
      <c r="CK98" s="590">
        <f t="shared" ref="CK98" si="1268">CK93-CK96</f>
        <v>0.90194370236515808</v>
      </c>
      <c r="CL98" s="591"/>
      <c r="CM98" s="590">
        <f t="shared" ref="CM98" si="1269">CM93-CM96</f>
        <v>0.62681925272344641</v>
      </c>
      <c r="CN98" s="591"/>
      <c r="CO98" s="590">
        <f t="shared" ref="CO98" si="1270">CO93-CO96</f>
        <v>0.83533499573379599</v>
      </c>
      <c r="CP98" s="591"/>
      <c r="CQ98" s="590">
        <f>CQ93-CQ96</f>
        <v>0.19428006222591876</v>
      </c>
      <c r="CR98" s="591"/>
      <c r="CS98" s="590">
        <f>CS93-CS96</f>
        <v>5.4202243590181803E-2</v>
      </c>
      <c r="CT98" s="591"/>
      <c r="CU98" s="590">
        <f>CU93-CU96</f>
        <v>0.61848098258179585</v>
      </c>
      <c r="CV98" s="591"/>
      <c r="CW98" s="590">
        <f>CW93-CW96</f>
        <v>0.34144963447339405</v>
      </c>
      <c r="CX98" s="591"/>
      <c r="CY98" s="590">
        <f>CY93-CY96</f>
        <v>0.12747696828688002</v>
      </c>
      <c r="CZ98" s="591"/>
      <c r="DA98" s="590">
        <f>DA93-DA96</f>
        <v>0.70811443977456312</v>
      </c>
      <c r="DB98" s="591"/>
      <c r="DC98" s="590">
        <f>DC93-DC96</f>
        <v>0.24379011545023921</v>
      </c>
      <c r="DD98" s="591"/>
      <c r="DE98" s="590">
        <f>DE93-DE96</f>
        <v>0.13063696229708599</v>
      </c>
      <c r="DF98" s="591"/>
      <c r="DG98" s="590">
        <f>DG93-DG96</f>
        <v>9.0636962297085968E-2</v>
      </c>
    </row>
    <row r="99" spans="1:111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60">
        <f>G98/G67</f>
        <v>1.5746132837018104E-2</v>
      </c>
      <c r="H99" s="159"/>
      <c r="I99" s="160">
        <f>I98/I67</f>
        <v>4.8316863896746269E-2</v>
      </c>
      <c r="J99" s="159"/>
      <c r="K99" s="160">
        <f>K98/K67</f>
        <v>4.8316863896746269E-2</v>
      </c>
      <c r="L99" s="159"/>
      <c r="M99" s="160">
        <f>M98/M67</f>
        <v>4.8316863896746269E-2</v>
      </c>
      <c r="N99" s="159"/>
      <c r="O99" s="1097">
        <f>O98/O67</f>
        <v>4.4169456717117014E-2</v>
      </c>
      <c r="P99" s="159"/>
      <c r="Q99" s="1097">
        <f>Q98/Q67</f>
        <v>0.75212809308988393</v>
      </c>
      <c r="R99" s="159"/>
      <c r="S99" s="1097">
        <f>S98/S67</f>
        <v>0.75212809308988393</v>
      </c>
      <c r="T99" s="159"/>
      <c r="U99" s="1097">
        <f>U98/U67</f>
        <v>2.5437753810303994E-2</v>
      </c>
      <c r="V99" s="159"/>
      <c r="W99" s="1097">
        <f>W98/W67</f>
        <v>2.908086211572302E-2</v>
      </c>
      <c r="X99" s="159"/>
      <c r="Y99" s="1097">
        <f>Y98/Y67</f>
        <v>2.7550630670852828E-2</v>
      </c>
      <c r="Z99" s="159"/>
      <c r="AA99" s="1097">
        <f>AA98/AA67</f>
        <v>-1.301075286622754E-2</v>
      </c>
      <c r="AB99" s="159"/>
      <c r="AC99" s="1097">
        <f>AC98/AC67</f>
        <v>1.4653678078869982E-2</v>
      </c>
      <c r="AD99" s="159"/>
      <c r="AE99" s="1097">
        <f>AE98/AE67</f>
        <v>5.6754523316656716E-2</v>
      </c>
      <c r="AF99" s="159"/>
      <c r="AG99" s="1097">
        <f>AG98/AG67</f>
        <v>9.0043733484423613E-2</v>
      </c>
      <c r="AH99" s="159"/>
      <c r="AI99" s="1097">
        <f>AI98/AI67</f>
        <v>0.14116842846904187</v>
      </c>
      <c r="AJ99" s="159"/>
      <c r="AK99" s="1097">
        <f>AK98/AK67</f>
        <v>0.17604614384472309</v>
      </c>
      <c r="AL99" s="159"/>
      <c r="AM99" s="1097">
        <f t="shared" ref="AM99" si="1271">AM98/AM67</f>
        <v>0.18657589574650357</v>
      </c>
      <c r="AN99" s="159"/>
      <c r="AO99" s="1097">
        <f t="shared" ref="AO99" si="1272">AO98/AO67</f>
        <v>0.13409471788329119</v>
      </c>
      <c r="AP99" s="159"/>
      <c r="AQ99" s="1097">
        <f t="shared" ref="AQ99" si="1273">AQ98/AQ67</f>
        <v>8.5839451646379641E-2</v>
      </c>
      <c r="AR99" s="159"/>
      <c r="AS99" s="1097">
        <f t="shared" ref="AS99" si="1274">AS98/AS67</f>
        <v>8.3632218299430461E-2</v>
      </c>
      <c r="AT99" s="159"/>
      <c r="AU99" s="1097">
        <f t="shared" ref="AU99" si="1275">AU98/AU67</f>
        <v>0.1091444658489525</v>
      </c>
      <c r="AV99" s="159"/>
      <c r="AW99" s="1097">
        <f t="shared" ref="AW99" si="1276">AW98/AW67</f>
        <v>4.9150647859604955E-2</v>
      </c>
      <c r="AX99" s="159"/>
      <c r="AY99" s="1097">
        <f t="shared" ref="AY99" si="1277">AY98/AY67</f>
        <v>4.4150855016296751E-2</v>
      </c>
      <c r="AZ99" s="159"/>
      <c r="BA99" s="1097">
        <f t="shared" ref="BA99:BC99" si="1278">BA98/BA67</f>
        <v>8.3035484330305859E-2</v>
      </c>
      <c r="BB99" s="159"/>
      <c r="BC99" s="1097">
        <f t="shared" si="1278"/>
        <v>9.9627064645600019E-2</v>
      </c>
      <c r="BD99" s="159"/>
      <c r="BE99" s="1097">
        <f t="shared" ref="BE99:BK99" si="1279">BE98/BE67</f>
        <v>0.13435153163070052</v>
      </c>
      <c r="BF99" s="159"/>
      <c r="BG99" s="1097">
        <f t="shared" si="1279"/>
        <v>0.13726412617818354</v>
      </c>
      <c r="BH99" s="159"/>
      <c r="BI99" s="1097">
        <f t="shared" si="1279"/>
        <v>0.15411730362276407</v>
      </c>
      <c r="BJ99" s="159"/>
      <c r="BK99" s="1097">
        <f t="shared" si="1279"/>
        <v>0.15598654719626201</v>
      </c>
      <c r="BL99" s="159"/>
      <c r="BM99" s="1097">
        <f t="shared" ref="BM99:BO99" si="1280">BM98/BM67</f>
        <v>0.15435214706496889</v>
      </c>
      <c r="BN99" s="159"/>
      <c r="BO99" s="1097">
        <f t="shared" si="1280"/>
        <v>0.12948481331652034</v>
      </c>
      <c r="BP99" s="159"/>
      <c r="BQ99" s="1097">
        <f t="shared" ref="BQ99:BS99" si="1281">BQ98/BQ67</f>
        <v>0.12932912036413355</v>
      </c>
      <c r="BR99" s="159"/>
      <c r="BS99" s="1097">
        <f t="shared" si="1281"/>
        <v>0.1394628653392963</v>
      </c>
      <c r="BT99" s="159"/>
      <c r="BU99" s="1097">
        <f t="shared" ref="BU99:BW99" si="1282">BU98/BU67</f>
        <v>0.14082294242947946</v>
      </c>
      <c r="BV99" s="159"/>
      <c r="BW99" s="1097">
        <f t="shared" si="1282"/>
        <v>0.1383222291238021</v>
      </c>
      <c r="BX99" s="159"/>
      <c r="BY99" s="1097">
        <f t="shared" ref="BY99:CA99" si="1283">BY98/BY67</f>
        <v>0.1445689567535953</v>
      </c>
      <c r="BZ99" s="159"/>
      <c r="CA99" s="1097">
        <f t="shared" si="1283"/>
        <v>0.10977802298942001</v>
      </c>
      <c r="CB99" s="159"/>
      <c r="CC99" s="1097">
        <f t="shared" ref="CC99:CE99" si="1284">CC98/CC67</f>
        <v>0.10658106865735209</v>
      </c>
      <c r="CD99" s="159"/>
      <c r="CE99" s="1097">
        <f t="shared" si="1284"/>
        <v>0.10846813942488613</v>
      </c>
      <c r="CF99" s="159"/>
      <c r="CG99" s="1097">
        <f t="shared" ref="CG99:CI99" si="1285">CG98/CG67</f>
        <v>0.11262611411001583</v>
      </c>
      <c r="CH99" s="159"/>
      <c r="CI99" s="1097">
        <f t="shared" si="1285"/>
        <v>0.14521345488772225</v>
      </c>
      <c r="CJ99" s="159"/>
      <c r="CK99" s="1097">
        <f t="shared" ref="CK99" si="1286">CK98/CK67</f>
        <v>0.15417841066071078</v>
      </c>
      <c r="CL99" s="159"/>
      <c r="CM99" s="1097">
        <f t="shared" ref="CM99" si="1287">CM98/CM67</f>
        <v>0.10714859020913613</v>
      </c>
      <c r="CN99" s="159"/>
      <c r="CO99" s="1097">
        <f t="shared" ref="CO99" si="1288">CO98/CO67</f>
        <v>0.14279230696304204</v>
      </c>
      <c r="CP99" s="159"/>
      <c r="CQ99" s="1097">
        <f>CQ98/CQ67</f>
        <v>3.3978313795186045E-2</v>
      </c>
      <c r="CR99" s="159"/>
      <c r="CS99" s="1097">
        <f>CS98/CS67</f>
        <v>9.442899580171046E-3</v>
      </c>
      <c r="CT99" s="159"/>
      <c r="CU99" s="1097">
        <f>CU98/CU67</f>
        <v>0.10774930010135816</v>
      </c>
      <c r="CV99" s="159"/>
      <c r="CW99" s="1097">
        <f>CW98/CW67</f>
        <v>5.9485999037176662E-2</v>
      </c>
      <c r="CX99" s="159"/>
      <c r="CY99" s="1097">
        <f>CY98/CY67</f>
        <v>2.2254485057733097E-2</v>
      </c>
      <c r="CZ99" s="159"/>
      <c r="DA99" s="1097">
        <f>DA98/DA67</f>
        <v>0.12336488497814688</v>
      </c>
      <c r="DB99" s="159"/>
      <c r="DC99" s="1097">
        <f>DC98/DC67</f>
        <v>3.9006418472038271E-2</v>
      </c>
      <c r="DD99" s="159"/>
      <c r="DE99" s="1097">
        <f>DE98/DE67</f>
        <v>2.2759052664997559E-2</v>
      </c>
      <c r="DF99" s="159"/>
      <c r="DG99" s="1097">
        <f>DG98/DG67</f>
        <v>1.5790411550014975E-2</v>
      </c>
    </row>
    <row r="100" spans="1:111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620</v>
      </c>
      <c r="BN100" s="251"/>
      <c r="BO100" s="167">
        <v>620</v>
      </c>
      <c r="BP100" s="251"/>
      <c r="BQ100" s="167">
        <v>620</v>
      </c>
      <c r="BR100" s="251"/>
      <c r="BS100" s="167">
        <v>620</v>
      </c>
      <c r="BT100" s="251"/>
      <c r="BU100" s="167">
        <v>620</v>
      </c>
      <c r="BV100" s="251"/>
      <c r="BW100" s="167">
        <v>620</v>
      </c>
      <c r="BX100" s="251"/>
      <c r="BY100" s="167">
        <v>620</v>
      </c>
      <c r="BZ100" s="251"/>
      <c r="CA100" s="167">
        <v>620</v>
      </c>
      <c r="CB100" s="251"/>
      <c r="CC100" s="167">
        <v>620</v>
      </c>
      <c r="CD100" s="251"/>
      <c r="CE100" s="167">
        <v>620</v>
      </c>
      <c r="CF100" s="251"/>
      <c r="CG100" s="167">
        <v>620</v>
      </c>
      <c r="CH100" s="251"/>
      <c r="CI100" s="167">
        <v>620</v>
      </c>
      <c r="CJ100" s="251"/>
      <c r="CK100" s="167">
        <v>620</v>
      </c>
      <c r="CL100" s="251"/>
      <c r="CM100" s="167">
        <v>620</v>
      </c>
      <c r="CN100" s="251"/>
      <c r="CO100" s="167">
        <v>620</v>
      </c>
      <c r="CP100" s="251"/>
      <c r="CQ100" s="167">
        <v>620</v>
      </c>
      <c r="CR100" s="251"/>
      <c r="CS100" s="167">
        <v>620</v>
      </c>
      <c r="CT100" s="251"/>
      <c r="CU100" s="167">
        <v>620</v>
      </c>
      <c r="CV100" s="251"/>
      <c r="CW100" s="167">
        <v>620</v>
      </c>
      <c r="CX100" s="251"/>
      <c r="CY100" s="167">
        <v>620</v>
      </c>
      <c r="CZ100" s="251"/>
      <c r="DA100" s="167">
        <v>620</v>
      </c>
      <c r="DB100" s="251"/>
      <c r="DC100" s="167">
        <v>620</v>
      </c>
      <c r="DD100" s="251"/>
      <c r="DE100" s="167">
        <v>620</v>
      </c>
      <c r="DF100" s="251"/>
      <c r="DG100" s="167">
        <v>620</v>
      </c>
    </row>
    <row r="101" spans="1:111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>
        <v>1150</v>
      </c>
      <c r="BX101" s="164"/>
      <c r="BY101" s="168">
        <v>1150</v>
      </c>
      <c r="BZ101" s="164"/>
      <c r="CA101" s="168">
        <v>1150</v>
      </c>
      <c r="CB101" s="164"/>
      <c r="CC101" s="168">
        <v>1150</v>
      </c>
      <c r="CD101" s="164"/>
      <c r="CE101" s="168">
        <v>1150</v>
      </c>
      <c r="CF101" s="164"/>
      <c r="CG101" s="168">
        <v>1150</v>
      </c>
      <c r="CH101" s="164"/>
      <c r="CI101" s="168">
        <v>1150</v>
      </c>
      <c r="CJ101" s="164"/>
      <c r="CK101" s="168">
        <v>1150</v>
      </c>
      <c r="CL101" s="164"/>
      <c r="CM101" s="168">
        <v>1150</v>
      </c>
      <c r="CN101" s="164"/>
      <c r="CO101" s="168">
        <v>1150</v>
      </c>
      <c r="CP101" s="164"/>
      <c r="CQ101" s="168">
        <v>1150</v>
      </c>
      <c r="CR101" s="164"/>
      <c r="CS101" s="168">
        <v>1150</v>
      </c>
      <c r="CT101" s="164"/>
      <c r="CU101" s="168">
        <v>1150</v>
      </c>
      <c r="CV101" s="164"/>
      <c r="CW101" s="168">
        <v>1150</v>
      </c>
      <c r="CX101" s="164"/>
      <c r="CY101" s="168">
        <v>1150</v>
      </c>
      <c r="CZ101" s="164"/>
      <c r="DA101" s="168">
        <v>1150</v>
      </c>
      <c r="DB101" s="164"/>
      <c r="DC101" s="168">
        <v>1150</v>
      </c>
      <c r="DD101" s="164"/>
      <c r="DE101" s="168">
        <v>1150</v>
      </c>
      <c r="DF101" s="164"/>
      <c r="DG101" s="168">
        <v>1150</v>
      </c>
    </row>
    <row r="102" spans="1:111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>
        <v>750</v>
      </c>
      <c r="BX102" s="164"/>
      <c r="BY102" s="168">
        <v>750</v>
      </c>
      <c r="BZ102" s="164"/>
      <c r="CA102" s="168">
        <v>750</v>
      </c>
      <c r="CB102" s="164"/>
      <c r="CC102" s="168">
        <v>750</v>
      </c>
      <c r="CD102" s="164"/>
      <c r="CE102" s="168">
        <v>750</v>
      </c>
      <c r="CF102" s="164"/>
      <c r="CG102" s="168">
        <v>750</v>
      </c>
      <c r="CH102" s="164"/>
      <c r="CI102" s="168">
        <v>750</v>
      </c>
      <c r="CJ102" s="164"/>
      <c r="CK102" s="168">
        <v>750</v>
      </c>
      <c r="CL102" s="164"/>
      <c r="CM102" s="168">
        <v>750</v>
      </c>
      <c r="CN102" s="164"/>
      <c r="CO102" s="168">
        <v>750</v>
      </c>
      <c r="CP102" s="164"/>
      <c r="CQ102" s="168">
        <v>750</v>
      </c>
      <c r="CR102" s="164"/>
      <c r="CS102" s="168">
        <v>750</v>
      </c>
      <c r="CT102" s="164"/>
      <c r="CU102" s="168">
        <v>750</v>
      </c>
      <c r="CV102" s="164"/>
      <c r="CW102" s="168">
        <v>750</v>
      </c>
      <c r="CX102" s="164"/>
      <c r="CY102" s="168">
        <v>750</v>
      </c>
      <c r="CZ102" s="164"/>
      <c r="DA102" s="168">
        <v>750</v>
      </c>
      <c r="DB102" s="164"/>
      <c r="DC102" s="168">
        <v>750</v>
      </c>
      <c r="DD102" s="164"/>
      <c r="DE102" s="168">
        <v>750</v>
      </c>
      <c r="DF102" s="164"/>
      <c r="DG102" s="168">
        <v>750</v>
      </c>
    </row>
    <row r="103" spans="1:111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164"/>
      <c r="BY103" s="171"/>
      <c r="BZ103" s="164"/>
      <c r="CA103" s="171"/>
      <c r="CB103" s="164"/>
      <c r="CC103" s="171"/>
      <c r="CD103" s="164"/>
      <c r="CE103" s="171"/>
      <c r="CF103" s="164"/>
      <c r="CG103" s="171"/>
      <c r="CH103" s="164"/>
      <c r="CI103" s="171"/>
      <c r="CJ103" s="164"/>
      <c r="CK103" s="171"/>
      <c r="CL103" s="164"/>
      <c r="CM103" s="171"/>
      <c r="CN103" s="164"/>
      <c r="CO103" s="171"/>
      <c r="CP103" s="164"/>
      <c r="CQ103" s="171"/>
      <c r="CR103" s="164"/>
      <c r="CS103" s="171"/>
      <c r="CT103" s="164"/>
      <c r="CU103" s="171"/>
      <c r="CV103" s="164"/>
      <c r="CW103" s="171"/>
      <c r="CX103" s="164"/>
      <c r="CY103" s="171"/>
      <c r="CZ103" s="164"/>
      <c r="DA103" s="171"/>
      <c r="DB103" s="164"/>
      <c r="DC103" s="171"/>
      <c r="DD103" s="164"/>
      <c r="DE103" s="171"/>
      <c r="DF103" s="164"/>
      <c r="DG103" s="171"/>
    </row>
    <row r="104" spans="1:111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>K101-K100</f>
        <v>530</v>
      </c>
      <c r="L104" s="173"/>
      <c r="M104" s="165">
        <f>M101-M100</f>
        <v>530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530</v>
      </c>
      <c r="T104" s="173"/>
      <c r="U104" s="165">
        <f>U101-U100</f>
        <v>530</v>
      </c>
      <c r="V104" s="173"/>
      <c r="W104" s="165">
        <f>W101-W100</f>
        <v>530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530</v>
      </c>
      <c r="AD104" s="173"/>
      <c r="AE104" s="165">
        <f>AE101-AE100</f>
        <v>530</v>
      </c>
      <c r="AF104" s="173"/>
      <c r="AG104" s="165">
        <f>AG101-AG100</f>
        <v>530</v>
      </c>
      <c r="AH104" s="173"/>
      <c r="AI104" s="165">
        <f>AI101-AI100</f>
        <v>530</v>
      </c>
      <c r="AJ104" s="173"/>
      <c r="AK104" s="165">
        <f>AK101-AK100</f>
        <v>530</v>
      </c>
      <c r="AL104" s="173"/>
      <c r="AM104" s="165">
        <f t="shared" ref="AM104" si="1289">AM101-AM100</f>
        <v>530</v>
      </c>
      <c r="AN104" s="173"/>
      <c r="AO104" s="165">
        <f t="shared" ref="AO104:AQ104" si="1290">AO101-AO100</f>
        <v>530</v>
      </c>
      <c r="AP104" s="173"/>
      <c r="AQ104" s="165">
        <f t="shared" si="1290"/>
        <v>530</v>
      </c>
      <c r="AR104" s="173"/>
      <c r="AS104" s="165">
        <f t="shared" ref="AS104" si="1291">AS101-AS100</f>
        <v>530</v>
      </c>
      <c r="AT104" s="173"/>
      <c r="AU104" s="165">
        <f t="shared" ref="AU104" si="1292">AU101-AU100</f>
        <v>530</v>
      </c>
      <c r="AV104" s="173"/>
      <c r="AW104" s="165">
        <f t="shared" ref="AW104" si="1293">AW101-AW100</f>
        <v>530</v>
      </c>
      <c r="AX104" s="173"/>
      <c r="AY104" s="165">
        <f t="shared" ref="AY104" si="1294">AY101-AY100</f>
        <v>530</v>
      </c>
      <c r="AZ104" s="173"/>
      <c r="BA104" s="165">
        <f t="shared" ref="BA104:BC104" si="1295">BA101-BA100</f>
        <v>530</v>
      </c>
      <c r="BB104" s="173"/>
      <c r="BC104" s="165">
        <f t="shared" si="1295"/>
        <v>530</v>
      </c>
      <c r="BD104" s="173"/>
      <c r="BE104" s="165">
        <f t="shared" ref="BE104:BK104" si="1296">BE101-BE100</f>
        <v>530</v>
      </c>
      <c r="BF104" s="173"/>
      <c r="BG104" s="165">
        <f t="shared" si="1296"/>
        <v>530</v>
      </c>
      <c r="BH104" s="173"/>
      <c r="BI104" s="165">
        <f t="shared" si="1296"/>
        <v>530</v>
      </c>
      <c r="BJ104" s="173"/>
      <c r="BK104" s="165">
        <f t="shared" si="1296"/>
        <v>530</v>
      </c>
      <c r="BL104" s="173"/>
      <c r="BM104" s="165">
        <f t="shared" ref="BM104:BO104" si="1297">BM101-BM100</f>
        <v>530</v>
      </c>
      <c r="BN104" s="173"/>
      <c r="BO104" s="165">
        <f t="shared" si="1297"/>
        <v>530</v>
      </c>
      <c r="BP104" s="173"/>
      <c r="BQ104" s="165">
        <f t="shared" ref="BQ104:BS104" si="1298">BQ101-BQ100</f>
        <v>530</v>
      </c>
      <c r="BR104" s="173"/>
      <c r="BS104" s="165">
        <f t="shared" si="1298"/>
        <v>530</v>
      </c>
      <c r="BT104" s="173"/>
      <c r="BU104" s="165">
        <f t="shared" ref="BU104:BW104" si="1299">BU101-BU100</f>
        <v>530</v>
      </c>
      <c r="BV104" s="173"/>
      <c r="BW104" s="165">
        <f t="shared" si="1299"/>
        <v>530</v>
      </c>
      <c r="BX104" s="173"/>
      <c r="BY104" s="165">
        <f t="shared" ref="BY104:CA104" si="1300">BY101-BY100</f>
        <v>530</v>
      </c>
      <c r="BZ104" s="173"/>
      <c r="CA104" s="165">
        <f t="shared" si="1300"/>
        <v>530</v>
      </c>
      <c r="CB104" s="173"/>
      <c r="CC104" s="165">
        <f t="shared" ref="CC104:CE104" si="1301">CC101-CC100</f>
        <v>530</v>
      </c>
      <c r="CD104" s="173"/>
      <c r="CE104" s="165">
        <f t="shared" si="1301"/>
        <v>530</v>
      </c>
      <c r="CF104" s="173"/>
      <c r="CG104" s="165">
        <f t="shared" ref="CG104:CI104" si="1302">CG101-CG100</f>
        <v>530</v>
      </c>
      <c r="CH104" s="173"/>
      <c r="CI104" s="165">
        <f t="shared" si="1302"/>
        <v>530</v>
      </c>
      <c r="CJ104" s="173"/>
      <c r="CK104" s="165">
        <f t="shared" ref="CK104" si="1303">CK101-CK100</f>
        <v>530</v>
      </c>
      <c r="CL104" s="173"/>
      <c r="CM104" s="165">
        <f t="shared" ref="CM104" si="1304">CM101-CM100</f>
        <v>530</v>
      </c>
      <c r="CN104" s="173"/>
      <c r="CO104" s="165">
        <f t="shared" ref="CO104" si="1305">CO101-CO100</f>
        <v>530</v>
      </c>
      <c r="CP104" s="173"/>
      <c r="CQ104" s="165">
        <f>CQ101-CQ100</f>
        <v>530</v>
      </c>
      <c r="CR104" s="173"/>
      <c r="CS104" s="165">
        <f>CS101-CS100</f>
        <v>530</v>
      </c>
      <c r="CT104" s="173"/>
      <c r="CU104" s="165">
        <f>CU101-CU100</f>
        <v>530</v>
      </c>
      <c r="CV104" s="173"/>
      <c r="CW104" s="165">
        <f>CW101-CW100</f>
        <v>530</v>
      </c>
      <c r="CX104" s="173"/>
      <c r="CY104" s="165">
        <f>CY101-CY100</f>
        <v>530</v>
      </c>
      <c r="CZ104" s="173"/>
      <c r="DA104" s="165">
        <f>DA101-DA100</f>
        <v>530</v>
      </c>
      <c r="DB104" s="173"/>
      <c r="DC104" s="165">
        <f>DC101-DC100</f>
        <v>530</v>
      </c>
      <c r="DD104" s="173"/>
      <c r="DE104" s="165">
        <f>DE101-DE100</f>
        <v>530</v>
      </c>
      <c r="DF104" s="173"/>
      <c r="DG104" s="165">
        <f>DG101-DG100</f>
        <v>530</v>
      </c>
    </row>
    <row r="105" spans="1:111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0.13250000000000001</v>
      </c>
      <c r="H105" s="177"/>
      <c r="I105" s="178">
        <f>I104/I66</f>
        <v>0.13250000000000001</v>
      </c>
      <c r="J105" s="177"/>
      <c r="K105" s="178">
        <f>K104/K66</f>
        <v>0.13250000000000001</v>
      </c>
      <c r="L105" s="177"/>
      <c r="M105" s="178">
        <f>M104/M66</f>
        <v>0.13250000000000001</v>
      </c>
      <c r="N105" s="177"/>
      <c r="O105" s="178">
        <f>O104/O66</f>
        <v>0.1368801652892562</v>
      </c>
      <c r="P105" s="177"/>
      <c r="Q105" s="178">
        <f>Q104/Q66</f>
        <v>0.1368801652892562</v>
      </c>
      <c r="R105" s="177"/>
      <c r="S105" s="178">
        <f>S104/S66</f>
        <v>0.1368801652892562</v>
      </c>
      <c r="T105" s="177"/>
      <c r="U105" s="178">
        <f>U104/U66</f>
        <v>0.1368801652892562</v>
      </c>
      <c r="V105" s="177"/>
      <c r="W105" s="178">
        <f>W104/W66</f>
        <v>0.1368801652892562</v>
      </c>
      <c r="X105" s="177"/>
      <c r="Y105" s="178">
        <f>Y104/Y66</f>
        <v>0.1368801652892562</v>
      </c>
      <c r="Z105" s="177"/>
      <c r="AA105" s="178">
        <f>AA104/AA66</f>
        <v>0.1368801652892562</v>
      </c>
      <c r="AB105" s="177"/>
      <c r="AC105" s="178">
        <f>AC104/AC66</f>
        <v>0.1368801652892562</v>
      </c>
      <c r="AD105" s="177"/>
      <c r="AE105" s="178">
        <f>AE104/AE66</f>
        <v>0.1368801652892562</v>
      </c>
      <c r="AF105" s="177"/>
      <c r="AG105" s="178">
        <f>AG104/AG66</f>
        <v>0.1368801652892562</v>
      </c>
      <c r="AH105" s="177"/>
      <c r="AI105" s="178">
        <f>AI104/AI66</f>
        <v>0.1368801652892562</v>
      </c>
      <c r="AJ105" s="177"/>
      <c r="AK105" s="178">
        <f>AK104/AK66</f>
        <v>0.1368801652892562</v>
      </c>
      <c r="AL105" s="177"/>
      <c r="AM105" s="178">
        <f t="shared" ref="AM105" si="1306">AM104/AM66</f>
        <v>0.1368801652892562</v>
      </c>
      <c r="AN105" s="177"/>
      <c r="AO105" s="178">
        <f t="shared" ref="AO105" si="1307">AO104/AO66</f>
        <v>0.1368801652892562</v>
      </c>
      <c r="AP105" s="177"/>
      <c r="AQ105" s="178">
        <f t="shared" ref="AQ105" si="1308">AQ104/AQ66</f>
        <v>0.1368801652892562</v>
      </c>
      <c r="AR105" s="177"/>
      <c r="AS105" s="178">
        <f t="shared" ref="AS105" si="1309">AS104/AS66</f>
        <v>0.1368801652892562</v>
      </c>
      <c r="AT105" s="177"/>
      <c r="AU105" s="178">
        <f t="shared" ref="AU105" si="1310">AU104/AU66</f>
        <v>0.1368801652892562</v>
      </c>
      <c r="AV105" s="177"/>
      <c r="AW105" s="178">
        <f t="shared" ref="AW105" si="1311">AW104/AW66</f>
        <v>0.1368801652892562</v>
      </c>
      <c r="AX105" s="177"/>
      <c r="AY105" s="178">
        <f t="shared" ref="AY105" si="1312">AY104/AY66</f>
        <v>0.1368801652892562</v>
      </c>
      <c r="AZ105" s="177"/>
      <c r="BA105" s="178">
        <f t="shared" ref="BA105:BC105" si="1313">BA104/BA66</f>
        <v>0.1368801652892562</v>
      </c>
      <c r="BB105" s="177"/>
      <c r="BC105" s="178">
        <f t="shared" si="1313"/>
        <v>0.1368801652892562</v>
      </c>
      <c r="BD105" s="177"/>
      <c r="BE105" s="178">
        <f t="shared" ref="BE105:BK105" si="1314">BE104/BE66</f>
        <v>0.1368801652892562</v>
      </c>
      <c r="BF105" s="177"/>
      <c r="BG105" s="178">
        <f t="shared" si="1314"/>
        <v>0.1368801652892562</v>
      </c>
      <c r="BH105" s="177"/>
      <c r="BI105" s="178">
        <f t="shared" si="1314"/>
        <v>0.1368801652892562</v>
      </c>
      <c r="BJ105" s="177"/>
      <c r="BK105" s="178">
        <f t="shared" si="1314"/>
        <v>0.1368801652892562</v>
      </c>
      <c r="BL105" s="177"/>
      <c r="BM105" s="178">
        <f t="shared" ref="BM105:BO105" si="1315">BM104/BM66</f>
        <v>0.1368801652892562</v>
      </c>
      <c r="BN105" s="177"/>
      <c r="BO105" s="178">
        <f t="shared" si="1315"/>
        <v>0.1368801652892562</v>
      </c>
      <c r="BP105" s="177"/>
      <c r="BQ105" s="178">
        <f t="shared" ref="BQ105:BS105" si="1316">BQ104/BQ66</f>
        <v>0.1368801652892562</v>
      </c>
      <c r="BR105" s="177"/>
      <c r="BS105" s="178">
        <f t="shared" si="1316"/>
        <v>0.1368801652892562</v>
      </c>
      <c r="BT105" s="177"/>
      <c r="BU105" s="178">
        <f t="shared" ref="BU105:BW105" si="1317">BU104/BU66</f>
        <v>0.1368801652892562</v>
      </c>
      <c r="BV105" s="177"/>
      <c r="BW105" s="178">
        <f t="shared" si="1317"/>
        <v>0.1368801652892562</v>
      </c>
      <c r="BX105" s="177"/>
      <c r="BY105" s="178">
        <f t="shared" ref="BY105:CA105" si="1318">BY104/BY66</f>
        <v>0.1368801652892562</v>
      </c>
      <c r="BZ105" s="177"/>
      <c r="CA105" s="178">
        <f t="shared" si="1318"/>
        <v>0.1368801652892562</v>
      </c>
      <c r="CB105" s="177"/>
      <c r="CC105" s="178">
        <f t="shared" ref="CC105:CE105" si="1319">CC104/CC66</f>
        <v>0.1368801652892562</v>
      </c>
      <c r="CD105" s="177"/>
      <c r="CE105" s="178">
        <f t="shared" si="1319"/>
        <v>0.13250000000000001</v>
      </c>
      <c r="CF105" s="177"/>
      <c r="CG105" s="178">
        <f t="shared" ref="CG105:CI105" si="1320">CG104/CG66</f>
        <v>0.13250000000000001</v>
      </c>
      <c r="CH105" s="177"/>
      <c r="CI105" s="178">
        <f t="shared" si="1320"/>
        <v>0.13250000000000001</v>
      </c>
      <c r="CJ105" s="177"/>
      <c r="CK105" s="178">
        <f t="shared" ref="CK105" si="1321">CK104/CK66</f>
        <v>0.13250000000000001</v>
      </c>
      <c r="CL105" s="177"/>
      <c r="CM105" s="178">
        <f t="shared" ref="CM105" si="1322">CM104/CM66</f>
        <v>0.13250000000000001</v>
      </c>
      <c r="CN105" s="177"/>
      <c r="CO105" s="178">
        <f t="shared" ref="CO105" si="1323">CO104/CO66</f>
        <v>0.1368801652892562</v>
      </c>
      <c r="CP105" s="177"/>
      <c r="CQ105" s="178">
        <f>CQ104/CQ66</f>
        <v>0.1368801652892562</v>
      </c>
      <c r="CR105" s="177"/>
      <c r="CS105" s="178">
        <f>CS104/CS66</f>
        <v>0.1368801652892562</v>
      </c>
      <c r="CT105" s="177"/>
      <c r="CU105" s="178">
        <f>CU104/CU66</f>
        <v>0.1368801652892562</v>
      </c>
      <c r="CV105" s="177"/>
      <c r="CW105" s="178">
        <f>CW104/CW66</f>
        <v>0.1368801652892562</v>
      </c>
      <c r="CX105" s="177"/>
      <c r="CY105" s="178">
        <f>CY104/CY66</f>
        <v>0.1368801652892562</v>
      </c>
      <c r="CZ105" s="177"/>
      <c r="DA105" s="178">
        <f>DA104/DA66</f>
        <v>0.1368801652892562</v>
      </c>
      <c r="DB105" s="177"/>
      <c r="DC105" s="178">
        <f>DC104/DC66</f>
        <v>0.1368801652892562</v>
      </c>
      <c r="DD105" s="177"/>
      <c r="DE105" s="178">
        <f>DE104/DE66</f>
        <v>0.1368801652892562</v>
      </c>
      <c r="DF105" s="177"/>
      <c r="DG105" s="178">
        <f>DG104/DG66</f>
        <v>0.1368801652892562</v>
      </c>
    </row>
    <row r="106" spans="1:111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</v>
      </c>
      <c r="H106" s="177"/>
      <c r="I106" s="178">
        <f>(I101-I102)/I66</f>
        <v>0.1</v>
      </c>
      <c r="J106" s="177"/>
      <c r="K106" s="178">
        <f>(K101-K102)/K66</f>
        <v>0.1</v>
      </c>
      <c r="L106" s="177"/>
      <c r="M106" s="178">
        <f>(M101-M102)/M66</f>
        <v>0.1</v>
      </c>
      <c r="N106" s="177"/>
      <c r="O106" s="178">
        <f>(O101-O102)/O66</f>
        <v>0.10330578512396695</v>
      </c>
      <c r="P106" s="177"/>
      <c r="Q106" s="178">
        <f>(Q101-Q102)/Q66</f>
        <v>0.10330578512396695</v>
      </c>
      <c r="R106" s="177"/>
      <c r="S106" s="178">
        <f>(S101-S102)/S66</f>
        <v>0.10330578512396695</v>
      </c>
      <c r="T106" s="177"/>
      <c r="U106" s="178">
        <f>(U101-U102)/U66</f>
        <v>0.10330578512396695</v>
      </c>
      <c r="V106" s="177"/>
      <c r="W106" s="178">
        <f>(W101-W102)/W66</f>
        <v>0.10330578512396695</v>
      </c>
      <c r="X106" s="177"/>
      <c r="Y106" s="178">
        <f>(Y101-Y102)/Y66</f>
        <v>0.10330578512396695</v>
      </c>
      <c r="Z106" s="177"/>
      <c r="AA106" s="178">
        <f>(AA101-AA102)/AA66</f>
        <v>0.10330578512396695</v>
      </c>
      <c r="AB106" s="177"/>
      <c r="AC106" s="178">
        <f>(AC101-AC102)/AC66</f>
        <v>0.10330578512396695</v>
      </c>
      <c r="AD106" s="177"/>
      <c r="AE106" s="178">
        <f>(AE101-AE102)/AE66</f>
        <v>0.10330578512396695</v>
      </c>
      <c r="AF106" s="177"/>
      <c r="AG106" s="178">
        <f>(AG101-AG102)/AG66</f>
        <v>0.10330578512396695</v>
      </c>
      <c r="AH106" s="177"/>
      <c r="AI106" s="178">
        <f>(AI101-AI102)/AI66</f>
        <v>0.10330578512396695</v>
      </c>
      <c r="AJ106" s="177"/>
      <c r="AK106" s="178">
        <f>(AK101-AK102)/AK66</f>
        <v>0.10330578512396695</v>
      </c>
      <c r="AL106" s="177"/>
      <c r="AM106" s="178">
        <f t="shared" ref="AM106" si="1324">(AM101-AM102)/AM66</f>
        <v>0.10330578512396695</v>
      </c>
      <c r="AN106" s="177"/>
      <c r="AO106" s="178">
        <f t="shared" ref="AO106:AQ106" si="1325">(AO101-AO102)/AO66</f>
        <v>0.10330578512396695</v>
      </c>
      <c r="AP106" s="177"/>
      <c r="AQ106" s="178">
        <f t="shared" si="1325"/>
        <v>0.10330578512396695</v>
      </c>
      <c r="AR106" s="177"/>
      <c r="AS106" s="178">
        <f t="shared" ref="AS106" si="1326">(AS101-AS102)/AS66</f>
        <v>0.10330578512396695</v>
      </c>
      <c r="AT106" s="177"/>
      <c r="AU106" s="178">
        <f t="shared" ref="AU106" si="1327">(AU101-AU102)/AU66</f>
        <v>0.10330578512396695</v>
      </c>
      <c r="AV106" s="177"/>
      <c r="AW106" s="178">
        <f t="shared" ref="AW106" si="1328">(AW101-AW102)/AW66</f>
        <v>0.10330578512396695</v>
      </c>
      <c r="AX106" s="177"/>
      <c r="AY106" s="178">
        <f t="shared" ref="AY106" si="1329">(AY101-AY102)/AY66</f>
        <v>0.10330578512396695</v>
      </c>
      <c r="AZ106" s="177"/>
      <c r="BA106" s="178">
        <f t="shared" ref="BA106:BC106" si="1330">(BA101-BA102)/BA66</f>
        <v>0.10330578512396695</v>
      </c>
      <c r="BB106" s="177"/>
      <c r="BC106" s="178">
        <f t="shared" si="1330"/>
        <v>0.10330578512396695</v>
      </c>
      <c r="BD106" s="177"/>
      <c r="BE106" s="178">
        <f t="shared" ref="BE106:BK106" si="1331">(BE101-BE102)/BE66</f>
        <v>0.10330578512396695</v>
      </c>
      <c r="BF106" s="177"/>
      <c r="BG106" s="178">
        <f t="shared" si="1331"/>
        <v>0.10330578512396695</v>
      </c>
      <c r="BH106" s="177"/>
      <c r="BI106" s="178">
        <f t="shared" si="1331"/>
        <v>0.10330578512396695</v>
      </c>
      <c r="BJ106" s="177"/>
      <c r="BK106" s="178">
        <f t="shared" si="1331"/>
        <v>0.10330578512396695</v>
      </c>
      <c r="BL106" s="177"/>
      <c r="BM106" s="178">
        <f t="shared" ref="BM106:BO106" si="1332">(BM101-BM102)/BM66</f>
        <v>0.10330578512396695</v>
      </c>
      <c r="BN106" s="177"/>
      <c r="BO106" s="178">
        <f t="shared" si="1332"/>
        <v>0.10330578512396695</v>
      </c>
      <c r="BP106" s="177"/>
      <c r="BQ106" s="178">
        <f t="shared" ref="BQ106:BS106" si="1333">(BQ101-BQ102)/BQ66</f>
        <v>0.10330578512396695</v>
      </c>
      <c r="BR106" s="177"/>
      <c r="BS106" s="178">
        <f t="shared" si="1333"/>
        <v>0.10330578512396695</v>
      </c>
      <c r="BT106" s="177"/>
      <c r="BU106" s="178">
        <f t="shared" ref="BU106:BW106" si="1334">(BU101-BU102)/BU66</f>
        <v>0.10330578512396695</v>
      </c>
      <c r="BV106" s="177"/>
      <c r="BW106" s="178">
        <f t="shared" si="1334"/>
        <v>0.10330578512396695</v>
      </c>
      <c r="BX106" s="177"/>
      <c r="BY106" s="178">
        <f t="shared" ref="BY106:CA106" si="1335">(BY101-BY102)/BY66</f>
        <v>0.10330578512396695</v>
      </c>
      <c r="BZ106" s="177"/>
      <c r="CA106" s="178">
        <f t="shared" si="1335"/>
        <v>0.10330578512396695</v>
      </c>
      <c r="CB106" s="177"/>
      <c r="CC106" s="178">
        <f t="shared" ref="CC106:CE106" si="1336">(CC101-CC102)/CC66</f>
        <v>0.10330578512396695</v>
      </c>
      <c r="CD106" s="177"/>
      <c r="CE106" s="178">
        <f t="shared" si="1336"/>
        <v>0.1</v>
      </c>
      <c r="CF106" s="177"/>
      <c r="CG106" s="178">
        <f t="shared" ref="CG106:CI106" si="1337">(CG101-CG102)/CG66</f>
        <v>0.1</v>
      </c>
      <c r="CH106" s="177"/>
      <c r="CI106" s="178">
        <f t="shared" si="1337"/>
        <v>0.1</v>
      </c>
      <c r="CJ106" s="177"/>
      <c r="CK106" s="178">
        <f t="shared" ref="CK106" si="1338">(CK101-CK102)/CK66</f>
        <v>0.1</v>
      </c>
      <c r="CL106" s="177"/>
      <c r="CM106" s="178">
        <f t="shared" ref="CM106" si="1339">(CM101-CM102)/CM66</f>
        <v>0.1</v>
      </c>
      <c r="CN106" s="177"/>
      <c r="CO106" s="178">
        <f t="shared" ref="CO106" si="1340">(CO101-CO102)/CO66</f>
        <v>0.10330578512396695</v>
      </c>
      <c r="CP106" s="177"/>
      <c r="CQ106" s="178">
        <f>(CQ101-CQ102)/CQ66</f>
        <v>0.10330578512396695</v>
      </c>
      <c r="CR106" s="177"/>
      <c r="CS106" s="178">
        <f>(CS101-CS102)/CS66</f>
        <v>0.10330578512396695</v>
      </c>
      <c r="CT106" s="177"/>
      <c r="CU106" s="178">
        <f>(CU101-CU102)/CU66</f>
        <v>0.10330578512396695</v>
      </c>
      <c r="CV106" s="177"/>
      <c r="CW106" s="178">
        <f>(CW101-CW102)/CW66</f>
        <v>0.10330578512396695</v>
      </c>
      <c r="CX106" s="177"/>
      <c r="CY106" s="178">
        <f>(CY101-CY102)/CY66</f>
        <v>0.10330578512396695</v>
      </c>
      <c r="CZ106" s="177"/>
      <c r="DA106" s="178">
        <f>(DA101-DA102)/DA66</f>
        <v>0.10330578512396695</v>
      </c>
      <c r="DB106" s="177"/>
      <c r="DC106" s="178">
        <f>(DC101-DC102)/DC66</f>
        <v>0.10330578512396695</v>
      </c>
      <c r="DD106" s="177"/>
      <c r="DE106" s="178">
        <f>(DE101-DE102)/DE66</f>
        <v>0.10330578512396695</v>
      </c>
      <c r="DF106" s="177"/>
      <c r="DG106" s="178">
        <f>(DG101-DG102)/DG66</f>
        <v>0.10330578512396695</v>
      </c>
    </row>
    <row r="107" spans="1:111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180"/>
      <c r="BY107" s="181"/>
      <c r="BZ107" s="180"/>
      <c r="CA107" s="181"/>
      <c r="CB107" s="180"/>
      <c r="CC107" s="181"/>
      <c r="CD107" s="180"/>
      <c r="CE107" s="181"/>
      <c r="CF107" s="180"/>
      <c r="CG107" s="181"/>
      <c r="CH107" s="180"/>
      <c r="CI107" s="181"/>
      <c r="CJ107" s="180"/>
      <c r="CK107" s="181"/>
      <c r="CL107" s="180"/>
      <c r="CM107" s="181"/>
      <c r="CN107" s="180"/>
      <c r="CO107" s="181"/>
      <c r="CP107" s="180"/>
      <c r="CQ107" s="181"/>
      <c r="CR107" s="180"/>
      <c r="CS107" s="181"/>
      <c r="CT107" s="180"/>
      <c r="CU107" s="181"/>
      <c r="CV107" s="180"/>
      <c r="CW107" s="181"/>
      <c r="CX107" s="180"/>
      <c r="CY107" s="181"/>
      <c r="CZ107" s="180"/>
      <c r="DA107" s="181"/>
      <c r="DB107" s="180"/>
      <c r="DC107" s="181"/>
      <c r="DD107" s="180"/>
      <c r="DE107" s="181"/>
      <c r="DF107" s="180"/>
      <c r="DG107" s="181"/>
    </row>
    <row r="108" spans="1:111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1.6124999999999998</v>
      </c>
      <c r="H108" s="186"/>
      <c r="I108" s="187">
        <f>I60-(I101/I66)-I74</f>
        <v>1.3335637421501785</v>
      </c>
      <c r="J108" s="186"/>
      <c r="K108" s="187">
        <f>K60-(K101/K66)-K74</f>
        <v>1.3335637421501785</v>
      </c>
      <c r="L108" s="186"/>
      <c r="M108" s="187">
        <f>M60-(M101/M66)-M74</f>
        <v>1.3335637421501785</v>
      </c>
      <c r="N108" s="186"/>
      <c r="O108" s="187">
        <f>O60-(O101/O66)-O74</f>
        <v>1.7036969192932045</v>
      </c>
      <c r="P108" s="186"/>
      <c r="Q108" s="187">
        <f>Q60-(Q101/Q66)-Q74</f>
        <v>5.7529132231404967</v>
      </c>
      <c r="R108" s="186"/>
      <c r="S108" s="187">
        <f>S60-(S101/S66)-S74</f>
        <v>5.7529132231404967</v>
      </c>
      <c r="T108" s="186"/>
      <c r="U108" s="187">
        <f>U60-(U101/U66)-U74</f>
        <v>1.6100219562363991</v>
      </c>
      <c r="V108" s="186"/>
      <c r="W108" s="187">
        <f>W60-(W101/W66)-W74</f>
        <v>1.662336266666677</v>
      </c>
      <c r="X108" s="186"/>
      <c r="Y108" s="187">
        <f>Y60-(Y101/Y66)-Y74</f>
        <v>1.509173099437005</v>
      </c>
      <c r="Z108" s="186"/>
      <c r="AA108" s="187">
        <f>AA60-(AA101/AA66)-AA74</f>
        <v>1.1105693077088956</v>
      </c>
      <c r="AB108" s="186"/>
      <c r="AC108" s="187">
        <f>AC60-(AC101/AC66)-AC74</f>
        <v>1.1604552714043255</v>
      </c>
      <c r="AD108" s="186"/>
      <c r="AE108" s="187">
        <f>AE60-(AE101/AE66)-AE74</f>
        <v>1.4297770909679111</v>
      </c>
      <c r="AF108" s="186"/>
      <c r="AG108" s="187">
        <f>AG60-(AG101/AG66)-AG74</f>
        <v>1.5200501239227417</v>
      </c>
      <c r="AH108" s="186"/>
      <c r="AI108" s="187">
        <f>AI60-(AI101/AI66)-AI74</f>
        <v>1.6717618745087224</v>
      </c>
      <c r="AJ108" s="186"/>
      <c r="AK108" s="187">
        <f>AK60-(AK101/AK66)-AK74</f>
        <v>1.8001547218924578</v>
      </c>
      <c r="AL108" s="186"/>
      <c r="AM108" s="187">
        <f t="shared" ref="AM108" si="1341">AM60-(AM101/AM66)-AM74</f>
        <v>1.8742088509873507</v>
      </c>
      <c r="AN108" s="186"/>
      <c r="AO108" s="187">
        <f t="shared" ref="AO108:AQ108" si="1342">AO60-(AO101/AO66)-AO74</f>
        <v>1.8263632142183921</v>
      </c>
      <c r="AP108" s="186"/>
      <c r="AQ108" s="187">
        <f t="shared" si="1342"/>
        <v>1.7047920343819092</v>
      </c>
      <c r="AR108" s="186"/>
      <c r="AS108" s="187">
        <f t="shared" ref="AS108" si="1343">AS60-(AS101/AS66)-AS74</f>
        <v>1.6665617974407247</v>
      </c>
      <c r="AT108" s="186"/>
      <c r="AU108" s="187">
        <f t="shared" ref="AU108" si="1344">AU60-(AU101/AU66)-AU74</f>
        <v>1.7938013121497236</v>
      </c>
      <c r="AV108" s="186"/>
      <c r="AW108" s="187">
        <f t="shared" ref="AW108" si="1345">AW60-(AW101/AW66)-AW74</f>
        <v>1.4656643169507486</v>
      </c>
      <c r="AX108" s="186"/>
      <c r="AY108" s="187">
        <f t="shared" ref="AY108" si="1346">AY60-(AY101/AY66)-AY74</f>
        <v>1.4242918268124258</v>
      </c>
      <c r="AZ108" s="186"/>
      <c r="BA108" s="187">
        <f t="shared" ref="BA108:BC108" si="1347">BA60-(BA101/BA66)-BA74</f>
        <v>1.6151812780969861</v>
      </c>
      <c r="BB108" s="186"/>
      <c r="BC108" s="187">
        <f t="shared" si="1347"/>
        <v>1.7103243087019244</v>
      </c>
      <c r="BD108" s="186"/>
      <c r="BE108" s="187">
        <f t="shared" ref="BE108:BK108" si="1348">BE60-(BE101/BE66)-BE74</f>
        <v>1.897836151634519</v>
      </c>
      <c r="BF108" s="186"/>
      <c r="BG108" s="187">
        <f t="shared" si="1348"/>
        <v>1.9182140565807759</v>
      </c>
      <c r="BH108" s="186"/>
      <c r="BI108" s="187">
        <f t="shared" si="1348"/>
        <v>2.0029132231404967</v>
      </c>
      <c r="BJ108" s="186"/>
      <c r="BK108" s="187">
        <f t="shared" si="1348"/>
        <v>2.0429958677685951</v>
      </c>
      <c r="BL108" s="186"/>
      <c r="BM108" s="187">
        <f t="shared" ref="BM108:BO108" si="1349">BM60-(BM101/BM66)-BM74</f>
        <v>2.032874258323015</v>
      </c>
      <c r="BN108" s="186"/>
      <c r="BO108" s="187">
        <f t="shared" si="1349"/>
        <v>1.8869966378879632</v>
      </c>
      <c r="BP108" s="186"/>
      <c r="BQ108" s="187">
        <f t="shared" ref="BQ108:BS108" si="1350">BQ60-(BQ101/BQ66)-BQ74</f>
        <v>1.8908214839713846</v>
      </c>
      <c r="BR108" s="186"/>
      <c r="BS108" s="187">
        <f t="shared" si="1350"/>
        <v>1.9550109168694751</v>
      </c>
      <c r="BT108" s="186"/>
      <c r="BU108" s="187">
        <f t="shared" ref="BU108:BW108" si="1351">BU60-(BU101/BU66)-BU74</f>
        <v>1.9609012521445672</v>
      </c>
      <c r="BV108" s="186"/>
      <c r="BW108" s="187">
        <f t="shared" si="1351"/>
        <v>1.9338753850914787</v>
      </c>
      <c r="BX108" s="186"/>
      <c r="BY108" s="187">
        <f t="shared" ref="BY108:CA108" si="1352">BY60-(BY101/BY66)-BY74</f>
        <v>1.9904858904860996</v>
      </c>
      <c r="BZ108" s="186"/>
      <c r="CA108" s="187">
        <f t="shared" si="1352"/>
        <v>1.8400593207936811</v>
      </c>
      <c r="CB108" s="186"/>
      <c r="CC108" s="187">
        <f t="shared" ref="CC108:CE108" si="1353">CC60-(CC101/CC66)-CC74</f>
        <v>1.7998424889247295</v>
      </c>
      <c r="CD108" s="186"/>
      <c r="CE108" s="187">
        <f t="shared" si="1353"/>
        <v>1.7815822661379448</v>
      </c>
      <c r="CF108" s="186"/>
      <c r="CG108" s="187">
        <f t="shared" ref="CG108:CI108" si="1354">CG60-(CG101/CG66)-CG74</f>
        <v>1.8090956072351427</v>
      </c>
      <c r="CH108" s="186"/>
      <c r="CI108" s="187">
        <f t="shared" si="1354"/>
        <v>1.9880423615955363</v>
      </c>
      <c r="CJ108" s="186"/>
      <c r="CK108" s="187">
        <f t="shared" ref="CK108" si="1355">CK60-(CK101/CK66)-CK74</f>
        <v>2.0384873528675191</v>
      </c>
      <c r="CL108" s="186"/>
      <c r="CM108" s="187">
        <f t="shared" ref="CM108" si="1356">CM60-(CM101/CM66)-CM74</f>
        <v>1.8116129032258073</v>
      </c>
      <c r="CN108" s="186"/>
      <c r="CO108" s="187">
        <f t="shared" ref="CO108" si="1357">CO60-(CO101/CO66)-CO74</f>
        <v>1.9659654230956605</v>
      </c>
      <c r="CP108" s="186"/>
      <c r="CQ108" s="187">
        <f>CQ60-(CQ101/CQ66)-CQ74</f>
        <v>1.661635317598753</v>
      </c>
      <c r="CR108" s="186"/>
      <c r="CS108" s="187">
        <f>CS60-(CS101/CS66)-CS74</f>
        <v>1.2107020651826161</v>
      </c>
      <c r="CT108" s="186"/>
      <c r="CU108" s="187">
        <f>CU60-(CU101/CU66)-CU74</f>
        <v>1.5810341954421743</v>
      </c>
      <c r="CV108" s="186"/>
      <c r="CW108" s="187">
        <f>CW60-(CW101/CW66)-CW74</f>
        <v>1.6195798898071629</v>
      </c>
      <c r="CX108" s="186"/>
      <c r="CY108" s="187">
        <f>CY60-(CY101/CY66)-CY74</f>
        <v>1.4510636339567231</v>
      </c>
      <c r="CZ108" s="186"/>
      <c r="DA108" s="187">
        <f>DA60-(DA101/DA66)-DA74</f>
        <v>1.5637240339513072</v>
      </c>
      <c r="DB108" s="186"/>
      <c r="DC108" s="187">
        <f>DC60-(DC101/DC66)-DC74</f>
        <v>1.7394823542550819</v>
      </c>
      <c r="DD108" s="186"/>
      <c r="DE108" s="187">
        <f>DE60-(DE101/DE66)-DE74</f>
        <v>1.4862465564738301</v>
      </c>
      <c r="DF108" s="186"/>
      <c r="DG108" s="187">
        <f>DG60-(DG101/DG66)-DG74</f>
        <v>1.44624655647383</v>
      </c>
    </row>
    <row r="109" spans="1:111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0.29655172413793102</v>
      </c>
      <c r="H109" s="192"/>
      <c r="I109" s="193">
        <f>I108/I67</f>
        <v>0.25102376322826891</v>
      </c>
      <c r="J109" s="192"/>
      <c r="K109" s="193">
        <f>K108/K67</f>
        <v>0.25102376322826891</v>
      </c>
      <c r="L109" s="192"/>
      <c r="M109" s="193">
        <f>M108/M67</f>
        <v>0.25102376322826891</v>
      </c>
      <c r="N109" s="192"/>
      <c r="O109" s="193">
        <f>O108/O67</f>
        <v>0.29961695656947979</v>
      </c>
      <c r="P109" s="192"/>
      <c r="Q109" s="193">
        <f>Q108/Q67</f>
        <v>1.0022496904425953</v>
      </c>
      <c r="R109" s="192"/>
      <c r="S109" s="193">
        <f>S108/S67</f>
        <v>1.0022496904425953</v>
      </c>
      <c r="T109" s="192"/>
      <c r="U109" s="193">
        <f>U108/U67</f>
        <v>0.28049163000634131</v>
      </c>
      <c r="V109" s="192"/>
      <c r="W109" s="193">
        <f>W108/W67</f>
        <v>0.28960562137050122</v>
      </c>
      <c r="X109" s="192"/>
      <c r="Y109" s="193">
        <f>Y108/Y67</f>
        <v>0.26292214275906006</v>
      </c>
      <c r="Z109" s="192"/>
      <c r="AA109" s="193">
        <f>AA108/AA67</f>
        <v>0.1934789734684487</v>
      </c>
      <c r="AB109" s="192"/>
      <c r="AC109" s="193">
        <f>AC108/AC67</f>
        <v>0.20216990791016123</v>
      </c>
      <c r="AD109" s="192"/>
      <c r="AE109" s="193">
        <f>AE108/AE67</f>
        <v>0.24909008553447926</v>
      </c>
      <c r="AF109" s="192"/>
      <c r="AG109" s="193">
        <f>AG108/AG67</f>
        <v>0.26481709476005955</v>
      </c>
      <c r="AH109" s="192"/>
      <c r="AI109" s="193">
        <f>AI108/AI67</f>
        <v>0.2912477133290457</v>
      </c>
      <c r="AJ109" s="192"/>
      <c r="AK109" s="193">
        <f>AK108/AK67</f>
        <v>0.31361580520774524</v>
      </c>
      <c r="AL109" s="192"/>
      <c r="AM109" s="193">
        <f t="shared" ref="AM109" si="1358">AM108/AM67</f>
        <v>0.32651722142636769</v>
      </c>
      <c r="AN109" s="192"/>
      <c r="AO109" s="193">
        <f t="shared" ref="AO109" si="1359">AO108/AO67</f>
        <v>0.31818174463735055</v>
      </c>
      <c r="AP109" s="192"/>
      <c r="AQ109" s="193">
        <f t="shared" ref="AQ109" si="1360">AQ108/AQ67</f>
        <v>0.29700209658221416</v>
      </c>
      <c r="AR109" s="192"/>
      <c r="AS109" s="193">
        <f t="shared" ref="AS109" si="1361">AS108/AS67</f>
        <v>0.29034177655761756</v>
      </c>
      <c r="AT109" s="192"/>
      <c r="AU109" s="193">
        <f t="shared" ref="AU109" si="1362">AU108/AU67</f>
        <v>0.31250893939890656</v>
      </c>
      <c r="AV109" s="192"/>
      <c r="AW109" s="193">
        <f t="shared" ref="AW109" si="1363">AW108/AW67</f>
        <v>0.2553422154966461</v>
      </c>
      <c r="AX109" s="192"/>
      <c r="AY109" s="193">
        <f t="shared" ref="AY109" si="1364">AY108/AY67</f>
        <v>0.2481344646014679</v>
      </c>
      <c r="AZ109" s="192"/>
      <c r="BA109" s="193">
        <f t="shared" ref="BA109:BC109" si="1365">BA108/BA67</f>
        <v>0.28139046656741917</v>
      </c>
      <c r="BB109" s="192"/>
      <c r="BC109" s="193">
        <f t="shared" si="1365"/>
        <v>0.29796590743935963</v>
      </c>
      <c r="BD109" s="192"/>
      <c r="BE109" s="193">
        <f t="shared" ref="BE109:BK109" si="1366">BE108/BE67</f>
        <v>0.33063347589451547</v>
      </c>
      <c r="BF109" s="192"/>
      <c r="BG109" s="193">
        <f t="shared" si="1366"/>
        <v>0.33418363355065783</v>
      </c>
      <c r="BH109" s="192"/>
      <c r="BI109" s="193">
        <f t="shared" si="1366"/>
        <v>0.34893958591297852</v>
      </c>
      <c r="BJ109" s="192"/>
      <c r="BK109" s="193">
        <f t="shared" si="1366"/>
        <v>0.34923006286642649</v>
      </c>
      <c r="BL109" s="192"/>
      <c r="BM109" s="193">
        <f t="shared" ref="BM109:BO109" si="1367">BM108/BM67</f>
        <v>0.34749987321760939</v>
      </c>
      <c r="BN109" s="192"/>
      <c r="BO109" s="193">
        <f t="shared" si="1367"/>
        <v>0.32256352784409625</v>
      </c>
      <c r="BP109" s="192"/>
      <c r="BQ109" s="193">
        <f t="shared" ref="BQ109:BS109" si="1368">BQ108/BQ67</f>
        <v>0.32321734768741617</v>
      </c>
      <c r="BR109" s="192"/>
      <c r="BS109" s="193">
        <f t="shared" si="1368"/>
        <v>0.33418990031956836</v>
      </c>
      <c r="BT109" s="192"/>
      <c r="BU109" s="193">
        <f t="shared" ref="BU109:BW109" si="1369">BU108/BU67</f>
        <v>0.33519679523838752</v>
      </c>
      <c r="BV109" s="192"/>
      <c r="BW109" s="193">
        <f t="shared" si="1369"/>
        <v>0.33057698890452625</v>
      </c>
      <c r="BX109" s="192"/>
      <c r="BY109" s="193">
        <f t="shared" ref="BY109:CA109" si="1370">BY108/BY67</f>
        <v>0.34025399837369219</v>
      </c>
      <c r="BZ109" s="192"/>
      <c r="CA109" s="193">
        <f t="shared" si="1370"/>
        <v>0.31454005483652664</v>
      </c>
      <c r="CB109" s="192"/>
      <c r="CC109" s="193">
        <f t="shared" ref="CC109:CE109" si="1371">CC108/CC67</f>
        <v>0.30766538272217597</v>
      </c>
      <c r="CD109" s="192"/>
      <c r="CE109" s="193">
        <f t="shared" si="1371"/>
        <v>0.3045439771175974</v>
      </c>
      <c r="CF109" s="192"/>
      <c r="CG109" s="193">
        <f t="shared" ref="CG109:CI109" si="1372">CG108/CG67</f>
        <v>0.3092471123478876</v>
      </c>
      <c r="CH109" s="192"/>
      <c r="CI109" s="193">
        <f t="shared" si="1372"/>
        <v>0.33983630112744206</v>
      </c>
      <c r="CJ109" s="192"/>
      <c r="CK109" s="193">
        <f t="shared" ref="CK109" si="1373">CK108/CK67</f>
        <v>0.34845937655855025</v>
      </c>
      <c r="CL109" s="192"/>
      <c r="CM109" s="193">
        <f t="shared" ref="CM109" si="1374">CM108/CM67</f>
        <v>0.30967741935483883</v>
      </c>
      <c r="CN109" s="192"/>
      <c r="CO109" s="193">
        <f t="shared" ref="CO109" si="1375">CO108/CO67</f>
        <v>0.33606246548643764</v>
      </c>
      <c r="CP109" s="192"/>
      <c r="CQ109" s="193">
        <f>CQ108/CQ67</f>
        <v>0.29060916281198218</v>
      </c>
      <c r="CR109" s="192"/>
      <c r="CS109" s="193">
        <f>CS108/CS67</f>
        <v>0.21092370473564739</v>
      </c>
      <c r="CT109" s="192"/>
      <c r="CU109" s="193">
        <f>CU108/CU67</f>
        <v>0.27544149746379343</v>
      </c>
      <c r="CV109" s="192"/>
      <c r="CW109" s="193">
        <f>CW108/CW67</f>
        <v>0.28215677522772875</v>
      </c>
      <c r="CX109" s="192"/>
      <c r="CY109" s="193">
        <f>CY108/CY67</f>
        <v>0.25332163443859806</v>
      </c>
      <c r="CZ109" s="192"/>
      <c r="DA109" s="193">
        <f>DA108/DA67</f>
        <v>0.27242578988698729</v>
      </c>
      <c r="DB109" s="192"/>
      <c r="DC109" s="193">
        <f>DC108/DC67</f>
        <v>0.27831717668081313</v>
      </c>
      <c r="DD109" s="192"/>
      <c r="DE109" s="193">
        <f>DE108/DE67</f>
        <v>0.25892797151112024</v>
      </c>
      <c r="DF109" s="192"/>
      <c r="DG109" s="193">
        <f>DG108/DG67</f>
        <v>0.2519593303961376</v>
      </c>
    </row>
    <row r="110" spans="1:111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/>
      <c r="BT110" s="164"/>
      <c r="BU110" s="198"/>
      <c r="BV110" s="164"/>
      <c r="BW110" s="198"/>
      <c r="BX110" s="164"/>
      <c r="BY110" s="198"/>
      <c r="BZ110" s="164"/>
      <c r="CA110" s="198"/>
      <c r="CB110" s="164"/>
      <c r="CC110" s="198"/>
      <c r="CD110" s="164"/>
      <c r="CE110" s="198"/>
      <c r="CF110" s="164"/>
      <c r="CG110" s="198"/>
      <c r="CH110" s="164"/>
      <c r="CI110" s="198"/>
      <c r="CJ110" s="164"/>
      <c r="CK110" s="198"/>
      <c r="CL110" s="164"/>
      <c r="CM110" s="198"/>
      <c r="CN110" s="164"/>
      <c r="CO110" s="198"/>
      <c r="CP110" s="164"/>
      <c r="CQ110" s="198"/>
      <c r="CR110" s="164"/>
      <c r="CS110" s="198"/>
      <c r="CT110" s="164"/>
      <c r="CU110" s="198"/>
      <c r="CV110" s="164"/>
      <c r="CW110" s="198"/>
      <c r="CX110" s="164"/>
      <c r="CY110" s="198"/>
      <c r="CZ110" s="164"/>
      <c r="DA110" s="198"/>
      <c r="DB110" s="164"/>
      <c r="DC110" s="198"/>
      <c r="DD110" s="164"/>
      <c r="DE110" s="198"/>
      <c r="DF110" s="164"/>
      <c r="DG110" s="198"/>
    </row>
    <row r="111" spans="1:111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1.7124999999999995</v>
      </c>
      <c r="H111" s="186"/>
      <c r="I111" s="187">
        <f>I60-(I102/I66)-I74</f>
        <v>1.4335637421501781</v>
      </c>
      <c r="J111" s="186"/>
      <c r="K111" s="187">
        <f>K60-(K102/K66)-K74</f>
        <v>1.4335637421501781</v>
      </c>
      <c r="L111" s="186"/>
      <c r="M111" s="187">
        <f>M60-(M102/M66)-M74</f>
        <v>1.4335637421501781</v>
      </c>
      <c r="N111" s="186"/>
      <c r="O111" s="187">
        <f>O60-(O102/O66)-O74</f>
        <v>1.807002704417171</v>
      </c>
      <c r="P111" s="186"/>
      <c r="Q111" s="187">
        <f>Q60-(Q102/Q66)-Q74</f>
        <v>5.8562190082644632</v>
      </c>
      <c r="R111" s="186"/>
      <c r="S111" s="187">
        <f>S60-(S102/S66)-S74</f>
        <v>5.8562190082644632</v>
      </c>
      <c r="T111" s="186"/>
      <c r="U111" s="187">
        <f>U60-(U102/U66)-U74</f>
        <v>1.7133277413603656</v>
      </c>
      <c r="V111" s="186"/>
      <c r="W111" s="187">
        <f>W60-(W102/W66)-W74</f>
        <v>1.7656420517906435</v>
      </c>
      <c r="X111" s="186"/>
      <c r="Y111" s="187">
        <f>Y60-(Y102/Y66)-Y74</f>
        <v>1.6124788845609714</v>
      </c>
      <c r="Z111" s="186"/>
      <c r="AA111" s="187">
        <f>AA60-(AA102/AA66)-AA74</f>
        <v>1.2138750928328621</v>
      </c>
      <c r="AB111" s="186"/>
      <c r="AC111" s="187">
        <f>AC60-(AC102/AC66)-AC74</f>
        <v>1.263761056528292</v>
      </c>
      <c r="AD111" s="186"/>
      <c r="AE111" s="187">
        <f>AE60-(AE102/AE66)-AE74</f>
        <v>1.5330828760918775</v>
      </c>
      <c r="AF111" s="186"/>
      <c r="AG111" s="187">
        <f>AG60-(AG102/AG66)-AG74</f>
        <v>1.6233559090467082</v>
      </c>
      <c r="AH111" s="186"/>
      <c r="AI111" s="187">
        <f>AI60-(AI102/AI66)-AI74</f>
        <v>1.7750676596326889</v>
      </c>
      <c r="AJ111" s="186"/>
      <c r="AK111" s="187">
        <f>AK60-(AK102/AK66)-AK74</f>
        <v>1.9034605070164243</v>
      </c>
      <c r="AL111" s="186"/>
      <c r="AM111" s="187">
        <f t="shared" ref="AM111" si="1376">AM60-(AM102/AM66)-AM74</f>
        <v>1.9775146361113172</v>
      </c>
      <c r="AN111" s="186"/>
      <c r="AO111" s="187">
        <f t="shared" ref="AO111:AQ111" si="1377">AO60-(AO102/AO66)-AO74</f>
        <v>1.9296689993423586</v>
      </c>
      <c r="AP111" s="186"/>
      <c r="AQ111" s="187">
        <f t="shared" si="1377"/>
        <v>1.8080978195058757</v>
      </c>
      <c r="AR111" s="186"/>
      <c r="AS111" s="187">
        <f t="shared" ref="AS111" si="1378">AS60-(AS102/AS66)-AS74</f>
        <v>1.7698675825646912</v>
      </c>
      <c r="AT111" s="186"/>
      <c r="AU111" s="187">
        <f t="shared" ref="AU111" si="1379">AU60-(AU102/AU66)-AU74</f>
        <v>1.8971070972736901</v>
      </c>
      <c r="AV111" s="186"/>
      <c r="AW111" s="187">
        <f t="shared" ref="AW111" si="1380">AW60-(AW102/AW66)-AW74</f>
        <v>1.5689701020747151</v>
      </c>
      <c r="AX111" s="186"/>
      <c r="AY111" s="187">
        <f t="shared" ref="AY111" si="1381">AY60-(AY102/AY66)-AY74</f>
        <v>1.5275976119363923</v>
      </c>
      <c r="AZ111" s="186"/>
      <c r="BA111" s="187">
        <f t="shared" ref="BA111:BC111" si="1382">BA60-(BA102/BA66)-BA74</f>
        <v>1.7184870632209526</v>
      </c>
      <c r="BB111" s="186"/>
      <c r="BC111" s="187">
        <f t="shared" si="1382"/>
        <v>1.8136300938258909</v>
      </c>
      <c r="BD111" s="186"/>
      <c r="BE111" s="187">
        <f t="shared" ref="BE111:BK111" si="1383">BE60-(BE102/BE66)-BE74</f>
        <v>2.0011419367584855</v>
      </c>
      <c r="BF111" s="186"/>
      <c r="BG111" s="187">
        <f t="shared" si="1383"/>
        <v>2.0215198417047424</v>
      </c>
      <c r="BH111" s="186"/>
      <c r="BI111" s="187">
        <f t="shared" si="1383"/>
        <v>2.1062190082644632</v>
      </c>
      <c r="BJ111" s="186"/>
      <c r="BK111" s="187">
        <f t="shared" si="1383"/>
        <v>2.1463016528925616</v>
      </c>
      <c r="BL111" s="186"/>
      <c r="BM111" s="187">
        <f t="shared" ref="BM111:BO111" si="1384">BM60-(BM102/BM66)-BM74</f>
        <v>2.1361800434469815</v>
      </c>
      <c r="BN111" s="186"/>
      <c r="BO111" s="187">
        <f t="shared" si="1384"/>
        <v>1.9903024230119297</v>
      </c>
      <c r="BP111" s="186"/>
      <c r="BQ111" s="187">
        <f t="shared" ref="BQ111:BS111" si="1385">BQ60-(BQ102/BQ66)-BQ74</f>
        <v>1.9941272690953511</v>
      </c>
      <c r="BR111" s="186"/>
      <c r="BS111" s="187">
        <f t="shared" si="1385"/>
        <v>2.0583167019934416</v>
      </c>
      <c r="BT111" s="186"/>
      <c r="BU111" s="187">
        <f t="shared" ref="BU111:BW111" si="1386">BU60-(BU102/BU66)-BU74</f>
        <v>2.0642070372685337</v>
      </c>
      <c r="BV111" s="186"/>
      <c r="BW111" s="187">
        <f t="shared" si="1386"/>
        <v>2.0371811702154452</v>
      </c>
      <c r="BX111" s="186"/>
      <c r="BY111" s="187">
        <f t="shared" ref="BY111:CA111" si="1387">BY60-(BY102/BY66)-BY74</f>
        <v>2.0937916756100661</v>
      </c>
      <c r="BZ111" s="186"/>
      <c r="CA111" s="187">
        <f t="shared" si="1387"/>
        <v>1.9433651059176476</v>
      </c>
      <c r="CB111" s="186"/>
      <c r="CC111" s="187">
        <f t="shared" ref="CC111:CE111" si="1388">CC60-(CC102/CC66)-CC74</f>
        <v>1.903148274048696</v>
      </c>
      <c r="CD111" s="186"/>
      <c r="CE111" s="187">
        <f t="shared" si="1388"/>
        <v>1.8815822661379444</v>
      </c>
      <c r="CF111" s="186"/>
      <c r="CG111" s="187">
        <f t="shared" ref="CG111:CI111" si="1389">CG60-(CG102/CG66)-CG74</f>
        <v>1.9090956072351424</v>
      </c>
      <c r="CH111" s="186"/>
      <c r="CI111" s="187">
        <f t="shared" si="1389"/>
        <v>2.0880423615955359</v>
      </c>
      <c r="CJ111" s="186"/>
      <c r="CK111" s="187">
        <f t="shared" ref="CK111" si="1390">CK60-(CK102/CK66)-CK74</f>
        <v>2.1384873528675188</v>
      </c>
      <c r="CL111" s="186"/>
      <c r="CM111" s="187">
        <f t="shared" ref="CM111" si="1391">CM60-(CM102/CM66)-CM74</f>
        <v>1.9116129032258069</v>
      </c>
      <c r="CN111" s="186"/>
      <c r="CO111" s="187">
        <f t="shared" ref="CO111" si="1392">CO60-(CO102/CO66)-CO74</f>
        <v>2.069271208219627</v>
      </c>
      <c r="CP111" s="186"/>
      <c r="CQ111" s="187">
        <f>CQ60-(CQ102/CQ66)-CQ74</f>
        <v>1.7649411027227195</v>
      </c>
      <c r="CR111" s="186"/>
      <c r="CS111" s="187">
        <f>CS60-(CS102/CS66)-CS74</f>
        <v>1.3140078503065826</v>
      </c>
      <c r="CT111" s="186"/>
      <c r="CU111" s="187">
        <f>CU60-(CU102/CU66)-CU74</f>
        <v>1.6843399805661408</v>
      </c>
      <c r="CV111" s="186"/>
      <c r="CW111" s="187">
        <f>CW60-(CW102/CW66)-CW74</f>
        <v>1.7228856749311294</v>
      </c>
      <c r="CX111" s="186"/>
      <c r="CY111" s="187">
        <f>CY60-(CY102/CY66)-CY74</f>
        <v>1.5543694190806896</v>
      </c>
      <c r="CZ111" s="186"/>
      <c r="DA111" s="187">
        <f>DA60-(DA102/DA66)-DA74</f>
        <v>1.6670298190752737</v>
      </c>
      <c r="DB111" s="186"/>
      <c r="DC111" s="187">
        <f>DC60-(DC102/DC66)-DC74</f>
        <v>1.8427881393790484</v>
      </c>
      <c r="DD111" s="186"/>
      <c r="DE111" s="187">
        <f>DE60-(DE102/DE66)-DE74</f>
        <v>1.5895523415977966</v>
      </c>
      <c r="DF111" s="186"/>
      <c r="DG111" s="187">
        <f>DG60-(DG102/DG66)-DG74</f>
        <v>1.5495523415977965</v>
      </c>
    </row>
    <row r="112" spans="1:111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0.31494252873563211</v>
      </c>
      <c r="H112" s="192"/>
      <c r="I112" s="193">
        <f>I111/I67</f>
        <v>0.26984729264003354</v>
      </c>
      <c r="J112" s="192"/>
      <c r="K112" s="193">
        <f>K111/K67</f>
        <v>0.26984729264003354</v>
      </c>
      <c r="L112" s="192"/>
      <c r="M112" s="193">
        <f>M111/M67</f>
        <v>0.26984729264003354</v>
      </c>
      <c r="N112" s="192"/>
      <c r="O112" s="193">
        <f>O111/O67</f>
        <v>0.31778460398631275</v>
      </c>
      <c r="P112" s="192"/>
      <c r="Q112" s="193">
        <f>Q111/Q67</f>
        <v>1.0202472139833558</v>
      </c>
      <c r="R112" s="192"/>
      <c r="S112" s="193">
        <f>S111/S67</f>
        <v>1.0202472139833558</v>
      </c>
      <c r="T112" s="192"/>
      <c r="U112" s="193">
        <f>U111/U67</f>
        <v>0.29848915354710198</v>
      </c>
      <c r="V112" s="192"/>
      <c r="W112" s="193">
        <f>W111/W67</f>
        <v>0.30760314491126189</v>
      </c>
      <c r="X112" s="192"/>
      <c r="Y112" s="193">
        <f>Y111/Y67</f>
        <v>0.28091966629982079</v>
      </c>
      <c r="Z112" s="192"/>
      <c r="AA112" s="193">
        <f>AA111/AA67</f>
        <v>0.21147649700920942</v>
      </c>
      <c r="AB112" s="192"/>
      <c r="AC112" s="193">
        <f>AC111/AC67</f>
        <v>0.22016743145092194</v>
      </c>
      <c r="AD112" s="192"/>
      <c r="AE112" s="193">
        <f>AE111/AE67</f>
        <v>0.26708760907523998</v>
      </c>
      <c r="AF112" s="192"/>
      <c r="AG112" s="193">
        <f>AG111/AG67</f>
        <v>0.28281461830082022</v>
      </c>
      <c r="AH112" s="192"/>
      <c r="AI112" s="193">
        <f>AI111/AI67</f>
        <v>0.30924523686980643</v>
      </c>
      <c r="AJ112" s="192"/>
      <c r="AK112" s="193">
        <f>AK111/AK67</f>
        <v>0.33161332874850596</v>
      </c>
      <c r="AL112" s="192"/>
      <c r="AM112" s="193">
        <f t="shared" ref="AM112" si="1393">AM111/AM67</f>
        <v>0.34451474496712842</v>
      </c>
      <c r="AN112" s="192"/>
      <c r="AO112" s="193">
        <f t="shared" ref="AO112" si="1394">AO111/AO67</f>
        <v>0.33617926817811122</v>
      </c>
      <c r="AP112" s="192"/>
      <c r="AQ112" s="193">
        <f t="shared" ref="AQ112" si="1395">AQ111/AQ67</f>
        <v>0.31499962012297483</v>
      </c>
      <c r="AR112" s="192"/>
      <c r="AS112" s="193">
        <f t="shared" ref="AS112" si="1396">AS111/AS67</f>
        <v>0.30833930009837823</v>
      </c>
      <c r="AT112" s="192"/>
      <c r="AU112" s="193">
        <f t="shared" ref="AU112" si="1397">AU111/AU67</f>
        <v>0.33050646293966723</v>
      </c>
      <c r="AV112" s="192"/>
      <c r="AW112" s="193">
        <f t="shared" ref="AW112" si="1398">AW111/AW67</f>
        <v>0.27333973903740683</v>
      </c>
      <c r="AX112" s="192"/>
      <c r="AY112" s="193">
        <f t="shared" ref="AY112" si="1399">AY111/AY67</f>
        <v>0.2661319881422286</v>
      </c>
      <c r="AZ112" s="192"/>
      <c r="BA112" s="193">
        <f t="shared" ref="BA112:BC112" si="1400">BA111/BA67</f>
        <v>0.2993879901081799</v>
      </c>
      <c r="BB112" s="192"/>
      <c r="BC112" s="193">
        <f t="shared" si="1400"/>
        <v>0.31596343098012036</v>
      </c>
      <c r="BD112" s="192"/>
      <c r="BE112" s="193">
        <f t="shared" ref="BE112:BK112" si="1401">BE111/BE67</f>
        <v>0.3486309994352762</v>
      </c>
      <c r="BF112" s="192"/>
      <c r="BG112" s="193">
        <f t="shared" si="1401"/>
        <v>0.35218115709141851</v>
      </c>
      <c r="BH112" s="192"/>
      <c r="BI112" s="193">
        <f t="shared" si="1401"/>
        <v>0.3669371094537392</v>
      </c>
      <c r="BJ112" s="192"/>
      <c r="BK112" s="193">
        <f t="shared" si="1401"/>
        <v>0.3668891714346259</v>
      </c>
      <c r="BL112" s="192"/>
      <c r="BM112" s="193">
        <f t="shared" ref="BM112:BO112" si="1402">BM111/BM67</f>
        <v>0.3651589817858088</v>
      </c>
      <c r="BN112" s="192"/>
      <c r="BO112" s="193">
        <f t="shared" si="1402"/>
        <v>0.34022263641229566</v>
      </c>
      <c r="BP112" s="192"/>
      <c r="BQ112" s="193">
        <f t="shared" ref="BQ112:BS112" si="1403">BQ111/BQ67</f>
        <v>0.34087645625561552</v>
      </c>
      <c r="BR112" s="192"/>
      <c r="BS112" s="193">
        <f t="shared" si="1403"/>
        <v>0.35184900888776777</v>
      </c>
      <c r="BT112" s="192"/>
      <c r="BU112" s="193">
        <f t="shared" ref="BU112:BW112" si="1404">BU111/BU67</f>
        <v>0.35285590380658693</v>
      </c>
      <c r="BV112" s="192"/>
      <c r="BW112" s="193">
        <f t="shared" si="1404"/>
        <v>0.34823609747272566</v>
      </c>
      <c r="BX112" s="192"/>
      <c r="BY112" s="193">
        <f t="shared" ref="BY112:CA112" si="1405">BY111/BY67</f>
        <v>0.3579131069418916</v>
      </c>
      <c r="BZ112" s="192"/>
      <c r="CA112" s="193">
        <f t="shared" si="1405"/>
        <v>0.33219916340472605</v>
      </c>
      <c r="CB112" s="192"/>
      <c r="CC112" s="193">
        <f t="shared" ref="CC112:CE112" si="1406">CC111/CC67</f>
        <v>0.32532449129037538</v>
      </c>
      <c r="CD112" s="192"/>
      <c r="CE112" s="193">
        <f t="shared" si="1406"/>
        <v>0.32163799421161443</v>
      </c>
      <c r="CF112" s="192"/>
      <c r="CG112" s="193">
        <f t="shared" ref="CG112:CI112" si="1407">CG111/CG67</f>
        <v>0.32634112944190463</v>
      </c>
      <c r="CH112" s="192"/>
      <c r="CI112" s="193">
        <f t="shared" si="1407"/>
        <v>0.3569303182214591</v>
      </c>
      <c r="CJ112" s="192"/>
      <c r="CK112" s="193">
        <f t="shared" ref="CK112" si="1408">CK111/CK67</f>
        <v>0.36555339365256728</v>
      </c>
      <c r="CL112" s="192"/>
      <c r="CM112" s="193">
        <f t="shared" ref="CM112" si="1409">CM111/CM67</f>
        <v>0.32677143644885587</v>
      </c>
      <c r="CN112" s="192"/>
      <c r="CO112" s="193">
        <f t="shared" ref="CO112" si="1410">CO111/CO67</f>
        <v>0.35372157405463706</v>
      </c>
      <c r="CP112" s="192"/>
      <c r="CQ112" s="193">
        <f>CQ111/CQ67</f>
        <v>0.30867666980978414</v>
      </c>
      <c r="CR112" s="192"/>
      <c r="CS112" s="193">
        <f>CS111/CS67</f>
        <v>0.22892122827640812</v>
      </c>
      <c r="CT112" s="192"/>
      <c r="CU112" s="193">
        <f>CU111/CU67</f>
        <v>0.2934390210045541</v>
      </c>
      <c r="CV112" s="192"/>
      <c r="CW112" s="193">
        <f>CW111/CW67</f>
        <v>0.30015429876848942</v>
      </c>
      <c r="CX112" s="192"/>
      <c r="CY112" s="193">
        <f>CY111/CY67</f>
        <v>0.27135639854002291</v>
      </c>
      <c r="CZ112" s="192"/>
      <c r="DA112" s="193">
        <f>DA111/DA67</f>
        <v>0.29042331342774802</v>
      </c>
      <c r="DB112" s="192"/>
      <c r="DC112" s="193">
        <f>DC111/DC67</f>
        <v>0.29484610230064773</v>
      </c>
      <c r="DD112" s="192"/>
      <c r="DE112" s="193">
        <f>DE111/DE67</f>
        <v>0.27692549505188091</v>
      </c>
      <c r="DF112" s="192"/>
      <c r="DG112" s="193">
        <f>DG111/DG67</f>
        <v>0.26995685393689833</v>
      </c>
    </row>
    <row r="113" spans="1:111" s="4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173"/>
      <c r="BY113" s="165"/>
      <c r="BZ113" s="173"/>
      <c r="CA113" s="165"/>
      <c r="CB113" s="173"/>
      <c r="CC113" s="165"/>
      <c r="CD113" s="173"/>
      <c r="CE113" s="165"/>
      <c r="CF113" s="173"/>
      <c r="CG113" s="165"/>
      <c r="CH113" s="173"/>
      <c r="CI113" s="165"/>
      <c r="CJ113" s="173"/>
      <c r="CK113" s="165"/>
      <c r="CL113" s="173"/>
      <c r="CM113" s="165"/>
      <c r="CN113" s="173"/>
      <c r="CO113" s="165"/>
      <c r="CP113" s="173"/>
      <c r="CQ113" s="165"/>
      <c r="CR113" s="173"/>
      <c r="CS113" s="165"/>
      <c r="CT113" s="173"/>
      <c r="CU113" s="165"/>
      <c r="CV113" s="173"/>
      <c r="CW113" s="165"/>
      <c r="CX113" s="173"/>
      <c r="CY113" s="165"/>
      <c r="CZ113" s="173"/>
      <c r="DA113" s="165"/>
      <c r="DB113" s="173"/>
      <c r="DC113" s="165"/>
      <c r="DD113" s="173"/>
      <c r="DE113" s="165"/>
      <c r="DF113" s="173"/>
      <c r="DG113" s="165"/>
    </row>
    <row r="114" spans="1:111" s="65" customFormat="1" ht="18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457.52161079485558</v>
      </c>
      <c r="H114" s="202" t="s">
        <v>111</v>
      </c>
      <c r="I114" s="203">
        <f>I116/I79</f>
        <v>457.52161079485558</v>
      </c>
      <c r="J114" s="202" t="s">
        <v>111</v>
      </c>
      <c r="K114" s="203">
        <f>K116/K79</f>
        <v>457.52161079485558</v>
      </c>
      <c r="L114" s="202" t="s">
        <v>111</v>
      </c>
      <c r="M114" s="203">
        <f>M116/M79</f>
        <v>457.52161079485558</v>
      </c>
      <c r="N114" s="202" t="s">
        <v>111</v>
      </c>
      <c r="O114" s="203">
        <f>O116/O79</f>
        <v>454.87996370995876</v>
      </c>
      <c r="P114" s="202" t="s">
        <v>111</v>
      </c>
      <c r="Q114" s="203">
        <f>Q116/Q79</f>
        <v>457.42253521126759</v>
      </c>
      <c r="R114" s="202" t="s">
        <v>111</v>
      </c>
      <c r="S114" s="203">
        <f>S116/S79</f>
        <v>457.42253521126759</v>
      </c>
      <c r="T114" s="202" t="s">
        <v>111</v>
      </c>
      <c r="U114" s="203">
        <f>U116/U79</f>
        <v>454.41196962307527</v>
      </c>
      <c r="V114" s="202" t="s">
        <v>111</v>
      </c>
      <c r="W114" s="203">
        <f>W116/W79</f>
        <v>454.52882135638112</v>
      </c>
      <c r="X114" s="202" t="s">
        <v>111</v>
      </c>
      <c r="Y114" s="203">
        <f>Y116/Y79</f>
        <v>454.13969513468356</v>
      </c>
      <c r="Z114" s="202" t="s">
        <v>111</v>
      </c>
      <c r="AA114" s="203">
        <f>AA116/AA79</f>
        <v>449.36546486967222</v>
      </c>
      <c r="AB114" s="202" t="s">
        <v>111</v>
      </c>
      <c r="AC114" s="203">
        <f>AC116/AC79</f>
        <v>448.31833980781028</v>
      </c>
      <c r="AD114" s="202" t="s">
        <v>111</v>
      </c>
      <c r="AE114" s="203">
        <f>AE116/AE79</f>
        <v>442.73482876026429</v>
      </c>
      <c r="AF114" s="202" t="s">
        <v>111</v>
      </c>
      <c r="AG114" s="203">
        <f>AG116/AG79</f>
        <v>445.00605938194303</v>
      </c>
      <c r="AH114" s="202" t="s">
        <v>111</v>
      </c>
      <c r="AI114" s="203">
        <f>AI116/AI79</f>
        <v>441.70213473432193</v>
      </c>
      <c r="AJ114" s="202" t="s">
        <v>111</v>
      </c>
      <c r="AK114" s="203">
        <f>AK116/AK79</f>
        <v>435.11155791931503</v>
      </c>
      <c r="AL114" s="202" t="s">
        <v>111</v>
      </c>
      <c r="AM114" s="203">
        <f t="shared" ref="AM114" si="1411">AM116/AM79</f>
        <v>431.33748801534034</v>
      </c>
      <c r="AN114" s="202" t="s">
        <v>111</v>
      </c>
      <c r="AO114" s="203">
        <f t="shared" ref="AO114:AQ114" si="1412">AO116/AO79</f>
        <v>431.69845740254749</v>
      </c>
      <c r="AP114" s="202" t="s">
        <v>111</v>
      </c>
      <c r="AQ114" s="203">
        <f t="shared" si="1412"/>
        <v>436.58763290065872</v>
      </c>
      <c r="AR114" s="202" t="s">
        <v>111</v>
      </c>
      <c r="AS114" s="203">
        <f t="shared" ref="AS114" si="1413">AS116/AS79</f>
        <v>440.74779670001988</v>
      </c>
      <c r="AT114" s="202" t="s">
        <v>111</v>
      </c>
      <c r="AU114" s="203">
        <f t="shared" ref="AU114" si="1414">AU116/AU79</f>
        <v>437.54664484451717</v>
      </c>
      <c r="AV114" s="202" t="s">
        <v>111</v>
      </c>
      <c r="AW114" s="203">
        <f t="shared" ref="AW114" si="1415">AW116/AW79</f>
        <v>444.93336474389179</v>
      </c>
      <c r="AX114" s="202" t="s">
        <v>111</v>
      </c>
      <c r="AY114" s="203">
        <f t="shared" ref="AY114" si="1416">AY116/AY79</f>
        <v>446.32129084635682</v>
      </c>
      <c r="AZ114" s="202" t="s">
        <v>111</v>
      </c>
      <c r="BA114" s="203">
        <f t="shared" ref="BA114:BC114" si="1417">BA116/BA79</f>
        <v>443.59553948161545</v>
      </c>
      <c r="BB114" s="202" t="s">
        <v>111</v>
      </c>
      <c r="BC114" s="203">
        <f t="shared" si="1417"/>
        <v>441.93290734824274</v>
      </c>
      <c r="BD114" s="202" t="s">
        <v>111</v>
      </c>
      <c r="BE114" s="203">
        <f t="shared" ref="BE114:BK114" si="1418">BE116/BE79</f>
        <v>438.21869257022837</v>
      </c>
      <c r="BF114" s="202" t="s">
        <v>111</v>
      </c>
      <c r="BG114" s="203">
        <f t="shared" si="1418"/>
        <v>436.51940006521022</v>
      </c>
      <c r="BH114" s="202" t="s">
        <v>111</v>
      </c>
      <c r="BI114" s="203">
        <f t="shared" si="1418"/>
        <v>430.22815503086611</v>
      </c>
      <c r="BJ114" s="202" t="s">
        <v>111</v>
      </c>
      <c r="BK114" s="203">
        <f t="shared" si="1418"/>
        <v>430.61858627063549</v>
      </c>
      <c r="BL114" s="202" t="s">
        <v>111</v>
      </c>
      <c r="BM114" s="203">
        <f t="shared" ref="BM114:BO114" si="1419">BM116/BM79</f>
        <v>433.40206185567013</v>
      </c>
      <c r="BN114" s="202" t="s">
        <v>111</v>
      </c>
      <c r="BO114" s="203">
        <f t="shared" si="1419"/>
        <v>432.37389295340779</v>
      </c>
      <c r="BP114" s="202" t="s">
        <v>111</v>
      </c>
      <c r="BQ114" s="203">
        <f t="shared" ref="BQ114:BS114" si="1420">BQ116/BQ79</f>
        <v>430.42322145086297</v>
      </c>
      <c r="BR114" s="202" t="s">
        <v>111</v>
      </c>
      <c r="BS114" s="203">
        <f t="shared" si="1420"/>
        <v>430.73268715725027</v>
      </c>
      <c r="BT114" s="202" t="s">
        <v>111</v>
      </c>
      <c r="BU114" s="203">
        <f t="shared" ref="BU114:BW114" si="1421">BU116/BU79</f>
        <v>424.63585434173672</v>
      </c>
      <c r="BV114" s="202" t="s">
        <v>111</v>
      </c>
      <c r="BW114" s="203">
        <f t="shared" si="1421"/>
        <v>424.44952416495613</v>
      </c>
      <c r="BX114" s="202" t="s">
        <v>111</v>
      </c>
      <c r="BY114" s="203">
        <f t="shared" ref="BY114:CA114" si="1422">BY116/BY79</f>
        <v>421.23319211641183</v>
      </c>
      <c r="BZ114" s="202" t="s">
        <v>111</v>
      </c>
      <c r="CA114" s="203">
        <f t="shared" si="1422"/>
        <v>421.58140678799805</v>
      </c>
      <c r="CB114" s="202" t="s">
        <v>111</v>
      </c>
      <c r="CC114" s="203">
        <f t="shared" ref="CC114:CE114" si="1423">CC116/CC79</f>
        <v>426.16803407026987</v>
      </c>
      <c r="CD114" s="202" t="s">
        <v>111</v>
      </c>
      <c r="CE114" s="203">
        <f t="shared" si="1423"/>
        <v>436.32743938113504</v>
      </c>
      <c r="CF114" s="202" t="s">
        <v>111</v>
      </c>
      <c r="CG114" s="203">
        <f t="shared" ref="CG114:CI114" si="1424">CG116/CG79</f>
        <v>434.68992248062017</v>
      </c>
      <c r="CH114" s="202" t="s">
        <v>111</v>
      </c>
      <c r="CI114" s="203">
        <f t="shared" si="1424"/>
        <v>429.93055995941404</v>
      </c>
      <c r="CJ114" s="202" t="s">
        <v>111</v>
      </c>
      <c r="CK114" s="203">
        <f t="shared" ref="CK114" si="1425">CK116/CK79</f>
        <v>426.69045830202856</v>
      </c>
      <c r="CL114" s="202" t="s">
        <v>111</v>
      </c>
      <c r="CM114" s="203">
        <f t="shared" ref="CM114" si="1426">CM116/CM79</f>
        <v>434.35483870967744</v>
      </c>
      <c r="CN114" s="202" t="s">
        <v>111</v>
      </c>
      <c r="CO114" s="203">
        <f t="shared" ref="CO114" si="1427">CO116/CO79</f>
        <v>430.73268715725027</v>
      </c>
      <c r="CP114" s="202" t="s">
        <v>111</v>
      </c>
      <c r="CQ114" s="203">
        <f>CQ116/CQ79</f>
        <v>454.63377154166733</v>
      </c>
      <c r="CR114" s="202" t="s">
        <v>111</v>
      </c>
      <c r="CS114" s="203">
        <f>CS116/CS79</f>
        <v>449.66187076385751</v>
      </c>
      <c r="CT114" s="202" t="s">
        <v>111</v>
      </c>
      <c r="CU114" s="203">
        <f>CU116/CU79</f>
        <v>441.70213473432193</v>
      </c>
      <c r="CV114" s="202" t="s">
        <v>111</v>
      </c>
      <c r="CW114" s="203">
        <f>CW116/CW79</f>
        <v>442.35999999999996</v>
      </c>
      <c r="CX114" s="202" t="s">
        <v>111</v>
      </c>
      <c r="CY114" s="203">
        <f>CY116/CY79</f>
        <v>452.3121123514282</v>
      </c>
      <c r="CZ114" s="202" t="s">
        <v>111</v>
      </c>
      <c r="DA114" s="203">
        <f>DA116/DA79</f>
        <v>445.97297297297297</v>
      </c>
      <c r="DB114" s="202" t="s">
        <v>111</v>
      </c>
      <c r="DC114" s="203">
        <f>DC116/DC79</f>
        <v>445.97297297297297</v>
      </c>
      <c r="DD114" s="202" t="s">
        <v>111</v>
      </c>
      <c r="DE114" s="203">
        <f>DE116/DE79</f>
        <v>442.35999999999996</v>
      </c>
      <c r="DF114" s="202" t="s">
        <v>111</v>
      </c>
      <c r="DG114" s="203">
        <f>DG116/DG79</f>
        <v>442.35999999999996</v>
      </c>
    </row>
    <row r="115" spans="1:111" s="65" customFormat="1" ht="18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0.1143804026987139</v>
      </c>
      <c r="H115" s="202" t="s">
        <v>111</v>
      </c>
      <c r="I115" s="203">
        <f>I114/I66</f>
        <v>0.1143804026987139</v>
      </c>
      <c r="J115" s="202" t="s">
        <v>111</v>
      </c>
      <c r="K115" s="203">
        <f>K114/K66</f>
        <v>0.1143804026987139</v>
      </c>
      <c r="L115" s="202" t="s">
        <v>111</v>
      </c>
      <c r="M115" s="203">
        <f>M114/M66</f>
        <v>0.1143804026987139</v>
      </c>
      <c r="N115" s="202" t="s">
        <v>111</v>
      </c>
      <c r="O115" s="203">
        <f>O114/O66</f>
        <v>0.11747932947054721</v>
      </c>
      <c r="P115" s="202" t="s">
        <v>111</v>
      </c>
      <c r="Q115" s="203">
        <f>Q114/Q66</f>
        <v>0.11813598533348853</v>
      </c>
      <c r="R115" s="202" t="s">
        <v>111</v>
      </c>
      <c r="S115" s="203">
        <f>S114/S66</f>
        <v>0.11813598533348853</v>
      </c>
      <c r="T115" s="202" t="s">
        <v>111</v>
      </c>
      <c r="U115" s="203">
        <f>U114/U66</f>
        <v>0.11735846322910001</v>
      </c>
      <c r="V115" s="202" t="s">
        <v>111</v>
      </c>
      <c r="W115" s="203">
        <f>W114/W66</f>
        <v>0.11738864187923066</v>
      </c>
      <c r="X115" s="202" t="s">
        <v>111</v>
      </c>
      <c r="Y115" s="203">
        <f>Y114/Y66</f>
        <v>0.11728814440461868</v>
      </c>
      <c r="Z115" s="202" t="s">
        <v>111</v>
      </c>
      <c r="AA115" s="203">
        <f>AA114/AA66</f>
        <v>0.11605513038989469</v>
      </c>
      <c r="AB115" s="202" t="s">
        <v>111</v>
      </c>
      <c r="AC115" s="203">
        <f>AC114/AC66</f>
        <v>0.11578469519829811</v>
      </c>
      <c r="AD115" s="202" t="s">
        <v>111</v>
      </c>
      <c r="AE115" s="203">
        <f>AE114/AE66</f>
        <v>0.1143426727170104</v>
      </c>
      <c r="AF115" s="202" t="s">
        <v>111</v>
      </c>
      <c r="AG115" s="203">
        <f>AG114/AG66</f>
        <v>0.1149292508734357</v>
      </c>
      <c r="AH115" s="202" t="s">
        <v>111</v>
      </c>
      <c r="AI115" s="203">
        <f>AI114/AI66</f>
        <v>0.11407596454915339</v>
      </c>
      <c r="AJ115" s="202" t="s">
        <v>111</v>
      </c>
      <c r="AK115" s="203">
        <f>AK114/AK66</f>
        <v>0.11237385276841814</v>
      </c>
      <c r="AL115" s="202" t="s">
        <v>111</v>
      </c>
      <c r="AM115" s="203">
        <f t="shared" ref="AM115" si="1428">AM114/AM66</f>
        <v>0.11139914463206103</v>
      </c>
      <c r="AN115" s="202" t="s">
        <v>111</v>
      </c>
      <c r="AO115" s="203">
        <f t="shared" ref="AO115" si="1429">AO114/AO66</f>
        <v>0.11149237019693892</v>
      </c>
      <c r="AP115" s="202" t="s">
        <v>111</v>
      </c>
      <c r="AQ115" s="203">
        <f t="shared" ref="AQ115" si="1430">AQ114/AQ66</f>
        <v>0.11275507048054202</v>
      </c>
      <c r="AR115" s="202" t="s">
        <v>111</v>
      </c>
      <c r="AS115" s="203">
        <f t="shared" ref="AS115" si="1431">AS114/AS66</f>
        <v>0.1138294929493853</v>
      </c>
      <c r="AT115" s="202" t="s">
        <v>111</v>
      </c>
      <c r="AU115" s="203">
        <f t="shared" ref="AU115" si="1432">AU114/AU66</f>
        <v>0.11300274918505092</v>
      </c>
      <c r="AV115" s="202" t="s">
        <v>111</v>
      </c>
      <c r="AW115" s="203">
        <f t="shared" ref="AW115" si="1433">AW114/AW66</f>
        <v>0.11491047643179024</v>
      </c>
      <c r="AX115" s="202" t="s">
        <v>111</v>
      </c>
      <c r="AY115" s="203">
        <f t="shared" ref="AY115" si="1434">AY114/AY66</f>
        <v>0.11526892842106323</v>
      </c>
      <c r="AZ115" s="202" t="s">
        <v>111</v>
      </c>
      <c r="BA115" s="203">
        <f t="shared" ref="BA115:BC115" si="1435">BA114/BA66</f>
        <v>0.1145649637090949</v>
      </c>
      <c r="BB115" s="202" t="s">
        <v>111</v>
      </c>
      <c r="BC115" s="203">
        <f t="shared" si="1435"/>
        <v>0.11413556491431889</v>
      </c>
      <c r="BD115" s="202" t="s">
        <v>111</v>
      </c>
      <c r="BE115" s="203">
        <f t="shared" ref="BE115:BK115" si="1436">BE114/BE66</f>
        <v>0.11317631522991435</v>
      </c>
      <c r="BF115" s="202" t="s">
        <v>111</v>
      </c>
      <c r="BG115" s="203">
        <f t="shared" si="1436"/>
        <v>0.11273744836394892</v>
      </c>
      <c r="BH115" s="202" t="s">
        <v>111</v>
      </c>
      <c r="BI115" s="203">
        <f t="shared" si="1436"/>
        <v>0.11111264334474848</v>
      </c>
      <c r="BJ115" s="202" t="s">
        <v>111</v>
      </c>
      <c r="BK115" s="203">
        <f t="shared" si="1436"/>
        <v>0.11121347785915173</v>
      </c>
      <c r="BL115" s="202" t="s">
        <v>111</v>
      </c>
      <c r="BM115" s="203">
        <f t="shared" ref="BM115:BO115" si="1437">BM114/BM66</f>
        <v>0.11193235068586521</v>
      </c>
      <c r="BN115" s="202" t="s">
        <v>111</v>
      </c>
      <c r="BO115" s="203">
        <f t="shared" si="1437"/>
        <v>0.11166681119664458</v>
      </c>
      <c r="BP115" s="202" t="s">
        <v>111</v>
      </c>
      <c r="BQ115" s="203">
        <f t="shared" ref="BQ115:BS115" si="1438">BQ114/BQ66</f>
        <v>0.11116302206892122</v>
      </c>
      <c r="BR115" s="202" t="s">
        <v>111</v>
      </c>
      <c r="BS115" s="203">
        <f t="shared" si="1438"/>
        <v>0.11124294606333943</v>
      </c>
      <c r="BT115" s="202" t="s">
        <v>111</v>
      </c>
      <c r="BU115" s="203">
        <f t="shared" ref="BU115:BW115" si="1439">BU114/BU66</f>
        <v>0.10966835081139895</v>
      </c>
      <c r="BV115" s="202" t="s">
        <v>111</v>
      </c>
      <c r="BW115" s="203">
        <f t="shared" si="1439"/>
        <v>0.10962022834838743</v>
      </c>
      <c r="BX115" s="202" t="s">
        <v>111</v>
      </c>
      <c r="BY115" s="203">
        <f t="shared" ref="BY115:CA115" si="1440">BY114/BY66</f>
        <v>0.10878956407965182</v>
      </c>
      <c r="BZ115" s="202" t="s">
        <v>111</v>
      </c>
      <c r="CA115" s="203">
        <f t="shared" si="1440"/>
        <v>0.10887949555475156</v>
      </c>
      <c r="CB115" s="202" t="s">
        <v>111</v>
      </c>
      <c r="CC115" s="203">
        <f t="shared" ref="CC115:CE115" si="1441">CC114/CC66</f>
        <v>0.1100640583859168</v>
      </c>
      <c r="CD115" s="202" t="s">
        <v>111</v>
      </c>
      <c r="CE115" s="203">
        <f t="shared" si="1441"/>
        <v>0.10908185984528376</v>
      </c>
      <c r="CF115" s="202" t="s">
        <v>111</v>
      </c>
      <c r="CG115" s="203">
        <f t="shared" ref="CG115:CI115" si="1442">CG114/CG66</f>
        <v>0.10867248062015504</v>
      </c>
      <c r="CH115" s="202" t="s">
        <v>111</v>
      </c>
      <c r="CI115" s="203">
        <f t="shared" si="1442"/>
        <v>0.10748263998985351</v>
      </c>
      <c r="CJ115" s="202" t="s">
        <v>111</v>
      </c>
      <c r="CK115" s="203">
        <f t="shared" ref="CK115" si="1443">CK114/CK66</f>
        <v>0.10667261457550714</v>
      </c>
      <c r="CL115" s="202" t="s">
        <v>111</v>
      </c>
      <c r="CM115" s="203">
        <f t="shared" ref="CM115" si="1444">CM114/CM66</f>
        <v>0.10858870967741936</v>
      </c>
      <c r="CN115" s="202" t="s">
        <v>111</v>
      </c>
      <c r="CO115" s="203">
        <f t="shared" ref="CO115" si="1445">CO114/CO66</f>
        <v>0.11124294606333943</v>
      </c>
      <c r="CP115" s="202" t="s">
        <v>111</v>
      </c>
      <c r="CQ115" s="203">
        <f>CQ114/CQ66</f>
        <v>0.11741574678245541</v>
      </c>
      <c r="CR115" s="202" t="s">
        <v>111</v>
      </c>
      <c r="CS115" s="203">
        <f>CS114/CS66</f>
        <v>0.11613168149893015</v>
      </c>
      <c r="CT115" s="202" t="s">
        <v>111</v>
      </c>
      <c r="CU115" s="203">
        <f>CU114/CU66</f>
        <v>0.11407596454915339</v>
      </c>
      <c r="CV115" s="202" t="s">
        <v>111</v>
      </c>
      <c r="CW115" s="203">
        <f>CW114/CW66</f>
        <v>0.11424586776859504</v>
      </c>
      <c r="CX115" s="202" t="s">
        <v>111</v>
      </c>
      <c r="CY115" s="203">
        <f>CY114/CY66</f>
        <v>0.11681614471886059</v>
      </c>
      <c r="CZ115" s="202" t="s">
        <v>111</v>
      </c>
      <c r="DA115" s="203">
        <f>DA114/DA66</f>
        <v>0.11517897029260665</v>
      </c>
      <c r="DB115" s="202" t="s">
        <v>111</v>
      </c>
      <c r="DC115" s="203">
        <f>DC114/DC66</f>
        <v>0.11517897029260665</v>
      </c>
      <c r="DD115" s="202" t="s">
        <v>111</v>
      </c>
      <c r="DE115" s="203">
        <f>DE114/DE66</f>
        <v>0.11424586776859504</v>
      </c>
      <c r="DF115" s="202" t="s">
        <v>111</v>
      </c>
      <c r="DG115" s="203">
        <f>DG114/DG66</f>
        <v>0.11424586776859504</v>
      </c>
    </row>
    <row r="116" spans="1:111" s="65" customFormat="1" ht="18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6510075</v>
      </c>
      <c r="H116" s="202" t="s">
        <v>114</v>
      </c>
      <c r="I116" s="204">
        <f>I117*I66</f>
        <v>6510075</v>
      </c>
      <c r="J116" s="202" t="s">
        <v>114</v>
      </c>
      <c r="K116" s="204">
        <f>K117*K66</f>
        <v>6510075</v>
      </c>
      <c r="L116" s="202" t="s">
        <v>114</v>
      </c>
      <c r="M116" s="204">
        <f>M117*M66</f>
        <v>6510075</v>
      </c>
      <c r="N116" s="202" t="s">
        <v>114</v>
      </c>
      <c r="O116" s="204">
        <f>O117*O66</f>
        <v>6517974.9999999991</v>
      </c>
      <c r="P116" s="202" t="s">
        <v>114</v>
      </c>
      <c r="Q116" s="204">
        <f>Q117*Q66</f>
        <v>6495400</v>
      </c>
      <c r="R116" s="202" t="s">
        <v>114</v>
      </c>
      <c r="S116" s="204">
        <f>S117*S66</f>
        <v>6495400</v>
      </c>
      <c r="T116" s="202" t="s">
        <v>114</v>
      </c>
      <c r="U116" s="204">
        <f>U117*U66</f>
        <v>6522174.9999999991</v>
      </c>
      <c r="V116" s="202" t="s">
        <v>114</v>
      </c>
      <c r="W116" s="204">
        <f>W117*W66</f>
        <v>6521125</v>
      </c>
      <c r="X116" s="202" t="s">
        <v>114</v>
      </c>
      <c r="Y116" s="204">
        <f>Y117*Y66</f>
        <v>6524624.9999999991</v>
      </c>
      <c r="Z116" s="202" t="s">
        <v>114</v>
      </c>
      <c r="AA116" s="204">
        <f>AA117*AA66</f>
        <v>6568374.9999999991</v>
      </c>
      <c r="AB116" s="202" t="s">
        <v>114</v>
      </c>
      <c r="AC116" s="204">
        <f>AC117*AC66</f>
        <v>6578175</v>
      </c>
      <c r="AD116" s="202" t="s">
        <v>114</v>
      </c>
      <c r="AE116" s="204">
        <f>AE117*AE66</f>
        <v>6631724.9999999991</v>
      </c>
      <c r="AF116" s="202" t="s">
        <v>114</v>
      </c>
      <c r="AG116" s="204">
        <f>AG117*AG66</f>
        <v>6609675</v>
      </c>
      <c r="AH116" s="202" t="s">
        <v>114</v>
      </c>
      <c r="AI116" s="204">
        <f>AI117*AI66</f>
        <v>6641874.9999999991</v>
      </c>
      <c r="AJ116" s="202" t="s">
        <v>114</v>
      </c>
      <c r="AK116" s="204">
        <f>AK117*AK66</f>
        <v>6708549.9999999991</v>
      </c>
      <c r="AL116" s="202" t="s">
        <v>114</v>
      </c>
      <c r="AM116" s="204">
        <f t="shared" ref="AM116" si="1446">AM117*AM66</f>
        <v>6748275</v>
      </c>
      <c r="AN116" s="202" t="s">
        <v>114</v>
      </c>
      <c r="AO116" s="204">
        <f t="shared" ref="AO116" si="1447">AO117*AO66</f>
        <v>6744424.9999999991</v>
      </c>
      <c r="AP116" s="202" t="s">
        <v>114</v>
      </c>
      <c r="AQ116" s="204">
        <f t="shared" ref="AQ116" si="1448">AQ117*AQ66</f>
        <v>6693324.9999999991</v>
      </c>
      <c r="AR116" s="202" t="s">
        <v>114</v>
      </c>
      <c r="AS116" s="204">
        <f t="shared" ref="AS116" si="1449">AS117*AS66</f>
        <v>6651325</v>
      </c>
      <c r="AT116" s="202" t="s">
        <v>114</v>
      </c>
      <c r="AU116" s="204">
        <f t="shared" ref="AU116" si="1450">AU117*AU66</f>
        <v>6683525</v>
      </c>
      <c r="AV116" s="202" t="s">
        <v>114</v>
      </c>
      <c r="AW116" s="204">
        <f t="shared" ref="AW116" si="1451">AW117*AW66</f>
        <v>6610375</v>
      </c>
      <c r="AX116" s="202" t="s">
        <v>114</v>
      </c>
      <c r="AY116" s="204">
        <f t="shared" ref="AY116" si="1452">AY117*AY66</f>
        <v>6597075</v>
      </c>
      <c r="AZ116" s="202" t="s">
        <v>114</v>
      </c>
      <c r="BA116" s="204">
        <f t="shared" ref="BA116:BC116" si="1453">BA117*BA66</f>
        <v>6623325</v>
      </c>
      <c r="BB116" s="202" t="s">
        <v>114</v>
      </c>
      <c r="BC116" s="204">
        <f t="shared" si="1453"/>
        <v>6639599.9999999991</v>
      </c>
      <c r="BD116" s="202" t="s">
        <v>114</v>
      </c>
      <c r="BE116" s="204">
        <f t="shared" ref="BE116:BK116" si="1454">BE117*BE66</f>
        <v>6676699.9999999991</v>
      </c>
      <c r="BF116" s="202" t="s">
        <v>114</v>
      </c>
      <c r="BG116" s="204">
        <f t="shared" si="1454"/>
        <v>6694024.9999999991</v>
      </c>
      <c r="BH116" s="202" t="s">
        <v>114</v>
      </c>
      <c r="BI116" s="204">
        <f t="shared" si="1454"/>
        <v>6760174.9999999991</v>
      </c>
      <c r="BJ116" s="202" t="s">
        <v>114</v>
      </c>
      <c r="BK116" s="204">
        <f t="shared" si="1454"/>
        <v>6755975</v>
      </c>
      <c r="BL116" s="202" t="s">
        <v>114</v>
      </c>
      <c r="BM116" s="204">
        <f t="shared" ref="BM116:BO116" si="1455">BM117*BM66</f>
        <v>6726400</v>
      </c>
      <c r="BN116" s="202" t="s">
        <v>114</v>
      </c>
      <c r="BO116" s="204">
        <f t="shared" si="1455"/>
        <v>6737250</v>
      </c>
      <c r="BP116" s="202" t="s">
        <v>114</v>
      </c>
      <c r="BQ116" s="204">
        <f t="shared" ref="BQ116:BS116" si="1456">BQ117*BQ66</f>
        <v>6758074.9999999991</v>
      </c>
      <c r="BR116" s="202" t="s">
        <v>114</v>
      </c>
      <c r="BS116" s="204">
        <f t="shared" si="1456"/>
        <v>6754749.9999999991</v>
      </c>
      <c r="BT116" s="202" t="s">
        <v>114</v>
      </c>
      <c r="BU116" s="204">
        <f t="shared" ref="BU116:BW116" si="1457">BU117*BU66</f>
        <v>6821775</v>
      </c>
      <c r="BV116" s="202" t="s">
        <v>114</v>
      </c>
      <c r="BW116" s="204">
        <f t="shared" si="1457"/>
        <v>6823875</v>
      </c>
      <c r="BX116" s="202" t="s">
        <v>114</v>
      </c>
      <c r="BY116" s="204">
        <f t="shared" ref="BY116:CA116" si="1458">BY117*BY66</f>
        <v>6860624.9999999991</v>
      </c>
      <c r="BZ116" s="202" t="s">
        <v>114</v>
      </c>
      <c r="CA116" s="204">
        <f t="shared" si="1458"/>
        <v>6856600</v>
      </c>
      <c r="CB116" s="202" t="s">
        <v>114</v>
      </c>
      <c r="CC116" s="204">
        <f t="shared" ref="CC116:CE116" si="1459">CC117*CC66</f>
        <v>6804624.9999999991</v>
      </c>
      <c r="CD116" s="202" t="s">
        <v>114</v>
      </c>
      <c r="CE116" s="204">
        <f t="shared" si="1459"/>
        <v>6712025</v>
      </c>
      <c r="CF116" s="202" t="s">
        <v>114</v>
      </c>
      <c r="CG116" s="204">
        <f t="shared" ref="CG116:CI116" si="1460">CG117*CG66</f>
        <v>6729000</v>
      </c>
      <c r="CH116" s="202" t="s">
        <v>114</v>
      </c>
      <c r="CI116" s="204">
        <f t="shared" si="1460"/>
        <v>6779575</v>
      </c>
      <c r="CJ116" s="202" t="s">
        <v>114</v>
      </c>
      <c r="CK116" s="204">
        <f t="shared" ref="CK116" si="1461">CK117*CK66</f>
        <v>6815100</v>
      </c>
      <c r="CL116" s="202" t="s">
        <v>114</v>
      </c>
      <c r="CM116" s="204">
        <f t="shared" ref="CM116" si="1462">CM117*CM66</f>
        <v>6732500</v>
      </c>
      <c r="CN116" s="202" t="s">
        <v>114</v>
      </c>
      <c r="CO116" s="204">
        <f t="shared" ref="CO116" si="1463">CO117*CO66</f>
        <v>6754749.9999999991</v>
      </c>
      <c r="CP116" s="202" t="s">
        <v>114</v>
      </c>
      <c r="CQ116" s="204">
        <f>CQ117*CQ66</f>
        <v>6520182.692307692</v>
      </c>
      <c r="CR116" s="202" t="s">
        <v>114</v>
      </c>
      <c r="CS116" s="204">
        <f>CS117*CS66</f>
        <v>6565614.51903091</v>
      </c>
      <c r="CT116" s="202" t="s">
        <v>114</v>
      </c>
      <c r="CU116" s="204">
        <f>CU117*CU66</f>
        <v>6641874.9999999991</v>
      </c>
      <c r="CV116" s="202" t="s">
        <v>114</v>
      </c>
      <c r="CW116" s="204">
        <f>CW117*CW66</f>
        <v>6635399.9999999991</v>
      </c>
      <c r="CX116" s="202" t="s">
        <v>114</v>
      </c>
      <c r="CY116" s="204">
        <f>CY117*CY66</f>
        <v>6541194.6127885217</v>
      </c>
      <c r="CZ116" s="202" t="s">
        <v>114</v>
      </c>
      <c r="DA116" s="204">
        <f>DA117*DA66</f>
        <v>6600400</v>
      </c>
      <c r="DB116" s="202" t="s">
        <v>114</v>
      </c>
      <c r="DC116" s="204">
        <f>DC117*DC66</f>
        <v>6600400</v>
      </c>
      <c r="DD116" s="202" t="s">
        <v>114</v>
      </c>
      <c r="DE116" s="204">
        <f>DE117*DE66</f>
        <v>6635399.9999999991</v>
      </c>
      <c r="DF116" s="202" t="s">
        <v>114</v>
      </c>
      <c r="DG116" s="204">
        <f>DG117*DG66</f>
        <v>6635399.9999999991</v>
      </c>
    </row>
    <row r="117" spans="1:111" s="65" customFormat="1" ht="18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1627.51875</v>
      </c>
      <c r="H117" s="202" t="s">
        <v>114</v>
      </c>
      <c r="I117" s="204">
        <f>SUM(I118:I123)</f>
        <v>1627.51875</v>
      </c>
      <c r="J117" s="202" t="s">
        <v>114</v>
      </c>
      <c r="K117" s="204">
        <f>SUM(K118:K123)</f>
        <v>1627.51875</v>
      </c>
      <c r="L117" s="202" t="s">
        <v>114</v>
      </c>
      <c r="M117" s="204">
        <f>SUM(M118:M123)</f>
        <v>1627.51875</v>
      </c>
      <c r="N117" s="202" t="s">
        <v>114</v>
      </c>
      <c r="O117" s="204">
        <f>SUM(O118:O123)</f>
        <v>1683.3613119834708</v>
      </c>
      <c r="P117" s="202" t="s">
        <v>114</v>
      </c>
      <c r="Q117" s="204">
        <f>SUM(Q118:Q123)</f>
        <v>1677.5309917355371</v>
      </c>
      <c r="R117" s="202" t="s">
        <v>114</v>
      </c>
      <c r="S117" s="204">
        <f>SUM(S118:S123)</f>
        <v>1677.5309917355371</v>
      </c>
      <c r="T117" s="202" t="s">
        <v>114</v>
      </c>
      <c r="U117" s="204">
        <f>SUM(U118:U123)</f>
        <v>1684.4460227272725</v>
      </c>
      <c r="V117" s="202" t="s">
        <v>114</v>
      </c>
      <c r="W117" s="204">
        <f>SUM(W118:W123)</f>
        <v>1684.1748450413222</v>
      </c>
      <c r="X117" s="202" t="s">
        <v>114</v>
      </c>
      <c r="Y117" s="204">
        <f>SUM(Y118:Y123)</f>
        <v>1685.0787706611568</v>
      </c>
      <c r="Z117" s="202" t="s">
        <v>114</v>
      </c>
      <c r="AA117" s="204">
        <f>SUM(AA118:AA123)</f>
        <v>1696.3778409090908</v>
      </c>
      <c r="AB117" s="202" t="s">
        <v>114</v>
      </c>
      <c r="AC117" s="204">
        <f>SUM(AC118:AC123)</f>
        <v>1698.9088326446281</v>
      </c>
      <c r="AD117" s="202" t="s">
        <v>114</v>
      </c>
      <c r="AE117" s="204">
        <f>SUM(AE118:AE123)</f>
        <v>1712.7388946280989</v>
      </c>
      <c r="AF117" s="202" t="s">
        <v>114</v>
      </c>
      <c r="AG117" s="204">
        <f>SUM(AG118:AG123)</f>
        <v>1707.0441632231405</v>
      </c>
      <c r="AH117" s="202" t="s">
        <v>114</v>
      </c>
      <c r="AI117" s="204">
        <f>SUM(AI118:AI123)</f>
        <v>1715.3602789256197</v>
      </c>
      <c r="AJ117" s="202" t="s">
        <v>114</v>
      </c>
      <c r="AK117" s="204">
        <f>SUM(AK118:AK123)</f>
        <v>1732.5800619834708</v>
      </c>
      <c r="AL117" s="202" t="s">
        <v>114</v>
      </c>
      <c r="AM117" s="204">
        <f t="shared" ref="AM117" si="1464">SUM(AM118:AM123)</f>
        <v>1742.839617768595</v>
      </c>
      <c r="AN117" s="202" t="s">
        <v>114</v>
      </c>
      <c r="AO117" s="204">
        <f t="shared" ref="AO117" si="1465">SUM(AO118:AO123)</f>
        <v>1741.8452995867767</v>
      </c>
      <c r="AP117" s="202" t="s">
        <v>114</v>
      </c>
      <c r="AQ117" s="204">
        <f t="shared" ref="AQ117" si="1466">SUM(AQ118:AQ123)</f>
        <v>1728.6479855371899</v>
      </c>
      <c r="AR117" s="202" t="s">
        <v>114</v>
      </c>
      <c r="AS117" s="204">
        <f t="shared" ref="AS117" si="1467">SUM(AS118:AS123)</f>
        <v>1717.8008780991736</v>
      </c>
      <c r="AT117" s="202" t="s">
        <v>114</v>
      </c>
      <c r="AU117" s="204">
        <f t="shared" ref="AU117" si="1468">SUM(AU118:AU123)</f>
        <v>1726.1169938016528</v>
      </c>
      <c r="AV117" s="202" t="s">
        <v>114</v>
      </c>
      <c r="AW117" s="204">
        <f t="shared" ref="AW117" si="1469">SUM(AW118:AW123)</f>
        <v>1707.2249483471073</v>
      </c>
      <c r="AX117" s="202" t="s">
        <v>114</v>
      </c>
      <c r="AY117" s="204">
        <f t="shared" ref="AY117" si="1470">SUM(AY118:AY123)</f>
        <v>1703.7900309917354</v>
      </c>
      <c r="AZ117" s="202" t="s">
        <v>114</v>
      </c>
      <c r="BA117" s="204">
        <f t="shared" ref="BA117:BC117" si="1471">SUM(BA118:BA123)</f>
        <v>1710.5694731404958</v>
      </c>
      <c r="BB117" s="202" t="s">
        <v>114</v>
      </c>
      <c r="BC117" s="204">
        <f t="shared" si="1471"/>
        <v>1714.772727272727</v>
      </c>
      <c r="BD117" s="202" t="s">
        <v>114</v>
      </c>
      <c r="BE117" s="204">
        <f t="shared" ref="BE117:BK117" si="1472">SUM(BE118:BE123)</f>
        <v>1724.354338842975</v>
      </c>
      <c r="BF117" s="202" t="s">
        <v>114</v>
      </c>
      <c r="BG117" s="204">
        <f t="shared" si="1472"/>
        <v>1728.8287706611568</v>
      </c>
      <c r="BH117" s="202" t="s">
        <v>114</v>
      </c>
      <c r="BI117" s="204">
        <f t="shared" si="1472"/>
        <v>1745.9129648760329</v>
      </c>
      <c r="BJ117" s="202" t="s">
        <v>114</v>
      </c>
      <c r="BK117" s="204">
        <f t="shared" si="1472"/>
        <v>1744.8282541322315</v>
      </c>
      <c r="BL117" s="202" t="s">
        <v>114</v>
      </c>
      <c r="BM117" s="204">
        <f t="shared" ref="BM117:BO117" si="1473">SUM(BM118:BM123)</f>
        <v>1737.1900826446281</v>
      </c>
      <c r="BN117" s="202" t="s">
        <v>114</v>
      </c>
      <c r="BO117" s="204">
        <f t="shared" si="1473"/>
        <v>1739.9922520661157</v>
      </c>
      <c r="BP117" s="202" t="s">
        <v>114</v>
      </c>
      <c r="BQ117" s="204">
        <f t="shared" ref="BQ117:BS117" si="1474">SUM(BQ118:BQ123)</f>
        <v>1745.3706095041321</v>
      </c>
      <c r="BR117" s="202" t="s">
        <v>114</v>
      </c>
      <c r="BS117" s="204">
        <f t="shared" si="1474"/>
        <v>1744.5118801652891</v>
      </c>
      <c r="BT117" s="202" t="s">
        <v>114</v>
      </c>
      <c r="BU117" s="204">
        <f t="shared" ref="BU117:BW117" si="1475">SUM(BU118:BU123)</f>
        <v>1761.8220557851239</v>
      </c>
      <c r="BV117" s="202" t="s">
        <v>114</v>
      </c>
      <c r="BW117" s="204">
        <f t="shared" si="1475"/>
        <v>1762.3644111570247</v>
      </c>
      <c r="BX117" s="202" t="s">
        <v>114</v>
      </c>
      <c r="BY117" s="204">
        <f t="shared" ref="BY117:CA117" si="1476">SUM(BY118:BY123)</f>
        <v>1771.8556301652891</v>
      </c>
      <c r="BZ117" s="202" t="s">
        <v>114</v>
      </c>
      <c r="CA117" s="204">
        <f t="shared" si="1476"/>
        <v>1770.8161157024792</v>
      </c>
      <c r="CB117" s="202" t="s">
        <v>114</v>
      </c>
      <c r="CC117" s="204">
        <f t="shared" ref="CC117:CE117" si="1477">SUM(CC118:CC123)</f>
        <v>1757.3928202479337</v>
      </c>
      <c r="CD117" s="202" t="s">
        <v>114</v>
      </c>
      <c r="CE117" s="204">
        <f t="shared" si="1477"/>
        <v>1678.0062499999999</v>
      </c>
      <c r="CF117" s="202" t="s">
        <v>114</v>
      </c>
      <c r="CG117" s="204">
        <f t="shared" ref="CG117:CI117" si="1478">SUM(CG118:CG123)</f>
        <v>1682.25</v>
      </c>
      <c r="CH117" s="202" t="s">
        <v>114</v>
      </c>
      <c r="CI117" s="204">
        <f t="shared" si="1478"/>
        <v>1694.89375</v>
      </c>
      <c r="CJ117" s="202" t="s">
        <v>114</v>
      </c>
      <c r="CK117" s="204">
        <f t="shared" ref="CK117" si="1479">SUM(CK118:CK123)</f>
        <v>1703.7750000000001</v>
      </c>
      <c r="CL117" s="202" t="s">
        <v>114</v>
      </c>
      <c r="CM117" s="204">
        <f t="shared" ref="CM117" si="1480">SUM(CM118:CM123)</f>
        <v>1683.125</v>
      </c>
      <c r="CN117" s="202" t="s">
        <v>114</v>
      </c>
      <c r="CO117" s="204">
        <f t="shared" ref="CO117" si="1481">SUM(CO118:CO123)</f>
        <v>1744.5118801652891</v>
      </c>
      <c r="CP117" s="202" t="s">
        <v>114</v>
      </c>
      <c r="CQ117" s="204">
        <f>SUM(CQ118:CQ123)</f>
        <v>1683.9314804513667</v>
      </c>
      <c r="CR117" s="202" t="s">
        <v>114</v>
      </c>
      <c r="CS117" s="204">
        <f>SUM(CS118:CS123)</f>
        <v>1695.6649067745118</v>
      </c>
      <c r="CT117" s="202" t="s">
        <v>114</v>
      </c>
      <c r="CU117" s="204">
        <f>SUM(CU118:CU123)</f>
        <v>1715.3602789256197</v>
      </c>
      <c r="CV117" s="202" t="s">
        <v>114</v>
      </c>
      <c r="CW117" s="204">
        <f>SUM(CW118:CW123)</f>
        <v>1713.6880165289253</v>
      </c>
      <c r="CX117" s="202" t="s">
        <v>114</v>
      </c>
      <c r="CY117" s="204">
        <f>SUM(CY118:CY123)</f>
        <v>1689.3581128069529</v>
      </c>
      <c r="CZ117" s="202" t="s">
        <v>114</v>
      </c>
      <c r="DA117" s="204">
        <f>SUM(DA118:DA123)</f>
        <v>1704.6487603305784</v>
      </c>
      <c r="DB117" s="202" t="s">
        <v>114</v>
      </c>
      <c r="DC117" s="204">
        <f>SUM(DC118:DC123)</f>
        <v>1704.6487603305784</v>
      </c>
      <c r="DD117" s="202" t="s">
        <v>114</v>
      </c>
      <c r="DE117" s="204">
        <f>SUM(DE118:DE123)</f>
        <v>1713.6880165289253</v>
      </c>
      <c r="DF117" s="202" t="s">
        <v>114</v>
      </c>
      <c r="DG117" s="204">
        <f>SUM(DG118:DG123)</f>
        <v>1713.6880165289253</v>
      </c>
    </row>
    <row r="118" spans="1:111" s="65" customFormat="1" ht="18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  <c r="BX118" s="202" t="s">
        <v>114</v>
      </c>
      <c r="BY118" s="204">
        <v>75</v>
      </c>
      <c r="BZ118" s="202" t="s">
        <v>114</v>
      </c>
      <c r="CA118" s="204">
        <v>75</v>
      </c>
      <c r="CB118" s="202" t="s">
        <v>114</v>
      </c>
      <c r="CC118" s="204">
        <v>75</v>
      </c>
      <c r="CD118" s="202" t="s">
        <v>114</v>
      </c>
      <c r="CE118" s="204">
        <v>75</v>
      </c>
      <c r="CF118" s="202" t="s">
        <v>114</v>
      </c>
      <c r="CG118" s="204">
        <v>75</v>
      </c>
      <c r="CH118" s="202" t="s">
        <v>114</v>
      </c>
      <c r="CI118" s="204">
        <v>75</v>
      </c>
      <c r="CJ118" s="202" t="s">
        <v>114</v>
      </c>
      <c r="CK118" s="204">
        <v>75</v>
      </c>
      <c r="CL118" s="202" t="s">
        <v>114</v>
      </c>
      <c r="CM118" s="204">
        <v>75</v>
      </c>
      <c r="CN118" s="202" t="s">
        <v>114</v>
      </c>
      <c r="CO118" s="204">
        <v>75</v>
      </c>
      <c r="CP118" s="202" t="s">
        <v>114</v>
      </c>
      <c r="CQ118" s="204">
        <v>75</v>
      </c>
      <c r="CR118" s="202" t="s">
        <v>114</v>
      </c>
      <c r="CS118" s="204">
        <v>75</v>
      </c>
      <c r="CT118" s="202" t="s">
        <v>114</v>
      </c>
      <c r="CU118" s="204">
        <v>75</v>
      </c>
      <c r="CV118" s="202" t="s">
        <v>114</v>
      </c>
      <c r="CW118" s="204">
        <v>75</v>
      </c>
      <c r="CX118" s="202" t="s">
        <v>114</v>
      </c>
      <c r="CY118" s="204">
        <v>75</v>
      </c>
      <c r="CZ118" s="202" t="s">
        <v>114</v>
      </c>
      <c r="DA118" s="204">
        <v>75</v>
      </c>
      <c r="DB118" s="202" t="s">
        <v>114</v>
      </c>
      <c r="DC118" s="204">
        <v>75</v>
      </c>
      <c r="DD118" s="202" t="s">
        <v>114</v>
      </c>
      <c r="DE118" s="204">
        <v>75</v>
      </c>
      <c r="DF118" s="202" t="s">
        <v>114</v>
      </c>
      <c r="DG118" s="204">
        <v>75</v>
      </c>
    </row>
    <row r="119" spans="1:111" s="65" customFormat="1" ht="18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485</v>
      </c>
      <c r="H119" s="202" t="s">
        <v>114</v>
      </c>
      <c r="I119" s="204">
        <f>1940000/I66</f>
        <v>485</v>
      </c>
      <c r="J119" s="202" t="s">
        <v>114</v>
      </c>
      <c r="K119" s="204">
        <f>1940000/K66</f>
        <v>485</v>
      </c>
      <c r="L119" s="202" t="s">
        <v>114</v>
      </c>
      <c r="M119" s="204">
        <f>1940000/M66</f>
        <v>485</v>
      </c>
      <c r="N119" s="202" t="s">
        <v>114</v>
      </c>
      <c r="O119" s="204">
        <f>1940000/O66</f>
        <v>501.03305785123968</v>
      </c>
      <c r="P119" s="202" t="s">
        <v>114</v>
      </c>
      <c r="Q119" s="204">
        <f>1940000/Q66</f>
        <v>501.03305785123968</v>
      </c>
      <c r="R119" s="202" t="s">
        <v>114</v>
      </c>
      <c r="S119" s="204">
        <f>1940000/S66</f>
        <v>501.03305785123968</v>
      </c>
      <c r="T119" s="202" t="s">
        <v>114</v>
      </c>
      <c r="U119" s="204">
        <f>1940000/U66</f>
        <v>501.03305785123968</v>
      </c>
      <c r="V119" s="202" t="s">
        <v>114</v>
      </c>
      <c r="W119" s="204">
        <f>1940000/W66</f>
        <v>501.03305785123968</v>
      </c>
      <c r="X119" s="202" t="s">
        <v>114</v>
      </c>
      <c r="Y119" s="204">
        <f>1940000/Y66</f>
        <v>501.03305785123968</v>
      </c>
      <c r="Z119" s="202" t="s">
        <v>114</v>
      </c>
      <c r="AA119" s="204">
        <f>1940000/AA66</f>
        <v>501.03305785123968</v>
      </c>
      <c r="AB119" s="202" t="s">
        <v>114</v>
      </c>
      <c r="AC119" s="204">
        <f>1940000/AC66</f>
        <v>501.03305785123968</v>
      </c>
      <c r="AD119" s="202" t="s">
        <v>114</v>
      </c>
      <c r="AE119" s="204">
        <f>1940000/AE66</f>
        <v>501.03305785123968</v>
      </c>
      <c r="AF119" s="202" t="s">
        <v>114</v>
      </c>
      <c r="AG119" s="204">
        <f>1940000/AG66</f>
        <v>501.03305785123968</v>
      </c>
      <c r="AH119" s="202" t="s">
        <v>114</v>
      </c>
      <c r="AI119" s="204">
        <f>1940000/AI66</f>
        <v>501.03305785123968</v>
      </c>
      <c r="AJ119" s="202" t="s">
        <v>114</v>
      </c>
      <c r="AK119" s="204">
        <f>1940000/AK66</f>
        <v>501.03305785123968</v>
      </c>
      <c r="AL119" s="202" t="s">
        <v>114</v>
      </c>
      <c r="AM119" s="204">
        <f t="shared" ref="AM119" si="1482">1940000/AM66</f>
        <v>501.03305785123968</v>
      </c>
      <c r="AN119" s="202" t="s">
        <v>114</v>
      </c>
      <c r="AO119" s="204">
        <f t="shared" ref="AO119:AQ119" si="1483">1940000/AO66</f>
        <v>501.03305785123968</v>
      </c>
      <c r="AP119" s="202" t="s">
        <v>114</v>
      </c>
      <c r="AQ119" s="204">
        <f t="shared" si="1483"/>
        <v>501.03305785123968</v>
      </c>
      <c r="AR119" s="202" t="s">
        <v>114</v>
      </c>
      <c r="AS119" s="204">
        <f t="shared" ref="AS119" si="1484">1940000/AS66</f>
        <v>501.03305785123968</v>
      </c>
      <c r="AT119" s="202" t="s">
        <v>114</v>
      </c>
      <c r="AU119" s="204">
        <f t="shared" ref="AU119" si="1485">1940000/AU66</f>
        <v>501.03305785123968</v>
      </c>
      <c r="AV119" s="202" t="s">
        <v>114</v>
      </c>
      <c r="AW119" s="204">
        <f t="shared" ref="AW119" si="1486">1940000/AW66</f>
        <v>501.03305785123968</v>
      </c>
      <c r="AX119" s="202" t="s">
        <v>114</v>
      </c>
      <c r="AY119" s="204">
        <f t="shared" ref="AY119" si="1487">1940000/AY66</f>
        <v>501.03305785123968</v>
      </c>
      <c r="AZ119" s="202" t="s">
        <v>114</v>
      </c>
      <c r="BA119" s="204">
        <f t="shared" ref="BA119:BC119" si="1488">1940000/BA66</f>
        <v>501.03305785123968</v>
      </c>
      <c r="BB119" s="202" t="s">
        <v>114</v>
      </c>
      <c r="BC119" s="204">
        <f t="shared" si="1488"/>
        <v>501.03305785123968</v>
      </c>
      <c r="BD119" s="202" t="s">
        <v>114</v>
      </c>
      <c r="BE119" s="204">
        <f t="shared" ref="BE119:BK119" si="1489">1940000/BE66</f>
        <v>501.03305785123968</v>
      </c>
      <c r="BF119" s="202" t="s">
        <v>114</v>
      </c>
      <c r="BG119" s="204">
        <f t="shared" si="1489"/>
        <v>501.03305785123968</v>
      </c>
      <c r="BH119" s="202" t="s">
        <v>114</v>
      </c>
      <c r="BI119" s="204">
        <f t="shared" si="1489"/>
        <v>501.03305785123968</v>
      </c>
      <c r="BJ119" s="202" t="s">
        <v>114</v>
      </c>
      <c r="BK119" s="204">
        <f t="shared" si="1489"/>
        <v>501.03305785123968</v>
      </c>
      <c r="BL119" s="202" t="s">
        <v>114</v>
      </c>
      <c r="BM119" s="204">
        <f t="shared" ref="BM119:BO119" si="1490">1940000/BM66</f>
        <v>501.03305785123968</v>
      </c>
      <c r="BN119" s="202" t="s">
        <v>114</v>
      </c>
      <c r="BO119" s="204">
        <f t="shared" si="1490"/>
        <v>501.03305785123968</v>
      </c>
      <c r="BP119" s="202" t="s">
        <v>114</v>
      </c>
      <c r="BQ119" s="204">
        <f t="shared" ref="BQ119:BS119" si="1491">1940000/BQ66</f>
        <v>501.03305785123968</v>
      </c>
      <c r="BR119" s="202" t="s">
        <v>114</v>
      </c>
      <c r="BS119" s="204">
        <f t="shared" si="1491"/>
        <v>501.03305785123968</v>
      </c>
      <c r="BT119" s="202" t="s">
        <v>114</v>
      </c>
      <c r="BU119" s="204">
        <f t="shared" ref="BU119:BW119" si="1492">1940000/BU66</f>
        <v>501.03305785123968</v>
      </c>
      <c r="BV119" s="202" t="s">
        <v>114</v>
      </c>
      <c r="BW119" s="204">
        <f t="shared" si="1492"/>
        <v>501.03305785123968</v>
      </c>
      <c r="BX119" s="202" t="s">
        <v>114</v>
      </c>
      <c r="BY119" s="204">
        <f t="shared" ref="BY119:CA119" si="1493">1940000/BY66</f>
        <v>501.03305785123968</v>
      </c>
      <c r="BZ119" s="202" t="s">
        <v>114</v>
      </c>
      <c r="CA119" s="204">
        <f t="shared" si="1493"/>
        <v>501.03305785123968</v>
      </c>
      <c r="CB119" s="202" t="s">
        <v>114</v>
      </c>
      <c r="CC119" s="204">
        <f t="shared" ref="CC119:CE119" si="1494">1940000/CC66</f>
        <v>501.03305785123968</v>
      </c>
      <c r="CD119" s="202" t="s">
        <v>114</v>
      </c>
      <c r="CE119" s="204">
        <f t="shared" si="1494"/>
        <v>485</v>
      </c>
      <c r="CF119" s="202" t="s">
        <v>114</v>
      </c>
      <c r="CG119" s="204">
        <f t="shared" ref="CG119:CI119" si="1495">1940000/CG66</f>
        <v>485</v>
      </c>
      <c r="CH119" s="202" t="s">
        <v>114</v>
      </c>
      <c r="CI119" s="204">
        <f t="shared" si="1495"/>
        <v>485</v>
      </c>
      <c r="CJ119" s="202" t="s">
        <v>114</v>
      </c>
      <c r="CK119" s="204">
        <f t="shared" ref="CK119:CM119" si="1496">1940000/CK66</f>
        <v>485</v>
      </c>
      <c r="CL119" s="202" t="s">
        <v>114</v>
      </c>
      <c r="CM119" s="204">
        <f t="shared" si="1496"/>
        <v>485</v>
      </c>
      <c r="CN119" s="202" t="s">
        <v>114</v>
      </c>
      <c r="CO119" s="204">
        <f t="shared" ref="CO119" si="1497">1940000/CO66</f>
        <v>501.03305785123968</v>
      </c>
      <c r="CP119" s="202" t="s">
        <v>114</v>
      </c>
      <c r="CQ119" s="204">
        <f>1940000/CQ66</f>
        <v>501.03305785123968</v>
      </c>
      <c r="CR119" s="202" t="s">
        <v>114</v>
      </c>
      <c r="CS119" s="204">
        <f>1940000/CS66</f>
        <v>501.03305785123968</v>
      </c>
      <c r="CT119" s="202" t="s">
        <v>114</v>
      </c>
      <c r="CU119" s="204">
        <f>1940000/CU66</f>
        <v>501.03305785123968</v>
      </c>
      <c r="CV119" s="202" t="s">
        <v>114</v>
      </c>
      <c r="CW119" s="204">
        <f>1940000/CW66</f>
        <v>501.03305785123968</v>
      </c>
      <c r="CX119" s="202" t="s">
        <v>114</v>
      </c>
      <c r="CY119" s="204">
        <f>1940000/CY66</f>
        <v>501.03305785123968</v>
      </c>
      <c r="CZ119" s="202" t="s">
        <v>114</v>
      </c>
      <c r="DA119" s="204">
        <f>1940000/DA66</f>
        <v>501.03305785123968</v>
      </c>
      <c r="DB119" s="202" t="s">
        <v>114</v>
      </c>
      <c r="DC119" s="204">
        <f>1940000/DC66</f>
        <v>501.03305785123968</v>
      </c>
      <c r="DD119" s="202" t="s">
        <v>114</v>
      </c>
      <c r="DE119" s="204">
        <f>1940000/DE66</f>
        <v>501.03305785123968</v>
      </c>
      <c r="DF119" s="202" t="s">
        <v>114</v>
      </c>
      <c r="DG119" s="204">
        <f>1940000/DG66</f>
        <v>501.03305785123968</v>
      </c>
    </row>
    <row r="120" spans="1:111" s="65" customFormat="1" ht="18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68.75</v>
      </c>
      <c r="H120" s="202" t="s">
        <v>114</v>
      </c>
      <c r="I120" s="204">
        <f>275000/I66</f>
        <v>68.75</v>
      </c>
      <c r="J120" s="202" t="s">
        <v>114</v>
      </c>
      <c r="K120" s="204">
        <f>275000/K66</f>
        <v>68.75</v>
      </c>
      <c r="L120" s="202" t="s">
        <v>114</v>
      </c>
      <c r="M120" s="204">
        <f>275000/M66</f>
        <v>68.75</v>
      </c>
      <c r="N120" s="202" t="s">
        <v>114</v>
      </c>
      <c r="O120" s="204">
        <f>275000/O66</f>
        <v>71.022727272727266</v>
      </c>
      <c r="P120" s="202" t="s">
        <v>114</v>
      </c>
      <c r="Q120" s="204">
        <f>275000/Q66</f>
        <v>71.022727272727266</v>
      </c>
      <c r="R120" s="202" t="s">
        <v>114</v>
      </c>
      <c r="S120" s="204">
        <f>275000/S66</f>
        <v>71.022727272727266</v>
      </c>
      <c r="T120" s="202" t="s">
        <v>114</v>
      </c>
      <c r="U120" s="204">
        <f>275000/U66</f>
        <v>71.022727272727266</v>
      </c>
      <c r="V120" s="202" t="s">
        <v>114</v>
      </c>
      <c r="W120" s="204">
        <f>275000/W66</f>
        <v>71.022727272727266</v>
      </c>
      <c r="X120" s="202" t="s">
        <v>114</v>
      </c>
      <c r="Y120" s="204">
        <f>275000/Y66</f>
        <v>71.022727272727266</v>
      </c>
      <c r="Z120" s="202" t="s">
        <v>114</v>
      </c>
      <c r="AA120" s="204">
        <f>275000/AA66</f>
        <v>71.022727272727266</v>
      </c>
      <c r="AB120" s="202" t="s">
        <v>114</v>
      </c>
      <c r="AC120" s="204">
        <f>275000/AC66</f>
        <v>71.022727272727266</v>
      </c>
      <c r="AD120" s="202" t="s">
        <v>114</v>
      </c>
      <c r="AE120" s="204">
        <f>275000/AE66</f>
        <v>71.022727272727266</v>
      </c>
      <c r="AF120" s="202" t="s">
        <v>114</v>
      </c>
      <c r="AG120" s="204">
        <f>275000/AG66</f>
        <v>71.022727272727266</v>
      </c>
      <c r="AH120" s="202" t="s">
        <v>114</v>
      </c>
      <c r="AI120" s="204">
        <f>275000/AI66</f>
        <v>71.022727272727266</v>
      </c>
      <c r="AJ120" s="202" t="s">
        <v>114</v>
      </c>
      <c r="AK120" s="204">
        <f>275000/AK66</f>
        <v>71.022727272727266</v>
      </c>
      <c r="AL120" s="202" t="s">
        <v>114</v>
      </c>
      <c r="AM120" s="204">
        <f t="shared" ref="AM120" si="1498">275000/AM66</f>
        <v>71.022727272727266</v>
      </c>
      <c r="AN120" s="202" t="s">
        <v>114</v>
      </c>
      <c r="AO120" s="204">
        <f t="shared" ref="AO120:AQ120" si="1499">275000/AO66</f>
        <v>71.022727272727266</v>
      </c>
      <c r="AP120" s="202" t="s">
        <v>114</v>
      </c>
      <c r="AQ120" s="204">
        <f t="shared" si="1499"/>
        <v>71.022727272727266</v>
      </c>
      <c r="AR120" s="202" t="s">
        <v>114</v>
      </c>
      <c r="AS120" s="204">
        <f t="shared" ref="AS120" si="1500">275000/AS66</f>
        <v>71.022727272727266</v>
      </c>
      <c r="AT120" s="202" t="s">
        <v>114</v>
      </c>
      <c r="AU120" s="204">
        <f t="shared" ref="AU120" si="1501">275000/AU66</f>
        <v>71.022727272727266</v>
      </c>
      <c r="AV120" s="202" t="s">
        <v>114</v>
      </c>
      <c r="AW120" s="204">
        <f t="shared" ref="AW120" si="1502">275000/AW66</f>
        <v>71.022727272727266</v>
      </c>
      <c r="AX120" s="202" t="s">
        <v>114</v>
      </c>
      <c r="AY120" s="204">
        <f t="shared" ref="AY120" si="1503">275000/AY66</f>
        <v>71.022727272727266</v>
      </c>
      <c r="AZ120" s="202" t="s">
        <v>114</v>
      </c>
      <c r="BA120" s="204">
        <f t="shared" ref="BA120:BC120" si="1504">275000/BA66</f>
        <v>71.022727272727266</v>
      </c>
      <c r="BB120" s="202" t="s">
        <v>114</v>
      </c>
      <c r="BC120" s="204">
        <f t="shared" si="1504"/>
        <v>71.022727272727266</v>
      </c>
      <c r="BD120" s="202" t="s">
        <v>114</v>
      </c>
      <c r="BE120" s="204">
        <f t="shared" ref="BE120:BK120" si="1505">275000/BE66</f>
        <v>71.022727272727266</v>
      </c>
      <c r="BF120" s="202" t="s">
        <v>114</v>
      </c>
      <c r="BG120" s="204">
        <f t="shared" si="1505"/>
        <v>71.022727272727266</v>
      </c>
      <c r="BH120" s="202" t="s">
        <v>114</v>
      </c>
      <c r="BI120" s="204">
        <f t="shared" si="1505"/>
        <v>71.022727272727266</v>
      </c>
      <c r="BJ120" s="202" t="s">
        <v>114</v>
      </c>
      <c r="BK120" s="204">
        <f t="shared" si="1505"/>
        <v>71.022727272727266</v>
      </c>
      <c r="BL120" s="202" t="s">
        <v>114</v>
      </c>
      <c r="BM120" s="204">
        <f t="shared" ref="BM120:BO120" si="1506">275000/BM66</f>
        <v>71.022727272727266</v>
      </c>
      <c r="BN120" s="202" t="s">
        <v>114</v>
      </c>
      <c r="BO120" s="204">
        <f t="shared" si="1506"/>
        <v>71.022727272727266</v>
      </c>
      <c r="BP120" s="202" t="s">
        <v>114</v>
      </c>
      <c r="BQ120" s="204">
        <f t="shared" ref="BQ120:BS120" si="1507">275000/BQ66</f>
        <v>71.022727272727266</v>
      </c>
      <c r="BR120" s="202" t="s">
        <v>114</v>
      </c>
      <c r="BS120" s="204">
        <f t="shared" si="1507"/>
        <v>71.022727272727266</v>
      </c>
      <c r="BT120" s="202" t="s">
        <v>114</v>
      </c>
      <c r="BU120" s="204">
        <f t="shared" ref="BU120:BW120" si="1508">275000/BU66</f>
        <v>71.022727272727266</v>
      </c>
      <c r="BV120" s="202" t="s">
        <v>114</v>
      </c>
      <c r="BW120" s="204">
        <f t="shared" si="1508"/>
        <v>71.022727272727266</v>
      </c>
      <c r="BX120" s="202" t="s">
        <v>114</v>
      </c>
      <c r="BY120" s="204">
        <f t="shared" ref="BY120:CA120" si="1509">275000/BY66</f>
        <v>71.022727272727266</v>
      </c>
      <c r="BZ120" s="202" t="s">
        <v>114</v>
      </c>
      <c r="CA120" s="204">
        <f t="shared" si="1509"/>
        <v>71.022727272727266</v>
      </c>
      <c r="CB120" s="202" t="s">
        <v>114</v>
      </c>
      <c r="CC120" s="204">
        <f t="shared" ref="CC120:CE120" si="1510">275000/CC66</f>
        <v>71.022727272727266</v>
      </c>
      <c r="CD120" s="202" t="s">
        <v>114</v>
      </c>
      <c r="CE120" s="204">
        <f t="shared" si="1510"/>
        <v>68.75</v>
      </c>
      <c r="CF120" s="202" t="s">
        <v>114</v>
      </c>
      <c r="CG120" s="204">
        <f t="shared" ref="CG120:CI120" si="1511">275000/CG66</f>
        <v>68.75</v>
      </c>
      <c r="CH120" s="202" t="s">
        <v>114</v>
      </c>
      <c r="CI120" s="204">
        <f t="shared" si="1511"/>
        <v>68.75</v>
      </c>
      <c r="CJ120" s="202" t="s">
        <v>114</v>
      </c>
      <c r="CK120" s="204">
        <f t="shared" ref="CK120:CM120" si="1512">275000/CK66</f>
        <v>68.75</v>
      </c>
      <c r="CL120" s="202" t="s">
        <v>114</v>
      </c>
      <c r="CM120" s="204">
        <f t="shared" si="1512"/>
        <v>68.75</v>
      </c>
      <c r="CN120" s="202" t="s">
        <v>114</v>
      </c>
      <c r="CO120" s="204">
        <f t="shared" ref="CO120" si="1513">275000/CO66</f>
        <v>71.022727272727266</v>
      </c>
      <c r="CP120" s="202" t="s">
        <v>114</v>
      </c>
      <c r="CQ120" s="204">
        <f>275000/CQ66</f>
        <v>71.022727272727266</v>
      </c>
      <c r="CR120" s="202" t="s">
        <v>114</v>
      </c>
      <c r="CS120" s="204">
        <f>275000/CS66</f>
        <v>71.022727272727266</v>
      </c>
      <c r="CT120" s="202" t="s">
        <v>114</v>
      </c>
      <c r="CU120" s="204">
        <f>275000/CU66</f>
        <v>71.022727272727266</v>
      </c>
      <c r="CV120" s="202" t="s">
        <v>114</v>
      </c>
      <c r="CW120" s="204">
        <f>275000/CW66</f>
        <v>71.022727272727266</v>
      </c>
      <c r="CX120" s="202" t="s">
        <v>114</v>
      </c>
      <c r="CY120" s="204">
        <f>275000/CY66</f>
        <v>71.022727272727266</v>
      </c>
      <c r="CZ120" s="202" t="s">
        <v>114</v>
      </c>
      <c r="DA120" s="204">
        <f>275000/DA66</f>
        <v>71.022727272727266</v>
      </c>
      <c r="DB120" s="202" t="s">
        <v>114</v>
      </c>
      <c r="DC120" s="204">
        <f>275000/DC66</f>
        <v>71.022727272727266</v>
      </c>
      <c r="DD120" s="202" t="s">
        <v>114</v>
      </c>
      <c r="DE120" s="204">
        <f>275000/DE66</f>
        <v>71.022727272727266</v>
      </c>
      <c r="DF120" s="202" t="s">
        <v>114</v>
      </c>
      <c r="DG120" s="204">
        <f>275000/DG66</f>
        <v>71.022727272727266</v>
      </c>
    </row>
    <row r="121" spans="1:111" s="65" customFormat="1" ht="18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320</v>
      </c>
      <c r="H121" s="202" t="s">
        <v>114</v>
      </c>
      <c r="I121" s="204">
        <f>1280000/I66</f>
        <v>320</v>
      </c>
      <c r="J121" s="202" t="s">
        <v>114</v>
      </c>
      <c r="K121" s="204">
        <f>1280000/K66</f>
        <v>320</v>
      </c>
      <c r="L121" s="202" t="s">
        <v>114</v>
      </c>
      <c r="M121" s="204">
        <f>1280000/M66</f>
        <v>320</v>
      </c>
      <c r="N121" s="202" t="s">
        <v>114</v>
      </c>
      <c r="O121" s="204">
        <f>1280000/O66</f>
        <v>330.57851239669424</v>
      </c>
      <c r="P121" s="202" t="s">
        <v>114</v>
      </c>
      <c r="Q121" s="204">
        <f>1280000/Q66</f>
        <v>330.57851239669424</v>
      </c>
      <c r="R121" s="202" t="s">
        <v>114</v>
      </c>
      <c r="S121" s="204">
        <f>1280000/S66</f>
        <v>330.57851239669424</v>
      </c>
      <c r="T121" s="202" t="s">
        <v>114</v>
      </c>
      <c r="U121" s="204">
        <f>1280000/U66</f>
        <v>330.57851239669424</v>
      </c>
      <c r="V121" s="202" t="s">
        <v>114</v>
      </c>
      <c r="W121" s="204">
        <f>1280000/W66</f>
        <v>330.57851239669424</v>
      </c>
      <c r="X121" s="202" t="s">
        <v>114</v>
      </c>
      <c r="Y121" s="204">
        <f>1280000/Y66</f>
        <v>330.57851239669424</v>
      </c>
      <c r="Z121" s="202" t="s">
        <v>114</v>
      </c>
      <c r="AA121" s="204">
        <f>1280000/AA66</f>
        <v>330.57851239669424</v>
      </c>
      <c r="AB121" s="202" t="s">
        <v>114</v>
      </c>
      <c r="AC121" s="204">
        <f>1280000/AC66</f>
        <v>330.57851239669424</v>
      </c>
      <c r="AD121" s="202" t="s">
        <v>114</v>
      </c>
      <c r="AE121" s="204">
        <f>1280000/AE66</f>
        <v>330.57851239669424</v>
      </c>
      <c r="AF121" s="202" t="s">
        <v>114</v>
      </c>
      <c r="AG121" s="204">
        <f>1280000/AG66</f>
        <v>330.57851239669424</v>
      </c>
      <c r="AH121" s="202" t="s">
        <v>114</v>
      </c>
      <c r="AI121" s="204">
        <f>1280000/AI66</f>
        <v>330.57851239669424</v>
      </c>
      <c r="AJ121" s="202" t="s">
        <v>114</v>
      </c>
      <c r="AK121" s="204">
        <f>1280000/AK66</f>
        <v>330.57851239669424</v>
      </c>
      <c r="AL121" s="202" t="s">
        <v>114</v>
      </c>
      <c r="AM121" s="204">
        <f t="shared" ref="AM121" si="1514">1280000/AM66</f>
        <v>330.57851239669424</v>
      </c>
      <c r="AN121" s="202" t="s">
        <v>114</v>
      </c>
      <c r="AO121" s="204">
        <f t="shared" ref="AO121:AQ121" si="1515">1280000/AO66</f>
        <v>330.57851239669424</v>
      </c>
      <c r="AP121" s="202" t="s">
        <v>114</v>
      </c>
      <c r="AQ121" s="204">
        <f t="shared" si="1515"/>
        <v>330.57851239669424</v>
      </c>
      <c r="AR121" s="202" t="s">
        <v>114</v>
      </c>
      <c r="AS121" s="204">
        <f t="shared" ref="AS121" si="1516">1280000/AS66</f>
        <v>330.57851239669424</v>
      </c>
      <c r="AT121" s="202" t="s">
        <v>114</v>
      </c>
      <c r="AU121" s="204">
        <f t="shared" ref="AU121" si="1517">1280000/AU66</f>
        <v>330.57851239669424</v>
      </c>
      <c r="AV121" s="202" t="s">
        <v>114</v>
      </c>
      <c r="AW121" s="204">
        <f t="shared" ref="AW121" si="1518">1280000/AW66</f>
        <v>330.57851239669424</v>
      </c>
      <c r="AX121" s="202" t="s">
        <v>114</v>
      </c>
      <c r="AY121" s="204">
        <f t="shared" ref="AY121" si="1519">1280000/AY66</f>
        <v>330.57851239669424</v>
      </c>
      <c r="AZ121" s="202" t="s">
        <v>114</v>
      </c>
      <c r="BA121" s="204">
        <f t="shared" ref="BA121:BC121" si="1520">1280000/BA66</f>
        <v>330.57851239669424</v>
      </c>
      <c r="BB121" s="202" t="s">
        <v>114</v>
      </c>
      <c r="BC121" s="204">
        <f t="shared" si="1520"/>
        <v>330.57851239669424</v>
      </c>
      <c r="BD121" s="202" t="s">
        <v>114</v>
      </c>
      <c r="BE121" s="204">
        <f t="shared" ref="BE121:BK121" si="1521">1280000/BE66</f>
        <v>330.57851239669424</v>
      </c>
      <c r="BF121" s="202" t="s">
        <v>114</v>
      </c>
      <c r="BG121" s="204">
        <f t="shared" si="1521"/>
        <v>330.57851239669424</v>
      </c>
      <c r="BH121" s="202" t="s">
        <v>114</v>
      </c>
      <c r="BI121" s="204">
        <f t="shared" si="1521"/>
        <v>330.57851239669424</v>
      </c>
      <c r="BJ121" s="202" t="s">
        <v>114</v>
      </c>
      <c r="BK121" s="204">
        <f t="shared" si="1521"/>
        <v>330.57851239669424</v>
      </c>
      <c r="BL121" s="202" t="s">
        <v>114</v>
      </c>
      <c r="BM121" s="204">
        <f t="shared" ref="BM121:BO121" si="1522">1280000/BM66</f>
        <v>330.57851239669424</v>
      </c>
      <c r="BN121" s="202" t="s">
        <v>114</v>
      </c>
      <c r="BO121" s="204">
        <f t="shared" si="1522"/>
        <v>330.57851239669424</v>
      </c>
      <c r="BP121" s="202" t="s">
        <v>114</v>
      </c>
      <c r="BQ121" s="204">
        <f t="shared" ref="BQ121:BS121" si="1523">1280000/BQ66</f>
        <v>330.57851239669424</v>
      </c>
      <c r="BR121" s="202" t="s">
        <v>114</v>
      </c>
      <c r="BS121" s="204">
        <f t="shared" si="1523"/>
        <v>330.57851239669424</v>
      </c>
      <c r="BT121" s="202" t="s">
        <v>114</v>
      </c>
      <c r="BU121" s="204">
        <f t="shared" ref="BU121:BW121" si="1524">1280000/BU66</f>
        <v>330.57851239669424</v>
      </c>
      <c r="BV121" s="202" t="s">
        <v>114</v>
      </c>
      <c r="BW121" s="204">
        <f t="shared" si="1524"/>
        <v>330.57851239669424</v>
      </c>
      <c r="BX121" s="202" t="s">
        <v>114</v>
      </c>
      <c r="BY121" s="204">
        <f t="shared" ref="BY121:CA121" si="1525">1280000/BY66</f>
        <v>330.57851239669424</v>
      </c>
      <c r="BZ121" s="202" t="s">
        <v>114</v>
      </c>
      <c r="CA121" s="204">
        <f t="shared" si="1525"/>
        <v>330.57851239669424</v>
      </c>
      <c r="CB121" s="202" t="s">
        <v>114</v>
      </c>
      <c r="CC121" s="204">
        <f t="shared" ref="CC121:CE121" si="1526">1280000/CC66</f>
        <v>330.57851239669424</v>
      </c>
      <c r="CD121" s="202" t="s">
        <v>114</v>
      </c>
      <c r="CE121" s="204">
        <f t="shared" si="1526"/>
        <v>320</v>
      </c>
      <c r="CF121" s="202" t="s">
        <v>114</v>
      </c>
      <c r="CG121" s="204">
        <f t="shared" ref="CG121:CI121" si="1527">1280000/CG66</f>
        <v>320</v>
      </c>
      <c r="CH121" s="202" t="s">
        <v>114</v>
      </c>
      <c r="CI121" s="204">
        <f t="shared" si="1527"/>
        <v>320</v>
      </c>
      <c r="CJ121" s="202" t="s">
        <v>114</v>
      </c>
      <c r="CK121" s="204">
        <f t="shared" ref="CK121:CM121" si="1528">1280000/CK66</f>
        <v>320</v>
      </c>
      <c r="CL121" s="202" t="s">
        <v>114</v>
      </c>
      <c r="CM121" s="204">
        <f t="shared" si="1528"/>
        <v>320</v>
      </c>
      <c r="CN121" s="202" t="s">
        <v>114</v>
      </c>
      <c r="CO121" s="204">
        <f t="shared" ref="CO121" si="1529">1280000/CO66</f>
        <v>330.57851239669424</v>
      </c>
      <c r="CP121" s="202" t="s">
        <v>114</v>
      </c>
      <c r="CQ121" s="204">
        <f>1280000/CQ66</f>
        <v>330.57851239669424</v>
      </c>
      <c r="CR121" s="202" t="s">
        <v>114</v>
      </c>
      <c r="CS121" s="204">
        <f>1280000/CS66</f>
        <v>330.57851239669424</v>
      </c>
      <c r="CT121" s="202" t="s">
        <v>114</v>
      </c>
      <c r="CU121" s="204">
        <f>1280000/CU66</f>
        <v>330.57851239669424</v>
      </c>
      <c r="CV121" s="202" t="s">
        <v>114</v>
      </c>
      <c r="CW121" s="204">
        <f>1280000/CW66</f>
        <v>330.57851239669424</v>
      </c>
      <c r="CX121" s="202" t="s">
        <v>114</v>
      </c>
      <c r="CY121" s="204">
        <f>1280000/CY66</f>
        <v>330.57851239669424</v>
      </c>
      <c r="CZ121" s="202" t="s">
        <v>114</v>
      </c>
      <c r="DA121" s="204">
        <f>1280000/DA66</f>
        <v>330.57851239669424</v>
      </c>
      <c r="DB121" s="202" t="s">
        <v>114</v>
      </c>
      <c r="DC121" s="204">
        <f>1280000/DC66</f>
        <v>330.57851239669424</v>
      </c>
      <c r="DD121" s="202" t="s">
        <v>114</v>
      </c>
      <c r="DE121" s="204">
        <f>1280000/DE66</f>
        <v>330.57851239669424</v>
      </c>
      <c r="DF121" s="202" t="s">
        <v>114</v>
      </c>
      <c r="DG121" s="204">
        <f>1280000/DG66</f>
        <v>330.57851239669424</v>
      </c>
    </row>
    <row r="122" spans="1:111" s="65" customFormat="1" ht="18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56.25</v>
      </c>
      <c r="H122" s="202" t="s">
        <v>114</v>
      </c>
      <c r="I122" s="204">
        <f>225000/I66</f>
        <v>56.25</v>
      </c>
      <c r="J122" s="202" t="s">
        <v>114</v>
      </c>
      <c r="K122" s="204">
        <f>225000/K66</f>
        <v>56.25</v>
      </c>
      <c r="L122" s="202" t="s">
        <v>114</v>
      </c>
      <c r="M122" s="204">
        <f>225000/M66</f>
        <v>56.25</v>
      </c>
      <c r="N122" s="202" t="s">
        <v>114</v>
      </c>
      <c r="O122" s="204">
        <f>225000/O66</f>
        <v>58.109504132231407</v>
      </c>
      <c r="P122" s="202" t="s">
        <v>114</v>
      </c>
      <c r="Q122" s="204">
        <f>225000/Q66</f>
        <v>58.109504132231407</v>
      </c>
      <c r="R122" s="202" t="s">
        <v>114</v>
      </c>
      <c r="S122" s="204">
        <f>225000/S66</f>
        <v>58.109504132231407</v>
      </c>
      <c r="T122" s="202" t="s">
        <v>114</v>
      </c>
      <c r="U122" s="204">
        <f>225000/U66</f>
        <v>58.109504132231407</v>
      </c>
      <c r="V122" s="202" t="s">
        <v>114</v>
      </c>
      <c r="W122" s="204">
        <f>225000/W66</f>
        <v>58.109504132231407</v>
      </c>
      <c r="X122" s="202" t="s">
        <v>114</v>
      </c>
      <c r="Y122" s="204">
        <f>225000/Y66</f>
        <v>58.109504132231407</v>
      </c>
      <c r="Z122" s="202" t="s">
        <v>114</v>
      </c>
      <c r="AA122" s="204">
        <f>225000/AA66</f>
        <v>58.109504132231407</v>
      </c>
      <c r="AB122" s="202" t="s">
        <v>114</v>
      </c>
      <c r="AC122" s="204">
        <f>225000/AC66</f>
        <v>58.109504132231407</v>
      </c>
      <c r="AD122" s="202" t="s">
        <v>114</v>
      </c>
      <c r="AE122" s="204">
        <f>225000/AE66</f>
        <v>58.109504132231407</v>
      </c>
      <c r="AF122" s="202" t="s">
        <v>114</v>
      </c>
      <c r="AG122" s="204">
        <f>225000/AG66</f>
        <v>58.109504132231407</v>
      </c>
      <c r="AH122" s="202" t="s">
        <v>114</v>
      </c>
      <c r="AI122" s="204">
        <f>225000/AI66</f>
        <v>58.109504132231407</v>
      </c>
      <c r="AJ122" s="202" t="s">
        <v>114</v>
      </c>
      <c r="AK122" s="204">
        <f>225000/AK66</f>
        <v>58.109504132231407</v>
      </c>
      <c r="AL122" s="202" t="s">
        <v>114</v>
      </c>
      <c r="AM122" s="204">
        <f t="shared" ref="AM122" si="1530">225000/AM66</f>
        <v>58.109504132231407</v>
      </c>
      <c r="AN122" s="202" t="s">
        <v>114</v>
      </c>
      <c r="AO122" s="204">
        <f t="shared" ref="AO122:AQ122" si="1531">225000/AO66</f>
        <v>58.109504132231407</v>
      </c>
      <c r="AP122" s="202" t="s">
        <v>114</v>
      </c>
      <c r="AQ122" s="204">
        <f t="shared" si="1531"/>
        <v>58.109504132231407</v>
      </c>
      <c r="AR122" s="202" t="s">
        <v>114</v>
      </c>
      <c r="AS122" s="204">
        <f t="shared" ref="AS122" si="1532">225000/AS66</f>
        <v>58.109504132231407</v>
      </c>
      <c r="AT122" s="202" t="s">
        <v>114</v>
      </c>
      <c r="AU122" s="204">
        <f t="shared" ref="AU122" si="1533">225000/AU66</f>
        <v>58.109504132231407</v>
      </c>
      <c r="AV122" s="202" t="s">
        <v>114</v>
      </c>
      <c r="AW122" s="204">
        <f t="shared" ref="AW122" si="1534">225000/AW66</f>
        <v>58.109504132231407</v>
      </c>
      <c r="AX122" s="202" t="s">
        <v>114</v>
      </c>
      <c r="AY122" s="204">
        <f t="shared" ref="AY122" si="1535">225000/AY66</f>
        <v>58.109504132231407</v>
      </c>
      <c r="AZ122" s="202" t="s">
        <v>114</v>
      </c>
      <c r="BA122" s="204">
        <f t="shared" ref="BA122:BC122" si="1536">225000/BA66</f>
        <v>58.109504132231407</v>
      </c>
      <c r="BB122" s="202" t="s">
        <v>114</v>
      </c>
      <c r="BC122" s="204">
        <f t="shared" si="1536"/>
        <v>58.109504132231407</v>
      </c>
      <c r="BD122" s="202" t="s">
        <v>114</v>
      </c>
      <c r="BE122" s="204">
        <f t="shared" ref="BE122:BK122" si="1537">225000/BE66</f>
        <v>58.109504132231407</v>
      </c>
      <c r="BF122" s="202" t="s">
        <v>114</v>
      </c>
      <c r="BG122" s="204">
        <f t="shared" si="1537"/>
        <v>58.109504132231407</v>
      </c>
      <c r="BH122" s="202" t="s">
        <v>114</v>
      </c>
      <c r="BI122" s="204">
        <f t="shared" si="1537"/>
        <v>58.109504132231407</v>
      </c>
      <c r="BJ122" s="202" t="s">
        <v>114</v>
      </c>
      <c r="BK122" s="204">
        <f t="shared" si="1537"/>
        <v>58.109504132231407</v>
      </c>
      <c r="BL122" s="202" t="s">
        <v>114</v>
      </c>
      <c r="BM122" s="204">
        <f t="shared" ref="BM122:BO122" si="1538">225000/BM66</f>
        <v>58.109504132231407</v>
      </c>
      <c r="BN122" s="202" t="s">
        <v>114</v>
      </c>
      <c r="BO122" s="204">
        <f t="shared" si="1538"/>
        <v>58.109504132231407</v>
      </c>
      <c r="BP122" s="202" t="s">
        <v>114</v>
      </c>
      <c r="BQ122" s="204">
        <f t="shared" ref="BQ122:BS122" si="1539">225000/BQ66</f>
        <v>58.109504132231407</v>
      </c>
      <c r="BR122" s="202" t="s">
        <v>114</v>
      </c>
      <c r="BS122" s="204">
        <f t="shared" si="1539"/>
        <v>58.109504132231407</v>
      </c>
      <c r="BT122" s="202" t="s">
        <v>114</v>
      </c>
      <c r="BU122" s="204">
        <f t="shared" ref="BU122:BW122" si="1540">225000/BU66</f>
        <v>58.109504132231407</v>
      </c>
      <c r="BV122" s="202" t="s">
        <v>114</v>
      </c>
      <c r="BW122" s="204">
        <f t="shared" si="1540"/>
        <v>58.109504132231407</v>
      </c>
      <c r="BX122" s="202" t="s">
        <v>114</v>
      </c>
      <c r="BY122" s="204">
        <f t="shared" ref="BY122:CA122" si="1541">225000/BY66</f>
        <v>58.109504132231407</v>
      </c>
      <c r="BZ122" s="202" t="s">
        <v>114</v>
      </c>
      <c r="CA122" s="204">
        <f t="shared" si="1541"/>
        <v>58.109504132231407</v>
      </c>
      <c r="CB122" s="202" t="s">
        <v>114</v>
      </c>
      <c r="CC122" s="204">
        <f t="shared" ref="CC122:CE122" si="1542">225000/CC66</f>
        <v>58.109504132231407</v>
      </c>
      <c r="CD122" s="202" t="s">
        <v>114</v>
      </c>
      <c r="CE122" s="204">
        <f t="shared" si="1542"/>
        <v>56.25</v>
      </c>
      <c r="CF122" s="202" t="s">
        <v>114</v>
      </c>
      <c r="CG122" s="204">
        <f t="shared" ref="CG122:CI122" si="1543">225000/CG66</f>
        <v>56.25</v>
      </c>
      <c r="CH122" s="202" t="s">
        <v>114</v>
      </c>
      <c r="CI122" s="204">
        <f t="shared" si="1543"/>
        <v>56.25</v>
      </c>
      <c r="CJ122" s="202" t="s">
        <v>114</v>
      </c>
      <c r="CK122" s="204">
        <f t="shared" ref="CK122:CM122" si="1544">225000/CK66</f>
        <v>56.25</v>
      </c>
      <c r="CL122" s="202" t="s">
        <v>114</v>
      </c>
      <c r="CM122" s="204">
        <f t="shared" si="1544"/>
        <v>56.25</v>
      </c>
      <c r="CN122" s="202" t="s">
        <v>114</v>
      </c>
      <c r="CO122" s="204">
        <f t="shared" ref="CO122" si="1545">225000/CO66</f>
        <v>58.109504132231407</v>
      </c>
      <c r="CP122" s="202" t="s">
        <v>114</v>
      </c>
      <c r="CQ122" s="204">
        <f>225000/CQ66</f>
        <v>58.109504132231407</v>
      </c>
      <c r="CR122" s="202" t="s">
        <v>114</v>
      </c>
      <c r="CS122" s="204">
        <f>225000/CS66</f>
        <v>58.109504132231407</v>
      </c>
      <c r="CT122" s="202" t="s">
        <v>114</v>
      </c>
      <c r="CU122" s="204">
        <f>225000/CU66</f>
        <v>58.109504132231407</v>
      </c>
      <c r="CV122" s="202" t="s">
        <v>114</v>
      </c>
      <c r="CW122" s="204">
        <f>225000/CW66</f>
        <v>58.109504132231407</v>
      </c>
      <c r="CX122" s="202" t="s">
        <v>114</v>
      </c>
      <c r="CY122" s="204">
        <f>225000/CY66</f>
        <v>58.109504132231407</v>
      </c>
      <c r="CZ122" s="202" t="s">
        <v>114</v>
      </c>
      <c r="DA122" s="204">
        <f>225000/DA66</f>
        <v>58.109504132231407</v>
      </c>
      <c r="DB122" s="202" t="s">
        <v>114</v>
      </c>
      <c r="DC122" s="204">
        <f>225000/DC66</f>
        <v>58.109504132231407</v>
      </c>
      <c r="DD122" s="202" t="s">
        <v>114</v>
      </c>
      <c r="DE122" s="204">
        <f>225000/DE66</f>
        <v>58.109504132231407</v>
      </c>
      <c r="DF122" s="202" t="s">
        <v>114</v>
      </c>
      <c r="DG122" s="204">
        <f>225000/DG66</f>
        <v>58.109504132231407</v>
      </c>
    </row>
    <row r="123" spans="1:111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622.51874999999995</v>
      </c>
      <c r="H123" s="208" t="s">
        <v>114</v>
      </c>
      <c r="I123" s="209">
        <f>(175*I79)/I66</f>
        <v>622.51874999999995</v>
      </c>
      <c r="J123" s="208" t="s">
        <v>114</v>
      </c>
      <c r="K123" s="209">
        <f>(175*K79)/K66</f>
        <v>622.51874999999995</v>
      </c>
      <c r="L123" s="208" t="s">
        <v>114</v>
      </c>
      <c r="M123" s="209">
        <f>(175*M79)/M66</f>
        <v>622.51874999999995</v>
      </c>
      <c r="N123" s="208" t="s">
        <v>114</v>
      </c>
      <c r="O123" s="209">
        <f>(175*O79)/O66</f>
        <v>647.61751033057851</v>
      </c>
      <c r="P123" s="208" t="s">
        <v>114</v>
      </c>
      <c r="Q123" s="209">
        <f>(175*Q79)/Q66</f>
        <v>641.78719008264466</v>
      </c>
      <c r="R123" s="208" t="s">
        <v>114</v>
      </c>
      <c r="S123" s="209">
        <f>(175*S79)/S66</f>
        <v>641.78719008264466</v>
      </c>
      <c r="T123" s="208" t="s">
        <v>114</v>
      </c>
      <c r="U123" s="209">
        <f>(175*U79)/U66</f>
        <v>648.70222107438019</v>
      </c>
      <c r="V123" s="208" t="s">
        <v>114</v>
      </c>
      <c r="W123" s="209">
        <f>(175*W79)/W66</f>
        <v>648.43104338842977</v>
      </c>
      <c r="X123" s="208" t="s">
        <v>114</v>
      </c>
      <c r="Y123" s="209">
        <f>(175*Y79)/Y66</f>
        <v>649.33496900826447</v>
      </c>
      <c r="Z123" s="208" t="s">
        <v>114</v>
      </c>
      <c r="AA123" s="209">
        <f>(175*AA79)/AA66</f>
        <v>660.63403925619832</v>
      </c>
      <c r="AB123" s="208" t="s">
        <v>114</v>
      </c>
      <c r="AC123" s="209">
        <f>(175*AC79)/AC66</f>
        <v>663.16503099173553</v>
      </c>
      <c r="AD123" s="208" t="s">
        <v>114</v>
      </c>
      <c r="AE123" s="209">
        <f>(175*AE79)/AE66</f>
        <v>676.9950929752066</v>
      </c>
      <c r="AF123" s="208" t="s">
        <v>114</v>
      </c>
      <c r="AG123" s="209">
        <f>(175*AG79)/AG66</f>
        <v>671.3003615702479</v>
      </c>
      <c r="AH123" s="208" t="s">
        <v>114</v>
      </c>
      <c r="AI123" s="209">
        <f>(175*AI79)/AI66</f>
        <v>679.61647727272725</v>
      </c>
      <c r="AJ123" s="208" t="s">
        <v>114</v>
      </c>
      <c r="AK123" s="209">
        <f>(175*AK79)/AK66</f>
        <v>696.83626033057851</v>
      </c>
      <c r="AL123" s="208" t="s">
        <v>114</v>
      </c>
      <c r="AM123" s="209">
        <f t="shared" ref="AM123" si="1546">(175*AM79)/AM66</f>
        <v>707.09581611570252</v>
      </c>
      <c r="AN123" s="208" t="s">
        <v>114</v>
      </c>
      <c r="AO123" s="209">
        <f t="shared" ref="AO123:AQ123" si="1547">(175*AO79)/AO66</f>
        <v>706.10149793388427</v>
      </c>
      <c r="AP123" s="208" t="s">
        <v>114</v>
      </c>
      <c r="AQ123" s="209">
        <f t="shared" si="1547"/>
        <v>692.90418388429748</v>
      </c>
      <c r="AR123" s="208" t="s">
        <v>114</v>
      </c>
      <c r="AS123" s="209">
        <f t="shared" ref="AS123" si="1548">(175*AS79)/AS66</f>
        <v>682.05707644628103</v>
      </c>
      <c r="AT123" s="208" t="s">
        <v>114</v>
      </c>
      <c r="AU123" s="209">
        <f t="shared" ref="AU123" si="1549">(175*AU79)/AU66</f>
        <v>690.37319214876038</v>
      </c>
      <c r="AV123" s="208" t="s">
        <v>114</v>
      </c>
      <c r="AW123" s="209">
        <f t="shared" ref="AW123" si="1550">(175*AW79)/AW66</f>
        <v>671.48114669421489</v>
      </c>
      <c r="AX123" s="208" t="s">
        <v>114</v>
      </c>
      <c r="AY123" s="209">
        <f t="shared" ref="AY123" si="1551">(175*AY79)/AY66</f>
        <v>668.04622933884298</v>
      </c>
      <c r="AZ123" s="208" t="s">
        <v>114</v>
      </c>
      <c r="BA123" s="209">
        <f t="shared" ref="BA123:BC123" si="1552">(175*BA79)/BA66</f>
        <v>674.82567148760336</v>
      </c>
      <c r="BB123" s="208" t="s">
        <v>114</v>
      </c>
      <c r="BC123" s="209">
        <f t="shared" si="1552"/>
        <v>679.02892561983469</v>
      </c>
      <c r="BD123" s="208" t="s">
        <v>114</v>
      </c>
      <c r="BE123" s="209">
        <f t="shared" ref="BE123:BK123" si="1553">(175*BE79)/BE66</f>
        <v>688.6105371900826</v>
      </c>
      <c r="BF123" s="208" t="s">
        <v>114</v>
      </c>
      <c r="BG123" s="209">
        <f t="shared" si="1553"/>
        <v>693.08496900826447</v>
      </c>
      <c r="BH123" s="208" t="s">
        <v>114</v>
      </c>
      <c r="BI123" s="209">
        <f t="shared" si="1553"/>
        <v>710.16916322314046</v>
      </c>
      <c r="BJ123" s="208" t="s">
        <v>114</v>
      </c>
      <c r="BK123" s="209">
        <f t="shared" si="1553"/>
        <v>709.08445247933889</v>
      </c>
      <c r="BL123" s="208" t="s">
        <v>114</v>
      </c>
      <c r="BM123" s="209">
        <f t="shared" ref="BM123:BO123" si="1554">(175*BM79)/BM66</f>
        <v>701.44628099173553</v>
      </c>
      <c r="BN123" s="208" t="s">
        <v>114</v>
      </c>
      <c r="BO123" s="209">
        <f t="shared" si="1554"/>
        <v>704.24845041322317</v>
      </c>
      <c r="BP123" s="208" t="s">
        <v>114</v>
      </c>
      <c r="BQ123" s="209">
        <f t="shared" ref="BQ123:BS123" si="1555">(175*BQ79)/BQ66</f>
        <v>709.62680785123962</v>
      </c>
      <c r="BR123" s="208" t="s">
        <v>114</v>
      </c>
      <c r="BS123" s="209">
        <f t="shared" si="1555"/>
        <v>708.76807851239664</v>
      </c>
      <c r="BT123" s="208" t="s">
        <v>114</v>
      </c>
      <c r="BU123" s="209">
        <f t="shared" ref="BU123:BW123" si="1556">(175*BU79)/BU66</f>
        <v>726.07825413223145</v>
      </c>
      <c r="BV123" s="208" t="s">
        <v>114</v>
      </c>
      <c r="BW123" s="209">
        <f t="shared" si="1556"/>
        <v>726.62060950413218</v>
      </c>
      <c r="BX123" s="208" t="s">
        <v>114</v>
      </c>
      <c r="BY123" s="209">
        <f t="shared" ref="BY123:CA123" si="1557">(175*BY79)/BY66</f>
        <v>736.11182851239664</v>
      </c>
      <c r="BZ123" s="208" t="s">
        <v>114</v>
      </c>
      <c r="CA123" s="209">
        <f t="shared" si="1557"/>
        <v>735.07231404958679</v>
      </c>
      <c r="CB123" s="208" t="s">
        <v>114</v>
      </c>
      <c r="CC123" s="209">
        <f t="shared" ref="CC123:CE123" si="1558">(175*CC79)/CC66</f>
        <v>721.6490185950413</v>
      </c>
      <c r="CD123" s="208" t="s">
        <v>114</v>
      </c>
      <c r="CE123" s="209">
        <f t="shared" si="1558"/>
        <v>673.00625000000002</v>
      </c>
      <c r="CF123" s="208" t="s">
        <v>114</v>
      </c>
      <c r="CG123" s="209">
        <f t="shared" ref="CG123:CI123" si="1559">(175*CG79)/CG66</f>
        <v>677.25</v>
      </c>
      <c r="CH123" s="208" t="s">
        <v>114</v>
      </c>
      <c r="CI123" s="209">
        <f t="shared" si="1559"/>
        <v>689.89374999999995</v>
      </c>
      <c r="CJ123" s="208" t="s">
        <v>114</v>
      </c>
      <c r="CK123" s="209">
        <f t="shared" ref="CK123:CM123" si="1560">(175*CK79)/CK66</f>
        <v>698.77499999999998</v>
      </c>
      <c r="CL123" s="208" t="s">
        <v>114</v>
      </c>
      <c r="CM123" s="209">
        <f t="shared" si="1560"/>
        <v>678.125</v>
      </c>
      <c r="CN123" s="208" t="s">
        <v>114</v>
      </c>
      <c r="CO123" s="209">
        <f t="shared" ref="CO123" si="1561">(175*CO79)/CO66</f>
        <v>708.76807851239664</v>
      </c>
      <c r="CP123" s="208" t="s">
        <v>114</v>
      </c>
      <c r="CQ123" s="209">
        <f>(175*CQ79)/CQ66</f>
        <v>648.18767879847428</v>
      </c>
      <c r="CR123" s="208" t="s">
        <v>114</v>
      </c>
      <c r="CS123" s="209">
        <f>(175*CS79)/CS66</f>
        <v>659.92110512161935</v>
      </c>
      <c r="CT123" s="208" t="s">
        <v>114</v>
      </c>
      <c r="CU123" s="209">
        <f>(175*CU79)/CU66</f>
        <v>679.61647727272725</v>
      </c>
      <c r="CV123" s="208" t="s">
        <v>114</v>
      </c>
      <c r="CW123" s="209">
        <f>(175*CW79)/CW66</f>
        <v>677.94421487603302</v>
      </c>
      <c r="CX123" s="208" t="s">
        <v>114</v>
      </c>
      <c r="CY123" s="209">
        <f>(175*CY79)/CY66</f>
        <v>653.61431115406049</v>
      </c>
      <c r="CZ123" s="208" t="s">
        <v>114</v>
      </c>
      <c r="DA123" s="209">
        <f>(175*DA79)/DA66</f>
        <v>668.90495867768595</v>
      </c>
      <c r="DB123" s="208" t="s">
        <v>114</v>
      </c>
      <c r="DC123" s="209">
        <f>(175*DC79)/DC66</f>
        <v>668.90495867768595</v>
      </c>
      <c r="DD123" s="208" t="s">
        <v>114</v>
      </c>
      <c r="DE123" s="209">
        <f>(175*DE79)/DE66</f>
        <v>677.94421487603302</v>
      </c>
      <c r="DF123" s="208" t="s">
        <v>114</v>
      </c>
      <c r="DG123" s="209">
        <f>(175*DG79)/DG66</f>
        <v>677.94421487603302</v>
      </c>
    </row>
    <row r="124" spans="1:111" ht="15" customHeight="1" outlineLevel="2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359"/>
      <c r="O124" s="1094">
        <f>O99+N72</f>
        <v>6.1647553581845614E-2</v>
      </c>
      <c r="P124" s="1095"/>
      <c r="Q124" s="1094"/>
      <c r="R124" s="1095"/>
      <c r="S124" s="1094"/>
      <c r="T124" s="1095"/>
      <c r="U124" s="1094">
        <f>U99+T72</f>
        <v>4.2619801177657138E-2</v>
      </c>
      <c r="V124" s="1095"/>
      <c r="W124" s="1094">
        <f>W99+V72</f>
        <v>5.3308065222662286E-2</v>
      </c>
      <c r="X124" s="1095"/>
      <c r="Y124" s="1094">
        <f>Y99+X72</f>
        <v>3.6006481439789281E-2</v>
      </c>
      <c r="Z124" s="1095"/>
      <c r="AA124" s="1094">
        <f>AA99+Z72</f>
        <v>6.18174788329145E-3</v>
      </c>
      <c r="AB124" s="1095"/>
      <c r="AC124" s="1094">
        <f>AC99+AB72</f>
        <v>3.120778512191702E-2</v>
      </c>
      <c r="AD124" s="1095"/>
      <c r="AE124" s="1094">
        <f>AE99+AD72</f>
        <v>7.8006219774412841E-2</v>
      </c>
      <c r="AF124" s="1095"/>
      <c r="AG124" s="1094">
        <f>AG99+AF72</f>
        <v>0.11917618832762414</v>
      </c>
      <c r="AH124" s="1095"/>
      <c r="AI124" s="1094">
        <f>AI99+AH72</f>
        <v>0.16037872090240352</v>
      </c>
      <c r="AJ124" s="1095"/>
      <c r="AK124" s="1094">
        <f>AK99+AJ72</f>
        <v>0.19492227339950968</v>
      </c>
      <c r="AL124" s="1095"/>
      <c r="AM124" s="1094">
        <f t="shared" ref="AM124" si="1562">AM99+AL72</f>
        <v>0.20934926358287897</v>
      </c>
      <c r="AN124" s="1095"/>
      <c r="AO124" s="1094">
        <f t="shared" ref="AO124:AQ124" si="1563">AO99+AN72</f>
        <v>0.1547776907086732</v>
      </c>
      <c r="AP124" s="1095"/>
      <c r="AQ124" s="1094">
        <f t="shared" si="1563"/>
        <v>0.10635956767516198</v>
      </c>
      <c r="AR124" s="1095"/>
      <c r="AS124" s="1094">
        <f t="shared" ref="AS124" si="1564">AS99+AR72</f>
        <v>0.10252929579141755</v>
      </c>
      <c r="AT124" s="1095"/>
      <c r="AU124" s="1094">
        <f t="shared" ref="AU124" si="1565">AU99+AT72</f>
        <v>0.12493630134294079</v>
      </c>
      <c r="AV124" s="1095"/>
      <c r="AW124" s="1094">
        <f t="shared" ref="AW124" si="1566">AW99+AV72</f>
        <v>6.9670763888387305E-2</v>
      </c>
      <c r="AX124" s="1095"/>
      <c r="AY124" s="1094">
        <f t="shared" ref="AY124" si="1567">AY99+AX72</f>
        <v>6.3047932508283833E-2</v>
      </c>
      <c r="AZ124" s="1095"/>
      <c r="BA124" s="1094">
        <f t="shared" ref="BA124" si="1568">BA99+AZ72</f>
        <v>0.10179317915416713</v>
      </c>
      <c r="BB124" s="1095"/>
      <c r="BC124" s="1094">
        <f t="shared" ref="BC124" si="1569">BC99+BB72</f>
        <v>0.11850360145266334</v>
      </c>
      <c r="BD124" s="1095"/>
      <c r="BE124" s="1094">
        <f t="shared" ref="BE124" si="1570">BE99+BD72</f>
        <v>0.1511711699078192</v>
      </c>
      <c r="BF124" s="1095"/>
      <c r="BG124" s="1094">
        <f t="shared" ref="BG124" si="1571">BG99+BF72</f>
        <v>0.15526125327018434</v>
      </c>
      <c r="BH124" s="1095"/>
      <c r="BI124" s="1094">
        <f t="shared" ref="BI124" si="1572">BI99+BH72</f>
        <v>0.17150200132461776</v>
      </c>
      <c r="BJ124" s="1095"/>
      <c r="BK124" s="1094">
        <f t="shared" ref="BK124" si="1573">BK99+BJ72</f>
        <v>0.17405170586988783</v>
      </c>
      <c r="BL124" s="1095"/>
      <c r="BM124" s="1094">
        <f t="shared" ref="BM124" si="1574">BM99+BL72</f>
        <v>0.17254225507817317</v>
      </c>
      <c r="BN124" s="1095"/>
      <c r="BO124" s="1094">
        <f t="shared" ref="BO124" si="1575">BO99+BN72</f>
        <v>0.14667880650482956</v>
      </c>
      <c r="BP124" s="1095"/>
      <c r="BQ124" s="1094">
        <f t="shared" ref="BQ124" si="1576">BQ99+BP72</f>
        <v>0.14852461617650295</v>
      </c>
      <c r="BR124" s="1095"/>
      <c r="BS124" s="1094">
        <f t="shared" ref="BS124" si="1577">BS99+BR72</f>
        <v>0.15865836115166571</v>
      </c>
      <c r="BT124" s="1095"/>
      <c r="BU124" s="1094">
        <f t="shared" ref="BU124" si="1578">BU99+BT72</f>
        <v>0.16001843824184886</v>
      </c>
      <c r="BV124" s="1095"/>
      <c r="BW124" s="1094">
        <f t="shared" ref="BW124" si="1579">BW99+BV72</f>
        <v>0.1575177249361715</v>
      </c>
      <c r="BX124" s="1095"/>
      <c r="BY124" s="1094">
        <f t="shared" ref="BY124" si="1580">BY99+BX72</f>
        <v>0.1637644525659647</v>
      </c>
      <c r="BZ124" s="1095"/>
      <c r="CA124" s="1094">
        <f t="shared" ref="CA124" si="1581">CA99+BZ72</f>
        <v>0.12897351880178939</v>
      </c>
      <c r="CB124" s="1095"/>
      <c r="CC124" s="1094">
        <f t="shared" ref="CC124" si="1582">CC99+CB72</f>
        <v>0.12577656446972149</v>
      </c>
      <c r="CD124" s="1095"/>
      <c r="CE124" s="1094">
        <f t="shared" ref="CE124" si="1583">CE99+CD72</f>
        <v>0.10846813942488613</v>
      </c>
      <c r="CF124" s="1095"/>
      <c r="CG124" s="1094">
        <f t="shared" ref="CG124" si="1584">CG99+CF72</f>
        <v>0.11262611411001583</v>
      </c>
      <c r="CH124" s="1095"/>
      <c r="CI124" s="1094">
        <f t="shared" ref="CI124" si="1585">CI99+CH72</f>
        <v>0.14521345488772225</v>
      </c>
      <c r="CJ124" s="1095"/>
      <c r="CK124" s="1094">
        <f t="shared" ref="CK124" si="1586">CK99+CJ72</f>
        <v>0.15417841066071078</v>
      </c>
      <c r="CL124" s="1095"/>
      <c r="CM124" s="1094">
        <f t="shared" ref="CM124" si="1587">CM99+CL72</f>
        <v>0.10714859020913613</v>
      </c>
      <c r="CN124" s="1095"/>
      <c r="CO124" s="1094">
        <f t="shared" ref="CO124" si="1588">CO99+CN72</f>
        <v>0.16198780277541144</v>
      </c>
      <c r="CP124" s="1095"/>
      <c r="CQ124" s="1094">
        <f>CQ99+CP72</f>
        <v>5.3095170234970762E-2</v>
      </c>
      <c r="CR124" s="1095"/>
      <c r="CS124" s="1094">
        <f>CS99+CR72</f>
        <v>2.5202602919344355E-2</v>
      </c>
      <c r="CT124" s="1095"/>
      <c r="CU124" s="1094">
        <f>CU99+CT72</f>
        <v>0.12868583492352242</v>
      </c>
      <c r="CV124" s="1095"/>
      <c r="CW124" s="1094">
        <f>CW99+CV72</f>
        <v>8.0422533859340908E-2</v>
      </c>
      <c r="CX124" s="1095"/>
      <c r="CY124" s="1094">
        <f>CY99+CX72</f>
        <v>3.9815140553506906E-2</v>
      </c>
      <c r="CZ124" s="1095"/>
      <c r="DA124" s="1094">
        <f>DA99+CZ72</f>
        <v>0.14430141980031114</v>
      </c>
      <c r="DB124" s="1095"/>
      <c r="DC124" s="1094">
        <f>DC99+DB72</f>
        <v>5.8234532052713915E-2</v>
      </c>
      <c r="DD124" s="1095"/>
      <c r="DE124" s="1094">
        <f>DE99+DD72</f>
        <v>4.3695587487161805E-2</v>
      </c>
      <c r="DF124" s="1095"/>
      <c r="DG124" s="1094">
        <f>DG99+DF72</f>
        <v>3.6726946372179221E-2</v>
      </c>
    </row>
    <row r="125" spans="1:111" ht="15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8114880</v>
      </c>
      <c r="H125" s="214"/>
      <c r="I125" s="215">
        <v>8114880</v>
      </c>
      <c r="J125" s="214"/>
      <c r="K125" s="215">
        <v>8114880</v>
      </c>
      <c r="L125" s="214"/>
      <c r="M125" s="215">
        <v>8114880</v>
      </c>
      <c r="N125" s="214"/>
      <c r="O125" s="215">
        <v>8114880</v>
      </c>
      <c r="P125" s="214"/>
      <c r="Q125" s="215">
        <f>O125</f>
        <v>8114880</v>
      </c>
      <c r="R125" s="214"/>
      <c r="S125" s="215">
        <f>Q125</f>
        <v>8114880</v>
      </c>
      <c r="T125" s="214"/>
      <c r="U125" s="215">
        <v>8114880</v>
      </c>
      <c r="V125" s="214"/>
      <c r="W125" s="215">
        <f>U125</f>
        <v>8114880</v>
      </c>
      <c r="X125" s="214"/>
      <c r="Y125" s="215">
        <f>W125</f>
        <v>8114880</v>
      </c>
      <c r="Z125" s="214"/>
      <c r="AA125" s="215">
        <f>Y125</f>
        <v>8114880</v>
      </c>
      <c r="AB125" s="214"/>
      <c r="AC125" s="215">
        <f>AA125</f>
        <v>8114880</v>
      </c>
      <c r="AD125" s="214"/>
      <c r="AE125" s="215">
        <f>AC125</f>
        <v>8114880</v>
      </c>
      <c r="AF125" s="214"/>
      <c r="AG125" s="215">
        <f>AE125</f>
        <v>8114880</v>
      </c>
      <c r="AH125" s="214"/>
      <c r="AI125" s="215">
        <f>AG125</f>
        <v>8114880</v>
      </c>
      <c r="AJ125" s="214"/>
      <c r="AK125" s="215">
        <f>AI125</f>
        <v>8114880</v>
      </c>
      <c r="AL125" s="214"/>
      <c r="AM125" s="215">
        <f t="shared" ref="AM125" si="1589">AK125</f>
        <v>8114880</v>
      </c>
      <c r="AN125" s="214"/>
      <c r="AO125" s="215">
        <f t="shared" ref="AO125" si="1590">AM125</f>
        <v>8114880</v>
      </c>
      <c r="AP125" s="214"/>
      <c r="AQ125" s="215">
        <f t="shared" ref="AQ125" si="1591">AO125</f>
        <v>8114880</v>
      </c>
      <c r="AR125" s="214"/>
      <c r="AS125" s="215">
        <f t="shared" ref="AS125" si="1592">AQ125</f>
        <v>8114880</v>
      </c>
      <c r="AT125" s="214"/>
      <c r="AU125" s="215">
        <f t="shared" ref="AU125" si="1593">AS125</f>
        <v>8114880</v>
      </c>
      <c r="AV125" s="214"/>
      <c r="AW125" s="215">
        <f t="shared" ref="AW125" si="1594">AU125</f>
        <v>8114880</v>
      </c>
      <c r="AX125" s="214"/>
      <c r="AY125" s="215">
        <f t="shared" ref="AY125" si="1595">AW125</f>
        <v>8114880</v>
      </c>
      <c r="AZ125" s="214"/>
      <c r="BA125" s="215">
        <f t="shared" ref="BA125" si="1596">AY125</f>
        <v>8114880</v>
      </c>
      <c r="BB125" s="214"/>
      <c r="BC125" s="215">
        <f t="shared" ref="BC125" si="1597">BA125</f>
        <v>8114880</v>
      </c>
      <c r="BD125" s="214"/>
      <c r="BE125" s="215" t="e">
        <f>#REF!</f>
        <v>#REF!</v>
      </c>
      <c r="BF125" s="214"/>
      <c r="BG125" s="215" t="e">
        <f t="shared" ref="BG125" si="1598">BE125</f>
        <v>#REF!</v>
      </c>
      <c r="BH125" s="214"/>
      <c r="BI125" s="215" t="e">
        <f t="shared" ref="BI125" si="1599">BG125</f>
        <v>#REF!</v>
      </c>
      <c r="BJ125" s="214"/>
      <c r="BK125" s="215" t="e">
        <f t="shared" ref="BK125" si="1600">BI125</f>
        <v>#REF!</v>
      </c>
      <c r="BL125" s="214"/>
      <c r="BM125" s="215" t="e">
        <f t="shared" ref="BM125" si="1601">BK125</f>
        <v>#REF!</v>
      </c>
      <c r="BN125" s="214"/>
      <c r="BO125" s="215" t="e">
        <f t="shared" ref="BO125" si="1602">BM125</f>
        <v>#REF!</v>
      </c>
      <c r="BP125" s="214"/>
      <c r="BQ125" s="215" t="e">
        <f t="shared" ref="BQ125" si="1603">BO125</f>
        <v>#REF!</v>
      </c>
      <c r="BR125" s="214"/>
      <c r="BS125" s="215" t="e">
        <f t="shared" ref="BS125" si="1604">BQ125</f>
        <v>#REF!</v>
      </c>
      <c r="BT125" s="214"/>
      <c r="BU125" s="215" t="e">
        <f t="shared" ref="BU125" si="1605">BS125</f>
        <v>#REF!</v>
      </c>
      <c r="BV125" s="214"/>
      <c r="BW125" s="215" t="e">
        <f t="shared" ref="BW125" si="1606">BU125</f>
        <v>#REF!</v>
      </c>
      <c r="BX125" s="214"/>
      <c r="BY125" s="215" t="e">
        <f t="shared" ref="BY125" si="1607">BW125</f>
        <v>#REF!</v>
      </c>
      <c r="BZ125" s="214"/>
      <c r="CA125" s="215" t="e">
        <f t="shared" ref="CA125" si="1608">BY125</f>
        <v>#REF!</v>
      </c>
      <c r="CB125" s="214"/>
      <c r="CC125" s="215" t="e">
        <f t="shared" ref="CC125" si="1609">CA125</f>
        <v>#REF!</v>
      </c>
      <c r="CD125" s="214"/>
      <c r="CE125" s="215" t="e">
        <f t="shared" ref="CE125" si="1610">CC125</f>
        <v>#REF!</v>
      </c>
      <c r="CF125" s="214"/>
      <c r="CG125" s="215" t="e">
        <f t="shared" ref="CG125" si="1611">CE125</f>
        <v>#REF!</v>
      </c>
      <c r="CH125" s="214"/>
      <c r="CI125" s="215" t="e">
        <f t="shared" ref="CI125" si="1612">CG125</f>
        <v>#REF!</v>
      </c>
      <c r="CJ125" s="214"/>
      <c r="CK125" s="215" t="e">
        <f t="shared" ref="CK125" si="1613">CI125</f>
        <v>#REF!</v>
      </c>
      <c r="CL125" s="214"/>
      <c r="CM125" s="215" t="e">
        <f t="shared" ref="CM125" si="1614">CE125</f>
        <v>#REF!</v>
      </c>
      <c r="CN125" s="214"/>
      <c r="CO125" s="215" t="e">
        <f t="shared" ref="CO125" si="1615">BS125</f>
        <v>#REF!</v>
      </c>
      <c r="CP125" s="214"/>
      <c r="CQ125" s="215">
        <f>AI125</f>
        <v>8114880</v>
      </c>
      <c r="CR125" s="214"/>
      <c r="CS125" s="215">
        <f>CQ125</f>
        <v>8114880</v>
      </c>
      <c r="CT125" s="214"/>
      <c r="CU125" s="215">
        <f>CS125</f>
        <v>8114880</v>
      </c>
      <c r="CV125" s="214"/>
      <c r="CW125" s="215">
        <f>CU125</f>
        <v>8114880</v>
      </c>
      <c r="CX125" s="214"/>
      <c r="CY125" s="215">
        <f>CW125</f>
        <v>8114880</v>
      </c>
      <c r="CZ125" s="214"/>
      <c r="DA125" s="215">
        <f>CY125</f>
        <v>8114880</v>
      </c>
      <c r="DB125" s="214"/>
      <c r="DC125" s="215">
        <f>CW125</f>
        <v>8114880</v>
      </c>
      <c r="DD125" s="214"/>
      <c r="DE125" s="215">
        <f>CY125</f>
        <v>8114880</v>
      </c>
      <c r="DF125" s="214"/>
      <c r="DG125" s="215">
        <f>DA125</f>
        <v>8114880</v>
      </c>
    </row>
    <row r="126" spans="1:111" ht="15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>
        <f>G125/G10</f>
        <v>202872</v>
      </c>
      <c r="H126" s="214"/>
      <c r="I126" s="215">
        <f>I125/I10</f>
        <v>202872</v>
      </c>
      <c r="J126" s="214"/>
      <c r="K126" s="215">
        <f>K125/K10</f>
        <v>202872</v>
      </c>
      <c r="L126" s="214"/>
      <c r="M126" s="215">
        <f>M125/M10</f>
        <v>202872</v>
      </c>
      <c r="N126" s="214"/>
      <c r="O126" s="215">
        <f>O125/O10</f>
        <v>202872</v>
      </c>
      <c r="P126" s="214"/>
      <c r="Q126" s="215">
        <f>Q125/Q10</f>
        <v>202872</v>
      </c>
      <c r="R126" s="214"/>
      <c r="S126" s="215">
        <f>S125/S10</f>
        <v>202872</v>
      </c>
      <c r="T126" s="214"/>
      <c r="U126" s="215">
        <f>U125/U10</f>
        <v>202872</v>
      </c>
      <c r="V126" s="214"/>
      <c r="W126" s="215">
        <f>W125/W10</f>
        <v>202872</v>
      </c>
      <c r="X126" s="214"/>
      <c r="Y126" s="215">
        <f>Y125/Y10</f>
        <v>202872</v>
      </c>
      <c r="Z126" s="214"/>
      <c r="AA126" s="215">
        <f>AA125/AA10</f>
        <v>202872</v>
      </c>
      <c r="AB126" s="214"/>
      <c r="AC126" s="215">
        <f>AC125/AC10</f>
        <v>202872</v>
      </c>
      <c r="AD126" s="214"/>
      <c r="AE126" s="215">
        <f>AE125/AE10</f>
        <v>202872</v>
      </c>
      <c r="AF126" s="214"/>
      <c r="AG126" s="215">
        <f>AG125/AG10</f>
        <v>202872</v>
      </c>
      <c r="AH126" s="214"/>
      <c r="AI126" s="215">
        <f>AI125/AI10</f>
        <v>202872</v>
      </c>
      <c r="AJ126" s="214"/>
      <c r="AK126" s="215">
        <f>AK125/AK10</f>
        <v>202872</v>
      </c>
      <c r="AL126" s="214"/>
      <c r="AM126" s="215">
        <f t="shared" ref="AM126" si="1616">AM125/AM10</f>
        <v>202872</v>
      </c>
      <c r="AN126" s="214"/>
      <c r="AO126" s="215">
        <f t="shared" ref="AO126" si="1617">AO125/AO10</f>
        <v>202872</v>
      </c>
      <c r="AP126" s="214"/>
      <c r="AQ126" s="215">
        <f t="shared" ref="AQ126" si="1618">AQ125/AQ10</f>
        <v>202872</v>
      </c>
      <c r="AR126" s="214"/>
      <c r="AS126" s="215">
        <f t="shared" ref="AS126" si="1619">AS125/AS10</f>
        <v>202872</v>
      </c>
      <c r="AT126" s="214"/>
      <c r="AU126" s="215">
        <f t="shared" ref="AU126" si="1620">AU125/AU10</f>
        <v>202872</v>
      </c>
      <c r="AV126" s="214"/>
      <c r="AW126" s="215">
        <f t="shared" ref="AW126" si="1621">AW125/AW10</f>
        <v>202872</v>
      </c>
      <c r="AX126" s="214"/>
      <c r="AY126" s="215">
        <f t="shared" ref="AY126" si="1622">AY125/AY10</f>
        <v>202872</v>
      </c>
      <c r="AZ126" s="214"/>
      <c r="BA126" s="215">
        <f t="shared" ref="BA126:BC126" si="1623">BA125/BA10</f>
        <v>202872</v>
      </c>
      <c r="BB126" s="214"/>
      <c r="BC126" s="215">
        <f t="shared" si="1623"/>
        <v>202872</v>
      </c>
      <c r="BD126" s="214"/>
      <c r="BE126" s="215" t="e">
        <f t="shared" ref="BE126:BK126" si="1624">BE125/BE10</f>
        <v>#REF!</v>
      </c>
      <c r="BF126" s="214"/>
      <c r="BG126" s="215" t="e">
        <f t="shared" si="1624"/>
        <v>#REF!</v>
      </c>
      <c r="BH126" s="214"/>
      <c r="BI126" s="215" t="e">
        <f t="shared" si="1624"/>
        <v>#REF!</v>
      </c>
      <c r="BJ126" s="214"/>
      <c r="BK126" s="215" t="e">
        <f t="shared" si="1624"/>
        <v>#REF!</v>
      </c>
      <c r="BL126" s="214"/>
      <c r="BM126" s="215" t="e">
        <f t="shared" ref="BM126:BO126" si="1625">BM125/BM10</f>
        <v>#REF!</v>
      </c>
      <c r="BN126" s="214"/>
      <c r="BO126" s="215" t="e">
        <f t="shared" si="1625"/>
        <v>#REF!</v>
      </c>
      <c r="BP126" s="214"/>
      <c r="BQ126" s="215" t="e">
        <f t="shared" ref="BQ126:BS126" si="1626">BQ125/BQ10</f>
        <v>#REF!</v>
      </c>
      <c r="BR126" s="214"/>
      <c r="BS126" s="215" t="e">
        <f t="shared" si="1626"/>
        <v>#REF!</v>
      </c>
      <c r="BT126" s="214"/>
      <c r="BU126" s="215" t="e">
        <f t="shared" ref="BU126:BW126" si="1627">BU125/BU10</f>
        <v>#REF!</v>
      </c>
      <c r="BV126" s="214"/>
      <c r="BW126" s="215" t="e">
        <f t="shared" si="1627"/>
        <v>#REF!</v>
      </c>
      <c r="BX126" s="214"/>
      <c r="BY126" s="215" t="e">
        <f t="shared" ref="BY126:CA126" si="1628">BY125/BY10</f>
        <v>#REF!</v>
      </c>
      <c r="BZ126" s="214"/>
      <c r="CA126" s="215" t="e">
        <f t="shared" si="1628"/>
        <v>#REF!</v>
      </c>
      <c r="CB126" s="214"/>
      <c r="CC126" s="215" t="e">
        <f t="shared" ref="CC126:CE126" si="1629">CC125/CC10</f>
        <v>#REF!</v>
      </c>
      <c r="CD126" s="214"/>
      <c r="CE126" s="215" t="e">
        <f t="shared" si="1629"/>
        <v>#REF!</v>
      </c>
      <c r="CF126" s="214"/>
      <c r="CG126" s="215" t="e">
        <f t="shared" ref="CG126:CI126" si="1630">CG125/CG10</f>
        <v>#REF!</v>
      </c>
      <c r="CH126" s="214"/>
      <c r="CI126" s="215" t="e">
        <f t="shared" si="1630"/>
        <v>#REF!</v>
      </c>
      <c r="CJ126" s="214"/>
      <c r="CK126" s="215" t="e">
        <f t="shared" ref="CK126" si="1631">CK125/CK10</f>
        <v>#REF!</v>
      </c>
      <c r="CL126" s="214"/>
      <c r="CM126" s="215" t="e">
        <f t="shared" ref="CM126" si="1632">CM125/CM10</f>
        <v>#REF!</v>
      </c>
      <c r="CN126" s="214"/>
      <c r="CO126" s="215" t="e">
        <f t="shared" ref="CO126" si="1633">CO125/CO10</f>
        <v>#REF!</v>
      </c>
      <c r="CP126" s="214"/>
      <c r="CQ126" s="215">
        <f>CQ125/CQ10</f>
        <v>202872</v>
      </c>
      <c r="CR126" s="214"/>
      <c r="CS126" s="215">
        <f>CS125/CS10</f>
        <v>202872</v>
      </c>
      <c r="CT126" s="214"/>
      <c r="CU126" s="215">
        <f>CU125/CU10</f>
        <v>202872</v>
      </c>
      <c r="CV126" s="214"/>
      <c r="CW126" s="215">
        <f>CW125/CW10</f>
        <v>202872</v>
      </c>
      <c r="CX126" s="214"/>
      <c r="CY126" s="215">
        <f>CY125/CY10</f>
        <v>202872</v>
      </c>
      <c r="CZ126" s="214"/>
      <c r="DA126" s="215">
        <f>DA125/DA10</f>
        <v>202872</v>
      </c>
      <c r="DB126" s="214"/>
      <c r="DC126" s="215">
        <f>DC125/DC10</f>
        <v>202872</v>
      </c>
      <c r="DD126" s="214"/>
      <c r="DE126" s="215">
        <f>DE125/DE10</f>
        <v>202872</v>
      </c>
      <c r="DF126" s="214"/>
      <c r="DG126" s="215">
        <f>DG125/DG10</f>
        <v>202872</v>
      </c>
    </row>
    <row r="127" spans="1:111" ht="15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>
        <f>G126/G66</f>
        <v>50.718000000000004</v>
      </c>
      <c r="H127" s="214"/>
      <c r="I127" s="215">
        <f>I126/I66</f>
        <v>50.718000000000004</v>
      </c>
      <c r="J127" s="214"/>
      <c r="K127" s="215">
        <f>K126/K66</f>
        <v>50.718000000000004</v>
      </c>
      <c r="L127" s="214"/>
      <c r="M127" s="215">
        <f>M126/M66</f>
        <v>50.718000000000004</v>
      </c>
      <c r="N127" s="214"/>
      <c r="O127" s="215">
        <f>O126/O66</f>
        <v>52.394628099173552</v>
      </c>
      <c r="P127" s="214"/>
      <c r="Q127" s="215">
        <f>Q126/Q66</f>
        <v>52.394628099173552</v>
      </c>
      <c r="R127" s="214"/>
      <c r="S127" s="215">
        <f>S126/S66</f>
        <v>52.394628099173552</v>
      </c>
      <c r="T127" s="214"/>
      <c r="U127" s="215">
        <f>U126/U66</f>
        <v>52.394628099173552</v>
      </c>
      <c r="V127" s="214"/>
      <c r="W127" s="215">
        <f>W126/W66</f>
        <v>52.394628099173552</v>
      </c>
      <c r="X127" s="214"/>
      <c r="Y127" s="215">
        <f>Y126/Y66</f>
        <v>52.394628099173552</v>
      </c>
      <c r="Z127" s="214"/>
      <c r="AA127" s="215">
        <f>AA126/AA66</f>
        <v>52.394628099173552</v>
      </c>
      <c r="AB127" s="214"/>
      <c r="AC127" s="215">
        <f>AC126/AC66</f>
        <v>52.394628099173552</v>
      </c>
      <c r="AD127" s="214"/>
      <c r="AE127" s="215">
        <f>AE126/AE66</f>
        <v>52.394628099173552</v>
      </c>
      <c r="AF127" s="214"/>
      <c r="AG127" s="215">
        <f>AG126/AG66</f>
        <v>52.394628099173552</v>
      </c>
      <c r="AH127" s="214"/>
      <c r="AI127" s="215">
        <f>AI126/AI66</f>
        <v>52.394628099173552</v>
      </c>
      <c r="AJ127" s="214"/>
      <c r="AK127" s="215">
        <f>AK126/AK66</f>
        <v>52.394628099173552</v>
      </c>
      <c r="AL127" s="214"/>
      <c r="AM127" s="215">
        <f t="shared" ref="AM127" si="1634">AM126/AM66</f>
        <v>52.394628099173552</v>
      </c>
      <c r="AN127" s="214"/>
      <c r="AO127" s="215">
        <f t="shared" ref="AO127" si="1635">AO126/AO66</f>
        <v>52.394628099173552</v>
      </c>
      <c r="AP127" s="214"/>
      <c r="AQ127" s="215">
        <f t="shared" ref="AQ127" si="1636">AQ126/AQ66</f>
        <v>52.394628099173552</v>
      </c>
      <c r="AR127" s="214"/>
      <c r="AS127" s="215">
        <f t="shared" ref="AS127" si="1637">AS126/AS66</f>
        <v>52.394628099173552</v>
      </c>
      <c r="AT127" s="214"/>
      <c r="AU127" s="215">
        <f t="shared" ref="AU127" si="1638">AU126/AU66</f>
        <v>52.394628099173552</v>
      </c>
      <c r="AV127" s="214"/>
      <c r="AW127" s="215">
        <f t="shared" ref="AW127" si="1639">AW126/AW66</f>
        <v>52.394628099173552</v>
      </c>
      <c r="AX127" s="214"/>
      <c r="AY127" s="215">
        <f t="shared" ref="AY127" si="1640">AY126/AY66</f>
        <v>52.394628099173552</v>
      </c>
      <c r="AZ127" s="214"/>
      <c r="BA127" s="215">
        <f t="shared" ref="BA127:BC127" si="1641">BA126/BA66</f>
        <v>52.394628099173552</v>
      </c>
      <c r="BB127" s="214"/>
      <c r="BC127" s="215">
        <f t="shared" si="1641"/>
        <v>52.394628099173552</v>
      </c>
      <c r="BD127" s="214"/>
      <c r="BE127" s="215" t="e">
        <f t="shared" ref="BE127:BK127" si="1642">BE126/BE66</f>
        <v>#REF!</v>
      </c>
      <c r="BF127" s="214"/>
      <c r="BG127" s="215" t="e">
        <f t="shared" si="1642"/>
        <v>#REF!</v>
      </c>
      <c r="BH127" s="214"/>
      <c r="BI127" s="215" t="e">
        <f t="shared" si="1642"/>
        <v>#REF!</v>
      </c>
      <c r="BJ127" s="214"/>
      <c r="BK127" s="215" t="e">
        <f t="shared" si="1642"/>
        <v>#REF!</v>
      </c>
      <c r="BL127" s="214"/>
      <c r="BM127" s="215" t="e">
        <f t="shared" ref="BM127:BO127" si="1643">BM126/BM66</f>
        <v>#REF!</v>
      </c>
      <c r="BN127" s="214"/>
      <c r="BO127" s="215" t="e">
        <f t="shared" si="1643"/>
        <v>#REF!</v>
      </c>
      <c r="BP127" s="214"/>
      <c r="BQ127" s="215" t="e">
        <f t="shared" ref="BQ127:BS127" si="1644">BQ126/BQ66</f>
        <v>#REF!</v>
      </c>
      <c r="BR127" s="214"/>
      <c r="BS127" s="215" t="e">
        <f t="shared" si="1644"/>
        <v>#REF!</v>
      </c>
      <c r="BT127" s="214"/>
      <c r="BU127" s="215" t="e">
        <f t="shared" ref="BU127:BW127" si="1645">BU126/BU66</f>
        <v>#REF!</v>
      </c>
      <c r="BV127" s="214"/>
      <c r="BW127" s="215" t="e">
        <f t="shared" si="1645"/>
        <v>#REF!</v>
      </c>
      <c r="BX127" s="214"/>
      <c r="BY127" s="215" t="e">
        <f t="shared" ref="BY127:CA127" si="1646">BY126/BY66</f>
        <v>#REF!</v>
      </c>
      <c r="BZ127" s="214"/>
      <c r="CA127" s="215" t="e">
        <f t="shared" si="1646"/>
        <v>#REF!</v>
      </c>
      <c r="CB127" s="214"/>
      <c r="CC127" s="215" t="e">
        <f t="shared" ref="CC127:CE127" si="1647">CC126/CC66</f>
        <v>#REF!</v>
      </c>
      <c r="CD127" s="214"/>
      <c r="CE127" s="215" t="e">
        <f t="shared" si="1647"/>
        <v>#REF!</v>
      </c>
      <c r="CF127" s="214"/>
      <c r="CG127" s="215" t="e">
        <f t="shared" ref="CG127:CI127" si="1648">CG126/CG66</f>
        <v>#REF!</v>
      </c>
      <c r="CH127" s="214"/>
      <c r="CI127" s="215" t="e">
        <f t="shared" si="1648"/>
        <v>#REF!</v>
      </c>
      <c r="CJ127" s="214"/>
      <c r="CK127" s="215" t="e">
        <f t="shared" ref="CK127" si="1649">CK126/CK66</f>
        <v>#REF!</v>
      </c>
      <c r="CL127" s="214"/>
      <c r="CM127" s="215" t="e">
        <f t="shared" ref="CM127" si="1650">CM126/CM66</f>
        <v>#REF!</v>
      </c>
      <c r="CN127" s="214"/>
      <c r="CO127" s="215" t="e">
        <f t="shared" ref="CO127" si="1651">CO126/CO66</f>
        <v>#REF!</v>
      </c>
      <c r="CP127" s="214"/>
      <c r="CQ127" s="215">
        <f>CQ126/CQ66</f>
        <v>52.394628099173552</v>
      </c>
      <c r="CR127" s="214"/>
      <c r="CS127" s="215">
        <f>CS126/CS66</f>
        <v>52.394628099173552</v>
      </c>
      <c r="CT127" s="214"/>
      <c r="CU127" s="215">
        <f>CU126/CU66</f>
        <v>52.394628099173552</v>
      </c>
      <c r="CV127" s="214"/>
      <c r="CW127" s="215">
        <f>CW126/CW66</f>
        <v>52.394628099173552</v>
      </c>
      <c r="CX127" s="214"/>
      <c r="CY127" s="215">
        <f>CY126/CY66</f>
        <v>52.394628099173552</v>
      </c>
      <c r="CZ127" s="214"/>
      <c r="DA127" s="215">
        <f>DA126/DA66</f>
        <v>52.394628099173552</v>
      </c>
      <c r="DB127" s="214"/>
      <c r="DC127" s="215">
        <f>DC126/DC66</f>
        <v>52.394628099173552</v>
      </c>
      <c r="DD127" s="214"/>
      <c r="DE127" s="215">
        <f>DE126/DE66</f>
        <v>52.394628099173552</v>
      </c>
      <c r="DF127" s="214"/>
      <c r="DG127" s="215">
        <f>DG126/DG66</f>
        <v>52.394628099173552</v>
      </c>
    </row>
    <row r="128" spans="1:111" ht="14.45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11767440</v>
      </c>
      <c r="H128" s="219"/>
      <c r="I128" s="220">
        <f>G128</f>
        <v>11767440</v>
      </c>
      <c r="J128" s="219"/>
      <c r="K128" s="220">
        <f>I128</f>
        <v>11767440</v>
      </c>
      <c r="L128" s="219"/>
      <c r="M128" s="220">
        <f>K128</f>
        <v>11767440</v>
      </c>
      <c r="N128" s="219"/>
      <c r="O128" s="220">
        <v>12167440</v>
      </c>
      <c r="P128" s="219"/>
      <c r="Q128" s="220">
        <f>O128</f>
        <v>12167440</v>
      </c>
      <c r="R128" s="219"/>
      <c r="S128" s="220">
        <f>Q128</f>
        <v>12167440</v>
      </c>
      <c r="T128" s="219"/>
      <c r="U128" s="220">
        <v>12167440</v>
      </c>
      <c r="V128" s="219"/>
      <c r="W128" s="220">
        <f>U128</f>
        <v>12167440</v>
      </c>
      <c r="X128" s="219"/>
      <c r="Y128" s="220">
        <f>W128</f>
        <v>12167440</v>
      </c>
      <c r="Z128" s="219"/>
      <c r="AA128" s="220">
        <f>Y128</f>
        <v>12167440</v>
      </c>
      <c r="AB128" s="219"/>
      <c r="AC128" s="220">
        <f>AA128</f>
        <v>12167440</v>
      </c>
      <c r="AD128" s="219"/>
      <c r="AE128" s="220">
        <f>AC128</f>
        <v>12167440</v>
      </c>
      <c r="AF128" s="219"/>
      <c r="AG128" s="220">
        <f>AE128</f>
        <v>12167440</v>
      </c>
      <c r="AH128" s="219"/>
      <c r="AI128" s="220">
        <f>AG128</f>
        <v>12167440</v>
      </c>
      <c r="AJ128" s="219"/>
      <c r="AK128" s="220">
        <f>AI128</f>
        <v>12167440</v>
      </c>
      <c r="AL128" s="219"/>
      <c r="AM128" s="220">
        <f t="shared" ref="AM128" si="1652">AK128</f>
        <v>12167440</v>
      </c>
      <c r="AN128" s="219"/>
      <c r="AO128" s="220">
        <f t="shared" ref="AO128" si="1653">AM128</f>
        <v>12167440</v>
      </c>
      <c r="AP128" s="219"/>
      <c r="AQ128" s="220">
        <f t="shared" ref="AQ128" si="1654">AO128</f>
        <v>12167440</v>
      </c>
      <c r="AR128" s="219"/>
      <c r="AS128" s="220">
        <f t="shared" ref="AS128" si="1655">AQ128</f>
        <v>12167440</v>
      </c>
      <c r="AT128" s="219"/>
      <c r="AU128" s="220">
        <f t="shared" ref="AU128" si="1656">AS128</f>
        <v>12167440</v>
      </c>
      <c r="AV128" s="219"/>
      <c r="AW128" s="220">
        <f t="shared" ref="AW128" si="1657">AU128</f>
        <v>12167440</v>
      </c>
      <c r="AX128" s="219"/>
      <c r="AY128" s="220">
        <f t="shared" ref="AY128" si="1658">AW128</f>
        <v>12167440</v>
      </c>
      <c r="AZ128" s="219"/>
      <c r="BA128" s="220">
        <f t="shared" ref="BA128" si="1659">AY128</f>
        <v>12167440</v>
      </c>
      <c r="BB128" s="219"/>
      <c r="BC128" s="220">
        <f t="shared" ref="BC128" si="1660">BA128</f>
        <v>12167440</v>
      </c>
      <c r="BD128" s="219"/>
      <c r="BE128" s="220" t="e">
        <f>#REF!</f>
        <v>#REF!</v>
      </c>
      <c r="BF128" s="219"/>
      <c r="BG128" s="220" t="e">
        <f t="shared" ref="BG128" si="1661">BE128</f>
        <v>#REF!</v>
      </c>
      <c r="BH128" s="219"/>
      <c r="BI128" s="220" t="e">
        <f t="shared" ref="BI128" si="1662">BG128</f>
        <v>#REF!</v>
      </c>
      <c r="BJ128" s="219"/>
      <c r="BK128" s="220" t="e">
        <f t="shared" ref="BK128" si="1663">BI128</f>
        <v>#REF!</v>
      </c>
      <c r="BL128" s="219"/>
      <c r="BM128" s="220" t="e">
        <f t="shared" ref="BM128" si="1664">BK128</f>
        <v>#REF!</v>
      </c>
      <c r="BN128" s="219"/>
      <c r="BO128" s="220" t="e">
        <f t="shared" ref="BO128" si="1665">BM128</f>
        <v>#REF!</v>
      </c>
      <c r="BP128" s="219"/>
      <c r="BQ128" s="220" t="e">
        <f t="shared" ref="BQ128" si="1666">BO128</f>
        <v>#REF!</v>
      </c>
      <c r="BR128" s="219"/>
      <c r="BS128" s="220" t="e">
        <f t="shared" ref="BS128" si="1667">BQ128</f>
        <v>#REF!</v>
      </c>
      <c r="BT128" s="219"/>
      <c r="BU128" s="220" t="e">
        <f t="shared" ref="BU128" si="1668">BS128</f>
        <v>#REF!</v>
      </c>
      <c r="BV128" s="219"/>
      <c r="BW128" s="220" t="e">
        <f t="shared" ref="BW128" si="1669">BU128</f>
        <v>#REF!</v>
      </c>
      <c r="BX128" s="219"/>
      <c r="BY128" s="220" t="e">
        <f t="shared" ref="BY128" si="1670">BW128</f>
        <v>#REF!</v>
      </c>
      <c r="BZ128" s="219"/>
      <c r="CA128" s="220" t="e">
        <f t="shared" ref="CA128" si="1671">BY128</f>
        <v>#REF!</v>
      </c>
      <c r="CB128" s="219"/>
      <c r="CC128" s="220" t="e">
        <f t="shared" ref="CC128" si="1672">CA128</f>
        <v>#REF!</v>
      </c>
      <c r="CD128" s="219"/>
      <c r="CE128" s="220" t="e">
        <f t="shared" ref="CE128" si="1673">CC128</f>
        <v>#REF!</v>
      </c>
      <c r="CF128" s="219"/>
      <c r="CG128" s="220" t="e">
        <f t="shared" ref="CG128" si="1674">CE128</f>
        <v>#REF!</v>
      </c>
      <c r="CH128" s="219"/>
      <c r="CI128" s="220" t="e">
        <f t="shared" ref="CI128" si="1675">CG128</f>
        <v>#REF!</v>
      </c>
      <c r="CJ128" s="219"/>
      <c r="CK128" s="220" t="e">
        <f t="shared" ref="CK128" si="1676">CI128</f>
        <v>#REF!</v>
      </c>
      <c r="CL128" s="219"/>
      <c r="CM128" s="220" t="e">
        <f t="shared" ref="CM128" si="1677">CE128</f>
        <v>#REF!</v>
      </c>
      <c r="CN128" s="219"/>
      <c r="CO128" s="220" t="e">
        <f t="shared" ref="CO128" si="1678">BS128</f>
        <v>#REF!</v>
      </c>
      <c r="CP128" s="219"/>
      <c r="CQ128" s="220">
        <f>AI128</f>
        <v>12167440</v>
      </c>
      <c r="CR128" s="219"/>
      <c r="CS128" s="220">
        <f>CQ128</f>
        <v>12167440</v>
      </c>
      <c r="CT128" s="219"/>
      <c r="CU128" s="220">
        <f>CS128</f>
        <v>12167440</v>
      </c>
      <c r="CV128" s="219"/>
      <c r="CW128" s="220">
        <f>CU128</f>
        <v>12167440</v>
      </c>
      <c r="CX128" s="219"/>
      <c r="CY128" s="220">
        <f>CW128</f>
        <v>12167440</v>
      </c>
      <c r="CZ128" s="219"/>
      <c r="DA128" s="220">
        <f>CY128</f>
        <v>12167440</v>
      </c>
      <c r="DB128" s="219"/>
      <c r="DC128" s="220">
        <f>CW128</f>
        <v>12167440</v>
      </c>
      <c r="DD128" s="219"/>
      <c r="DE128" s="220">
        <f>CY128</f>
        <v>12167440</v>
      </c>
      <c r="DF128" s="219"/>
      <c r="DG128" s="220">
        <f>DA128</f>
        <v>12167440</v>
      </c>
    </row>
    <row r="129" spans="1:111" ht="14.45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294186</v>
      </c>
      <c r="H129" s="219"/>
      <c r="I129" s="221">
        <f>I128/I10</f>
        <v>294186</v>
      </c>
      <c r="J129" s="219"/>
      <c r="K129" s="221">
        <f>K128/K10</f>
        <v>294186</v>
      </c>
      <c r="L129" s="219"/>
      <c r="M129" s="221">
        <f>M128/M10</f>
        <v>294186</v>
      </c>
      <c r="N129" s="219"/>
      <c r="O129" s="221">
        <f>O128/O10</f>
        <v>304186</v>
      </c>
      <c r="P129" s="219"/>
      <c r="Q129" s="221">
        <f>Q128/Q10</f>
        <v>304186</v>
      </c>
      <c r="R129" s="219"/>
      <c r="S129" s="221">
        <f>S128/S10</f>
        <v>304186</v>
      </c>
      <c r="T129" s="219"/>
      <c r="U129" s="221">
        <f>U128/U10</f>
        <v>304186</v>
      </c>
      <c r="V129" s="219"/>
      <c r="W129" s="221">
        <f>W128/W10</f>
        <v>304186</v>
      </c>
      <c r="X129" s="219"/>
      <c r="Y129" s="221">
        <f>Y128/Y10</f>
        <v>304186</v>
      </c>
      <c r="Z129" s="219"/>
      <c r="AA129" s="221">
        <f>AA128/AA10</f>
        <v>304186</v>
      </c>
      <c r="AB129" s="219"/>
      <c r="AC129" s="221">
        <f>AC128/AC10</f>
        <v>304186</v>
      </c>
      <c r="AD129" s="219"/>
      <c r="AE129" s="221">
        <f>AE128/AE10</f>
        <v>304186</v>
      </c>
      <c r="AF129" s="219"/>
      <c r="AG129" s="221">
        <f>AG128/AG10</f>
        <v>304186</v>
      </c>
      <c r="AH129" s="219"/>
      <c r="AI129" s="221">
        <f>AI128/AI10</f>
        <v>304186</v>
      </c>
      <c r="AJ129" s="219"/>
      <c r="AK129" s="221">
        <f>AK128/AK10</f>
        <v>304186</v>
      </c>
      <c r="AL129" s="219"/>
      <c r="AM129" s="221">
        <f t="shared" ref="AM129" si="1679">AM128/AM10</f>
        <v>304186</v>
      </c>
      <c r="AN129" s="219"/>
      <c r="AO129" s="221">
        <f t="shared" ref="AO129" si="1680">AO128/AO10</f>
        <v>304186</v>
      </c>
      <c r="AP129" s="219"/>
      <c r="AQ129" s="221">
        <f t="shared" ref="AQ129" si="1681">AQ128/AQ10</f>
        <v>304186</v>
      </c>
      <c r="AR129" s="219"/>
      <c r="AS129" s="221">
        <f t="shared" ref="AS129" si="1682">AS128/AS10</f>
        <v>304186</v>
      </c>
      <c r="AT129" s="219"/>
      <c r="AU129" s="221">
        <f t="shared" ref="AU129" si="1683">AU128/AU10</f>
        <v>304186</v>
      </c>
      <c r="AV129" s="219"/>
      <c r="AW129" s="221">
        <f t="shared" ref="AW129" si="1684">AW128/AW10</f>
        <v>304186</v>
      </c>
      <c r="AX129" s="219"/>
      <c r="AY129" s="221">
        <f t="shared" ref="AY129" si="1685">AY128/AY10</f>
        <v>304186</v>
      </c>
      <c r="AZ129" s="219"/>
      <c r="BA129" s="221">
        <f t="shared" ref="BA129:BC129" si="1686">BA128/BA10</f>
        <v>304186</v>
      </c>
      <c r="BB129" s="219"/>
      <c r="BC129" s="221">
        <f t="shared" si="1686"/>
        <v>304186</v>
      </c>
      <c r="BD129" s="219"/>
      <c r="BE129" s="221" t="e">
        <f t="shared" ref="BE129:BK129" si="1687">BE128/BE10</f>
        <v>#REF!</v>
      </c>
      <c r="BF129" s="219"/>
      <c r="BG129" s="221" t="e">
        <f t="shared" si="1687"/>
        <v>#REF!</v>
      </c>
      <c r="BH129" s="219"/>
      <c r="BI129" s="221" t="e">
        <f t="shared" si="1687"/>
        <v>#REF!</v>
      </c>
      <c r="BJ129" s="219"/>
      <c r="BK129" s="221" t="e">
        <f t="shared" si="1687"/>
        <v>#REF!</v>
      </c>
      <c r="BL129" s="219"/>
      <c r="BM129" s="221" t="e">
        <f t="shared" ref="BM129:BO129" si="1688">BM128/BM10</f>
        <v>#REF!</v>
      </c>
      <c r="BN129" s="219"/>
      <c r="BO129" s="221" t="e">
        <f t="shared" si="1688"/>
        <v>#REF!</v>
      </c>
      <c r="BP129" s="219"/>
      <c r="BQ129" s="221" t="e">
        <f t="shared" ref="BQ129:BS129" si="1689">BQ128/BQ10</f>
        <v>#REF!</v>
      </c>
      <c r="BR129" s="219"/>
      <c r="BS129" s="221" t="e">
        <f t="shared" si="1689"/>
        <v>#REF!</v>
      </c>
      <c r="BT129" s="219"/>
      <c r="BU129" s="221" t="e">
        <f t="shared" ref="BU129:BW129" si="1690">BU128/BU10</f>
        <v>#REF!</v>
      </c>
      <c r="BV129" s="219"/>
      <c r="BW129" s="221" t="e">
        <f t="shared" si="1690"/>
        <v>#REF!</v>
      </c>
      <c r="BX129" s="219"/>
      <c r="BY129" s="221" t="e">
        <f t="shared" ref="BY129:CA129" si="1691">BY128/BY10</f>
        <v>#REF!</v>
      </c>
      <c r="BZ129" s="219"/>
      <c r="CA129" s="221" t="e">
        <f t="shared" si="1691"/>
        <v>#REF!</v>
      </c>
      <c r="CB129" s="219"/>
      <c r="CC129" s="221" t="e">
        <f t="shared" ref="CC129:CE129" si="1692">CC128/CC10</f>
        <v>#REF!</v>
      </c>
      <c r="CD129" s="219"/>
      <c r="CE129" s="221" t="e">
        <f t="shared" si="1692"/>
        <v>#REF!</v>
      </c>
      <c r="CF129" s="219"/>
      <c r="CG129" s="221" t="e">
        <f t="shared" ref="CG129:CI129" si="1693">CG128/CG10</f>
        <v>#REF!</v>
      </c>
      <c r="CH129" s="219"/>
      <c r="CI129" s="221" t="e">
        <f t="shared" si="1693"/>
        <v>#REF!</v>
      </c>
      <c r="CJ129" s="219"/>
      <c r="CK129" s="221" t="e">
        <f t="shared" ref="CK129" si="1694">CK128/CK10</f>
        <v>#REF!</v>
      </c>
      <c r="CL129" s="219"/>
      <c r="CM129" s="221" t="e">
        <f t="shared" ref="CM129" si="1695">CM128/CM10</f>
        <v>#REF!</v>
      </c>
      <c r="CN129" s="219"/>
      <c r="CO129" s="221" t="e">
        <f t="shared" ref="CO129" si="1696">CO128/CO10</f>
        <v>#REF!</v>
      </c>
      <c r="CP129" s="219"/>
      <c r="CQ129" s="221">
        <f>CQ128/CQ10</f>
        <v>304186</v>
      </c>
      <c r="CR129" s="219"/>
      <c r="CS129" s="221">
        <f>CS128/CS10</f>
        <v>304186</v>
      </c>
      <c r="CT129" s="219"/>
      <c r="CU129" s="221">
        <f>CU128/CU10</f>
        <v>304186</v>
      </c>
      <c r="CV129" s="219"/>
      <c r="CW129" s="221">
        <f>CW128/CW10</f>
        <v>304186</v>
      </c>
      <c r="CX129" s="219"/>
      <c r="CY129" s="221">
        <f>CY128/CY10</f>
        <v>304186</v>
      </c>
      <c r="CZ129" s="219"/>
      <c r="DA129" s="221">
        <f>DA128/DA10</f>
        <v>304186</v>
      </c>
      <c r="DB129" s="219"/>
      <c r="DC129" s="221">
        <f>DC128/DC10</f>
        <v>304186</v>
      </c>
      <c r="DD129" s="219"/>
      <c r="DE129" s="221">
        <f>DE128/DE10</f>
        <v>304186</v>
      </c>
      <c r="DF129" s="219"/>
      <c r="DG129" s="221">
        <f>DG128/DG10</f>
        <v>304186</v>
      </c>
    </row>
    <row r="130" spans="1:111" ht="14.45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73.546499999999995</v>
      </c>
      <c r="H130" s="222"/>
      <c r="I130" s="220">
        <f>I129/I66</f>
        <v>73.546499999999995</v>
      </c>
      <c r="J130" s="222"/>
      <c r="K130" s="220">
        <f>K129/K66</f>
        <v>73.546499999999995</v>
      </c>
      <c r="L130" s="222"/>
      <c r="M130" s="220">
        <f>M129/M66</f>
        <v>73.546499999999995</v>
      </c>
      <c r="N130" s="222"/>
      <c r="O130" s="220">
        <f>O129/O66</f>
        <v>78.560433884297524</v>
      </c>
      <c r="P130" s="222"/>
      <c r="Q130" s="220">
        <f>Q129/Q66</f>
        <v>78.560433884297524</v>
      </c>
      <c r="R130" s="222"/>
      <c r="S130" s="220">
        <f>S129/S66</f>
        <v>78.560433884297524</v>
      </c>
      <c r="T130" s="222"/>
      <c r="U130" s="220">
        <f>U129/U66</f>
        <v>78.560433884297524</v>
      </c>
      <c r="V130" s="222"/>
      <c r="W130" s="220">
        <f>W129/W66</f>
        <v>78.560433884297524</v>
      </c>
      <c r="X130" s="222"/>
      <c r="Y130" s="220">
        <f>Y129/Y66</f>
        <v>78.560433884297524</v>
      </c>
      <c r="Z130" s="222"/>
      <c r="AA130" s="220">
        <f>AA129/AA66</f>
        <v>78.560433884297524</v>
      </c>
      <c r="AB130" s="222"/>
      <c r="AC130" s="220">
        <f>AC129/AC66</f>
        <v>78.560433884297524</v>
      </c>
      <c r="AD130" s="222"/>
      <c r="AE130" s="220">
        <f>AE129/AE66</f>
        <v>78.560433884297524</v>
      </c>
      <c r="AF130" s="222"/>
      <c r="AG130" s="220">
        <f>AG129/AG66</f>
        <v>78.560433884297524</v>
      </c>
      <c r="AH130" s="222"/>
      <c r="AI130" s="220">
        <f>AI129/AI66</f>
        <v>78.560433884297524</v>
      </c>
      <c r="AJ130" s="222"/>
      <c r="AK130" s="220">
        <f>AK129/AK66</f>
        <v>78.560433884297524</v>
      </c>
      <c r="AL130" s="222"/>
      <c r="AM130" s="220">
        <f t="shared" ref="AM130" si="1697">AM129/AM66</f>
        <v>78.560433884297524</v>
      </c>
      <c r="AN130" s="222"/>
      <c r="AO130" s="220">
        <f t="shared" ref="AO130" si="1698">AO129/AO66</f>
        <v>78.560433884297524</v>
      </c>
      <c r="AP130" s="222"/>
      <c r="AQ130" s="220">
        <f t="shared" ref="AQ130" si="1699">AQ129/AQ66</f>
        <v>78.560433884297524</v>
      </c>
      <c r="AR130" s="222"/>
      <c r="AS130" s="220">
        <f t="shared" ref="AS130" si="1700">AS129/AS66</f>
        <v>78.560433884297524</v>
      </c>
      <c r="AT130" s="222"/>
      <c r="AU130" s="220">
        <f t="shared" ref="AU130" si="1701">AU129/AU66</f>
        <v>78.560433884297524</v>
      </c>
      <c r="AV130" s="222"/>
      <c r="AW130" s="220">
        <f t="shared" ref="AW130" si="1702">AW129/AW66</f>
        <v>78.560433884297524</v>
      </c>
      <c r="AX130" s="222"/>
      <c r="AY130" s="220">
        <f t="shared" ref="AY130" si="1703">AY129/AY66</f>
        <v>78.560433884297524</v>
      </c>
      <c r="AZ130" s="222"/>
      <c r="BA130" s="220">
        <f t="shared" ref="BA130:BC130" si="1704">BA129/BA66</f>
        <v>78.560433884297524</v>
      </c>
      <c r="BB130" s="222"/>
      <c r="BC130" s="220">
        <f t="shared" si="1704"/>
        <v>78.560433884297524</v>
      </c>
      <c r="BD130" s="222"/>
      <c r="BE130" s="220" t="e">
        <f t="shared" ref="BE130:BK130" si="1705">BE129/BE66</f>
        <v>#REF!</v>
      </c>
      <c r="BF130" s="222"/>
      <c r="BG130" s="220" t="e">
        <f t="shared" si="1705"/>
        <v>#REF!</v>
      </c>
      <c r="BH130" s="222"/>
      <c r="BI130" s="220" t="e">
        <f t="shared" si="1705"/>
        <v>#REF!</v>
      </c>
      <c r="BJ130" s="222"/>
      <c r="BK130" s="220" t="e">
        <f t="shared" si="1705"/>
        <v>#REF!</v>
      </c>
      <c r="BL130" s="222"/>
      <c r="BM130" s="220" t="e">
        <f t="shared" ref="BM130:BO130" si="1706">BM129/BM66</f>
        <v>#REF!</v>
      </c>
      <c r="BN130" s="222"/>
      <c r="BO130" s="220" t="e">
        <f t="shared" si="1706"/>
        <v>#REF!</v>
      </c>
      <c r="BP130" s="222"/>
      <c r="BQ130" s="220" t="e">
        <f t="shared" ref="BQ130:BS130" si="1707">BQ129/BQ66</f>
        <v>#REF!</v>
      </c>
      <c r="BR130" s="222"/>
      <c r="BS130" s="220" t="e">
        <f t="shared" si="1707"/>
        <v>#REF!</v>
      </c>
      <c r="BT130" s="222"/>
      <c r="BU130" s="220" t="e">
        <f t="shared" ref="BU130:BW130" si="1708">BU129/BU66</f>
        <v>#REF!</v>
      </c>
      <c r="BV130" s="222"/>
      <c r="BW130" s="220" t="e">
        <f t="shared" si="1708"/>
        <v>#REF!</v>
      </c>
      <c r="BX130" s="222"/>
      <c r="BY130" s="220" t="e">
        <f t="shared" ref="BY130:CA130" si="1709">BY129/BY66</f>
        <v>#REF!</v>
      </c>
      <c r="BZ130" s="222"/>
      <c r="CA130" s="220" t="e">
        <f t="shared" si="1709"/>
        <v>#REF!</v>
      </c>
      <c r="CB130" s="222"/>
      <c r="CC130" s="220" t="e">
        <f t="shared" ref="CC130:CE130" si="1710">CC129/CC66</f>
        <v>#REF!</v>
      </c>
      <c r="CD130" s="222"/>
      <c r="CE130" s="220" t="e">
        <f t="shared" si="1710"/>
        <v>#REF!</v>
      </c>
      <c r="CF130" s="222"/>
      <c r="CG130" s="220" t="e">
        <f t="shared" ref="CG130:CI130" si="1711">CG129/CG66</f>
        <v>#REF!</v>
      </c>
      <c r="CH130" s="222"/>
      <c r="CI130" s="220" t="e">
        <f t="shared" si="1711"/>
        <v>#REF!</v>
      </c>
      <c r="CJ130" s="222"/>
      <c r="CK130" s="220" t="e">
        <f t="shared" ref="CK130" si="1712">CK129/CK66</f>
        <v>#REF!</v>
      </c>
      <c r="CL130" s="222"/>
      <c r="CM130" s="220" t="e">
        <f t="shared" ref="CM130" si="1713">CM129/CM66</f>
        <v>#REF!</v>
      </c>
      <c r="CN130" s="222"/>
      <c r="CO130" s="220" t="e">
        <f t="shared" ref="CO130" si="1714">CO129/CO66</f>
        <v>#REF!</v>
      </c>
      <c r="CP130" s="222"/>
      <c r="CQ130" s="220">
        <f>CQ129/CQ66</f>
        <v>78.560433884297524</v>
      </c>
      <c r="CR130" s="222"/>
      <c r="CS130" s="220">
        <f>CS129/CS66</f>
        <v>78.560433884297524</v>
      </c>
      <c r="CT130" s="222"/>
      <c r="CU130" s="220">
        <f>CU129/CU66</f>
        <v>78.560433884297524</v>
      </c>
      <c r="CV130" s="222"/>
      <c r="CW130" s="220">
        <f>CW129/CW66</f>
        <v>78.560433884297524</v>
      </c>
      <c r="CX130" s="222"/>
      <c r="CY130" s="220">
        <f>CY129/CY66</f>
        <v>78.560433884297524</v>
      </c>
      <c r="CZ130" s="222"/>
      <c r="DA130" s="220">
        <f>DA129/DA66</f>
        <v>78.560433884297524</v>
      </c>
      <c r="DB130" s="222"/>
      <c r="DC130" s="220">
        <f>DC129/DC66</f>
        <v>78.560433884297524</v>
      </c>
      <c r="DD130" s="222"/>
      <c r="DE130" s="220">
        <f>DE129/DE66</f>
        <v>78.560433884297524</v>
      </c>
      <c r="DF130" s="222"/>
      <c r="DG130" s="220">
        <f>DG129/DG66</f>
        <v>78.560433884297524</v>
      </c>
    </row>
    <row r="131" spans="1:111" outlineLevel="3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>
        <v>19360000</v>
      </c>
      <c r="H131" s="585"/>
      <c r="I131" s="586">
        <v>19360000</v>
      </c>
      <c r="J131" s="585"/>
      <c r="K131" s="586">
        <v>19360000</v>
      </c>
      <c r="L131" s="585"/>
      <c r="M131" s="586">
        <v>19360000</v>
      </c>
      <c r="N131" s="585"/>
      <c r="O131" s="586">
        <f>INDEX(Table5[#All],MATCH(N$4,Table5[[#All],[SKU]],0),MATCH(LEFT(N$3,3),Table5[#Headers],0))</f>
        <v>2560000</v>
      </c>
      <c r="P131" s="585"/>
      <c r="Q131" s="586">
        <f>INDEX(Table5[#All],MATCH(P$4,Table5[[#All],[SKU]],0),MATCH(LEFT(P$3,3),Table5[#Headers],0))</f>
        <v>2560000</v>
      </c>
      <c r="R131" s="585"/>
      <c r="S131" s="586">
        <f>INDEX(Table5[#All],MATCH(R$4,Table5[[#All],[SKU]],0),MATCH(LEFT(R$3,3),Table5[#Headers],0))</f>
        <v>2560000</v>
      </c>
      <c r="T131" s="585"/>
      <c r="U131" s="586">
        <f>INDEX(Table5[#All],MATCH(T$4,Table5[[#All],[SKU]],0),MATCH(LEFT(T$3,3),Table5[#Headers],0))</f>
        <v>2080000</v>
      </c>
      <c r="V131" s="585"/>
      <c r="W131" s="586">
        <f>INDEX(Table5[#All],MATCH(V$4,Table5[[#All],[SKU]],0),MATCH(LEFT(V$3,3),Table5[#Headers],0))</f>
        <v>1600000</v>
      </c>
      <c r="X131" s="585"/>
      <c r="Y131" s="586">
        <f>INDEX(Table5[#All],MATCH(X$4,Table5[[#All],[SKU]],0),MATCH(LEFT(X$3,3),Table5[#Headers],0))</f>
        <v>995840</v>
      </c>
      <c r="Z131" s="585"/>
      <c r="AA131" s="586">
        <f>INDEX(Table5[#All],MATCH(Z$4,Table5[[#All],[SKU]],0),MATCH(LEFT(Z$3,3),Table5[#Headers],0))</f>
        <v>1440000</v>
      </c>
      <c r="AB131" s="585"/>
      <c r="AC131" s="586">
        <f>INDEX(Table5[#All],MATCH(AB$4,Table5[[#All],[SKU]],0),MATCH(LEFT(AB$3,3),Table5[#Headers],0))</f>
        <v>2933320</v>
      </c>
      <c r="AD131" s="585"/>
      <c r="AE131" s="586">
        <f>INDEX(Table5[#All],MATCH(AD$4,Table5[[#All],[SKU]],0),MATCH(LEFT(AD$3,3),Table5[#Headers],0))</f>
        <v>1428840</v>
      </c>
      <c r="AF131" s="585"/>
      <c r="AG131" s="586">
        <f>INDEX(Table5[#All],MATCH(AF$4,Table5[[#All],[SKU]],0),MATCH(LEFT(AF$3,3),Table5[#Headers],0))</f>
        <v>400000</v>
      </c>
      <c r="AH131" s="585"/>
      <c r="AI131" s="586">
        <f>INDEX(Table5[#All],MATCH(AH$4,Table5[[#All],[SKU]],0),MATCH(LEFT(AH$3,3),Table5[#Headers],0))</f>
        <v>2160000</v>
      </c>
      <c r="AJ131" s="585"/>
      <c r="AK131" s="586">
        <f>INDEX(Table5[#All],MATCH(AJ$4,Table5[[#All],[SKU]],0),MATCH(LEFT(AJ$3,3),Table5[#Headers],0))</f>
        <v>1360000</v>
      </c>
      <c r="AL131" s="585"/>
      <c r="AM131" s="586">
        <f>INDEX(Table5[#All],MATCH(AL$4,Table5[[#All],[SKU]],0),MATCH(LEFT(AL$3,3),Table5[#Headers],0))</f>
        <v>1252240</v>
      </c>
      <c r="AN131" s="585"/>
      <c r="AO131" s="586">
        <f>INDEX(Table5[#All],MATCH(AN$4,Table5[[#All],[SKU]],0),MATCH(LEFT(AN$3,3),Table5[#Headers],0))</f>
        <v>827760</v>
      </c>
      <c r="AP131" s="585"/>
      <c r="AQ131" s="586">
        <f>'Sales Volume'!P6</f>
        <v>1440000</v>
      </c>
      <c r="AR131" s="585"/>
      <c r="AS131" s="586">
        <f>'Sales Volume'!Q6</f>
        <v>2080000</v>
      </c>
      <c r="AT131" s="585"/>
      <c r="AU131" s="586">
        <f>'Sales Volume'!R6</f>
        <v>960000</v>
      </c>
      <c r="AV131" s="585"/>
      <c r="AW131" s="586">
        <f>'Sales Volume'!S6</f>
        <v>480000</v>
      </c>
      <c r="AX131" s="585"/>
      <c r="AY131" s="586">
        <f>'Sales Volume'!T6</f>
        <v>800000</v>
      </c>
      <c r="AZ131" s="585"/>
      <c r="BA131" s="586">
        <f>'Sales Volume'!U6</f>
        <v>164240</v>
      </c>
      <c r="BB131" s="585"/>
      <c r="BC131" s="586">
        <f>'Sales Volume'!V6</f>
        <v>2070240</v>
      </c>
      <c r="BD131" s="585"/>
      <c r="BE131" s="586">
        <f>'Sales Volume'!Z6</f>
        <v>0</v>
      </c>
      <c r="BF131" s="585"/>
      <c r="BG131" s="586">
        <f>'Sales Volume'!AB6</f>
        <v>0</v>
      </c>
      <c r="BH131" s="585"/>
      <c r="BI131" s="586">
        <f>'Sales Volume'!AD6</f>
        <v>0</v>
      </c>
      <c r="BJ131" s="585"/>
      <c r="BK131" s="586">
        <f>'Sales Volume'!AF6</f>
        <v>0</v>
      </c>
      <c r="BL131" s="585"/>
      <c r="BM131" s="586">
        <f>'Sales Volume'!AH6</f>
        <v>0</v>
      </c>
      <c r="BN131" s="585"/>
      <c r="BO131" s="586">
        <f>'Sales Volume'!AJ6</f>
        <v>0</v>
      </c>
      <c r="BP131" s="585"/>
      <c r="BQ131" s="586">
        <f>'Sales Volume'!AL6</f>
        <v>0</v>
      </c>
      <c r="BR131" s="585"/>
      <c r="BS131" s="586">
        <f>'Sales Volume'!AN6</f>
        <v>0</v>
      </c>
      <c r="BT131" s="585"/>
      <c r="BU131" s="586">
        <f>'Sales Volume'!AP6</f>
        <v>0</v>
      </c>
      <c r="BV131" s="585"/>
      <c r="BW131" s="586">
        <f>'Sales Volume'!AR6</f>
        <v>0</v>
      </c>
      <c r="BX131" s="585"/>
      <c r="BY131" s="586">
        <f>'Sales Volume'!AT6</f>
        <v>0</v>
      </c>
      <c r="BZ131" s="585"/>
      <c r="CA131" s="586">
        <f>'Sales Volume'!AV6</f>
        <v>0</v>
      </c>
      <c r="CB131" s="585"/>
      <c r="CC131" s="586">
        <f>'Sales Volume'!AX6</f>
        <v>0</v>
      </c>
      <c r="CD131" s="585"/>
      <c r="CE131" s="586">
        <f>'Sales Volume'!AZ6</f>
        <v>0</v>
      </c>
      <c r="CF131" s="585"/>
      <c r="CG131" s="586">
        <f>'Sales Volume'!BB6</f>
        <v>0</v>
      </c>
      <c r="CH131" s="585"/>
      <c r="CI131" s="586">
        <f>'Sales Volume'!BD6</f>
        <v>0</v>
      </c>
      <c r="CJ131" s="585"/>
      <c r="CK131" s="586">
        <f>'Sales Volume'!BF6</f>
        <v>0</v>
      </c>
      <c r="CL131" s="585"/>
      <c r="CM131" s="586">
        <f>'Sales Volume'!BB6</f>
        <v>0</v>
      </c>
      <c r="CN131" s="585"/>
      <c r="CO131" s="586">
        <f>'Sales Volume'!AP6</f>
        <v>0</v>
      </c>
      <c r="CP131" s="585"/>
      <c r="CQ131" s="586">
        <f>SUM(O131,U131,W131)</f>
        <v>6240000</v>
      </c>
      <c r="CR131" s="585"/>
      <c r="CS131" s="586">
        <f>SUM(Y131,AA131,AC131)</f>
        <v>5369160</v>
      </c>
      <c r="CT131" s="585"/>
      <c r="CU131" s="586">
        <f>SUM(AE131,AG131,AI131)</f>
        <v>3988840</v>
      </c>
      <c r="CV131" s="585"/>
      <c r="CW131" s="586">
        <v>4240000</v>
      </c>
      <c r="CX131" s="585"/>
      <c r="CY131" s="586">
        <f>SUM(CQ131,CS131)</f>
        <v>11609160</v>
      </c>
      <c r="CZ131" s="585"/>
      <c r="DA131" s="586">
        <v>6880000</v>
      </c>
      <c r="DB131" s="585"/>
      <c r="DC131" s="586">
        <v>24917775</v>
      </c>
      <c r="DD131" s="585"/>
      <c r="DE131" s="586">
        <v>24917775</v>
      </c>
      <c r="DF131" s="585"/>
      <c r="DG131" s="586">
        <v>24917775</v>
      </c>
    </row>
    <row r="132" spans="1:111" outlineLevel="3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484000</v>
      </c>
      <c r="H132" s="585"/>
      <c r="I132" s="586">
        <f>I131/I10</f>
        <v>484000</v>
      </c>
      <c r="J132" s="585"/>
      <c r="K132" s="586">
        <f>K131/K10</f>
        <v>484000</v>
      </c>
      <c r="L132" s="585"/>
      <c r="M132" s="586">
        <f>M131/M10</f>
        <v>484000</v>
      </c>
      <c r="N132" s="585"/>
      <c r="O132" s="586">
        <f>O131/O10</f>
        <v>64000</v>
      </c>
      <c r="P132" s="585"/>
      <c r="Q132" s="586">
        <f>Q131/Q10</f>
        <v>64000</v>
      </c>
      <c r="R132" s="585"/>
      <c r="S132" s="586">
        <f>S131/S10</f>
        <v>64000</v>
      </c>
      <c r="T132" s="585"/>
      <c r="U132" s="586">
        <f>U131/U10</f>
        <v>52000</v>
      </c>
      <c r="V132" s="585"/>
      <c r="W132" s="586">
        <f>W131/W10</f>
        <v>40000</v>
      </c>
      <c r="X132" s="585"/>
      <c r="Y132" s="586">
        <f>Y131/Y10</f>
        <v>24896</v>
      </c>
      <c r="Z132" s="585"/>
      <c r="AA132" s="586">
        <f>AA131/AA10</f>
        <v>36000</v>
      </c>
      <c r="AB132" s="585"/>
      <c r="AC132" s="586">
        <f>AC131/AC10</f>
        <v>73333</v>
      </c>
      <c r="AD132" s="585"/>
      <c r="AE132" s="586">
        <f>AE131/AE10</f>
        <v>35721</v>
      </c>
      <c r="AF132" s="585"/>
      <c r="AG132" s="586">
        <f>AG131/AG10</f>
        <v>10000</v>
      </c>
      <c r="AH132" s="585"/>
      <c r="AI132" s="586">
        <f>AI131/AI10</f>
        <v>54000</v>
      </c>
      <c r="AJ132" s="585"/>
      <c r="AK132" s="586">
        <f>AK131/AK10</f>
        <v>34000</v>
      </c>
      <c r="AL132" s="585"/>
      <c r="AM132" s="586">
        <f t="shared" ref="AM132" si="1715">AM131/AM10</f>
        <v>31306</v>
      </c>
      <c r="AN132" s="585"/>
      <c r="AO132" s="586">
        <f t="shared" ref="AO132" si="1716">AO131/AO10</f>
        <v>20694</v>
      </c>
      <c r="AP132" s="585"/>
      <c r="AQ132" s="586">
        <f t="shared" ref="AQ132" si="1717">AQ131/AQ10</f>
        <v>36000</v>
      </c>
      <c r="AR132" s="585"/>
      <c r="AS132" s="586">
        <f t="shared" ref="AS132" si="1718">AS131/AS10</f>
        <v>52000</v>
      </c>
      <c r="AT132" s="585"/>
      <c r="AU132" s="586">
        <f t="shared" ref="AU132" si="1719">AU131/AU10</f>
        <v>24000</v>
      </c>
      <c r="AV132" s="585"/>
      <c r="AW132" s="586">
        <f t="shared" ref="AW132" si="1720">AW131/AW10</f>
        <v>12000</v>
      </c>
      <c r="AX132" s="585"/>
      <c r="AY132" s="586">
        <f t="shared" ref="AY132" si="1721">AY131/AY10</f>
        <v>20000</v>
      </c>
      <c r="AZ132" s="585"/>
      <c r="BA132" s="586">
        <f t="shared" ref="BA132:BC132" si="1722">BA131/BA10</f>
        <v>4106</v>
      </c>
      <c r="BB132" s="585"/>
      <c r="BC132" s="586">
        <f t="shared" si="1722"/>
        <v>51756</v>
      </c>
      <c r="BD132" s="585"/>
      <c r="BE132" s="586">
        <f t="shared" ref="BE132:BK132" si="1723">BE131/BE10</f>
        <v>0</v>
      </c>
      <c r="BF132" s="585"/>
      <c r="BG132" s="586">
        <f t="shared" si="1723"/>
        <v>0</v>
      </c>
      <c r="BH132" s="585"/>
      <c r="BI132" s="586">
        <f t="shared" si="1723"/>
        <v>0</v>
      </c>
      <c r="BJ132" s="585"/>
      <c r="BK132" s="586">
        <f t="shared" si="1723"/>
        <v>0</v>
      </c>
      <c r="BL132" s="585"/>
      <c r="BM132" s="586">
        <f t="shared" ref="BM132:BO132" si="1724">BM131/BM10</f>
        <v>0</v>
      </c>
      <c r="BN132" s="585"/>
      <c r="BO132" s="586">
        <f t="shared" si="1724"/>
        <v>0</v>
      </c>
      <c r="BP132" s="585"/>
      <c r="BQ132" s="586">
        <f t="shared" ref="BQ132:BS132" si="1725">BQ131/BQ10</f>
        <v>0</v>
      </c>
      <c r="BR132" s="585"/>
      <c r="BS132" s="586">
        <f t="shared" si="1725"/>
        <v>0</v>
      </c>
      <c r="BT132" s="585"/>
      <c r="BU132" s="586">
        <f t="shared" ref="BU132:BW132" si="1726">BU131/BU10</f>
        <v>0</v>
      </c>
      <c r="BV132" s="585"/>
      <c r="BW132" s="586">
        <f t="shared" si="1726"/>
        <v>0</v>
      </c>
      <c r="BX132" s="585"/>
      <c r="BY132" s="586">
        <f t="shared" ref="BY132:CA132" si="1727">BY131/BY10</f>
        <v>0</v>
      </c>
      <c r="BZ132" s="585"/>
      <c r="CA132" s="586">
        <f t="shared" si="1727"/>
        <v>0</v>
      </c>
      <c r="CB132" s="585"/>
      <c r="CC132" s="586">
        <f t="shared" ref="CC132:CE132" si="1728">CC131/CC10</f>
        <v>0</v>
      </c>
      <c r="CD132" s="585"/>
      <c r="CE132" s="586">
        <f t="shared" si="1728"/>
        <v>0</v>
      </c>
      <c r="CF132" s="585"/>
      <c r="CG132" s="586">
        <f t="shared" ref="CG132:CI132" si="1729">CG131/CG10</f>
        <v>0</v>
      </c>
      <c r="CH132" s="585"/>
      <c r="CI132" s="586">
        <f t="shared" si="1729"/>
        <v>0</v>
      </c>
      <c r="CJ132" s="585"/>
      <c r="CK132" s="586">
        <f t="shared" ref="CK132" si="1730">CK131/CK10</f>
        <v>0</v>
      </c>
      <c r="CL132" s="585"/>
      <c r="CM132" s="586">
        <f t="shared" ref="CM132" si="1731">CM131/CM10</f>
        <v>0</v>
      </c>
      <c r="CN132" s="585"/>
      <c r="CO132" s="586">
        <f t="shared" ref="CO132" si="1732">CO131/CO10</f>
        <v>0</v>
      </c>
      <c r="CP132" s="585"/>
      <c r="CQ132" s="586">
        <f>CQ131/CQ10</f>
        <v>156000</v>
      </c>
      <c r="CR132" s="585"/>
      <c r="CS132" s="586">
        <f>CS131/CS10</f>
        <v>134229</v>
      </c>
      <c r="CT132" s="585"/>
      <c r="CU132" s="586">
        <f>CU131/CU10</f>
        <v>99721</v>
      </c>
      <c r="CV132" s="585"/>
      <c r="CW132" s="586">
        <f>CW131/CW10</f>
        <v>106000</v>
      </c>
      <c r="CX132" s="585"/>
      <c r="CY132" s="586">
        <f>CY131/CY10</f>
        <v>290229</v>
      </c>
      <c r="CZ132" s="585"/>
      <c r="DA132" s="586">
        <f>DA131/DA10</f>
        <v>172000</v>
      </c>
      <c r="DB132" s="585"/>
      <c r="DC132" s="586">
        <f>DC131/DC10</f>
        <v>622944.375</v>
      </c>
      <c r="DD132" s="585"/>
      <c r="DE132" s="586">
        <f>DE131/DE10</f>
        <v>622944.375</v>
      </c>
      <c r="DF132" s="585"/>
      <c r="DG132" s="586">
        <f>DG131/DG10</f>
        <v>622944.375</v>
      </c>
    </row>
    <row r="133" spans="1:111" outlineLevel="3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121</v>
      </c>
      <c r="H133" s="585"/>
      <c r="I133" s="586">
        <f>I132/I66</f>
        <v>121</v>
      </c>
      <c r="J133" s="585"/>
      <c r="K133" s="586">
        <f>K132/K66</f>
        <v>121</v>
      </c>
      <c r="L133" s="585"/>
      <c r="M133" s="586">
        <f>M132/M66</f>
        <v>121</v>
      </c>
      <c r="N133" s="585"/>
      <c r="O133" s="586">
        <f>O132/O66</f>
        <v>16.528925619834709</v>
      </c>
      <c r="P133" s="585"/>
      <c r="Q133" s="586">
        <f>Q132/Q66</f>
        <v>16.528925619834709</v>
      </c>
      <c r="R133" s="585"/>
      <c r="S133" s="586">
        <f>S132/S66</f>
        <v>16.528925619834709</v>
      </c>
      <c r="T133" s="585"/>
      <c r="U133" s="586">
        <f>U132/U66</f>
        <v>13.429752066115702</v>
      </c>
      <c r="V133" s="585"/>
      <c r="W133" s="586">
        <f>W132/W66</f>
        <v>10.330578512396695</v>
      </c>
      <c r="X133" s="585"/>
      <c r="Y133" s="586">
        <f>Y132/Y66</f>
        <v>6.4297520661157028</v>
      </c>
      <c r="Z133" s="585"/>
      <c r="AA133" s="586">
        <f>AA132/AA66</f>
        <v>9.2975206611570247</v>
      </c>
      <c r="AB133" s="585"/>
      <c r="AC133" s="586">
        <f>AC132/AC66</f>
        <v>18.939307851239668</v>
      </c>
      <c r="AD133" s="585"/>
      <c r="AE133" s="586">
        <f>AE132/AE66</f>
        <v>9.2254648760330582</v>
      </c>
      <c r="AF133" s="585"/>
      <c r="AG133" s="586">
        <f>AG132/AG66</f>
        <v>2.5826446280991737</v>
      </c>
      <c r="AH133" s="585"/>
      <c r="AI133" s="586">
        <f>AI132/AI66</f>
        <v>13.946280991735538</v>
      </c>
      <c r="AJ133" s="585"/>
      <c r="AK133" s="586">
        <f>AK132/AK66</f>
        <v>8.7809917355371905</v>
      </c>
      <c r="AL133" s="585"/>
      <c r="AM133" s="586">
        <f t="shared" ref="AM133" si="1733">AM132/AM66</f>
        <v>8.0852272727272734</v>
      </c>
      <c r="AN133" s="585"/>
      <c r="AO133" s="586">
        <f t="shared" ref="AO133" si="1734">AO132/AO66</f>
        <v>5.3445247933884295</v>
      </c>
      <c r="AP133" s="585"/>
      <c r="AQ133" s="586">
        <f t="shared" ref="AQ133" si="1735">AQ132/AQ66</f>
        <v>9.2975206611570247</v>
      </c>
      <c r="AR133" s="585"/>
      <c r="AS133" s="586">
        <f t="shared" ref="AS133" si="1736">AS132/AS66</f>
        <v>13.429752066115702</v>
      </c>
      <c r="AT133" s="585"/>
      <c r="AU133" s="586">
        <f t="shared" ref="AU133" si="1737">AU132/AU66</f>
        <v>6.1983471074380168</v>
      </c>
      <c r="AV133" s="585"/>
      <c r="AW133" s="586">
        <f t="shared" ref="AW133" si="1738">AW132/AW66</f>
        <v>3.0991735537190084</v>
      </c>
      <c r="AX133" s="585"/>
      <c r="AY133" s="586">
        <f t="shared" ref="AY133" si="1739">AY132/AY66</f>
        <v>5.1652892561983474</v>
      </c>
      <c r="AZ133" s="585"/>
      <c r="BA133" s="586">
        <f t="shared" ref="BA133:BC133" si="1740">BA132/BA66</f>
        <v>1.0604338842975207</v>
      </c>
      <c r="BB133" s="585"/>
      <c r="BC133" s="586">
        <f t="shared" si="1740"/>
        <v>13.366735537190083</v>
      </c>
      <c r="BD133" s="585"/>
      <c r="BE133" s="586">
        <f t="shared" ref="BE133:BK133" si="1741">BE132/BE66</f>
        <v>0</v>
      </c>
      <c r="BF133" s="585"/>
      <c r="BG133" s="586">
        <f t="shared" si="1741"/>
        <v>0</v>
      </c>
      <c r="BH133" s="585"/>
      <c r="BI133" s="586">
        <f t="shared" si="1741"/>
        <v>0</v>
      </c>
      <c r="BJ133" s="585"/>
      <c r="BK133" s="586">
        <f t="shared" si="1741"/>
        <v>0</v>
      </c>
      <c r="BL133" s="585"/>
      <c r="BM133" s="586">
        <f t="shared" ref="BM133:BO133" si="1742">BM132/BM66</f>
        <v>0</v>
      </c>
      <c r="BN133" s="585"/>
      <c r="BO133" s="586">
        <f t="shared" si="1742"/>
        <v>0</v>
      </c>
      <c r="BP133" s="585"/>
      <c r="BQ133" s="586">
        <f t="shared" ref="BQ133:BS133" si="1743">BQ132/BQ66</f>
        <v>0</v>
      </c>
      <c r="BR133" s="585"/>
      <c r="BS133" s="586">
        <f t="shared" si="1743"/>
        <v>0</v>
      </c>
      <c r="BT133" s="585"/>
      <c r="BU133" s="586">
        <f t="shared" ref="BU133:BW133" si="1744">BU132/BU66</f>
        <v>0</v>
      </c>
      <c r="BV133" s="585"/>
      <c r="BW133" s="586">
        <f t="shared" si="1744"/>
        <v>0</v>
      </c>
      <c r="BX133" s="585"/>
      <c r="BY133" s="586">
        <f t="shared" ref="BY133:CA133" si="1745">BY132/BY66</f>
        <v>0</v>
      </c>
      <c r="BZ133" s="585"/>
      <c r="CA133" s="586">
        <f t="shared" si="1745"/>
        <v>0</v>
      </c>
      <c r="CB133" s="585"/>
      <c r="CC133" s="586">
        <f t="shared" ref="CC133:CE133" si="1746">CC132/CC66</f>
        <v>0</v>
      </c>
      <c r="CD133" s="585"/>
      <c r="CE133" s="586">
        <f t="shared" si="1746"/>
        <v>0</v>
      </c>
      <c r="CF133" s="585"/>
      <c r="CG133" s="586">
        <f t="shared" ref="CG133:CI133" si="1747">CG132/CG66</f>
        <v>0</v>
      </c>
      <c r="CH133" s="585"/>
      <c r="CI133" s="586">
        <f t="shared" si="1747"/>
        <v>0</v>
      </c>
      <c r="CJ133" s="585"/>
      <c r="CK133" s="586">
        <f t="shared" ref="CK133" si="1748">CK132/CK66</f>
        <v>0</v>
      </c>
      <c r="CL133" s="585"/>
      <c r="CM133" s="586">
        <f t="shared" ref="CM133" si="1749">CM132/CM66</f>
        <v>0</v>
      </c>
      <c r="CN133" s="585"/>
      <c r="CO133" s="586">
        <f t="shared" ref="CO133" si="1750">CO132/CO66</f>
        <v>0</v>
      </c>
      <c r="CP133" s="585"/>
      <c r="CQ133" s="586">
        <f>CQ132/CQ66</f>
        <v>40.289256198347104</v>
      </c>
      <c r="CR133" s="585"/>
      <c r="CS133" s="586">
        <f>CS132/CS66</f>
        <v>34.666580578512395</v>
      </c>
      <c r="CT133" s="585"/>
      <c r="CU133" s="586">
        <f>CU132/CU66</f>
        <v>25.754390495867767</v>
      </c>
      <c r="CV133" s="585"/>
      <c r="CW133" s="586">
        <f>CW132/CW66</f>
        <v>27.376033057851238</v>
      </c>
      <c r="CX133" s="585"/>
      <c r="CY133" s="586">
        <f>CY132/CY66</f>
        <v>74.955836776859499</v>
      </c>
      <c r="CZ133" s="585"/>
      <c r="DA133" s="586">
        <f>DA132/DA66</f>
        <v>44.421487603305785</v>
      </c>
      <c r="DB133" s="585"/>
      <c r="DC133" s="586">
        <f>DC132/DC66</f>
        <v>160.88439436983472</v>
      </c>
      <c r="DD133" s="585"/>
      <c r="DE133" s="586">
        <f>DE132/DE66</f>
        <v>160.88439436983472</v>
      </c>
      <c r="DF133" s="585"/>
      <c r="DG133" s="586">
        <f>DG132/DG66</f>
        <v>160.88439436983472</v>
      </c>
    </row>
    <row r="134" spans="1:111" outlineLevel="3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375"/>
      <c r="O134" s="376"/>
      <c r="P134" s="375"/>
      <c r="Q134" s="376"/>
      <c r="R134" s="375"/>
      <c r="S134" s="376"/>
      <c r="T134" s="375"/>
      <c r="U134" s="376"/>
      <c r="V134" s="375"/>
      <c r="W134" s="376"/>
      <c r="X134" s="375"/>
      <c r="Y134" s="376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375"/>
      <c r="BY134" s="376"/>
      <c r="BZ134" s="375"/>
      <c r="CA134" s="376"/>
      <c r="CB134" s="375"/>
      <c r="CC134" s="376"/>
      <c r="CD134" s="375"/>
      <c r="CE134" s="376"/>
      <c r="CF134" s="375"/>
      <c r="CG134" s="376"/>
      <c r="CH134" s="375"/>
      <c r="CI134" s="376"/>
      <c r="CJ134" s="375"/>
      <c r="CK134" s="376"/>
      <c r="CL134" s="375"/>
      <c r="CM134" s="376"/>
      <c r="CN134" s="375"/>
      <c r="CO134" s="376"/>
      <c r="CP134" s="375"/>
      <c r="CQ134" s="376"/>
      <c r="CR134" s="375"/>
      <c r="CS134" s="376"/>
      <c r="CT134" s="375"/>
      <c r="CU134" s="376"/>
      <c r="CV134" s="375"/>
      <c r="CW134" s="376"/>
      <c r="CX134" s="375"/>
      <c r="CY134" s="376"/>
      <c r="CZ134" s="375"/>
      <c r="DA134" s="376"/>
      <c r="DB134" s="375"/>
      <c r="DC134" s="376"/>
      <c r="DD134" s="375"/>
      <c r="DE134" s="376"/>
      <c r="DF134" s="375"/>
      <c r="DG134" s="376"/>
    </row>
    <row r="135" spans="1:111" outlineLevel="2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224">
        <f>G64</f>
        <v>650</v>
      </c>
      <c r="H135" s="180"/>
      <c r="I135" s="224">
        <f>I64</f>
        <v>1150</v>
      </c>
      <c r="J135" s="180"/>
      <c r="K135" s="224">
        <f>K64</f>
        <v>1150</v>
      </c>
      <c r="L135" s="180"/>
      <c r="M135" s="224">
        <f>M64</f>
        <v>1150</v>
      </c>
      <c r="N135" s="380"/>
      <c r="O135" s="384">
        <f>O64</f>
        <v>1190.6399999999999</v>
      </c>
      <c r="P135" s="380"/>
      <c r="Q135" s="384">
        <f>Q64</f>
        <v>1200</v>
      </c>
      <c r="R135" s="380"/>
      <c r="S135" s="384">
        <f>S64</f>
        <v>1200</v>
      </c>
      <c r="T135" s="380"/>
      <c r="U135" s="384">
        <f>U64</f>
        <v>1200</v>
      </c>
      <c r="V135" s="380"/>
      <c r="W135" s="384">
        <f>W64</f>
        <v>1200</v>
      </c>
      <c r="X135" s="380"/>
      <c r="Y135" s="384">
        <f>Y64</f>
        <v>1200</v>
      </c>
      <c r="Z135" s="380"/>
      <c r="AA135" s="384">
        <f>AA64</f>
        <v>1200</v>
      </c>
      <c r="AB135" s="380"/>
      <c r="AC135" s="384">
        <f>AC64</f>
        <v>1200</v>
      </c>
      <c r="AD135" s="380"/>
      <c r="AE135" s="384">
        <f>AE64</f>
        <v>1200</v>
      </c>
      <c r="AF135" s="380"/>
      <c r="AG135" s="384">
        <f>AG64</f>
        <v>1200</v>
      </c>
      <c r="AH135" s="380"/>
      <c r="AI135" s="384">
        <f>AI64</f>
        <v>1200</v>
      </c>
      <c r="AJ135" s="380"/>
      <c r="AK135" s="384">
        <f>AK64</f>
        <v>1200</v>
      </c>
      <c r="AL135" s="380"/>
      <c r="AM135" s="384">
        <f t="shared" ref="AM135" si="1751">AM64</f>
        <v>1200</v>
      </c>
      <c r="AN135" s="380"/>
      <c r="AO135" s="384">
        <f t="shared" ref="AO135:AQ135" si="1752">AO64</f>
        <v>1200</v>
      </c>
      <c r="AP135" s="380"/>
      <c r="AQ135" s="384">
        <f t="shared" si="1752"/>
        <v>1200</v>
      </c>
      <c r="AR135" s="380"/>
      <c r="AS135" s="384">
        <f t="shared" ref="AS135" si="1753">AS64</f>
        <v>1200</v>
      </c>
      <c r="AT135" s="380"/>
      <c r="AU135" s="384">
        <f t="shared" ref="AU135" si="1754">AU64</f>
        <v>1200</v>
      </c>
      <c r="AV135" s="380"/>
      <c r="AW135" s="384">
        <f t="shared" ref="AW135" si="1755">AW64</f>
        <v>1200</v>
      </c>
      <c r="AX135" s="380"/>
      <c r="AY135" s="384">
        <f t="shared" ref="AY135" si="1756">AY64</f>
        <v>1200</v>
      </c>
      <c r="AZ135" s="380"/>
      <c r="BA135" s="384">
        <f t="shared" ref="BA135:BC135" si="1757">BA64</f>
        <v>1200</v>
      </c>
      <c r="BB135" s="380"/>
      <c r="BC135" s="384">
        <f t="shared" si="1757"/>
        <v>1200</v>
      </c>
      <c r="BD135" s="380"/>
      <c r="BE135" s="384">
        <f t="shared" ref="BE135:BK135" si="1758">BE64</f>
        <v>1200</v>
      </c>
      <c r="BF135" s="380"/>
      <c r="BG135" s="384">
        <f t="shared" si="1758"/>
        <v>1200</v>
      </c>
      <c r="BH135" s="380"/>
      <c r="BI135" s="384">
        <f t="shared" si="1758"/>
        <v>1200</v>
      </c>
      <c r="BJ135" s="380"/>
      <c r="BK135" s="384">
        <f t="shared" si="1758"/>
        <v>750</v>
      </c>
      <c r="BL135" s="380"/>
      <c r="BM135" s="384">
        <f t="shared" ref="BM135:BO135" si="1759">BM64</f>
        <v>750</v>
      </c>
      <c r="BN135" s="380"/>
      <c r="BO135" s="384">
        <f t="shared" si="1759"/>
        <v>750</v>
      </c>
      <c r="BP135" s="380"/>
      <c r="BQ135" s="384">
        <f t="shared" ref="BQ135:BS135" si="1760">BQ64</f>
        <v>750</v>
      </c>
      <c r="BR135" s="380"/>
      <c r="BS135" s="384">
        <f t="shared" si="1760"/>
        <v>750</v>
      </c>
      <c r="BT135" s="380"/>
      <c r="BU135" s="384">
        <f t="shared" ref="BU135:BW135" si="1761">BU64</f>
        <v>750</v>
      </c>
      <c r="BV135" s="380"/>
      <c r="BW135" s="384">
        <f t="shared" si="1761"/>
        <v>750</v>
      </c>
      <c r="BX135" s="380"/>
      <c r="BY135" s="384">
        <f t="shared" ref="BY135:CA135" si="1762">BY64</f>
        <v>750</v>
      </c>
      <c r="BZ135" s="380"/>
      <c r="CA135" s="384">
        <f t="shared" si="1762"/>
        <v>750</v>
      </c>
      <c r="CB135" s="380"/>
      <c r="CC135" s="384">
        <f t="shared" ref="CC135:CE135" si="1763">CC64</f>
        <v>750</v>
      </c>
      <c r="CD135" s="380"/>
      <c r="CE135" s="384">
        <f t="shared" si="1763"/>
        <v>750</v>
      </c>
      <c r="CF135" s="380"/>
      <c r="CG135" s="384">
        <f t="shared" ref="CG135:CI135" si="1764">CG64</f>
        <v>750</v>
      </c>
      <c r="CH135" s="380"/>
      <c r="CI135" s="384">
        <f t="shared" si="1764"/>
        <v>750</v>
      </c>
      <c r="CJ135" s="380"/>
      <c r="CK135" s="384">
        <f t="shared" ref="CK135" si="1765">CK64</f>
        <v>750</v>
      </c>
      <c r="CL135" s="380"/>
      <c r="CM135" s="384">
        <f t="shared" ref="CM135" si="1766">CM64</f>
        <v>750</v>
      </c>
      <c r="CN135" s="380"/>
      <c r="CO135" s="384">
        <f t="shared" ref="CO135" si="1767">CO64</f>
        <v>750</v>
      </c>
      <c r="CP135" s="380"/>
      <c r="CQ135" s="384">
        <f>CQ64</f>
        <v>1196.1600000000001</v>
      </c>
      <c r="CR135" s="380"/>
      <c r="CS135" s="384">
        <f>CS64</f>
        <v>1200</v>
      </c>
      <c r="CT135" s="380"/>
      <c r="CU135" s="384">
        <f>CU64</f>
        <v>1200</v>
      </c>
      <c r="CV135" s="380"/>
      <c r="CW135" s="384">
        <f>CW64</f>
        <v>1200</v>
      </c>
      <c r="CX135" s="380"/>
      <c r="CY135" s="384">
        <f>CY64</f>
        <v>1197.9359746958437</v>
      </c>
      <c r="CZ135" s="380"/>
      <c r="DA135" s="384">
        <f>DA64</f>
        <v>1200</v>
      </c>
      <c r="DB135" s="380"/>
      <c r="DC135" s="384">
        <f>DC64</f>
        <v>1200</v>
      </c>
      <c r="DD135" s="380"/>
      <c r="DE135" s="384">
        <f>DE64</f>
        <v>1200</v>
      </c>
      <c r="DF135" s="380"/>
      <c r="DG135" s="384">
        <f>DG64</f>
        <v>1200</v>
      </c>
    </row>
    <row r="136" spans="1:111" outlineLevel="2" x14ac:dyDescent="0.45">
      <c r="A136" s="561"/>
      <c r="B136" s="1187"/>
      <c r="C136" s="161" t="s">
        <v>388</v>
      </c>
      <c r="D136" s="162"/>
      <c r="E136" s="179"/>
      <c r="F136" s="180"/>
      <c r="G136" s="224"/>
      <c r="H136" s="180"/>
      <c r="I136" s="224"/>
      <c r="J136" s="180"/>
      <c r="K136" s="224"/>
      <c r="L136" s="180"/>
      <c r="M136" s="224"/>
      <c r="N136" s="380"/>
      <c r="O136" s="384">
        <v>1452.6104206832188</v>
      </c>
      <c r="P136" s="380"/>
      <c r="Q136" s="384"/>
      <c r="R136" s="380"/>
      <c r="S136" s="384"/>
      <c r="T136" s="380"/>
      <c r="U136" s="384">
        <v>1403.1679998295758</v>
      </c>
      <c r="V136" s="380"/>
      <c r="W136" s="384">
        <v>1368.1793487014395</v>
      </c>
      <c r="X136" s="380"/>
      <c r="Y136" s="384">
        <v>1159.664109205961</v>
      </c>
      <c r="Z136" s="380"/>
      <c r="AA136" s="384">
        <v>1182.5999485199486</v>
      </c>
      <c r="AB136" s="380"/>
      <c r="AC136" s="384">
        <v>1172.72676038907</v>
      </c>
      <c r="AD136" s="380"/>
      <c r="AE136" s="384">
        <v>1208.6947173151918</v>
      </c>
      <c r="AF136" s="380"/>
      <c r="AG136" s="384">
        <v>1173.1499249146757</v>
      </c>
      <c r="AH136" s="380"/>
      <c r="AI136" s="384">
        <v>961</v>
      </c>
      <c r="AJ136" s="380"/>
      <c r="AK136" s="384">
        <v>690.39697862693981</v>
      </c>
      <c r="AL136" s="380"/>
      <c r="AM136" s="384">
        <v>656.49067009973191</v>
      </c>
      <c r="AN136" s="380"/>
      <c r="AO136" s="384">
        <v>561.45660699134135</v>
      </c>
      <c r="AP136" s="380"/>
      <c r="AQ136" s="384">
        <v>353.48358486732587</v>
      </c>
      <c r="AR136" s="380"/>
      <c r="AS136" s="384">
        <v>290.58497252340732</v>
      </c>
      <c r="AT136" s="380"/>
      <c r="AU136" s="384">
        <v>285.25440113249226</v>
      </c>
      <c r="AV136" s="380"/>
      <c r="AW136" s="384">
        <v>243</v>
      </c>
      <c r="AX136" s="380"/>
      <c r="AY136" s="384">
        <v>230</v>
      </c>
      <c r="AZ136" s="380"/>
      <c r="BA136" s="384">
        <v>108</v>
      </c>
      <c r="BB136" s="380"/>
      <c r="BC136" s="384">
        <v>105</v>
      </c>
      <c r="BD136" s="380"/>
      <c r="BE136" s="384">
        <v>105</v>
      </c>
      <c r="BF136" s="380"/>
      <c r="BG136" s="384">
        <v>93</v>
      </c>
      <c r="BH136" s="380"/>
      <c r="BI136" s="384">
        <v>60</v>
      </c>
      <c r="BJ136" s="380"/>
      <c r="BK136" s="384">
        <v>60</v>
      </c>
      <c r="BL136" s="380"/>
      <c r="BM136" s="384">
        <v>55</v>
      </c>
      <c r="BN136" s="380"/>
      <c r="BO136" s="384">
        <v>76</v>
      </c>
      <c r="BP136" s="380"/>
      <c r="BQ136" s="384">
        <v>49</v>
      </c>
      <c r="BR136" s="380"/>
      <c r="BS136" s="384">
        <v>68</v>
      </c>
      <c r="BT136" s="380"/>
      <c r="BU136" s="384">
        <v>60</v>
      </c>
      <c r="BV136" s="380"/>
      <c r="BW136" s="384">
        <v>12</v>
      </c>
      <c r="BX136" s="380"/>
      <c r="BY136" s="384">
        <v>89.7</v>
      </c>
      <c r="BZ136" s="380"/>
      <c r="CA136" s="384">
        <v>295.30472103004291</v>
      </c>
      <c r="CB136" s="380"/>
      <c r="CC136" s="384">
        <v>212</v>
      </c>
      <c r="CD136" s="380"/>
      <c r="CE136" s="384">
        <v>49</v>
      </c>
      <c r="CF136" s="380"/>
      <c r="CG136" s="384">
        <v>61.756756756756758</v>
      </c>
      <c r="CH136" s="380"/>
      <c r="CI136" s="384">
        <v>15</v>
      </c>
      <c r="CJ136" s="380"/>
      <c r="CK136" s="384">
        <v>7</v>
      </c>
      <c r="CL136" s="380"/>
      <c r="CM136" s="384">
        <v>200</v>
      </c>
      <c r="CN136" s="380"/>
      <c r="CO136" s="384">
        <v>35</v>
      </c>
      <c r="CP136" s="380"/>
      <c r="CQ136" s="384">
        <f>(SUMPRODUCT(U136,U$131)+SUMPRODUCT(W136,W$131)+SUMPRODUCT(O136,O$131))/SUM(O$131,U$131,W$131)</f>
        <v>1414.4806209161636</v>
      </c>
      <c r="CR136" s="380"/>
      <c r="CS136" s="384">
        <f>(SUMPRODUCT(AA136,AA$131)+SUMPRODUCT(AC136,AC$131)+SUMPRODUCT(Y136,Y$131))/SUM(Y$131,AA$131,AC$131)</f>
        <v>1172.9519502426556</v>
      </c>
      <c r="CT136" s="380"/>
      <c r="CU136" s="384">
        <f>(SUMPRODUCT(AG136,AG$131)+SUMPRODUCT(AE136,AE$131)+SUMPRODUCT(AI136,AI$131))/SUM(AI$131,AG$131,AE$131)</f>
        <v>1071.0009250445014</v>
      </c>
      <c r="CV136" s="380"/>
      <c r="CW136" s="384">
        <v>600</v>
      </c>
      <c r="CX136" s="380"/>
      <c r="CY136" s="384">
        <f>(SUMPRODUCT(O136,O$131)+SUMPRODUCT(U136,U$131)+SUMPRODUCT(W136,W$131)+SUMPRODUCT(Y136,Y$131)+SUMPRODUCT(AA136,AA$131)+SUMPRODUCT(AC136,AC$131))/SUM(U$131,O$131,W$131,Y$131,AA$131,AC$131)</f>
        <v>1302.7752023128044</v>
      </c>
      <c r="CZ136" s="380"/>
      <c r="DA136" s="384">
        <v>900</v>
      </c>
      <c r="DB136" s="380"/>
      <c r="DC136" s="384">
        <v>900</v>
      </c>
      <c r="DD136" s="380"/>
      <c r="DE136" s="384">
        <v>900</v>
      </c>
      <c r="DF136" s="380"/>
      <c r="DG136" s="384">
        <v>900</v>
      </c>
    </row>
    <row r="137" spans="1:111" ht="14.45" customHeight="1" outlineLevel="3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>
        <v>1200</v>
      </c>
      <c r="H137" s="180"/>
      <c r="I137" s="224">
        <f>G137</f>
        <v>1200</v>
      </c>
      <c r="J137" s="180"/>
      <c r="K137" s="224">
        <f>I137</f>
        <v>1200</v>
      </c>
      <c r="L137" s="180"/>
      <c r="M137" s="224">
        <f>K137</f>
        <v>1200</v>
      </c>
      <c r="N137" s="380"/>
      <c r="O137" s="224">
        <f>'Pricing Structure - GSS'!O137</f>
        <v>1218</v>
      </c>
      <c r="P137" s="380"/>
      <c r="Q137" s="224">
        <f>O137</f>
        <v>1218</v>
      </c>
      <c r="R137" s="380"/>
      <c r="S137" s="224">
        <f>Q137</f>
        <v>1218</v>
      </c>
      <c r="T137" s="380"/>
      <c r="U137" s="224">
        <f>'Pricing Structure - GSS'!U137</f>
        <v>1244</v>
      </c>
      <c r="V137" s="380"/>
      <c r="W137" s="224">
        <f>U137</f>
        <v>1244</v>
      </c>
      <c r="X137" s="380"/>
      <c r="Y137" s="224">
        <f>W137</f>
        <v>1244</v>
      </c>
      <c r="Z137" s="380"/>
      <c r="AA137" s="224">
        <f>Y137</f>
        <v>1244</v>
      </c>
      <c r="AB137" s="380"/>
      <c r="AC137" s="224">
        <f>AA137</f>
        <v>1244</v>
      </c>
      <c r="AD137" s="380"/>
      <c r="AE137" s="224">
        <f>AC137</f>
        <v>1244</v>
      </c>
      <c r="AF137" s="380"/>
      <c r="AG137" s="224">
        <f>AE137</f>
        <v>1244</v>
      </c>
      <c r="AH137" s="380"/>
      <c r="AI137" s="224">
        <f>AG137</f>
        <v>1244</v>
      </c>
      <c r="AJ137" s="380"/>
      <c r="AK137" s="224">
        <f>AI137</f>
        <v>1244</v>
      </c>
      <c r="AL137" s="380"/>
      <c r="AM137" s="224">
        <f t="shared" ref="AM137" si="1768">AK137</f>
        <v>1244</v>
      </c>
      <c r="AN137" s="380"/>
      <c r="AO137" s="224">
        <f t="shared" ref="AO137" si="1769">AM137</f>
        <v>1244</v>
      </c>
      <c r="AP137" s="380"/>
      <c r="AQ137" s="224">
        <f t="shared" ref="AQ137" si="1770">AO137</f>
        <v>1244</v>
      </c>
      <c r="AR137" s="380"/>
      <c r="AS137" s="224">
        <f t="shared" ref="AS137" si="1771">AQ137</f>
        <v>1244</v>
      </c>
      <c r="AT137" s="380"/>
      <c r="AU137" s="224">
        <f t="shared" ref="AU137" si="1772">AS137</f>
        <v>1244</v>
      </c>
      <c r="AV137" s="380"/>
      <c r="AW137" s="224">
        <f t="shared" ref="AW137" si="1773">AU137</f>
        <v>1244</v>
      </c>
      <c r="AX137" s="380"/>
      <c r="AY137" s="224">
        <f t="shared" ref="AY137" si="1774">AW137</f>
        <v>1244</v>
      </c>
      <c r="AZ137" s="380"/>
      <c r="BA137" s="224">
        <f t="shared" ref="BA137" si="1775">AY137</f>
        <v>1244</v>
      </c>
      <c r="BB137" s="380"/>
      <c r="BC137" s="224">
        <f t="shared" ref="BC137" si="1776">BA137</f>
        <v>1244</v>
      </c>
      <c r="BD137" s="380"/>
      <c r="BE137" s="224" t="e">
        <f>#REF!</f>
        <v>#REF!</v>
      </c>
      <c r="BF137" s="380"/>
      <c r="BG137" s="224" t="e">
        <f t="shared" ref="BG137" si="1777">BE137</f>
        <v>#REF!</v>
      </c>
      <c r="BH137" s="380"/>
      <c r="BI137" s="224" t="e">
        <f t="shared" ref="BI137" si="1778">BG137</f>
        <v>#REF!</v>
      </c>
      <c r="BJ137" s="380"/>
      <c r="BK137" s="224" t="e">
        <f t="shared" ref="BK137" si="1779">BI137</f>
        <v>#REF!</v>
      </c>
      <c r="BL137" s="380"/>
      <c r="BM137" s="224" t="e">
        <f t="shared" ref="BM137" si="1780">BK137</f>
        <v>#REF!</v>
      </c>
      <c r="BN137" s="380"/>
      <c r="BO137" s="224" t="e">
        <f t="shared" ref="BO137" si="1781">BM137</f>
        <v>#REF!</v>
      </c>
      <c r="BP137" s="380"/>
      <c r="BQ137" s="224" t="e">
        <f t="shared" ref="BQ137" si="1782">BO137</f>
        <v>#REF!</v>
      </c>
      <c r="BR137" s="380"/>
      <c r="BS137" s="224" t="e">
        <f t="shared" ref="BS137" si="1783">BQ137</f>
        <v>#REF!</v>
      </c>
      <c r="BT137" s="380"/>
      <c r="BU137" s="224" t="e">
        <f t="shared" ref="BU137" si="1784">BS137</f>
        <v>#REF!</v>
      </c>
      <c r="BV137" s="380"/>
      <c r="BW137" s="224" t="e">
        <f t="shared" ref="BW137" si="1785">BU137</f>
        <v>#REF!</v>
      </c>
      <c r="BX137" s="380"/>
      <c r="BY137" s="224" t="e">
        <f t="shared" ref="BY137" si="1786">BW137</f>
        <v>#REF!</v>
      </c>
      <c r="BZ137" s="380"/>
      <c r="CA137" s="224" t="e">
        <f t="shared" ref="CA137" si="1787">BY137</f>
        <v>#REF!</v>
      </c>
      <c r="CB137" s="380"/>
      <c r="CC137" s="224" t="e">
        <f t="shared" ref="CC137" si="1788">CA137</f>
        <v>#REF!</v>
      </c>
      <c r="CD137" s="380"/>
      <c r="CE137" s="224" t="e">
        <f t="shared" ref="CE137" si="1789">CC137</f>
        <v>#REF!</v>
      </c>
      <c r="CF137" s="380"/>
      <c r="CG137" s="224" t="e">
        <f t="shared" ref="CG137" si="1790">CE137</f>
        <v>#REF!</v>
      </c>
      <c r="CH137" s="380"/>
      <c r="CI137" s="224" t="e">
        <f t="shared" ref="CI137" si="1791">CG137</f>
        <v>#REF!</v>
      </c>
      <c r="CJ137" s="380"/>
      <c r="CK137" s="224" t="e">
        <f t="shared" ref="CK137" si="1792">CI137</f>
        <v>#REF!</v>
      </c>
      <c r="CL137" s="380"/>
      <c r="CM137" s="224" t="e">
        <f t="shared" ref="CM137" si="1793">CE137</f>
        <v>#REF!</v>
      </c>
      <c r="CN137" s="380"/>
      <c r="CO137" s="224" t="e">
        <f t="shared" ref="CO137" si="1794">BS137</f>
        <v>#REF!</v>
      </c>
      <c r="CP137" s="380"/>
      <c r="CQ137" s="224">
        <f>AI137</f>
        <v>1244</v>
      </c>
      <c r="CR137" s="380"/>
      <c r="CS137" s="224">
        <f>CQ137</f>
        <v>1244</v>
      </c>
      <c r="CT137" s="380"/>
      <c r="CU137" s="224">
        <f>CS137</f>
        <v>1244</v>
      </c>
      <c r="CV137" s="380"/>
      <c r="CW137" s="224">
        <f>CU137</f>
        <v>1244</v>
      </c>
      <c r="CX137" s="380"/>
      <c r="CY137" s="224">
        <f>CW137</f>
        <v>1244</v>
      </c>
      <c r="CZ137" s="380"/>
      <c r="DA137" s="224">
        <f>CY137</f>
        <v>1244</v>
      </c>
      <c r="DB137" s="380"/>
      <c r="DC137" s="224">
        <f>CW137</f>
        <v>1244</v>
      </c>
      <c r="DD137" s="380"/>
      <c r="DE137" s="224">
        <f>CY137</f>
        <v>1244</v>
      </c>
      <c r="DF137" s="380"/>
      <c r="DG137" s="224">
        <f>DA137</f>
        <v>1244</v>
      </c>
    </row>
    <row r="138" spans="1:111" ht="14.45" customHeight="1" outlineLevel="3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1200</v>
      </c>
      <c r="H138" s="180"/>
      <c r="I138" s="224">
        <f>G138</f>
        <v>1200</v>
      </c>
      <c r="J138" s="180"/>
      <c r="K138" s="224">
        <f>I138</f>
        <v>1200</v>
      </c>
      <c r="L138" s="180"/>
      <c r="M138" s="224">
        <f>K138</f>
        <v>1200</v>
      </c>
      <c r="N138" s="380"/>
      <c r="O138" s="224">
        <v>1200</v>
      </c>
      <c r="P138" s="380"/>
      <c r="Q138" s="224">
        <v>1200</v>
      </c>
      <c r="R138" s="380"/>
      <c r="S138" s="224">
        <v>1200</v>
      </c>
      <c r="T138" s="380"/>
      <c r="U138" s="224">
        <v>1200</v>
      </c>
      <c r="V138" s="380"/>
      <c r="W138" s="224">
        <v>1200</v>
      </c>
      <c r="X138" s="380"/>
      <c r="Y138" s="224">
        <v>1200</v>
      </c>
      <c r="Z138" s="380"/>
      <c r="AA138" s="224">
        <v>1200</v>
      </c>
      <c r="AB138" s="380"/>
      <c r="AC138" s="224">
        <v>1200</v>
      </c>
      <c r="AD138" s="380"/>
      <c r="AE138" s="224">
        <v>1200</v>
      </c>
      <c r="AF138" s="380"/>
      <c r="AG138" s="224">
        <v>1200</v>
      </c>
      <c r="AH138" s="380"/>
      <c r="AI138" s="224">
        <v>1200</v>
      </c>
      <c r="AJ138" s="380"/>
      <c r="AK138" s="224">
        <v>1200</v>
      </c>
      <c r="AL138" s="380"/>
      <c r="AM138" s="224">
        <v>1200</v>
      </c>
      <c r="AN138" s="380"/>
      <c r="AO138" s="224">
        <v>1200</v>
      </c>
      <c r="AP138" s="380"/>
      <c r="AQ138" s="224">
        <v>1200</v>
      </c>
      <c r="AR138" s="380"/>
      <c r="AS138" s="224">
        <v>1200</v>
      </c>
      <c r="AT138" s="380"/>
      <c r="AU138" s="224">
        <v>1200</v>
      </c>
      <c r="AV138" s="380"/>
      <c r="AW138" s="224">
        <v>1200</v>
      </c>
      <c r="AX138" s="380"/>
      <c r="AY138" s="224">
        <v>1200</v>
      </c>
      <c r="AZ138" s="380"/>
      <c r="BA138" s="224">
        <v>1200</v>
      </c>
      <c r="BB138" s="380"/>
      <c r="BC138" s="224">
        <v>1200</v>
      </c>
      <c r="BD138" s="380"/>
      <c r="BE138" s="224">
        <v>1200</v>
      </c>
      <c r="BF138" s="380"/>
      <c r="BG138" s="224">
        <v>1200</v>
      </c>
      <c r="BH138" s="380"/>
      <c r="BI138" s="224">
        <v>1200</v>
      </c>
      <c r="BJ138" s="380"/>
      <c r="BK138" s="224">
        <v>1200</v>
      </c>
      <c r="BL138" s="380"/>
      <c r="BM138" s="224">
        <v>1200</v>
      </c>
      <c r="BN138" s="380"/>
      <c r="BO138" s="224">
        <v>1200</v>
      </c>
      <c r="BP138" s="380"/>
      <c r="BQ138" s="224">
        <v>1200</v>
      </c>
      <c r="BR138" s="380"/>
      <c r="BS138" s="224">
        <v>1200</v>
      </c>
      <c r="BT138" s="380"/>
      <c r="BU138" s="224">
        <v>1200</v>
      </c>
      <c r="BV138" s="380"/>
      <c r="BW138" s="224">
        <v>1200</v>
      </c>
      <c r="BX138" s="380"/>
      <c r="BY138" s="224">
        <v>1200</v>
      </c>
      <c r="BZ138" s="380"/>
      <c r="CA138" s="224">
        <v>1200</v>
      </c>
      <c r="CB138" s="380"/>
      <c r="CC138" s="224">
        <v>1200</v>
      </c>
      <c r="CD138" s="380"/>
      <c r="CE138" s="224">
        <v>1200</v>
      </c>
      <c r="CF138" s="380"/>
      <c r="CG138" s="224">
        <v>1200</v>
      </c>
      <c r="CH138" s="380"/>
      <c r="CI138" s="224">
        <v>1200</v>
      </c>
      <c r="CJ138" s="380"/>
      <c r="CK138" s="224">
        <v>1200</v>
      </c>
      <c r="CL138" s="380"/>
      <c r="CM138" s="224">
        <v>1200</v>
      </c>
      <c r="CN138" s="380"/>
      <c r="CO138" s="224">
        <v>1200</v>
      </c>
      <c r="CP138" s="380"/>
      <c r="CQ138" s="224">
        <v>1200</v>
      </c>
      <c r="CR138" s="380"/>
      <c r="CS138" s="224">
        <v>1200</v>
      </c>
      <c r="CT138" s="380"/>
      <c r="CU138" s="224">
        <v>1200</v>
      </c>
      <c r="CV138" s="380"/>
      <c r="CW138" s="224">
        <v>1200</v>
      </c>
      <c r="CX138" s="380"/>
      <c r="CY138" s="224">
        <v>1200</v>
      </c>
      <c r="CZ138" s="380"/>
      <c r="DA138" s="224">
        <v>1200</v>
      </c>
      <c r="DB138" s="380"/>
      <c r="DC138" s="224">
        <v>1200</v>
      </c>
      <c r="DD138" s="380"/>
      <c r="DE138" s="224">
        <v>1200</v>
      </c>
      <c r="DF138" s="380"/>
      <c r="DG138" s="224">
        <v>1200</v>
      </c>
    </row>
    <row r="139" spans="1:111" ht="14.45" customHeight="1" outlineLevel="3" x14ac:dyDescent="0.45">
      <c r="A139" s="561"/>
      <c r="B139" s="1187"/>
      <c r="C139" s="225" t="s">
        <v>130</v>
      </c>
      <c r="D139" s="162"/>
      <c r="E139" s="179"/>
      <c r="F139" s="180"/>
      <c r="G139" s="224">
        <v>750</v>
      </c>
      <c r="H139" s="180"/>
      <c r="I139" s="224">
        <v>750</v>
      </c>
      <c r="J139" s="180"/>
      <c r="K139" s="224">
        <v>750</v>
      </c>
      <c r="L139" s="180"/>
      <c r="M139" s="224">
        <v>750</v>
      </c>
      <c r="N139" s="380"/>
      <c r="O139" s="384">
        <v>750</v>
      </c>
      <c r="P139" s="380"/>
      <c r="Q139" s="384">
        <v>750</v>
      </c>
      <c r="R139" s="380"/>
      <c r="S139" s="384">
        <v>750</v>
      </c>
      <c r="T139" s="380"/>
      <c r="U139" s="384">
        <v>750</v>
      </c>
      <c r="V139" s="380"/>
      <c r="W139" s="384">
        <v>750</v>
      </c>
      <c r="X139" s="380"/>
      <c r="Y139" s="384">
        <v>750</v>
      </c>
      <c r="Z139" s="380"/>
      <c r="AA139" s="384">
        <v>750</v>
      </c>
      <c r="AB139" s="380"/>
      <c r="AC139" s="384">
        <v>750</v>
      </c>
      <c r="AD139" s="380"/>
      <c r="AE139" s="384">
        <v>750</v>
      </c>
      <c r="AF139" s="380"/>
      <c r="AG139" s="384">
        <v>750</v>
      </c>
      <c r="AH139" s="380"/>
      <c r="AI139" s="384">
        <v>750</v>
      </c>
      <c r="AJ139" s="380"/>
      <c r="AK139" s="384">
        <v>750</v>
      </c>
      <c r="AL139" s="380"/>
      <c r="AM139" s="384">
        <v>750</v>
      </c>
      <c r="AN139" s="380"/>
      <c r="AO139" s="384">
        <v>750</v>
      </c>
      <c r="AP139" s="380"/>
      <c r="AQ139" s="384">
        <v>750</v>
      </c>
      <c r="AR139" s="380"/>
      <c r="AS139" s="384">
        <v>750</v>
      </c>
      <c r="AT139" s="380"/>
      <c r="AU139" s="384">
        <v>750</v>
      </c>
      <c r="AV139" s="380"/>
      <c r="AW139" s="384">
        <v>750</v>
      </c>
      <c r="AX139" s="380"/>
      <c r="AY139" s="384">
        <v>750</v>
      </c>
      <c r="AZ139" s="380"/>
      <c r="BA139" s="384">
        <v>750</v>
      </c>
      <c r="BB139" s="380"/>
      <c r="BC139" s="384">
        <v>750</v>
      </c>
      <c r="BD139" s="380"/>
      <c r="BE139" s="384">
        <v>750</v>
      </c>
      <c r="BF139" s="380"/>
      <c r="BG139" s="384">
        <v>750</v>
      </c>
      <c r="BH139" s="380"/>
      <c r="BI139" s="384">
        <v>750</v>
      </c>
      <c r="BJ139" s="380"/>
      <c r="BK139" s="384">
        <v>750</v>
      </c>
      <c r="BL139" s="380"/>
      <c r="BM139" s="384">
        <v>750</v>
      </c>
      <c r="BN139" s="380"/>
      <c r="BO139" s="384">
        <v>750</v>
      </c>
      <c r="BP139" s="380"/>
      <c r="BQ139" s="384">
        <v>750</v>
      </c>
      <c r="BR139" s="380"/>
      <c r="BS139" s="384">
        <v>750</v>
      </c>
      <c r="BT139" s="380"/>
      <c r="BU139" s="384">
        <v>750</v>
      </c>
      <c r="BV139" s="380"/>
      <c r="BW139" s="384">
        <v>750</v>
      </c>
      <c r="BX139" s="380"/>
      <c r="BY139" s="384">
        <v>750</v>
      </c>
      <c r="BZ139" s="380"/>
      <c r="CA139" s="384">
        <v>750</v>
      </c>
      <c r="CB139" s="380"/>
      <c r="CC139" s="384">
        <v>750</v>
      </c>
      <c r="CD139" s="380"/>
      <c r="CE139" s="384">
        <v>750</v>
      </c>
      <c r="CF139" s="380"/>
      <c r="CG139" s="384">
        <v>750</v>
      </c>
      <c r="CH139" s="380"/>
      <c r="CI139" s="384">
        <v>750</v>
      </c>
      <c r="CJ139" s="380"/>
      <c r="CK139" s="384">
        <v>750</v>
      </c>
      <c r="CL139" s="380"/>
      <c r="CM139" s="384">
        <v>750</v>
      </c>
      <c r="CN139" s="380"/>
      <c r="CO139" s="384">
        <v>750</v>
      </c>
      <c r="CP139" s="380"/>
      <c r="CQ139" s="384">
        <v>750</v>
      </c>
      <c r="CR139" s="380"/>
      <c r="CS139" s="384">
        <v>750</v>
      </c>
      <c r="CT139" s="380"/>
      <c r="CU139" s="384">
        <v>750</v>
      </c>
      <c r="CV139" s="380"/>
      <c r="CW139" s="384">
        <v>750</v>
      </c>
      <c r="CX139" s="380"/>
      <c r="CY139" s="384">
        <v>750</v>
      </c>
      <c r="CZ139" s="380"/>
      <c r="DA139" s="384">
        <v>750</v>
      </c>
      <c r="DB139" s="380"/>
      <c r="DC139" s="384">
        <v>750</v>
      </c>
      <c r="DD139" s="380"/>
      <c r="DE139" s="384">
        <v>750</v>
      </c>
      <c r="DF139" s="380"/>
      <c r="DG139" s="384">
        <v>750</v>
      </c>
    </row>
    <row r="140" spans="1:111" outlineLevel="2" x14ac:dyDescent="0.45">
      <c r="A140" s="561"/>
      <c r="B140" s="1187"/>
      <c r="C140" s="170"/>
      <c r="D140" s="162"/>
      <c r="E140" s="197"/>
      <c r="F140" s="164"/>
      <c r="G140" s="171"/>
      <c r="H140" s="164"/>
      <c r="I140" s="171"/>
      <c r="J140" s="164"/>
      <c r="K140" s="171"/>
      <c r="L140" s="164"/>
      <c r="M140" s="171"/>
      <c r="N140" s="359"/>
      <c r="O140" s="372"/>
      <c r="P140" s="359"/>
      <c r="Q140" s="372"/>
      <c r="R140" s="359"/>
      <c r="S140" s="372"/>
      <c r="T140" s="359"/>
      <c r="U140" s="372"/>
      <c r="V140" s="359"/>
      <c r="W140" s="372"/>
      <c r="X140" s="359"/>
      <c r="Y140" s="372"/>
      <c r="Z140" s="359"/>
      <c r="AA140" s="372"/>
      <c r="AB140" s="359"/>
      <c r="AC140" s="372"/>
      <c r="AD140" s="359"/>
      <c r="AE140" s="372"/>
      <c r="AF140" s="359"/>
      <c r="AG140" s="372"/>
      <c r="AH140" s="359"/>
      <c r="AI140" s="372"/>
      <c r="AJ140" s="359"/>
      <c r="AK140" s="372"/>
      <c r="AL140" s="359"/>
      <c r="AM140" s="372"/>
      <c r="AN140" s="359"/>
      <c r="AO140" s="372"/>
      <c r="AP140" s="359"/>
      <c r="AQ140" s="372"/>
      <c r="AR140" s="359"/>
      <c r="AS140" s="372"/>
      <c r="AT140" s="359"/>
      <c r="AU140" s="372"/>
      <c r="AV140" s="359"/>
      <c r="AW140" s="372"/>
      <c r="AX140" s="359"/>
      <c r="AY140" s="372"/>
      <c r="AZ140" s="359"/>
      <c r="BA140" s="372"/>
      <c r="BB140" s="359"/>
      <c r="BC140" s="372"/>
      <c r="BD140" s="359"/>
      <c r="BE140" s="372"/>
      <c r="BF140" s="359"/>
      <c r="BG140" s="372"/>
      <c r="BH140" s="359"/>
      <c r="BI140" s="372"/>
      <c r="BJ140" s="359"/>
      <c r="BK140" s="372"/>
      <c r="BL140" s="359"/>
      <c r="BM140" s="372"/>
      <c r="BN140" s="359"/>
      <c r="BO140" s="372"/>
      <c r="BP140" s="359"/>
      <c r="BQ140" s="372"/>
      <c r="BR140" s="359"/>
      <c r="BS140" s="372"/>
      <c r="BT140" s="359"/>
      <c r="BU140" s="372"/>
      <c r="BV140" s="359"/>
      <c r="BW140" s="372"/>
      <c r="BX140" s="359"/>
      <c r="BY140" s="372"/>
      <c r="BZ140" s="359"/>
      <c r="CA140" s="372"/>
      <c r="CB140" s="359"/>
      <c r="CC140" s="372"/>
      <c r="CD140" s="359"/>
      <c r="CE140" s="372"/>
      <c r="CF140" s="359"/>
      <c r="CG140" s="372"/>
      <c r="CH140" s="359"/>
      <c r="CI140" s="372"/>
      <c r="CJ140" s="359"/>
      <c r="CK140" s="372"/>
      <c r="CL140" s="359"/>
      <c r="CM140" s="372"/>
      <c r="CN140" s="359"/>
      <c r="CO140" s="372"/>
      <c r="CP140" s="359"/>
      <c r="CQ140" s="372"/>
      <c r="CR140" s="359"/>
      <c r="CS140" s="372"/>
      <c r="CT140" s="359"/>
      <c r="CU140" s="372"/>
      <c r="CV140" s="359"/>
      <c r="CW140" s="372"/>
      <c r="CX140" s="359"/>
      <c r="CY140" s="372"/>
      <c r="CZ140" s="359"/>
      <c r="DA140" s="372"/>
      <c r="DB140" s="359"/>
      <c r="DC140" s="372"/>
      <c r="DD140" s="359"/>
      <c r="DE140" s="372"/>
      <c r="DF140" s="359"/>
      <c r="DG140" s="372"/>
    </row>
    <row r="141" spans="1:111" outlineLevel="2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G138-G135</f>
        <v>550</v>
      </c>
      <c r="H141" s="229"/>
      <c r="I141" s="230">
        <f>I138-I135</f>
        <v>50</v>
      </c>
      <c r="J141" s="229"/>
      <c r="K141" s="230">
        <f>K138-K135</f>
        <v>50</v>
      </c>
      <c r="L141" s="229"/>
      <c r="M141" s="230">
        <f>M138-M135</f>
        <v>50</v>
      </c>
      <c r="N141" s="229"/>
      <c r="O141" s="230">
        <f>O136-O135</f>
        <v>261.97042068321889</v>
      </c>
      <c r="P141" s="229"/>
      <c r="Q141" s="230">
        <f>Q137-Q135</f>
        <v>18</v>
      </c>
      <c r="R141" s="229"/>
      <c r="S141" s="230">
        <f>S137-S135</f>
        <v>18</v>
      </c>
      <c r="T141" s="229"/>
      <c r="U141" s="230">
        <f>U136-U135</f>
        <v>203.16799982957582</v>
      </c>
      <c r="V141" s="229"/>
      <c r="W141" s="230">
        <f>W136-W135</f>
        <v>168.17934870143949</v>
      </c>
      <c r="X141" s="229"/>
      <c r="Y141" s="230">
        <f>Y136-Y135</f>
        <v>-40.33589079403896</v>
      </c>
      <c r="Z141" s="229"/>
      <c r="AA141" s="230">
        <f>AA136-AA135</f>
        <v>-17.400051480051388</v>
      </c>
      <c r="AB141" s="229"/>
      <c r="AC141" s="230">
        <f>AC136-AC135</f>
        <v>-27.273239610929977</v>
      </c>
      <c r="AD141" s="229"/>
      <c r="AE141" s="230">
        <f>AE136-AE135</f>
        <v>8.6947173151918378</v>
      </c>
      <c r="AF141" s="229"/>
      <c r="AG141" s="230">
        <f>AG136-AG135</f>
        <v>-26.850075085324306</v>
      </c>
      <c r="AH141" s="229"/>
      <c r="AI141" s="230">
        <f>AI136-AI135</f>
        <v>-239</v>
      </c>
      <c r="AJ141" s="229"/>
      <c r="AK141" s="230">
        <f>AK136-AK135</f>
        <v>-509.60302137306019</v>
      </c>
      <c r="AL141" s="229"/>
      <c r="AM141" s="230">
        <f t="shared" ref="AM141" si="1795">AM136-AM135</f>
        <v>-543.50932990026809</v>
      </c>
      <c r="AN141" s="229"/>
      <c r="AO141" s="230">
        <f t="shared" ref="AO141:AQ141" si="1796">AO136-AO135</f>
        <v>-638.54339300865865</v>
      </c>
      <c r="AP141" s="229"/>
      <c r="AQ141" s="230">
        <f t="shared" si="1796"/>
        <v>-846.51641513267418</v>
      </c>
      <c r="AR141" s="229"/>
      <c r="AS141" s="230">
        <f t="shared" ref="AS141" si="1797">AS136-AS135</f>
        <v>-909.41502747659274</v>
      </c>
      <c r="AT141" s="229"/>
      <c r="AU141" s="230">
        <f t="shared" ref="AU141" si="1798">AU136-AU135</f>
        <v>-914.74559886750774</v>
      </c>
      <c r="AV141" s="229"/>
      <c r="AW141" s="230">
        <f t="shared" ref="AW141" si="1799">AW136-AW135</f>
        <v>-957</v>
      </c>
      <c r="AX141" s="229"/>
      <c r="AY141" s="230">
        <f t="shared" ref="AY141" si="1800">AY136-AY135</f>
        <v>-970</v>
      </c>
      <c r="AZ141" s="229"/>
      <c r="BA141" s="230">
        <f t="shared" ref="BA141:BC141" si="1801">BA136-BA135</f>
        <v>-1092</v>
      </c>
      <c r="BB141" s="229"/>
      <c r="BC141" s="230">
        <f t="shared" si="1801"/>
        <v>-1095</v>
      </c>
      <c r="BD141" s="229"/>
      <c r="BE141" s="230">
        <f t="shared" ref="BE141:BK141" si="1802">BE136-BE135</f>
        <v>-1095</v>
      </c>
      <c r="BF141" s="229"/>
      <c r="BG141" s="230">
        <f t="shared" si="1802"/>
        <v>-1107</v>
      </c>
      <c r="BH141" s="229"/>
      <c r="BI141" s="230">
        <f t="shared" si="1802"/>
        <v>-1140</v>
      </c>
      <c r="BJ141" s="229"/>
      <c r="BK141" s="230">
        <f t="shared" si="1802"/>
        <v>-690</v>
      </c>
      <c r="BL141" s="229"/>
      <c r="BM141" s="230">
        <f t="shared" ref="BM141:BO141" si="1803">BM136-BM135</f>
        <v>-695</v>
      </c>
      <c r="BN141" s="229"/>
      <c r="BO141" s="230">
        <f t="shared" si="1803"/>
        <v>-674</v>
      </c>
      <c r="BP141" s="229"/>
      <c r="BQ141" s="230">
        <f t="shared" ref="BQ141:BS141" si="1804">BQ136-BQ135</f>
        <v>-701</v>
      </c>
      <c r="BR141" s="229"/>
      <c r="BS141" s="230">
        <f t="shared" si="1804"/>
        <v>-682</v>
      </c>
      <c r="BT141" s="229"/>
      <c r="BU141" s="230">
        <f t="shared" ref="BU141:BW141" si="1805">BU136-BU135</f>
        <v>-690</v>
      </c>
      <c r="BV141" s="229"/>
      <c r="BW141" s="230">
        <f t="shared" si="1805"/>
        <v>-738</v>
      </c>
      <c r="BX141" s="229"/>
      <c r="BY141" s="230">
        <f t="shared" ref="BY141:CA141" si="1806">BY136-BY135</f>
        <v>-660.3</v>
      </c>
      <c r="BZ141" s="229"/>
      <c r="CA141" s="230">
        <f t="shared" si="1806"/>
        <v>-454.69527896995709</v>
      </c>
      <c r="CB141" s="229"/>
      <c r="CC141" s="230">
        <f t="shared" ref="CC141:CE141" si="1807">CC136-CC135</f>
        <v>-538</v>
      </c>
      <c r="CD141" s="229"/>
      <c r="CE141" s="230">
        <f t="shared" si="1807"/>
        <v>-701</v>
      </c>
      <c r="CF141" s="229"/>
      <c r="CG141" s="230">
        <f t="shared" ref="CG141:CI141" si="1808">CG136-CG135</f>
        <v>-688.24324324324323</v>
      </c>
      <c r="CH141" s="229"/>
      <c r="CI141" s="230">
        <f t="shared" si="1808"/>
        <v>-735</v>
      </c>
      <c r="CJ141" s="229"/>
      <c r="CK141" s="230">
        <f t="shared" ref="CK141" si="1809">CK136-CK135</f>
        <v>-743</v>
      </c>
      <c r="CL141" s="229"/>
      <c r="CM141" s="230">
        <f t="shared" ref="CM141" si="1810">CM136-CM135</f>
        <v>-550</v>
      </c>
      <c r="CN141" s="229"/>
      <c r="CO141" s="230">
        <f t="shared" ref="CO141" si="1811">CO136-CO135</f>
        <v>-715</v>
      </c>
      <c r="CP141" s="229"/>
      <c r="CQ141" s="230">
        <f>CQ136-CQ135</f>
        <v>218.32062091616353</v>
      </c>
      <c r="CR141" s="229"/>
      <c r="CS141" s="230">
        <f>CS136-CS135</f>
        <v>-27.048049757344415</v>
      </c>
      <c r="CT141" s="229"/>
      <c r="CU141" s="230">
        <f>CU136-CU135</f>
        <v>-128.9990749554986</v>
      </c>
      <c r="CV141" s="229"/>
      <c r="CW141" s="230">
        <f>CW136-CW135</f>
        <v>-600</v>
      </c>
      <c r="CX141" s="229"/>
      <c r="CY141" s="230">
        <f>CY136-CY135</f>
        <v>104.83922761696067</v>
      </c>
      <c r="CZ141" s="229"/>
      <c r="DA141" s="230">
        <f>DA136-DA135</f>
        <v>-300</v>
      </c>
      <c r="DB141" s="229"/>
      <c r="DC141" s="230">
        <f>DC136-DC135</f>
        <v>-300</v>
      </c>
      <c r="DD141" s="229"/>
      <c r="DE141" s="230">
        <f>DE136-DE135</f>
        <v>-300</v>
      </c>
      <c r="DF141" s="229"/>
      <c r="DG141" s="230">
        <f>DG136-DG135</f>
        <v>-300</v>
      </c>
    </row>
    <row r="142" spans="1:111" outlineLevel="2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40450.574999999997</v>
      </c>
      <c r="H142" s="229"/>
      <c r="I142" s="230">
        <f>I141*I130</f>
        <v>3677.3249999999998</v>
      </c>
      <c r="J142" s="229"/>
      <c r="K142" s="230">
        <f>K141*K130</f>
        <v>3677.3249999999998</v>
      </c>
      <c r="L142" s="229"/>
      <c r="M142" s="230">
        <f>M141*M130</f>
        <v>3677.3249999999998</v>
      </c>
      <c r="N142" s="229"/>
      <c r="O142" s="588">
        <f>O141*O133</f>
        <v>4330.0895980697333</v>
      </c>
      <c r="P142" s="229"/>
      <c r="Q142" s="588">
        <f>Q141*Q133</f>
        <v>297.52066115702473</v>
      </c>
      <c r="R142" s="229"/>
      <c r="S142" s="588">
        <f>S141*S133</f>
        <v>297.52066115702473</v>
      </c>
      <c r="T142" s="229"/>
      <c r="U142" s="588">
        <f>U141*U133</f>
        <v>2728.4958654798406</v>
      </c>
      <c r="V142" s="229"/>
      <c r="W142" s="588">
        <f>W141*W133</f>
        <v>1737.3899659239619</v>
      </c>
      <c r="X142" s="229"/>
      <c r="Y142" s="588">
        <f>Y141*Y133</f>
        <v>-259.34977717158938</v>
      </c>
      <c r="Z142" s="229"/>
      <c r="AA142" s="588">
        <f>AA141*AA133</f>
        <v>-161.77733814097365</v>
      </c>
      <c r="AB142" s="229"/>
      <c r="AC142" s="588">
        <f>AC141*AC133</f>
        <v>-516.5362810920268</v>
      </c>
      <c r="AD142" s="229"/>
      <c r="AE142" s="588">
        <f>AE141*AE133</f>
        <v>80.212809198338746</v>
      </c>
      <c r="AF142" s="229"/>
      <c r="AG142" s="588">
        <f>AG141*AG133</f>
        <v>-69.344202183172285</v>
      </c>
      <c r="AH142" s="229"/>
      <c r="AI142" s="588">
        <f>AI141*AI133</f>
        <v>-3333.1611570247937</v>
      </c>
      <c r="AJ142" s="229"/>
      <c r="AK142" s="588">
        <f>AK141*AK133</f>
        <v>-4474.819919081624</v>
      </c>
      <c r="AL142" s="229"/>
      <c r="AM142" s="588">
        <f t="shared" ref="AM142" si="1812">AM141*AM133</f>
        <v>-4394.3964570913722</v>
      </c>
      <c r="AN142" s="229"/>
      <c r="AO142" s="588">
        <f t="shared" ref="AO142" si="1813">AO141*AO133</f>
        <v>-3412.7109955891483</v>
      </c>
      <c r="AP142" s="229"/>
      <c r="AQ142" s="588">
        <f t="shared" ref="AQ142" si="1814">AQ141*AQ133</f>
        <v>-7870.503859704615</v>
      </c>
      <c r="AR142" s="229"/>
      <c r="AS142" s="588">
        <f t="shared" ref="AS142" si="1815">AS141*AS133</f>
        <v>-12213.21834421044</v>
      </c>
      <c r="AT142" s="229"/>
      <c r="AU142" s="588">
        <f t="shared" ref="AU142" si="1816">AU141*AU133</f>
        <v>-5669.9107367820734</v>
      </c>
      <c r="AV142" s="229"/>
      <c r="AW142" s="588">
        <f t="shared" ref="AW142" si="1817">AW141*AW133</f>
        <v>-2965.909090909091</v>
      </c>
      <c r="AX142" s="229"/>
      <c r="AY142" s="588">
        <f t="shared" ref="AY142" si="1818">AY141*AY133</f>
        <v>-5010.3305785123966</v>
      </c>
      <c r="AZ142" s="229"/>
      <c r="BA142" s="588">
        <f t="shared" ref="BA142:BC142" si="1819">BA141*BA133</f>
        <v>-1157.9938016528927</v>
      </c>
      <c r="BB142" s="229"/>
      <c r="BC142" s="588">
        <f t="shared" si="1819"/>
        <v>-14636.575413223141</v>
      </c>
      <c r="BD142" s="229"/>
      <c r="BE142" s="588">
        <f t="shared" ref="BE142:BK142" si="1820">BE141*BE133</f>
        <v>0</v>
      </c>
      <c r="BF142" s="229"/>
      <c r="BG142" s="588">
        <f t="shared" si="1820"/>
        <v>0</v>
      </c>
      <c r="BH142" s="229"/>
      <c r="BI142" s="588">
        <f t="shared" si="1820"/>
        <v>0</v>
      </c>
      <c r="BJ142" s="229"/>
      <c r="BK142" s="588">
        <f t="shared" si="1820"/>
        <v>0</v>
      </c>
      <c r="BL142" s="229"/>
      <c r="BM142" s="588">
        <f t="shared" ref="BM142:BO142" si="1821">BM141*BM133</f>
        <v>0</v>
      </c>
      <c r="BN142" s="229"/>
      <c r="BO142" s="588">
        <f t="shared" si="1821"/>
        <v>0</v>
      </c>
      <c r="BP142" s="229"/>
      <c r="BQ142" s="588">
        <f t="shared" ref="BQ142:BS142" si="1822">BQ141*BQ133</f>
        <v>0</v>
      </c>
      <c r="BR142" s="229"/>
      <c r="BS142" s="588">
        <f t="shared" si="1822"/>
        <v>0</v>
      </c>
      <c r="BT142" s="229"/>
      <c r="BU142" s="588">
        <f t="shared" ref="BU142:BW142" si="1823">BU141*BU133</f>
        <v>0</v>
      </c>
      <c r="BV142" s="229"/>
      <c r="BW142" s="588">
        <f t="shared" si="1823"/>
        <v>0</v>
      </c>
      <c r="BX142" s="229"/>
      <c r="BY142" s="588">
        <f t="shared" ref="BY142:CA142" si="1824">BY141*BY133</f>
        <v>0</v>
      </c>
      <c r="BZ142" s="229"/>
      <c r="CA142" s="588">
        <f t="shared" si="1824"/>
        <v>0</v>
      </c>
      <c r="CB142" s="229"/>
      <c r="CC142" s="588">
        <f t="shared" ref="CC142:CE142" si="1825">CC141*CC133</f>
        <v>0</v>
      </c>
      <c r="CD142" s="229"/>
      <c r="CE142" s="588">
        <f t="shared" si="1825"/>
        <v>0</v>
      </c>
      <c r="CF142" s="229"/>
      <c r="CG142" s="588">
        <f t="shared" ref="CG142:CI142" si="1826">CG141*CG133</f>
        <v>0</v>
      </c>
      <c r="CH142" s="229"/>
      <c r="CI142" s="588">
        <f t="shared" si="1826"/>
        <v>0</v>
      </c>
      <c r="CJ142" s="229"/>
      <c r="CK142" s="588">
        <f t="shared" ref="CK142" si="1827">CK141*CK133</f>
        <v>0</v>
      </c>
      <c r="CL142" s="229"/>
      <c r="CM142" s="588">
        <f t="shared" ref="CM142" si="1828">CM141*CM133</f>
        <v>0</v>
      </c>
      <c r="CN142" s="229"/>
      <c r="CO142" s="588">
        <f t="shared" ref="CO142" si="1829">CO141*CO133</f>
        <v>0</v>
      </c>
      <c r="CP142" s="229"/>
      <c r="CQ142" s="588">
        <f>CQ141*CQ133</f>
        <v>8795.9754294735303</v>
      </c>
      <c r="CR142" s="229"/>
      <c r="CS142" s="588">
        <f>CS141*CS133</f>
        <v>-937.66339640459285</v>
      </c>
      <c r="CT142" s="229"/>
      <c r="CU142" s="588">
        <f>CU141*CU133</f>
        <v>-3322.2925500096267</v>
      </c>
      <c r="CV142" s="229"/>
      <c r="CW142" s="588">
        <f>CW141*CW133</f>
        <v>-16425.619834710742</v>
      </c>
      <c r="CX142" s="229"/>
      <c r="CY142" s="588">
        <f>CY141*CY133</f>
        <v>7858.3120330689244</v>
      </c>
      <c r="CZ142" s="229"/>
      <c r="DA142" s="588">
        <f>DA141*DA133</f>
        <v>-13326.446280991735</v>
      </c>
      <c r="DB142" s="229"/>
      <c r="DC142" s="588">
        <f>DC141*DC133</f>
        <v>-48265.318310950417</v>
      </c>
      <c r="DD142" s="229"/>
      <c r="DE142" s="588">
        <f>DE141*DE133</f>
        <v>-48265.318310950417</v>
      </c>
      <c r="DF142" s="229"/>
      <c r="DG142" s="588">
        <f>DG141*DG133</f>
        <v>-48265.318310950417</v>
      </c>
    </row>
    <row r="143" spans="1:111" outlineLevel="2" x14ac:dyDescent="0.4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381"/>
      <c r="O143" s="385"/>
      <c r="P143" s="381"/>
      <c r="Q143" s="385"/>
      <c r="R143" s="381"/>
      <c r="S143" s="385"/>
      <c r="T143" s="381"/>
      <c r="U143" s="385"/>
      <c r="V143" s="381"/>
      <c r="W143" s="385"/>
      <c r="X143" s="381"/>
      <c r="Y143" s="385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  <c r="BP143" s="381"/>
      <c r="BQ143" s="385"/>
      <c r="BR143" s="381"/>
      <c r="BS143" s="385"/>
      <c r="BT143" s="381"/>
      <c r="BU143" s="385"/>
      <c r="BV143" s="381"/>
      <c r="BW143" s="385"/>
      <c r="BX143" s="381"/>
      <c r="BY143" s="385"/>
      <c r="BZ143" s="381"/>
      <c r="CA143" s="385"/>
      <c r="CB143" s="381"/>
      <c r="CC143" s="385"/>
      <c r="CD143" s="381"/>
      <c r="CE143" s="385"/>
      <c r="CF143" s="381"/>
      <c r="CG143" s="385"/>
      <c r="CH143" s="381"/>
      <c r="CI143" s="385"/>
      <c r="CJ143" s="381"/>
      <c r="CK143" s="385"/>
      <c r="CL143" s="381"/>
      <c r="CM143" s="385"/>
      <c r="CN143" s="381"/>
      <c r="CO143" s="385"/>
      <c r="CP143" s="381"/>
      <c r="CQ143" s="385"/>
      <c r="CR143" s="381"/>
      <c r="CS143" s="385"/>
      <c r="CT143" s="381"/>
      <c r="CU143" s="385"/>
      <c r="CV143" s="381"/>
      <c r="CW143" s="385"/>
      <c r="CX143" s="381"/>
      <c r="CY143" s="385"/>
      <c r="CZ143" s="381"/>
      <c r="DA143" s="385"/>
      <c r="DB143" s="381"/>
      <c r="DC143" s="385"/>
      <c r="DD143" s="381"/>
      <c r="DE143" s="385"/>
      <c r="DF143" s="381"/>
      <c r="DG143" s="385"/>
    </row>
    <row r="144" spans="1:111" ht="14.65" outlineLevel="2" thickBot="1" x14ac:dyDescent="0.5">
      <c r="A144" s="561"/>
      <c r="B144" s="1188"/>
      <c r="C144" s="301" t="s">
        <v>134</v>
      </c>
      <c r="D144" s="302"/>
      <c r="E144" s="303"/>
      <c r="F144" s="304"/>
      <c r="G144" s="305">
        <f>G98*G129</f>
        <v>25188.086851676104</v>
      </c>
      <c r="H144" s="304"/>
      <c r="I144" s="305">
        <f>I98*I129</f>
        <v>75512.644899868552</v>
      </c>
      <c r="J144" s="304"/>
      <c r="K144" s="305">
        <f>K98*K129</f>
        <v>75512.644899868552</v>
      </c>
      <c r="L144" s="304"/>
      <c r="M144" s="305">
        <f>M98*M129</f>
        <v>75512.644899868552</v>
      </c>
      <c r="N144" s="304"/>
      <c r="O144" s="305">
        <f>O98*O132</f>
        <v>16074.148688493224</v>
      </c>
      <c r="P144" s="304"/>
      <c r="Q144" s="305">
        <f>Q98*Q132</f>
        <v>276301.77627749974</v>
      </c>
      <c r="R144" s="304"/>
      <c r="S144" s="305">
        <f>S98*S132</f>
        <v>276301.77627749974</v>
      </c>
      <c r="T144" s="304"/>
      <c r="U144" s="305">
        <f>U98*U132</f>
        <v>7592.6607572995363</v>
      </c>
      <c r="V144" s="304"/>
      <c r="W144" s="305">
        <f>W98*W132</f>
        <v>6676.9659417700059</v>
      </c>
      <c r="X144" s="304"/>
      <c r="Y144" s="305">
        <f>Y98*Y132</f>
        <v>3937.0688767821084</v>
      </c>
      <c r="Z144" s="304"/>
      <c r="AA144" s="305">
        <f>AA98*AA132</f>
        <v>-2688.541972277259</v>
      </c>
      <c r="AB144" s="304"/>
      <c r="AC144" s="305">
        <f>AC98*AC132</f>
        <v>6168.1935219616134</v>
      </c>
      <c r="AD144" s="304"/>
      <c r="AE144" s="305">
        <f>AE98*AE132</f>
        <v>11636.86459924325</v>
      </c>
      <c r="AF144" s="304"/>
      <c r="AG144" s="305">
        <f>AG98*AG132</f>
        <v>5168.510302005915</v>
      </c>
      <c r="AH144" s="304"/>
      <c r="AI144" s="305">
        <f>AI98*AI132</f>
        <v>43756.566088264219</v>
      </c>
      <c r="AJ144" s="304"/>
      <c r="AK144" s="305">
        <f>AK98*AK132</f>
        <v>34357.165432736161</v>
      </c>
      <c r="AL144" s="304"/>
      <c r="AM144" s="305">
        <f t="shared" ref="AM144" si="1830">AM98*AM132</f>
        <v>33527.024255457836</v>
      </c>
      <c r="AN144" s="304"/>
      <c r="AO144" s="305">
        <f t="shared" ref="AO144:AQ144" si="1831">AO98*AO132</f>
        <v>15928.247967372992</v>
      </c>
      <c r="AP144" s="304"/>
      <c r="AQ144" s="305">
        <f t="shared" si="1831"/>
        <v>17737.864288207889</v>
      </c>
      <c r="AR144" s="304"/>
      <c r="AS144" s="305">
        <f t="shared" ref="AS144" si="1832">AS98*AS132</f>
        <v>24962.544518014005</v>
      </c>
      <c r="AT144" s="304"/>
      <c r="AU144" s="305">
        <f t="shared" ref="AU144" si="1833">AU98*AU132</f>
        <v>15035.741615351697</v>
      </c>
      <c r="AV144" s="304"/>
      <c r="AW144" s="305">
        <f t="shared" ref="AW144" si="1834">AW98*AW132</f>
        <v>3385.4966245695896</v>
      </c>
      <c r="AX144" s="304"/>
      <c r="AY144" s="305">
        <f t="shared" ref="AY144" si="1835">AY98*AY132</f>
        <v>5068.5181558708673</v>
      </c>
      <c r="AZ144" s="304"/>
      <c r="BA144" s="305">
        <f t="shared" ref="BA144:BC144" si="1836">BA98*BA132</f>
        <v>1957.0168303097537</v>
      </c>
      <c r="BB144" s="304"/>
      <c r="BC144" s="305">
        <f t="shared" si="1836"/>
        <v>29597.152573758653</v>
      </c>
      <c r="BD144" s="304"/>
      <c r="BE144" s="305">
        <f t="shared" ref="BE144:BK144" si="1837">BE98*BE132</f>
        <v>0</v>
      </c>
      <c r="BF144" s="304"/>
      <c r="BG144" s="305">
        <f t="shared" si="1837"/>
        <v>0</v>
      </c>
      <c r="BH144" s="304"/>
      <c r="BI144" s="305">
        <f t="shared" si="1837"/>
        <v>0</v>
      </c>
      <c r="BJ144" s="304"/>
      <c r="BK144" s="305">
        <f t="shared" si="1837"/>
        <v>0</v>
      </c>
      <c r="BL144" s="304"/>
      <c r="BM144" s="305">
        <f t="shared" ref="BM144:BO144" si="1838">BM98*BM132</f>
        <v>0</v>
      </c>
      <c r="BN144" s="304"/>
      <c r="BO144" s="305">
        <f t="shared" si="1838"/>
        <v>0</v>
      </c>
      <c r="BP144" s="304"/>
      <c r="BQ144" s="305">
        <f t="shared" ref="BQ144:BS144" si="1839">BQ98*BQ132</f>
        <v>0</v>
      </c>
      <c r="BR144" s="304"/>
      <c r="BS144" s="305">
        <f t="shared" si="1839"/>
        <v>0</v>
      </c>
      <c r="BT144" s="304"/>
      <c r="BU144" s="305">
        <f t="shared" ref="BU144:BW144" si="1840">BU98*BU132</f>
        <v>0</v>
      </c>
      <c r="BV144" s="304"/>
      <c r="BW144" s="305">
        <f t="shared" si="1840"/>
        <v>0</v>
      </c>
      <c r="BX144" s="304"/>
      <c r="BY144" s="305">
        <f t="shared" ref="BY144:CA144" si="1841">BY98*BY132</f>
        <v>0</v>
      </c>
      <c r="BZ144" s="304"/>
      <c r="CA144" s="305">
        <f t="shared" si="1841"/>
        <v>0</v>
      </c>
      <c r="CB144" s="304"/>
      <c r="CC144" s="305">
        <f t="shared" ref="CC144:CE144" si="1842">CC98*CC132</f>
        <v>0</v>
      </c>
      <c r="CD144" s="304"/>
      <c r="CE144" s="305">
        <f t="shared" si="1842"/>
        <v>0</v>
      </c>
      <c r="CF144" s="304"/>
      <c r="CG144" s="305">
        <f t="shared" ref="CG144:CI144" si="1843">CG98*CG132</f>
        <v>0</v>
      </c>
      <c r="CH144" s="304"/>
      <c r="CI144" s="305">
        <f t="shared" si="1843"/>
        <v>0</v>
      </c>
      <c r="CJ144" s="304"/>
      <c r="CK144" s="305">
        <f t="shared" ref="CK144" si="1844">CK98*CK132</f>
        <v>0</v>
      </c>
      <c r="CL144" s="304"/>
      <c r="CM144" s="305">
        <f t="shared" ref="CM144" si="1845">CM98*CM132</f>
        <v>0</v>
      </c>
      <c r="CN144" s="304"/>
      <c r="CO144" s="305">
        <f t="shared" ref="CO144" si="1846">CO98*CO132</f>
        <v>0</v>
      </c>
      <c r="CP144" s="304"/>
      <c r="CQ144" s="305">
        <f>CQ98*CQ132</f>
        <v>30307.689707243328</v>
      </c>
      <c r="CR144" s="304"/>
      <c r="CS144" s="305">
        <f>CS98*CS132</f>
        <v>7275.5129548665136</v>
      </c>
      <c r="CT144" s="304"/>
      <c r="CU144" s="305">
        <f>CU98*CU132</f>
        <v>61675.542064039262</v>
      </c>
      <c r="CV144" s="304"/>
      <c r="CW144" s="305">
        <f>CW98*CW132</f>
        <v>36193.661254179766</v>
      </c>
      <c r="CX144" s="304"/>
      <c r="CY144" s="305">
        <f>CY98*CY132</f>
        <v>36997.513028932903</v>
      </c>
      <c r="CZ144" s="304"/>
      <c r="DA144" s="305">
        <f>DA98*DA132</f>
        <v>121795.68364122485</v>
      </c>
      <c r="DB144" s="304"/>
      <c r="DC144" s="305">
        <f>DC98*DC132</f>
        <v>151867.68110032711</v>
      </c>
      <c r="DD144" s="304"/>
      <c r="DE144" s="305">
        <f>DE98*DE132</f>
        <v>81379.560830056798</v>
      </c>
      <c r="DF144" s="304"/>
      <c r="DG144" s="305">
        <f>DG98*DG132</f>
        <v>56461.785830056782</v>
      </c>
    </row>
    <row r="145" spans="15:111" ht="14.65" outlineLevel="1" thickTop="1" x14ac:dyDescent="0.45"/>
    <row r="146" spans="15:111" outlineLevel="1" x14ac:dyDescent="0.45">
      <c r="O146" s="1098"/>
    </row>
    <row r="147" spans="15:111" outlineLevel="1" x14ac:dyDescent="0.45">
      <c r="O147" s="410"/>
      <c r="Q147" s="344"/>
      <c r="S147" s="344"/>
      <c r="U147" s="344"/>
      <c r="W147" s="344"/>
      <c r="Y147" s="344"/>
      <c r="AA147" s="344"/>
      <c r="AC147" s="344"/>
      <c r="AE147" s="344"/>
      <c r="AG147" s="344"/>
      <c r="AI147" s="344"/>
      <c r="AK147" s="344"/>
      <c r="AM147" s="344"/>
      <c r="AO147" s="344"/>
      <c r="AQ147" s="344"/>
      <c r="AS147" s="344"/>
      <c r="AU147" s="344"/>
      <c r="AW147" s="344"/>
      <c r="AY147" s="344"/>
      <c r="BA147" s="344"/>
      <c r="BC147" s="344"/>
      <c r="BE147" s="344"/>
      <c r="BG147" s="344"/>
      <c r="BI147" s="344"/>
      <c r="BK147" s="344"/>
      <c r="BM147" s="344"/>
      <c r="BO147" s="344"/>
      <c r="BQ147" s="344"/>
      <c r="BS147" s="344"/>
      <c r="BU147" s="344"/>
      <c r="BW147" s="344"/>
      <c r="BY147" s="344"/>
      <c r="CA147" s="344"/>
      <c r="CC147" s="344"/>
      <c r="CE147" s="344"/>
      <c r="CG147" s="344"/>
      <c r="CI147" s="344"/>
      <c r="CK147" s="344"/>
      <c r="CM147" s="344"/>
      <c r="CO147" s="344"/>
      <c r="CQ147" s="344"/>
      <c r="CS147" s="344"/>
      <c r="CU147" s="344"/>
      <c r="CW147" s="344"/>
      <c r="CY147" s="344"/>
      <c r="DA147" s="344"/>
      <c r="DC147" s="344"/>
      <c r="DE147" s="344"/>
      <c r="DG147" s="344"/>
    </row>
    <row r="148" spans="15:111" x14ac:dyDescent="0.45">
      <c r="O148" s="344"/>
      <c r="Q148" s="344"/>
      <c r="S148" s="344"/>
      <c r="U148" s="344"/>
      <c r="W148" s="344"/>
      <c r="Y148" s="344"/>
      <c r="AA148" s="344"/>
      <c r="AC148" s="344"/>
      <c r="AE148" s="344"/>
      <c r="AG148" s="344"/>
      <c r="AI148" s="344"/>
      <c r="AK148" s="344"/>
      <c r="AM148" s="344"/>
      <c r="AO148" s="344"/>
      <c r="AQ148" s="344"/>
      <c r="AS148" s="344"/>
      <c r="AU148" s="344"/>
      <c r="AW148" s="344"/>
      <c r="AY148" s="344"/>
      <c r="BA148" s="344"/>
      <c r="BC148" s="344"/>
      <c r="BE148" s="344"/>
      <c r="BG148" s="344"/>
      <c r="BI148" s="344"/>
      <c r="BK148" s="344"/>
      <c r="BM148" s="344"/>
      <c r="BO148" s="344"/>
      <c r="BQ148" s="344"/>
      <c r="BS148" s="344"/>
      <c r="BU148" s="344"/>
      <c r="BW148" s="344"/>
      <c r="BY148" s="344"/>
      <c r="CA148" s="344"/>
      <c r="CC148" s="344"/>
      <c r="CE148" s="344"/>
      <c r="CG148" s="344"/>
      <c r="CI148" s="344"/>
      <c r="CK148" s="344"/>
      <c r="CM148" s="344"/>
      <c r="CO148" s="344"/>
      <c r="CQ148" s="344"/>
      <c r="CS148" s="344"/>
      <c r="CU148" s="344"/>
      <c r="CW148" s="344"/>
      <c r="CY148" s="344"/>
      <c r="DA148" s="344"/>
      <c r="DC148" s="344"/>
      <c r="DE148" s="344"/>
      <c r="DG148" s="344"/>
    </row>
    <row r="149" spans="15:111" x14ac:dyDescent="0.45">
      <c r="O149" s="344"/>
      <c r="Q149" s="344"/>
      <c r="S149" s="344"/>
      <c r="U149" s="344"/>
      <c r="W149" s="344"/>
      <c r="Y149" s="344"/>
      <c r="AA149" s="344"/>
      <c r="AC149" s="344"/>
      <c r="AE149" s="344"/>
      <c r="AG149" s="344"/>
      <c r="AI149" s="344"/>
      <c r="AK149" s="344"/>
      <c r="AM149" s="344"/>
      <c r="AO149" s="344"/>
      <c r="AQ149" s="344"/>
      <c r="AS149" s="344"/>
      <c r="AU149" s="344"/>
      <c r="AW149" s="344"/>
      <c r="AY149" s="344"/>
      <c r="BA149" s="344"/>
      <c r="BC149" s="344"/>
      <c r="BE149" s="344"/>
      <c r="BG149" s="344"/>
      <c r="BI149" s="344"/>
      <c r="BK149" s="344"/>
      <c r="BM149" s="344"/>
      <c r="BO149" s="344"/>
      <c r="BQ149" s="344"/>
      <c r="BS149" s="344"/>
      <c r="BU149" s="344"/>
      <c r="BW149" s="344"/>
      <c r="BY149" s="344"/>
      <c r="CA149" s="344"/>
      <c r="CC149" s="344"/>
      <c r="CE149" s="344"/>
      <c r="CG149" s="344"/>
      <c r="CI149" s="344"/>
      <c r="CK149" s="344"/>
      <c r="CM149" s="344"/>
      <c r="CO149" s="344"/>
      <c r="CQ149" s="344"/>
      <c r="CS149" s="344"/>
      <c r="CU149" s="344"/>
      <c r="CW149" s="344"/>
      <c r="CY149" s="344"/>
      <c r="DA149" s="344"/>
      <c r="DC149" s="344"/>
      <c r="DE149" s="344"/>
      <c r="DG149" s="344"/>
    </row>
    <row r="155" spans="15:111" x14ac:dyDescent="0.45">
      <c r="DE155" s="1105">
        <f>DE132*DE67</f>
        <v>3575700.7124999999</v>
      </c>
      <c r="DG155" s="1105">
        <f>DG132*DG67</f>
        <v>3575700.7124999999</v>
      </c>
    </row>
    <row r="157" spans="15:111" x14ac:dyDescent="0.45">
      <c r="DE157" s="1105">
        <f>DE131/DE10*DE92</f>
        <v>311472.1875</v>
      </c>
      <c r="DG157" s="1105">
        <f>DG131/DG10*DG92</f>
        <v>311472.1875</v>
      </c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384">
    <mergeCell ref="CN2:CO2"/>
    <mergeCell ref="CN3:CO3"/>
    <mergeCell ref="CN4:CO5"/>
    <mergeCell ref="CN6:CO6"/>
    <mergeCell ref="CN7:CO7"/>
    <mergeCell ref="CN8:CO8"/>
    <mergeCell ref="CN9:CO9"/>
    <mergeCell ref="CD2:CE2"/>
    <mergeCell ref="CD3:CE3"/>
    <mergeCell ref="CD4:CE5"/>
    <mergeCell ref="CD6:CE6"/>
    <mergeCell ref="CD7:CE7"/>
    <mergeCell ref="CD8:CE8"/>
    <mergeCell ref="CD9:CE9"/>
    <mergeCell ref="CL2:CM2"/>
    <mergeCell ref="CL3:CM3"/>
    <mergeCell ref="CL4:CM5"/>
    <mergeCell ref="CF2:CG2"/>
    <mergeCell ref="CF3:CG3"/>
    <mergeCell ref="CF4:CG5"/>
    <mergeCell ref="CF6:CG6"/>
    <mergeCell ref="CF7:CG7"/>
    <mergeCell ref="CF8:CG8"/>
    <mergeCell ref="CF9:CG9"/>
    <mergeCell ref="BT2:BU2"/>
    <mergeCell ref="BT3:BU3"/>
    <mergeCell ref="BT4:BU5"/>
    <mergeCell ref="BV2:BW2"/>
    <mergeCell ref="BV3:BW3"/>
    <mergeCell ref="BV4:BW5"/>
    <mergeCell ref="BV6:BW6"/>
    <mergeCell ref="BV7:BW7"/>
    <mergeCell ref="BV8:BW8"/>
    <mergeCell ref="BV9:BW9"/>
    <mergeCell ref="BX2:BY2"/>
    <mergeCell ref="BX3:BY3"/>
    <mergeCell ref="BX4:BY5"/>
    <mergeCell ref="BX6:BY6"/>
    <mergeCell ref="BX7:BY7"/>
    <mergeCell ref="BX8:BY8"/>
    <mergeCell ref="BX9:BY9"/>
    <mergeCell ref="BP9:BQ9"/>
    <mergeCell ref="BR2:BS2"/>
    <mergeCell ref="BR3:BS3"/>
    <mergeCell ref="BR4:BS5"/>
    <mergeCell ref="BR6:BS6"/>
    <mergeCell ref="BR7:BS7"/>
    <mergeCell ref="BR8:BS8"/>
    <mergeCell ref="BR9:BS9"/>
    <mergeCell ref="BT8:BU8"/>
    <mergeCell ref="BT9:BU9"/>
    <mergeCell ref="BT6:BU6"/>
    <mergeCell ref="BT7:BU7"/>
    <mergeCell ref="BP2:BQ2"/>
    <mergeCell ref="BP3:BQ3"/>
    <mergeCell ref="BP4:BQ5"/>
    <mergeCell ref="BP6:BQ6"/>
    <mergeCell ref="BP7:BQ7"/>
    <mergeCell ref="BP8:BQ8"/>
    <mergeCell ref="BL2:BM2"/>
    <mergeCell ref="BL3:BM3"/>
    <mergeCell ref="BL4:BM5"/>
    <mergeCell ref="BL6:BM6"/>
    <mergeCell ref="BL7:BM7"/>
    <mergeCell ref="BL8:BM8"/>
    <mergeCell ref="BL9:BM9"/>
    <mergeCell ref="BN2:BO2"/>
    <mergeCell ref="BN3:BO3"/>
    <mergeCell ref="BN4:BO5"/>
    <mergeCell ref="BN6:BO6"/>
    <mergeCell ref="BN7:BO7"/>
    <mergeCell ref="BN8:BO8"/>
    <mergeCell ref="BN9:BO9"/>
    <mergeCell ref="BF4:BG5"/>
    <mergeCell ref="BH4:BI5"/>
    <mergeCell ref="BJ4:BK5"/>
    <mergeCell ref="BD9:BE9"/>
    <mergeCell ref="BF9:BG9"/>
    <mergeCell ref="BH9:BI9"/>
    <mergeCell ref="BJ9:BK9"/>
    <mergeCell ref="BD6:BE6"/>
    <mergeCell ref="BF6:BG6"/>
    <mergeCell ref="BH6:BI6"/>
    <mergeCell ref="BJ6:BK6"/>
    <mergeCell ref="BD7:BE7"/>
    <mergeCell ref="BF7:BG7"/>
    <mergeCell ref="BH7:BI7"/>
    <mergeCell ref="BJ7:BK7"/>
    <mergeCell ref="BD8:BE8"/>
    <mergeCell ref="BF8:BG8"/>
    <mergeCell ref="BH8:BI8"/>
    <mergeCell ref="BJ8:BK8"/>
    <mergeCell ref="AV9:AW9"/>
    <mergeCell ref="AX9:AY9"/>
    <mergeCell ref="AZ9:BA9"/>
    <mergeCell ref="BB2:BC2"/>
    <mergeCell ref="BB3:BC3"/>
    <mergeCell ref="BB4:BC5"/>
    <mergeCell ref="BB6:BC6"/>
    <mergeCell ref="BB7:BC7"/>
    <mergeCell ref="BB8:BC8"/>
    <mergeCell ref="BB9:BC9"/>
    <mergeCell ref="AV2:AW2"/>
    <mergeCell ref="AX2:AY2"/>
    <mergeCell ref="AZ2:BA2"/>
    <mergeCell ref="AV3:AW3"/>
    <mergeCell ref="AX3:AY3"/>
    <mergeCell ref="AZ3:BA3"/>
    <mergeCell ref="AV4:AW5"/>
    <mergeCell ref="AH9:AI9"/>
    <mergeCell ref="AX4:AY5"/>
    <mergeCell ref="AZ4:BA5"/>
    <mergeCell ref="DF8:DG8"/>
    <mergeCell ref="DF9:DG9"/>
    <mergeCell ref="AF6:AG6"/>
    <mergeCell ref="AF7:AG7"/>
    <mergeCell ref="AF8:AG8"/>
    <mergeCell ref="AF9:AG9"/>
    <mergeCell ref="AJ7:AK7"/>
    <mergeCell ref="AJ8:AK8"/>
    <mergeCell ref="AJ9:AK9"/>
    <mergeCell ref="AL8:AM8"/>
    <mergeCell ref="AN8:AO8"/>
    <mergeCell ref="AL9:AM9"/>
    <mergeCell ref="AN9:AO9"/>
    <mergeCell ref="AP8:AQ8"/>
    <mergeCell ref="AP9:AQ9"/>
    <mergeCell ref="AV6:AW6"/>
    <mergeCell ref="AX6:AY6"/>
    <mergeCell ref="AZ6:BA6"/>
    <mergeCell ref="AV7:AW7"/>
    <mergeCell ref="AX7:AY7"/>
    <mergeCell ref="AZ7:BA7"/>
    <mergeCell ref="CR8:CS8"/>
    <mergeCell ref="AL2:AM2"/>
    <mergeCell ref="AN2:AO2"/>
    <mergeCell ref="AL3:AM3"/>
    <mergeCell ref="AN3:AO3"/>
    <mergeCell ref="AL4:AM5"/>
    <mergeCell ref="AX8:AY8"/>
    <mergeCell ref="AZ8:BA8"/>
    <mergeCell ref="AH2:AI2"/>
    <mergeCell ref="AH3:AI3"/>
    <mergeCell ref="AH4:AI5"/>
    <mergeCell ref="AH6:AI6"/>
    <mergeCell ref="AH7:AI7"/>
    <mergeCell ref="AH8:AI8"/>
    <mergeCell ref="AV8:AW8"/>
    <mergeCell ref="BD2:BE2"/>
    <mergeCell ref="BF2:BG2"/>
    <mergeCell ref="BH2:BI2"/>
    <mergeCell ref="BJ2:BK2"/>
    <mergeCell ref="BD3:BE3"/>
    <mergeCell ref="BF3:BG3"/>
    <mergeCell ref="BH3:BI3"/>
    <mergeCell ref="BJ3:BK3"/>
    <mergeCell ref="BD4:BE5"/>
    <mergeCell ref="AJ2:AK2"/>
    <mergeCell ref="AJ3:AK3"/>
    <mergeCell ref="AJ4:AK5"/>
    <mergeCell ref="AJ6:AK6"/>
    <mergeCell ref="AB4:AC5"/>
    <mergeCell ref="AD4:AE5"/>
    <mergeCell ref="Z6:AA6"/>
    <mergeCell ref="AB6:AC6"/>
    <mergeCell ref="AD6:AE6"/>
    <mergeCell ref="DF2:DG2"/>
    <mergeCell ref="DF3:DG3"/>
    <mergeCell ref="DF4:DG5"/>
    <mergeCell ref="DF6:DG6"/>
    <mergeCell ref="DF7:DG7"/>
    <mergeCell ref="AN4:AO5"/>
    <mergeCell ref="AL6:AM6"/>
    <mergeCell ref="AN6:AO6"/>
    <mergeCell ref="AL7:AM7"/>
    <mergeCell ref="AN7:AO7"/>
    <mergeCell ref="AP2:AQ2"/>
    <mergeCell ref="AP3:AQ3"/>
    <mergeCell ref="AP4:AQ5"/>
    <mergeCell ref="AP6:AQ6"/>
    <mergeCell ref="AP7:AQ7"/>
    <mergeCell ref="AR2:AS2"/>
    <mergeCell ref="AR3:AS3"/>
    <mergeCell ref="AR4:AS5"/>
    <mergeCell ref="AR6:AS6"/>
    <mergeCell ref="AR7:AS7"/>
    <mergeCell ref="AT2:AU2"/>
    <mergeCell ref="AT3:AU3"/>
    <mergeCell ref="AT4:AU5"/>
    <mergeCell ref="AT6:AU6"/>
    <mergeCell ref="F4:G5"/>
    <mergeCell ref="H4:I5"/>
    <mergeCell ref="N1:S1"/>
    <mergeCell ref="T1:Y1"/>
    <mergeCell ref="X2:Y2"/>
    <mergeCell ref="Z2:AA2"/>
    <mergeCell ref="AB2:AC2"/>
    <mergeCell ref="AD2:AE2"/>
    <mergeCell ref="AF2:AG2"/>
    <mergeCell ref="Z3:AA3"/>
    <mergeCell ref="AB3:AC3"/>
    <mergeCell ref="AD3:AE3"/>
    <mergeCell ref="AF3:AG3"/>
    <mergeCell ref="R2:S2"/>
    <mergeCell ref="T2:U2"/>
    <mergeCell ref="V2:W2"/>
    <mergeCell ref="T3:U3"/>
    <mergeCell ref="V3:W3"/>
    <mergeCell ref="X3:Y3"/>
    <mergeCell ref="AF4:AG5"/>
    <mergeCell ref="T4:U5"/>
    <mergeCell ref="V4:W5"/>
    <mergeCell ref="X4:Y5"/>
    <mergeCell ref="Z4:AA5"/>
    <mergeCell ref="F7:G7"/>
    <mergeCell ref="H7:I7"/>
    <mergeCell ref="N7:O7"/>
    <mergeCell ref="P7:Q7"/>
    <mergeCell ref="R3:S3"/>
    <mergeCell ref="F2:G2"/>
    <mergeCell ref="H2:I2"/>
    <mergeCell ref="N2:O2"/>
    <mergeCell ref="P2:Q2"/>
    <mergeCell ref="J2:K2"/>
    <mergeCell ref="L2:M2"/>
    <mergeCell ref="F3:G3"/>
    <mergeCell ref="H3:I3"/>
    <mergeCell ref="N3:O3"/>
    <mergeCell ref="P3:Q3"/>
    <mergeCell ref="J3:K3"/>
    <mergeCell ref="L3:M3"/>
    <mergeCell ref="F6:G6"/>
    <mergeCell ref="H6:I6"/>
    <mergeCell ref="N6:O6"/>
    <mergeCell ref="P6:Q6"/>
    <mergeCell ref="R6:S6"/>
    <mergeCell ref="J6:K6"/>
    <mergeCell ref="L6:M6"/>
    <mergeCell ref="B15:B21"/>
    <mergeCell ref="B22:B27"/>
    <mergeCell ref="B28:B33"/>
    <mergeCell ref="B34:B39"/>
    <mergeCell ref="B40:B46"/>
    <mergeCell ref="F8:G8"/>
    <mergeCell ref="H8:I8"/>
    <mergeCell ref="N8:O8"/>
    <mergeCell ref="P8:Q8"/>
    <mergeCell ref="J7:K7"/>
    <mergeCell ref="J8:K8"/>
    <mergeCell ref="L7:M7"/>
    <mergeCell ref="L8:M8"/>
    <mergeCell ref="B71:B84"/>
    <mergeCell ref="B100:B113"/>
    <mergeCell ref="B124:B144"/>
    <mergeCell ref="R4:S5"/>
    <mergeCell ref="R7:S7"/>
    <mergeCell ref="R8:S8"/>
    <mergeCell ref="R9:S9"/>
    <mergeCell ref="N4:O5"/>
    <mergeCell ref="P4:Q5"/>
    <mergeCell ref="J4:K5"/>
    <mergeCell ref="L4:M5"/>
    <mergeCell ref="B47:B70"/>
    <mergeCell ref="D12:E12"/>
    <mergeCell ref="F9:G9"/>
    <mergeCell ref="H9:I9"/>
    <mergeCell ref="N9:O9"/>
    <mergeCell ref="P9:Q9"/>
    <mergeCell ref="B6:B13"/>
    <mergeCell ref="J9:K9"/>
    <mergeCell ref="L9:M9"/>
    <mergeCell ref="T6:U6"/>
    <mergeCell ref="V6:W6"/>
    <mergeCell ref="X6:Y6"/>
    <mergeCell ref="T7:U7"/>
    <mergeCell ref="V7:W7"/>
    <mergeCell ref="X7:Y7"/>
    <mergeCell ref="T8:U8"/>
    <mergeCell ref="V8:W8"/>
    <mergeCell ref="X8:Y8"/>
    <mergeCell ref="CT7:CU7"/>
    <mergeCell ref="CT8:CU8"/>
    <mergeCell ref="T9:U9"/>
    <mergeCell ref="V9:W9"/>
    <mergeCell ref="X9:Y9"/>
    <mergeCell ref="Z9:AA9"/>
    <mergeCell ref="AB9:AC9"/>
    <mergeCell ref="AD9:AE9"/>
    <mergeCell ref="Z8:AA8"/>
    <mergeCell ref="AB8:AC8"/>
    <mergeCell ref="AD8:AE8"/>
    <mergeCell ref="CP9:CQ9"/>
    <mergeCell ref="CR9:CS9"/>
    <mergeCell ref="Z7:AA7"/>
    <mergeCell ref="AB7:AC7"/>
    <mergeCell ref="AD7:AE7"/>
    <mergeCell ref="AR8:AS8"/>
    <mergeCell ref="AR9:AS9"/>
    <mergeCell ref="AT7:AU7"/>
    <mergeCell ref="AT8:AU8"/>
    <mergeCell ref="AT9:AU9"/>
    <mergeCell ref="CP7:CQ7"/>
    <mergeCell ref="CR7:CS7"/>
    <mergeCell ref="CP8:CQ8"/>
    <mergeCell ref="CT2:CU2"/>
    <mergeCell ref="CP3:CQ3"/>
    <mergeCell ref="CR3:CS3"/>
    <mergeCell ref="CT3:CU3"/>
    <mergeCell ref="CP4:CQ5"/>
    <mergeCell ref="CR4:CS5"/>
    <mergeCell ref="CT4:CU5"/>
    <mergeCell ref="CP6:CQ6"/>
    <mergeCell ref="CR6:CS6"/>
    <mergeCell ref="CT6:CU6"/>
    <mergeCell ref="CP2:CQ2"/>
    <mergeCell ref="CR2:CS2"/>
    <mergeCell ref="CZ2:DA2"/>
    <mergeCell ref="CZ3:DA3"/>
    <mergeCell ref="CZ4:DA5"/>
    <mergeCell ref="CZ6:DA6"/>
    <mergeCell ref="CZ7:DA7"/>
    <mergeCell ref="CZ8:DA8"/>
    <mergeCell ref="CZ9:DA9"/>
    <mergeCell ref="CX4:CY5"/>
    <mergeCell ref="CX6:CY6"/>
    <mergeCell ref="CX7:CY7"/>
    <mergeCell ref="CX8:CY8"/>
    <mergeCell ref="CX9:CY9"/>
    <mergeCell ref="DD2:DE2"/>
    <mergeCell ref="DD3:DE3"/>
    <mergeCell ref="DD4:DE5"/>
    <mergeCell ref="DD6:DE6"/>
    <mergeCell ref="DD7:DE7"/>
    <mergeCell ref="DD8:DE8"/>
    <mergeCell ref="DD9:DE9"/>
    <mergeCell ref="CT9:CU9"/>
    <mergeCell ref="DB2:DC2"/>
    <mergeCell ref="DB3:DC3"/>
    <mergeCell ref="DB4:DC5"/>
    <mergeCell ref="DB6:DC6"/>
    <mergeCell ref="DB7:DC7"/>
    <mergeCell ref="DB8:DC8"/>
    <mergeCell ref="DB9:DC9"/>
    <mergeCell ref="CV2:CW2"/>
    <mergeCell ref="CV3:CW3"/>
    <mergeCell ref="CV4:CW5"/>
    <mergeCell ref="CV6:CW6"/>
    <mergeCell ref="CV7:CW7"/>
    <mergeCell ref="CV8:CW8"/>
    <mergeCell ref="CV9:CW9"/>
    <mergeCell ref="CX2:CY2"/>
    <mergeCell ref="CX3:CY3"/>
    <mergeCell ref="BZ2:CA2"/>
    <mergeCell ref="BZ3:CA3"/>
    <mergeCell ref="BZ4:CA5"/>
    <mergeCell ref="BZ6:CA6"/>
    <mergeCell ref="BZ7:CA7"/>
    <mergeCell ref="BZ8:CA8"/>
    <mergeCell ref="BZ9:CA9"/>
    <mergeCell ref="CB2:CC2"/>
    <mergeCell ref="CB3:CC3"/>
    <mergeCell ref="CB4:CC5"/>
    <mergeCell ref="CB6:CC6"/>
    <mergeCell ref="CB7:CC7"/>
    <mergeCell ref="CB8:CC8"/>
    <mergeCell ref="CB9:CC9"/>
    <mergeCell ref="CH9:CI9"/>
    <mergeCell ref="CJ2:CK2"/>
    <mergeCell ref="CJ3:CK3"/>
    <mergeCell ref="CJ4:CK5"/>
    <mergeCell ref="CJ6:CK6"/>
    <mergeCell ref="CJ7:CK7"/>
    <mergeCell ref="CJ8:CK8"/>
    <mergeCell ref="CJ9:CK9"/>
    <mergeCell ref="CL6:CM6"/>
    <mergeCell ref="CL7:CM7"/>
    <mergeCell ref="CL8:CM8"/>
    <mergeCell ref="CL9:CM9"/>
    <mergeCell ref="CH2:CI2"/>
    <mergeCell ref="CH3:CI3"/>
    <mergeCell ref="CH4:CI5"/>
    <mergeCell ref="CH6:CI6"/>
    <mergeCell ref="CH7:CI7"/>
    <mergeCell ref="CH8:CI8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1593-64EC-4E01-B038-B76F74F5CE84}">
  <sheetPr>
    <pageSetUpPr fitToPage="1"/>
  </sheetPr>
  <dimension ref="A1:DP178"/>
  <sheetViews>
    <sheetView showGridLines="0" zoomScale="89" zoomScaleNormal="100" zoomScaleSheetLayoutView="80" workbookViewId="0">
      <pane xSplit="5" ySplit="6" topLeftCell="CH31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3" outlineLevelCol="2" x14ac:dyDescent="0.45"/>
  <cols>
    <col min="1" max="1" width="2.1328125" customWidth="1"/>
    <col min="2" max="2" width="9.1328125" customWidth="1"/>
    <col min="3" max="3" width="25.265625" customWidth="1"/>
    <col min="4" max="4" width="23" customWidth="1"/>
    <col min="5" max="5" width="18.86328125" customWidth="1"/>
    <col min="6" max="6" width="11.86328125" hidden="1" customWidth="1"/>
    <col min="7" max="7" width="13" hidden="1" customWidth="1"/>
    <col min="8" max="9" width="11.86328125" hidden="1" customWidth="1"/>
    <col min="10" max="13" width="11.86328125" hidden="1" customWidth="1" outlineLevel="1"/>
    <col min="14" max="14" width="11.59765625" hidden="1" customWidth="1" collapsed="1"/>
    <col min="15" max="15" width="13.73046875" hidden="1" customWidth="1"/>
    <col min="16" max="16" width="11.59765625" hidden="1" customWidth="1" outlineLevel="1"/>
    <col min="17" max="17" width="13.73046875" hidden="1" customWidth="1" outlineLevel="1"/>
    <col min="18" max="18" width="11.59765625" hidden="1" customWidth="1" outlineLevel="1"/>
    <col min="19" max="19" width="13.73046875" hidden="1" customWidth="1" outlineLevel="1"/>
    <col min="20" max="20" width="11.59765625" hidden="1" customWidth="1" collapsed="1"/>
    <col min="21" max="21" width="13.73046875" hidden="1" customWidth="1"/>
    <col min="22" max="22" width="11.59765625" hidden="1" customWidth="1" collapsed="1"/>
    <col min="23" max="23" width="13.73046875" hidden="1" customWidth="1"/>
    <col min="24" max="24" width="11.59765625" hidden="1" customWidth="1" collapsed="1"/>
    <col min="25" max="25" width="13.73046875" hidden="1" customWidth="1"/>
    <col min="26" max="26" width="11.59765625" hidden="1" customWidth="1" collapsed="1"/>
    <col min="27" max="27" width="13.73046875" hidden="1" customWidth="1"/>
    <col min="28" max="28" width="11.59765625" hidden="1" customWidth="1" collapsed="1"/>
    <col min="29" max="29" width="13.73046875" hidden="1" customWidth="1"/>
    <col min="30" max="30" width="11.59765625" hidden="1" customWidth="1" collapsed="1"/>
    <col min="31" max="31" width="13.73046875" hidden="1" customWidth="1"/>
    <col min="32" max="32" width="11.59765625" hidden="1" customWidth="1" collapsed="1"/>
    <col min="33" max="33" width="13.73046875" hidden="1" customWidth="1"/>
    <col min="34" max="34" width="11.59765625" hidden="1" customWidth="1" collapsed="1"/>
    <col min="35" max="35" width="13.73046875" hidden="1" customWidth="1"/>
    <col min="36" max="36" width="11.59765625" hidden="1" customWidth="1" collapsed="1"/>
    <col min="37" max="37" width="13.73046875" hidden="1" customWidth="1"/>
    <col min="38" max="38" width="11.59765625" hidden="1" customWidth="1" collapsed="1"/>
    <col min="39" max="39" width="13.73046875" hidden="1" customWidth="1"/>
    <col min="40" max="40" width="11.59765625" hidden="1" customWidth="1" collapsed="1"/>
    <col min="41" max="41" width="13.73046875" hidden="1" customWidth="1"/>
    <col min="42" max="42" width="11.59765625" hidden="1" customWidth="1" collapsed="1"/>
    <col min="43" max="43" width="13.73046875" hidden="1" customWidth="1"/>
    <col min="44" max="44" width="11.59765625" hidden="1" customWidth="1" collapsed="1"/>
    <col min="45" max="45" width="13.73046875" hidden="1" customWidth="1"/>
    <col min="46" max="46" width="11.59765625" hidden="1" customWidth="1" collapsed="1"/>
    <col min="47" max="47" width="13.73046875" hidden="1" customWidth="1"/>
    <col min="48" max="48" width="11.59765625" hidden="1" customWidth="1" collapsed="1"/>
    <col min="49" max="49" width="13.73046875" hidden="1" customWidth="1"/>
    <col min="50" max="50" width="11.59765625" hidden="1" customWidth="1" collapsed="1"/>
    <col min="51" max="51" width="13.73046875" hidden="1" customWidth="1"/>
    <col min="52" max="52" width="11.59765625" hidden="1" customWidth="1" collapsed="1"/>
    <col min="53" max="53" width="13.73046875" hidden="1" customWidth="1"/>
    <col min="54" max="54" width="11.59765625" hidden="1" customWidth="1" collapsed="1"/>
    <col min="55" max="55" width="13.73046875" hidden="1" customWidth="1"/>
    <col min="56" max="56" width="11.59765625" hidden="1" customWidth="1" collapsed="1"/>
    <col min="57" max="57" width="13.73046875" hidden="1" customWidth="1"/>
    <col min="58" max="58" width="11.59765625" hidden="1" customWidth="1" collapsed="1"/>
    <col min="59" max="59" width="13.73046875" hidden="1" customWidth="1"/>
    <col min="60" max="60" width="11.59765625" hidden="1" customWidth="1" collapsed="1"/>
    <col min="61" max="61" width="13.73046875" hidden="1" customWidth="1"/>
    <col min="62" max="62" width="11.59765625" hidden="1" customWidth="1" collapsed="1"/>
    <col min="63" max="63" width="13.73046875" hidden="1" customWidth="1"/>
    <col min="64" max="64" width="11.59765625" hidden="1" customWidth="1" collapsed="1"/>
    <col min="65" max="65" width="13.73046875" hidden="1" customWidth="1"/>
    <col min="66" max="66" width="11.59765625" hidden="1" customWidth="1" collapsed="1"/>
    <col min="67" max="67" width="13.73046875" hidden="1" customWidth="1"/>
    <col min="68" max="68" width="11.59765625" hidden="1" customWidth="1" collapsed="1"/>
    <col min="69" max="69" width="13.73046875" hidden="1" customWidth="1"/>
    <col min="70" max="70" width="11.59765625" hidden="1" customWidth="1" collapsed="1"/>
    <col min="71" max="71" width="13.73046875" hidden="1" customWidth="1"/>
    <col min="72" max="72" width="11.59765625" hidden="1" customWidth="1" collapsed="1"/>
    <col min="73" max="73" width="13.73046875" hidden="1" customWidth="1"/>
    <col min="74" max="74" width="11.59765625" hidden="1" customWidth="1" collapsed="1"/>
    <col min="75" max="75" width="13.73046875" hidden="1" customWidth="1"/>
    <col min="76" max="76" width="11.59765625" hidden="1" customWidth="1" collapsed="1"/>
    <col min="77" max="77" width="13.73046875" hidden="1" customWidth="1"/>
    <col min="78" max="78" width="11.59765625" customWidth="1" collapsed="1"/>
    <col min="79" max="79" width="13.73046875" customWidth="1"/>
    <col min="80" max="80" width="11.59765625" customWidth="1" collapsed="1"/>
    <col min="81" max="81" width="13.73046875" customWidth="1"/>
    <col min="82" max="82" width="11.59765625" customWidth="1" collapsed="1"/>
    <col min="83" max="83" width="13.73046875" customWidth="1"/>
    <col min="84" max="84" width="11.59765625" customWidth="1" collapsed="1"/>
    <col min="85" max="85" width="13.73046875" customWidth="1"/>
    <col min="86" max="86" width="11.59765625" customWidth="1" collapsed="1"/>
    <col min="87" max="87" width="13.73046875" customWidth="1"/>
    <col min="88" max="88" width="11.59765625" customWidth="1" collapsed="1"/>
    <col min="89" max="89" width="13.73046875" customWidth="1"/>
    <col min="90" max="90" width="11.59765625" customWidth="1" collapsed="1"/>
    <col min="91" max="91" width="13.73046875" customWidth="1"/>
    <col min="92" max="92" width="11.59765625" customWidth="1" collapsed="1"/>
    <col min="93" max="93" width="13.73046875" customWidth="1"/>
    <col min="94" max="94" width="11.59765625" hidden="1" customWidth="1" collapsed="1"/>
    <col min="95" max="95" width="13.73046875" hidden="1" customWidth="1"/>
    <col min="96" max="96" width="11.59765625" hidden="1" customWidth="1" collapsed="1"/>
    <col min="97" max="97" width="13.73046875" hidden="1" customWidth="1"/>
    <col min="98" max="98" width="11.59765625" hidden="1" customWidth="1" collapsed="1"/>
    <col min="99" max="99" width="13.73046875" hidden="1" customWidth="1"/>
    <col min="100" max="100" width="11.59765625" hidden="1" customWidth="1" outlineLevel="1" collapsed="1"/>
    <col min="101" max="101" width="13.73046875" hidden="1" customWidth="1" outlineLevel="1"/>
    <col min="102" max="102" width="11.59765625" hidden="1" customWidth="1" outlineLevel="1" collapsed="1"/>
    <col min="103" max="103" width="13.73046875" hidden="1" customWidth="1" outlineLevel="1"/>
    <col min="104" max="104" width="11.59765625" hidden="1" customWidth="1" outlineLevel="1" collapsed="1"/>
    <col min="105" max="105" width="13.73046875" hidden="1" customWidth="1" outlineLevel="1"/>
    <col min="106" max="106" width="11.59765625" hidden="1" customWidth="1" outlineLevel="1"/>
    <col min="107" max="107" width="13.73046875" hidden="1" customWidth="1" outlineLevel="1"/>
    <col min="108" max="108" width="11.59765625" hidden="1" customWidth="1" outlineLevel="2" collapsed="1"/>
    <col min="109" max="109" width="13.73046875" hidden="1" customWidth="1" outlineLevel="2"/>
    <col min="110" max="110" width="11.59765625" hidden="1" customWidth="1" outlineLevel="1" collapsed="1"/>
    <col min="111" max="111" width="13.73046875" hidden="1" customWidth="1" outlineLevel="1"/>
    <col min="112" max="112" width="11.59765625" hidden="1" customWidth="1" outlineLevel="1"/>
    <col min="113" max="113" width="13.73046875" hidden="1" customWidth="1" outlineLevel="1"/>
    <col min="114" max="114" width="11.59765625" hidden="1" customWidth="1" outlineLevel="1"/>
    <col min="115" max="115" width="13.73046875" hidden="1" customWidth="1" outlineLevel="1"/>
    <col min="116" max="116" width="13.3984375" customWidth="1" outlineLevel="1"/>
    <col min="117" max="117" width="8.73046875"/>
  </cols>
  <sheetData>
    <row r="1" spans="1:120" x14ac:dyDescent="0.45">
      <c r="N1" s="1330" t="s">
        <v>284</v>
      </c>
      <c r="O1" s="1330"/>
      <c r="P1" s="1330"/>
      <c r="Q1" s="1330"/>
      <c r="R1" s="1330"/>
      <c r="S1" s="1330"/>
      <c r="T1" s="708"/>
      <c r="U1" s="708"/>
      <c r="V1" s="708"/>
      <c r="W1" s="708"/>
      <c r="X1" s="708"/>
      <c r="Y1" s="708"/>
      <c r="Z1" s="708"/>
      <c r="AA1" s="708"/>
      <c r="AB1" s="708"/>
      <c r="AC1" s="708"/>
      <c r="AD1" s="708"/>
      <c r="AE1" s="708"/>
      <c r="AF1" s="708"/>
      <c r="AG1" s="708"/>
      <c r="AH1" s="708"/>
      <c r="AI1" s="708"/>
      <c r="AJ1" s="708"/>
      <c r="AK1" s="708"/>
      <c r="AL1" s="708"/>
      <c r="AM1" s="708"/>
      <c r="AN1" s="708"/>
      <c r="AO1" s="708"/>
      <c r="AP1" s="708"/>
      <c r="AQ1" s="708"/>
      <c r="AR1" s="708"/>
      <c r="AS1" s="708"/>
      <c r="AT1" s="708"/>
      <c r="AU1" s="708"/>
      <c r="AV1" s="708"/>
      <c r="AW1" s="708"/>
      <c r="AX1" s="708"/>
      <c r="AY1" s="708"/>
      <c r="AZ1" s="708"/>
      <c r="BA1" s="708"/>
      <c r="BB1" s="708"/>
      <c r="BC1" s="708"/>
      <c r="BD1" s="708"/>
      <c r="BE1" s="708"/>
      <c r="BF1" s="708"/>
      <c r="BG1" s="708"/>
      <c r="BH1" s="708"/>
      <c r="BI1" s="708"/>
      <c r="BJ1" s="708"/>
      <c r="BK1" s="708"/>
      <c r="BL1" s="708"/>
      <c r="BM1" s="708"/>
      <c r="BN1" s="708"/>
      <c r="BO1" s="708"/>
      <c r="BP1" s="708"/>
      <c r="BQ1" s="708"/>
      <c r="BR1" s="708"/>
      <c r="BS1" s="708"/>
      <c r="BT1" s="708"/>
      <c r="BU1" s="708"/>
      <c r="BV1" s="708"/>
      <c r="BW1" s="708"/>
      <c r="BX1" s="708"/>
      <c r="BY1" s="708"/>
      <c r="BZ1" s="708"/>
      <c r="CA1" s="708"/>
      <c r="CB1" s="708"/>
      <c r="CC1" s="708"/>
      <c r="CD1" s="708"/>
      <c r="CE1" s="708"/>
      <c r="CF1" s="708"/>
      <c r="CG1" s="708"/>
      <c r="CH1" s="708"/>
      <c r="CI1" s="708"/>
      <c r="CJ1" s="708"/>
      <c r="CK1" s="708"/>
      <c r="CL1" s="708"/>
      <c r="CM1" s="708"/>
      <c r="CN1" s="708"/>
      <c r="CO1" s="708"/>
      <c r="CP1" s="708"/>
      <c r="CQ1" s="708"/>
      <c r="CR1" s="708"/>
      <c r="CS1" s="708"/>
      <c r="CT1" s="708"/>
      <c r="CU1" s="708"/>
      <c r="CV1" s="708"/>
      <c r="CW1" s="708"/>
      <c r="CX1" s="708"/>
      <c r="CY1" s="708"/>
      <c r="CZ1" s="708"/>
      <c r="DA1" s="708"/>
      <c r="DB1" s="708"/>
      <c r="DC1" s="708"/>
      <c r="DD1" s="708"/>
      <c r="DE1" s="708"/>
      <c r="DF1" s="708"/>
      <c r="DG1" s="708"/>
      <c r="DH1" s="708"/>
      <c r="DI1" s="708"/>
      <c r="DJ1" s="708"/>
      <c r="DK1" s="708"/>
    </row>
    <row r="2" spans="1:120" ht="15.75" customHeight="1" thickBot="1" x14ac:dyDescent="0.5">
      <c r="F2" s="1273" t="str">
        <f>F4</f>
        <v>GSS LOKAL 40</v>
      </c>
      <c r="G2" s="1273"/>
      <c r="H2" s="1273" t="str">
        <f>H4</f>
        <v>GSS LOKAL 40</v>
      </c>
      <c r="I2" s="1273"/>
      <c r="J2" s="1273" t="str">
        <f>J4</f>
        <v>GSS LOKAL 40</v>
      </c>
      <c r="K2" s="1273"/>
      <c r="L2" s="1273" t="str">
        <f>L4</f>
        <v>GSS LOKAL 40</v>
      </c>
      <c r="M2" s="1273"/>
      <c r="N2" s="1273" t="str">
        <f>N4</f>
        <v>GSS LOKAL 40</v>
      </c>
      <c r="O2" s="1273"/>
      <c r="P2" s="1273" t="str">
        <f>P4</f>
        <v>GSS LOKAL 40</v>
      </c>
      <c r="Q2" s="1273"/>
      <c r="R2" s="1273" t="str">
        <f>R4</f>
        <v>GSS LOKAL 40</v>
      </c>
      <c r="S2" s="1273"/>
      <c r="T2" s="1273" t="str">
        <f>T4</f>
        <v>GSS LOKAL 40</v>
      </c>
      <c r="U2" s="1273"/>
      <c r="V2" s="1273" t="str">
        <f>V4</f>
        <v>GSS LOKAL 40</v>
      </c>
      <c r="W2" s="1273"/>
      <c r="X2" s="1273" t="str">
        <f>X4</f>
        <v>GSS LOKAL 40</v>
      </c>
      <c r="Y2" s="1273"/>
      <c r="Z2" s="1273" t="str">
        <f>Z4</f>
        <v>GSS LOKAL 40</v>
      </c>
      <c r="AA2" s="1273"/>
      <c r="AB2" s="1273" t="str">
        <f>AB4</f>
        <v>GSS LOKAL 40</v>
      </c>
      <c r="AC2" s="1273"/>
      <c r="AD2" s="1273" t="str">
        <f>AD4</f>
        <v>GSS LOKAL 40</v>
      </c>
      <c r="AE2" s="1273"/>
      <c r="AF2" s="1273" t="str">
        <f>AF4</f>
        <v>GSS LOKAL 40</v>
      </c>
      <c r="AG2" s="1273"/>
      <c r="AH2" s="1273" t="str">
        <f>AH4</f>
        <v>GSS LOKAL 40</v>
      </c>
      <c r="AI2" s="1273"/>
      <c r="AJ2" s="1273" t="str">
        <f>AJ4</f>
        <v>GSS LOKAL 40</v>
      </c>
      <c r="AK2" s="1273"/>
      <c r="AL2" s="1273" t="str">
        <f>AL4</f>
        <v>GSS LOKAL 40</v>
      </c>
      <c r="AM2" s="1273"/>
      <c r="AN2" s="1273" t="str">
        <f>AN4</f>
        <v>GSS LOKAL 40</v>
      </c>
      <c r="AO2" s="1273"/>
      <c r="AP2" s="1273" t="str">
        <f>AP4</f>
        <v>GSS LOKAL 40</v>
      </c>
      <c r="AQ2" s="1273"/>
      <c r="AR2" s="1273" t="str">
        <f>AR4</f>
        <v>GSS LOKAL 40</v>
      </c>
      <c r="AS2" s="1273"/>
      <c r="AT2" s="1273" t="str">
        <f>AT4</f>
        <v>GSS LOKAL 40</v>
      </c>
      <c r="AU2" s="1273"/>
      <c r="AV2" s="1273" t="str">
        <f>AV4</f>
        <v>GSS LOKAL 40</v>
      </c>
      <c r="AW2" s="1273"/>
      <c r="AX2" s="1273" t="str">
        <f>AX4</f>
        <v>GSS LOKAL 40</v>
      </c>
      <c r="AY2" s="1273"/>
      <c r="AZ2" s="1273" t="str">
        <f>AZ4</f>
        <v>GSS LOKAL 40</v>
      </c>
      <c r="BA2" s="1273"/>
      <c r="BB2" s="1273" t="str">
        <f>BB4</f>
        <v>GSS LOKAL 40</v>
      </c>
      <c r="BC2" s="1273"/>
      <c r="BD2" s="1273" t="str">
        <f>BD4</f>
        <v>GSS LOKAL 40</v>
      </c>
      <c r="BE2" s="1273"/>
      <c r="BF2" s="1273" t="str">
        <f t="shared" ref="BF2" si="0">BF4</f>
        <v>GSS LOKAL 40</v>
      </c>
      <c r="BG2" s="1273"/>
      <c r="BH2" s="1273" t="str">
        <f t="shared" ref="BH2:BJ2" si="1">BH4</f>
        <v>GSS LOKAL 40</v>
      </c>
      <c r="BI2" s="1273"/>
      <c r="BJ2" s="1273" t="str">
        <f t="shared" si="1"/>
        <v>GSS LOKAL 40</v>
      </c>
      <c r="BK2" s="1273"/>
      <c r="BL2" s="1273" t="str">
        <f t="shared" ref="BL2" si="2">BL4</f>
        <v>GSS LOKAL 40</v>
      </c>
      <c r="BM2" s="1273"/>
      <c r="BN2" s="1273" t="str">
        <f t="shared" ref="BN2" si="3">BN4</f>
        <v>GSS LOKAL 40</v>
      </c>
      <c r="BO2" s="1273"/>
      <c r="BP2" s="1273" t="str">
        <f t="shared" ref="BP2:BR2" si="4">BP4</f>
        <v>GSS LOKAL 40</v>
      </c>
      <c r="BQ2" s="1273"/>
      <c r="BR2" s="1273" t="str">
        <f t="shared" si="4"/>
        <v>GSS LOKAL 40</v>
      </c>
      <c r="BS2" s="1273"/>
      <c r="BT2" s="1273" t="str">
        <f t="shared" ref="BT2:BV2" si="5">BT4</f>
        <v>GSS LOKAL 40</v>
      </c>
      <c r="BU2" s="1273"/>
      <c r="BV2" s="1273" t="str">
        <f t="shared" si="5"/>
        <v>GSS LOKAL 40</v>
      </c>
      <c r="BW2" s="1273"/>
      <c r="BX2" s="1273" t="str">
        <f t="shared" ref="BX2:BZ2" si="6">BX4</f>
        <v>GSS LOKAL 40</v>
      </c>
      <c r="BY2" s="1273"/>
      <c r="BZ2" s="1273" t="str">
        <f t="shared" si="6"/>
        <v>GSS LOKAL 40</v>
      </c>
      <c r="CA2" s="1273"/>
      <c r="CB2" s="1273" t="str">
        <f t="shared" ref="CB2:CD2" si="7">CB4</f>
        <v>GSS LOKAL 40</v>
      </c>
      <c r="CC2" s="1273"/>
      <c r="CD2" s="1273" t="str">
        <f t="shared" si="7"/>
        <v>GSS VLOK 40</v>
      </c>
      <c r="CE2" s="1273"/>
      <c r="CF2" s="1273" t="str">
        <f t="shared" ref="CF2:CH2" si="8">CF4</f>
        <v>GSS VLOK 40</v>
      </c>
      <c r="CG2" s="1273"/>
      <c r="CH2" s="1273" t="str">
        <f t="shared" si="8"/>
        <v>GSS VLOK 40</v>
      </c>
      <c r="CI2" s="1273"/>
      <c r="CJ2" s="1273" t="str">
        <f t="shared" ref="CJ2:CL2" si="9">CJ4</f>
        <v>GSS VLOK 40</v>
      </c>
      <c r="CK2" s="1273"/>
      <c r="CL2" s="1273" t="str">
        <f t="shared" si="9"/>
        <v>GSS VLOK 40</v>
      </c>
      <c r="CM2" s="1273"/>
      <c r="CN2" s="1273" t="str">
        <f t="shared" ref="CN2" si="10">CN4</f>
        <v>GSS VLOK 40</v>
      </c>
      <c r="CO2" s="1273"/>
      <c r="CP2" s="1273" t="str">
        <f t="shared" ref="CP2" si="11">CP4</f>
        <v>GSS LOKAL 40</v>
      </c>
      <c r="CQ2" s="1273"/>
      <c r="CR2" s="1273" t="str">
        <f t="shared" ref="CR2:CT2" si="12">CR4</f>
        <v>GSS LOKAL 40</v>
      </c>
      <c r="CS2" s="1273"/>
      <c r="CT2" s="1273" t="str">
        <f t="shared" si="12"/>
        <v>GSS LOKAL 40</v>
      </c>
      <c r="CU2" s="1273"/>
      <c r="CV2" s="1231" t="str">
        <f>CV4</f>
        <v>GSS LOKAL 40</v>
      </c>
      <c r="CW2" s="1231"/>
      <c r="CX2" s="1231" t="str">
        <f>CX4</f>
        <v>GSS LOKAL 40</v>
      </c>
      <c r="CY2" s="1231"/>
      <c r="CZ2" s="1231" t="str">
        <f>CZ4</f>
        <v>GSS LOKAL 40</v>
      </c>
      <c r="DA2" s="1231"/>
      <c r="DB2" s="1231" t="str">
        <f>DB4</f>
        <v>GSS LOKAL 40</v>
      </c>
      <c r="DC2" s="1231"/>
      <c r="DD2" s="1231" t="str">
        <f>DD4</f>
        <v>GSS LOKAL 40</v>
      </c>
      <c r="DE2" s="1231"/>
      <c r="DF2" s="1231" t="str">
        <f>DF4</f>
        <v>GSS LOKAL 40</v>
      </c>
      <c r="DG2" s="1231"/>
      <c r="DH2" s="1231" t="str">
        <f>DH4</f>
        <v>GSS LOKAL 40</v>
      </c>
      <c r="DI2" s="1231"/>
      <c r="DJ2" s="1231" t="str">
        <f>DJ4</f>
        <v>GSS LOKAL 40</v>
      </c>
      <c r="DK2" s="1231"/>
    </row>
    <row r="3" spans="1:120" s="4" customFormat="1" ht="3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39" t="s">
        <v>392</v>
      </c>
      <c r="I3" s="1340"/>
      <c r="J3" s="1339" t="s">
        <v>393</v>
      </c>
      <c r="K3" s="1340"/>
      <c r="L3" s="1339" t="s">
        <v>394</v>
      </c>
      <c r="M3" s="1340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323</v>
      </c>
      <c r="W3" s="1264"/>
      <c r="X3" s="1318" t="s">
        <v>324</v>
      </c>
      <c r="Y3" s="1264"/>
      <c r="Z3" s="1318" t="s">
        <v>325</v>
      </c>
      <c r="AA3" s="1264"/>
      <c r="AB3" s="1318" t="s">
        <v>326</v>
      </c>
      <c r="AC3" s="1264"/>
      <c r="AD3" s="1318" t="s">
        <v>327</v>
      </c>
      <c r="AE3" s="1264"/>
      <c r="AF3" s="1318" t="s">
        <v>328</v>
      </c>
      <c r="AG3" s="1264"/>
      <c r="AH3" s="1318" t="s">
        <v>329</v>
      </c>
      <c r="AI3" s="1264"/>
      <c r="AJ3" s="1318" t="s">
        <v>330</v>
      </c>
      <c r="AK3" s="1264"/>
      <c r="AL3" s="1318" t="s">
        <v>331</v>
      </c>
      <c r="AM3" s="1264"/>
      <c r="AN3" s="1318" t="s">
        <v>332</v>
      </c>
      <c r="AO3" s="1264"/>
      <c r="AP3" s="1318" t="s">
        <v>333</v>
      </c>
      <c r="AQ3" s="1264"/>
      <c r="AR3" s="1318" t="s">
        <v>334</v>
      </c>
      <c r="AS3" s="1264"/>
      <c r="AT3" s="1318" t="s">
        <v>335</v>
      </c>
      <c r="AU3" s="1264"/>
      <c r="AV3" s="1318" t="s">
        <v>336</v>
      </c>
      <c r="AW3" s="1264"/>
      <c r="AX3" s="1318" t="s">
        <v>337</v>
      </c>
      <c r="AY3" s="1264"/>
      <c r="AZ3" s="1318" t="s">
        <v>338</v>
      </c>
      <c r="BA3" s="1264"/>
      <c r="BB3" s="1318" t="s">
        <v>339</v>
      </c>
      <c r="BC3" s="1264"/>
      <c r="BD3" s="1318" t="s">
        <v>397</v>
      </c>
      <c r="BE3" s="1264"/>
      <c r="BF3" s="1318" t="s">
        <v>398</v>
      </c>
      <c r="BG3" s="1264"/>
      <c r="BH3" s="1318" t="s">
        <v>399</v>
      </c>
      <c r="BI3" s="1264"/>
      <c r="BJ3" s="1318" t="s">
        <v>400</v>
      </c>
      <c r="BK3" s="1264"/>
      <c r="BL3" s="1318" t="s">
        <v>401</v>
      </c>
      <c r="BM3" s="1264"/>
      <c r="BN3" s="1318" t="s">
        <v>402</v>
      </c>
      <c r="BO3" s="1264"/>
      <c r="BP3" s="1318" t="s">
        <v>347</v>
      </c>
      <c r="BQ3" s="1264"/>
      <c r="BR3" s="1318" t="s">
        <v>351</v>
      </c>
      <c r="BS3" s="1264"/>
      <c r="BT3" s="1318" t="s">
        <v>403</v>
      </c>
      <c r="BU3" s="1264"/>
      <c r="BV3" s="1318" t="s">
        <v>697</v>
      </c>
      <c r="BW3" s="1264"/>
      <c r="BX3" s="1318" t="s">
        <v>701</v>
      </c>
      <c r="BY3" s="1264"/>
      <c r="BZ3" s="1318" t="s">
        <v>705</v>
      </c>
      <c r="CA3" s="1264"/>
      <c r="CB3" s="1318" t="s">
        <v>708</v>
      </c>
      <c r="CC3" s="1264"/>
      <c r="CD3" s="1318" t="s">
        <v>711</v>
      </c>
      <c r="CE3" s="1264"/>
      <c r="CF3" s="1318" t="s">
        <v>724</v>
      </c>
      <c r="CG3" s="1264"/>
      <c r="CH3" s="1318" t="s">
        <v>726</v>
      </c>
      <c r="CI3" s="1264"/>
      <c r="CJ3" s="1318" t="s">
        <v>727</v>
      </c>
      <c r="CK3" s="1264"/>
      <c r="CL3" s="1318" t="s">
        <v>751</v>
      </c>
      <c r="CM3" s="1264"/>
      <c r="CN3" s="1318" t="s">
        <v>752</v>
      </c>
      <c r="CO3" s="1264"/>
      <c r="CP3" s="1318" t="s">
        <v>700</v>
      </c>
      <c r="CQ3" s="1264"/>
      <c r="CR3" s="1318" t="s">
        <v>404</v>
      </c>
      <c r="CS3" s="1264"/>
      <c r="CT3" s="1318" t="s">
        <v>707</v>
      </c>
      <c r="CU3" s="1264"/>
      <c r="CV3" s="1335" t="s">
        <v>405</v>
      </c>
      <c r="CW3" s="1336"/>
      <c r="CX3" s="1335" t="s">
        <v>406</v>
      </c>
      <c r="CY3" s="1336"/>
      <c r="CZ3" s="1335" t="s">
        <v>407</v>
      </c>
      <c r="DA3" s="1336"/>
      <c r="DB3" s="1337" t="s">
        <v>408</v>
      </c>
      <c r="DC3" s="1338"/>
      <c r="DD3" s="1335" t="s">
        <v>409</v>
      </c>
      <c r="DE3" s="1336"/>
      <c r="DF3" s="1333" t="s">
        <v>410</v>
      </c>
      <c r="DG3" s="1334"/>
      <c r="DH3" s="1331" t="s">
        <v>411</v>
      </c>
      <c r="DI3" s="1332"/>
      <c r="DJ3" s="1331" t="s">
        <v>412</v>
      </c>
      <c r="DK3" s="1332"/>
    </row>
    <row r="4" spans="1:120" s="4" customFormat="1" ht="22.5" customHeight="1" thickTop="1" x14ac:dyDescent="0.45">
      <c r="A4" s="561"/>
      <c r="B4" s="2"/>
      <c r="C4" s="3"/>
      <c r="D4" s="6"/>
      <c r="E4" s="245"/>
      <c r="F4" s="1305" t="s">
        <v>2</v>
      </c>
      <c r="G4" s="1306"/>
      <c r="H4" s="1305" t="s">
        <v>2</v>
      </c>
      <c r="I4" s="1306"/>
      <c r="J4" s="1305" t="s">
        <v>2</v>
      </c>
      <c r="K4" s="1306"/>
      <c r="L4" s="1305" t="s">
        <v>2</v>
      </c>
      <c r="M4" s="1306"/>
      <c r="N4" s="1305" t="s">
        <v>2</v>
      </c>
      <c r="O4" s="1306"/>
      <c r="P4" s="1305" t="s">
        <v>2</v>
      </c>
      <c r="Q4" s="1306"/>
      <c r="R4" s="1305" t="s">
        <v>2</v>
      </c>
      <c r="S4" s="1306"/>
      <c r="T4" s="1305" t="s">
        <v>2</v>
      </c>
      <c r="U4" s="1306"/>
      <c r="V4" s="1305" t="s">
        <v>2</v>
      </c>
      <c r="W4" s="1306"/>
      <c r="X4" s="1305" t="s">
        <v>2</v>
      </c>
      <c r="Y4" s="1306"/>
      <c r="Z4" s="1305" t="s">
        <v>2</v>
      </c>
      <c r="AA4" s="1306"/>
      <c r="AB4" s="1305" t="s">
        <v>2</v>
      </c>
      <c r="AC4" s="1306"/>
      <c r="AD4" s="1305" t="s">
        <v>2</v>
      </c>
      <c r="AE4" s="1306"/>
      <c r="AF4" s="1305" t="s">
        <v>2</v>
      </c>
      <c r="AG4" s="1306"/>
      <c r="AH4" s="1305" t="s">
        <v>2</v>
      </c>
      <c r="AI4" s="1306"/>
      <c r="AJ4" s="1305" t="s">
        <v>2</v>
      </c>
      <c r="AK4" s="1306"/>
      <c r="AL4" s="1305" t="s">
        <v>2</v>
      </c>
      <c r="AM4" s="1306"/>
      <c r="AN4" s="1305" t="s">
        <v>2</v>
      </c>
      <c r="AO4" s="1306"/>
      <c r="AP4" s="1305" t="s">
        <v>2</v>
      </c>
      <c r="AQ4" s="1306"/>
      <c r="AR4" s="1305" t="s">
        <v>2</v>
      </c>
      <c r="AS4" s="1306"/>
      <c r="AT4" s="1305" t="s">
        <v>2</v>
      </c>
      <c r="AU4" s="1306"/>
      <c r="AV4" s="1305" t="s">
        <v>2</v>
      </c>
      <c r="AW4" s="1306"/>
      <c r="AX4" s="1305" t="s">
        <v>2</v>
      </c>
      <c r="AY4" s="1306"/>
      <c r="AZ4" s="1305" t="s">
        <v>2</v>
      </c>
      <c r="BA4" s="1306"/>
      <c r="BB4" s="1305" t="s">
        <v>2</v>
      </c>
      <c r="BC4" s="1306"/>
      <c r="BD4" s="1305" t="s">
        <v>2</v>
      </c>
      <c r="BE4" s="1306"/>
      <c r="BF4" s="1305" t="s">
        <v>2</v>
      </c>
      <c r="BG4" s="1306"/>
      <c r="BH4" s="1305" t="s">
        <v>2</v>
      </c>
      <c r="BI4" s="1306"/>
      <c r="BJ4" s="1305" t="s">
        <v>2</v>
      </c>
      <c r="BK4" s="1306"/>
      <c r="BL4" s="1305" t="s">
        <v>2</v>
      </c>
      <c r="BM4" s="1306"/>
      <c r="BN4" s="1305" t="s">
        <v>2</v>
      </c>
      <c r="BO4" s="1306"/>
      <c r="BP4" s="1305" t="s">
        <v>2</v>
      </c>
      <c r="BQ4" s="1306"/>
      <c r="BR4" s="1305" t="s">
        <v>2</v>
      </c>
      <c r="BS4" s="1306"/>
      <c r="BT4" s="1305" t="s">
        <v>2</v>
      </c>
      <c r="BU4" s="1306"/>
      <c r="BV4" s="1305" t="s">
        <v>2</v>
      </c>
      <c r="BW4" s="1306"/>
      <c r="BX4" s="1305" t="s">
        <v>2</v>
      </c>
      <c r="BY4" s="1306"/>
      <c r="BZ4" s="1305" t="s">
        <v>2</v>
      </c>
      <c r="CA4" s="1306"/>
      <c r="CB4" s="1305" t="s">
        <v>2</v>
      </c>
      <c r="CC4" s="1306"/>
      <c r="CD4" s="1305" t="s">
        <v>714</v>
      </c>
      <c r="CE4" s="1306"/>
      <c r="CF4" s="1305" t="s">
        <v>714</v>
      </c>
      <c r="CG4" s="1306"/>
      <c r="CH4" s="1305" t="s">
        <v>714</v>
      </c>
      <c r="CI4" s="1306"/>
      <c r="CJ4" s="1305" t="s">
        <v>714</v>
      </c>
      <c r="CK4" s="1306"/>
      <c r="CL4" s="1305" t="s">
        <v>714</v>
      </c>
      <c r="CM4" s="1306"/>
      <c r="CN4" s="1305" t="s">
        <v>714</v>
      </c>
      <c r="CO4" s="1306"/>
      <c r="CP4" s="1305" t="s">
        <v>2</v>
      </c>
      <c r="CQ4" s="1306"/>
      <c r="CR4" s="1305" t="s">
        <v>2</v>
      </c>
      <c r="CS4" s="1306"/>
      <c r="CT4" s="1305" t="s">
        <v>2</v>
      </c>
      <c r="CU4" s="1306"/>
      <c r="CV4" s="1305" t="s">
        <v>2</v>
      </c>
      <c r="CW4" s="1306"/>
      <c r="CX4" s="1305" t="s">
        <v>2</v>
      </c>
      <c r="CY4" s="1306"/>
      <c r="CZ4" s="1305" t="s">
        <v>2</v>
      </c>
      <c r="DA4" s="1306"/>
      <c r="DB4" s="1305" t="s">
        <v>2</v>
      </c>
      <c r="DC4" s="1306"/>
      <c r="DD4" s="1305" t="s">
        <v>2</v>
      </c>
      <c r="DE4" s="1306"/>
      <c r="DF4" s="1305" t="s">
        <v>2</v>
      </c>
      <c r="DG4" s="1306"/>
      <c r="DH4" s="1305" t="s">
        <v>2</v>
      </c>
      <c r="DI4" s="1306"/>
      <c r="DJ4" s="1305" t="s">
        <v>2</v>
      </c>
      <c r="DK4" s="1306"/>
    </row>
    <row r="5" spans="1:120" s="4" customFormat="1" ht="14.65" thickBot="1" x14ac:dyDescent="0.5">
      <c r="A5" s="561"/>
      <c r="B5" s="7"/>
      <c r="E5" s="245"/>
      <c r="F5" s="1307"/>
      <c r="G5" s="1308"/>
      <c r="H5" s="1307"/>
      <c r="I5" s="1308"/>
      <c r="J5" s="1307"/>
      <c r="K5" s="1308"/>
      <c r="L5" s="1307"/>
      <c r="M5" s="1308"/>
      <c r="N5" s="1307"/>
      <c r="O5" s="1308"/>
      <c r="P5" s="1307"/>
      <c r="Q5" s="1308"/>
      <c r="R5" s="1307"/>
      <c r="S5" s="1308"/>
      <c r="T5" s="1307"/>
      <c r="U5" s="1308"/>
      <c r="V5" s="1307"/>
      <c r="W5" s="1308"/>
      <c r="X5" s="1307"/>
      <c r="Y5" s="1308"/>
      <c r="Z5" s="1307"/>
      <c r="AA5" s="1308"/>
      <c r="AB5" s="1307"/>
      <c r="AC5" s="1308"/>
      <c r="AD5" s="1307"/>
      <c r="AE5" s="1308"/>
      <c r="AF5" s="1307"/>
      <c r="AG5" s="1308"/>
      <c r="AH5" s="1307"/>
      <c r="AI5" s="1308"/>
      <c r="AJ5" s="1307"/>
      <c r="AK5" s="1308"/>
      <c r="AL5" s="1307"/>
      <c r="AM5" s="1308"/>
      <c r="AN5" s="1307"/>
      <c r="AO5" s="1308"/>
      <c r="AP5" s="1307"/>
      <c r="AQ5" s="1308"/>
      <c r="AR5" s="1307"/>
      <c r="AS5" s="1308"/>
      <c r="AT5" s="1307"/>
      <c r="AU5" s="1308"/>
      <c r="AV5" s="1307"/>
      <c r="AW5" s="1308"/>
      <c r="AX5" s="1307"/>
      <c r="AY5" s="1308"/>
      <c r="AZ5" s="1307"/>
      <c r="BA5" s="1308"/>
      <c r="BB5" s="1307"/>
      <c r="BC5" s="1308"/>
      <c r="BD5" s="1307"/>
      <c r="BE5" s="1308"/>
      <c r="BF5" s="1307"/>
      <c r="BG5" s="1308"/>
      <c r="BH5" s="1307"/>
      <c r="BI5" s="1308"/>
      <c r="BJ5" s="1307"/>
      <c r="BK5" s="1308"/>
      <c r="BL5" s="1307"/>
      <c r="BM5" s="1308"/>
      <c r="BN5" s="1307"/>
      <c r="BO5" s="1308"/>
      <c r="BP5" s="1307"/>
      <c r="BQ5" s="1308"/>
      <c r="BR5" s="1307"/>
      <c r="BS5" s="1308"/>
      <c r="BT5" s="1307"/>
      <c r="BU5" s="1308"/>
      <c r="BV5" s="1307"/>
      <c r="BW5" s="1308"/>
      <c r="BX5" s="1307"/>
      <c r="BY5" s="1308"/>
      <c r="BZ5" s="1307"/>
      <c r="CA5" s="1308"/>
      <c r="CB5" s="1307"/>
      <c r="CC5" s="1308"/>
      <c r="CD5" s="1307"/>
      <c r="CE5" s="1308"/>
      <c r="CF5" s="1307"/>
      <c r="CG5" s="1308"/>
      <c r="CH5" s="1307"/>
      <c r="CI5" s="1308"/>
      <c r="CJ5" s="1307"/>
      <c r="CK5" s="1308"/>
      <c r="CL5" s="1307"/>
      <c r="CM5" s="1308"/>
      <c r="CN5" s="1307"/>
      <c r="CO5" s="1308"/>
      <c r="CP5" s="1307"/>
      <c r="CQ5" s="1308"/>
      <c r="CR5" s="1307"/>
      <c r="CS5" s="1308"/>
      <c r="CT5" s="1307"/>
      <c r="CU5" s="1308"/>
      <c r="CV5" s="1307"/>
      <c r="CW5" s="1308"/>
      <c r="CX5" s="1307"/>
      <c r="CY5" s="1308"/>
      <c r="CZ5" s="1307"/>
      <c r="DA5" s="1308"/>
      <c r="DB5" s="1307"/>
      <c r="DC5" s="1308"/>
      <c r="DD5" s="1307"/>
      <c r="DE5" s="1308"/>
      <c r="DF5" s="1307"/>
      <c r="DG5" s="1308"/>
      <c r="DH5" s="1307"/>
      <c r="DI5" s="1308"/>
      <c r="DJ5" s="1307"/>
      <c r="DK5" s="1308"/>
    </row>
    <row r="6" spans="1:120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65"/>
      <c r="G6" s="1266"/>
      <c r="H6" s="1265"/>
      <c r="I6" s="1266"/>
      <c r="J6" s="1265"/>
      <c r="K6" s="1266"/>
      <c r="L6" s="1265"/>
      <c r="M6" s="1266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1234"/>
      <c r="AG6" s="1206"/>
      <c r="AH6" s="1234"/>
      <c r="AI6" s="1206"/>
      <c r="AJ6" s="1234"/>
      <c r="AK6" s="1206"/>
      <c r="AL6" s="1234"/>
      <c r="AM6" s="1206"/>
      <c r="AN6" s="1234"/>
      <c r="AO6" s="1206"/>
      <c r="AP6" s="1234"/>
      <c r="AQ6" s="1206"/>
      <c r="AR6" s="1234"/>
      <c r="AS6" s="1206"/>
      <c r="AT6" s="1234"/>
      <c r="AU6" s="1206"/>
      <c r="AV6" s="1234"/>
      <c r="AW6" s="1206"/>
      <c r="AX6" s="1234"/>
      <c r="AY6" s="1206"/>
      <c r="AZ6" s="1234"/>
      <c r="BA6" s="1206"/>
      <c r="BB6" s="1234"/>
      <c r="BC6" s="1206"/>
      <c r="BD6" s="1234"/>
      <c r="BE6" s="1206"/>
      <c r="BF6" s="1234"/>
      <c r="BG6" s="1206"/>
      <c r="BH6" s="1234"/>
      <c r="BI6" s="1206"/>
      <c r="BJ6" s="1234"/>
      <c r="BK6" s="1206"/>
      <c r="BL6" s="1234"/>
      <c r="BM6" s="1206"/>
      <c r="BN6" s="1234"/>
      <c r="BO6" s="1206"/>
      <c r="BP6" s="1234"/>
      <c r="BQ6" s="1206"/>
      <c r="BR6" s="1234"/>
      <c r="BS6" s="1206"/>
      <c r="BT6" s="1234"/>
      <c r="BU6" s="1206"/>
      <c r="BV6" s="1234"/>
      <c r="BW6" s="1206"/>
      <c r="BX6" s="1234"/>
      <c r="BY6" s="1206"/>
      <c r="BZ6" s="1234"/>
      <c r="CA6" s="1206"/>
      <c r="CB6" s="1234"/>
      <c r="CC6" s="1206"/>
      <c r="CD6" s="1234"/>
      <c r="CE6" s="1206"/>
      <c r="CF6" s="1234"/>
      <c r="CG6" s="1206"/>
      <c r="CH6" s="1234"/>
      <c r="CI6" s="1206"/>
      <c r="CJ6" s="1234"/>
      <c r="CK6" s="1206"/>
      <c r="CL6" s="1234"/>
      <c r="CM6" s="1206"/>
      <c r="CN6" s="1234"/>
      <c r="CO6" s="1206"/>
      <c r="CP6" s="1234"/>
      <c r="CQ6" s="1206"/>
      <c r="CR6" s="1234"/>
      <c r="CS6" s="1206"/>
      <c r="CT6" s="1234"/>
      <c r="CU6" s="1206"/>
      <c r="CV6" s="1205"/>
      <c r="CW6" s="1206"/>
      <c r="CX6" s="1205"/>
      <c r="CY6" s="1206"/>
      <c r="CZ6" s="1205"/>
      <c r="DA6" s="1206"/>
      <c r="DB6" s="1205"/>
      <c r="DC6" s="1206"/>
      <c r="DD6" s="1205"/>
      <c r="DE6" s="1206"/>
      <c r="DF6" s="1205"/>
      <c r="DG6" s="1206"/>
      <c r="DH6" s="1205"/>
      <c r="DI6" s="1206"/>
      <c r="DJ6" s="1205"/>
      <c r="DK6" s="1206"/>
    </row>
    <row r="7" spans="1:120" s="7" customFormat="1" ht="36.75" customHeight="1" x14ac:dyDescent="0.45">
      <c r="A7" s="561"/>
      <c r="B7" s="1203"/>
      <c r="C7" s="10" t="s">
        <v>11</v>
      </c>
      <c r="D7" s="11"/>
      <c r="E7" s="247"/>
      <c r="F7" s="1200">
        <v>100493</v>
      </c>
      <c r="G7" s="1201"/>
      <c r="H7" s="1200">
        <v>100493</v>
      </c>
      <c r="I7" s="1201"/>
      <c r="J7" s="1200">
        <v>100493</v>
      </c>
      <c r="K7" s="1201"/>
      <c r="L7" s="1200">
        <v>100493</v>
      </c>
      <c r="M7" s="1201"/>
      <c r="N7" s="1267">
        <v>100493</v>
      </c>
      <c r="O7" s="1268"/>
      <c r="P7" s="1267">
        <v>100493</v>
      </c>
      <c r="Q7" s="1268"/>
      <c r="R7" s="1267">
        <v>100493</v>
      </c>
      <c r="S7" s="1268"/>
      <c r="T7" s="1267">
        <v>100493</v>
      </c>
      <c r="U7" s="1268"/>
      <c r="V7" s="1267">
        <v>100493</v>
      </c>
      <c r="W7" s="1268"/>
      <c r="X7" s="1267">
        <v>100493</v>
      </c>
      <c r="Y7" s="1268"/>
      <c r="Z7" s="1267">
        <v>100493</v>
      </c>
      <c r="AA7" s="1268"/>
      <c r="AB7" s="1267">
        <v>100493</v>
      </c>
      <c r="AC7" s="1268"/>
      <c r="AD7" s="1267">
        <v>100493</v>
      </c>
      <c r="AE7" s="1268"/>
      <c r="AF7" s="1267">
        <v>100493</v>
      </c>
      <c r="AG7" s="1268"/>
      <c r="AH7" s="1267">
        <v>100493</v>
      </c>
      <c r="AI7" s="1268"/>
      <c r="AJ7" s="1267">
        <v>100493</v>
      </c>
      <c r="AK7" s="1268"/>
      <c r="AL7" s="1267">
        <v>100493</v>
      </c>
      <c r="AM7" s="1268"/>
      <c r="AN7" s="1267">
        <v>100493</v>
      </c>
      <c r="AO7" s="1268"/>
      <c r="AP7" s="1267">
        <v>100493</v>
      </c>
      <c r="AQ7" s="1268"/>
      <c r="AR7" s="1267">
        <v>100493</v>
      </c>
      <c r="AS7" s="1268"/>
      <c r="AT7" s="1267">
        <v>100493</v>
      </c>
      <c r="AU7" s="1268"/>
      <c r="AV7" s="1267">
        <v>100493</v>
      </c>
      <c r="AW7" s="1268"/>
      <c r="AX7" s="1267">
        <v>100493</v>
      </c>
      <c r="AY7" s="1268"/>
      <c r="AZ7" s="1267">
        <v>100493</v>
      </c>
      <c r="BA7" s="1268"/>
      <c r="BB7" s="1267">
        <v>100493</v>
      </c>
      <c r="BC7" s="1268"/>
      <c r="BD7" s="1267">
        <v>100493</v>
      </c>
      <c r="BE7" s="1268"/>
      <c r="BF7" s="1267">
        <v>100493</v>
      </c>
      <c r="BG7" s="1268"/>
      <c r="BH7" s="1267">
        <v>100493</v>
      </c>
      <c r="BI7" s="1268"/>
      <c r="BJ7" s="1267">
        <v>100493</v>
      </c>
      <c r="BK7" s="1268"/>
      <c r="BL7" s="1267">
        <v>100493</v>
      </c>
      <c r="BM7" s="1268"/>
      <c r="BN7" s="1267">
        <v>100493</v>
      </c>
      <c r="BO7" s="1268"/>
      <c r="BP7" s="1267">
        <v>100493</v>
      </c>
      <c r="BQ7" s="1268"/>
      <c r="BR7" s="1267">
        <v>100493</v>
      </c>
      <c r="BS7" s="1268"/>
      <c r="BT7" s="1267">
        <v>100493</v>
      </c>
      <c r="BU7" s="1268"/>
      <c r="BV7" s="1267">
        <v>100493</v>
      </c>
      <c r="BW7" s="1268"/>
      <c r="BX7" s="1267">
        <v>100493</v>
      </c>
      <c r="BY7" s="1268"/>
      <c r="BZ7" s="1267">
        <v>100493</v>
      </c>
      <c r="CA7" s="1268"/>
      <c r="CB7" s="1267">
        <v>100493</v>
      </c>
      <c r="CC7" s="1268"/>
      <c r="CD7" s="1267">
        <v>435550</v>
      </c>
      <c r="CE7" s="1268"/>
      <c r="CF7" s="1267">
        <v>435550</v>
      </c>
      <c r="CG7" s="1268"/>
      <c r="CH7" s="1267">
        <v>435550</v>
      </c>
      <c r="CI7" s="1268"/>
      <c r="CJ7" s="1267">
        <v>435550</v>
      </c>
      <c r="CK7" s="1268"/>
      <c r="CL7" s="1267">
        <v>435550</v>
      </c>
      <c r="CM7" s="1268"/>
      <c r="CN7" s="1267">
        <v>435550</v>
      </c>
      <c r="CO7" s="1268"/>
      <c r="CP7" s="1267">
        <v>100493</v>
      </c>
      <c r="CQ7" s="1268"/>
      <c r="CR7" s="1267">
        <v>100493</v>
      </c>
      <c r="CS7" s="1268"/>
      <c r="CT7" s="1267">
        <v>100493</v>
      </c>
      <c r="CU7" s="1268"/>
      <c r="CV7" s="1267">
        <v>100493</v>
      </c>
      <c r="CW7" s="1268"/>
      <c r="CX7" s="1267">
        <v>100493</v>
      </c>
      <c r="CY7" s="1268"/>
      <c r="CZ7" s="1267">
        <v>100493</v>
      </c>
      <c r="DA7" s="1268"/>
      <c r="DB7" s="1267">
        <v>100493</v>
      </c>
      <c r="DC7" s="1268"/>
      <c r="DD7" s="1267">
        <v>100493</v>
      </c>
      <c r="DE7" s="1268"/>
      <c r="DF7" s="1267">
        <v>100493</v>
      </c>
      <c r="DG7" s="1268"/>
      <c r="DH7" s="1267">
        <v>100493</v>
      </c>
      <c r="DI7" s="1268"/>
      <c r="DJ7" s="1267">
        <v>100493</v>
      </c>
      <c r="DK7" s="1268"/>
    </row>
    <row r="8" spans="1:120" s="7" customFormat="1" ht="15" customHeight="1" x14ac:dyDescent="0.45">
      <c r="A8" s="561"/>
      <c r="B8" s="1203"/>
      <c r="C8" s="12" t="s">
        <v>12</v>
      </c>
      <c r="D8" s="11"/>
      <c r="E8" s="11"/>
      <c r="F8" s="1232">
        <f>G60</f>
        <v>5.6</v>
      </c>
      <c r="G8" s="1233"/>
      <c r="H8" s="1232">
        <f>I60</f>
        <v>5.6</v>
      </c>
      <c r="I8" s="1233"/>
      <c r="J8" s="1232">
        <f>K60</f>
        <v>5.6</v>
      </c>
      <c r="K8" s="1233"/>
      <c r="L8" s="1232">
        <f>M60</f>
        <v>5.6</v>
      </c>
      <c r="M8" s="1233"/>
      <c r="N8" s="1269">
        <f>O60</f>
        <v>6.0231343283582124</v>
      </c>
      <c r="O8" s="1270"/>
      <c r="P8" s="1269">
        <f>Q60</f>
        <v>6.0499173553719015</v>
      </c>
      <c r="Q8" s="1270"/>
      <c r="R8" s="1269">
        <f>S60</f>
        <v>6.0499173553719015</v>
      </c>
      <c r="S8" s="1270"/>
      <c r="T8" s="1269">
        <f>U60</f>
        <v>6.0499173553719015</v>
      </c>
      <c r="U8" s="1270"/>
      <c r="V8" s="1269">
        <f>W60</f>
        <v>6.0499173553719015</v>
      </c>
      <c r="W8" s="1270"/>
      <c r="X8" s="1269">
        <f>Y60</f>
        <v>6.0499173553719015</v>
      </c>
      <c r="Y8" s="1270"/>
      <c r="Z8" s="1269">
        <f>AA60</f>
        <v>6.0499173553719015</v>
      </c>
      <c r="AA8" s="1270"/>
      <c r="AB8" s="1269">
        <f>AC60</f>
        <v>6.0499173553719015</v>
      </c>
      <c r="AC8" s="1270"/>
      <c r="AD8" s="1269">
        <f>AE60</f>
        <v>6.0499173553719015</v>
      </c>
      <c r="AE8" s="1270"/>
      <c r="AF8" s="1269">
        <f>AG60</f>
        <v>6.0499173553719015</v>
      </c>
      <c r="AG8" s="1270"/>
      <c r="AH8" s="1269">
        <f>AI60</f>
        <v>6.0499173553719015</v>
      </c>
      <c r="AI8" s="1270"/>
      <c r="AJ8" s="1269">
        <f>AK60</f>
        <v>6.0499173553719015</v>
      </c>
      <c r="AK8" s="1270"/>
      <c r="AL8" s="1269">
        <f>AM60</f>
        <v>6.0499173553719015</v>
      </c>
      <c r="AM8" s="1270"/>
      <c r="AN8" s="1269">
        <f>AO60</f>
        <v>6.0499173553719015</v>
      </c>
      <c r="AO8" s="1270"/>
      <c r="AP8" s="1269">
        <f>AQ60</f>
        <v>6.0499173553719015</v>
      </c>
      <c r="AQ8" s="1270"/>
      <c r="AR8" s="1269">
        <f>AS60</f>
        <v>6.0499173553719015</v>
      </c>
      <c r="AS8" s="1270"/>
      <c r="AT8" s="1269">
        <f>AU60</f>
        <v>6.0499173553719015</v>
      </c>
      <c r="AU8" s="1270"/>
      <c r="AV8" s="1269">
        <f>AW60</f>
        <v>6.0499173553719015</v>
      </c>
      <c r="AW8" s="1270"/>
      <c r="AX8" s="1269">
        <f>AY60</f>
        <v>6.0499173553719015</v>
      </c>
      <c r="AY8" s="1270"/>
      <c r="AZ8" s="1269">
        <f>BA60</f>
        <v>6.0499173553719015</v>
      </c>
      <c r="BA8" s="1270"/>
      <c r="BB8" s="1269">
        <f>BC60</f>
        <v>6.0499173553719015</v>
      </c>
      <c r="BC8" s="1270"/>
      <c r="BD8" s="1269">
        <f>BE60</f>
        <v>6.0499173553719015</v>
      </c>
      <c r="BE8" s="1270"/>
      <c r="BF8" s="1269">
        <f t="shared" ref="BF8" si="13">BG60</f>
        <v>6.0499173553719015</v>
      </c>
      <c r="BG8" s="1270"/>
      <c r="BH8" s="1269">
        <f t="shared" ref="BH8:BJ8" si="14">BI60</f>
        <v>6.0499173553719015</v>
      </c>
      <c r="BI8" s="1270"/>
      <c r="BJ8" s="1269">
        <f t="shared" si="14"/>
        <v>6.05</v>
      </c>
      <c r="BK8" s="1270"/>
      <c r="BL8" s="1269">
        <f t="shared" ref="BL8" si="15">BM60</f>
        <v>6.05</v>
      </c>
      <c r="BM8" s="1270"/>
      <c r="BN8" s="1269">
        <f t="shared" ref="BN8" si="16">BO60</f>
        <v>6.05</v>
      </c>
      <c r="BO8" s="1270"/>
      <c r="BP8" s="1269">
        <f t="shared" ref="BP8" si="17">BQ60</f>
        <v>6.05</v>
      </c>
      <c r="BQ8" s="1270"/>
      <c r="BR8" s="1269">
        <f t="shared" ref="BR8" si="18">BS60</f>
        <v>6.05</v>
      </c>
      <c r="BS8" s="1270"/>
      <c r="BT8" s="1269">
        <f t="shared" ref="BT8" si="19">BU60</f>
        <v>6.05</v>
      </c>
      <c r="BU8" s="1270"/>
      <c r="BV8" s="1269">
        <f t="shared" ref="BV8" si="20">BW60</f>
        <v>6.05</v>
      </c>
      <c r="BW8" s="1270"/>
      <c r="BX8" s="1269">
        <f t="shared" ref="BX8" si="21">BY60</f>
        <v>6.05</v>
      </c>
      <c r="BY8" s="1270"/>
      <c r="BZ8" s="1269">
        <f t="shared" ref="BZ8" si="22">CA60</f>
        <v>6.0475000000000003</v>
      </c>
      <c r="CA8" s="1270"/>
      <c r="CB8" s="1269">
        <f t="shared" ref="CB8" si="23">CC60</f>
        <v>6.0475000000000003</v>
      </c>
      <c r="CC8" s="1270"/>
      <c r="CD8" s="1269">
        <f t="shared" ref="CD8" si="24">CE60</f>
        <v>6.0475000000000003</v>
      </c>
      <c r="CE8" s="1270"/>
      <c r="CF8" s="1269">
        <f t="shared" ref="CF8" si="25">CG60</f>
        <v>6.0475000000000003</v>
      </c>
      <c r="CG8" s="1270"/>
      <c r="CH8" s="1269">
        <f t="shared" ref="CH8" si="26">CI60</f>
        <v>6.0475000000000003</v>
      </c>
      <c r="CI8" s="1270"/>
      <c r="CJ8" s="1269">
        <f t="shared" ref="CJ8" si="27">CK60</f>
        <v>6.0475000000000003</v>
      </c>
      <c r="CK8" s="1270"/>
      <c r="CL8" s="1269">
        <f t="shared" ref="CL8" si="28">CM60</f>
        <v>6.0475000000000003</v>
      </c>
      <c r="CM8" s="1270"/>
      <c r="CN8" s="1269">
        <f t="shared" ref="CN8" si="29">CO60</f>
        <v>6.0475000000000003</v>
      </c>
      <c r="CO8" s="1270"/>
      <c r="CP8" s="1269">
        <f t="shared" ref="CP8" si="30">CQ60</f>
        <v>6.0475000000000003</v>
      </c>
      <c r="CQ8" s="1270"/>
      <c r="CR8" s="1269">
        <f t="shared" ref="CR8" si="31">CS60</f>
        <v>6.0475000000000003</v>
      </c>
      <c r="CS8" s="1270"/>
      <c r="CT8" s="1269">
        <f t="shared" ref="CT8" si="32">CU60</f>
        <v>6.0475000000000003</v>
      </c>
      <c r="CU8" s="1270"/>
      <c r="CV8" s="1269">
        <f>CW60</f>
        <v>6.0375697684982867</v>
      </c>
      <c r="CW8" s="1270"/>
      <c r="CX8" s="1269">
        <f>CY60</f>
        <v>6.0499173553719015</v>
      </c>
      <c r="CY8" s="1270"/>
      <c r="CZ8" s="1269">
        <f>DA60</f>
        <v>6.0499173553719015</v>
      </c>
      <c r="DA8" s="1270"/>
      <c r="DB8" s="1269">
        <f>DC60</f>
        <v>6.0499173553719015</v>
      </c>
      <c r="DC8" s="1270"/>
      <c r="DD8" s="1269">
        <f>DE60</f>
        <v>6.0429664428105285</v>
      </c>
      <c r="DE8" s="1270"/>
      <c r="DF8" s="1269">
        <f>DG60</f>
        <v>6.0499173553719015</v>
      </c>
      <c r="DG8" s="1270"/>
      <c r="DH8" s="1269">
        <f>DI60</f>
        <v>6.5521250000000002</v>
      </c>
      <c r="DI8" s="1270"/>
      <c r="DJ8" s="1269">
        <f>DK60</f>
        <v>6.0521486053719018</v>
      </c>
      <c r="DK8" s="1270"/>
    </row>
    <row r="9" spans="1:120" s="7" customFormat="1" ht="39" customHeigh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$0.50/ctn</v>
      </c>
      <c r="G9" s="1191"/>
      <c r="H9" s="1190" t="str">
        <f>CONCATENATE("TP $",TEXT(I57,"#,##0.00"),"/ctn")</f>
        <v>TP $0.40/ctn</v>
      </c>
      <c r="I9" s="1191"/>
      <c r="J9" s="1190" t="str">
        <f>CONCATENATE("TP $",TEXT(K57,"#,##0.00"),"/ctn")</f>
        <v>TP $0.40/ctn</v>
      </c>
      <c r="K9" s="1191"/>
      <c r="L9" s="1190" t="str">
        <f>CONCATENATE("TP $",TEXT(M57,"#,##0.00"),"/ctn")</f>
        <v>TP $0.40/ctn</v>
      </c>
      <c r="M9" s="1191"/>
      <c r="N9" s="1271" t="str">
        <f>CONCATENATE("TP $",TEXT(O57,"#,##0.00"),"/ctn")</f>
        <v>TP $0.78/ctn</v>
      </c>
      <c r="O9" s="1272"/>
      <c r="P9" s="1271" t="str">
        <f>CONCATENATE("TP $",TEXT(Q57,"#,##0.00"),"/ctn")</f>
        <v>TP $0.80/ctn</v>
      </c>
      <c r="Q9" s="1272"/>
      <c r="R9" s="1271" t="str">
        <f>CONCATENATE("TP $",TEXT(S57,"#,##0.00"),"/ctn")</f>
        <v>TP $0.80/ctn</v>
      </c>
      <c r="S9" s="1272"/>
      <c r="T9" s="1271" t="str">
        <f>CONCATENATE("TP $",TEXT(U57,"#,##0.00"),"/ctn")</f>
        <v>TP $0.80/ctn</v>
      </c>
      <c r="U9" s="1272"/>
      <c r="V9" s="1271" t="str">
        <f>CONCATENATE("TP $",TEXT(W57,"#,##0.00"),"/ctn")</f>
        <v>TP $0.80/ctn</v>
      </c>
      <c r="W9" s="1272"/>
      <c r="X9" s="1271" t="str">
        <f>CONCATENATE("TP $",TEXT(Y57,"#,##0.00"),"/ctn")</f>
        <v>TP $0.80/ctn</v>
      </c>
      <c r="Y9" s="1272"/>
      <c r="Z9" s="1271" t="str">
        <f>CONCATENATE("TP $",TEXT(AA57,"#,##0.00"),"/ctn")</f>
        <v>TP $0.80/ctn</v>
      </c>
      <c r="AA9" s="1272"/>
      <c r="AB9" s="1271" t="str">
        <f>CONCATENATE("TP $",TEXT(AC57,"#,##0.00"),"/ctn")</f>
        <v>TP $0.80/ctn</v>
      </c>
      <c r="AC9" s="1272"/>
      <c r="AD9" s="1271" t="str">
        <f>CONCATENATE("TP $",TEXT(AE57,"#,##0.00"),"/ctn")</f>
        <v>TP $0.80/ctn</v>
      </c>
      <c r="AE9" s="1272"/>
      <c r="AF9" s="1271" t="str">
        <f>CONCATENATE("TP $",TEXT(AG57,"#,##0.00"),"/ctn")</f>
        <v>TP $0.80/ctn</v>
      </c>
      <c r="AG9" s="1272"/>
      <c r="AH9" s="1271" t="str">
        <f>CONCATENATE("TP $",TEXT(AI57,"#,##0.00"),"/ctn")</f>
        <v>TP $0.80/ctn</v>
      </c>
      <c r="AI9" s="1272"/>
      <c r="AJ9" s="1271" t="str">
        <f>CONCATENATE("TP $",TEXT(AK57,"#,##0.00"),"/ctn")</f>
        <v>TP $0.80/ctn</v>
      </c>
      <c r="AK9" s="1272"/>
      <c r="AL9" s="1271" t="str">
        <f>CONCATENATE("TP $",TEXT(AM57,"#,##0.00"),"/ctn")</f>
        <v>TP $0.80/ctn</v>
      </c>
      <c r="AM9" s="1272"/>
      <c r="AN9" s="1271" t="str">
        <f>CONCATENATE("TP $",TEXT(AO57,"#,##0.00"),"/ctn")</f>
        <v>TP $0.80/ctn</v>
      </c>
      <c r="AO9" s="1272"/>
      <c r="AP9" s="1271" t="str">
        <f>CONCATENATE("TP $",TEXT(AQ57,"#,##0.00"),"/ctn")</f>
        <v>TP $0.80/ctn</v>
      </c>
      <c r="AQ9" s="1272"/>
      <c r="AR9" s="1271" t="str">
        <f>CONCATENATE("TP $",TEXT(AS57,"#,##0.00"),"/ctn")</f>
        <v>TP $0.80/ctn</v>
      </c>
      <c r="AS9" s="1272"/>
      <c r="AT9" s="1271" t="str">
        <f>CONCATENATE("TP $",TEXT(AU57,"#,##0.00"),"/ctn")</f>
        <v>TP $0.80/ctn</v>
      </c>
      <c r="AU9" s="1272"/>
      <c r="AV9" s="1271" t="str">
        <f>CONCATENATE("TP $",TEXT(AW57,"#,##0.00"),"/ctn")</f>
        <v>TP $0.80/ctn</v>
      </c>
      <c r="AW9" s="1272"/>
      <c r="AX9" s="1271" t="str">
        <f>CONCATENATE("TP $",TEXT(AY57,"#,##0.00"),"/ctn")</f>
        <v>TP $0.80/ctn</v>
      </c>
      <c r="AY9" s="1272"/>
      <c r="AZ9" s="1271" t="str">
        <f>CONCATENATE("TP $",TEXT(BA57,"#,##0.00"),"/ctn")</f>
        <v>TP $0.80/ctn</v>
      </c>
      <c r="BA9" s="1272"/>
      <c r="BB9" s="1271" t="str">
        <f>CONCATENATE("TP $",TEXT(BC57,"#,##0.00"),"/ctn")</f>
        <v>TP $0.80/ctn</v>
      </c>
      <c r="BC9" s="1272"/>
      <c r="BD9" s="1271" t="str">
        <f>CONCATENATE("TP $",TEXT(BE57,"#,##0.00"),"/ctn")</f>
        <v>TP $0.80/ctn</v>
      </c>
      <c r="BE9" s="1272"/>
      <c r="BF9" s="1271" t="str">
        <f t="shared" ref="BF9" si="33">CONCATENATE("TP $",TEXT(BG57,"#,##0.00"),"/ctn")</f>
        <v>TP $0.80/ctn</v>
      </c>
      <c r="BG9" s="1272"/>
      <c r="BH9" s="1271" t="str">
        <f t="shared" ref="BH9:BJ9" si="34">CONCATENATE("TP $",TEXT(BI57,"#,##0.00"),"/ctn")</f>
        <v>TP $0.80/ctn</v>
      </c>
      <c r="BI9" s="1272"/>
      <c r="BJ9" s="1271" t="str">
        <f t="shared" si="34"/>
        <v>TP $0.80/ctn</v>
      </c>
      <c r="BK9" s="1272"/>
      <c r="BL9" s="1271" t="str">
        <f t="shared" ref="BL9" si="35">CONCATENATE("TP $",TEXT(BM57,"#,##0.00"),"/ctn")</f>
        <v>TP $0.80/ctn</v>
      </c>
      <c r="BM9" s="1272"/>
      <c r="BN9" s="1271" t="str">
        <f t="shared" ref="BN9" si="36">CONCATENATE("TP $",TEXT(BO57,"#,##0.00"),"/ctn")</f>
        <v>TP $0.80/ctn</v>
      </c>
      <c r="BO9" s="1272"/>
      <c r="BP9" s="1271" t="str">
        <f t="shared" ref="BP9" si="37">CONCATENATE("TP $",TEXT(BQ57,"#,##0.00"),"/ctn")</f>
        <v>TP $0.80/ctn</v>
      </c>
      <c r="BQ9" s="1272"/>
      <c r="BR9" s="1271" t="str">
        <f t="shared" ref="BR9" si="38">CONCATENATE("TP $",TEXT(BS57,"#,##0.00"),"/ctn")</f>
        <v>TP $0.80/ctn</v>
      </c>
      <c r="BS9" s="1272"/>
      <c r="BT9" s="1271" t="str">
        <f t="shared" ref="BT9" si="39">CONCATENATE("TP $",TEXT(BU57,"#,##0.00"),"/ctn")</f>
        <v>TP $0.80/ctn</v>
      </c>
      <c r="BU9" s="1272"/>
      <c r="BV9" s="1271" t="str">
        <f t="shared" ref="BV9" si="40">CONCATENATE("TP $",TEXT(BW57,"#,##0.00"),"/ctn")</f>
        <v>TP $0.80/ctn</v>
      </c>
      <c r="BW9" s="1272"/>
      <c r="BX9" s="1271" t="str">
        <f t="shared" ref="BX9" si="41">CONCATENATE("TP $",TEXT(BY57,"#,##0.00"),"/ctn")</f>
        <v>TP $0.80/ctn</v>
      </c>
      <c r="BY9" s="1272"/>
      <c r="BZ9" s="1271" t="str">
        <f t="shared" ref="BZ9" si="42">CONCATENATE("TP $",TEXT(CA57,"#,##0.00"),"/ctn")</f>
        <v>TP $0.80/ctn</v>
      </c>
      <c r="CA9" s="1272"/>
      <c r="CB9" s="1271" t="str">
        <f t="shared" ref="CB9" si="43">CONCATENATE("TP $",TEXT(CC57,"#,##0.00"),"/ctn")</f>
        <v>TP $0.80/ctn</v>
      </c>
      <c r="CC9" s="1272"/>
      <c r="CD9" s="1271" t="str">
        <f t="shared" ref="CD9" si="44">CONCATENATE("TP $",TEXT(CE57,"#,##0.00"),"/ctn")</f>
        <v>TP $0.80/ctn</v>
      </c>
      <c r="CE9" s="1272"/>
      <c r="CF9" s="1271" t="str">
        <f t="shared" ref="CF9" si="45">CONCATENATE("TP $",TEXT(CG57,"#,##0.00"),"/ctn")</f>
        <v>TP $0.80/ctn</v>
      </c>
      <c r="CG9" s="1272"/>
      <c r="CH9" s="1271" t="str">
        <f t="shared" ref="CH9" si="46">CONCATENATE("TP $",TEXT(CI57,"#,##0.00"),"/ctn")</f>
        <v>TP $0.80/ctn</v>
      </c>
      <c r="CI9" s="1272"/>
      <c r="CJ9" s="1271" t="str">
        <f t="shared" ref="CJ9" si="47">CONCATENATE("TP $",TEXT(CK57,"#,##0.00"),"/ctn")</f>
        <v>TP $0.80/ctn</v>
      </c>
      <c r="CK9" s="1272"/>
      <c r="CL9" s="1271" t="str">
        <f t="shared" ref="CL9" si="48">CONCATENATE("TP $",TEXT(CM57,"#,##0.00"),"/ctn")</f>
        <v>TP $0.80/ctn</v>
      </c>
      <c r="CM9" s="1272"/>
      <c r="CN9" s="1271" t="str">
        <f t="shared" ref="CN9" si="49">CONCATENATE("TP $",TEXT(CO57,"#,##0.00"),"/ctn")</f>
        <v>TP $0.80/ctn</v>
      </c>
      <c r="CO9" s="1272"/>
      <c r="CP9" s="1271" t="str">
        <f t="shared" ref="CP9" si="50">CONCATENATE("TP $",TEXT(CQ57,"#,##0.00"),"/ctn")</f>
        <v>TP $0.80/ctn</v>
      </c>
      <c r="CQ9" s="1272"/>
      <c r="CR9" s="1271" t="str">
        <f t="shared" ref="CR9" si="51">CONCATENATE("TP $",TEXT(CS57,"#,##0.00"),"/ctn")</f>
        <v>TP $0.80/ctn</v>
      </c>
      <c r="CS9" s="1272"/>
      <c r="CT9" s="1271" t="str">
        <f t="shared" ref="CT9" si="52">CONCATENATE("TP $",TEXT(CU57,"#,##0.00"),"/ctn")</f>
        <v>TP $0.80/ctn</v>
      </c>
      <c r="CU9" s="1272"/>
      <c r="CV9" s="1271" t="str">
        <f>CONCATENATE("TP $",TEXT(CW57,"#,##0.00"),"/ctn")</f>
        <v>TP $0.79/ctn</v>
      </c>
      <c r="CW9" s="1272"/>
      <c r="CX9" s="1271" t="str">
        <f>CONCATENATE("TP $",TEXT(CY57,"#,##0.00"),"/ctn")</f>
        <v>TP $0.80/ctn</v>
      </c>
      <c r="CY9" s="1272"/>
      <c r="CZ9" s="1271" t="str">
        <f>CONCATENATE("TP $",TEXT(DA57,"#,##0.00"),"/ctn")</f>
        <v>TP $0.80/ctn</v>
      </c>
      <c r="DA9" s="1272"/>
      <c r="DB9" s="1271" t="str">
        <f>CONCATENATE("TP $",TEXT(DC57,"#,##0.00"),"/ctn")</f>
        <v>TP $0.80/ctn</v>
      </c>
      <c r="DC9" s="1272"/>
      <c r="DD9" s="1271" t="str">
        <f>CONCATENATE("TP $",TEXT(DE57,"#,##0.00"),"/ctn")</f>
        <v>TP $0.79/ctn</v>
      </c>
      <c r="DE9" s="1272"/>
      <c r="DF9" s="1271" t="str">
        <f>CONCATENATE("TP $",TEXT(DG57,"#,##0.00"),"/ctn")</f>
        <v>TP $0.80/ctn</v>
      </c>
      <c r="DG9" s="1272"/>
      <c r="DH9" s="1271" t="str">
        <f>CONCATENATE("TP $",TEXT(DI57,"#,##0.00"),"/ctn")</f>
        <v>TP $1.05/ctn</v>
      </c>
      <c r="DI9" s="1272"/>
      <c r="DJ9" s="1271" t="str">
        <f>CONCATENATE("TP $",TEXT(DK57,"#,##0.00"),"/ctn")</f>
        <v>TP $0.80/ctn</v>
      </c>
      <c r="DK9" s="1272"/>
    </row>
    <row r="10" spans="1:120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>RIGHT(J2,2)</f>
        <v>40</v>
      </c>
      <c r="K10" s="253" t="str">
        <f>+J10</f>
        <v>40</v>
      </c>
      <c r="L10" s="252" t="str">
        <f>RIGHT(L2,2)</f>
        <v>40</v>
      </c>
      <c r="M10" s="253" t="str">
        <f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348" t="str">
        <f>RIGHT(AF2,2)</f>
        <v>40</v>
      </c>
      <c r="AG10" s="349" t="str">
        <f>+AF10</f>
        <v>40</v>
      </c>
      <c r="AH10" s="348" t="str">
        <f>RIGHT(AH2,2)</f>
        <v>40</v>
      </c>
      <c r="AI10" s="349" t="str">
        <f>+AH10</f>
        <v>40</v>
      </c>
      <c r="AJ10" s="348" t="str">
        <f>RIGHT(AJ2,2)</f>
        <v>40</v>
      </c>
      <c r="AK10" s="349" t="str">
        <f>+AJ10</f>
        <v>40</v>
      </c>
      <c r="AL10" s="348" t="str">
        <f>RIGHT(AL2,2)</f>
        <v>40</v>
      </c>
      <c r="AM10" s="349" t="str">
        <f>+AL10</f>
        <v>40</v>
      </c>
      <c r="AN10" s="348" t="str">
        <f>RIGHT(AN2,2)</f>
        <v>40</v>
      </c>
      <c r="AO10" s="349" t="str">
        <f>+AN10</f>
        <v>40</v>
      </c>
      <c r="AP10" s="348" t="str">
        <f>RIGHT(AP2,2)</f>
        <v>40</v>
      </c>
      <c r="AQ10" s="349" t="str">
        <f>+AP10</f>
        <v>40</v>
      </c>
      <c r="AR10" s="348" t="str">
        <f>RIGHT(AR2,2)</f>
        <v>40</v>
      </c>
      <c r="AS10" s="349" t="str">
        <f>+AR10</f>
        <v>40</v>
      </c>
      <c r="AT10" s="348" t="str">
        <f>RIGHT(AT2,2)</f>
        <v>40</v>
      </c>
      <c r="AU10" s="349" t="str">
        <f>+AT10</f>
        <v>40</v>
      </c>
      <c r="AV10" s="348" t="str">
        <f>RIGHT(AV2,2)</f>
        <v>40</v>
      </c>
      <c r="AW10" s="349" t="str">
        <f>+AV10</f>
        <v>40</v>
      </c>
      <c r="AX10" s="348" t="str">
        <f>RIGHT(AX2,2)</f>
        <v>40</v>
      </c>
      <c r="AY10" s="349" t="str">
        <f>+AX10</f>
        <v>40</v>
      </c>
      <c r="AZ10" s="348" t="str">
        <f>RIGHT(AZ2,2)</f>
        <v>40</v>
      </c>
      <c r="BA10" s="349" t="str">
        <f>+AZ10</f>
        <v>40</v>
      </c>
      <c r="BB10" s="348" t="str">
        <f>RIGHT(BB2,2)</f>
        <v>40</v>
      </c>
      <c r="BC10" s="349" t="str">
        <f>+BB10</f>
        <v>40</v>
      </c>
      <c r="BD10" s="348" t="str">
        <f>RIGHT(BD2,2)</f>
        <v>40</v>
      </c>
      <c r="BE10" s="349" t="str">
        <f>+BD10</f>
        <v>40</v>
      </c>
      <c r="BF10" s="348" t="str">
        <f t="shared" ref="BF10" si="53">RIGHT(BF2,2)</f>
        <v>40</v>
      </c>
      <c r="BG10" s="349" t="str">
        <f t="shared" ref="BG10" si="54">+BF10</f>
        <v>40</v>
      </c>
      <c r="BH10" s="348" t="str">
        <f t="shared" ref="BH10:BJ10" si="55">RIGHT(BH2,2)</f>
        <v>40</v>
      </c>
      <c r="BI10" s="349" t="str">
        <f t="shared" ref="BI10:BK10" si="56">+BH10</f>
        <v>40</v>
      </c>
      <c r="BJ10" s="348" t="str">
        <f t="shared" si="55"/>
        <v>40</v>
      </c>
      <c r="BK10" s="349" t="str">
        <f t="shared" si="56"/>
        <v>40</v>
      </c>
      <c r="BL10" s="348" t="str">
        <f t="shared" ref="BL10" si="57">RIGHT(BL2,2)</f>
        <v>40</v>
      </c>
      <c r="BM10" s="349" t="str">
        <f t="shared" ref="BM10" si="58">+BL10</f>
        <v>40</v>
      </c>
      <c r="BN10" s="348" t="str">
        <f t="shared" ref="BN10" si="59">RIGHT(BN2,2)</f>
        <v>40</v>
      </c>
      <c r="BO10" s="349" t="str">
        <f t="shared" ref="BO10" si="60">+BN10</f>
        <v>40</v>
      </c>
      <c r="BP10" s="348" t="str">
        <f t="shared" ref="BP10:BR10" si="61">RIGHT(BP2,2)</f>
        <v>40</v>
      </c>
      <c r="BQ10" s="349" t="str">
        <f t="shared" ref="BQ10" si="62">+BP10</f>
        <v>40</v>
      </c>
      <c r="BR10" s="348" t="str">
        <f t="shared" si="61"/>
        <v>40</v>
      </c>
      <c r="BS10" s="349" t="str">
        <f t="shared" ref="BS10" si="63">+BR10</f>
        <v>40</v>
      </c>
      <c r="BT10" s="348" t="str">
        <f t="shared" ref="BT10:BV10" si="64">RIGHT(BT2,2)</f>
        <v>40</v>
      </c>
      <c r="BU10" s="349" t="str">
        <f t="shared" ref="BU10" si="65">+BT10</f>
        <v>40</v>
      </c>
      <c r="BV10" s="348" t="str">
        <f t="shared" si="64"/>
        <v>40</v>
      </c>
      <c r="BW10" s="349" t="str">
        <f t="shared" ref="BW10" si="66">+BV10</f>
        <v>40</v>
      </c>
      <c r="BX10" s="348" t="str">
        <f t="shared" ref="BX10:BZ10" si="67">RIGHT(BX2,2)</f>
        <v>40</v>
      </c>
      <c r="BY10" s="349" t="str">
        <f t="shared" ref="BY10" si="68">+BX10</f>
        <v>40</v>
      </c>
      <c r="BZ10" s="348" t="str">
        <f t="shared" si="67"/>
        <v>40</v>
      </c>
      <c r="CA10" s="349" t="str">
        <f t="shared" ref="CA10" si="69">+BZ10</f>
        <v>40</v>
      </c>
      <c r="CB10" s="348" t="str">
        <f t="shared" ref="CB10:CD10" si="70">RIGHT(CB2,2)</f>
        <v>40</v>
      </c>
      <c r="CC10" s="349" t="str">
        <f t="shared" ref="CC10" si="71">+CB10</f>
        <v>40</v>
      </c>
      <c r="CD10" s="348" t="str">
        <f t="shared" si="70"/>
        <v>40</v>
      </c>
      <c r="CE10" s="349" t="str">
        <f t="shared" ref="CE10" si="72">+CD10</f>
        <v>40</v>
      </c>
      <c r="CF10" s="348" t="str">
        <f t="shared" ref="CF10:CH10" si="73">RIGHT(CF2,2)</f>
        <v>40</v>
      </c>
      <c r="CG10" s="349" t="str">
        <f t="shared" ref="CG10" si="74">+CF10</f>
        <v>40</v>
      </c>
      <c r="CH10" s="348" t="str">
        <f t="shared" si="73"/>
        <v>40</v>
      </c>
      <c r="CI10" s="349" t="str">
        <f t="shared" ref="CI10" si="75">+CH10</f>
        <v>40</v>
      </c>
      <c r="CJ10" s="348" t="str">
        <f t="shared" ref="CJ10:CL10" si="76">RIGHT(CJ2,2)</f>
        <v>40</v>
      </c>
      <c r="CK10" s="349" t="str">
        <f t="shared" ref="CK10" si="77">+CJ10</f>
        <v>40</v>
      </c>
      <c r="CL10" s="348" t="str">
        <f t="shared" si="76"/>
        <v>40</v>
      </c>
      <c r="CM10" s="349" t="str">
        <f t="shared" ref="CM10" si="78">+CL10</f>
        <v>40</v>
      </c>
      <c r="CN10" s="348" t="str">
        <f t="shared" ref="CN10" si="79">RIGHT(CN2,2)</f>
        <v>40</v>
      </c>
      <c r="CO10" s="349" t="str">
        <f t="shared" ref="CO10" si="80">+CN10</f>
        <v>40</v>
      </c>
      <c r="CP10" s="348" t="str">
        <f t="shared" ref="CP10" si="81">RIGHT(CP2,2)</f>
        <v>40</v>
      </c>
      <c r="CQ10" s="349" t="str">
        <f t="shared" ref="CQ10" si="82">+CP10</f>
        <v>40</v>
      </c>
      <c r="CR10" s="348" t="str">
        <f t="shared" ref="CR10:CT10" si="83">RIGHT(CR2,2)</f>
        <v>40</v>
      </c>
      <c r="CS10" s="349" t="str">
        <f t="shared" ref="CS10" si="84">+CR10</f>
        <v>40</v>
      </c>
      <c r="CT10" s="348" t="str">
        <f t="shared" si="83"/>
        <v>40</v>
      </c>
      <c r="CU10" s="349" t="str">
        <f t="shared" ref="CU10" si="85">+CT10</f>
        <v>40</v>
      </c>
      <c r="CV10" s="348" t="str">
        <f>RIGHT(CV2,2)</f>
        <v>40</v>
      </c>
      <c r="CW10" s="349" t="str">
        <f>+CV10</f>
        <v>40</v>
      </c>
      <c r="CX10" s="348" t="str">
        <f>RIGHT(CX2,2)</f>
        <v>40</v>
      </c>
      <c r="CY10" s="349" t="str">
        <f>+CX10</f>
        <v>40</v>
      </c>
      <c r="CZ10" s="348" t="str">
        <f>RIGHT(CZ2,2)</f>
        <v>40</v>
      </c>
      <c r="DA10" s="349" t="str">
        <f>+CZ10</f>
        <v>40</v>
      </c>
      <c r="DB10" s="348" t="str">
        <f>RIGHT(DB2,2)</f>
        <v>40</v>
      </c>
      <c r="DC10" s="349" t="str">
        <f>+DB10</f>
        <v>40</v>
      </c>
      <c r="DD10" s="348" t="str">
        <f>RIGHT(DD2,2)</f>
        <v>40</v>
      </c>
      <c r="DE10" s="349" t="str">
        <f>+DD10</f>
        <v>40</v>
      </c>
      <c r="DF10" s="348" t="str">
        <f>RIGHT(DF2,2)</f>
        <v>40</v>
      </c>
      <c r="DG10" s="349" t="str">
        <f>+DF10</f>
        <v>40</v>
      </c>
      <c r="DH10" s="348" t="str">
        <f>RIGHT(DH2,2)</f>
        <v>40</v>
      </c>
      <c r="DI10" s="349" t="str">
        <f>+DH10</f>
        <v>40</v>
      </c>
      <c r="DJ10" s="348" t="str">
        <f>RIGHT(DJ2,2)</f>
        <v>40</v>
      </c>
      <c r="DK10" s="349" t="str">
        <f>+DJ10</f>
        <v>40</v>
      </c>
    </row>
    <row r="11" spans="1:120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21" t="s">
        <v>25</v>
      </c>
      <c r="BY11" s="22" t="s">
        <v>26</v>
      </c>
      <c r="BZ11" s="21" t="s">
        <v>25</v>
      </c>
      <c r="CA11" s="22" t="s">
        <v>26</v>
      </c>
      <c r="CB11" s="21" t="s">
        <v>25</v>
      </c>
      <c r="CC11" s="22" t="s">
        <v>26</v>
      </c>
      <c r="CD11" s="21" t="s">
        <v>25</v>
      </c>
      <c r="CE11" s="22" t="s">
        <v>26</v>
      </c>
      <c r="CF11" s="21" t="s">
        <v>25</v>
      </c>
      <c r="CG11" s="22" t="s">
        <v>26</v>
      </c>
      <c r="CH11" s="21" t="s">
        <v>25</v>
      </c>
      <c r="CI11" s="22" t="s">
        <v>26</v>
      </c>
      <c r="CJ11" s="21" t="s">
        <v>25</v>
      </c>
      <c r="CK11" s="22" t="s">
        <v>26</v>
      </c>
      <c r="CL11" s="21" t="s">
        <v>25</v>
      </c>
      <c r="CM11" s="22" t="s">
        <v>26</v>
      </c>
      <c r="CN11" s="21" t="s">
        <v>25</v>
      </c>
      <c r="CO11" s="22" t="s">
        <v>26</v>
      </c>
      <c r="CP11" s="21" t="s">
        <v>25</v>
      </c>
      <c r="CQ11" s="22" t="s">
        <v>26</v>
      </c>
      <c r="CR11" s="21" t="s">
        <v>25</v>
      </c>
      <c r="CS11" s="22" t="s">
        <v>26</v>
      </c>
      <c r="CT11" s="21" t="s">
        <v>25</v>
      </c>
      <c r="CU11" s="22" t="s">
        <v>26</v>
      </c>
      <c r="CV11" s="21" t="s">
        <v>25</v>
      </c>
      <c r="CW11" s="22" t="s">
        <v>26</v>
      </c>
      <c r="CX11" s="21" t="s">
        <v>25</v>
      </c>
      <c r="CY11" s="22" t="s">
        <v>26</v>
      </c>
      <c r="CZ11" s="21" t="s">
        <v>25</v>
      </c>
      <c r="DA11" s="22" t="s">
        <v>26</v>
      </c>
      <c r="DB11" s="21" t="s">
        <v>25</v>
      </c>
      <c r="DC11" s="22" t="s">
        <v>26</v>
      </c>
      <c r="DD11" s="21" t="s">
        <v>25</v>
      </c>
      <c r="DE11" s="22" t="s">
        <v>26</v>
      </c>
      <c r="DF11" s="21" t="s">
        <v>25</v>
      </c>
      <c r="DG11" s="22" t="s">
        <v>26</v>
      </c>
      <c r="DH11" s="21" t="s">
        <v>25</v>
      </c>
      <c r="DI11" s="22" t="s">
        <v>26</v>
      </c>
      <c r="DJ11" s="21" t="s">
        <v>25</v>
      </c>
      <c r="DK11" s="22" t="s">
        <v>26</v>
      </c>
      <c r="DP11" s="4">
        <v>435550</v>
      </c>
    </row>
    <row r="12" spans="1:120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350">
        <v>4068.66</v>
      </c>
      <c r="AG12" s="351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350">
        <v>4068.66</v>
      </c>
      <c r="BY12" s="351"/>
      <c r="BZ12" s="350">
        <v>4068.66</v>
      </c>
      <c r="CA12" s="351"/>
      <c r="CB12" s="350">
        <v>4068.66</v>
      </c>
      <c r="CC12" s="351"/>
      <c r="CD12" s="350">
        <v>4068.66</v>
      </c>
      <c r="CE12" s="351"/>
      <c r="CF12" s="350">
        <v>4068.66</v>
      </c>
      <c r="CG12" s="351"/>
      <c r="CH12" s="350">
        <v>4068.66</v>
      </c>
      <c r="CI12" s="351"/>
      <c r="CJ12" s="350">
        <v>4068.66</v>
      </c>
      <c r="CK12" s="351"/>
      <c r="CL12" s="350">
        <v>4068.66</v>
      </c>
      <c r="CM12" s="351"/>
      <c r="CN12" s="350">
        <v>4068.66</v>
      </c>
      <c r="CO12" s="351"/>
      <c r="CP12" s="350">
        <v>4068.66</v>
      </c>
      <c r="CQ12" s="351"/>
      <c r="CR12" s="350">
        <v>4068.66</v>
      </c>
      <c r="CS12" s="351"/>
      <c r="CT12" s="350">
        <v>4068.66</v>
      </c>
      <c r="CU12" s="351"/>
      <c r="CV12" s="350">
        <v>4068.66</v>
      </c>
      <c r="CW12" s="351"/>
      <c r="CX12" s="350">
        <v>4068.66</v>
      </c>
      <c r="CY12" s="351"/>
      <c r="CZ12" s="350">
        <v>4068.66</v>
      </c>
      <c r="DA12" s="351"/>
      <c r="DB12" s="350">
        <v>4068.66</v>
      </c>
      <c r="DC12" s="351"/>
      <c r="DD12" s="350">
        <v>4068.66</v>
      </c>
      <c r="DE12" s="351"/>
      <c r="DF12" s="350">
        <v>4068.66</v>
      </c>
      <c r="DG12" s="351"/>
      <c r="DH12" s="350">
        <v>4068.66</v>
      </c>
      <c r="DI12" s="351"/>
      <c r="DJ12" s="350">
        <v>4068.66</v>
      </c>
      <c r="DK12" s="351"/>
    </row>
    <row r="13" spans="1:120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352"/>
      <c r="AG13" s="353"/>
      <c r="AH13" s="352"/>
      <c r="AI13" s="353"/>
      <c r="AJ13" s="352"/>
      <c r="AK13" s="353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352"/>
      <c r="BY13" s="353"/>
      <c r="BZ13" s="352"/>
      <c r="CA13" s="353"/>
      <c r="CB13" s="352"/>
      <c r="CC13" s="353"/>
      <c r="CD13" s="352"/>
      <c r="CE13" s="353"/>
      <c r="CF13" s="352"/>
      <c r="CG13" s="353"/>
      <c r="CH13" s="352"/>
      <c r="CI13" s="353"/>
      <c r="CJ13" s="352"/>
      <c r="CK13" s="353"/>
      <c r="CL13" s="352"/>
      <c r="CM13" s="353"/>
      <c r="CN13" s="352"/>
      <c r="CO13" s="353"/>
      <c r="CP13" s="352"/>
      <c r="CQ13" s="353"/>
      <c r="CR13" s="352"/>
      <c r="CS13" s="353"/>
      <c r="CT13" s="352"/>
      <c r="CU13" s="353"/>
      <c r="CV13" s="352"/>
      <c r="CW13" s="353"/>
      <c r="CX13" s="352"/>
      <c r="CY13" s="353"/>
      <c r="CZ13" s="352"/>
      <c r="DA13" s="353"/>
      <c r="DB13" s="352"/>
      <c r="DC13" s="353"/>
      <c r="DD13" s="352"/>
      <c r="DE13" s="353"/>
      <c r="DF13" s="352"/>
      <c r="DG13" s="353"/>
      <c r="DH13" s="352"/>
      <c r="DI13" s="353"/>
      <c r="DJ13" s="352"/>
      <c r="DK13" s="353"/>
    </row>
    <row r="14" spans="1:120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354"/>
      <c r="AG14" s="355"/>
      <c r="AH14" s="354"/>
      <c r="AI14" s="355"/>
      <c r="AJ14" s="354"/>
      <c r="AK14" s="355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354"/>
      <c r="BY14" s="355"/>
      <c r="BZ14" s="354"/>
      <c r="CA14" s="355"/>
      <c r="CB14" s="354"/>
      <c r="CC14" s="355"/>
      <c r="CD14" s="354"/>
      <c r="CE14" s="355"/>
      <c r="CF14" s="354"/>
      <c r="CG14" s="355"/>
      <c r="CH14" s="354"/>
      <c r="CI14" s="355"/>
      <c r="CJ14" s="354"/>
      <c r="CK14" s="355"/>
      <c r="CL14" s="354"/>
      <c r="CM14" s="355"/>
      <c r="CN14" s="354"/>
      <c r="CO14" s="355"/>
      <c r="CP14" s="354"/>
      <c r="CQ14" s="355"/>
      <c r="CR14" s="354"/>
      <c r="CS14" s="355"/>
      <c r="CT14" s="354"/>
      <c r="CU14" s="355"/>
      <c r="CV14" s="354"/>
      <c r="CW14" s="355"/>
      <c r="CX14" s="354"/>
      <c r="CY14" s="355"/>
      <c r="CZ14" s="354"/>
      <c r="DA14" s="355"/>
      <c r="DB14" s="354"/>
      <c r="DC14" s="355"/>
      <c r="DD14" s="354"/>
      <c r="DE14" s="355"/>
      <c r="DF14" s="354"/>
      <c r="DG14" s="355"/>
      <c r="DH14" s="354"/>
      <c r="DI14" s="355"/>
      <c r="DJ14" s="354"/>
      <c r="DK14" s="355"/>
    </row>
    <row r="15" spans="1:120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>+J15/J12</f>
        <v>0.24578116628079025</v>
      </c>
      <c r="L15" s="31">
        <v>1000</v>
      </c>
      <c r="M15" s="32">
        <f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1000</v>
      </c>
      <c r="Y15" s="32">
        <f>+X15/X12</f>
        <v>0.24578116628079025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31">
        <v>1000</v>
      </c>
      <c r="AG15" s="32">
        <f>+AF15/AF12</f>
        <v>0.24578116628079025</v>
      </c>
      <c r="AH15" s="31">
        <v>1000</v>
      </c>
      <c r="AI15" s="32">
        <f>+AH15/AH12</f>
        <v>0.24578116628079025</v>
      </c>
      <c r="AJ15" s="31">
        <v>1000</v>
      </c>
      <c r="AK15" s="32">
        <f>+AJ15/AJ12</f>
        <v>0.24578116628079025</v>
      </c>
      <c r="AL15" s="31">
        <v>1000</v>
      </c>
      <c r="AM15" s="32">
        <f>+AL15/AL12</f>
        <v>0.24578116628079025</v>
      </c>
      <c r="AN15" s="31">
        <v>1000</v>
      </c>
      <c r="AO15" s="32">
        <f>+AN15/AN12</f>
        <v>0.24578116628079025</v>
      </c>
      <c r="AP15" s="31">
        <v>1000</v>
      </c>
      <c r="AQ15" s="32">
        <f>+AP15/AP12</f>
        <v>0.24578116628079025</v>
      </c>
      <c r="AR15" s="31">
        <v>1000</v>
      </c>
      <c r="AS15" s="32">
        <f>+AR15/AR12</f>
        <v>0.24578116628079025</v>
      </c>
      <c r="AT15" s="31">
        <v>1000</v>
      </c>
      <c r="AU15" s="32">
        <f>+AT15/AT12</f>
        <v>0.24578116628079025</v>
      </c>
      <c r="AV15" s="31">
        <v>1000</v>
      </c>
      <c r="AW15" s="32">
        <f>+AV15/AV12</f>
        <v>0.24578116628079025</v>
      </c>
      <c r="AX15" s="31">
        <v>1000</v>
      </c>
      <c r="AY15" s="32">
        <f>+AX15/AX12</f>
        <v>0.24578116628079025</v>
      </c>
      <c r="AZ15" s="31">
        <v>1000</v>
      </c>
      <c r="BA15" s="32">
        <f>+AZ15/AZ12</f>
        <v>0.24578116628079025</v>
      </c>
      <c r="BB15" s="31">
        <v>1000</v>
      </c>
      <c r="BC15" s="32">
        <f>+BB15/BB12</f>
        <v>0.24578116628079025</v>
      </c>
      <c r="BD15" s="31">
        <v>1000</v>
      </c>
      <c r="BE15" s="32">
        <f>+BD15/BD12</f>
        <v>0.24578116628079025</v>
      </c>
      <c r="BF15" s="31">
        <v>1000</v>
      </c>
      <c r="BG15" s="32">
        <f t="shared" ref="BG15" si="86">+BF15/BF12</f>
        <v>0.24578116628079025</v>
      </c>
      <c r="BH15" s="31">
        <v>1000</v>
      </c>
      <c r="BI15" s="32">
        <f t="shared" ref="BI15:BK15" si="87">+BH15/BH12</f>
        <v>0.24578116628079025</v>
      </c>
      <c r="BJ15" s="31">
        <v>1000</v>
      </c>
      <c r="BK15" s="32">
        <f t="shared" si="87"/>
        <v>0.24578116628079025</v>
      </c>
      <c r="BL15" s="31">
        <v>1000</v>
      </c>
      <c r="BM15" s="32">
        <f t="shared" ref="BM15" si="88">+BL15/BL12</f>
        <v>0.24578116628079025</v>
      </c>
      <c r="BN15" s="31">
        <v>1000</v>
      </c>
      <c r="BO15" s="32">
        <f t="shared" ref="BO15" si="89">+BN15/BN12</f>
        <v>0.24578116628079025</v>
      </c>
      <c r="BP15" s="31">
        <v>1000</v>
      </c>
      <c r="BQ15" s="32">
        <f t="shared" ref="BQ15" si="90">+BP15/BP12</f>
        <v>0.24578116628079025</v>
      </c>
      <c r="BR15" s="31">
        <v>1000</v>
      </c>
      <c r="BS15" s="32">
        <f t="shared" ref="BS15" si="91">+BR15/BR12</f>
        <v>0.24578116628079025</v>
      </c>
      <c r="BT15" s="31">
        <v>1000</v>
      </c>
      <c r="BU15" s="32">
        <f t="shared" ref="BU15" si="92">+BT15/BT12</f>
        <v>0.24578116628079025</v>
      </c>
      <c r="BV15" s="31">
        <v>1000</v>
      </c>
      <c r="BW15" s="32">
        <f t="shared" ref="BW15" si="93">+BV15/BV12</f>
        <v>0.24578116628079025</v>
      </c>
      <c r="BX15" s="31">
        <v>1000</v>
      </c>
      <c r="BY15" s="32">
        <f t="shared" ref="BY15" si="94">+BX15/BX12</f>
        <v>0.24578116628079025</v>
      </c>
      <c r="BZ15" s="31">
        <v>1000</v>
      </c>
      <c r="CA15" s="32">
        <f t="shared" ref="CA15" si="95">+BZ15/BZ12</f>
        <v>0.24578116628079025</v>
      </c>
      <c r="CB15" s="31">
        <v>1000</v>
      </c>
      <c r="CC15" s="32">
        <f t="shared" ref="CC15" si="96">+CB15/CB12</f>
        <v>0.24578116628079025</v>
      </c>
      <c r="CD15" s="31">
        <v>1000</v>
      </c>
      <c r="CE15" s="32">
        <f t="shared" ref="CE15" si="97">+CD15/CD12</f>
        <v>0.24578116628079025</v>
      </c>
      <c r="CF15" s="31">
        <v>1000</v>
      </c>
      <c r="CG15" s="32">
        <f t="shared" ref="CG15" si="98">+CF15/CF12</f>
        <v>0.24578116628079025</v>
      </c>
      <c r="CH15" s="31">
        <v>1000</v>
      </c>
      <c r="CI15" s="32">
        <f t="shared" ref="CI15" si="99">+CH15/CH12</f>
        <v>0.24578116628079025</v>
      </c>
      <c r="CJ15" s="31">
        <v>1000</v>
      </c>
      <c r="CK15" s="32">
        <f t="shared" ref="CK15" si="100">+CJ15/CJ12</f>
        <v>0.24578116628079025</v>
      </c>
      <c r="CL15" s="31">
        <v>1000</v>
      </c>
      <c r="CM15" s="32">
        <f t="shared" ref="CM15" si="101">+CL15/CL12</f>
        <v>0.24578116628079025</v>
      </c>
      <c r="CN15" s="31">
        <v>1000</v>
      </c>
      <c r="CO15" s="32">
        <f t="shared" ref="CO15" si="102">+CN15/CN12</f>
        <v>0.24578116628079025</v>
      </c>
      <c r="CP15" s="31">
        <v>1000</v>
      </c>
      <c r="CQ15" s="32">
        <f t="shared" ref="CQ15" si="103">+CP15/CP12</f>
        <v>0.24578116628079025</v>
      </c>
      <c r="CR15" s="31">
        <v>1000</v>
      </c>
      <c r="CS15" s="32">
        <f t="shared" ref="CS15" si="104">+CR15/CR12</f>
        <v>0.24578116628079025</v>
      </c>
      <c r="CT15" s="31">
        <v>1200</v>
      </c>
      <c r="CU15" s="32">
        <f t="shared" ref="CU15" si="105">+CT15/CT12</f>
        <v>0.29493739953694831</v>
      </c>
      <c r="CV15" s="31">
        <v>1000</v>
      </c>
      <c r="CW15" s="32">
        <f>+CV15/CV12</f>
        <v>0.24578116628079025</v>
      </c>
      <c r="CX15" s="31">
        <v>1000</v>
      </c>
      <c r="CY15" s="32">
        <f>+CX15/CX12</f>
        <v>0.24578116628079025</v>
      </c>
      <c r="CZ15" s="31">
        <v>1000</v>
      </c>
      <c r="DA15" s="32">
        <f>+CZ15/CZ12</f>
        <v>0.24578116628079025</v>
      </c>
      <c r="DB15" s="31">
        <v>1000</v>
      </c>
      <c r="DC15" s="32">
        <f>+DB15/DB12</f>
        <v>0.24578116628079025</v>
      </c>
      <c r="DD15" s="31">
        <v>1000</v>
      </c>
      <c r="DE15" s="32">
        <f>+DD15/DD12</f>
        <v>0.24578116628079025</v>
      </c>
      <c r="DF15" s="31">
        <v>1000</v>
      </c>
      <c r="DG15" s="32">
        <f>+DF15/DF12</f>
        <v>0.24578116628079025</v>
      </c>
      <c r="DH15" s="31">
        <v>1000</v>
      </c>
      <c r="DI15" s="32">
        <f>+DH15/DH12</f>
        <v>0.24578116628079025</v>
      </c>
      <c r="DJ15" s="31">
        <v>1000</v>
      </c>
      <c r="DK15" s="32">
        <f>+DJ15/DJ12</f>
        <v>0.24578116628079025</v>
      </c>
    </row>
    <row r="16" spans="1:120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O16" si="106">+F15*F10</f>
        <v>40000</v>
      </c>
      <c r="G16" s="32">
        <f t="shared" si="106"/>
        <v>9.8312466512316092</v>
      </c>
      <c r="H16" s="31">
        <f t="shared" si="106"/>
        <v>40000</v>
      </c>
      <c r="I16" s="32">
        <f t="shared" si="106"/>
        <v>9.8312466512316092</v>
      </c>
      <c r="J16" s="31">
        <f t="shared" ref="J16:M16" si="107">+J15*J10</f>
        <v>40000</v>
      </c>
      <c r="K16" s="32">
        <f t="shared" si="107"/>
        <v>9.8312466512316092</v>
      </c>
      <c r="L16" s="31">
        <f t="shared" si="107"/>
        <v>40000</v>
      </c>
      <c r="M16" s="32">
        <f t="shared" si="107"/>
        <v>9.8312466512316092</v>
      </c>
      <c r="N16" s="31">
        <f t="shared" si="106"/>
        <v>40000</v>
      </c>
      <c r="O16" s="32">
        <f t="shared" si="106"/>
        <v>9.8312466512316092</v>
      </c>
      <c r="P16" s="31">
        <f t="shared" ref="P16:U16" si="108">+P15*P10</f>
        <v>40000</v>
      </c>
      <c r="Q16" s="32">
        <f t="shared" si="108"/>
        <v>9.8312466512316092</v>
      </c>
      <c r="R16" s="31">
        <f t="shared" si="108"/>
        <v>40000</v>
      </c>
      <c r="S16" s="32">
        <f t="shared" si="108"/>
        <v>9.8312466512316092</v>
      </c>
      <c r="T16" s="31">
        <f t="shared" si="108"/>
        <v>40000</v>
      </c>
      <c r="U16" s="32">
        <f t="shared" si="108"/>
        <v>9.8312466512316092</v>
      </c>
      <c r="V16" s="31">
        <f t="shared" ref="V16:AG16" si="109">+V15*V10</f>
        <v>40000</v>
      </c>
      <c r="W16" s="32">
        <f t="shared" si="109"/>
        <v>9.8312466512316092</v>
      </c>
      <c r="X16" s="31">
        <f t="shared" si="109"/>
        <v>40000</v>
      </c>
      <c r="Y16" s="32">
        <f t="shared" si="109"/>
        <v>9.8312466512316092</v>
      </c>
      <c r="Z16" s="31">
        <f t="shared" si="109"/>
        <v>40000</v>
      </c>
      <c r="AA16" s="32">
        <f t="shared" si="109"/>
        <v>9.8312466512316092</v>
      </c>
      <c r="AB16" s="31">
        <f t="shared" si="109"/>
        <v>40000</v>
      </c>
      <c r="AC16" s="32">
        <f t="shared" si="109"/>
        <v>9.8312466512316092</v>
      </c>
      <c r="AD16" s="31">
        <f t="shared" si="109"/>
        <v>40000</v>
      </c>
      <c r="AE16" s="32">
        <f t="shared" si="109"/>
        <v>9.8312466512316092</v>
      </c>
      <c r="AF16" s="31">
        <f t="shared" si="109"/>
        <v>40000</v>
      </c>
      <c r="AG16" s="32">
        <f t="shared" si="109"/>
        <v>9.8312466512316092</v>
      </c>
      <c r="AH16" s="31">
        <f t="shared" ref="AH16:AI16" si="110">+AH15*AH10</f>
        <v>40000</v>
      </c>
      <c r="AI16" s="32">
        <f t="shared" si="110"/>
        <v>9.8312466512316092</v>
      </c>
      <c r="AJ16" s="31">
        <f t="shared" ref="AJ16:AK16" si="111">+AJ15*AJ10</f>
        <v>40000</v>
      </c>
      <c r="AK16" s="32">
        <f t="shared" si="111"/>
        <v>9.8312466512316092</v>
      </c>
      <c r="AL16" s="31">
        <f t="shared" ref="AL16:AO16" si="112">+AL15*AL10</f>
        <v>40000</v>
      </c>
      <c r="AM16" s="32">
        <f t="shared" si="112"/>
        <v>9.8312466512316092</v>
      </c>
      <c r="AN16" s="31">
        <f t="shared" si="112"/>
        <v>40000</v>
      </c>
      <c r="AO16" s="32">
        <f t="shared" si="112"/>
        <v>9.8312466512316092</v>
      </c>
      <c r="AP16" s="31">
        <f t="shared" ref="AP16:AU16" si="113">+AP15*AP10</f>
        <v>40000</v>
      </c>
      <c r="AQ16" s="32">
        <f t="shared" si="113"/>
        <v>9.8312466512316092</v>
      </c>
      <c r="AR16" s="31">
        <f t="shared" si="113"/>
        <v>40000</v>
      </c>
      <c r="AS16" s="32">
        <f t="shared" si="113"/>
        <v>9.8312466512316092</v>
      </c>
      <c r="AT16" s="31">
        <f t="shared" si="113"/>
        <v>40000</v>
      </c>
      <c r="AU16" s="32">
        <f t="shared" si="113"/>
        <v>9.8312466512316092</v>
      </c>
      <c r="AV16" s="31">
        <f t="shared" ref="AV16:BA16" si="114">+AV15*AV10</f>
        <v>40000</v>
      </c>
      <c r="AW16" s="32">
        <f t="shared" si="114"/>
        <v>9.8312466512316092</v>
      </c>
      <c r="AX16" s="31">
        <f t="shared" si="114"/>
        <v>40000</v>
      </c>
      <c r="AY16" s="32">
        <f t="shared" si="114"/>
        <v>9.8312466512316092</v>
      </c>
      <c r="AZ16" s="31">
        <f t="shared" si="114"/>
        <v>40000</v>
      </c>
      <c r="BA16" s="32">
        <f t="shared" si="114"/>
        <v>9.8312466512316092</v>
      </c>
      <c r="BB16" s="31">
        <f t="shared" ref="BB16:BC16" si="115">+BB15*BB10</f>
        <v>40000</v>
      </c>
      <c r="BC16" s="32">
        <f t="shared" si="115"/>
        <v>9.8312466512316092</v>
      </c>
      <c r="BD16" s="31">
        <f t="shared" ref="BD16:BE16" si="116">+BD15*BD10</f>
        <v>40000</v>
      </c>
      <c r="BE16" s="32">
        <f t="shared" si="116"/>
        <v>9.8312466512316092</v>
      </c>
      <c r="BF16" s="31">
        <f t="shared" ref="BF16:BI16" si="117">+BF15*BF10</f>
        <v>40000</v>
      </c>
      <c r="BG16" s="32">
        <f t="shared" si="117"/>
        <v>9.8312466512316092</v>
      </c>
      <c r="BH16" s="31">
        <f t="shared" si="117"/>
        <v>40000</v>
      </c>
      <c r="BI16" s="32">
        <f t="shared" si="117"/>
        <v>9.8312466512316092</v>
      </c>
      <c r="BJ16" s="31">
        <f t="shared" ref="BJ16:BK16" si="118">+BJ15*BJ10</f>
        <v>40000</v>
      </c>
      <c r="BK16" s="32">
        <f t="shared" si="118"/>
        <v>9.8312466512316092</v>
      </c>
      <c r="BL16" s="31">
        <f>BM16*BL12</f>
        <v>40686.6</v>
      </c>
      <c r="BM16" s="32">
        <v>10</v>
      </c>
      <c r="BN16" s="31">
        <f>BO16*BN12</f>
        <v>40686.6</v>
      </c>
      <c r="BO16" s="32">
        <f>BM16</f>
        <v>10</v>
      </c>
      <c r="BP16" s="31">
        <f>BQ16*BP12</f>
        <v>40686.6</v>
      </c>
      <c r="BQ16" s="32">
        <f>BO16</f>
        <v>10</v>
      </c>
      <c r="BR16" s="31">
        <f>BS16*BR12</f>
        <v>40686.6</v>
      </c>
      <c r="BS16" s="32">
        <f>BQ16</f>
        <v>10</v>
      </c>
      <c r="BT16" s="31">
        <f>BU16*BT12</f>
        <v>40686.6</v>
      </c>
      <c r="BU16" s="32">
        <f>BS16</f>
        <v>10</v>
      </c>
      <c r="BV16" s="31">
        <f>BW16*BV12</f>
        <v>40686.6</v>
      </c>
      <c r="BW16" s="32">
        <f>BU16</f>
        <v>10</v>
      </c>
      <c r="BX16" s="31">
        <f>BY16*BX12</f>
        <v>40686.6</v>
      </c>
      <c r="BY16" s="32">
        <f>BW16</f>
        <v>10</v>
      </c>
      <c r="BZ16" s="31">
        <f>CA16*BZ12</f>
        <v>40686.6</v>
      </c>
      <c r="CA16" s="32">
        <f>BY16</f>
        <v>10</v>
      </c>
      <c r="CB16" s="31">
        <f>CC16*CB12</f>
        <v>40686.6</v>
      </c>
      <c r="CC16" s="32">
        <f>CA16</f>
        <v>10</v>
      </c>
      <c r="CD16" s="31">
        <f>CE16*CD12</f>
        <v>40686.6</v>
      </c>
      <c r="CE16" s="32">
        <f>CC16</f>
        <v>10</v>
      </c>
      <c r="CF16" s="31">
        <f>CG16*CF12</f>
        <v>40686.6</v>
      </c>
      <c r="CG16" s="32">
        <f>CE16</f>
        <v>10</v>
      </c>
      <c r="CH16" s="31">
        <f>CI16*CH12</f>
        <v>40686.6</v>
      </c>
      <c r="CI16" s="32">
        <f>CG16</f>
        <v>10</v>
      </c>
      <c r="CJ16" s="31">
        <f>CK16*CJ12</f>
        <v>40686.6</v>
      </c>
      <c r="CK16" s="32">
        <f>CI16</f>
        <v>10</v>
      </c>
      <c r="CL16" s="31">
        <f>CM16*CL12</f>
        <v>40686.6</v>
      </c>
      <c r="CM16" s="32">
        <f>CK16</f>
        <v>10</v>
      </c>
      <c r="CN16" s="31">
        <f>CO16*CN12</f>
        <v>40686.6</v>
      </c>
      <c r="CO16" s="32">
        <f>BW16</f>
        <v>10</v>
      </c>
      <c r="CP16" s="31">
        <f>CQ16*CP12</f>
        <v>40686.6</v>
      </c>
      <c r="CQ16" s="32">
        <f>CO16</f>
        <v>10</v>
      </c>
      <c r="CR16" s="31">
        <f>CS16*CR12</f>
        <v>40686.6</v>
      </c>
      <c r="CS16" s="32">
        <f>BS16</f>
        <v>10</v>
      </c>
      <c r="CT16" s="31">
        <f>CU16*CT12</f>
        <v>40686.6</v>
      </c>
      <c r="CU16" s="32">
        <f>BU16</f>
        <v>10</v>
      </c>
      <c r="CV16" s="31">
        <f t="shared" ref="CV16:DA16" si="119">+CV15*CV10</f>
        <v>40000</v>
      </c>
      <c r="CW16" s="32">
        <f t="shared" si="119"/>
        <v>9.8312466512316092</v>
      </c>
      <c r="CX16" s="31">
        <f t="shared" si="119"/>
        <v>40000</v>
      </c>
      <c r="CY16" s="32">
        <f t="shared" si="119"/>
        <v>9.8312466512316092</v>
      </c>
      <c r="CZ16" s="31">
        <f t="shared" si="119"/>
        <v>40000</v>
      </c>
      <c r="DA16" s="32">
        <f t="shared" si="119"/>
        <v>9.8312466512316092</v>
      </c>
      <c r="DB16" s="31">
        <f t="shared" ref="DB16:DC16" si="120">+DB15*DB10</f>
        <v>40000</v>
      </c>
      <c r="DC16" s="32">
        <f t="shared" si="120"/>
        <v>9.8312466512316092</v>
      </c>
      <c r="DD16" s="31">
        <f t="shared" ref="DD16:DG16" si="121">+DD15*DD10</f>
        <v>40000</v>
      </c>
      <c r="DE16" s="32">
        <f t="shared" si="121"/>
        <v>9.8312466512316092</v>
      </c>
      <c r="DF16" s="31">
        <f t="shared" si="121"/>
        <v>40000</v>
      </c>
      <c r="DG16" s="32">
        <f t="shared" si="121"/>
        <v>9.8312466512316092</v>
      </c>
      <c r="DH16" s="31">
        <f t="shared" ref="DH16:DI16" si="122">+DH15*DH10</f>
        <v>40000</v>
      </c>
      <c r="DI16" s="32">
        <f t="shared" si="122"/>
        <v>9.8312466512316092</v>
      </c>
      <c r="DJ16" s="31">
        <f t="shared" ref="DJ16:DK16" si="123">+DJ15*DJ10</f>
        <v>40000</v>
      </c>
      <c r="DK16" s="32">
        <f t="shared" si="123"/>
        <v>9.8312466512316092</v>
      </c>
    </row>
    <row r="17" spans="1:119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350">
        <v>0</v>
      </c>
      <c r="AG17" s="351">
        <v>0</v>
      </c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350">
        <v>0</v>
      </c>
      <c r="BY17" s="351">
        <v>0</v>
      </c>
      <c r="BZ17" s="350">
        <v>0</v>
      </c>
      <c r="CA17" s="351">
        <v>0</v>
      </c>
      <c r="CB17" s="350">
        <v>0</v>
      </c>
      <c r="CC17" s="351">
        <v>0</v>
      </c>
      <c r="CD17" s="350">
        <v>0</v>
      </c>
      <c r="CE17" s="351">
        <v>0</v>
      </c>
      <c r="CF17" s="350">
        <v>0</v>
      </c>
      <c r="CG17" s="351">
        <v>0</v>
      </c>
      <c r="CH17" s="350">
        <v>0</v>
      </c>
      <c r="CI17" s="351">
        <v>0</v>
      </c>
      <c r="CJ17" s="350">
        <v>0</v>
      </c>
      <c r="CK17" s="351">
        <v>0</v>
      </c>
      <c r="CL17" s="350">
        <v>0</v>
      </c>
      <c r="CM17" s="351">
        <v>0</v>
      </c>
      <c r="CN17" s="350">
        <v>0</v>
      </c>
      <c r="CO17" s="351">
        <v>0</v>
      </c>
      <c r="CP17" s="350">
        <v>0</v>
      </c>
      <c r="CQ17" s="351">
        <v>0</v>
      </c>
      <c r="CR17" s="350">
        <v>0</v>
      </c>
      <c r="CS17" s="351">
        <v>0</v>
      </c>
      <c r="CT17" s="350">
        <v>0</v>
      </c>
      <c r="CU17" s="351">
        <v>0</v>
      </c>
      <c r="CV17" s="350">
        <v>0</v>
      </c>
      <c r="CW17" s="351">
        <v>0</v>
      </c>
      <c r="CX17" s="350">
        <v>0</v>
      </c>
      <c r="CY17" s="351">
        <v>0</v>
      </c>
      <c r="CZ17" s="350">
        <v>0</v>
      </c>
      <c r="DA17" s="351">
        <v>0</v>
      </c>
      <c r="DB17" s="350">
        <v>0</v>
      </c>
      <c r="DC17" s="351">
        <v>0</v>
      </c>
      <c r="DD17" s="350">
        <v>0</v>
      </c>
      <c r="DE17" s="351">
        <v>0</v>
      </c>
      <c r="DF17" s="350">
        <v>0</v>
      </c>
      <c r="DG17" s="351">
        <v>0</v>
      </c>
      <c r="DH17" s="350">
        <v>0</v>
      </c>
      <c r="DI17" s="351">
        <v>0</v>
      </c>
      <c r="DJ17" s="350">
        <v>0</v>
      </c>
      <c r="DK17" s="351">
        <v>0</v>
      </c>
    </row>
    <row r="18" spans="1:119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56">
        <v>0</v>
      </c>
      <c r="AG18" s="357">
        <v>0</v>
      </c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356">
        <v>0</v>
      </c>
      <c r="BY18" s="357">
        <v>0</v>
      </c>
      <c r="BZ18" s="356">
        <v>0</v>
      </c>
      <c r="CA18" s="357">
        <v>0</v>
      </c>
      <c r="CB18" s="356">
        <v>0</v>
      </c>
      <c r="CC18" s="357">
        <v>0</v>
      </c>
      <c r="CD18" s="356">
        <v>0</v>
      </c>
      <c r="CE18" s="357">
        <v>0</v>
      </c>
      <c r="CF18" s="356">
        <v>0</v>
      </c>
      <c r="CG18" s="357">
        <v>0</v>
      </c>
      <c r="CH18" s="356">
        <v>0</v>
      </c>
      <c r="CI18" s="357">
        <v>0</v>
      </c>
      <c r="CJ18" s="356">
        <v>0</v>
      </c>
      <c r="CK18" s="357">
        <v>0</v>
      </c>
      <c r="CL18" s="356">
        <v>0</v>
      </c>
      <c r="CM18" s="357">
        <v>0</v>
      </c>
      <c r="CN18" s="356">
        <v>0</v>
      </c>
      <c r="CO18" s="357">
        <v>0</v>
      </c>
      <c r="CP18" s="356">
        <v>0</v>
      </c>
      <c r="CQ18" s="357">
        <v>0</v>
      </c>
      <c r="CR18" s="356">
        <v>0</v>
      </c>
      <c r="CS18" s="357">
        <v>0</v>
      </c>
      <c r="CT18" s="356">
        <v>0</v>
      </c>
      <c r="CU18" s="357">
        <v>0</v>
      </c>
      <c r="CV18" s="356">
        <v>0</v>
      </c>
      <c r="CW18" s="357">
        <v>0</v>
      </c>
      <c r="CX18" s="356">
        <v>0</v>
      </c>
      <c r="CY18" s="357">
        <v>0</v>
      </c>
      <c r="CZ18" s="356">
        <v>0</v>
      </c>
      <c r="DA18" s="357">
        <v>0</v>
      </c>
      <c r="DB18" s="356">
        <v>0</v>
      </c>
      <c r="DC18" s="357">
        <v>0</v>
      </c>
      <c r="DD18" s="356">
        <v>0</v>
      </c>
      <c r="DE18" s="357">
        <v>0</v>
      </c>
      <c r="DF18" s="356">
        <v>0</v>
      </c>
      <c r="DG18" s="357">
        <v>0</v>
      </c>
      <c r="DH18" s="356">
        <v>0</v>
      </c>
      <c r="DI18" s="357">
        <v>0</v>
      </c>
      <c r="DJ18" s="356">
        <v>0</v>
      </c>
      <c r="DK18" s="357">
        <v>0</v>
      </c>
    </row>
    <row r="19" spans="1:119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O19" si="124">F15-F17</f>
        <v>1000</v>
      </c>
      <c r="G19" s="32">
        <f t="shared" si="124"/>
        <v>0.24578116628079025</v>
      </c>
      <c r="H19" s="38">
        <f t="shared" si="124"/>
        <v>1000</v>
      </c>
      <c r="I19" s="32">
        <f t="shared" si="124"/>
        <v>0.24578116628079025</v>
      </c>
      <c r="J19" s="38">
        <f t="shared" ref="J19:M19" si="125">J15-J17</f>
        <v>1000</v>
      </c>
      <c r="K19" s="32">
        <f t="shared" si="125"/>
        <v>0.24578116628079025</v>
      </c>
      <c r="L19" s="38">
        <f t="shared" si="125"/>
        <v>1000</v>
      </c>
      <c r="M19" s="32">
        <f t="shared" si="125"/>
        <v>0.24578116628079025</v>
      </c>
      <c r="N19" s="38">
        <f t="shared" si="124"/>
        <v>1000</v>
      </c>
      <c r="O19" s="32">
        <f t="shared" si="124"/>
        <v>0.24578116628079025</v>
      </c>
      <c r="P19" s="38">
        <f t="shared" ref="P19:U19" si="126">P15-P17</f>
        <v>1000</v>
      </c>
      <c r="Q19" s="32">
        <f t="shared" si="126"/>
        <v>0.24578116628079025</v>
      </c>
      <c r="R19" s="38">
        <f t="shared" si="126"/>
        <v>1000</v>
      </c>
      <c r="S19" s="32">
        <f t="shared" si="126"/>
        <v>0.24578116628079025</v>
      </c>
      <c r="T19" s="38">
        <f t="shared" si="126"/>
        <v>1000</v>
      </c>
      <c r="U19" s="32">
        <f t="shared" si="126"/>
        <v>0.24578116628079025</v>
      </c>
      <c r="V19" s="38">
        <f t="shared" ref="V19:AG19" si="127">V15-V17</f>
        <v>1000</v>
      </c>
      <c r="W19" s="32">
        <f t="shared" si="127"/>
        <v>0.24578116628079025</v>
      </c>
      <c r="X19" s="38">
        <f t="shared" si="127"/>
        <v>1000</v>
      </c>
      <c r="Y19" s="32">
        <f t="shared" si="127"/>
        <v>0.24578116628079025</v>
      </c>
      <c r="Z19" s="38">
        <f t="shared" si="127"/>
        <v>1000</v>
      </c>
      <c r="AA19" s="32">
        <f t="shared" si="127"/>
        <v>0.24578116628079025</v>
      </c>
      <c r="AB19" s="38">
        <f t="shared" si="127"/>
        <v>1000</v>
      </c>
      <c r="AC19" s="32">
        <f t="shared" si="127"/>
        <v>0.24578116628079025</v>
      </c>
      <c r="AD19" s="38">
        <f t="shared" si="127"/>
        <v>1000</v>
      </c>
      <c r="AE19" s="32">
        <f t="shared" si="127"/>
        <v>0.24578116628079025</v>
      </c>
      <c r="AF19" s="38">
        <f t="shared" si="127"/>
        <v>1000</v>
      </c>
      <c r="AG19" s="32">
        <f t="shared" si="127"/>
        <v>0.24578116628079025</v>
      </c>
      <c r="AH19" s="38">
        <f t="shared" ref="AH19:AI19" si="128">AH15-AH17</f>
        <v>1000</v>
      </c>
      <c r="AI19" s="32">
        <f t="shared" si="128"/>
        <v>0.24578116628079025</v>
      </c>
      <c r="AJ19" s="38">
        <f t="shared" ref="AJ19:AK19" si="129">AJ15-AJ17</f>
        <v>1000</v>
      </c>
      <c r="AK19" s="32">
        <f t="shared" si="129"/>
        <v>0.24578116628079025</v>
      </c>
      <c r="AL19" s="38">
        <f t="shared" ref="AL19:AO19" si="130">AL15-AL17</f>
        <v>1000</v>
      </c>
      <c r="AM19" s="32">
        <f t="shared" si="130"/>
        <v>0.24578116628079025</v>
      </c>
      <c r="AN19" s="38">
        <f t="shared" si="130"/>
        <v>1000</v>
      </c>
      <c r="AO19" s="32">
        <f t="shared" si="130"/>
        <v>0.24578116628079025</v>
      </c>
      <c r="AP19" s="38">
        <f t="shared" ref="AP19:AU19" si="131">AP15-AP17</f>
        <v>1000</v>
      </c>
      <c r="AQ19" s="32">
        <f t="shared" si="131"/>
        <v>0.24578116628079025</v>
      </c>
      <c r="AR19" s="38">
        <f t="shared" si="131"/>
        <v>1000</v>
      </c>
      <c r="AS19" s="32">
        <f t="shared" si="131"/>
        <v>0.24578116628079025</v>
      </c>
      <c r="AT19" s="38">
        <f t="shared" si="131"/>
        <v>1000</v>
      </c>
      <c r="AU19" s="32">
        <f t="shared" si="131"/>
        <v>0.24578116628079025</v>
      </c>
      <c r="AV19" s="38">
        <f t="shared" ref="AV19:BA19" si="132">AV15-AV17</f>
        <v>1000</v>
      </c>
      <c r="AW19" s="32">
        <f t="shared" si="132"/>
        <v>0.24578116628079025</v>
      </c>
      <c r="AX19" s="38">
        <f t="shared" si="132"/>
        <v>1000</v>
      </c>
      <c r="AY19" s="32">
        <f t="shared" si="132"/>
        <v>0.24578116628079025</v>
      </c>
      <c r="AZ19" s="38">
        <f t="shared" si="132"/>
        <v>1000</v>
      </c>
      <c r="BA19" s="32">
        <f t="shared" si="132"/>
        <v>0.24578116628079025</v>
      </c>
      <c r="BB19" s="38">
        <f t="shared" ref="BB19:BC19" si="133">BB15-BB17</f>
        <v>1000</v>
      </c>
      <c r="BC19" s="32">
        <f t="shared" si="133"/>
        <v>0.24578116628079025</v>
      </c>
      <c r="BD19" s="38">
        <f t="shared" ref="BD19:BE19" si="134">BD15-BD17</f>
        <v>1000</v>
      </c>
      <c r="BE19" s="32">
        <f t="shared" si="134"/>
        <v>0.24578116628079025</v>
      </c>
      <c r="BF19" s="38">
        <f t="shared" ref="BF19:BI19" si="135">BF15-BF17</f>
        <v>1000</v>
      </c>
      <c r="BG19" s="32">
        <f t="shared" si="135"/>
        <v>0.24578116628079025</v>
      </c>
      <c r="BH19" s="38">
        <f t="shared" si="135"/>
        <v>1000</v>
      </c>
      <c r="BI19" s="32">
        <f t="shared" si="135"/>
        <v>0.24578116628079025</v>
      </c>
      <c r="BJ19" s="38">
        <f t="shared" ref="BJ19:BQ19" si="136">BJ15-BJ17</f>
        <v>1000</v>
      </c>
      <c r="BK19" s="32">
        <f t="shared" si="136"/>
        <v>0.24578116628079025</v>
      </c>
      <c r="BL19" s="38">
        <f t="shared" si="136"/>
        <v>1000</v>
      </c>
      <c r="BM19" s="32">
        <f t="shared" si="136"/>
        <v>0.24578116628079025</v>
      </c>
      <c r="BN19" s="38">
        <f t="shared" si="136"/>
        <v>1000</v>
      </c>
      <c r="BO19" s="32">
        <f t="shared" si="136"/>
        <v>0.24578116628079025</v>
      </c>
      <c r="BP19" s="38">
        <f t="shared" si="136"/>
        <v>1000</v>
      </c>
      <c r="BQ19" s="32">
        <f t="shared" si="136"/>
        <v>0.24578116628079025</v>
      </c>
      <c r="BR19" s="38">
        <f t="shared" ref="BR19:BS19" si="137">BR15-BR17</f>
        <v>1000</v>
      </c>
      <c r="BS19" s="32">
        <f t="shared" si="137"/>
        <v>0.24578116628079025</v>
      </c>
      <c r="BT19" s="38">
        <f t="shared" ref="BT19:BU19" si="138">BT15-BT17</f>
        <v>1000</v>
      </c>
      <c r="BU19" s="32">
        <f t="shared" si="138"/>
        <v>0.24578116628079025</v>
      </c>
      <c r="BV19" s="38">
        <f t="shared" ref="BV19:BW19" si="139">BV15-BV17</f>
        <v>1000</v>
      </c>
      <c r="BW19" s="32">
        <f t="shared" si="139"/>
        <v>0.24578116628079025</v>
      </c>
      <c r="BX19" s="38">
        <f t="shared" ref="BX19:BY19" si="140">BX15-BX17</f>
        <v>1000</v>
      </c>
      <c r="BY19" s="32">
        <f t="shared" si="140"/>
        <v>0.24578116628079025</v>
      </c>
      <c r="BZ19" s="38">
        <f t="shared" ref="BZ19:CA19" si="141">BZ15-BZ17</f>
        <v>1000</v>
      </c>
      <c r="CA19" s="32">
        <f t="shared" si="141"/>
        <v>0.24578116628079025</v>
      </c>
      <c r="CB19" s="38">
        <f t="shared" ref="CB19:CC19" si="142">CB15-CB17</f>
        <v>1000</v>
      </c>
      <c r="CC19" s="32">
        <f t="shared" si="142"/>
        <v>0.24578116628079025</v>
      </c>
      <c r="CD19" s="38">
        <f t="shared" ref="CD19:CE19" si="143">CD15-CD17</f>
        <v>1000</v>
      </c>
      <c r="CE19" s="32">
        <f t="shared" si="143"/>
        <v>0.24578116628079025</v>
      </c>
      <c r="CF19" s="38">
        <f t="shared" ref="CF19:CG19" si="144">CF15-CF17</f>
        <v>1000</v>
      </c>
      <c r="CG19" s="32">
        <f t="shared" si="144"/>
        <v>0.24578116628079025</v>
      </c>
      <c r="CH19" s="38">
        <f t="shared" ref="CH19:CK19" si="145">CH15-CH17</f>
        <v>1000</v>
      </c>
      <c r="CI19" s="32">
        <f t="shared" si="145"/>
        <v>0.24578116628079025</v>
      </c>
      <c r="CJ19" s="38">
        <f t="shared" si="145"/>
        <v>1000</v>
      </c>
      <c r="CK19" s="32">
        <f t="shared" si="145"/>
        <v>0.24578116628079025</v>
      </c>
      <c r="CL19" s="38">
        <f t="shared" ref="CL19:CM19" si="146">CL15-CL17</f>
        <v>1000</v>
      </c>
      <c r="CM19" s="32">
        <f t="shared" si="146"/>
        <v>0.24578116628079025</v>
      </c>
      <c r="CN19" s="38">
        <f t="shared" ref="CN19:CQ19" si="147">CN15-CN17</f>
        <v>1000</v>
      </c>
      <c r="CO19" s="32">
        <f t="shared" si="147"/>
        <v>0.24578116628079025</v>
      </c>
      <c r="CP19" s="38">
        <f t="shared" si="147"/>
        <v>1000</v>
      </c>
      <c r="CQ19" s="32">
        <f t="shared" si="147"/>
        <v>0.24578116628079025</v>
      </c>
      <c r="CR19" s="38">
        <f t="shared" ref="CR19:CS19" si="148">CR15-CR17</f>
        <v>1000</v>
      </c>
      <c r="CS19" s="32">
        <f t="shared" si="148"/>
        <v>0.24578116628079025</v>
      </c>
      <c r="CT19" s="38">
        <f t="shared" ref="CT19:CU19" si="149">CT15-CT17</f>
        <v>1200</v>
      </c>
      <c r="CU19" s="32">
        <f t="shared" si="149"/>
        <v>0.29493739953694831</v>
      </c>
      <c r="CV19" s="38">
        <f t="shared" ref="CV19:DA19" si="150">CV15-CV17</f>
        <v>1000</v>
      </c>
      <c r="CW19" s="32">
        <f t="shared" si="150"/>
        <v>0.24578116628079025</v>
      </c>
      <c r="CX19" s="38">
        <f t="shared" si="150"/>
        <v>1000</v>
      </c>
      <c r="CY19" s="32">
        <f t="shared" si="150"/>
        <v>0.24578116628079025</v>
      </c>
      <c r="CZ19" s="38">
        <f t="shared" si="150"/>
        <v>1000</v>
      </c>
      <c r="DA19" s="32">
        <f t="shared" si="150"/>
        <v>0.24578116628079025</v>
      </c>
      <c r="DB19" s="38">
        <f t="shared" ref="DB19:DC19" si="151">DB15-DB17</f>
        <v>1000</v>
      </c>
      <c r="DC19" s="32">
        <f t="shared" si="151"/>
        <v>0.24578116628079025</v>
      </c>
      <c r="DD19" s="38">
        <f t="shared" ref="DD19:DG19" si="152">DD15-DD17</f>
        <v>1000</v>
      </c>
      <c r="DE19" s="32">
        <f t="shared" si="152"/>
        <v>0.24578116628079025</v>
      </c>
      <c r="DF19" s="38">
        <f t="shared" si="152"/>
        <v>1000</v>
      </c>
      <c r="DG19" s="32">
        <f t="shared" si="152"/>
        <v>0.24578116628079025</v>
      </c>
      <c r="DH19" s="38">
        <f t="shared" ref="DH19:DI19" si="153">DH15-DH17</f>
        <v>1000</v>
      </c>
      <c r="DI19" s="32">
        <f t="shared" si="153"/>
        <v>0.24578116628079025</v>
      </c>
      <c r="DJ19" s="38">
        <f t="shared" ref="DJ19:DK19" si="154">DJ15-DJ17</f>
        <v>1000</v>
      </c>
      <c r="DK19" s="32">
        <f t="shared" si="154"/>
        <v>0.24578116628079025</v>
      </c>
    </row>
    <row r="20" spans="1:119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O20" si="155">1/(1+F18)*F16</f>
        <v>40000</v>
      </c>
      <c r="G20" s="40">
        <f t="shared" si="155"/>
        <v>9.8312466512316092</v>
      </c>
      <c r="H20" s="39">
        <f t="shared" si="155"/>
        <v>40000</v>
      </c>
      <c r="I20" s="40">
        <f t="shared" si="155"/>
        <v>9.8312466512316092</v>
      </c>
      <c r="J20" s="39">
        <f t="shared" ref="J20:M20" si="156">1/(1+J18)*J16</f>
        <v>40000</v>
      </c>
      <c r="K20" s="40">
        <f t="shared" si="156"/>
        <v>9.8312466512316092</v>
      </c>
      <c r="L20" s="39">
        <f t="shared" si="156"/>
        <v>40000</v>
      </c>
      <c r="M20" s="40">
        <f t="shared" si="156"/>
        <v>9.8312466512316092</v>
      </c>
      <c r="N20" s="39">
        <f t="shared" si="155"/>
        <v>40000</v>
      </c>
      <c r="O20" s="40">
        <f t="shared" si="155"/>
        <v>9.8312466512316092</v>
      </c>
      <c r="P20" s="39">
        <f t="shared" ref="P20:U20" si="157">1/(1+P18)*P16</f>
        <v>40000</v>
      </c>
      <c r="Q20" s="40">
        <f t="shared" si="157"/>
        <v>9.8312466512316092</v>
      </c>
      <c r="R20" s="39">
        <f t="shared" si="157"/>
        <v>40000</v>
      </c>
      <c r="S20" s="40">
        <f t="shared" si="157"/>
        <v>9.8312466512316092</v>
      </c>
      <c r="T20" s="39">
        <f t="shared" si="157"/>
        <v>40000</v>
      </c>
      <c r="U20" s="40">
        <f t="shared" si="157"/>
        <v>9.8312466512316092</v>
      </c>
      <c r="V20" s="39">
        <f t="shared" ref="V20:AG20" si="158">1/(1+V18)*V16</f>
        <v>40000</v>
      </c>
      <c r="W20" s="40">
        <f t="shared" si="158"/>
        <v>9.8312466512316092</v>
      </c>
      <c r="X20" s="39">
        <f t="shared" si="158"/>
        <v>40000</v>
      </c>
      <c r="Y20" s="40">
        <f t="shared" si="158"/>
        <v>9.8312466512316092</v>
      </c>
      <c r="Z20" s="39">
        <f t="shared" si="158"/>
        <v>40000</v>
      </c>
      <c r="AA20" s="40">
        <f t="shared" si="158"/>
        <v>9.8312466512316092</v>
      </c>
      <c r="AB20" s="39">
        <f t="shared" si="158"/>
        <v>40000</v>
      </c>
      <c r="AC20" s="40">
        <f t="shared" si="158"/>
        <v>9.8312466512316092</v>
      </c>
      <c r="AD20" s="39">
        <f t="shared" si="158"/>
        <v>40000</v>
      </c>
      <c r="AE20" s="40">
        <f t="shared" si="158"/>
        <v>9.8312466512316092</v>
      </c>
      <c r="AF20" s="39">
        <f t="shared" si="158"/>
        <v>40000</v>
      </c>
      <c r="AG20" s="40">
        <f t="shared" si="158"/>
        <v>9.8312466512316092</v>
      </c>
      <c r="AH20" s="39">
        <f t="shared" ref="AH20:AI20" si="159">1/(1+AH18)*AH16</f>
        <v>40000</v>
      </c>
      <c r="AI20" s="40">
        <f t="shared" si="159"/>
        <v>9.8312466512316092</v>
      </c>
      <c r="AJ20" s="39">
        <f t="shared" ref="AJ20:AK20" si="160">1/(1+AJ18)*AJ16</f>
        <v>40000</v>
      </c>
      <c r="AK20" s="40">
        <f t="shared" si="160"/>
        <v>9.8312466512316092</v>
      </c>
      <c r="AL20" s="39">
        <f t="shared" ref="AL20:AO20" si="161">1/(1+AL18)*AL16</f>
        <v>40000</v>
      </c>
      <c r="AM20" s="40">
        <f t="shared" si="161"/>
        <v>9.8312466512316092</v>
      </c>
      <c r="AN20" s="39">
        <f t="shared" si="161"/>
        <v>40000</v>
      </c>
      <c r="AO20" s="40">
        <f t="shared" si="161"/>
        <v>9.8312466512316092</v>
      </c>
      <c r="AP20" s="39">
        <f t="shared" ref="AP20:AU20" si="162">1/(1+AP18)*AP16</f>
        <v>40000</v>
      </c>
      <c r="AQ20" s="40">
        <f t="shared" si="162"/>
        <v>9.8312466512316092</v>
      </c>
      <c r="AR20" s="39">
        <f t="shared" si="162"/>
        <v>40000</v>
      </c>
      <c r="AS20" s="40">
        <f t="shared" si="162"/>
        <v>9.8312466512316092</v>
      </c>
      <c r="AT20" s="39">
        <f t="shared" si="162"/>
        <v>40000</v>
      </c>
      <c r="AU20" s="40">
        <f t="shared" si="162"/>
        <v>9.8312466512316092</v>
      </c>
      <c r="AV20" s="39">
        <f t="shared" ref="AV20:BA20" si="163">1/(1+AV18)*AV16</f>
        <v>40000</v>
      </c>
      <c r="AW20" s="40">
        <f t="shared" si="163"/>
        <v>9.8312466512316092</v>
      </c>
      <c r="AX20" s="39">
        <f t="shared" si="163"/>
        <v>40000</v>
      </c>
      <c r="AY20" s="40">
        <f t="shared" si="163"/>
        <v>9.8312466512316092</v>
      </c>
      <c r="AZ20" s="39">
        <f t="shared" si="163"/>
        <v>40000</v>
      </c>
      <c r="BA20" s="40">
        <f t="shared" si="163"/>
        <v>9.8312466512316092</v>
      </c>
      <c r="BB20" s="39">
        <f t="shared" ref="BB20:BC20" si="164">1/(1+BB18)*BB16</f>
        <v>40000</v>
      </c>
      <c r="BC20" s="40">
        <f t="shared" si="164"/>
        <v>9.8312466512316092</v>
      </c>
      <c r="BD20" s="39">
        <f t="shared" ref="BD20:BE20" si="165">1/(1+BD18)*BD16</f>
        <v>40000</v>
      </c>
      <c r="BE20" s="40">
        <f t="shared" si="165"/>
        <v>9.8312466512316092</v>
      </c>
      <c r="BF20" s="39">
        <f t="shared" ref="BF20:BI20" si="166">1/(1+BF18)*BF16</f>
        <v>40000</v>
      </c>
      <c r="BG20" s="40">
        <f t="shared" si="166"/>
        <v>9.8312466512316092</v>
      </c>
      <c r="BH20" s="39">
        <f t="shared" si="166"/>
        <v>40000</v>
      </c>
      <c r="BI20" s="40">
        <f t="shared" si="166"/>
        <v>9.8312466512316092</v>
      </c>
      <c r="BJ20" s="39">
        <f t="shared" ref="BJ20:BQ20" si="167">1/(1+BJ18)*BJ16</f>
        <v>40000</v>
      </c>
      <c r="BK20" s="40">
        <f t="shared" si="167"/>
        <v>9.8312466512316092</v>
      </c>
      <c r="BL20" s="39">
        <f t="shared" si="167"/>
        <v>40686.6</v>
      </c>
      <c r="BM20" s="40">
        <f t="shared" si="167"/>
        <v>10</v>
      </c>
      <c r="BN20" s="39">
        <f t="shared" si="167"/>
        <v>40686.6</v>
      </c>
      <c r="BO20" s="40">
        <f t="shared" si="167"/>
        <v>10</v>
      </c>
      <c r="BP20" s="39">
        <f t="shared" si="167"/>
        <v>40686.6</v>
      </c>
      <c r="BQ20" s="40">
        <f t="shared" si="167"/>
        <v>10</v>
      </c>
      <c r="BR20" s="39">
        <f t="shared" ref="BR20:BS20" si="168">1/(1+BR18)*BR16</f>
        <v>40686.6</v>
      </c>
      <c r="BS20" s="40">
        <f t="shared" si="168"/>
        <v>10</v>
      </c>
      <c r="BT20" s="39">
        <f t="shared" ref="BT20:BU20" si="169">1/(1+BT18)*BT16</f>
        <v>40686.6</v>
      </c>
      <c r="BU20" s="40">
        <f t="shared" si="169"/>
        <v>10</v>
      </c>
      <c r="BV20" s="39">
        <f t="shared" ref="BV20:BW20" si="170">1/(1+BV18)*BV16</f>
        <v>40686.6</v>
      </c>
      <c r="BW20" s="40">
        <f t="shared" si="170"/>
        <v>10</v>
      </c>
      <c r="BX20" s="39">
        <f t="shared" ref="BX20:BY20" si="171">1/(1+BX18)*BX16</f>
        <v>40686.6</v>
      </c>
      <c r="BY20" s="40">
        <f t="shared" si="171"/>
        <v>10</v>
      </c>
      <c r="BZ20" s="39">
        <f t="shared" ref="BZ20:CA20" si="172">1/(1+BZ18)*BZ16</f>
        <v>40686.6</v>
      </c>
      <c r="CA20" s="40">
        <f t="shared" si="172"/>
        <v>10</v>
      </c>
      <c r="CB20" s="39">
        <f t="shared" ref="CB20:CC20" si="173">1/(1+CB18)*CB16</f>
        <v>40686.6</v>
      </c>
      <c r="CC20" s="40">
        <f t="shared" si="173"/>
        <v>10</v>
      </c>
      <c r="CD20" s="39">
        <f t="shared" ref="CD20:CE20" si="174">1/(1+CD18)*CD16</f>
        <v>40686.6</v>
      </c>
      <c r="CE20" s="40">
        <f t="shared" si="174"/>
        <v>10</v>
      </c>
      <c r="CF20" s="39">
        <f t="shared" ref="CF20:CG20" si="175">1/(1+CF18)*CF16</f>
        <v>40686.6</v>
      </c>
      <c r="CG20" s="40">
        <f t="shared" si="175"/>
        <v>10</v>
      </c>
      <c r="CH20" s="39">
        <f t="shared" ref="CH20:CK20" si="176">1/(1+CH18)*CH16</f>
        <v>40686.6</v>
      </c>
      <c r="CI20" s="40">
        <f t="shared" si="176"/>
        <v>10</v>
      </c>
      <c r="CJ20" s="39">
        <f t="shared" si="176"/>
        <v>40686.6</v>
      </c>
      <c r="CK20" s="40">
        <f t="shared" si="176"/>
        <v>10</v>
      </c>
      <c r="CL20" s="39">
        <f t="shared" ref="CL20:CM20" si="177">1/(1+CL18)*CL16</f>
        <v>40686.6</v>
      </c>
      <c r="CM20" s="40">
        <f t="shared" si="177"/>
        <v>10</v>
      </c>
      <c r="CN20" s="39">
        <f t="shared" ref="CN20:CQ20" si="178">1/(1+CN18)*CN16</f>
        <v>40686.6</v>
      </c>
      <c r="CO20" s="40">
        <f t="shared" si="178"/>
        <v>10</v>
      </c>
      <c r="CP20" s="39">
        <f t="shared" si="178"/>
        <v>40686.6</v>
      </c>
      <c r="CQ20" s="40">
        <f t="shared" si="178"/>
        <v>10</v>
      </c>
      <c r="CR20" s="39">
        <f t="shared" ref="CR20:CS20" si="179">1/(1+CR18)*CR16</f>
        <v>40686.6</v>
      </c>
      <c r="CS20" s="40">
        <f t="shared" si="179"/>
        <v>10</v>
      </c>
      <c r="CT20" s="39">
        <f t="shared" ref="CT20:CU20" si="180">1/(1+CT18)*CT16</f>
        <v>40686.6</v>
      </c>
      <c r="CU20" s="40">
        <f t="shared" si="180"/>
        <v>10</v>
      </c>
      <c r="CV20" s="39">
        <f t="shared" ref="CV20:DA20" si="181">1/(1+CV18)*CV16</f>
        <v>40000</v>
      </c>
      <c r="CW20" s="40">
        <f t="shared" si="181"/>
        <v>9.8312466512316092</v>
      </c>
      <c r="CX20" s="39">
        <f t="shared" si="181"/>
        <v>40000</v>
      </c>
      <c r="CY20" s="40">
        <f t="shared" si="181"/>
        <v>9.8312466512316092</v>
      </c>
      <c r="CZ20" s="39">
        <f t="shared" si="181"/>
        <v>40000</v>
      </c>
      <c r="DA20" s="40">
        <f t="shared" si="181"/>
        <v>9.8312466512316092</v>
      </c>
      <c r="DB20" s="39">
        <f t="shared" ref="DB20:DC20" si="182">1/(1+DB18)*DB16</f>
        <v>40000</v>
      </c>
      <c r="DC20" s="40">
        <f t="shared" si="182"/>
        <v>9.8312466512316092</v>
      </c>
      <c r="DD20" s="39">
        <f t="shared" ref="DD20:DG20" si="183">1/(1+DD18)*DD16</f>
        <v>40000</v>
      </c>
      <c r="DE20" s="40">
        <f t="shared" si="183"/>
        <v>9.8312466512316092</v>
      </c>
      <c r="DF20" s="39">
        <f t="shared" si="183"/>
        <v>40000</v>
      </c>
      <c r="DG20" s="40">
        <f t="shared" si="183"/>
        <v>9.8312466512316092</v>
      </c>
      <c r="DH20" s="39">
        <f t="shared" ref="DH20:DI20" si="184">1/(1+DH18)*DH16</f>
        <v>40000</v>
      </c>
      <c r="DI20" s="40">
        <f t="shared" si="184"/>
        <v>9.8312466512316092</v>
      </c>
      <c r="DJ20" s="39">
        <f t="shared" ref="DJ20:DK20" si="185">1/(1+DJ18)*DJ16</f>
        <v>40000</v>
      </c>
      <c r="DK20" s="40">
        <f t="shared" si="185"/>
        <v>9.8312466512316092</v>
      </c>
    </row>
    <row r="21" spans="1:119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352"/>
      <c r="AG21" s="358"/>
      <c r="AH21" s="352"/>
      <c r="AI21" s="358"/>
      <c r="AJ21" s="352"/>
      <c r="AK21" s="358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352"/>
      <c r="BY21" s="358"/>
      <c r="BZ21" s="352"/>
      <c r="CA21" s="358"/>
      <c r="CB21" s="352"/>
      <c r="CC21" s="358"/>
      <c r="CD21" s="352"/>
      <c r="CE21" s="358"/>
      <c r="CF21" s="352"/>
      <c r="CG21" s="358"/>
      <c r="CH21" s="352"/>
      <c r="CI21" s="358"/>
      <c r="CJ21" s="352"/>
      <c r="CK21" s="358"/>
      <c r="CL21" s="352"/>
      <c r="CM21" s="358"/>
      <c r="CN21" s="352"/>
      <c r="CO21" s="358"/>
      <c r="CP21" s="352"/>
      <c r="CQ21" s="358"/>
      <c r="CR21" s="352"/>
      <c r="CS21" s="358"/>
      <c r="CT21" s="352"/>
      <c r="CU21" s="358"/>
      <c r="CV21" s="352"/>
      <c r="CW21" s="358"/>
      <c r="CX21" s="352"/>
      <c r="CY21" s="358"/>
      <c r="CZ21" s="352"/>
      <c r="DA21" s="358"/>
      <c r="DB21" s="352"/>
      <c r="DC21" s="358"/>
      <c r="DD21" s="352"/>
      <c r="DE21" s="358"/>
      <c r="DF21" s="352"/>
      <c r="DG21" s="358"/>
      <c r="DH21" s="352"/>
      <c r="DI21" s="358"/>
      <c r="DJ21" s="352"/>
      <c r="DK21" s="358"/>
    </row>
    <row r="22" spans="1:119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359"/>
      <c r="AG22" s="360"/>
      <c r="AH22" s="359"/>
      <c r="AI22" s="360"/>
      <c r="AJ22" s="359"/>
      <c r="AK22" s="360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359"/>
      <c r="BY22" s="360"/>
      <c r="BZ22" s="359"/>
      <c r="CA22" s="360"/>
      <c r="CB22" s="359"/>
      <c r="CC22" s="360"/>
      <c r="CD22" s="359"/>
      <c r="CE22" s="360"/>
      <c r="CF22" s="359"/>
      <c r="CG22" s="360"/>
      <c r="CH22" s="359"/>
      <c r="CI22" s="360"/>
      <c r="CJ22" s="359"/>
      <c r="CK22" s="360"/>
      <c r="CL22" s="359"/>
      <c r="CM22" s="360"/>
      <c r="CN22" s="359"/>
      <c r="CO22" s="360"/>
      <c r="CP22" s="359"/>
      <c r="CQ22" s="360"/>
      <c r="CR22" s="359"/>
      <c r="CS22" s="360"/>
      <c r="CT22" s="359"/>
      <c r="CU22" s="360"/>
      <c r="CV22" s="359"/>
      <c r="CW22" s="360"/>
      <c r="CX22" s="359"/>
      <c r="CY22" s="360"/>
      <c r="CZ22" s="359"/>
      <c r="DA22" s="360"/>
      <c r="DB22" s="359"/>
      <c r="DC22" s="360"/>
      <c r="DD22" s="359"/>
      <c r="DE22" s="360"/>
      <c r="DF22" s="359"/>
      <c r="DG22" s="360"/>
      <c r="DH22" s="359"/>
      <c r="DI22" s="360"/>
      <c r="DJ22" s="359"/>
      <c r="DK22" s="360"/>
    </row>
    <row r="23" spans="1:119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O23" si="186">F24/F20</f>
        <v>0.20152547500000009</v>
      </c>
      <c r="G23" s="48">
        <f t="shared" si="186"/>
        <v>0.20152547500000001</v>
      </c>
      <c r="H23" s="47">
        <f t="shared" si="186"/>
        <v>0.19589147499999998</v>
      </c>
      <c r="I23" s="48">
        <f t="shared" si="186"/>
        <v>0.19589147499999993</v>
      </c>
      <c r="J23" s="47">
        <f t="shared" ref="J23:M23" si="187">J24/J20</f>
        <v>0.21678294999999997</v>
      </c>
      <c r="K23" s="48">
        <f t="shared" si="187"/>
        <v>0.21678294999999997</v>
      </c>
      <c r="L23" s="47">
        <f t="shared" si="187"/>
        <v>0.17499999999999999</v>
      </c>
      <c r="M23" s="48">
        <f t="shared" si="187"/>
        <v>0.17499999999999996</v>
      </c>
      <c r="N23" s="361">
        <f t="shared" si="186"/>
        <v>0.19589147499999998</v>
      </c>
      <c r="O23" s="362">
        <f t="shared" si="186"/>
        <v>0.19589147499999993</v>
      </c>
      <c r="P23" s="361">
        <f t="shared" ref="P23:U23" si="188">P24/P20</f>
        <v>0.21678294999999997</v>
      </c>
      <c r="Q23" s="362">
        <f t="shared" si="188"/>
        <v>0.21678294999999997</v>
      </c>
      <c r="R23" s="361">
        <f t="shared" si="188"/>
        <v>0.17499999999999999</v>
      </c>
      <c r="S23" s="362">
        <f t="shared" si="188"/>
        <v>0.17499999999999996</v>
      </c>
      <c r="T23" s="361">
        <f t="shared" si="188"/>
        <v>0.19589147499999998</v>
      </c>
      <c r="U23" s="362">
        <f t="shared" si="188"/>
        <v>0.19589147499999993</v>
      </c>
      <c r="V23" s="361">
        <f t="shared" ref="V23:AG23" si="189">V24/V20</f>
        <v>0.19589147499999998</v>
      </c>
      <c r="W23" s="362">
        <f t="shared" si="189"/>
        <v>0.19589147499999993</v>
      </c>
      <c r="X23" s="361">
        <f t="shared" si="189"/>
        <v>0.19589147499999998</v>
      </c>
      <c r="Y23" s="362">
        <f t="shared" si="189"/>
        <v>0.19589147499999993</v>
      </c>
      <c r="Z23" s="361">
        <f t="shared" si="189"/>
        <v>0.19589147499999998</v>
      </c>
      <c r="AA23" s="362">
        <f t="shared" si="189"/>
        <v>0.19589147499999993</v>
      </c>
      <c r="AB23" s="361">
        <f t="shared" si="189"/>
        <v>0.19589147499999998</v>
      </c>
      <c r="AC23" s="362">
        <f t="shared" si="189"/>
        <v>0.19589147499999993</v>
      </c>
      <c r="AD23" s="361">
        <f t="shared" si="189"/>
        <v>0.19589147499999998</v>
      </c>
      <c r="AE23" s="362">
        <f t="shared" si="189"/>
        <v>0.19589147499999993</v>
      </c>
      <c r="AF23" s="361">
        <f t="shared" si="189"/>
        <v>0.19589147499999998</v>
      </c>
      <c r="AG23" s="362">
        <f t="shared" si="189"/>
        <v>0.19589147499999993</v>
      </c>
      <c r="AH23" s="361">
        <f t="shared" ref="AH23:AI23" si="190">AH24/AH20</f>
        <v>0.19589147499999998</v>
      </c>
      <c r="AI23" s="362">
        <f t="shared" si="190"/>
        <v>0.19589147499999993</v>
      </c>
      <c r="AJ23" s="361">
        <f t="shared" ref="AJ23:AK23" si="191">AJ24/AJ20</f>
        <v>0.19589147499999998</v>
      </c>
      <c r="AK23" s="362">
        <f t="shared" si="191"/>
        <v>0.19589147499999993</v>
      </c>
      <c r="AL23" s="361">
        <f t="shared" ref="AL23:AO23" si="192">AL24/AL20</f>
        <v>0.19589147499999998</v>
      </c>
      <c r="AM23" s="362">
        <f t="shared" si="192"/>
        <v>0.19589147499999993</v>
      </c>
      <c r="AN23" s="361">
        <f t="shared" si="192"/>
        <v>0.19589147499999998</v>
      </c>
      <c r="AO23" s="362">
        <f t="shared" si="192"/>
        <v>0.19589147499999993</v>
      </c>
      <c r="AP23" s="361">
        <f t="shared" ref="AP23:AU23" si="193">AP24/AP20</f>
        <v>0.19589147499999998</v>
      </c>
      <c r="AQ23" s="362">
        <f t="shared" si="193"/>
        <v>0.19589147499999993</v>
      </c>
      <c r="AR23" s="361">
        <f t="shared" si="193"/>
        <v>0.19589147499999998</v>
      </c>
      <c r="AS23" s="362">
        <f t="shared" si="193"/>
        <v>0.19589147499999993</v>
      </c>
      <c r="AT23" s="361">
        <f t="shared" si="193"/>
        <v>0.19589147499999998</v>
      </c>
      <c r="AU23" s="362">
        <f t="shared" si="193"/>
        <v>0.19589147499999993</v>
      </c>
      <c r="AV23" s="361">
        <f t="shared" ref="AV23:BA23" si="194">AV24/AV20</f>
        <v>0.19589147499999998</v>
      </c>
      <c r="AW23" s="362">
        <f t="shared" si="194"/>
        <v>0.19589147499999993</v>
      </c>
      <c r="AX23" s="361">
        <f t="shared" si="194"/>
        <v>0.19589147499999998</v>
      </c>
      <c r="AY23" s="362">
        <f t="shared" si="194"/>
        <v>0.19589147499999993</v>
      </c>
      <c r="AZ23" s="361">
        <f t="shared" si="194"/>
        <v>0.19589147499999998</v>
      </c>
      <c r="BA23" s="362">
        <f t="shared" si="194"/>
        <v>0.19589147499999993</v>
      </c>
      <c r="BB23" s="361">
        <f t="shared" ref="BB23:BC23" si="195">BB24/BB20</f>
        <v>0.19589147499999998</v>
      </c>
      <c r="BC23" s="362">
        <f t="shared" si="195"/>
        <v>0.19589147499999993</v>
      </c>
      <c r="BD23" s="361">
        <f t="shared" ref="BD23:BE23" si="196">BD24/BD20</f>
        <v>0.19589147499999998</v>
      </c>
      <c r="BE23" s="362">
        <f t="shared" si="196"/>
        <v>0.19589147499999993</v>
      </c>
      <c r="BF23" s="361">
        <f t="shared" ref="BF23:BI23" si="197">BF24/BF20</f>
        <v>0.19589147499999998</v>
      </c>
      <c r="BG23" s="362">
        <f t="shared" si="197"/>
        <v>0.19589147499999993</v>
      </c>
      <c r="BH23" s="361">
        <f t="shared" si="197"/>
        <v>0.19589147499999998</v>
      </c>
      <c r="BI23" s="362">
        <f t="shared" si="197"/>
        <v>0.19589147499999993</v>
      </c>
      <c r="BJ23" s="361">
        <f t="shared" ref="BJ23:BQ23" si="198">BJ24/BJ20</f>
        <v>0.19589147499999998</v>
      </c>
      <c r="BK23" s="362">
        <f t="shared" si="198"/>
        <v>0.19589147499999993</v>
      </c>
      <c r="BL23" s="361">
        <f t="shared" si="198"/>
        <v>0.2</v>
      </c>
      <c r="BM23" s="362">
        <f t="shared" si="198"/>
        <v>0.2</v>
      </c>
      <c r="BN23" s="361">
        <f t="shared" si="198"/>
        <v>0.2</v>
      </c>
      <c r="BO23" s="362">
        <f t="shared" si="198"/>
        <v>0.2</v>
      </c>
      <c r="BP23" s="361">
        <f t="shared" si="198"/>
        <v>0.2</v>
      </c>
      <c r="BQ23" s="362">
        <f t="shared" si="198"/>
        <v>0.2</v>
      </c>
      <c r="BR23" s="361">
        <f t="shared" ref="BR23:BS23" si="199">BR24/BR20</f>
        <v>0.2</v>
      </c>
      <c r="BS23" s="362">
        <f t="shared" si="199"/>
        <v>0.2</v>
      </c>
      <c r="BT23" s="361">
        <f t="shared" ref="BT23:BU23" si="200">BT24/BT20</f>
        <v>0.2</v>
      </c>
      <c r="BU23" s="362">
        <f t="shared" si="200"/>
        <v>0.2</v>
      </c>
      <c r="BV23" s="361">
        <f t="shared" ref="BV23:BW23" si="201">BV24/BV20</f>
        <v>0.2</v>
      </c>
      <c r="BW23" s="362">
        <f t="shared" si="201"/>
        <v>0.2</v>
      </c>
      <c r="BX23" s="361">
        <f t="shared" ref="BX23:BY23" si="202">BX24/BX20</f>
        <v>0.2</v>
      </c>
      <c r="BY23" s="362">
        <f t="shared" si="202"/>
        <v>0.2</v>
      </c>
      <c r="BZ23" s="361">
        <f t="shared" ref="BZ23:CA23" si="203">BZ24/BZ20</f>
        <v>0.2</v>
      </c>
      <c r="CA23" s="362">
        <f t="shared" si="203"/>
        <v>0.2</v>
      </c>
      <c r="CB23" s="361">
        <f t="shared" ref="CB23:CC23" si="204">CB24/CB20</f>
        <v>0.2</v>
      </c>
      <c r="CC23" s="362">
        <f t="shared" si="204"/>
        <v>0.2</v>
      </c>
      <c r="CD23" s="361">
        <f t="shared" ref="CD23:CE23" si="205">CD24/CD20</f>
        <v>0.2</v>
      </c>
      <c r="CE23" s="362">
        <f t="shared" si="205"/>
        <v>0.2</v>
      </c>
      <c r="CF23" s="361">
        <f t="shared" ref="CF23:CG23" si="206">CF24/CF20</f>
        <v>0.2</v>
      </c>
      <c r="CG23" s="362">
        <f t="shared" si="206"/>
        <v>0.2</v>
      </c>
      <c r="CH23" s="361">
        <f t="shared" ref="CH23:CK23" si="207">CH24/CH20</f>
        <v>0.2</v>
      </c>
      <c r="CI23" s="362">
        <f t="shared" si="207"/>
        <v>0.2</v>
      </c>
      <c r="CJ23" s="361">
        <f t="shared" si="207"/>
        <v>0.2</v>
      </c>
      <c r="CK23" s="362">
        <f t="shared" si="207"/>
        <v>0.2</v>
      </c>
      <c r="CL23" s="361">
        <f t="shared" ref="CL23:CM23" si="208">CL24/CL20</f>
        <v>0.2</v>
      </c>
      <c r="CM23" s="362">
        <f t="shared" si="208"/>
        <v>0.2</v>
      </c>
      <c r="CN23" s="361">
        <f t="shared" ref="CN23:CQ23" si="209">CN24/CN20</f>
        <v>0.2</v>
      </c>
      <c r="CO23" s="362">
        <f t="shared" si="209"/>
        <v>0.2</v>
      </c>
      <c r="CP23" s="361">
        <f t="shared" si="209"/>
        <v>0.2</v>
      </c>
      <c r="CQ23" s="362">
        <f t="shared" si="209"/>
        <v>0.2</v>
      </c>
      <c r="CR23" s="361">
        <f t="shared" ref="CR23:CS23" si="210">CR24/CR20</f>
        <v>0.2</v>
      </c>
      <c r="CS23" s="362">
        <f t="shared" si="210"/>
        <v>0.2</v>
      </c>
      <c r="CT23" s="361">
        <f t="shared" ref="CT23:CU23" si="211">CT24/CT20</f>
        <v>0.18000000000000008</v>
      </c>
      <c r="CU23" s="362">
        <f t="shared" si="211"/>
        <v>0.18000000000000008</v>
      </c>
      <c r="CV23" s="361">
        <f t="shared" ref="CV23:DA23" si="212">CV24/CV20</f>
        <v>0.19589147499999998</v>
      </c>
      <c r="CW23" s="362">
        <f t="shared" si="212"/>
        <v>0.19589147499999993</v>
      </c>
      <c r="CX23" s="361">
        <f t="shared" si="212"/>
        <v>0.19589147499999998</v>
      </c>
      <c r="CY23" s="362">
        <f t="shared" si="212"/>
        <v>0.19589147499999993</v>
      </c>
      <c r="CZ23" s="361">
        <f t="shared" si="212"/>
        <v>0.19589147499999998</v>
      </c>
      <c r="DA23" s="362">
        <f t="shared" si="212"/>
        <v>0.19589147499999993</v>
      </c>
      <c r="DB23" s="361">
        <f t="shared" ref="DB23:DC23" si="213">DB24/DB20</f>
        <v>0.19589147499999998</v>
      </c>
      <c r="DC23" s="362">
        <f t="shared" si="213"/>
        <v>0.19589147499999993</v>
      </c>
      <c r="DD23" s="361">
        <f t="shared" ref="DD23:DG23" si="214">DD24/DD20</f>
        <v>0.19589147499999998</v>
      </c>
      <c r="DE23" s="362">
        <f t="shared" si="214"/>
        <v>0.19589147499999993</v>
      </c>
      <c r="DF23" s="361">
        <f t="shared" si="214"/>
        <v>0.18626800000000002</v>
      </c>
      <c r="DG23" s="362">
        <f t="shared" si="214"/>
        <v>0.18626799999999999</v>
      </c>
      <c r="DH23" s="361">
        <f t="shared" ref="DH23:DI23" si="215">DH24/DH20</f>
        <v>0.17249667999999985</v>
      </c>
      <c r="DI23" s="362">
        <f t="shared" si="215"/>
        <v>0.17249667999999979</v>
      </c>
      <c r="DJ23" s="361">
        <f t="shared" ref="DJ23:DK23" si="216">DJ24/DJ20</f>
        <v>0.1958914749999999</v>
      </c>
      <c r="DK23" s="362">
        <f t="shared" si="216"/>
        <v>0.19589147499999984</v>
      </c>
      <c r="DO23" s="1089">
        <f>8.2/40</f>
        <v>0.20499999999999999</v>
      </c>
    </row>
    <row r="24" spans="1:119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O24" si="217">F20-F26</f>
        <v>8061.0190000000039</v>
      </c>
      <c r="G24" s="24">
        <f t="shared" si="217"/>
        <v>1.9812466512316096</v>
      </c>
      <c r="H24" s="50">
        <f t="shared" si="217"/>
        <v>7835.6589999999997</v>
      </c>
      <c r="I24" s="24">
        <f t="shared" si="217"/>
        <v>1.9258574075985697</v>
      </c>
      <c r="J24" s="50">
        <f t="shared" ref="J24:M24" si="218">J20-J26</f>
        <v>8671.3179999999993</v>
      </c>
      <c r="K24" s="24">
        <f t="shared" si="218"/>
        <v>2.1312466512316091</v>
      </c>
      <c r="L24" s="50">
        <f t="shared" si="218"/>
        <v>7000</v>
      </c>
      <c r="M24" s="24">
        <f t="shared" si="218"/>
        <v>1.7204681639655313</v>
      </c>
      <c r="N24" s="363">
        <f t="shared" si="217"/>
        <v>7835.6589999999997</v>
      </c>
      <c r="O24" s="351">
        <f t="shared" si="217"/>
        <v>1.9258574075985697</v>
      </c>
      <c r="P24" s="363">
        <f t="shared" ref="P24:U24" si="219">P20-P26</f>
        <v>8671.3179999999993</v>
      </c>
      <c r="Q24" s="351">
        <f t="shared" si="219"/>
        <v>2.1312466512316091</v>
      </c>
      <c r="R24" s="363">
        <f t="shared" si="219"/>
        <v>7000</v>
      </c>
      <c r="S24" s="351">
        <f t="shared" si="219"/>
        <v>1.7204681639655313</v>
      </c>
      <c r="T24" s="363">
        <f t="shared" si="219"/>
        <v>7835.6589999999997</v>
      </c>
      <c r="U24" s="351">
        <f t="shared" si="219"/>
        <v>1.9258574075985697</v>
      </c>
      <c r="V24" s="363">
        <f t="shared" ref="V24:AG24" si="220">V20-V26</f>
        <v>7835.6589999999997</v>
      </c>
      <c r="W24" s="351">
        <f t="shared" si="220"/>
        <v>1.9258574075985697</v>
      </c>
      <c r="X24" s="363">
        <f t="shared" si="220"/>
        <v>7835.6589999999997</v>
      </c>
      <c r="Y24" s="351">
        <f t="shared" si="220"/>
        <v>1.9258574075985697</v>
      </c>
      <c r="Z24" s="363">
        <f t="shared" si="220"/>
        <v>7835.6589999999997</v>
      </c>
      <c r="AA24" s="351">
        <f t="shared" si="220"/>
        <v>1.9258574075985697</v>
      </c>
      <c r="AB24" s="363">
        <f t="shared" si="220"/>
        <v>7835.6589999999997</v>
      </c>
      <c r="AC24" s="351">
        <f t="shared" si="220"/>
        <v>1.9258574075985697</v>
      </c>
      <c r="AD24" s="363">
        <f t="shared" si="220"/>
        <v>7835.6589999999997</v>
      </c>
      <c r="AE24" s="351">
        <f t="shared" si="220"/>
        <v>1.9258574075985697</v>
      </c>
      <c r="AF24" s="363">
        <f t="shared" si="220"/>
        <v>7835.6589999999997</v>
      </c>
      <c r="AG24" s="351">
        <f t="shared" si="220"/>
        <v>1.9258574075985697</v>
      </c>
      <c r="AH24" s="363">
        <f t="shared" ref="AH24:AI24" si="221">AH20-AH26</f>
        <v>7835.6589999999997</v>
      </c>
      <c r="AI24" s="351">
        <f t="shared" si="221"/>
        <v>1.9258574075985697</v>
      </c>
      <c r="AJ24" s="363">
        <f t="shared" ref="AJ24:AK24" si="222">AJ20-AJ26</f>
        <v>7835.6589999999997</v>
      </c>
      <c r="AK24" s="351">
        <f t="shared" si="222"/>
        <v>1.9258574075985697</v>
      </c>
      <c r="AL24" s="363">
        <f t="shared" ref="AL24:AO24" si="223">AL20-AL26</f>
        <v>7835.6589999999997</v>
      </c>
      <c r="AM24" s="351">
        <f t="shared" si="223"/>
        <v>1.9258574075985697</v>
      </c>
      <c r="AN24" s="363">
        <f t="shared" si="223"/>
        <v>7835.6589999999997</v>
      </c>
      <c r="AO24" s="351">
        <f t="shared" si="223"/>
        <v>1.9258574075985697</v>
      </c>
      <c r="AP24" s="363">
        <f t="shared" ref="AP24:AU24" si="224">AP20-AP26</f>
        <v>7835.6589999999997</v>
      </c>
      <c r="AQ24" s="351">
        <f t="shared" si="224"/>
        <v>1.9258574075985697</v>
      </c>
      <c r="AR24" s="363">
        <f t="shared" si="224"/>
        <v>7835.6589999999997</v>
      </c>
      <c r="AS24" s="351">
        <f t="shared" si="224"/>
        <v>1.9258574075985697</v>
      </c>
      <c r="AT24" s="363">
        <f t="shared" si="224"/>
        <v>7835.6589999999997</v>
      </c>
      <c r="AU24" s="351">
        <f t="shared" si="224"/>
        <v>1.9258574075985697</v>
      </c>
      <c r="AV24" s="363">
        <f t="shared" ref="AV24:BA24" si="225">AV20-AV26</f>
        <v>7835.6589999999997</v>
      </c>
      <c r="AW24" s="351">
        <f t="shared" si="225"/>
        <v>1.9258574075985697</v>
      </c>
      <c r="AX24" s="363">
        <f t="shared" si="225"/>
        <v>7835.6589999999997</v>
      </c>
      <c r="AY24" s="351">
        <f t="shared" si="225"/>
        <v>1.9258574075985697</v>
      </c>
      <c r="AZ24" s="363">
        <f t="shared" si="225"/>
        <v>7835.6589999999997</v>
      </c>
      <c r="BA24" s="351">
        <f t="shared" si="225"/>
        <v>1.9258574075985697</v>
      </c>
      <c r="BB24" s="363">
        <f t="shared" ref="BB24:BC24" si="226">BB20-BB26</f>
        <v>7835.6589999999997</v>
      </c>
      <c r="BC24" s="351">
        <f t="shared" si="226"/>
        <v>1.9258574075985697</v>
      </c>
      <c r="BD24" s="363">
        <f t="shared" ref="BD24:BE24" si="227">BD20-BD26</f>
        <v>7835.6589999999997</v>
      </c>
      <c r="BE24" s="351">
        <f t="shared" si="227"/>
        <v>1.9258574075985697</v>
      </c>
      <c r="BF24" s="363">
        <f t="shared" ref="BF24:BI24" si="228">BF20-BF26</f>
        <v>7835.6589999999997</v>
      </c>
      <c r="BG24" s="351">
        <f t="shared" si="228"/>
        <v>1.9258574075985697</v>
      </c>
      <c r="BH24" s="363">
        <f t="shared" si="228"/>
        <v>7835.6589999999997</v>
      </c>
      <c r="BI24" s="351">
        <f t="shared" si="228"/>
        <v>1.9258574075985697</v>
      </c>
      <c r="BJ24" s="363">
        <f t="shared" ref="BJ24:BQ24" si="229">BJ20-BJ26</f>
        <v>7835.6589999999997</v>
      </c>
      <c r="BK24" s="351">
        <f t="shared" si="229"/>
        <v>1.9258574075985697</v>
      </c>
      <c r="BL24" s="363">
        <f t="shared" si="229"/>
        <v>8137.32</v>
      </c>
      <c r="BM24" s="351">
        <f t="shared" si="229"/>
        <v>2</v>
      </c>
      <c r="BN24" s="363">
        <f t="shared" si="229"/>
        <v>8137.32</v>
      </c>
      <c r="BO24" s="351">
        <f t="shared" si="229"/>
        <v>2</v>
      </c>
      <c r="BP24" s="363">
        <f t="shared" si="229"/>
        <v>8137.32</v>
      </c>
      <c r="BQ24" s="351">
        <f t="shared" si="229"/>
        <v>2</v>
      </c>
      <c r="BR24" s="363">
        <f t="shared" ref="BR24:BS24" si="230">BR20-BR26</f>
        <v>8137.32</v>
      </c>
      <c r="BS24" s="351">
        <f t="shared" si="230"/>
        <v>2</v>
      </c>
      <c r="BT24" s="363">
        <f t="shared" ref="BT24:BU24" si="231">BT20-BT26</f>
        <v>8137.32</v>
      </c>
      <c r="BU24" s="351">
        <f t="shared" si="231"/>
        <v>2</v>
      </c>
      <c r="BV24" s="363">
        <f t="shared" ref="BV24:BW24" si="232">BV20-BV26</f>
        <v>8137.32</v>
      </c>
      <c r="BW24" s="351">
        <f t="shared" si="232"/>
        <v>2</v>
      </c>
      <c r="BX24" s="363">
        <f t="shared" ref="BX24:BY24" si="233">BX20-BX26</f>
        <v>8137.32</v>
      </c>
      <c r="BY24" s="351">
        <f t="shared" si="233"/>
        <v>2</v>
      </c>
      <c r="BZ24" s="363">
        <f t="shared" ref="BZ24:CA24" si="234">BZ20-BZ26</f>
        <v>8137.32</v>
      </c>
      <c r="CA24" s="351">
        <f t="shared" si="234"/>
        <v>2</v>
      </c>
      <c r="CB24" s="363">
        <f t="shared" ref="CB24:CC24" si="235">CB20-CB26</f>
        <v>8137.32</v>
      </c>
      <c r="CC24" s="351">
        <f t="shared" si="235"/>
        <v>2</v>
      </c>
      <c r="CD24" s="363">
        <f t="shared" ref="CD24:CE24" si="236">CD20-CD26</f>
        <v>8137.32</v>
      </c>
      <c r="CE24" s="351">
        <f t="shared" si="236"/>
        <v>2</v>
      </c>
      <c r="CF24" s="363">
        <f t="shared" ref="CF24:CG24" si="237">CF20-CF26</f>
        <v>8137.32</v>
      </c>
      <c r="CG24" s="351">
        <f t="shared" si="237"/>
        <v>2</v>
      </c>
      <c r="CH24" s="363">
        <f t="shared" ref="CH24:CK24" si="238">CH20-CH26</f>
        <v>8137.32</v>
      </c>
      <c r="CI24" s="351">
        <f t="shared" si="238"/>
        <v>2</v>
      </c>
      <c r="CJ24" s="363">
        <f t="shared" si="238"/>
        <v>8137.32</v>
      </c>
      <c r="CK24" s="351">
        <f t="shared" si="238"/>
        <v>2</v>
      </c>
      <c r="CL24" s="363">
        <f t="shared" ref="CL24:CM24" si="239">CL20-CL26</f>
        <v>8137.32</v>
      </c>
      <c r="CM24" s="351">
        <f t="shared" si="239"/>
        <v>2</v>
      </c>
      <c r="CN24" s="363">
        <f t="shared" ref="CN24:CQ24" si="240">CN20-CN26</f>
        <v>8137.32</v>
      </c>
      <c r="CO24" s="351">
        <f t="shared" si="240"/>
        <v>2</v>
      </c>
      <c r="CP24" s="363">
        <f t="shared" si="240"/>
        <v>8137.32</v>
      </c>
      <c r="CQ24" s="351">
        <f t="shared" si="240"/>
        <v>2</v>
      </c>
      <c r="CR24" s="363">
        <f t="shared" ref="CR24:CS24" si="241">CR20-CR26</f>
        <v>8137.32</v>
      </c>
      <c r="CS24" s="351">
        <f t="shared" si="241"/>
        <v>2</v>
      </c>
      <c r="CT24" s="363">
        <f t="shared" ref="CT24:CU24" si="242">CT20-CT26</f>
        <v>7323.5880000000034</v>
      </c>
      <c r="CU24" s="351">
        <f t="shared" si="242"/>
        <v>1.8000000000000007</v>
      </c>
      <c r="CV24" s="363">
        <f t="shared" ref="CV24:DA24" si="243">CV20-CV26</f>
        <v>7835.6589999999997</v>
      </c>
      <c r="CW24" s="351">
        <f t="shared" si="243"/>
        <v>1.9258574075985697</v>
      </c>
      <c r="CX24" s="363">
        <f t="shared" si="243"/>
        <v>7835.6589999999997</v>
      </c>
      <c r="CY24" s="351">
        <f t="shared" si="243"/>
        <v>1.9258574075985697</v>
      </c>
      <c r="CZ24" s="363">
        <f t="shared" si="243"/>
        <v>7835.6589999999997</v>
      </c>
      <c r="DA24" s="351">
        <f t="shared" si="243"/>
        <v>1.9258574075985697</v>
      </c>
      <c r="DB24" s="363">
        <f t="shared" ref="DB24:DC24" si="244">DB20-DB26</f>
        <v>7835.6589999999997</v>
      </c>
      <c r="DC24" s="351">
        <f t="shared" si="244"/>
        <v>1.9258574075985697</v>
      </c>
      <c r="DD24" s="363">
        <f t="shared" ref="DD24:DG24" si="245">DD20-DD26</f>
        <v>7835.6589999999997</v>
      </c>
      <c r="DE24" s="351">
        <f t="shared" si="245"/>
        <v>1.9258574075985697</v>
      </c>
      <c r="DF24" s="363">
        <f t="shared" si="245"/>
        <v>7450.7200000000012</v>
      </c>
      <c r="DG24" s="351">
        <f t="shared" si="245"/>
        <v>1.8312466512316092</v>
      </c>
      <c r="DH24" s="363">
        <f t="shared" ref="DH24:DI24" si="246">DH20-DH26</f>
        <v>6899.8671999999933</v>
      </c>
      <c r="DI24" s="351">
        <f t="shared" si="246"/>
        <v>1.6958574075985684</v>
      </c>
      <c r="DJ24" s="363">
        <f t="shared" ref="DJ24:DK24" si="247">DJ20-DJ26</f>
        <v>7835.658999999996</v>
      </c>
      <c r="DK24" s="351">
        <f t="shared" si="247"/>
        <v>1.9258574075985688</v>
      </c>
      <c r="DO24" s="1087"/>
    </row>
    <row r="25" spans="1:119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DK25" si="248">F26</f>
        <v>31938.980999999996</v>
      </c>
      <c r="G25" s="55">
        <f t="shared" si="248"/>
        <v>7.85</v>
      </c>
      <c r="H25" s="54">
        <f t="shared" si="248"/>
        <v>32164.341</v>
      </c>
      <c r="I25" s="55">
        <f t="shared" si="248"/>
        <v>7.9053892436330395</v>
      </c>
      <c r="J25" s="54">
        <f t="shared" si="248"/>
        <v>31328.682000000001</v>
      </c>
      <c r="K25" s="55">
        <f t="shared" si="248"/>
        <v>7.7</v>
      </c>
      <c r="L25" s="54">
        <f t="shared" si="248"/>
        <v>33000</v>
      </c>
      <c r="M25" s="55">
        <f t="shared" si="248"/>
        <v>8.110778487266078</v>
      </c>
      <c r="N25" s="54">
        <f t="shared" si="248"/>
        <v>32164.341</v>
      </c>
      <c r="O25" s="55">
        <f t="shared" si="248"/>
        <v>7.9053892436330395</v>
      </c>
      <c r="P25" s="54">
        <f t="shared" si="248"/>
        <v>31328.682000000001</v>
      </c>
      <c r="Q25" s="55">
        <f t="shared" si="248"/>
        <v>7.7</v>
      </c>
      <c r="R25" s="54">
        <f t="shared" si="248"/>
        <v>33000</v>
      </c>
      <c r="S25" s="55">
        <f t="shared" si="248"/>
        <v>8.110778487266078</v>
      </c>
      <c r="T25" s="54">
        <f t="shared" si="248"/>
        <v>32164.341</v>
      </c>
      <c r="U25" s="55">
        <f t="shared" si="248"/>
        <v>7.9053892436330395</v>
      </c>
      <c r="V25" s="54">
        <f t="shared" si="248"/>
        <v>32164.341</v>
      </c>
      <c r="W25" s="55">
        <f t="shared" si="248"/>
        <v>7.9053892436330395</v>
      </c>
      <c r="X25" s="54">
        <f t="shared" si="248"/>
        <v>32164.341</v>
      </c>
      <c r="Y25" s="55">
        <f t="shared" si="248"/>
        <v>7.9053892436330395</v>
      </c>
      <c r="Z25" s="54">
        <f t="shared" si="248"/>
        <v>32164.341</v>
      </c>
      <c r="AA25" s="55">
        <f t="shared" si="248"/>
        <v>7.9053892436330395</v>
      </c>
      <c r="AB25" s="54">
        <f t="shared" si="248"/>
        <v>32164.341</v>
      </c>
      <c r="AC25" s="55">
        <f t="shared" si="248"/>
        <v>7.9053892436330395</v>
      </c>
      <c r="AD25" s="54">
        <f t="shared" si="248"/>
        <v>32164.341</v>
      </c>
      <c r="AE25" s="55">
        <f t="shared" si="248"/>
        <v>7.9053892436330395</v>
      </c>
      <c r="AF25" s="54">
        <f t="shared" si="248"/>
        <v>32164.341</v>
      </c>
      <c r="AG25" s="55">
        <f t="shared" si="248"/>
        <v>7.9053892436330395</v>
      </c>
      <c r="AH25" s="54">
        <f t="shared" si="248"/>
        <v>32164.341</v>
      </c>
      <c r="AI25" s="55">
        <f t="shared" si="248"/>
        <v>7.9053892436330395</v>
      </c>
      <c r="AJ25" s="54">
        <f t="shared" si="248"/>
        <v>32164.341</v>
      </c>
      <c r="AK25" s="55">
        <f t="shared" si="248"/>
        <v>7.9053892436330395</v>
      </c>
      <c r="AL25" s="54">
        <f t="shared" si="248"/>
        <v>32164.341</v>
      </c>
      <c r="AM25" s="55">
        <f t="shared" si="248"/>
        <v>7.9053892436330395</v>
      </c>
      <c r="AN25" s="54">
        <f t="shared" si="248"/>
        <v>32164.341</v>
      </c>
      <c r="AO25" s="55">
        <f t="shared" si="248"/>
        <v>7.9053892436330395</v>
      </c>
      <c r="AP25" s="54">
        <f t="shared" si="248"/>
        <v>32164.341</v>
      </c>
      <c r="AQ25" s="55">
        <f t="shared" si="248"/>
        <v>7.9053892436330395</v>
      </c>
      <c r="AR25" s="54">
        <f t="shared" si="248"/>
        <v>32164.341</v>
      </c>
      <c r="AS25" s="55">
        <f t="shared" si="248"/>
        <v>7.9053892436330395</v>
      </c>
      <c r="AT25" s="54">
        <f t="shared" si="248"/>
        <v>32164.341</v>
      </c>
      <c r="AU25" s="55">
        <f t="shared" si="248"/>
        <v>7.9053892436330395</v>
      </c>
      <c r="AV25" s="54">
        <f t="shared" si="248"/>
        <v>32164.341</v>
      </c>
      <c r="AW25" s="55">
        <f t="shared" si="248"/>
        <v>7.9053892436330395</v>
      </c>
      <c r="AX25" s="54">
        <f t="shared" si="248"/>
        <v>32164.341</v>
      </c>
      <c r="AY25" s="55">
        <f t="shared" si="248"/>
        <v>7.9053892436330395</v>
      </c>
      <c r="AZ25" s="54">
        <f t="shared" si="248"/>
        <v>32164.341</v>
      </c>
      <c r="BA25" s="55">
        <f t="shared" si="248"/>
        <v>7.9053892436330395</v>
      </c>
      <c r="BB25" s="54">
        <f t="shared" si="248"/>
        <v>32164.341</v>
      </c>
      <c r="BC25" s="55">
        <f t="shared" si="248"/>
        <v>7.9053892436330395</v>
      </c>
      <c r="BD25" s="54">
        <f t="shared" si="248"/>
        <v>32164.341</v>
      </c>
      <c r="BE25" s="55">
        <f t="shared" si="248"/>
        <v>7.9053892436330395</v>
      </c>
      <c r="BF25" s="54">
        <f t="shared" si="248"/>
        <v>32164.341</v>
      </c>
      <c r="BG25" s="55">
        <f t="shared" si="248"/>
        <v>7.9053892436330395</v>
      </c>
      <c r="BH25" s="54">
        <f t="shared" si="248"/>
        <v>32164.341</v>
      </c>
      <c r="BI25" s="55">
        <f t="shared" si="248"/>
        <v>7.9053892436330395</v>
      </c>
      <c r="BJ25" s="54">
        <f t="shared" si="248"/>
        <v>32164.341</v>
      </c>
      <c r="BK25" s="55">
        <f t="shared" si="248"/>
        <v>7.9053892436330395</v>
      </c>
      <c r="BL25" s="54">
        <f t="shared" si="248"/>
        <v>32549.279999999999</v>
      </c>
      <c r="BM25" s="55">
        <f t="shared" si="248"/>
        <v>8</v>
      </c>
      <c r="BN25" s="54">
        <f t="shared" si="248"/>
        <v>32549.279999999999</v>
      </c>
      <c r="BO25" s="55">
        <f t="shared" si="248"/>
        <v>8</v>
      </c>
      <c r="BP25" s="54">
        <f t="shared" si="248"/>
        <v>32549.279999999999</v>
      </c>
      <c r="BQ25" s="55">
        <f t="shared" si="248"/>
        <v>8</v>
      </c>
      <c r="BR25" s="54">
        <f t="shared" si="248"/>
        <v>32549.279999999999</v>
      </c>
      <c r="BS25" s="55">
        <f t="shared" si="248"/>
        <v>8</v>
      </c>
      <c r="BT25" s="54">
        <f t="shared" si="248"/>
        <v>32549.279999999999</v>
      </c>
      <c r="BU25" s="55">
        <f t="shared" si="248"/>
        <v>8</v>
      </c>
      <c r="BV25" s="54">
        <f t="shared" si="248"/>
        <v>32549.279999999999</v>
      </c>
      <c r="BW25" s="55">
        <f t="shared" si="248"/>
        <v>8</v>
      </c>
      <c r="BX25" s="54">
        <f t="shared" si="248"/>
        <v>32549.279999999999</v>
      </c>
      <c r="BY25" s="55">
        <f t="shared" si="248"/>
        <v>8</v>
      </c>
      <c r="BZ25" s="54">
        <f t="shared" si="248"/>
        <v>32549.279999999999</v>
      </c>
      <c r="CA25" s="55">
        <f t="shared" si="248"/>
        <v>8</v>
      </c>
      <c r="CB25" s="54">
        <f t="shared" si="248"/>
        <v>32549.279999999999</v>
      </c>
      <c r="CC25" s="55">
        <f t="shared" si="248"/>
        <v>8</v>
      </c>
      <c r="CD25" s="54">
        <f t="shared" si="248"/>
        <v>32549.279999999999</v>
      </c>
      <c r="CE25" s="55">
        <f t="shared" si="248"/>
        <v>8</v>
      </c>
      <c r="CF25" s="54">
        <f t="shared" si="248"/>
        <v>32549.279999999999</v>
      </c>
      <c r="CG25" s="55">
        <f t="shared" si="248"/>
        <v>8</v>
      </c>
      <c r="CH25" s="54">
        <f t="shared" si="248"/>
        <v>32549.279999999999</v>
      </c>
      <c r="CI25" s="55">
        <f t="shared" si="248"/>
        <v>8</v>
      </c>
      <c r="CJ25" s="54">
        <f t="shared" si="248"/>
        <v>32549.279999999999</v>
      </c>
      <c r="CK25" s="55">
        <f t="shared" si="248"/>
        <v>8</v>
      </c>
      <c r="CL25" s="54">
        <f t="shared" si="248"/>
        <v>32549.279999999999</v>
      </c>
      <c r="CM25" s="55">
        <f t="shared" si="248"/>
        <v>8</v>
      </c>
      <c r="CN25" s="54">
        <f t="shared" si="248"/>
        <v>32549.279999999999</v>
      </c>
      <c r="CO25" s="55">
        <f t="shared" si="248"/>
        <v>8</v>
      </c>
      <c r="CP25" s="54">
        <f t="shared" si="248"/>
        <v>32549.279999999999</v>
      </c>
      <c r="CQ25" s="55">
        <f t="shared" si="248"/>
        <v>8</v>
      </c>
      <c r="CR25" s="54">
        <f t="shared" si="248"/>
        <v>32549.279999999999</v>
      </c>
      <c r="CS25" s="55">
        <f t="shared" si="248"/>
        <v>8</v>
      </c>
      <c r="CT25" s="54">
        <f t="shared" si="248"/>
        <v>33363.011999999995</v>
      </c>
      <c r="CU25" s="55">
        <f t="shared" si="248"/>
        <v>8.1999999999999993</v>
      </c>
      <c r="CV25" s="54">
        <f t="shared" si="248"/>
        <v>32164.341</v>
      </c>
      <c r="CW25" s="55">
        <f t="shared" si="248"/>
        <v>7.9053892436330395</v>
      </c>
      <c r="CX25" s="54">
        <f t="shared" si="248"/>
        <v>32164.341</v>
      </c>
      <c r="CY25" s="55">
        <f t="shared" si="248"/>
        <v>7.9053892436330395</v>
      </c>
      <c r="CZ25" s="54">
        <f t="shared" si="248"/>
        <v>32164.341</v>
      </c>
      <c r="DA25" s="55">
        <f t="shared" si="248"/>
        <v>7.9053892436330395</v>
      </c>
      <c r="DB25" s="54">
        <f t="shared" si="248"/>
        <v>32164.341</v>
      </c>
      <c r="DC25" s="55">
        <f t="shared" si="248"/>
        <v>7.9053892436330395</v>
      </c>
      <c r="DD25" s="54">
        <f>DD26</f>
        <v>32164.341</v>
      </c>
      <c r="DE25" s="55">
        <f>DE26</f>
        <v>7.9053892436330395</v>
      </c>
      <c r="DF25" s="54">
        <f t="shared" si="248"/>
        <v>32549.279999999999</v>
      </c>
      <c r="DG25" s="55">
        <f t="shared" si="248"/>
        <v>8</v>
      </c>
      <c r="DH25" s="54">
        <f t="shared" si="248"/>
        <v>33100.132800000007</v>
      </c>
      <c r="DI25" s="55">
        <f t="shared" si="248"/>
        <v>8.1353892436330408</v>
      </c>
      <c r="DJ25" s="54">
        <f t="shared" si="248"/>
        <v>32164.341000000004</v>
      </c>
      <c r="DK25" s="55">
        <f t="shared" si="248"/>
        <v>7.9053892436330404</v>
      </c>
    </row>
    <row r="26" spans="1:119" s="4" customFormat="1" ht="18" customHeight="1" x14ac:dyDescent="0.45">
      <c r="A26" s="561"/>
      <c r="B26" s="1187"/>
      <c r="C26" s="56" t="s">
        <v>40</v>
      </c>
      <c r="D26" s="52"/>
      <c r="E26" s="53"/>
      <c r="F26" s="54">
        <f>7.85*F12</f>
        <v>31938.980999999996</v>
      </c>
      <c r="G26" s="57">
        <f>+F26/F12</f>
        <v>7.85</v>
      </c>
      <c r="H26" s="54">
        <f>AVERAGE(J26,L26)</f>
        <v>32164.341</v>
      </c>
      <c r="I26" s="57">
        <f>+H26/H12</f>
        <v>7.9053892436330395</v>
      </c>
      <c r="J26" s="54">
        <f>J12*7.7</f>
        <v>31328.682000000001</v>
      </c>
      <c r="K26" s="57">
        <f>+J26/J12</f>
        <v>7.7</v>
      </c>
      <c r="L26" s="54">
        <v>33000</v>
      </c>
      <c r="M26" s="57">
        <f>+L26/L12</f>
        <v>8.110778487266078</v>
      </c>
      <c r="N26" s="54">
        <f>AVERAGE(P26,R26)</f>
        <v>32164.341</v>
      </c>
      <c r="O26" s="57">
        <f>+N26/N12</f>
        <v>7.9053892436330395</v>
      </c>
      <c r="P26" s="54">
        <f>P12*7.7</f>
        <v>31328.682000000001</v>
      </c>
      <c r="Q26" s="57">
        <f>+P26/P12</f>
        <v>7.7</v>
      </c>
      <c r="R26" s="54">
        <v>33000</v>
      </c>
      <c r="S26" s="57">
        <f>+R26/R12</f>
        <v>8.110778487266078</v>
      </c>
      <c r="T26" s="54">
        <f t="shared" ref="T26:U26" si="249">N26</f>
        <v>32164.341</v>
      </c>
      <c r="U26" s="57">
        <f t="shared" si="249"/>
        <v>7.9053892436330395</v>
      </c>
      <c r="V26" s="54">
        <f>T26</f>
        <v>32164.341</v>
      </c>
      <c r="W26" s="57">
        <f>U26</f>
        <v>7.9053892436330395</v>
      </c>
      <c r="X26" s="54">
        <f t="shared" ref="X26:AI26" si="250">V26</f>
        <v>32164.341</v>
      </c>
      <c r="Y26" s="57">
        <f t="shared" si="250"/>
        <v>7.9053892436330395</v>
      </c>
      <c r="Z26" s="54">
        <f t="shared" si="250"/>
        <v>32164.341</v>
      </c>
      <c r="AA26" s="57">
        <f t="shared" si="250"/>
        <v>7.9053892436330395</v>
      </c>
      <c r="AB26" s="54">
        <f t="shared" si="250"/>
        <v>32164.341</v>
      </c>
      <c r="AC26" s="57">
        <f t="shared" si="250"/>
        <v>7.9053892436330395</v>
      </c>
      <c r="AD26" s="54">
        <f t="shared" si="250"/>
        <v>32164.341</v>
      </c>
      <c r="AE26" s="57">
        <f t="shared" si="250"/>
        <v>7.9053892436330395</v>
      </c>
      <c r="AF26" s="54">
        <f t="shared" si="250"/>
        <v>32164.341</v>
      </c>
      <c r="AG26" s="57">
        <f t="shared" si="250"/>
        <v>7.9053892436330395</v>
      </c>
      <c r="AH26" s="54">
        <f t="shared" si="250"/>
        <v>32164.341</v>
      </c>
      <c r="AI26" s="57">
        <f t="shared" si="250"/>
        <v>7.9053892436330395</v>
      </c>
      <c r="AJ26" s="54">
        <f t="shared" ref="AJ26" si="251">AH26</f>
        <v>32164.341</v>
      </c>
      <c r="AK26" s="57">
        <f t="shared" ref="AK26" si="252">AI26</f>
        <v>7.9053892436330395</v>
      </c>
      <c r="AL26" s="54">
        <f t="shared" ref="AL26" si="253">AJ26</f>
        <v>32164.341</v>
      </c>
      <c r="AM26" s="57">
        <f t="shared" ref="AM26" si="254">AK26</f>
        <v>7.9053892436330395</v>
      </c>
      <c r="AN26" s="54">
        <f t="shared" ref="AN26" si="255">AL26</f>
        <v>32164.341</v>
      </c>
      <c r="AO26" s="57">
        <f t="shared" ref="AO26" si="256">AM26</f>
        <v>7.9053892436330395</v>
      </c>
      <c r="AP26" s="54">
        <f t="shared" ref="AP26" si="257">AN26</f>
        <v>32164.341</v>
      </c>
      <c r="AQ26" s="57">
        <f t="shared" ref="AQ26" si="258">AO26</f>
        <v>7.9053892436330395</v>
      </c>
      <c r="AR26" s="54">
        <f t="shared" ref="AR26" si="259">AP26</f>
        <v>32164.341</v>
      </c>
      <c r="AS26" s="57">
        <f t="shared" ref="AS26" si="260">AQ26</f>
        <v>7.9053892436330395</v>
      </c>
      <c r="AT26" s="54">
        <f t="shared" ref="AT26" si="261">AR26</f>
        <v>32164.341</v>
      </c>
      <c r="AU26" s="57">
        <f t="shared" ref="AU26" si="262">AS26</f>
        <v>7.9053892436330395</v>
      </c>
      <c r="AV26" s="54">
        <f t="shared" ref="AV26" si="263">AT26</f>
        <v>32164.341</v>
      </c>
      <c r="AW26" s="57">
        <f t="shared" ref="AW26" si="264">AU26</f>
        <v>7.9053892436330395</v>
      </c>
      <c r="AX26" s="54">
        <f t="shared" ref="AX26" si="265">AV26</f>
        <v>32164.341</v>
      </c>
      <c r="AY26" s="57">
        <f t="shared" ref="AY26" si="266">AW26</f>
        <v>7.9053892436330395</v>
      </c>
      <c r="AZ26" s="54">
        <f t="shared" ref="AZ26" si="267">AX26</f>
        <v>32164.341</v>
      </c>
      <c r="BA26" s="57">
        <f t="shared" ref="BA26" si="268">AY26</f>
        <v>7.9053892436330395</v>
      </c>
      <c r="BB26" s="54">
        <f t="shared" ref="BB26" si="269">AZ26</f>
        <v>32164.341</v>
      </c>
      <c r="BC26" s="57">
        <f t="shared" ref="BC26" si="270">BA26</f>
        <v>7.9053892436330395</v>
      </c>
      <c r="BD26" s="54">
        <f t="shared" ref="BD26" si="271">BB26</f>
        <v>32164.341</v>
      </c>
      <c r="BE26" s="57">
        <f t="shared" ref="BE26" si="272">BC26</f>
        <v>7.9053892436330395</v>
      </c>
      <c r="BF26" s="54">
        <f t="shared" ref="BF26" si="273">BD26</f>
        <v>32164.341</v>
      </c>
      <c r="BG26" s="57">
        <f t="shared" ref="BG26" si="274">BE26</f>
        <v>7.9053892436330395</v>
      </c>
      <c r="BH26" s="54">
        <f t="shared" ref="BH26" si="275">BF26</f>
        <v>32164.341</v>
      </c>
      <c r="BI26" s="57">
        <f t="shared" ref="BI26" si="276">BG26</f>
        <v>7.9053892436330395</v>
      </c>
      <c r="BJ26" s="54">
        <f t="shared" ref="BJ26" si="277">BH26</f>
        <v>32164.341</v>
      </c>
      <c r="BK26" s="57">
        <f t="shared" ref="BK26" si="278">BI26</f>
        <v>7.9053892436330395</v>
      </c>
      <c r="BL26" s="54">
        <f>BM26*BL12</f>
        <v>32549.279999999999</v>
      </c>
      <c r="BM26" s="57">
        <v>8</v>
      </c>
      <c r="BN26" s="54">
        <f t="shared" ref="BN26" si="279">BL26</f>
        <v>32549.279999999999</v>
      </c>
      <c r="BO26" s="57">
        <f t="shared" ref="BO26" si="280">BM26</f>
        <v>8</v>
      </c>
      <c r="BP26" s="54">
        <f t="shared" ref="BP26" si="281">BN26</f>
        <v>32549.279999999999</v>
      </c>
      <c r="BQ26" s="57">
        <f t="shared" ref="BQ26" si="282">BO26</f>
        <v>8</v>
      </c>
      <c r="BR26" s="54">
        <f t="shared" ref="BR26" si="283">BP26</f>
        <v>32549.279999999999</v>
      </c>
      <c r="BS26" s="57">
        <f t="shared" ref="BS26" si="284">BQ26</f>
        <v>8</v>
      </c>
      <c r="BT26" s="54">
        <f t="shared" ref="BT26" si="285">BR26</f>
        <v>32549.279999999999</v>
      </c>
      <c r="BU26" s="57">
        <f t="shared" ref="BU26" si="286">BS26</f>
        <v>8</v>
      </c>
      <c r="BV26" s="54">
        <f t="shared" ref="BV26" si="287">BT26</f>
        <v>32549.279999999999</v>
      </c>
      <c r="BW26" s="57">
        <f t="shared" ref="BW26" si="288">BU26</f>
        <v>8</v>
      </c>
      <c r="BX26" s="54">
        <f t="shared" ref="BX26" si="289">BV26</f>
        <v>32549.279999999999</v>
      </c>
      <c r="BY26" s="57">
        <f t="shared" ref="BY26" si="290">BW26</f>
        <v>8</v>
      </c>
      <c r="BZ26" s="54">
        <f t="shared" ref="BZ26" si="291">BX26</f>
        <v>32549.279999999999</v>
      </c>
      <c r="CA26" s="57">
        <f t="shared" ref="CA26" si="292">BY26</f>
        <v>8</v>
      </c>
      <c r="CB26" s="54">
        <f t="shared" ref="CB26" si="293">BZ26</f>
        <v>32549.279999999999</v>
      </c>
      <c r="CC26" s="57">
        <f t="shared" ref="CC26" si="294">CA26</f>
        <v>8</v>
      </c>
      <c r="CD26" s="54">
        <f t="shared" ref="CD26" si="295">CB26</f>
        <v>32549.279999999999</v>
      </c>
      <c r="CE26" s="57">
        <f t="shared" ref="CE26" si="296">CC26</f>
        <v>8</v>
      </c>
      <c r="CF26" s="54">
        <f t="shared" ref="CF26" si="297">CD26</f>
        <v>32549.279999999999</v>
      </c>
      <c r="CG26" s="57">
        <f t="shared" ref="CG26" si="298">CE26</f>
        <v>8</v>
      </c>
      <c r="CH26" s="54">
        <f t="shared" ref="CH26" si="299">CF26</f>
        <v>32549.279999999999</v>
      </c>
      <c r="CI26" s="57">
        <f t="shared" ref="CI26" si="300">CG26</f>
        <v>8</v>
      </c>
      <c r="CJ26" s="54">
        <f t="shared" ref="CJ26" si="301">CH26</f>
        <v>32549.279999999999</v>
      </c>
      <c r="CK26" s="57">
        <f t="shared" ref="CK26" si="302">CI26</f>
        <v>8</v>
      </c>
      <c r="CL26" s="54">
        <f t="shared" ref="CL26" si="303">CJ26</f>
        <v>32549.279999999999</v>
      </c>
      <c r="CM26" s="57">
        <f t="shared" ref="CM26" si="304">CK26</f>
        <v>8</v>
      </c>
      <c r="CN26" s="54">
        <f t="shared" ref="CN26" si="305">BV26</f>
        <v>32549.279999999999</v>
      </c>
      <c r="CO26" s="57">
        <f t="shared" ref="CO26" si="306">BW26</f>
        <v>8</v>
      </c>
      <c r="CP26" s="54">
        <f t="shared" ref="CP26" si="307">CN26</f>
        <v>32549.279999999999</v>
      </c>
      <c r="CQ26" s="57">
        <f t="shared" ref="CQ26" si="308">CO26</f>
        <v>8</v>
      </c>
      <c r="CR26" s="54">
        <f t="shared" ref="CR26" si="309">BR26</f>
        <v>32549.279999999999</v>
      </c>
      <c r="CS26" s="57">
        <f t="shared" ref="CS26" si="310">BS26</f>
        <v>8</v>
      </c>
      <c r="CT26" s="54">
        <f>CU26*CT12</f>
        <v>33363.011999999995</v>
      </c>
      <c r="CU26" s="55">
        <v>8.1999999999999993</v>
      </c>
      <c r="CV26" s="54">
        <f t="shared" ref="CV26" si="311">AD26</f>
        <v>32164.341</v>
      </c>
      <c r="CW26" s="57">
        <f t="shared" ref="CW26" si="312">AE26</f>
        <v>7.9053892436330395</v>
      </c>
      <c r="CX26" s="54">
        <f t="shared" ref="CX26" si="313">AF26</f>
        <v>32164.341</v>
      </c>
      <c r="CY26" s="57">
        <f t="shared" ref="CY26" si="314">AG26</f>
        <v>7.9053892436330395</v>
      </c>
      <c r="CZ26" s="54">
        <f>AH26</f>
        <v>32164.341</v>
      </c>
      <c r="DA26" s="57">
        <f>AI26</f>
        <v>7.9053892436330395</v>
      </c>
      <c r="DB26" s="54">
        <f t="shared" ref="DB26:DC26" si="315">CV26</f>
        <v>32164.341</v>
      </c>
      <c r="DC26" s="57">
        <f t="shared" si="315"/>
        <v>7.9053892436330395</v>
      </c>
      <c r="DD26" s="54">
        <f>AH26</f>
        <v>32164.341</v>
      </c>
      <c r="DE26" s="57">
        <f>AI26</f>
        <v>7.9053892436330395</v>
      </c>
      <c r="DF26" s="54">
        <f>DG26*DF12</f>
        <v>32549.279999999999</v>
      </c>
      <c r="DG26" s="57">
        <v>8</v>
      </c>
      <c r="DH26" s="54">
        <f>DI26*DH12</f>
        <v>33100.132800000007</v>
      </c>
      <c r="DI26" s="57">
        <f>7.90538924363304+0.23</f>
        <v>8.1353892436330408</v>
      </c>
      <c r="DJ26" s="54">
        <f>DK26*DJ12</f>
        <v>32164.341000000004</v>
      </c>
      <c r="DK26" s="57">
        <f>7.90538924363304</f>
        <v>7.9053892436330404</v>
      </c>
    </row>
    <row r="27" spans="1:119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359"/>
      <c r="AG27" s="355"/>
      <c r="AH27" s="359"/>
      <c r="AI27" s="355"/>
      <c r="AJ27" s="359"/>
      <c r="AK27" s="355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359"/>
      <c r="BY27" s="355"/>
      <c r="BZ27" s="359"/>
      <c r="CA27" s="355"/>
      <c r="CB27" s="359"/>
      <c r="CC27" s="355"/>
      <c r="CD27" s="359"/>
      <c r="CE27" s="355"/>
      <c r="CF27" s="359"/>
      <c r="CG27" s="355"/>
      <c r="CH27" s="359"/>
      <c r="CI27" s="355"/>
      <c r="CJ27" s="359"/>
      <c r="CK27" s="355"/>
      <c r="CL27" s="359"/>
      <c r="CM27" s="355"/>
      <c r="CN27" s="359"/>
      <c r="CO27" s="355"/>
      <c r="CP27" s="359"/>
      <c r="CQ27" s="355"/>
      <c r="CR27" s="359"/>
      <c r="CS27" s="355"/>
      <c r="CT27" s="359"/>
      <c r="CU27" s="355"/>
      <c r="CV27" s="359"/>
      <c r="CW27" s="355"/>
      <c r="CX27" s="359"/>
      <c r="CY27" s="355"/>
      <c r="CZ27" s="359"/>
      <c r="DA27" s="355"/>
      <c r="DB27" s="359"/>
      <c r="DC27" s="355"/>
      <c r="DD27" s="359"/>
      <c r="DE27" s="355"/>
      <c r="DF27" s="359"/>
      <c r="DG27" s="355"/>
      <c r="DH27" s="359"/>
      <c r="DI27" s="355"/>
      <c r="DJ27" s="359"/>
      <c r="DK27" s="355"/>
    </row>
    <row r="28" spans="1:119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364"/>
      <c r="AG28" s="360"/>
      <c r="AH28" s="364"/>
      <c r="AI28" s="360"/>
      <c r="AJ28" s="364"/>
      <c r="AK28" s="360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364"/>
      <c r="BY28" s="360"/>
      <c r="BZ28" s="364"/>
      <c r="CA28" s="360"/>
      <c r="CB28" s="364"/>
      <c r="CC28" s="360"/>
      <c r="CD28" s="364"/>
      <c r="CE28" s="360"/>
      <c r="CF28" s="364"/>
      <c r="CG28" s="360"/>
      <c r="CH28" s="364"/>
      <c r="CI28" s="360"/>
      <c r="CJ28" s="364"/>
      <c r="CK28" s="360"/>
      <c r="CL28" s="364"/>
      <c r="CM28" s="360"/>
      <c r="CN28" s="364"/>
      <c r="CO28" s="360"/>
      <c r="CP28" s="364"/>
      <c r="CQ28" s="360"/>
      <c r="CR28" s="364"/>
      <c r="CS28" s="360"/>
      <c r="CT28" s="364"/>
      <c r="CU28" s="360"/>
      <c r="CV28" s="364"/>
      <c r="CW28" s="360"/>
      <c r="CX28" s="364"/>
      <c r="CY28" s="360"/>
      <c r="CZ28" s="364"/>
      <c r="DA28" s="360"/>
      <c r="DB28" s="364"/>
      <c r="DC28" s="360"/>
      <c r="DD28" s="364"/>
      <c r="DE28" s="360"/>
      <c r="DF28" s="364"/>
      <c r="DG28" s="360"/>
      <c r="DH28" s="364"/>
      <c r="DI28" s="360"/>
      <c r="DJ28" s="364"/>
      <c r="DK28" s="360"/>
    </row>
    <row r="29" spans="1:119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O29" si="316">F30/F26</f>
        <v>6.2420382165605012E-2</v>
      </c>
      <c r="G29" s="48">
        <f t="shared" si="316"/>
        <v>6.2420382165605012E-2</v>
      </c>
      <c r="H29" s="47">
        <f t="shared" si="316"/>
        <v>6.8989549638215852E-2</v>
      </c>
      <c r="I29" s="48">
        <f t="shared" si="316"/>
        <v>6.9096713226456719E-2</v>
      </c>
      <c r="J29" s="47">
        <f t="shared" ref="J29:M29" si="317">J30/J26</f>
        <v>1.8751973189192712E-2</v>
      </c>
      <c r="K29" s="48">
        <f t="shared" si="317"/>
        <v>1.8751973189192663E-2</v>
      </c>
      <c r="L29" s="47">
        <f t="shared" si="317"/>
        <v>3.7715299334811624E-2</v>
      </c>
      <c r="M29" s="48">
        <f t="shared" si="317"/>
        <v>3.7715299334811575E-2</v>
      </c>
      <c r="N29" s="361">
        <f t="shared" si="316"/>
        <v>7.1804444407090329E-2</v>
      </c>
      <c r="O29" s="362">
        <f t="shared" si="316"/>
        <v>7.180444440709037E-2</v>
      </c>
      <c r="P29" s="361">
        <f t="shared" ref="P29:U29" si="318">P30/P26</f>
        <v>1.5362131322047558E-2</v>
      </c>
      <c r="Q29" s="362">
        <f t="shared" si="318"/>
        <v>1.536213132204747E-2</v>
      </c>
      <c r="R29" s="361">
        <f t="shared" si="318"/>
        <v>3.7715299334811624E-2</v>
      </c>
      <c r="S29" s="362">
        <f t="shared" si="318"/>
        <v>3.7715299334811575E-2</v>
      </c>
      <c r="T29" s="361">
        <f t="shared" si="318"/>
        <v>7.1804444407090329E-2</v>
      </c>
      <c r="U29" s="362">
        <f t="shared" si="318"/>
        <v>7.180444440709037E-2</v>
      </c>
      <c r="V29" s="361">
        <f t="shared" ref="V29:AG29" si="319">V30/V26</f>
        <v>7.1804444407090329E-2</v>
      </c>
      <c r="W29" s="362">
        <f t="shared" si="319"/>
        <v>7.180444440709037E-2</v>
      </c>
      <c r="X29" s="361">
        <f t="shared" si="319"/>
        <v>7.1804444407090329E-2</v>
      </c>
      <c r="Y29" s="362">
        <f t="shared" si="319"/>
        <v>7.180444440709037E-2</v>
      </c>
      <c r="Z29" s="361">
        <f t="shared" si="319"/>
        <v>7.1804444407090329E-2</v>
      </c>
      <c r="AA29" s="362">
        <f t="shared" si="319"/>
        <v>7.180444440709037E-2</v>
      </c>
      <c r="AB29" s="361">
        <f t="shared" si="319"/>
        <v>7.1804444407090329E-2</v>
      </c>
      <c r="AC29" s="362">
        <f t="shared" si="319"/>
        <v>7.180444440709037E-2</v>
      </c>
      <c r="AD29" s="361">
        <f t="shared" si="319"/>
        <v>7.1804444407090329E-2</v>
      </c>
      <c r="AE29" s="362">
        <f t="shared" si="319"/>
        <v>7.180444440709037E-2</v>
      </c>
      <c r="AF29" s="361">
        <f t="shared" si="319"/>
        <v>7.1804444407090329E-2</v>
      </c>
      <c r="AG29" s="362">
        <f t="shared" si="319"/>
        <v>7.180444440709037E-2</v>
      </c>
      <c r="AH29" s="361">
        <f t="shared" ref="AH29:AI29" si="320">AH30/AH26</f>
        <v>7.1804444407090329E-2</v>
      </c>
      <c r="AI29" s="362">
        <f t="shared" si="320"/>
        <v>7.180444440709037E-2</v>
      </c>
      <c r="AJ29" s="361">
        <f t="shared" ref="AJ29:AK29" si="321">AJ30/AJ26</f>
        <v>7.1804444407090329E-2</v>
      </c>
      <c r="AK29" s="362">
        <f t="shared" si="321"/>
        <v>7.180444440709037E-2</v>
      </c>
      <c r="AL29" s="361">
        <f t="shared" ref="AL29:AO29" si="322">AL30/AL26</f>
        <v>7.1804444407090329E-2</v>
      </c>
      <c r="AM29" s="362">
        <f t="shared" si="322"/>
        <v>7.180444440709037E-2</v>
      </c>
      <c r="AN29" s="361">
        <f t="shared" si="322"/>
        <v>7.1804444407090329E-2</v>
      </c>
      <c r="AO29" s="362">
        <f t="shared" si="322"/>
        <v>7.180444440709037E-2</v>
      </c>
      <c r="AP29" s="361">
        <f t="shared" ref="AP29:AU29" si="323">AP30/AP26</f>
        <v>7.1804444407090329E-2</v>
      </c>
      <c r="AQ29" s="362">
        <f t="shared" si="323"/>
        <v>7.180444440709037E-2</v>
      </c>
      <c r="AR29" s="361">
        <f t="shared" si="323"/>
        <v>7.1804444407090329E-2</v>
      </c>
      <c r="AS29" s="362">
        <f t="shared" si="323"/>
        <v>7.180444440709037E-2</v>
      </c>
      <c r="AT29" s="361">
        <f t="shared" si="323"/>
        <v>7.1804444407090329E-2</v>
      </c>
      <c r="AU29" s="362">
        <f t="shared" si="323"/>
        <v>7.180444440709037E-2</v>
      </c>
      <c r="AV29" s="361">
        <f t="shared" ref="AV29:BA29" si="324">AV30/AV26</f>
        <v>7.1804444407090329E-2</v>
      </c>
      <c r="AW29" s="362">
        <f t="shared" si="324"/>
        <v>7.180444440709037E-2</v>
      </c>
      <c r="AX29" s="361">
        <f t="shared" si="324"/>
        <v>7.1804444407090329E-2</v>
      </c>
      <c r="AY29" s="362">
        <f t="shared" si="324"/>
        <v>7.180444440709037E-2</v>
      </c>
      <c r="AZ29" s="361">
        <f t="shared" si="324"/>
        <v>7.1804444407090329E-2</v>
      </c>
      <c r="BA29" s="362">
        <f t="shared" si="324"/>
        <v>7.180444440709037E-2</v>
      </c>
      <c r="BB29" s="361">
        <f t="shared" ref="BB29:BC29" si="325">BB30/BB26</f>
        <v>7.1804444407090329E-2</v>
      </c>
      <c r="BC29" s="362">
        <f t="shared" si="325"/>
        <v>7.180444440709037E-2</v>
      </c>
      <c r="BD29" s="361">
        <f t="shared" ref="BD29:BE29" si="326">BD30/BD26</f>
        <v>7.1804444407090329E-2</v>
      </c>
      <c r="BE29" s="362">
        <f t="shared" si="326"/>
        <v>7.180444440709037E-2</v>
      </c>
      <c r="BF29" s="361">
        <f t="shared" ref="BF29:BI29" si="327">BF30/BF26</f>
        <v>7.1804444407090329E-2</v>
      </c>
      <c r="BG29" s="362">
        <f t="shared" si="327"/>
        <v>7.180444440709037E-2</v>
      </c>
      <c r="BH29" s="361">
        <f t="shared" si="327"/>
        <v>7.1804444407090329E-2</v>
      </c>
      <c r="BI29" s="362">
        <f t="shared" si="327"/>
        <v>7.180444440709037E-2</v>
      </c>
      <c r="BJ29" s="361">
        <f t="shared" ref="BJ29:BQ29" si="328">BJ30/BJ26</f>
        <v>7.1804444407090329E-2</v>
      </c>
      <c r="BK29" s="362">
        <f t="shared" si="328"/>
        <v>7.180444440709037E-2</v>
      </c>
      <c r="BL29" s="361">
        <f t="shared" si="328"/>
        <v>2.5000000000000001E-2</v>
      </c>
      <c r="BM29" s="362">
        <f t="shared" si="328"/>
        <v>2.5000000000000022E-2</v>
      </c>
      <c r="BN29" s="361">
        <f t="shared" si="328"/>
        <v>2.5000000000000001E-2</v>
      </c>
      <c r="BO29" s="362">
        <f t="shared" si="328"/>
        <v>2.5000000000000022E-2</v>
      </c>
      <c r="BP29" s="361">
        <f t="shared" si="328"/>
        <v>2.5000000000000001E-2</v>
      </c>
      <c r="BQ29" s="362">
        <f t="shared" si="328"/>
        <v>2.5000000000000022E-2</v>
      </c>
      <c r="BR29" s="361">
        <f t="shared" ref="BR29:BS29" si="329">BR30/BR26</f>
        <v>2.5000000000000001E-2</v>
      </c>
      <c r="BS29" s="362">
        <f t="shared" si="329"/>
        <v>2.5000000000000022E-2</v>
      </c>
      <c r="BT29" s="361">
        <f t="shared" ref="BT29:BU29" si="330">BT30/BT26</f>
        <v>2.5000000000000001E-2</v>
      </c>
      <c r="BU29" s="362">
        <f t="shared" si="330"/>
        <v>2.5000000000000022E-2</v>
      </c>
      <c r="BV29" s="361">
        <f t="shared" ref="BV29:BW29" si="331">BV30/BV26</f>
        <v>2.5000000000000001E-2</v>
      </c>
      <c r="BW29" s="362">
        <f t="shared" si="331"/>
        <v>2.5000000000000022E-2</v>
      </c>
      <c r="BX29" s="361">
        <f t="shared" ref="BX29:BY29" si="332">BX30/BX26</f>
        <v>2.5000000000000001E-2</v>
      </c>
      <c r="BY29" s="362">
        <f t="shared" si="332"/>
        <v>2.5000000000000022E-2</v>
      </c>
      <c r="BZ29" s="361">
        <f t="shared" ref="BZ29:CA29" si="333">BZ30/BZ26</f>
        <v>2.5000000000000001E-2</v>
      </c>
      <c r="CA29" s="362">
        <f t="shared" si="333"/>
        <v>2.5000000000000022E-2</v>
      </c>
      <c r="CB29" s="361">
        <f t="shared" ref="CB29:CC29" si="334">CB30/CB26</f>
        <v>2.5000000000000001E-2</v>
      </c>
      <c r="CC29" s="362">
        <f t="shared" si="334"/>
        <v>2.5000000000000022E-2</v>
      </c>
      <c r="CD29" s="361">
        <f t="shared" ref="CD29:CE29" si="335">CD30/CD26</f>
        <v>2.5000000000000001E-2</v>
      </c>
      <c r="CE29" s="362">
        <f t="shared" si="335"/>
        <v>2.5000000000000022E-2</v>
      </c>
      <c r="CF29" s="361">
        <f t="shared" ref="CF29:CG29" si="336">CF30/CF26</f>
        <v>2.5000000000000001E-2</v>
      </c>
      <c r="CG29" s="362">
        <f t="shared" si="336"/>
        <v>2.5000000000000022E-2</v>
      </c>
      <c r="CH29" s="361">
        <f t="shared" ref="CH29:CK29" si="337">CH30/CH26</f>
        <v>2.5000000000000001E-2</v>
      </c>
      <c r="CI29" s="362">
        <f t="shared" si="337"/>
        <v>2.5000000000000022E-2</v>
      </c>
      <c r="CJ29" s="361">
        <f t="shared" si="337"/>
        <v>2.5000000000000001E-2</v>
      </c>
      <c r="CK29" s="362">
        <f t="shared" si="337"/>
        <v>2.5000000000000022E-2</v>
      </c>
      <c r="CL29" s="361">
        <f t="shared" ref="CL29:CM29" si="338">CL30/CL26</f>
        <v>2.5000000000000001E-2</v>
      </c>
      <c r="CM29" s="362">
        <f t="shared" si="338"/>
        <v>2.5000000000000022E-2</v>
      </c>
      <c r="CN29" s="361">
        <f t="shared" ref="CN29:CQ29" si="339">CN30/CN26</f>
        <v>2.5000000000000001E-2</v>
      </c>
      <c r="CO29" s="362">
        <f t="shared" si="339"/>
        <v>2.5000000000000022E-2</v>
      </c>
      <c r="CP29" s="361">
        <f t="shared" si="339"/>
        <v>2.5000000000000001E-2</v>
      </c>
      <c r="CQ29" s="362">
        <f t="shared" si="339"/>
        <v>2.5000000000000022E-2</v>
      </c>
      <c r="CR29" s="361">
        <f t="shared" ref="CR29:CS29" si="340">CR30/CR26</f>
        <v>8.4758064516129036E-2</v>
      </c>
      <c r="CS29" s="362">
        <f t="shared" si="340"/>
        <v>8.4758064516128995E-2</v>
      </c>
      <c r="CT29" s="361">
        <f t="shared" ref="CT29:CU29" si="341">CT30/CT26</f>
        <v>0</v>
      </c>
      <c r="CU29" s="362">
        <f t="shared" si="341"/>
        <v>0</v>
      </c>
      <c r="CV29" s="361">
        <f t="shared" ref="CV29:DA29" si="342">CV30/CV26</f>
        <v>7.1804444407090329E-2</v>
      </c>
      <c r="CW29" s="362">
        <f t="shared" si="342"/>
        <v>7.180444440709037E-2</v>
      </c>
      <c r="CX29" s="361">
        <f t="shared" si="342"/>
        <v>7.1804444407090329E-2</v>
      </c>
      <c r="CY29" s="362">
        <f t="shared" si="342"/>
        <v>7.180444440709037E-2</v>
      </c>
      <c r="CZ29" s="361">
        <f t="shared" si="342"/>
        <v>7.1804444407090329E-2</v>
      </c>
      <c r="DA29" s="362">
        <f t="shared" si="342"/>
        <v>7.180444440709037E-2</v>
      </c>
      <c r="DB29" s="361">
        <f t="shared" ref="DB29:DC29" si="343">DB30/DB26</f>
        <v>7.1804444407090329E-2</v>
      </c>
      <c r="DC29" s="362">
        <f t="shared" si="343"/>
        <v>7.180444440709037E-2</v>
      </c>
      <c r="DD29" s="361">
        <f t="shared" ref="DD29:DG29" si="344">DD30/DD26</f>
        <v>7.1804444407090329E-2</v>
      </c>
      <c r="DE29" s="362">
        <f t="shared" si="344"/>
        <v>7.180444440709037E-2</v>
      </c>
      <c r="DF29" s="361">
        <f t="shared" si="344"/>
        <v>2.5000000000000001E-2</v>
      </c>
      <c r="DG29" s="362">
        <f t="shared" si="344"/>
        <v>2.5000000000000022E-2</v>
      </c>
      <c r="DH29" s="361">
        <f t="shared" ref="DH29:DI29" si="345">DH30/DH26</f>
        <v>6.3628434603295786E-2</v>
      </c>
      <c r="DI29" s="362">
        <f t="shared" si="345"/>
        <v>6.3628434603295772E-2</v>
      </c>
      <c r="DJ29" s="361">
        <f t="shared" ref="DJ29:DK29" si="346">DJ30/DJ26</f>
        <v>7.1804444407090551E-2</v>
      </c>
      <c r="DK29" s="362">
        <f t="shared" si="346"/>
        <v>7.1804444407090592E-2</v>
      </c>
    </row>
    <row r="30" spans="1:119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O30" si="347">F26-F32</f>
        <v>1993.6433999999972</v>
      </c>
      <c r="G30" s="24">
        <f t="shared" si="347"/>
        <v>0.48999999999999932</v>
      </c>
      <c r="H30" s="50">
        <f t="shared" si="347"/>
        <v>2219.0034000000014</v>
      </c>
      <c r="I30" s="24">
        <f t="shared" si="347"/>
        <v>0.54623641351082775</v>
      </c>
      <c r="J30" s="50">
        <f t="shared" ref="J30:M30" si="348">J26-J32</f>
        <v>587.47460491674428</v>
      </c>
      <c r="K30" s="24">
        <f t="shared" si="348"/>
        <v>0.14439019355678351</v>
      </c>
      <c r="L30" s="50">
        <f t="shared" si="348"/>
        <v>1244.6048780487836</v>
      </c>
      <c r="M30" s="24">
        <f t="shared" si="348"/>
        <v>0.30590043848559034</v>
      </c>
      <c r="N30" s="363">
        <f t="shared" si="347"/>
        <v>2309.5426352251961</v>
      </c>
      <c r="O30" s="351">
        <f t="shared" si="347"/>
        <v>0.56764208246085879</v>
      </c>
      <c r="P30" s="363">
        <f t="shared" ref="P30:U30" si="349">P26-P32</f>
        <v>481.27532703066754</v>
      </c>
      <c r="Q30" s="351">
        <f t="shared" si="349"/>
        <v>0.11828841117976552</v>
      </c>
      <c r="R30" s="363">
        <f t="shared" si="349"/>
        <v>1244.6048780487836</v>
      </c>
      <c r="S30" s="351">
        <f t="shared" si="349"/>
        <v>0.30590043848559034</v>
      </c>
      <c r="T30" s="363">
        <f t="shared" si="349"/>
        <v>2309.5426352251961</v>
      </c>
      <c r="U30" s="351">
        <f t="shared" si="349"/>
        <v>0.56764208246085879</v>
      </c>
      <c r="V30" s="363">
        <f t="shared" ref="V30:AG30" si="350">V26-V32</f>
        <v>2309.5426352251961</v>
      </c>
      <c r="W30" s="351">
        <f t="shared" si="350"/>
        <v>0.56764208246085879</v>
      </c>
      <c r="X30" s="363">
        <f t="shared" si="350"/>
        <v>2309.5426352251961</v>
      </c>
      <c r="Y30" s="351">
        <f t="shared" si="350"/>
        <v>0.56764208246085879</v>
      </c>
      <c r="Z30" s="363">
        <f t="shared" si="350"/>
        <v>2309.5426352251961</v>
      </c>
      <c r="AA30" s="351">
        <f t="shared" si="350"/>
        <v>0.56764208246085879</v>
      </c>
      <c r="AB30" s="363">
        <f t="shared" si="350"/>
        <v>2309.5426352251961</v>
      </c>
      <c r="AC30" s="351">
        <f t="shared" si="350"/>
        <v>0.56764208246085879</v>
      </c>
      <c r="AD30" s="363">
        <f t="shared" si="350"/>
        <v>2309.5426352251961</v>
      </c>
      <c r="AE30" s="351">
        <f t="shared" si="350"/>
        <v>0.56764208246085879</v>
      </c>
      <c r="AF30" s="363">
        <f t="shared" si="350"/>
        <v>2309.5426352251961</v>
      </c>
      <c r="AG30" s="351">
        <f t="shared" si="350"/>
        <v>0.56764208246085879</v>
      </c>
      <c r="AH30" s="363">
        <f t="shared" ref="AH30:AI30" si="351">AH26-AH32</f>
        <v>2309.5426352251961</v>
      </c>
      <c r="AI30" s="351">
        <f t="shared" si="351"/>
        <v>0.56764208246085879</v>
      </c>
      <c r="AJ30" s="363">
        <f t="shared" ref="AJ30:AK30" si="352">AJ26-AJ32</f>
        <v>2309.5426352251961</v>
      </c>
      <c r="AK30" s="351">
        <f t="shared" si="352"/>
        <v>0.56764208246085879</v>
      </c>
      <c r="AL30" s="363">
        <f t="shared" ref="AL30:AO30" si="353">AL26-AL32</f>
        <v>2309.5426352251961</v>
      </c>
      <c r="AM30" s="351">
        <f t="shared" si="353"/>
        <v>0.56764208246085879</v>
      </c>
      <c r="AN30" s="363">
        <f t="shared" si="353"/>
        <v>2309.5426352251961</v>
      </c>
      <c r="AO30" s="351">
        <f t="shared" si="353"/>
        <v>0.56764208246085879</v>
      </c>
      <c r="AP30" s="363">
        <f t="shared" ref="AP30:AU30" si="354">AP26-AP32</f>
        <v>2309.5426352251961</v>
      </c>
      <c r="AQ30" s="351">
        <f t="shared" si="354"/>
        <v>0.56764208246085879</v>
      </c>
      <c r="AR30" s="363">
        <f t="shared" si="354"/>
        <v>2309.5426352251961</v>
      </c>
      <c r="AS30" s="351">
        <f t="shared" si="354"/>
        <v>0.56764208246085879</v>
      </c>
      <c r="AT30" s="363">
        <f t="shared" si="354"/>
        <v>2309.5426352251961</v>
      </c>
      <c r="AU30" s="351">
        <f t="shared" si="354"/>
        <v>0.56764208246085879</v>
      </c>
      <c r="AV30" s="363">
        <f t="shared" ref="AV30:BA30" si="355">AV26-AV32</f>
        <v>2309.5426352251961</v>
      </c>
      <c r="AW30" s="351">
        <f t="shared" si="355"/>
        <v>0.56764208246085879</v>
      </c>
      <c r="AX30" s="363">
        <f t="shared" si="355"/>
        <v>2309.5426352251961</v>
      </c>
      <c r="AY30" s="351">
        <f t="shared" si="355"/>
        <v>0.56764208246085879</v>
      </c>
      <c r="AZ30" s="363">
        <f t="shared" si="355"/>
        <v>2309.5426352251961</v>
      </c>
      <c r="BA30" s="351">
        <f t="shared" si="355"/>
        <v>0.56764208246085879</v>
      </c>
      <c r="BB30" s="363">
        <f t="shared" ref="BB30:BC30" si="356">BB26-BB32</f>
        <v>2309.5426352251961</v>
      </c>
      <c r="BC30" s="351">
        <f t="shared" si="356"/>
        <v>0.56764208246085879</v>
      </c>
      <c r="BD30" s="363">
        <f t="shared" ref="BD30:BE30" si="357">BD26-BD32</f>
        <v>2309.5426352251961</v>
      </c>
      <c r="BE30" s="351">
        <f t="shared" si="357"/>
        <v>0.56764208246085879</v>
      </c>
      <c r="BF30" s="363">
        <f t="shared" ref="BF30:BI30" si="358">BF26-BF32</f>
        <v>2309.5426352251961</v>
      </c>
      <c r="BG30" s="351">
        <f t="shared" si="358"/>
        <v>0.56764208246085879</v>
      </c>
      <c r="BH30" s="363">
        <f t="shared" si="358"/>
        <v>2309.5426352251961</v>
      </c>
      <c r="BI30" s="351">
        <f t="shared" si="358"/>
        <v>0.56764208246085879</v>
      </c>
      <c r="BJ30" s="363">
        <f t="shared" ref="BJ30:BQ30" si="359">BJ26-BJ32</f>
        <v>2309.5426352251961</v>
      </c>
      <c r="BK30" s="351">
        <f t="shared" si="359"/>
        <v>0.56764208246085879</v>
      </c>
      <c r="BL30" s="363">
        <f t="shared" si="359"/>
        <v>813.73199999999997</v>
      </c>
      <c r="BM30" s="351">
        <f t="shared" si="359"/>
        <v>0.20000000000000018</v>
      </c>
      <c r="BN30" s="363">
        <f t="shared" si="359"/>
        <v>813.73199999999997</v>
      </c>
      <c r="BO30" s="351">
        <f t="shared" si="359"/>
        <v>0.20000000000000018</v>
      </c>
      <c r="BP30" s="363">
        <f t="shared" si="359"/>
        <v>813.73199999999997</v>
      </c>
      <c r="BQ30" s="351">
        <f t="shared" si="359"/>
        <v>0.20000000000000018</v>
      </c>
      <c r="BR30" s="363">
        <f t="shared" ref="BR30:BS30" si="360">BR26-BR32</f>
        <v>813.73199999999997</v>
      </c>
      <c r="BS30" s="351">
        <f t="shared" si="360"/>
        <v>0.20000000000000018</v>
      </c>
      <c r="BT30" s="363">
        <f t="shared" ref="BT30:BU30" si="361">BT26-BT32</f>
        <v>813.73199999999997</v>
      </c>
      <c r="BU30" s="351">
        <f t="shared" si="361"/>
        <v>0.20000000000000018</v>
      </c>
      <c r="BV30" s="363">
        <f t="shared" ref="BV30:BW30" si="362">BV26-BV32</f>
        <v>813.73199999999997</v>
      </c>
      <c r="BW30" s="351">
        <f t="shared" si="362"/>
        <v>0.20000000000000018</v>
      </c>
      <c r="BX30" s="363">
        <f t="shared" ref="BX30:BY30" si="363">BX26-BX32</f>
        <v>813.73199999999997</v>
      </c>
      <c r="BY30" s="351">
        <f t="shared" si="363"/>
        <v>0.20000000000000018</v>
      </c>
      <c r="BZ30" s="363">
        <f t="shared" ref="BZ30:CA30" si="364">BZ26-BZ32</f>
        <v>813.73199999999997</v>
      </c>
      <c r="CA30" s="351">
        <f t="shared" si="364"/>
        <v>0.20000000000000018</v>
      </c>
      <c r="CB30" s="363">
        <f t="shared" ref="CB30:CC30" si="365">CB26-CB32</f>
        <v>813.73199999999997</v>
      </c>
      <c r="CC30" s="351">
        <f t="shared" si="365"/>
        <v>0.20000000000000018</v>
      </c>
      <c r="CD30" s="363">
        <f t="shared" ref="CD30:CE30" si="366">CD26-CD32</f>
        <v>813.73199999999997</v>
      </c>
      <c r="CE30" s="351">
        <f t="shared" si="366"/>
        <v>0.20000000000000018</v>
      </c>
      <c r="CF30" s="363">
        <f t="shared" ref="CF30:CG30" si="367">CF26-CF32</f>
        <v>813.73199999999997</v>
      </c>
      <c r="CG30" s="351">
        <f t="shared" si="367"/>
        <v>0.20000000000000018</v>
      </c>
      <c r="CH30" s="363">
        <f t="shared" ref="CH30:CK30" si="368">CH26-CH32</f>
        <v>813.73199999999997</v>
      </c>
      <c r="CI30" s="351">
        <f t="shared" si="368"/>
        <v>0.20000000000000018</v>
      </c>
      <c r="CJ30" s="363">
        <f t="shared" si="368"/>
        <v>813.73199999999997</v>
      </c>
      <c r="CK30" s="351">
        <f t="shared" si="368"/>
        <v>0.20000000000000018</v>
      </c>
      <c r="CL30" s="363">
        <f t="shared" ref="CL30:CM30" si="369">CL26-CL32</f>
        <v>813.73199999999997</v>
      </c>
      <c r="CM30" s="351">
        <f t="shared" si="369"/>
        <v>0.20000000000000018</v>
      </c>
      <c r="CN30" s="363">
        <f t="shared" ref="CN30:CQ30" si="370">CN26-CN32</f>
        <v>813.73199999999997</v>
      </c>
      <c r="CO30" s="351">
        <f t="shared" si="370"/>
        <v>0.20000000000000018</v>
      </c>
      <c r="CP30" s="363">
        <f t="shared" si="370"/>
        <v>813.73199999999997</v>
      </c>
      <c r="CQ30" s="351">
        <f t="shared" si="370"/>
        <v>0.20000000000000018</v>
      </c>
      <c r="CR30" s="363">
        <f t="shared" ref="CR30:CS30" si="371">CR26-CR32</f>
        <v>2758.8139741935483</v>
      </c>
      <c r="CS30" s="351">
        <f t="shared" si="371"/>
        <v>0.67806451612903196</v>
      </c>
      <c r="CT30" s="363">
        <f t="shared" ref="CT30:CU30" si="372">CT26-CT32</f>
        <v>0</v>
      </c>
      <c r="CU30" s="351">
        <f t="shared" si="372"/>
        <v>0</v>
      </c>
      <c r="CV30" s="363">
        <f t="shared" ref="CV30:DA30" si="373">CV26-CV32</f>
        <v>2309.5426352251961</v>
      </c>
      <c r="CW30" s="351">
        <f t="shared" si="373"/>
        <v>0.56764208246085879</v>
      </c>
      <c r="CX30" s="363">
        <f t="shared" si="373"/>
        <v>2309.5426352251961</v>
      </c>
      <c r="CY30" s="351">
        <f t="shared" si="373"/>
        <v>0.56764208246085879</v>
      </c>
      <c r="CZ30" s="363">
        <f t="shared" si="373"/>
        <v>2309.5426352251961</v>
      </c>
      <c r="DA30" s="351">
        <f t="shared" si="373"/>
        <v>0.56764208246085879</v>
      </c>
      <c r="DB30" s="363">
        <f t="shared" ref="DB30:DC30" si="374">DB26-DB32</f>
        <v>2309.5426352251961</v>
      </c>
      <c r="DC30" s="351">
        <f t="shared" si="374"/>
        <v>0.56764208246085879</v>
      </c>
      <c r="DD30" s="363">
        <f t="shared" ref="DD30:DG30" si="375">DD26-DD32</f>
        <v>2309.5426352251961</v>
      </c>
      <c r="DE30" s="351">
        <f t="shared" si="375"/>
        <v>0.56764208246085879</v>
      </c>
      <c r="DF30" s="363">
        <f t="shared" si="375"/>
        <v>813.73199999999997</v>
      </c>
      <c r="DG30" s="351">
        <f t="shared" si="375"/>
        <v>0.20000000000000018</v>
      </c>
      <c r="DH30" s="363">
        <f t="shared" ref="DH30:DI30" si="376">DH26-DH32</f>
        <v>2106.1096352252061</v>
      </c>
      <c r="DI30" s="351">
        <f t="shared" si="376"/>
        <v>0.51764208246086074</v>
      </c>
      <c r="DJ30" s="363">
        <f t="shared" ref="DJ30:DK30" si="377">DJ26-DJ32</f>
        <v>2309.5426352252034</v>
      </c>
      <c r="DK30" s="351">
        <f t="shared" si="377"/>
        <v>0.56764208246086056</v>
      </c>
    </row>
    <row r="31" spans="1:119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7.3591528301222118</v>
      </c>
      <c r="J31" s="54">
        <f>+J32</f>
        <v>30741.207395083256</v>
      </c>
      <c r="K31" s="55">
        <f>K32</f>
        <v>7.5556098064432167</v>
      </c>
      <c r="L31" s="54">
        <f>+L32</f>
        <v>31755.395121951216</v>
      </c>
      <c r="M31" s="55">
        <f>M32</f>
        <v>7.8048780487804876</v>
      </c>
      <c r="N31" s="54">
        <f>+N32</f>
        <v>29854.798364774804</v>
      </c>
      <c r="O31" s="55">
        <f>O32</f>
        <v>7.3377471611721807</v>
      </c>
      <c r="P31" s="54">
        <f>+P32</f>
        <v>30847.406672969333</v>
      </c>
      <c r="Q31" s="55">
        <f>Q32</f>
        <v>7.5817115888202347</v>
      </c>
      <c r="R31" s="54">
        <f>+R32</f>
        <v>31755.395121951216</v>
      </c>
      <c r="S31" s="55">
        <f>S32</f>
        <v>7.8048780487804876</v>
      </c>
      <c r="T31" s="54">
        <f>+T32</f>
        <v>29854.798364774804</v>
      </c>
      <c r="U31" s="55">
        <f>U32</f>
        <v>7.3377471611721807</v>
      </c>
      <c r="V31" s="54">
        <f>+V32</f>
        <v>29854.798364774804</v>
      </c>
      <c r="W31" s="55">
        <f>W32</f>
        <v>7.3377471611721807</v>
      </c>
      <c r="X31" s="54">
        <f>+X32</f>
        <v>29854.798364774804</v>
      </c>
      <c r="Y31" s="55">
        <f>Y32</f>
        <v>7.3377471611721807</v>
      </c>
      <c r="Z31" s="54">
        <f>+Z32</f>
        <v>29854.798364774804</v>
      </c>
      <c r="AA31" s="55">
        <f>AA32</f>
        <v>7.3377471611721807</v>
      </c>
      <c r="AB31" s="54">
        <f>+AB32</f>
        <v>29854.798364774804</v>
      </c>
      <c r="AC31" s="55">
        <f>AC32</f>
        <v>7.3377471611721807</v>
      </c>
      <c r="AD31" s="54">
        <f>+AD32</f>
        <v>29854.798364774804</v>
      </c>
      <c r="AE31" s="55">
        <f>AE32</f>
        <v>7.3377471611721807</v>
      </c>
      <c r="AF31" s="54">
        <f>+AF32</f>
        <v>29854.798364774804</v>
      </c>
      <c r="AG31" s="55">
        <f>AG32</f>
        <v>7.3377471611721807</v>
      </c>
      <c r="AH31" s="54">
        <f>+AH32</f>
        <v>29854.798364774804</v>
      </c>
      <c r="AI31" s="55">
        <f>AI32</f>
        <v>7.3377471611721807</v>
      </c>
      <c r="AJ31" s="54">
        <f>+AJ32</f>
        <v>29854.798364774804</v>
      </c>
      <c r="AK31" s="55">
        <f>AK32</f>
        <v>7.3377471611721807</v>
      </c>
      <c r="AL31" s="54">
        <f>+AL32</f>
        <v>29854.798364774804</v>
      </c>
      <c r="AM31" s="55">
        <f>AM32</f>
        <v>7.3377471611721807</v>
      </c>
      <c r="AN31" s="54">
        <f>+AN32</f>
        <v>29854.798364774804</v>
      </c>
      <c r="AO31" s="55">
        <f>AO32</f>
        <v>7.3377471611721807</v>
      </c>
      <c r="AP31" s="54">
        <f>+AP32</f>
        <v>29854.798364774804</v>
      </c>
      <c r="AQ31" s="55">
        <f>AQ32</f>
        <v>7.3377471611721807</v>
      </c>
      <c r="AR31" s="54">
        <f>+AR32</f>
        <v>29854.798364774804</v>
      </c>
      <c r="AS31" s="55">
        <f>AS32</f>
        <v>7.3377471611721807</v>
      </c>
      <c r="AT31" s="54">
        <f>+AT32</f>
        <v>29854.798364774804</v>
      </c>
      <c r="AU31" s="55">
        <f>AU32</f>
        <v>7.3377471611721807</v>
      </c>
      <c r="AV31" s="54">
        <f>+AV32</f>
        <v>29854.798364774804</v>
      </c>
      <c r="AW31" s="55">
        <f>AW32</f>
        <v>7.3377471611721807</v>
      </c>
      <c r="AX31" s="54">
        <f>+AX32</f>
        <v>29854.798364774804</v>
      </c>
      <c r="AY31" s="55">
        <f>AY32</f>
        <v>7.3377471611721807</v>
      </c>
      <c r="AZ31" s="54">
        <f>+AZ32</f>
        <v>29854.798364774804</v>
      </c>
      <c r="BA31" s="55">
        <f>BA32</f>
        <v>7.3377471611721807</v>
      </c>
      <c r="BB31" s="54">
        <f>+BB32</f>
        <v>29854.798364774804</v>
      </c>
      <c r="BC31" s="55">
        <f>BC32</f>
        <v>7.3377471611721807</v>
      </c>
      <c r="BD31" s="54">
        <f>+BD32</f>
        <v>29854.798364774804</v>
      </c>
      <c r="BE31" s="55">
        <f>BE32</f>
        <v>7.3377471611721807</v>
      </c>
      <c r="BF31" s="54">
        <f t="shared" ref="BF31" si="378">+BF32</f>
        <v>29854.798364774804</v>
      </c>
      <c r="BG31" s="55">
        <f t="shared" ref="BG31" si="379">BG32</f>
        <v>7.3377471611721807</v>
      </c>
      <c r="BH31" s="54">
        <f t="shared" ref="BH31" si="380">+BH32</f>
        <v>29854.798364774804</v>
      </c>
      <c r="BI31" s="55">
        <f t="shared" ref="BI31" si="381">BI32</f>
        <v>7.3377471611721807</v>
      </c>
      <c r="BJ31" s="54">
        <f t="shared" ref="BJ31" si="382">+BJ32</f>
        <v>29854.798364774804</v>
      </c>
      <c r="BK31" s="55">
        <f t="shared" ref="BK31" si="383">BK32</f>
        <v>7.3377471611721807</v>
      </c>
      <c r="BL31" s="54">
        <f t="shared" ref="BL31" si="384">+BL32</f>
        <v>31735.547999999999</v>
      </c>
      <c r="BM31" s="55">
        <f t="shared" ref="BM31" si="385">BM32</f>
        <v>7.8</v>
      </c>
      <c r="BN31" s="54">
        <f t="shared" ref="BN31" si="386">+BN32</f>
        <v>31735.547999999999</v>
      </c>
      <c r="BO31" s="55">
        <f t="shared" ref="BO31" si="387">BO32</f>
        <v>7.8</v>
      </c>
      <c r="BP31" s="54">
        <f t="shared" ref="BP31:CT31" si="388">+BP32</f>
        <v>31735.547999999999</v>
      </c>
      <c r="BQ31" s="55">
        <f t="shared" ref="BQ31:CU31" si="389">BQ32</f>
        <v>7.8</v>
      </c>
      <c r="BR31" s="54">
        <f t="shared" si="388"/>
        <v>31735.547999999999</v>
      </c>
      <c r="BS31" s="55">
        <f t="shared" si="389"/>
        <v>7.8</v>
      </c>
      <c r="BT31" s="54">
        <f t="shared" si="388"/>
        <v>31735.547999999999</v>
      </c>
      <c r="BU31" s="55">
        <f t="shared" si="389"/>
        <v>7.8</v>
      </c>
      <c r="BV31" s="54">
        <f t="shared" si="388"/>
        <v>31735.547999999999</v>
      </c>
      <c r="BW31" s="55">
        <f t="shared" si="389"/>
        <v>7.8</v>
      </c>
      <c r="BX31" s="54">
        <f t="shared" si="388"/>
        <v>31735.547999999999</v>
      </c>
      <c r="BY31" s="55">
        <f t="shared" si="389"/>
        <v>7.8</v>
      </c>
      <c r="BZ31" s="54">
        <f t="shared" si="388"/>
        <v>31735.547999999999</v>
      </c>
      <c r="CA31" s="55">
        <f t="shared" si="389"/>
        <v>7.8</v>
      </c>
      <c r="CB31" s="54">
        <f t="shared" si="388"/>
        <v>31735.547999999999</v>
      </c>
      <c r="CC31" s="55">
        <f t="shared" si="389"/>
        <v>7.8</v>
      </c>
      <c r="CD31" s="54">
        <f t="shared" si="388"/>
        <v>31735.547999999999</v>
      </c>
      <c r="CE31" s="55">
        <f t="shared" si="389"/>
        <v>7.8</v>
      </c>
      <c r="CF31" s="54">
        <f t="shared" si="388"/>
        <v>31735.547999999999</v>
      </c>
      <c r="CG31" s="55">
        <f t="shared" si="389"/>
        <v>7.8</v>
      </c>
      <c r="CH31" s="54">
        <f t="shared" si="388"/>
        <v>31735.547999999999</v>
      </c>
      <c r="CI31" s="55">
        <f t="shared" si="389"/>
        <v>7.8</v>
      </c>
      <c r="CJ31" s="54">
        <f t="shared" si="388"/>
        <v>31735.547999999999</v>
      </c>
      <c r="CK31" s="55">
        <f t="shared" si="389"/>
        <v>7.8</v>
      </c>
      <c r="CL31" s="54">
        <f t="shared" si="388"/>
        <v>31735.547999999999</v>
      </c>
      <c r="CM31" s="55">
        <f t="shared" si="389"/>
        <v>7.8</v>
      </c>
      <c r="CN31" s="54">
        <f t="shared" si="388"/>
        <v>31735.547999999999</v>
      </c>
      <c r="CO31" s="55">
        <f t="shared" si="389"/>
        <v>7.8</v>
      </c>
      <c r="CP31" s="54">
        <f t="shared" si="388"/>
        <v>31735.547999999999</v>
      </c>
      <c r="CQ31" s="55">
        <f t="shared" si="389"/>
        <v>7.8</v>
      </c>
      <c r="CR31" s="54">
        <f t="shared" si="388"/>
        <v>29790.46602580645</v>
      </c>
      <c r="CS31" s="55">
        <f t="shared" si="389"/>
        <v>7.321935483870968</v>
      </c>
      <c r="CT31" s="54">
        <f t="shared" si="388"/>
        <v>33363.011999999995</v>
      </c>
      <c r="CU31" s="55">
        <f t="shared" si="389"/>
        <v>8.1999999999999993</v>
      </c>
      <c r="CV31" s="54">
        <f>+CV32</f>
        <v>29854.798364774804</v>
      </c>
      <c r="CW31" s="55">
        <f>CW32</f>
        <v>7.3377471611721807</v>
      </c>
      <c r="CX31" s="54">
        <f>+CX32</f>
        <v>29854.798364774804</v>
      </c>
      <c r="CY31" s="55">
        <f>CY32</f>
        <v>7.3377471611721807</v>
      </c>
      <c r="CZ31" s="54">
        <f>+CZ32</f>
        <v>29854.798364774804</v>
      </c>
      <c r="DA31" s="55">
        <f>DA32</f>
        <v>7.3377471611721807</v>
      </c>
      <c r="DB31" s="54">
        <f>+DB32</f>
        <v>29854.798364774804</v>
      </c>
      <c r="DC31" s="55">
        <f>DC32</f>
        <v>7.3377471611721807</v>
      </c>
      <c r="DD31" s="54">
        <f>+DD32</f>
        <v>29854.798364774804</v>
      </c>
      <c r="DE31" s="55">
        <f>DE32</f>
        <v>7.3377471611721807</v>
      </c>
      <c r="DF31" s="54">
        <f>+DF32</f>
        <v>31735.547999999999</v>
      </c>
      <c r="DG31" s="55">
        <f>DG32</f>
        <v>7.8</v>
      </c>
      <c r="DH31" s="54">
        <f>+DH32</f>
        <v>30994.023164774801</v>
      </c>
      <c r="DI31" s="55">
        <f>DI32</f>
        <v>7.6177471611721801</v>
      </c>
      <c r="DJ31" s="54">
        <f>+DJ32</f>
        <v>29854.798364774801</v>
      </c>
      <c r="DK31" s="55">
        <f>DK32</f>
        <v>7.3377471611721798</v>
      </c>
    </row>
    <row r="32" spans="1:119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v>7.3591528301222118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>+L32/L12</f>
        <v>7.8048780487804876</v>
      </c>
      <c r="N32" s="54">
        <f>O32*N12</f>
        <v>29854.798364774804</v>
      </c>
      <c r="O32" s="55">
        <v>7.3377471611721807</v>
      </c>
      <c r="P32" s="54">
        <f>Q32*P12</f>
        <v>30847.406672969333</v>
      </c>
      <c r="Q32" s="55">
        <v>7.5817115888202347</v>
      </c>
      <c r="R32" s="54">
        <f>S32*R12</f>
        <v>31755.395121951216</v>
      </c>
      <c r="S32" s="55">
        <f>8*40/41</f>
        <v>7.8048780487804876</v>
      </c>
      <c r="T32" s="54">
        <f>U32*T12</f>
        <v>29854.798364774804</v>
      </c>
      <c r="U32" s="55">
        <v>7.3377471611721807</v>
      </c>
      <c r="V32" s="54">
        <f>W32*V12</f>
        <v>29854.798364774804</v>
      </c>
      <c r="W32" s="55">
        <v>7.3377471611721807</v>
      </c>
      <c r="X32" s="54">
        <f>Y32*X12</f>
        <v>29854.798364774804</v>
      </c>
      <c r="Y32" s="55">
        <v>7.3377471611721807</v>
      </c>
      <c r="Z32" s="54">
        <f>AA32*Z12</f>
        <v>29854.798364774804</v>
      </c>
      <c r="AA32" s="55">
        <v>7.3377471611721807</v>
      </c>
      <c r="AB32" s="54">
        <f>AC32*AB12</f>
        <v>29854.798364774804</v>
      </c>
      <c r="AC32" s="55">
        <v>7.3377471611721807</v>
      </c>
      <c r="AD32" s="54">
        <f>AE32*AD12</f>
        <v>29854.798364774804</v>
      </c>
      <c r="AE32" s="55">
        <v>7.3377471611721807</v>
      </c>
      <c r="AF32" s="54">
        <f>AG32*AF12</f>
        <v>29854.798364774804</v>
      </c>
      <c r="AG32" s="55">
        <v>7.3377471611721807</v>
      </c>
      <c r="AH32" s="54">
        <f>AI32*AH12</f>
        <v>29854.798364774804</v>
      </c>
      <c r="AI32" s="55">
        <v>7.3377471611721807</v>
      </c>
      <c r="AJ32" s="54">
        <f>AK32*AJ12</f>
        <v>29854.798364774804</v>
      </c>
      <c r="AK32" s="55">
        <v>7.3377471611721807</v>
      </c>
      <c r="AL32" s="54">
        <f>AM32*AL12</f>
        <v>29854.798364774804</v>
      </c>
      <c r="AM32" s="55">
        <v>7.3377471611721807</v>
      </c>
      <c r="AN32" s="54">
        <f>AO32*AN12</f>
        <v>29854.798364774804</v>
      </c>
      <c r="AO32" s="55">
        <v>7.3377471611721807</v>
      </c>
      <c r="AP32" s="54">
        <f>AQ32*AP12</f>
        <v>29854.798364774804</v>
      </c>
      <c r="AQ32" s="55">
        <v>7.3377471611721807</v>
      </c>
      <c r="AR32" s="54">
        <f>AS32*AR12</f>
        <v>29854.798364774804</v>
      </c>
      <c r="AS32" s="55">
        <v>7.3377471611721807</v>
      </c>
      <c r="AT32" s="54">
        <f>AU32*AT12</f>
        <v>29854.798364774804</v>
      </c>
      <c r="AU32" s="55">
        <v>7.3377471611721807</v>
      </c>
      <c r="AV32" s="54">
        <f>AW32*AV12</f>
        <v>29854.798364774804</v>
      </c>
      <c r="AW32" s="55">
        <v>7.3377471611721807</v>
      </c>
      <c r="AX32" s="54">
        <f>AY32*AX12</f>
        <v>29854.798364774804</v>
      </c>
      <c r="AY32" s="55">
        <v>7.3377471611721807</v>
      </c>
      <c r="AZ32" s="54">
        <f>BA32*AZ12</f>
        <v>29854.798364774804</v>
      </c>
      <c r="BA32" s="55">
        <v>7.3377471611721807</v>
      </c>
      <c r="BB32" s="54">
        <f>BC32*BB12</f>
        <v>29854.798364774804</v>
      </c>
      <c r="BC32" s="55">
        <v>7.3377471611721807</v>
      </c>
      <c r="BD32" s="54">
        <f>BE32*BD12</f>
        <v>29854.798364774804</v>
      </c>
      <c r="BE32" s="55">
        <v>7.3377471611721807</v>
      </c>
      <c r="BF32" s="54">
        <f t="shared" ref="BF32" si="390">BG32*BF12</f>
        <v>29854.798364774804</v>
      </c>
      <c r="BG32" s="55">
        <v>7.3377471611721807</v>
      </c>
      <c r="BH32" s="54">
        <f t="shared" ref="BH32:BJ32" si="391">BI32*BH12</f>
        <v>29854.798364774804</v>
      </c>
      <c r="BI32" s="55">
        <v>7.3377471611721807</v>
      </c>
      <c r="BJ32" s="54">
        <f t="shared" si="391"/>
        <v>29854.798364774804</v>
      </c>
      <c r="BK32" s="55">
        <v>7.3377471611721807</v>
      </c>
      <c r="BL32" s="54">
        <f t="shared" ref="BL32" si="392">BM32*BL12</f>
        <v>31735.547999999999</v>
      </c>
      <c r="BM32" s="55">
        <v>7.8</v>
      </c>
      <c r="BN32" s="54">
        <f t="shared" ref="BN32" si="393">BO32*BN12</f>
        <v>31735.547999999999</v>
      </c>
      <c r="BO32" s="55">
        <v>7.8</v>
      </c>
      <c r="BP32" s="54">
        <f t="shared" ref="BP32" si="394">BQ32*BP12</f>
        <v>31735.547999999999</v>
      </c>
      <c r="BQ32" s="55">
        <v>7.8</v>
      </c>
      <c r="BR32" s="54">
        <f t="shared" ref="BR32" si="395">BS32*BR12</f>
        <v>31735.547999999999</v>
      </c>
      <c r="BS32" s="55">
        <v>7.8</v>
      </c>
      <c r="BT32" s="54">
        <f t="shared" ref="BT32" si="396">BU32*BT12</f>
        <v>31735.547999999999</v>
      </c>
      <c r="BU32" s="55">
        <v>7.8</v>
      </c>
      <c r="BV32" s="54">
        <f t="shared" ref="BV32" si="397">BW32*BV12</f>
        <v>31735.547999999999</v>
      </c>
      <c r="BW32" s="55">
        <v>7.8</v>
      </c>
      <c r="BX32" s="54">
        <f t="shared" ref="BX32" si="398">BY32*BX12</f>
        <v>31735.547999999999</v>
      </c>
      <c r="BY32" s="55">
        <v>7.8</v>
      </c>
      <c r="BZ32" s="54">
        <f t="shared" ref="BZ32" si="399">CA32*BZ12</f>
        <v>31735.547999999999</v>
      </c>
      <c r="CA32" s="55">
        <v>7.8</v>
      </c>
      <c r="CB32" s="54">
        <f t="shared" ref="CB32" si="400">CC32*CB12</f>
        <v>31735.547999999999</v>
      </c>
      <c r="CC32" s="55">
        <v>7.8</v>
      </c>
      <c r="CD32" s="54">
        <f t="shared" ref="CD32" si="401">CE32*CD12</f>
        <v>31735.547999999999</v>
      </c>
      <c r="CE32" s="55">
        <v>7.8</v>
      </c>
      <c r="CF32" s="54">
        <f t="shared" ref="CF32" si="402">CG32*CF12</f>
        <v>31735.547999999999</v>
      </c>
      <c r="CG32" s="55">
        <v>7.8</v>
      </c>
      <c r="CH32" s="54">
        <f t="shared" ref="CH32" si="403">CI32*CH12</f>
        <v>31735.547999999999</v>
      </c>
      <c r="CI32" s="55">
        <v>7.8</v>
      </c>
      <c r="CJ32" s="54">
        <f t="shared" ref="CJ32" si="404">CK32*CJ12</f>
        <v>31735.547999999999</v>
      </c>
      <c r="CK32" s="55">
        <v>7.8</v>
      </c>
      <c r="CL32" s="54">
        <f t="shared" ref="CL32" si="405">CM32*CL12</f>
        <v>31735.547999999999</v>
      </c>
      <c r="CM32" s="55">
        <v>7.8</v>
      </c>
      <c r="CN32" s="54">
        <f t="shared" ref="CN32" si="406">CO32*CN12</f>
        <v>31735.547999999999</v>
      </c>
      <c r="CO32" s="55">
        <v>7.8</v>
      </c>
      <c r="CP32" s="54">
        <f t="shared" ref="CP32" si="407">CQ32*CP12</f>
        <v>31735.547999999999</v>
      </c>
      <c r="CQ32" s="55">
        <v>7.8</v>
      </c>
      <c r="CR32" s="54">
        <f t="shared" ref="CR32" si="408">CS32*CR12</f>
        <v>29790.46602580645</v>
      </c>
      <c r="CS32" s="55">
        <f>7.8*300/310*97%</f>
        <v>7.321935483870968</v>
      </c>
      <c r="CT32" s="54">
        <f t="shared" ref="CT32" si="409">CU32*CT12</f>
        <v>33363.011999999995</v>
      </c>
      <c r="CU32" s="55">
        <v>8.1999999999999993</v>
      </c>
      <c r="CV32" s="54">
        <f>CW32*CV12</f>
        <v>29854.798364774804</v>
      </c>
      <c r="CW32" s="55">
        <v>7.3377471611721807</v>
      </c>
      <c r="CX32" s="54">
        <f>CY32*CX12</f>
        <v>29854.798364774804</v>
      </c>
      <c r="CY32" s="55">
        <v>7.3377471611721807</v>
      </c>
      <c r="CZ32" s="54">
        <f>DA32*CZ12</f>
        <v>29854.798364774804</v>
      </c>
      <c r="DA32" s="55">
        <v>7.3377471611721807</v>
      </c>
      <c r="DB32" s="54">
        <f>DC32*DB12</f>
        <v>29854.798364774804</v>
      </c>
      <c r="DC32" s="55">
        <v>7.3377471611721807</v>
      </c>
      <c r="DD32" s="54">
        <f>DE32*DD12</f>
        <v>29854.798364774804</v>
      </c>
      <c r="DE32" s="55">
        <v>7.3377471611721807</v>
      </c>
      <c r="DF32" s="54">
        <f>DG32*DF12</f>
        <v>31735.547999999999</v>
      </c>
      <c r="DG32" s="55">
        <v>7.8</v>
      </c>
      <c r="DH32" s="54">
        <f>DI32*DH12</f>
        <v>30994.023164774801</v>
      </c>
      <c r="DI32" s="55">
        <f>7.33774716117218+0.23+0.05</f>
        <v>7.6177471611721801</v>
      </c>
      <c r="DJ32" s="54">
        <f>DK32*DJ12</f>
        <v>29854.798364774801</v>
      </c>
      <c r="DK32" s="55">
        <f>7.33774716117218</f>
        <v>7.3377471611721798</v>
      </c>
    </row>
    <row r="33" spans="1:115" s="4" customFormat="1" ht="18" hidden="1" customHeight="1" x14ac:dyDescent="0.45">
      <c r="A33" s="561"/>
      <c r="B33" s="1195"/>
      <c r="C33" s="25"/>
      <c r="D33" s="26"/>
      <c r="E33" s="26"/>
      <c r="F33" s="61"/>
      <c r="G33" s="41"/>
      <c r="H33" s="347"/>
      <c r="I33" s="346"/>
      <c r="J33" s="347"/>
      <c r="K33" s="346"/>
      <c r="L33" s="347"/>
      <c r="M33" s="346"/>
      <c r="N33" s="365"/>
      <c r="O33" s="358"/>
      <c r="P33" s="365"/>
      <c r="Q33" s="358"/>
      <c r="R33" s="365"/>
      <c r="S33" s="358"/>
      <c r="T33" s="365"/>
      <c r="U33" s="358"/>
      <c r="V33" s="365"/>
      <c r="W33" s="358"/>
      <c r="X33" s="365"/>
      <c r="Y33" s="358"/>
      <c r="Z33" s="365"/>
      <c r="AA33" s="358"/>
      <c r="AB33" s="365"/>
      <c r="AC33" s="358"/>
      <c r="AD33" s="365"/>
      <c r="AE33" s="358"/>
      <c r="AF33" s="365"/>
      <c r="AG33" s="358"/>
      <c r="AH33" s="365"/>
      <c r="AI33" s="358"/>
      <c r="AJ33" s="365"/>
      <c r="AK33" s="358"/>
      <c r="AL33" s="365"/>
      <c r="AM33" s="358"/>
      <c r="AN33" s="365"/>
      <c r="AO33" s="358"/>
      <c r="AP33" s="365"/>
      <c r="AQ33" s="358"/>
      <c r="AR33" s="365"/>
      <c r="AS33" s="358"/>
      <c r="AT33" s="365"/>
      <c r="AU33" s="358"/>
      <c r="AV33" s="365"/>
      <c r="AW33" s="358"/>
      <c r="AX33" s="365"/>
      <c r="AY33" s="358"/>
      <c r="AZ33" s="365"/>
      <c r="BA33" s="358"/>
      <c r="BB33" s="365"/>
      <c r="BC33" s="358"/>
      <c r="BD33" s="365"/>
      <c r="BE33" s="358"/>
      <c r="BF33" s="365"/>
      <c r="BG33" s="358"/>
      <c r="BH33" s="365"/>
      <c r="BI33" s="358"/>
      <c r="BJ33" s="365"/>
      <c r="BK33" s="358"/>
      <c r="BL33" s="365"/>
      <c r="BM33" s="358"/>
      <c r="BN33" s="365"/>
      <c r="BO33" s="358"/>
      <c r="BP33" s="365"/>
      <c r="BQ33" s="358"/>
      <c r="BR33" s="365"/>
      <c r="BS33" s="358"/>
      <c r="BT33" s="365"/>
      <c r="BU33" s="358"/>
      <c r="BV33" s="365"/>
      <c r="BW33" s="358"/>
      <c r="BX33" s="365"/>
      <c r="BY33" s="358"/>
      <c r="BZ33" s="365"/>
      <c r="CA33" s="358"/>
      <c r="CB33" s="365"/>
      <c r="CC33" s="358"/>
      <c r="CD33" s="365"/>
      <c r="CE33" s="358"/>
      <c r="CF33" s="365"/>
      <c r="CG33" s="358"/>
      <c r="CH33" s="365"/>
      <c r="CI33" s="358"/>
      <c r="CJ33" s="365"/>
      <c r="CK33" s="358"/>
      <c r="CL33" s="365"/>
      <c r="CM33" s="358"/>
      <c r="CN33" s="365"/>
      <c r="CO33" s="358"/>
      <c r="CP33" s="365"/>
      <c r="CQ33" s="358"/>
      <c r="CR33" s="365"/>
      <c r="CS33" s="358"/>
      <c r="CT33" s="365"/>
      <c r="CU33" s="358"/>
      <c r="CV33" s="365"/>
      <c r="CW33" s="358"/>
      <c r="CX33" s="365"/>
      <c r="CY33" s="358"/>
      <c r="CZ33" s="365"/>
      <c r="DA33" s="358"/>
      <c r="DB33" s="365"/>
      <c r="DC33" s="358"/>
      <c r="DD33" s="365"/>
      <c r="DE33" s="358"/>
      <c r="DF33" s="365"/>
      <c r="DG33" s="358"/>
      <c r="DH33" s="365"/>
      <c r="DI33" s="358"/>
      <c r="DJ33" s="365"/>
      <c r="DK33" s="358"/>
    </row>
    <row r="34" spans="1:115" s="4" customFormat="1" ht="18" hidden="1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360"/>
      <c r="Z34" s="364"/>
      <c r="AA34" s="360"/>
      <c r="AB34" s="364"/>
      <c r="AC34" s="360"/>
      <c r="AD34" s="364"/>
      <c r="AE34" s="360"/>
      <c r="AF34" s="364"/>
      <c r="AG34" s="360"/>
      <c r="AH34" s="364"/>
      <c r="AI34" s="360"/>
      <c r="AJ34" s="364"/>
      <c r="AK34" s="360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364"/>
      <c r="AW34" s="360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364"/>
      <c r="BO34" s="360"/>
      <c r="BP34" s="364"/>
      <c r="BQ34" s="360"/>
      <c r="BR34" s="364"/>
      <c r="BS34" s="360"/>
      <c r="BT34" s="364"/>
      <c r="BU34" s="360"/>
      <c r="BV34" s="364"/>
      <c r="BW34" s="360"/>
      <c r="BX34" s="364"/>
      <c r="BY34" s="360"/>
      <c r="BZ34" s="364"/>
      <c r="CA34" s="360"/>
      <c r="CB34" s="364"/>
      <c r="CC34" s="360"/>
      <c r="CD34" s="364"/>
      <c r="CE34" s="360"/>
      <c r="CF34" s="364"/>
      <c r="CG34" s="360"/>
      <c r="CH34" s="364"/>
      <c r="CI34" s="360"/>
      <c r="CJ34" s="364"/>
      <c r="CK34" s="360"/>
      <c r="CL34" s="364"/>
      <c r="CM34" s="360"/>
      <c r="CN34" s="364"/>
      <c r="CO34" s="360"/>
      <c r="CP34" s="364"/>
      <c r="CQ34" s="360"/>
      <c r="CR34" s="364"/>
      <c r="CS34" s="360"/>
      <c r="CT34" s="364"/>
      <c r="CU34" s="360"/>
      <c r="CV34" s="364"/>
      <c r="CW34" s="360"/>
      <c r="CX34" s="364"/>
      <c r="CY34" s="360"/>
      <c r="CZ34" s="364"/>
      <c r="DA34" s="360"/>
      <c r="DB34" s="364"/>
      <c r="DC34" s="360"/>
      <c r="DD34" s="364"/>
      <c r="DE34" s="360"/>
      <c r="DF34" s="364"/>
      <c r="DG34" s="360"/>
      <c r="DH34" s="364"/>
      <c r="DI34" s="360"/>
      <c r="DJ34" s="364"/>
      <c r="DK34" s="360"/>
    </row>
    <row r="35" spans="1:115" s="49" customFormat="1" ht="18" hidden="1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410">L36/L32</f>
        <v>8.8374999999999884E-2</v>
      </c>
      <c r="M35" s="362">
        <f t="shared" si="410"/>
        <v>8.8374999999999967E-2</v>
      </c>
      <c r="N35" s="361"/>
      <c r="O35" s="362"/>
      <c r="P35" s="361"/>
      <c r="Q35" s="362"/>
      <c r="R35" s="361">
        <f t="shared" ref="R35:S35" si="411">R36/R32</f>
        <v>8.8374999999999884E-2</v>
      </c>
      <c r="S35" s="362">
        <f t="shared" si="411"/>
        <v>8.8374999999999967E-2</v>
      </c>
      <c r="T35" s="361"/>
      <c r="U35" s="362"/>
      <c r="V35" s="361"/>
      <c r="W35" s="362"/>
      <c r="X35" s="361"/>
      <c r="Y35" s="362"/>
      <c r="Z35" s="361"/>
      <c r="AA35" s="362"/>
      <c r="AB35" s="361"/>
      <c r="AC35" s="362"/>
      <c r="AD35" s="361"/>
      <c r="AE35" s="362"/>
      <c r="AF35" s="361"/>
      <c r="AG35" s="362"/>
      <c r="AH35" s="361"/>
      <c r="AI35" s="362"/>
      <c r="AJ35" s="361"/>
      <c r="AK35" s="362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361"/>
      <c r="AW35" s="362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361"/>
      <c r="BY35" s="362"/>
      <c r="BZ35" s="361"/>
      <c r="CA35" s="362"/>
      <c r="CB35" s="361"/>
      <c r="CC35" s="362"/>
      <c r="CD35" s="361"/>
      <c r="CE35" s="362"/>
      <c r="CF35" s="361"/>
      <c r="CG35" s="362"/>
      <c r="CH35" s="361"/>
      <c r="CI35" s="362"/>
      <c r="CJ35" s="361"/>
      <c r="CK35" s="362"/>
      <c r="CL35" s="361"/>
      <c r="CM35" s="362"/>
      <c r="CN35" s="361"/>
      <c r="CO35" s="362"/>
      <c r="CP35" s="361"/>
      <c r="CQ35" s="362"/>
      <c r="CR35" s="361"/>
      <c r="CS35" s="362"/>
      <c r="CT35" s="361"/>
      <c r="CU35" s="362"/>
      <c r="CV35" s="361"/>
      <c r="CW35" s="362"/>
      <c r="CX35" s="361"/>
      <c r="CY35" s="362"/>
      <c r="CZ35" s="361"/>
      <c r="DA35" s="362"/>
      <c r="DB35" s="361"/>
      <c r="DC35" s="362"/>
      <c r="DD35" s="361"/>
      <c r="DE35" s="362"/>
      <c r="DF35" s="361"/>
      <c r="DG35" s="362"/>
      <c r="DH35" s="361"/>
      <c r="DI35" s="362"/>
      <c r="DJ35" s="361"/>
      <c r="DK35" s="362"/>
    </row>
    <row r="36" spans="1:115" s="4" customFormat="1" ht="18" hidden="1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412">L32-L38</f>
        <v>2806.383043902435</v>
      </c>
      <c r="M36" s="351">
        <f t="shared" si="412"/>
        <v>0.68975609756097533</v>
      </c>
      <c r="N36" s="363"/>
      <c r="O36" s="351"/>
      <c r="P36" s="363"/>
      <c r="Q36" s="351"/>
      <c r="R36" s="363">
        <f t="shared" ref="R36:S36" si="413">R32-R38</f>
        <v>2806.383043902435</v>
      </c>
      <c r="S36" s="351">
        <f t="shared" si="413"/>
        <v>0.68975609756097533</v>
      </c>
      <c r="T36" s="363"/>
      <c r="U36" s="351"/>
      <c r="V36" s="363"/>
      <c r="W36" s="351"/>
      <c r="X36" s="363"/>
      <c r="Y36" s="351"/>
      <c r="Z36" s="363"/>
      <c r="AA36" s="351"/>
      <c r="AB36" s="363"/>
      <c r="AC36" s="351"/>
      <c r="AD36" s="363"/>
      <c r="AE36" s="351"/>
      <c r="AF36" s="363"/>
      <c r="AG36" s="351"/>
      <c r="AH36" s="363"/>
      <c r="AI36" s="351"/>
      <c r="AJ36" s="363"/>
      <c r="AK36" s="351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363"/>
      <c r="AW36" s="351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363"/>
      <c r="BY36" s="351"/>
      <c r="BZ36" s="363"/>
      <c r="CA36" s="351"/>
      <c r="CB36" s="363"/>
      <c r="CC36" s="351"/>
      <c r="CD36" s="363"/>
      <c r="CE36" s="351"/>
      <c r="CF36" s="363"/>
      <c r="CG36" s="351"/>
      <c r="CH36" s="363"/>
      <c r="CI36" s="351"/>
      <c r="CJ36" s="363"/>
      <c r="CK36" s="351"/>
      <c r="CL36" s="363"/>
      <c r="CM36" s="351"/>
      <c r="CN36" s="363"/>
      <c r="CO36" s="351"/>
      <c r="CP36" s="363"/>
      <c r="CQ36" s="351"/>
      <c r="CR36" s="363"/>
      <c r="CS36" s="351"/>
      <c r="CT36" s="363"/>
      <c r="CU36" s="351"/>
      <c r="CV36" s="363"/>
      <c r="CW36" s="351"/>
      <c r="CX36" s="363"/>
      <c r="CY36" s="351"/>
      <c r="CZ36" s="363"/>
      <c r="DA36" s="351"/>
      <c r="DB36" s="363"/>
      <c r="DC36" s="351"/>
      <c r="DD36" s="363"/>
      <c r="DE36" s="351"/>
      <c r="DF36" s="363"/>
      <c r="DG36" s="351"/>
      <c r="DH36" s="363"/>
      <c r="DI36" s="351"/>
      <c r="DJ36" s="363"/>
      <c r="DK36" s="351"/>
    </row>
    <row r="37" spans="1:115" s="4" customFormat="1" ht="18" hidden="1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28949.012078048781</v>
      </c>
      <c r="S37" s="55">
        <f>S38</f>
        <v>7.1151219512195123</v>
      </c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54"/>
      <c r="BY37" s="55"/>
      <c r="BZ37" s="54"/>
      <c r="CA37" s="55"/>
      <c r="CB37" s="54"/>
      <c r="CC37" s="55"/>
      <c r="CD37" s="54"/>
      <c r="CE37" s="55"/>
      <c r="CF37" s="54"/>
      <c r="CG37" s="55"/>
      <c r="CH37" s="54"/>
      <c r="CI37" s="55"/>
      <c r="CJ37" s="54"/>
      <c r="CK37" s="55"/>
      <c r="CL37" s="54"/>
      <c r="CM37" s="55"/>
      <c r="CN37" s="54"/>
      <c r="CO37" s="55"/>
      <c r="CP37" s="54"/>
      <c r="CQ37" s="55"/>
      <c r="CR37" s="54"/>
      <c r="CS37" s="55"/>
      <c r="CT37" s="54"/>
      <c r="CU37" s="55"/>
      <c r="CV37" s="54"/>
      <c r="CW37" s="55"/>
      <c r="CX37" s="54"/>
      <c r="CY37" s="55"/>
      <c r="CZ37" s="54"/>
      <c r="DA37" s="55"/>
      <c r="DB37" s="54"/>
      <c r="DC37" s="55"/>
      <c r="DD37" s="54"/>
      <c r="DE37" s="55"/>
      <c r="DF37" s="54"/>
      <c r="DG37" s="55"/>
      <c r="DH37" s="54"/>
      <c r="DI37" s="55"/>
      <c r="DJ37" s="54"/>
      <c r="DK37" s="55"/>
    </row>
    <row r="38" spans="1:115" s="4" customFormat="1" ht="18" hidden="1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28949.012078048781</v>
      </c>
      <c r="S38" s="55">
        <v>7.1151219512195123</v>
      </c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54"/>
      <c r="BY38" s="55"/>
      <c r="BZ38" s="54"/>
      <c r="CA38" s="55"/>
      <c r="CB38" s="54"/>
      <c r="CC38" s="55"/>
      <c r="CD38" s="54"/>
      <c r="CE38" s="55"/>
      <c r="CF38" s="54"/>
      <c r="CG38" s="55"/>
      <c r="CH38" s="54"/>
      <c r="CI38" s="55"/>
      <c r="CJ38" s="54"/>
      <c r="CK38" s="55"/>
      <c r="CL38" s="54"/>
      <c r="CM38" s="55"/>
      <c r="CN38" s="54"/>
      <c r="CO38" s="55"/>
      <c r="CP38" s="54"/>
      <c r="CQ38" s="55"/>
      <c r="CR38" s="54"/>
      <c r="CS38" s="55"/>
      <c r="CT38" s="54"/>
      <c r="CU38" s="55"/>
      <c r="CV38" s="54"/>
      <c r="CW38" s="55"/>
      <c r="CX38" s="54"/>
      <c r="CY38" s="55"/>
      <c r="CZ38" s="54"/>
      <c r="DA38" s="55"/>
      <c r="DB38" s="54"/>
      <c r="DC38" s="55"/>
      <c r="DD38" s="54"/>
      <c r="DE38" s="55"/>
      <c r="DF38" s="54"/>
      <c r="DG38" s="55"/>
      <c r="DH38" s="54"/>
      <c r="DI38" s="55"/>
      <c r="DJ38" s="54"/>
      <c r="DK38" s="55"/>
    </row>
    <row r="39" spans="1:115" s="4" customFormat="1" ht="18" hidden="1" customHeight="1" x14ac:dyDescent="0.45">
      <c r="A39" s="561"/>
      <c r="B39" s="1195"/>
      <c r="C39" s="25"/>
      <c r="D39" s="26"/>
      <c r="E39" s="26"/>
      <c r="F39" s="61"/>
      <c r="G39" s="41"/>
      <c r="H39" s="347"/>
      <c r="I39" s="346"/>
      <c r="J39" s="347"/>
      <c r="K39" s="346"/>
      <c r="L39" s="347"/>
      <c r="M39" s="346"/>
      <c r="N39" s="858"/>
      <c r="O39" s="859">
        <f>500/(7.34*3850)</f>
        <v>1.7693478183941399E-2</v>
      </c>
      <c r="P39" s="365"/>
      <c r="Q39" s="358"/>
      <c r="R39" s="365"/>
      <c r="S39" s="358"/>
      <c r="T39" s="858"/>
      <c r="U39" s="859">
        <f>500/(7.34*3850)</f>
        <v>1.7693478183941399E-2</v>
      </c>
      <c r="V39" s="858"/>
      <c r="W39" s="859">
        <f>500/(7.34*3850)</f>
        <v>1.7693478183941399E-2</v>
      </c>
      <c r="X39" s="858"/>
      <c r="Y39" s="859">
        <f>500/(7.34*3850)</f>
        <v>1.7693478183941399E-2</v>
      </c>
      <c r="Z39" s="858"/>
      <c r="AA39" s="859">
        <f>500/(7.34*3850)</f>
        <v>1.7693478183941399E-2</v>
      </c>
      <c r="AB39" s="858"/>
      <c r="AC39" s="859">
        <f>500/(7.34*3850)</f>
        <v>1.7693478183941399E-2</v>
      </c>
      <c r="AD39" s="858"/>
      <c r="AE39" s="859">
        <f>500/(7.34*3850)</f>
        <v>1.7693478183941399E-2</v>
      </c>
      <c r="AF39" s="858"/>
      <c r="AG39" s="859">
        <f>500/(7.34*3850)</f>
        <v>1.7693478183941399E-2</v>
      </c>
      <c r="AH39" s="858"/>
      <c r="AI39" s="859">
        <f>500/(7.34*3850)</f>
        <v>1.7693478183941399E-2</v>
      </c>
      <c r="AJ39" s="858"/>
      <c r="AK39" s="859">
        <f>500/(7.34*3850)</f>
        <v>1.7693478183941399E-2</v>
      </c>
      <c r="AL39" s="858"/>
      <c r="AM39" s="859">
        <f>500/(7.34*3850)</f>
        <v>1.7693478183941399E-2</v>
      </c>
      <c r="AN39" s="858"/>
      <c r="AO39" s="859">
        <f>500/(7.34*3850)</f>
        <v>1.7693478183941399E-2</v>
      </c>
      <c r="AP39" s="858"/>
      <c r="AQ39" s="859">
        <f>500/(7.34*3850)</f>
        <v>1.7693478183941399E-2</v>
      </c>
      <c r="AR39" s="858"/>
      <c r="AS39" s="859">
        <f>500/(7.34*3850)</f>
        <v>1.7693478183941399E-2</v>
      </c>
      <c r="AT39" s="858"/>
      <c r="AU39" s="859">
        <f>500/(7.34*3850)</f>
        <v>1.7693478183941399E-2</v>
      </c>
      <c r="AV39" s="858"/>
      <c r="AW39" s="859">
        <f>500/(7.34*3850)</f>
        <v>1.7693478183941399E-2</v>
      </c>
      <c r="AX39" s="858"/>
      <c r="AY39" s="859">
        <f>500/(7.34*3850)</f>
        <v>1.7693478183941399E-2</v>
      </c>
      <c r="AZ39" s="858"/>
      <c r="BA39" s="859">
        <f>500/(7.34*3850)</f>
        <v>1.7693478183941399E-2</v>
      </c>
      <c r="BB39" s="858"/>
      <c r="BC39" s="859">
        <f>500/(7.34*3850)</f>
        <v>1.7693478183941399E-2</v>
      </c>
      <c r="BD39" s="858"/>
      <c r="BE39" s="859">
        <f>500/(7.34*3850)</f>
        <v>1.7693478183941399E-2</v>
      </c>
      <c r="BF39" s="858"/>
      <c r="BG39" s="859">
        <f t="shared" ref="BG39" si="414">500/(7.34*3850)</f>
        <v>1.7693478183941399E-2</v>
      </c>
      <c r="BH39" s="858"/>
      <c r="BI39" s="859">
        <f t="shared" ref="BI39:CU39" si="415">500/(7.34*3850)</f>
        <v>1.7693478183941399E-2</v>
      </c>
      <c r="BJ39" s="858"/>
      <c r="BK39" s="859">
        <f t="shared" si="415"/>
        <v>1.7693478183941399E-2</v>
      </c>
      <c r="BL39" s="858"/>
      <c r="BM39" s="859">
        <f t="shared" si="415"/>
        <v>1.7693478183941399E-2</v>
      </c>
      <c r="BN39" s="858"/>
      <c r="BO39" s="859">
        <f t="shared" si="415"/>
        <v>1.7693478183941399E-2</v>
      </c>
      <c r="BP39" s="858"/>
      <c r="BQ39" s="859">
        <f t="shared" si="415"/>
        <v>1.7693478183941399E-2</v>
      </c>
      <c r="BR39" s="858"/>
      <c r="BS39" s="859">
        <f t="shared" si="415"/>
        <v>1.7693478183941399E-2</v>
      </c>
      <c r="BT39" s="858"/>
      <c r="BU39" s="859">
        <f t="shared" si="415"/>
        <v>1.7693478183941399E-2</v>
      </c>
      <c r="BV39" s="858"/>
      <c r="BW39" s="859">
        <f t="shared" si="415"/>
        <v>1.7693478183941399E-2</v>
      </c>
      <c r="BX39" s="858"/>
      <c r="BY39" s="859">
        <f t="shared" si="415"/>
        <v>1.7693478183941399E-2</v>
      </c>
      <c r="BZ39" s="858"/>
      <c r="CA39" s="859">
        <f t="shared" si="415"/>
        <v>1.7693478183941399E-2</v>
      </c>
      <c r="CB39" s="858"/>
      <c r="CC39" s="859">
        <f t="shared" si="415"/>
        <v>1.7693478183941399E-2</v>
      </c>
      <c r="CD39" s="858"/>
      <c r="CE39" s="859">
        <f t="shared" si="415"/>
        <v>1.7693478183941399E-2</v>
      </c>
      <c r="CF39" s="858"/>
      <c r="CG39" s="859">
        <f t="shared" si="415"/>
        <v>1.7693478183941399E-2</v>
      </c>
      <c r="CH39" s="858"/>
      <c r="CI39" s="859">
        <f t="shared" si="415"/>
        <v>1.7693478183941399E-2</v>
      </c>
      <c r="CJ39" s="858"/>
      <c r="CK39" s="859">
        <f t="shared" si="415"/>
        <v>1.7693478183941399E-2</v>
      </c>
      <c r="CL39" s="858"/>
      <c r="CM39" s="859">
        <f t="shared" si="415"/>
        <v>1.7693478183941399E-2</v>
      </c>
      <c r="CN39" s="858"/>
      <c r="CO39" s="859">
        <f t="shared" si="415"/>
        <v>1.7693478183941399E-2</v>
      </c>
      <c r="CP39" s="858"/>
      <c r="CQ39" s="859">
        <f t="shared" si="415"/>
        <v>1.7693478183941399E-2</v>
      </c>
      <c r="CR39" s="858"/>
      <c r="CS39" s="859">
        <f t="shared" si="415"/>
        <v>1.7693478183941399E-2</v>
      </c>
      <c r="CT39" s="858"/>
      <c r="CU39" s="859">
        <f t="shared" si="415"/>
        <v>1.7693478183941399E-2</v>
      </c>
      <c r="CV39" s="858"/>
      <c r="CW39" s="859">
        <f>500/(7.34*3850)</f>
        <v>1.7693478183941399E-2</v>
      </c>
      <c r="CX39" s="858"/>
      <c r="CY39" s="859">
        <f>500/(7.34*3850)</f>
        <v>1.7693478183941399E-2</v>
      </c>
      <c r="CZ39" s="858"/>
      <c r="DA39" s="859">
        <f>500/(7.34*3850)</f>
        <v>1.7693478183941399E-2</v>
      </c>
      <c r="DB39" s="858"/>
      <c r="DC39" s="859">
        <f>500/(7.34*3850)</f>
        <v>1.7693478183941399E-2</v>
      </c>
      <c r="DD39" s="858"/>
      <c r="DE39" s="859">
        <f>500/(7.34*3850)</f>
        <v>1.7693478183941399E-2</v>
      </c>
      <c r="DF39" s="858"/>
      <c r="DG39" s="859">
        <f>500/(7.34*3850)</f>
        <v>1.7693478183941399E-2</v>
      </c>
      <c r="DH39" s="858"/>
      <c r="DI39" s="859">
        <f>500/(7.34*3850)</f>
        <v>1.7693478183941399E-2</v>
      </c>
      <c r="DJ39" s="858"/>
      <c r="DK39" s="859">
        <f>500/(7.34*3850)</f>
        <v>1.7693478183941399E-2</v>
      </c>
    </row>
    <row r="40" spans="1:115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364"/>
      <c r="AG40" s="360"/>
      <c r="AH40" s="364"/>
      <c r="AI40" s="360"/>
      <c r="AJ40" s="364"/>
      <c r="AK40" s="360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364"/>
      <c r="BY40" s="360"/>
      <c r="BZ40" s="364"/>
      <c r="CA40" s="360"/>
      <c r="CB40" s="364"/>
      <c r="CC40" s="360"/>
      <c r="CD40" s="364"/>
      <c r="CE40" s="360"/>
      <c r="CF40" s="364"/>
      <c r="CG40" s="360"/>
      <c r="CH40" s="364"/>
      <c r="CI40" s="360"/>
      <c r="CJ40" s="364"/>
      <c r="CK40" s="360"/>
      <c r="CL40" s="364"/>
      <c r="CM40" s="360"/>
      <c r="CN40" s="364"/>
      <c r="CO40" s="360"/>
      <c r="CP40" s="364"/>
      <c r="CQ40" s="360"/>
      <c r="CR40" s="364"/>
      <c r="CS40" s="360"/>
      <c r="CT40" s="364"/>
      <c r="CU40" s="360"/>
      <c r="CV40" s="364"/>
      <c r="CW40" s="360"/>
      <c r="CX40" s="364"/>
      <c r="CY40" s="360"/>
      <c r="CZ40" s="364"/>
      <c r="DA40" s="360"/>
      <c r="DB40" s="364"/>
      <c r="DC40" s="360"/>
      <c r="DD40" s="364"/>
      <c r="DE40" s="360"/>
      <c r="DF40" s="364"/>
      <c r="DG40" s="360"/>
      <c r="DH40" s="364"/>
      <c r="DI40" s="360"/>
      <c r="DJ40" s="364"/>
      <c r="DK40" s="360"/>
    </row>
    <row r="41" spans="1:115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543.53598818182218</v>
      </c>
      <c r="G41" s="24">
        <f>G42-G54</f>
        <v>0.13359090909090987</v>
      </c>
      <c r="H41" s="430">
        <f>H42-I54*H12</f>
        <v>500.81505818182222</v>
      </c>
      <c r="I41" s="24">
        <f>I42-I54</f>
        <v>0.12301389364747484</v>
      </c>
      <c r="J41" s="430">
        <f>J42-K54*J12</f>
        <v>573.16685773484232</v>
      </c>
      <c r="K41" s="24">
        <f>K42-K54</f>
        <v>0.14087361876756554</v>
      </c>
      <c r="L41" s="430">
        <f>L42-M54*L12</f>
        <v>410.24001073171121</v>
      </c>
      <c r="M41" s="24">
        <f>M42-M54</f>
        <v>0.10082926829268357</v>
      </c>
      <c r="N41" s="430">
        <f>N42-O54*N12</f>
        <v>472.49900525768362</v>
      </c>
      <c r="O41" s="24">
        <f>O42-O54</f>
        <v>0.1161313565787464</v>
      </c>
      <c r="P41" s="430">
        <f>P42-Q54*P12</f>
        <v>561.49617909638937</v>
      </c>
      <c r="Q41" s="24">
        <f>Q42-Q54</f>
        <v>0.13800518576051746</v>
      </c>
      <c r="R41" s="430">
        <f>R42-S54*R12</f>
        <v>388.91485228542979</v>
      </c>
      <c r="S41" s="24">
        <f>S42-S54</f>
        <v>9.5587945978633848E-2</v>
      </c>
      <c r="T41" s="430">
        <f>T42-U54*T12</f>
        <v>471.25906016961335</v>
      </c>
      <c r="U41" s="24">
        <f>U42-U54</f>
        <v>0.11582660142887635</v>
      </c>
      <c r="V41" s="430">
        <f>V42-W54*V12</f>
        <v>471.25906016961335</v>
      </c>
      <c r="W41" s="24">
        <f>W42-W54</f>
        <v>0.11582660142887635</v>
      </c>
      <c r="X41" s="430">
        <f>X42-Y54*X12</f>
        <v>471.25906016961335</v>
      </c>
      <c r="Y41" s="24">
        <f>Y42-Y54</f>
        <v>0.11582660142887635</v>
      </c>
      <c r="Z41" s="430">
        <f>Z42-AA54*Z12</f>
        <v>471.25906016961335</v>
      </c>
      <c r="AA41" s="24">
        <f>AA42-AA54</f>
        <v>0.11582660142887635</v>
      </c>
      <c r="AB41" s="430">
        <f>AB42-AC54*AB12</f>
        <v>471.25906016961335</v>
      </c>
      <c r="AC41" s="24">
        <f>AC42-AC54</f>
        <v>0.11582660142887635</v>
      </c>
      <c r="AD41" s="430">
        <f>AD42-AE54*AD12</f>
        <v>471.25906016961335</v>
      </c>
      <c r="AE41" s="24">
        <f>AE42-AE54</f>
        <v>0.11582660142887635</v>
      </c>
      <c r="AF41" s="430">
        <f>AF42-AG54*AF12</f>
        <v>471.25906016961335</v>
      </c>
      <c r="AG41" s="24">
        <f>AG42-AG54</f>
        <v>0.11582660142887635</v>
      </c>
      <c r="AH41" s="430">
        <f>AH42-AI54*AH12</f>
        <v>471.25906016961335</v>
      </c>
      <c r="AI41" s="24">
        <f>AI42-AI54</f>
        <v>0.11582660142887635</v>
      </c>
      <c r="AJ41" s="430">
        <f>AJ42-AK54*AJ12</f>
        <v>471.25906016961335</v>
      </c>
      <c r="AK41" s="24">
        <f>AK42-AK54</f>
        <v>0.11582660142887635</v>
      </c>
      <c r="AL41" s="430">
        <f>AL42-AM54*AL12</f>
        <v>471.25906016961335</v>
      </c>
      <c r="AM41" s="24">
        <f>AM42-AM54</f>
        <v>0.11582660142887635</v>
      </c>
      <c r="AN41" s="430">
        <f>AN42-AO54*AN12</f>
        <v>471.25906016961335</v>
      </c>
      <c r="AO41" s="24">
        <f>AO42-AO54</f>
        <v>0.11582660142887635</v>
      </c>
      <c r="AP41" s="430">
        <f>AP42-AQ54*AP12</f>
        <v>471.25906016961335</v>
      </c>
      <c r="AQ41" s="24">
        <f>AQ42-AQ54</f>
        <v>0.11582660142887635</v>
      </c>
      <c r="AR41" s="430">
        <f>AR42-AS54*AR12</f>
        <v>471.25906016961335</v>
      </c>
      <c r="AS41" s="24">
        <f>AS42-AS54</f>
        <v>0.11582660142887635</v>
      </c>
      <c r="AT41" s="430">
        <f>AT42-AU54*AT12</f>
        <v>471.25906016961335</v>
      </c>
      <c r="AU41" s="24">
        <f>AU42-AU54</f>
        <v>0.11582660142887635</v>
      </c>
      <c r="AV41" s="430">
        <f>AV42-AW54*AV12</f>
        <v>471.25906016961335</v>
      </c>
      <c r="AW41" s="24">
        <f>AW42-AW54</f>
        <v>0.11582660142887635</v>
      </c>
      <c r="AX41" s="430">
        <f>AX42-AY54*AX12</f>
        <v>471.25906016961335</v>
      </c>
      <c r="AY41" s="24">
        <f>AY42-AY54</f>
        <v>0.11582660142887635</v>
      </c>
      <c r="AZ41" s="430">
        <f>AZ42-BA54*AZ12</f>
        <v>471.25906016961335</v>
      </c>
      <c r="BA41" s="24">
        <f>BA42-BA54</f>
        <v>0.11582660142887635</v>
      </c>
      <c r="BB41" s="430">
        <f>BB42-BC54*BB12</f>
        <v>471.25906016961335</v>
      </c>
      <c r="BC41" s="24">
        <f>BC42-BC54</f>
        <v>0.11582660142887635</v>
      </c>
      <c r="BD41" s="430">
        <f>BD42-BE54*BD12</f>
        <v>471.25906016961335</v>
      </c>
      <c r="BE41" s="24">
        <f>BE42-BE54</f>
        <v>0.11582660142887635</v>
      </c>
      <c r="BF41" s="430">
        <f>BF42-BG54*BF12</f>
        <v>471.25906016961335</v>
      </c>
      <c r="BG41" s="24">
        <f>BG42-BG54</f>
        <v>0.11582660142887635</v>
      </c>
      <c r="BH41" s="430">
        <f>BH42-BI54*BH12</f>
        <v>471.25906016961335</v>
      </c>
      <c r="BI41" s="24">
        <f>BI42-BI54</f>
        <v>0.11582660142887635</v>
      </c>
      <c r="BJ41" s="430">
        <f>BJ42-BK54*BJ12</f>
        <v>471.22375361589457</v>
      </c>
      <c r="BK41" s="24">
        <f>BK42-BK54</f>
        <v>0.11581792374292599</v>
      </c>
      <c r="BL41" s="430">
        <f>BL42-BM54*BL12</f>
        <v>642.20099318182201</v>
      </c>
      <c r="BM41" s="24">
        <f>BM42-BM54</f>
        <v>0.15784090909090986</v>
      </c>
      <c r="BN41" s="430">
        <f>BN42-BO54*BN12</f>
        <v>642.20099318182201</v>
      </c>
      <c r="BO41" s="24">
        <f>BO42-BO54</f>
        <v>0.15784090909090986</v>
      </c>
      <c r="BP41" s="430">
        <f>BP42-BQ54*BP12</f>
        <v>642.20099318182201</v>
      </c>
      <c r="BQ41" s="24">
        <f>BQ42-BQ54</f>
        <v>0.15784090909090986</v>
      </c>
      <c r="BR41" s="430">
        <f>BR42-BS54*BR12</f>
        <v>642.20099318182201</v>
      </c>
      <c r="BS41" s="24">
        <f>BS42-BS54</f>
        <v>0.15784090909090986</v>
      </c>
      <c r="BT41" s="430">
        <f>BT42-BU54*BT12</f>
        <v>642.20099318182201</v>
      </c>
      <c r="BU41" s="24">
        <f>BU42-BU54</f>
        <v>0.15784090909090986</v>
      </c>
      <c r="BV41" s="430">
        <f>BV42-BW54*BV12</f>
        <v>642.20099318182201</v>
      </c>
      <c r="BW41" s="24">
        <f>BW42-BW54</f>
        <v>0.15784090909090986</v>
      </c>
      <c r="BX41" s="430">
        <f>BX42-BY54*BX12</f>
        <v>642.20099318182201</v>
      </c>
      <c r="BY41" s="24">
        <f>BY42-BY54</f>
        <v>0.15784090909090986</v>
      </c>
      <c r="BZ41" s="430">
        <f>BZ42-CA54*BZ12</f>
        <v>643.26901643182191</v>
      </c>
      <c r="CA41" s="24">
        <f>CA42-CA54</f>
        <v>0.15810340909090981</v>
      </c>
      <c r="CB41" s="430">
        <f>CB42-CC54*CB12</f>
        <v>643.26901643182191</v>
      </c>
      <c r="CC41" s="24">
        <f>CC42-CC54</f>
        <v>0.15810340909090981</v>
      </c>
      <c r="CD41" s="430">
        <f>CD42-CE54*CD12</f>
        <v>643.26901643182191</v>
      </c>
      <c r="CE41" s="24">
        <f>CE42-CE54</f>
        <v>0.15810340909090981</v>
      </c>
      <c r="CF41" s="430">
        <f>CF42-CG54*CF12</f>
        <v>643.26901643182191</v>
      </c>
      <c r="CG41" s="24">
        <f>CG42-CG54</f>
        <v>0.15810340909090981</v>
      </c>
      <c r="CH41" s="430">
        <f>CH42-CI54*CH12</f>
        <v>643.26901643182191</v>
      </c>
      <c r="CI41" s="24">
        <f>CI42-CI54</f>
        <v>0.15810340909090981</v>
      </c>
      <c r="CJ41" s="430">
        <f>CJ42-CK54*CJ12</f>
        <v>643.26901643182191</v>
      </c>
      <c r="CK41" s="24">
        <f>CK42-CK54</f>
        <v>0.15810340909090981</v>
      </c>
      <c r="CL41" s="430">
        <f>CL42-CM54*CL12</f>
        <v>643.26901643182191</v>
      </c>
      <c r="CM41" s="24">
        <f>CM42-CM54</f>
        <v>0.15810340909090981</v>
      </c>
      <c r="CN41" s="430">
        <f>CN42-CO54*CN12</f>
        <v>643.26901643182191</v>
      </c>
      <c r="CO41" s="24">
        <f>CO42-CO54</f>
        <v>0.15810340909090981</v>
      </c>
      <c r="CP41" s="430">
        <f>CP42-CQ54*CP12</f>
        <v>643.26901643182191</v>
      </c>
      <c r="CQ41" s="24">
        <f>CQ42-CQ54</f>
        <v>0.15810340909090981</v>
      </c>
      <c r="CR41" s="430">
        <f>CR42-CS54*CR12</f>
        <v>466.44338241422429</v>
      </c>
      <c r="CS41" s="24">
        <f>CS42-CS54</f>
        <v>0.11464299853372462</v>
      </c>
      <c r="CT41" s="430">
        <f>CT42-CU54*CT12</f>
        <v>791.22028915909232</v>
      </c>
      <c r="CU41" s="24">
        <f>CU42-CU54</f>
        <v>0.19446704545454596</v>
      </c>
      <c r="CV41" s="430">
        <f>CV42-CW54*CV12</f>
        <v>471.8307031614836</v>
      </c>
      <c r="CW41" s="24">
        <f>CW42-CW54</f>
        <v>0.1159671005101145</v>
      </c>
      <c r="CX41" s="430">
        <f>CX42-CY54*CX12</f>
        <v>471.25906016961335</v>
      </c>
      <c r="CY41" s="24">
        <f>CY42-CY54</f>
        <v>0.11582660142887635</v>
      </c>
      <c r="CZ41" s="430">
        <f>CZ42-DA54*CZ12</f>
        <v>471.25906016961335</v>
      </c>
      <c r="DA41" s="24">
        <f>DA42-DA54</f>
        <v>0.11582660142887635</v>
      </c>
      <c r="DB41" s="430">
        <f>DB42-DC54*DB12</f>
        <v>471.25906016961335</v>
      </c>
      <c r="DC41" s="24">
        <f>DC42-DC54</f>
        <v>0.11582660142887635</v>
      </c>
      <c r="DD41" s="430">
        <f>DD42-DE54*DD12</f>
        <v>471.58085911652415</v>
      </c>
      <c r="DE41" s="24">
        <f>DE42-DE54</f>
        <v>0.11590569354935598</v>
      </c>
      <c r="DF41" s="430">
        <f>DF42-DG54*DF12</f>
        <v>642.2362997355408</v>
      </c>
      <c r="DG41" s="24">
        <f>DG42-DG54</f>
        <v>0.15784958677686023</v>
      </c>
      <c r="DH41" s="430">
        <f>DH42-DI54*DH12</f>
        <v>467.07949976248301</v>
      </c>
      <c r="DI41" s="24">
        <f>DI42-DI54</f>
        <v>0.11479934419747129</v>
      </c>
      <c r="DJ41" s="430">
        <f>DJ42-DK54*DJ12</f>
        <v>470.30584941898815</v>
      </c>
      <c r="DK41" s="24">
        <f>DK42-DK54</f>
        <v>0.11559232017887633</v>
      </c>
    </row>
    <row r="42" spans="1:115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K42" si="416">F32-F32/1.1</f>
        <v>2722.3034181818221</v>
      </c>
      <c r="G42" s="24">
        <f t="shared" si="416"/>
        <v>0.66909090909090985</v>
      </c>
      <c r="H42" s="42">
        <f t="shared" si="416"/>
        <v>2722.3034181818221</v>
      </c>
      <c r="I42" s="24">
        <f t="shared" si="416"/>
        <v>0.66901389364747477</v>
      </c>
      <c r="J42" s="42">
        <f t="shared" si="416"/>
        <v>2794.6552177348422</v>
      </c>
      <c r="K42" s="24">
        <f t="shared" si="416"/>
        <v>0.68687361876756547</v>
      </c>
      <c r="L42" s="42">
        <f>L38-L38/1.1</f>
        <v>2631.728370731711</v>
      </c>
      <c r="M42" s="24">
        <f>M38-M38/1.1</f>
        <v>0.6468292682926835</v>
      </c>
      <c r="N42" s="42">
        <f>N32-N32/1.1</f>
        <v>2714.0725786158946</v>
      </c>
      <c r="O42" s="24">
        <f>O32-O32/1.1</f>
        <v>0.66706792374292601</v>
      </c>
      <c r="P42" s="42">
        <f>P32-P32/1.1</f>
        <v>2804.3096975426706</v>
      </c>
      <c r="Q42" s="24">
        <f>Q32-Q32/1.1</f>
        <v>0.68924650807456711</v>
      </c>
      <c r="R42" s="42">
        <f>R38-R38/1.1</f>
        <v>2631.728370731711</v>
      </c>
      <c r="S42" s="24">
        <f>S38-S38/1.1</f>
        <v>0.6468292682926835</v>
      </c>
      <c r="T42" s="42">
        <f t="shared" ref="T42:U42" si="417">T32-T32/1.1</f>
        <v>2714.0725786158946</v>
      </c>
      <c r="U42" s="24">
        <f t="shared" si="417"/>
        <v>0.66706792374292601</v>
      </c>
      <c r="V42" s="42">
        <f t="shared" ref="V42:AG42" si="418">V32-V32/1.1</f>
        <v>2714.0725786158946</v>
      </c>
      <c r="W42" s="24">
        <f t="shared" si="418"/>
        <v>0.66706792374292601</v>
      </c>
      <c r="X42" s="42">
        <f t="shared" si="418"/>
        <v>2714.0725786158946</v>
      </c>
      <c r="Y42" s="24">
        <f t="shared" si="418"/>
        <v>0.66706792374292601</v>
      </c>
      <c r="Z42" s="42">
        <f t="shared" si="418"/>
        <v>2714.0725786158946</v>
      </c>
      <c r="AA42" s="24">
        <f t="shared" si="418"/>
        <v>0.66706792374292601</v>
      </c>
      <c r="AB42" s="42">
        <f t="shared" si="418"/>
        <v>2714.0725786158946</v>
      </c>
      <c r="AC42" s="24">
        <f t="shared" si="418"/>
        <v>0.66706792374292601</v>
      </c>
      <c r="AD42" s="42">
        <f t="shared" si="418"/>
        <v>2714.0725786158946</v>
      </c>
      <c r="AE42" s="24">
        <f t="shared" si="418"/>
        <v>0.66706792374292601</v>
      </c>
      <c r="AF42" s="42">
        <f t="shared" si="418"/>
        <v>2714.0725786158946</v>
      </c>
      <c r="AG42" s="24">
        <f t="shared" si="418"/>
        <v>0.66706792374292601</v>
      </c>
      <c r="AH42" s="42">
        <f t="shared" ref="AH42:AI42" si="419">AH32-AH32/1.1</f>
        <v>2714.0725786158946</v>
      </c>
      <c r="AI42" s="24">
        <f t="shared" si="419"/>
        <v>0.66706792374292601</v>
      </c>
      <c r="AJ42" s="42">
        <f t="shared" ref="AJ42:AK42" si="420">AJ32-AJ32/1.1</f>
        <v>2714.0725786158946</v>
      </c>
      <c r="AK42" s="24">
        <f t="shared" si="420"/>
        <v>0.66706792374292601</v>
      </c>
      <c r="AL42" s="42">
        <f t="shared" ref="AL42:AO42" si="421">AL32-AL32/1.1</f>
        <v>2714.0725786158946</v>
      </c>
      <c r="AM42" s="24">
        <f t="shared" si="421"/>
        <v>0.66706792374292601</v>
      </c>
      <c r="AN42" s="42">
        <f t="shared" si="421"/>
        <v>2714.0725786158946</v>
      </c>
      <c r="AO42" s="24">
        <f t="shared" si="421"/>
        <v>0.66706792374292601</v>
      </c>
      <c r="AP42" s="42">
        <f t="shared" ref="AP42:AU42" si="422">AP32-AP32/1.1</f>
        <v>2714.0725786158946</v>
      </c>
      <c r="AQ42" s="24">
        <f t="shared" si="422"/>
        <v>0.66706792374292601</v>
      </c>
      <c r="AR42" s="42">
        <f t="shared" si="422"/>
        <v>2714.0725786158946</v>
      </c>
      <c r="AS42" s="24">
        <f t="shared" si="422"/>
        <v>0.66706792374292601</v>
      </c>
      <c r="AT42" s="42">
        <f t="shared" si="422"/>
        <v>2714.0725786158946</v>
      </c>
      <c r="AU42" s="24">
        <f t="shared" si="422"/>
        <v>0.66706792374292601</v>
      </c>
      <c r="AV42" s="42">
        <f t="shared" ref="AV42:BA42" si="423">AV32-AV32/1.1</f>
        <v>2714.0725786158946</v>
      </c>
      <c r="AW42" s="24">
        <f t="shared" si="423"/>
        <v>0.66706792374292601</v>
      </c>
      <c r="AX42" s="42">
        <f t="shared" si="423"/>
        <v>2714.0725786158946</v>
      </c>
      <c r="AY42" s="24">
        <f t="shared" si="423"/>
        <v>0.66706792374292601</v>
      </c>
      <c r="AZ42" s="42">
        <f t="shared" si="423"/>
        <v>2714.0725786158946</v>
      </c>
      <c r="BA42" s="24">
        <f t="shared" si="423"/>
        <v>0.66706792374292601</v>
      </c>
      <c r="BB42" s="42">
        <f t="shared" ref="BB42:BC42" si="424">BB32-BB32/1.1</f>
        <v>2714.0725786158946</v>
      </c>
      <c r="BC42" s="24">
        <f t="shared" si="424"/>
        <v>0.66706792374292601</v>
      </c>
      <c r="BD42" s="42">
        <f t="shared" ref="BD42:BE42" si="425">BD32-BD32/1.1</f>
        <v>2714.0725786158946</v>
      </c>
      <c r="BE42" s="24">
        <f t="shared" si="425"/>
        <v>0.66706792374292601</v>
      </c>
      <c r="BF42" s="42">
        <f t="shared" ref="BF42:BI42" si="426">BF32-BF32/1.1</f>
        <v>2714.0725786158946</v>
      </c>
      <c r="BG42" s="24">
        <f t="shared" si="426"/>
        <v>0.66706792374292601</v>
      </c>
      <c r="BH42" s="42">
        <f t="shared" si="426"/>
        <v>2714.0725786158946</v>
      </c>
      <c r="BI42" s="24">
        <f t="shared" si="426"/>
        <v>0.66706792374292601</v>
      </c>
      <c r="BJ42" s="42">
        <f t="shared" ref="BJ42:BQ42" si="427">BJ32-BJ32/1.1</f>
        <v>2714.0725786158946</v>
      </c>
      <c r="BK42" s="24">
        <f t="shared" si="427"/>
        <v>0.66706792374292601</v>
      </c>
      <c r="BL42" s="42">
        <f t="shared" si="427"/>
        <v>2885.049818181822</v>
      </c>
      <c r="BM42" s="24">
        <f t="shared" si="427"/>
        <v>0.70909090909090988</v>
      </c>
      <c r="BN42" s="42">
        <f t="shared" si="427"/>
        <v>2885.049818181822</v>
      </c>
      <c r="BO42" s="24">
        <f t="shared" si="427"/>
        <v>0.70909090909090988</v>
      </c>
      <c r="BP42" s="42">
        <f t="shared" si="427"/>
        <v>2885.049818181822</v>
      </c>
      <c r="BQ42" s="24">
        <f t="shared" si="427"/>
        <v>0.70909090909090988</v>
      </c>
      <c r="BR42" s="42">
        <f t="shared" ref="BR42:BS42" si="428">BR32-BR32/1.1</f>
        <v>2885.049818181822</v>
      </c>
      <c r="BS42" s="24">
        <f t="shared" si="428"/>
        <v>0.70909090909090988</v>
      </c>
      <c r="BT42" s="42">
        <f t="shared" ref="BT42:BU42" si="429">BT32-BT32/1.1</f>
        <v>2885.049818181822</v>
      </c>
      <c r="BU42" s="24">
        <f t="shared" si="429"/>
        <v>0.70909090909090988</v>
      </c>
      <c r="BV42" s="42">
        <f t="shared" ref="BV42:BW42" si="430">BV32-BV32/1.1</f>
        <v>2885.049818181822</v>
      </c>
      <c r="BW42" s="24">
        <f t="shared" si="430"/>
        <v>0.70909090909090988</v>
      </c>
      <c r="BX42" s="42">
        <f t="shared" ref="BX42:BY42" si="431">BX32-BX32/1.1</f>
        <v>2885.049818181822</v>
      </c>
      <c r="BY42" s="24">
        <f t="shared" si="431"/>
        <v>0.70909090909090988</v>
      </c>
      <c r="BZ42" s="42">
        <f t="shared" ref="BZ42:CA42" si="432">BZ32-BZ32/1.1</f>
        <v>2885.049818181822</v>
      </c>
      <c r="CA42" s="24">
        <f t="shared" si="432"/>
        <v>0.70909090909090988</v>
      </c>
      <c r="CB42" s="42">
        <f t="shared" ref="CB42:CC42" si="433">CB32-CB32/1.1</f>
        <v>2885.049818181822</v>
      </c>
      <c r="CC42" s="24">
        <f t="shared" si="433"/>
        <v>0.70909090909090988</v>
      </c>
      <c r="CD42" s="42">
        <f t="shared" ref="CD42:CE42" si="434">CD32-CD32/1.1</f>
        <v>2885.049818181822</v>
      </c>
      <c r="CE42" s="24">
        <f t="shared" si="434"/>
        <v>0.70909090909090988</v>
      </c>
      <c r="CF42" s="42">
        <f t="shared" ref="CF42:CG42" si="435">CF32-CF32/1.1</f>
        <v>2885.049818181822</v>
      </c>
      <c r="CG42" s="24">
        <f t="shared" si="435"/>
        <v>0.70909090909090988</v>
      </c>
      <c r="CH42" s="42">
        <f t="shared" ref="CH42:CK42" si="436">CH32-CH32/1.1</f>
        <v>2885.049818181822</v>
      </c>
      <c r="CI42" s="24">
        <f t="shared" si="436"/>
        <v>0.70909090909090988</v>
      </c>
      <c r="CJ42" s="42">
        <f t="shared" si="436"/>
        <v>2885.049818181822</v>
      </c>
      <c r="CK42" s="24">
        <f t="shared" si="436"/>
        <v>0.70909090909090988</v>
      </c>
      <c r="CL42" s="42">
        <f t="shared" ref="CL42:CM42" si="437">CL32-CL32/1.1</f>
        <v>2885.049818181822</v>
      </c>
      <c r="CM42" s="24">
        <f t="shared" si="437"/>
        <v>0.70909090909090988</v>
      </c>
      <c r="CN42" s="42">
        <f t="shared" ref="CN42:CQ42" si="438">CN32-CN32/1.1</f>
        <v>2885.049818181822</v>
      </c>
      <c r="CO42" s="24">
        <f t="shared" si="438"/>
        <v>0.70909090909090988</v>
      </c>
      <c r="CP42" s="42">
        <f t="shared" si="438"/>
        <v>2885.049818181822</v>
      </c>
      <c r="CQ42" s="24">
        <f t="shared" si="438"/>
        <v>0.70909090909090988</v>
      </c>
      <c r="CR42" s="42">
        <f t="shared" ref="CR42:CS42" si="439">CR32-CR32/1.1</f>
        <v>2708.2241841642244</v>
      </c>
      <c r="CS42" s="24">
        <f t="shared" si="439"/>
        <v>0.66563049853372469</v>
      </c>
      <c r="CT42" s="42">
        <f t="shared" ref="CT42:CU42" si="440">CT32-CT32/1.1</f>
        <v>3033.0010909090925</v>
      </c>
      <c r="CU42" s="24">
        <f t="shared" si="440"/>
        <v>0.74545454545454604</v>
      </c>
      <c r="CV42" s="42">
        <f t="shared" ref="CV42:DA42" si="441">CV32-CV32/1.1</f>
        <v>2714.0725786158946</v>
      </c>
      <c r="CW42" s="24">
        <f t="shared" si="441"/>
        <v>0.66706792374292601</v>
      </c>
      <c r="CX42" s="42">
        <f t="shared" si="441"/>
        <v>2714.0725786158946</v>
      </c>
      <c r="CY42" s="24">
        <f t="shared" si="441"/>
        <v>0.66706792374292601</v>
      </c>
      <c r="CZ42" s="42">
        <f t="shared" si="441"/>
        <v>2714.0725786158946</v>
      </c>
      <c r="DA42" s="24">
        <f t="shared" si="441"/>
        <v>0.66706792374292601</v>
      </c>
      <c r="DB42" s="42">
        <f t="shared" ref="DB42:DC42" si="442">DB32-DB32/1.1</f>
        <v>2714.0725786158946</v>
      </c>
      <c r="DC42" s="24">
        <f t="shared" si="442"/>
        <v>0.66706792374292601</v>
      </c>
      <c r="DD42" s="42">
        <f t="shared" ref="DD42:DG42" si="443">DD32-DD32/1.1</f>
        <v>2714.0725786158946</v>
      </c>
      <c r="DE42" s="24">
        <f t="shared" si="443"/>
        <v>0.66706792374292601</v>
      </c>
      <c r="DF42" s="42">
        <f t="shared" si="443"/>
        <v>2885.049818181822</v>
      </c>
      <c r="DG42" s="24">
        <f t="shared" si="443"/>
        <v>0.70909090909090988</v>
      </c>
      <c r="DH42" s="42">
        <f t="shared" ref="DH42:DI42" si="444">DH32-DH32/1.1</f>
        <v>2817.6384695249835</v>
      </c>
      <c r="DI42" s="24">
        <f t="shared" si="444"/>
        <v>0.6925224691974714</v>
      </c>
      <c r="DJ42" s="42">
        <f t="shared" ref="DJ42:DK42" si="445">DJ32-DJ32/1.1</f>
        <v>2714.0725786158946</v>
      </c>
      <c r="DK42" s="24">
        <f t="shared" si="445"/>
        <v>0.66706792374292601</v>
      </c>
    </row>
    <row r="43" spans="1:115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K43" si="446">+F44/F32</f>
        <v>0.11834688286022271</v>
      </c>
      <c r="G43" s="48">
        <f t="shared" si="446"/>
        <v>0.11834688286022284</v>
      </c>
      <c r="H43" s="47">
        <f t="shared" si="446"/>
        <v>0.10408057851239656</v>
      </c>
      <c r="I43" s="48">
        <f t="shared" si="446"/>
        <v>0.10398790745105062</v>
      </c>
      <c r="J43" s="47">
        <f t="shared" si="446"/>
        <v>0.12492177055158434</v>
      </c>
      <c r="K43" s="48">
        <f t="shared" si="446"/>
        <v>0.12492177055158432</v>
      </c>
      <c r="L43" s="361">
        <f>+L44/L38</f>
        <v>7.6374889087577405E-2</v>
      </c>
      <c r="M43" s="362">
        <f>+M44/M38</f>
        <v>7.6374889087577391E-2</v>
      </c>
      <c r="N43" s="361">
        <f>+N44/N32</f>
        <v>9.4911628519284433E-2</v>
      </c>
      <c r="O43" s="362">
        <f>+O44/O32</f>
        <v>9.4911628519284474E-2</v>
      </c>
      <c r="P43" s="361">
        <f>+P44/P32</f>
        <v>0.12070834056742678</v>
      </c>
      <c r="Q43" s="362">
        <f>+Q44/Q32</f>
        <v>0.12070834056742689</v>
      </c>
      <c r="R43" s="361">
        <f>+R44/R38</f>
        <v>6.9008434443534022E-2</v>
      </c>
      <c r="S43" s="362">
        <f>+S44/S38</f>
        <v>6.9008434443533995E-2</v>
      </c>
      <c r="T43" s="361">
        <f t="shared" ref="T43:U43" si="447">+T44/T32</f>
        <v>9.4496303293195028E-2</v>
      </c>
      <c r="U43" s="362">
        <f t="shared" si="447"/>
        <v>9.4496303293195041E-2</v>
      </c>
      <c r="V43" s="361">
        <f t="shared" ref="V43:AG43" si="448">+V44/V32</f>
        <v>9.4496303293195028E-2</v>
      </c>
      <c r="W43" s="362">
        <f t="shared" si="448"/>
        <v>9.4496303293195041E-2</v>
      </c>
      <c r="X43" s="361">
        <f t="shared" si="448"/>
        <v>9.4496303293195028E-2</v>
      </c>
      <c r="Y43" s="362">
        <f t="shared" si="448"/>
        <v>9.4496303293195041E-2</v>
      </c>
      <c r="Z43" s="361">
        <f t="shared" si="448"/>
        <v>9.4496303293195028E-2</v>
      </c>
      <c r="AA43" s="362">
        <f t="shared" si="448"/>
        <v>9.4496303293195041E-2</v>
      </c>
      <c r="AB43" s="361">
        <f t="shared" si="448"/>
        <v>9.4496303293195028E-2</v>
      </c>
      <c r="AC43" s="362">
        <f t="shared" si="448"/>
        <v>9.4496303293195041E-2</v>
      </c>
      <c r="AD43" s="361">
        <f t="shared" si="448"/>
        <v>9.4496303293195028E-2</v>
      </c>
      <c r="AE43" s="362">
        <f t="shared" si="448"/>
        <v>9.4496303293195041E-2</v>
      </c>
      <c r="AF43" s="361">
        <f t="shared" si="448"/>
        <v>9.4496303293195028E-2</v>
      </c>
      <c r="AG43" s="362">
        <f t="shared" si="448"/>
        <v>9.4496303293195041E-2</v>
      </c>
      <c r="AH43" s="361">
        <f t="shared" ref="AH43:AI43" si="449">+AH44/AH32</f>
        <v>9.4496303293195028E-2</v>
      </c>
      <c r="AI43" s="362">
        <f t="shared" si="449"/>
        <v>9.4496303293195041E-2</v>
      </c>
      <c r="AJ43" s="361">
        <f t="shared" ref="AJ43:AK43" si="450">+AJ44/AJ32</f>
        <v>9.4496303293195028E-2</v>
      </c>
      <c r="AK43" s="362">
        <f t="shared" si="450"/>
        <v>9.4496303293195041E-2</v>
      </c>
      <c r="AL43" s="361">
        <f t="shared" ref="AL43:AO43" si="451">+AL44/AL32</f>
        <v>9.4496303293195028E-2</v>
      </c>
      <c r="AM43" s="362">
        <f t="shared" si="451"/>
        <v>9.4496303293195041E-2</v>
      </c>
      <c r="AN43" s="361">
        <f t="shared" si="451"/>
        <v>9.4496303293195028E-2</v>
      </c>
      <c r="AO43" s="362">
        <f t="shared" si="451"/>
        <v>9.4496303293195041E-2</v>
      </c>
      <c r="AP43" s="361">
        <f t="shared" ref="AP43:AU43" si="452">+AP44/AP32</f>
        <v>9.4496303293195028E-2</v>
      </c>
      <c r="AQ43" s="362">
        <f t="shared" si="452"/>
        <v>9.4496303293195041E-2</v>
      </c>
      <c r="AR43" s="361">
        <f t="shared" si="452"/>
        <v>9.4496303293195028E-2</v>
      </c>
      <c r="AS43" s="362">
        <f t="shared" si="452"/>
        <v>9.4496303293195041E-2</v>
      </c>
      <c r="AT43" s="361">
        <f t="shared" si="452"/>
        <v>9.4496303293195028E-2</v>
      </c>
      <c r="AU43" s="362">
        <f t="shared" si="452"/>
        <v>9.4496303293195041E-2</v>
      </c>
      <c r="AV43" s="361">
        <f t="shared" ref="AV43:BA43" si="453">+AV44/AV32</f>
        <v>9.4496303293195028E-2</v>
      </c>
      <c r="AW43" s="362">
        <f t="shared" si="453"/>
        <v>9.4496303293195041E-2</v>
      </c>
      <c r="AX43" s="361">
        <f t="shared" si="453"/>
        <v>9.4496303293195028E-2</v>
      </c>
      <c r="AY43" s="362">
        <f t="shared" si="453"/>
        <v>9.4496303293195041E-2</v>
      </c>
      <c r="AZ43" s="361">
        <f t="shared" si="453"/>
        <v>9.4496303293195028E-2</v>
      </c>
      <c r="BA43" s="362">
        <f t="shared" si="453"/>
        <v>9.4496303293195041E-2</v>
      </c>
      <c r="BB43" s="361">
        <f t="shared" ref="BB43:BC43" si="454">+BB44/BB32</f>
        <v>9.4496303293195028E-2</v>
      </c>
      <c r="BC43" s="362">
        <f t="shared" si="454"/>
        <v>9.4496303293195041E-2</v>
      </c>
      <c r="BD43" s="361">
        <f t="shared" ref="BD43:BE43" si="455">+BD44/BD32</f>
        <v>9.4496303293195028E-2</v>
      </c>
      <c r="BE43" s="362">
        <f t="shared" si="455"/>
        <v>9.4496303293195041E-2</v>
      </c>
      <c r="BF43" s="361">
        <f t="shared" ref="BF43:BI43" si="456">+BF44/BF32</f>
        <v>9.4496303293195028E-2</v>
      </c>
      <c r="BG43" s="362">
        <f t="shared" si="456"/>
        <v>9.4496303293195041E-2</v>
      </c>
      <c r="BH43" s="361">
        <f t="shared" si="456"/>
        <v>9.4496303293195028E-2</v>
      </c>
      <c r="BI43" s="362">
        <f t="shared" si="456"/>
        <v>9.4496303293195041E-2</v>
      </c>
      <c r="BJ43" s="361">
        <f t="shared" ref="BJ43:BQ43" si="457">+BJ44/BJ32</f>
        <v>9.4484477203034434E-2</v>
      </c>
      <c r="BK43" s="362">
        <f t="shared" si="457"/>
        <v>9.4484477203034503E-2</v>
      </c>
      <c r="BL43" s="361">
        <f t="shared" si="457"/>
        <v>0.14276064844246655</v>
      </c>
      <c r="BM43" s="362">
        <f t="shared" si="457"/>
        <v>0.14276064844246658</v>
      </c>
      <c r="BN43" s="361">
        <f t="shared" si="457"/>
        <v>0.14276064844246655</v>
      </c>
      <c r="BO43" s="362">
        <f t="shared" si="457"/>
        <v>0.14276064844246658</v>
      </c>
      <c r="BP43" s="361">
        <f t="shared" si="457"/>
        <v>0.14276064844246655</v>
      </c>
      <c r="BQ43" s="362">
        <f t="shared" si="457"/>
        <v>0.14276064844246658</v>
      </c>
      <c r="BR43" s="361">
        <f t="shared" ref="BR43:BS43" si="458">+BR44/BR32</f>
        <v>0.14276064844246655</v>
      </c>
      <c r="BS43" s="362">
        <f t="shared" si="458"/>
        <v>0.14276064844246658</v>
      </c>
      <c r="BT43" s="361">
        <f t="shared" ref="BT43:BU43" si="459">+BT44/BT32</f>
        <v>0.14276064844246655</v>
      </c>
      <c r="BU43" s="362">
        <f t="shared" si="459"/>
        <v>0.14276064844246658</v>
      </c>
      <c r="BV43" s="361">
        <f t="shared" ref="BV43:BW43" si="460">+BV44/BV32</f>
        <v>0.14276064844246655</v>
      </c>
      <c r="BW43" s="362">
        <f t="shared" si="460"/>
        <v>0.14276064844246658</v>
      </c>
      <c r="BX43" s="361">
        <f t="shared" ref="BX43:BY43" si="461">+BX44/BX32</f>
        <v>0.14276064844246655</v>
      </c>
      <c r="BY43" s="362">
        <f t="shared" si="461"/>
        <v>0.14276064844246658</v>
      </c>
      <c r="BZ43" s="361">
        <f t="shared" ref="BZ43:CA43" si="462">+BZ44/BZ32</f>
        <v>0.14500437062937049</v>
      </c>
      <c r="CA43" s="362">
        <f t="shared" si="462"/>
        <v>0.14500437062937052</v>
      </c>
      <c r="CB43" s="361">
        <f t="shared" ref="CB43:CC43" si="463">+CB44/CB32</f>
        <v>0.14500437062937049</v>
      </c>
      <c r="CC43" s="362">
        <f t="shared" si="463"/>
        <v>0.14500437062937052</v>
      </c>
      <c r="CD43" s="361">
        <f t="shared" ref="CD43:CE43" si="464">+CD44/CD32</f>
        <v>0.14500437062937049</v>
      </c>
      <c r="CE43" s="362">
        <f t="shared" si="464"/>
        <v>0.14500437062937052</v>
      </c>
      <c r="CF43" s="361">
        <f t="shared" ref="CF43:CG43" si="465">+CF44/CF32</f>
        <v>0.14500437062937049</v>
      </c>
      <c r="CG43" s="362">
        <f t="shared" si="465"/>
        <v>0.14500437062937052</v>
      </c>
      <c r="CH43" s="361">
        <f t="shared" ref="CH43:CK43" si="466">+CH44/CH32</f>
        <v>0.14500437062937049</v>
      </c>
      <c r="CI43" s="362">
        <f t="shared" si="466"/>
        <v>0.14500437062937052</v>
      </c>
      <c r="CJ43" s="361">
        <f t="shared" si="466"/>
        <v>0.14500437062937049</v>
      </c>
      <c r="CK43" s="362">
        <f t="shared" si="466"/>
        <v>0.14500437062937052</v>
      </c>
      <c r="CL43" s="361">
        <f t="shared" ref="CL43:CM43" si="467">+CL44/CL32</f>
        <v>0.14500437062937049</v>
      </c>
      <c r="CM43" s="362">
        <f t="shared" si="467"/>
        <v>0.14500437062937052</v>
      </c>
      <c r="CN43" s="361">
        <f t="shared" ref="CN43:CQ43" si="468">+CN44/CN32</f>
        <v>0.14500437062937049</v>
      </c>
      <c r="CO43" s="362">
        <f t="shared" si="468"/>
        <v>0.14500437062937052</v>
      </c>
      <c r="CP43" s="361">
        <f t="shared" si="468"/>
        <v>0.14500437062937049</v>
      </c>
      <c r="CQ43" s="362">
        <f t="shared" si="468"/>
        <v>0.14500437062937052</v>
      </c>
      <c r="CR43" s="361">
        <f t="shared" ref="CR43:CS43" si="469">+CR44/CR32</f>
        <v>9.5115558839785577E-2</v>
      </c>
      <c r="CS43" s="362">
        <f t="shared" si="469"/>
        <v>9.5115558839785647E-2</v>
      </c>
      <c r="CT43" s="361">
        <f t="shared" ref="CT43:CU43" si="470">+CT44/CT32</f>
        <v>0.18227688470066503</v>
      </c>
      <c r="CU43" s="362">
        <f t="shared" si="470"/>
        <v>0.18227688470066508</v>
      </c>
      <c r="CV43" s="361">
        <f t="shared" ref="CV43:DA43" si="471">+CV44/CV32</f>
        <v>9.4687777703735654E-2</v>
      </c>
      <c r="CW43" s="362">
        <f t="shared" si="471"/>
        <v>9.4687777703735709E-2</v>
      </c>
      <c r="CX43" s="361">
        <f t="shared" si="471"/>
        <v>9.4496303293195028E-2</v>
      </c>
      <c r="CY43" s="362">
        <f t="shared" si="471"/>
        <v>9.4496303293195041E-2</v>
      </c>
      <c r="CZ43" s="361">
        <f t="shared" si="471"/>
        <v>9.4496303293195028E-2</v>
      </c>
      <c r="DA43" s="362">
        <f t="shared" si="471"/>
        <v>9.4496303293195041E-2</v>
      </c>
      <c r="DB43" s="361">
        <f t="shared" ref="DB43:DC43" si="472">+DB44/DB32</f>
        <v>9.4496303293195028E-2</v>
      </c>
      <c r="DC43" s="362">
        <f t="shared" si="472"/>
        <v>9.4496303293195041E-2</v>
      </c>
      <c r="DD43" s="361">
        <f t="shared" ref="DD43:DG43" si="473">+DD44/DD32</f>
        <v>9.4604091308702051E-2</v>
      </c>
      <c r="DE43" s="362">
        <f t="shared" si="473"/>
        <v>9.4604091308702121E-2</v>
      </c>
      <c r="DF43" s="361">
        <f t="shared" si="473"/>
        <v>0.14277177368086444</v>
      </c>
      <c r="DG43" s="362">
        <f t="shared" si="473"/>
        <v>0.14277177368086444</v>
      </c>
      <c r="DH43" s="361">
        <f t="shared" ref="DH43:DI43" si="474">+DH44/DH32</f>
        <v>8.9674466015191565E-2</v>
      </c>
      <c r="DI43" s="362">
        <f t="shared" si="474"/>
        <v>8.9674466015191578E-2</v>
      </c>
      <c r="DJ43" s="361">
        <f t="shared" ref="DJ43:DK43" si="475">+DJ44/DJ32</f>
        <v>9.4177021032776045E-2</v>
      </c>
      <c r="DK43" s="362">
        <f t="shared" si="475"/>
        <v>9.4177021032776073E-2</v>
      </c>
    </row>
    <row r="44" spans="1:115" s="4" customFormat="1" ht="18" customHeight="1" x14ac:dyDescent="0.45">
      <c r="A44" s="561"/>
      <c r="B44" s="1194"/>
      <c r="C44" s="15" t="s">
        <v>48</v>
      </c>
      <c r="D44" s="16"/>
      <c r="E44" s="35"/>
      <c r="F44" s="42">
        <f t="shared" ref="F44:K44" si="476">+F32-F45-F41</f>
        <v>3543.9373611570227</v>
      </c>
      <c r="G44" s="24">
        <f t="shared" si="476"/>
        <v>0.87103305785124008</v>
      </c>
      <c r="H44" s="42">
        <f t="shared" si="476"/>
        <v>3116.7280611570209</v>
      </c>
      <c r="I44" s="24">
        <f t="shared" si="476"/>
        <v>0.76526290341688574</v>
      </c>
      <c r="J44" s="42">
        <f t="shared" si="476"/>
        <v>3840.2460566872583</v>
      </c>
      <c r="K44" s="24">
        <f t="shared" si="476"/>
        <v>0.94386015461779993</v>
      </c>
      <c r="L44" s="42">
        <f>+L38-L45-L41</f>
        <v>2210.9775866559144</v>
      </c>
      <c r="M44" s="24">
        <f>+M38-M45-M41</f>
        <v>0.54341664986897753</v>
      </c>
      <c r="N44" s="42">
        <f>+N32-N45-N41</f>
        <v>2833.5675319156467</v>
      </c>
      <c r="O44" s="24">
        <f>+O32-O45-O41</f>
        <v>0.69643753272960829</v>
      </c>
      <c r="P44" s="42">
        <f>+P32-P45-P41</f>
        <v>3723.539270302696</v>
      </c>
      <c r="Q44" s="24">
        <f>+Q32-Q45-Q41</f>
        <v>0.91517582454732016</v>
      </c>
      <c r="R44" s="42">
        <f>+R38-R45-R41</f>
        <v>1997.7260021931038</v>
      </c>
      <c r="S44" s="24">
        <f>+S38-S45-S41</f>
        <v>0.49100342672848141</v>
      </c>
      <c r="T44" s="42">
        <f t="shared" ref="T44:U44" si="477">+T32-T45-T41</f>
        <v>2821.168081034943</v>
      </c>
      <c r="U44" s="24">
        <f t="shared" si="477"/>
        <v>0.69338998123090734</v>
      </c>
      <c r="V44" s="42">
        <f t="shared" ref="V44:AG44" si="478">+V32-V45-V41</f>
        <v>2821.168081034943</v>
      </c>
      <c r="W44" s="24">
        <f t="shared" si="478"/>
        <v>0.69338998123090734</v>
      </c>
      <c r="X44" s="42">
        <f t="shared" si="478"/>
        <v>2821.168081034943</v>
      </c>
      <c r="Y44" s="24">
        <f t="shared" si="478"/>
        <v>0.69338998123090734</v>
      </c>
      <c r="Z44" s="42">
        <f t="shared" si="478"/>
        <v>2821.168081034943</v>
      </c>
      <c r="AA44" s="24">
        <f t="shared" si="478"/>
        <v>0.69338998123090734</v>
      </c>
      <c r="AB44" s="42">
        <f t="shared" si="478"/>
        <v>2821.168081034943</v>
      </c>
      <c r="AC44" s="24">
        <f t="shared" si="478"/>
        <v>0.69338998123090734</v>
      </c>
      <c r="AD44" s="42">
        <f t="shared" si="478"/>
        <v>2821.168081034943</v>
      </c>
      <c r="AE44" s="24">
        <f t="shared" si="478"/>
        <v>0.69338998123090734</v>
      </c>
      <c r="AF44" s="42">
        <f t="shared" si="478"/>
        <v>2821.168081034943</v>
      </c>
      <c r="AG44" s="24">
        <f t="shared" si="478"/>
        <v>0.69338998123090734</v>
      </c>
      <c r="AH44" s="42">
        <f t="shared" ref="AH44:AI44" si="479">+AH32-AH45-AH41</f>
        <v>2821.168081034943</v>
      </c>
      <c r="AI44" s="24">
        <f t="shared" si="479"/>
        <v>0.69338998123090734</v>
      </c>
      <c r="AJ44" s="42">
        <f t="shared" ref="AJ44:AK44" si="480">+AJ32-AJ45-AJ41</f>
        <v>2821.168081034943</v>
      </c>
      <c r="AK44" s="24">
        <f t="shared" si="480"/>
        <v>0.69338998123090734</v>
      </c>
      <c r="AL44" s="42">
        <f t="shared" ref="AL44:AO44" si="481">+AL32-AL45-AL41</f>
        <v>2821.168081034943</v>
      </c>
      <c r="AM44" s="24">
        <f t="shared" si="481"/>
        <v>0.69338998123090734</v>
      </c>
      <c r="AN44" s="42">
        <f t="shared" si="481"/>
        <v>2821.168081034943</v>
      </c>
      <c r="AO44" s="24">
        <f t="shared" si="481"/>
        <v>0.69338998123090734</v>
      </c>
      <c r="AP44" s="42">
        <f t="shared" ref="AP44:AU44" si="482">+AP32-AP45-AP41</f>
        <v>2821.168081034943</v>
      </c>
      <c r="AQ44" s="24">
        <f t="shared" si="482"/>
        <v>0.69338998123090734</v>
      </c>
      <c r="AR44" s="42">
        <f t="shared" si="482"/>
        <v>2821.168081034943</v>
      </c>
      <c r="AS44" s="24">
        <f t="shared" si="482"/>
        <v>0.69338998123090734</v>
      </c>
      <c r="AT44" s="42">
        <f t="shared" si="482"/>
        <v>2821.168081034943</v>
      </c>
      <c r="AU44" s="24">
        <f t="shared" si="482"/>
        <v>0.69338998123090734</v>
      </c>
      <c r="AV44" s="42">
        <f t="shared" ref="AV44:BA44" si="483">+AV32-AV45-AV41</f>
        <v>2821.168081034943</v>
      </c>
      <c r="AW44" s="24">
        <f t="shared" si="483"/>
        <v>0.69338998123090734</v>
      </c>
      <c r="AX44" s="42">
        <f t="shared" si="483"/>
        <v>2821.168081034943</v>
      </c>
      <c r="AY44" s="24">
        <f t="shared" si="483"/>
        <v>0.69338998123090734</v>
      </c>
      <c r="AZ44" s="42">
        <f t="shared" si="483"/>
        <v>2821.168081034943</v>
      </c>
      <c r="BA44" s="24">
        <f t="shared" si="483"/>
        <v>0.69338998123090734</v>
      </c>
      <c r="BB44" s="42">
        <f t="shared" ref="BB44:BC44" si="484">+BB32-BB45-BB41</f>
        <v>2821.168081034943</v>
      </c>
      <c r="BC44" s="24">
        <f t="shared" si="484"/>
        <v>0.69338998123090734</v>
      </c>
      <c r="BD44" s="42">
        <f t="shared" ref="BD44:BE44" si="485">+BD32-BD45-BD41</f>
        <v>2821.168081034943</v>
      </c>
      <c r="BE44" s="24">
        <f t="shared" si="485"/>
        <v>0.69338998123090734</v>
      </c>
      <c r="BF44" s="42">
        <f t="shared" ref="BF44:BI44" si="486">+BF32-BF45-BF41</f>
        <v>2821.168081034943</v>
      </c>
      <c r="BG44" s="24">
        <f t="shared" si="486"/>
        <v>0.69338998123090734</v>
      </c>
      <c r="BH44" s="42">
        <f t="shared" si="486"/>
        <v>2821.168081034943</v>
      </c>
      <c r="BI44" s="24">
        <f t="shared" si="486"/>
        <v>0.69338998123090734</v>
      </c>
      <c r="BJ44" s="42">
        <f t="shared" ref="BJ44:BQ44" si="487">+BJ32-BJ45-BJ41</f>
        <v>2820.8150154977548</v>
      </c>
      <c r="BK44" s="24">
        <f t="shared" si="487"/>
        <v>0.69330320437140402</v>
      </c>
      <c r="BL44" s="42">
        <f t="shared" si="487"/>
        <v>4530.587411157022</v>
      </c>
      <c r="BM44" s="24">
        <f t="shared" si="487"/>
        <v>1.1135330578512392</v>
      </c>
      <c r="BN44" s="42">
        <f t="shared" si="487"/>
        <v>4530.587411157022</v>
      </c>
      <c r="BO44" s="24">
        <f t="shared" si="487"/>
        <v>1.1135330578512392</v>
      </c>
      <c r="BP44" s="42">
        <f t="shared" si="487"/>
        <v>4530.587411157022</v>
      </c>
      <c r="BQ44" s="24">
        <f t="shared" si="487"/>
        <v>1.1135330578512392</v>
      </c>
      <c r="BR44" s="42">
        <f t="shared" ref="BR44:BS44" si="488">+BR32-BR45-BR41</f>
        <v>4530.587411157022</v>
      </c>
      <c r="BS44" s="24">
        <f t="shared" si="488"/>
        <v>1.1135330578512392</v>
      </c>
      <c r="BT44" s="42">
        <f t="shared" ref="BT44:BU44" si="489">+BT32-BT45-BT41</f>
        <v>4530.587411157022</v>
      </c>
      <c r="BU44" s="24">
        <f t="shared" si="489"/>
        <v>1.1135330578512392</v>
      </c>
      <c r="BV44" s="42">
        <f t="shared" ref="BV44:BW44" si="490">+BV32-BV45-BV41</f>
        <v>4530.587411157022</v>
      </c>
      <c r="BW44" s="24">
        <f t="shared" si="490"/>
        <v>1.1135330578512392</v>
      </c>
      <c r="BX44" s="42">
        <f t="shared" ref="BX44:BY44" si="491">+BX32-BX45-BX41</f>
        <v>4530.587411157022</v>
      </c>
      <c r="BY44" s="24">
        <f t="shared" si="491"/>
        <v>1.1135330578512392</v>
      </c>
      <c r="BZ44" s="42">
        <f t="shared" ref="BZ44:CA44" si="492">+BZ32-BZ45-BZ41</f>
        <v>4601.7931643181773</v>
      </c>
      <c r="CA44" s="24">
        <f t="shared" si="492"/>
        <v>1.1310340909090901</v>
      </c>
      <c r="CB44" s="42">
        <f t="shared" ref="CB44:CC44" si="493">+CB32-CB45-CB41</f>
        <v>4601.7931643181773</v>
      </c>
      <c r="CC44" s="24">
        <f t="shared" si="493"/>
        <v>1.1310340909090901</v>
      </c>
      <c r="CD44" s="42">
        <f t="shared" ref="CD44:CE44" si="494">+CD32-CD45-CD41</f>
        <v>4601.7931643181773</v>
      </c>
      <c r="CE44" s="24">
        <f t="shared" si="494"/>
        <v>1.1310340909090901</v>
      </c>
      <c r="CF44" s="42">
        <f t="shared" ref="CF44:CG44" si="495">+CF32-CF45-CF41</f>
        <v>4601.7931643181773</v>
      </c>
      <c r="CG44" s="24">
        <f t="shared" si="495"/>
        <v>1.1310340909090901</v>
      </c>
      <c r="CH44" s="42">
        <f t="shared" ref="CH44:CK44" si="496">+CH32-CH45-CH41</f>
        <v>4601.7931643181773</v>
      </c>
      <c r="CI44" s="24">
        <f t="shared" si="496"/>
        <v>1.1310340909090901</v>
      </c>
      <c r="CJ44" s="42">
        <f t="shared" si="496"/>
        <v>4601.7931643181773</v>
      </c>
      <c r="CK44" s="24">
        <f t="shared" si="496"/>
        <v>1.1310340909090901</v>
      </c>
      <c r="CL44" s="42">
        <f t="shared" ref="CL44:CM44" si="497">+CL32-CL45-CL41</f>
        <v>4601.7931643181773</v>
      </c>
      <c r="CM44" s="24">
        <f t="shared" si="497"/>
        <v>1.1310340909090901</v>
      </c>
      <c r="CN44" s="42">
        <f t="shared" ref="CN44:CQ44" si="498">+CN32-CN45-CN41</f>
        <v>4601.7931643181773</v>
      </c>
      <c r="CO44" s="24">
        <f t="shared" si="498"/>
        <v>1.1310340909090901</v>
      </c>
      <c r="CP44" s="42">
        <f t="shared" si="498"/>
        <v>4601.7931643181773</v>
      </c>
      <c r="CQ44" s="24">
        <f t="shared" si="498"/>
        <v>1.1310340909090901</v>
      </c>
      <c r="CR44" s="42">
        <f t="shared" ref="CR44:CS44" si="499">+CR32-CR45-CR41</f>
        <v>2833.5368241422266</v>
      </c>
      <c r="CS44" s="24">
        <f t="shared" si="499"/>
        <v>0.69642998533724343</v>
      </c>
      <c r="CT44" s="42">
        <f t="shared" ref="CT44:CU44" si="500">+CT32-CT45-CT41</f>
        <v>6081.3058915909032</v>
      </c>
      <c r="CU44" s="24">
        <f t="shared" si="500"/>
        <v>1.4946704545454534</v>
      </c>
      <c r="CV44" s="42">
        <f t="shared" ref="CV44:DA44" si="501">+CV32-CV45-CV41</f>
        <v>2826.8845109536474</v>
      </c>
      <c r="CW44" s="24">
        <f t="shared" si="501"/>
        <v>0.69479497204328922</v>
      </c>
      <c r="CX44" s="42">
        <f t="shared" si="501"/>
        <v>2821.168081034943</v>
      </c>
      <c r="CY44" s="24">
        <f t="shared" si="501"/>
        <v>0.69338998123090734</v>
      </c>
      <c r="CZ44" s="42">
        <f t="shared" si="501"/>
        <v>2821.168081034943</v>
      </c>
      <c r="DA44" s="24">
        <f t="shared" si="501"/>
        <v>0.69338998123090734</v>
      </c>
      <c r="DB44" s="42">
        <f t="shared" ref="DB44:DC44" si="502">+DB32-DB45-DB41</f>
        <v>2821.168081034943</v>
      </c>
      <c r="DC44" s="24">
        <f t="shared" si="502"/>
        <v>0.69338998123090734</v>
      </c>
      <c r="DD44" s="42">
        <f t="shared" ref="DD44:DG44" si="503">+DD32-DD45-DD41</f>
        <v>2824.3860705040443</v>
      </c>
      <c r="DE44" s="24">
        <f t="shared" si="503"/>
        <v>0.69418090243570274</v>
      </c>
      <c r="DF44" s="42">
        <f t="shared" si="503"/>
        <v>4530.9404766942098</v>
      </c>
      <c r="DG44" s="24">
        <f t="shared" si="503"/>
        <v>1.1136198347107427</v>
      </c>
      <c r="DH44" s="42">
        <f t="shared" ref="DH44:DI44" si="504">+DH32-DH45-DH41</f>
        <v>2779.3724769636578</v>
      </c>
      <c r="DI44" s="24">
        <f t="shared" si="504"/>
        <v>0.68311740891685679</v>
      </c>
      <c r="DJ44" s="42">
        <f t="shared" ref="DJ44:DK44" si="505">+DJ32-DJ45-DJ41</f>
        <v>2811.6359735286842</v>
      </c>
      <c r="DK44" s="24">
        <f t="shared" si="505"/>
        <v>0.69104716873090533</v>
      </c>
    </row>
    <row r="45" spans="1:115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25857.864250661154</v>
      </c>
      <c r="G45" s="32">
        <f>+G49</f>
        <v>6.3553760330578504</v>
      </c>
      <c r="H45" s="66">
        <f>+I49*H12</f>
        <v>26327.794480661156</v>
      </c>
      <c r="I45" s="32">
        <f>+I49</f>
        <v>6.4708760330578512</v>
      </c>
      <c r="J45" s="66">
        <f>+K49*J12</f>
        <v>26327.794480661156</v>
      </c>
      <c r="K45" s="32">
        <f>+K49</f>
        <v>6.4708760330578512</v>
      </c>
      <c r="L45" s="66">
        <f>+M49*L12</f>
        <v>26327.794480661156</v>
      </c>
      <c r="M45" s="32">
        <f>+M49</f>
        <v>6.4708760330578512</v>
      </c>
      <c r="N45" s="66">
        <f>+O49*N12</f>
        <v>26548.731827601474</v>
      </c>
      <c r="O45" s="32">
        <f>+O49</f>
        <v>6.525178271863826</v>
      </c>
      <c r="P45" s="66">
        <f>+Q49*P12</f>
        <v>26562.371223570248</v>
      </c>
      <c r="Q45" s="32">
        <f>+Q49</f>
        <v>6.528530578512397</v>
      </c>
      <c r="R45" s="66">
        <f>+S49*R12</f>
        <v>26562.371223570248</v>
      </c>
      <c r="S45" s="32">
        <f>+S49</f>
        <v>6.528530578512397</v>
      </c>
      <c r="T45" s="66">
        <f>+U49*T12</f>
        <v>26562.371223570248</v>
      </c>
      <c r="U45" s="32">
        <f>+U49</f>
        <v>6.528530578512397</v>
      </c>
      <c r="V45" s="66">
        <f>+W49*V12</f>
        <v>26562.371223570248</v>
      </c>
      <c r="W45" s="32">
        <f>+W49</f>
        <v>6.528530578512397</v>
      </c>
      <c r="X45" s="66">
        <f>+Y49*X12</f>
        <v>26562.371223570248</v>
      </c>
      <c r="Y45" s="32">
        <f>+Y49</f>
        <v>6.528530578512397</v>
      </c>
      <c r="Z45" s="66">
        <f>+AA49*Z12</f>
        <v>26562.371223570248</v>
      </c>
      <c r="AA45" s="32">
        <f>+AA49</f>
        <v>6.528530578512397</v>
      </c>
      <c r="AB45" s="66">
        <f>+AC49*AB12</f>
        <v>26562.371223570248</v>
      </c>
      <c r="AC45" s="32">
        <f>+AC49</f>
        <v>6.528530578512397</v>
      </c>
      <c r="AD45" s="66">
        <f>+AE49*AD12</f>
        <v>26562.371223570248</v>
      </c>
      <c r="AE45" s="32">
        <f>+AE49</f>
        <v>6.528530578512397</v>
      </c>
      <c r="AF45" s="66">
        <f>+AG49*AF12</f>
        <v>26562.371223570248</v>
      </c>
      <c r="AG45" s="32">
        <f>+AG49</f>
        <v>6.528530578512397</v>
      </c>
      <c r="AH45" s="66">
        <f>+AI49*AH12</f>
        <v>26562.371223570248</v>
      </c>
      <c r="AI45" s="32">
        <f>+AI49</f>
        <v>6.528530578512397</v>
      </c>
      <c r="AJ45" s="66">
        <f>+AK49*AJ12</f>
        <v>26562.371223570248</v>
      </c>
      <c r="AK45" s="32">
        <f>+AK49</f>
        <v>6.528530578512397</v>
      </c>
      <c r="AL45" s="66">
        <f>+AM49*AL12</f>
        <v>26562.371223570248</v>
      </c>
      <c r="AM45" s="32">
        <f>+AM49</f>
        <v>6.528530578512397</v>
      </c>
      <c r="AN45" s="66">
        <f>+AO49*AN12</f>
        <v>26562.371223570248</v>
      </c>
      <c r="AO45" s="32">
        <f>+AO49</f>
        <v>6.528530578512397</v>
      </c>
      <c r="AP45" s="66">
        <f>+AQ49*AP12</f>
        <v>26562.371223570248</v>
      </c>
      <c r="AQ45" s="32">
        <f>+AQ49</f>
        <v>6.528530578512397</v>
      </c>
      <c r="AR45" s="66">
        <f>+AS49*AR12</f>
        <v>26562.371223570248</v>
      </c>
      <c r="AS45" s="32">
        <f>+AS49</f>
        <v>6.528530578512397</v>
      </c>
      <c r="AT45" s="66">
        <f>+AU49*AT12</f>
        <v>26562.371223570248</v>
      </c>
      <c r="AU45" s="32">
        <f>+AU49</f>
        <v>6.528530578512397</v>
      </c>
      <c r="AV45" s="66">
        <f>+AW49*AV12</f>
        <v>26562.371223570248</v>
      </c>
      <c r="AW45" s="32">
        <f>+AW49</f>
        <v>6.528530578512397</v>
      </c>
      <c r="AX45" s="66">
        <f>+AY49*AX12</f>
        <v>26562.371223570248</v>
      </c>
      <c r="AY45" s="32">
        <f>+AY49</f>
        <v>6.528530578512397</v>
      </c>
      <c r="AZ45" s="66">
        <f>+BA49*AZ12</f>
        <v>26562.371223570248</v>
      </c>
      <c r="BA45" s="32">
        <f>+BA49</f>
        <v>6.528530578512397</v>
      </c>
      <c r="BB45" s="66">
        <f>+BC49*BB12</f>
        <v>26562.371223570248</v>
      </c>
      <c r="BC45" s="32">
        <f>+BC49</f>
        <v>6.528530578512397</v>
      </c>
      <c r="BD45" s="66">
        <f>+BE49*BD12</f>
        <v>26562.371223570248</v>
      </c>
      <c r="BE45" s="32">
        <f>+BE49</f>
        <v>6.528530578512397</v>
      </c>
      <c r="BF45" s="66">
        <f>+BG49*BF12</f>
        <v>26562.371223570248</v>
      </c>
      <c r="BG45" s="32">
        <f t="shared" ref="BG45" si="506">+BG49</f>
        <v>6.528530578512397</v>
      </c>
      <c r="BH45" s="66">
        <f>+BI49*BH12</f>
        <v>26562.371223570248</v>
      </c>
      <c r="BI45" s="32">
        <f t="shared" ref="BI45:BK45" si="507">+BI49</f>
        <v>6.528530578512397</v>
      </c>
      <c r="BJ45" s="66">
        <f>+BK49*BJ12</f>
        <v>26562.759595661155</v>
      </c>
      <c r="BK45" s="32">
        <f t="shared" si="507"/>
        <v>6.5286260330578507</v>
      </c>
      <c r="BL45" s="66">
        <f>+BM49*BL12</f>
        <v>26562.759595661155</v>
      </c>
      <c r="BM45" s="32">
        <f t="shared" ref="BM45" si="508">+BM49</f>
        <v>6.5286260330578507</v>
      </c>
      <c r="BN45" s="66">
        <f>+BO49*BN12</f>
        <v>26562.759595661155</v>
      </c>
      <c r="BO45" s="32">
        <f t="shared" ref="BO45" si="509">+BO49</f>
        <v>6.5286260330578507</v>
      </c>
      <c r="BP45" s="66">
        <f>+BQ49*BP12</f>
        <v>26562.759595661155</v>
      </c>
      <c r="BQ45" s="32">
        <f t="shared" ref="BQ45:BS45" si="510">+BQ49</f>
        <v>6.5286260330578507</v>
      </c>
      <c r="BR45" s="66">
        <f>+BS49*BR12</f>
        <v>26562.759595661155</v>
      </c>
      <c r="BS45" s="32">
        <f t="shared" si="510"/>
        <v>6.5286260330578507</v>
      </c>
      <c r="BT45" s="66">
        <f>+BU49*BT12</f>
        <v>26562.759595661155</v>
      </c>
      <c r="BU45" s="32">
        <f t="shared" ref="BU45:BW45" si="511">+BU49</f>
        <v>6.5286260330578507</v>
      </c>
      <c r="BV45" s="66">
        <f>+BW49*BV12</f>
        <v>26562.759595661155</v>
      </c>
      <c r="BW45" s="32">
        <f t="shared" si="511"/>
        <v>6.5286260330578507</v>
      </c>
      <c r="BX45" s="66">
        <f>+BY49*BX12</f>
        <v>26562.759595661155</v>
      </c>
      <c r="BY45" s="32">
        <f t="shared" ref="BY45:CA45" si="512">+BY49</f>
        <v>6.5286260330578507</v>
      </c>
      <c r="BZ45" s="66">
        <f>+CA49*BZ12</f>
        <v>26490.48581925</v>
      </c>
      <c r="CA45" s="32">
        <f t="shared" si="512"/>
        <v>6.5108625</v>
      </c>
      <c r="CB45" s="66">
        <f>+CC49*CB12</f>
        <v>26490.48581925</v>
      </c>
      <c r="CC45" s="32">
        <f t="shared" ref="CC45:CE45" si="513">+CC49</f>
        <v>6.5108625</v>
      </c>
      <c r="CD45" s="66">
        <f>+CE49*CD12</f>
        <v>26490.48581925</v>
      </c>
      <c r="CE45" s="32">
        <f t="shared" si="513"/>
        <v>6.5108625</v>
      </c>
      <c r="CF45" s="66">
        <f>+CG49*CF12</f>
        <v>26490.48581925</v>
      </c>
      <c r="CG45" s="32">
        <f t="shared" ref="CG45:CI45" si="514">+CG49</f>
        <v>6.5108625</v>
      </c>
      <c r="CH45" s="66">
        <f>+CI49*CH12</f>
        <v>26490.48581925</v>
      </c>
      <c r="CI45" s="32">
        <f t="shared" si="514"/>
        <v>6.5108625</v>
      </c>
      <c r="CJ45" s="66">
        <f>+CK49*CJ12</f>
        <v>26490.48581925</v>
      </c>
      <c r="CK45" s="32">
        <f t="shared" ref="CK45:CM45" si="515">+CK49</f>
        <v>6.5108625</v>
      </c>
      <c r="CL45" s="66">
        <f>+CM49*CL12</f>
        <v>26490.48581925</v>
      </c>
      <c r="CM45" s="32">
        <f t="shared" si="515"/>
        <v>6.5108625</v>
      </c>
      <c r="CN45" s="66">
        <f>+CO49*CN12</f>
        <v>26490.48581925</v>
      </c>
      <c r="CO45" s="32">
        <f t="shared" ref="CO45" si="516">+CO49</f>
        <v>6.5108625</v>
      </c>
      <c r="CP45" s="66">
        <f>+CQ49*CP12</f>
        <v>26490.48581925</v>
      </c>
      <c r="CQ45" s="32">
        <f t="shared" ref="CQ45" si="517">+CQ49</f>
        <v>6.5108625</v>
      </c>
      <c r="CR45" s="66">
        <f>+CS49*CR12</f>
        <v>26490.48581925</v>
      </c>
      <c r="CS45" s="32">
        <f t="shared" ref="CS45:CU45" si="518">+CS49</f>
        <v>6.5108625</v>
      </c>
      <c r="CT45" s="66">
        <f>+CU49*CT12</f>
        <v>26490.48581925</v>
      </c>
      <c r="CU45" s="32">
        <f t="shared" si="518"/>
        <v>6.5108625</v>
      </c>
      <c r="CV45" s="66">
        <f>+CW49*CV12</f>
        <v>26556.083150659673</v>
      </c>
      <c r="CW45" s="32">
        <f>+CW49</f>
        <v>6.526985088618777</v>
      </c>
      <c r="CX45" s="66">
        <f>+CY49*CX12</f>
        <v>26562.371223570248</v>
      </c>
      <c r="CY45" s="32">
        <f>+CY49</f>
        <v>6.528530578512397</v>
      </c>
      <c r="CZ45" s="66">
        <f>+DA49*CZ12</f>
        <v>26562.371223570248</v>
      </c>
      <c r="DA45" s="32">
        <f>+DA49</f>
        <v>6.528530578512397</v>
      </c>
      <c r="DB45" s="66">
        <f>+DC49*DB12</f>
        <v>26562.371223570248</v>
      </c>
      <c r="DC45" s="32">
        <f>+DC49</f>
        <v>6.528530578512397</v>
      </c>
      <c r="DD45" s="66">
        <f>+DE49*DD12</f>
        <v>26558.831435154236</v>
      </c>
      <c r="DE45" s="32">
        <f>+DE49</f>
        <v>6.527660565187122</v>
      </c>
      <c r="DF45" s="66">
        <f>+DG49*DF12</f>
        <v>26562.371223570248</v>
      </c>
      <c r="DG45" s="32">
        <f>+DG49</f>
        <v>6.528530578512397</v>
      </c>
      <c r="DH45" s="66">
        <f>+DI49*DH12</f>
        <v>27747.57118804866</v>
      </c>
      <c r="DI45" s="32">
        <f>+DI49</f>
        <v>6.819830408057852</v>
      </c>
      <c r="DJ45" s="66">
        <f>+DK49*DJ12</f>
        <v>26572.856541827128</v>
      </c>
      <c r="DK45" s="32">
        <f>+DK49</f>
        <v>6.5311076722623982</v>
      </c>
    </row>
    <row r="46" spans="1:115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704" t="e">
        <f>Q44/#REF!-1</f>
        <v>#REF!</v>
      </c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352">
        <v>0</v>
      </c>
      <c r="AG46" s="358"/>
      <c r="AH46" s="352">
        <v>0</v>
      </c>
      <c r="AI46" s="358"/>
      <c r="AJ46" s="352">
        <v>0</v>
      </c>
      <c r="AK46" s="358"/>
      <c r="AL46" s="352">
        <v>0</v>
      </c>
      <c r="AM46" s="358"/>
      <c r="AN46" s="352">
        <v>0</v>
      </c>
      <c r="AO46" s="358"/>
      <c r="AP46" s="352">
        <v>0</v>
      </c>
      <c r="AQ46" s="358"/>
      <c r="AR46" s="352">
        <v>0</v>
      </c>
      <c r="AS46" s="358"/>
      <c r="AT46" s="352">
        <v>0</v>
      </c>
      <c r="AU46" s="358"/>
      <c r="AV46" s="352">
        <v>0</v>
      </c>
      <c r="AW46" s="358"/>
      <c r="AX46" s="352">
        <v>0</v>
      </c>
      <c r="AY46" s="358"/>
      <c r="AZ46" s="352">
        <v>0</v>
      </c>
      <c r="BA46" s="358"/>
      <c r="BB46" s="352">
        <v>0</v>
      </c>
      <c r="BC46" s="358"/>
      <c r="BD46" s="352">
        <v>0</v>
      </c>
      <c r="BE46" s="358"/>
      <c r="BF46" s="352">
        <v>0</v>
      </c>
      <c r="BG46" s="358"/>
      <c r="BH46" s="352">
        <v>0</v>
      </c>
      <c r="BI46" s="358"/>
      <c r="BJ46" s="352">
        <v>0</v>
      </c>
      <c r="BK46" s="358"/>
      <c r="BL46" s="352">
        <v>0</v>
      </c>
      <c r="BM46" s="358"/>
      <c r="BN46" s="352">
        <v>0</v>
      </c>
      <c r="BO46" s="358"/>
      <c r="BP46" s="352">
        <v>0</v>
      </c>
      <c r="BQ46" s="358"/>
      <c r="BR46" s="352">
        <v>0</v>
      </c>
      <c r="BS46" s="358"/>
      <c r="BT46" s="352">
        <v>0</v>
      </c>
      <c r="BU46" s="358"/>
      <c r="BV46" s="352">
        <v>0</v>
      </c>
      <c r="BW46" s="358"/>
      <c r="BX46" s="352">
        <v>0</v>
      </c>
      <c r="BY46" s="358"/>
      <c r="BZ46" s="352">
        <v>0</v>
      </c>
      <c r="CA46" s="358"/>
      <c r="CB46" s="352">
        <v>0</v>
      </c>
      <c r="CC46" s="358"/>
      <c r="CD46" s="352">
        <v>0</v>
      </c>
      <c r="CE46" s="358"/>
      <c r="CF46" s="352">
        <v>0</v>
      </c>
      <c r="CG46" s="358"/>
      <c r="CH46" s="352">
        <v>0</v>
      </c>
      <c r="CI46" s="358"/>
      <c r="CJ46" s="352">
        <v>0</v>
      </c>
      <c r="CK46" s="358"/>
      <c r="CL46" s="352">
        <v>0</v>
      </c>
      <c r="CM46" s="358"/>
      <c r="CN46" s="352">
        <v>0</v>
      </c>
      <c r="CO46" s="358"/>
      <c r="CP46" s="352">
        <v>0</v>
      </c>
      <c r="CQ46" s="358"/>
      <c r="CR46" s="352">
        <v>0</v>
      </c>
      <c r="CS46" s="358"/>
      <c r="CT46" s="352">
        <v>0</v>
      </c>
      <c r="CU46" s="358"/>
      <c r="CV46" s="352">
        <v>0</v>
      </c>
      <c r="CW46" s="358"/>
      <c r="CX46" s="352">
        <v>0</v>
      </c>
      <c r="CY46" s="358"/>
      <c r="CZ46" s="352">
        <v>0</v>
      </c>
      <c r="DA46" s="358"/>
      <c r="DB46" s="352">
        <v>0</v>
      </c>
      <c r="DC46" s="358"/>
      <c r="DD46" s="352">
        <v>0</v>
      </c>
      <c r="DE46" s="358"/>
      <c r="DF46" s="352">
        <v>0</v>
      </c>
      <c r="DG46" s="358"/>
      <c r="DH46" s="352">
        <v>0</v>
      </c>
      <c r="DI46" s="358"/>
      <c r="DJ46" s="352">
        <v>0</v>
      </c>
      <c r="DK46" s="358"/>
    </row>
    <row r="47" spans="1:115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556"/>
      <c r="G47" s="557">
        <f>55000000/40*G44</f>
        <v>1197670.4545454551</v>
      </c>
      <c r="H47" s="556"/>
      <c r="I47" s="557">
        <f>90000000/40*I44</f>
        <v>1721841.532687993</v>
      </c>
      <c r="J47" s="556"/>
      <c r="K47" s="557">
        <f>90000000/40*K44</f>
        <v>2123685.3478900497</v>
      </c>
      <c r="L47" s="556"/>
      <c r="M47" s="557">
        <f>90000000/40*M44</f>
        <v>1222687.4622051995</v>
      </c>
      <c r="N47" s="558"/>
      <c r="O47" s="557">
        <f>120000000/40*O44</f>
        <v>2089312.598188825</v>
      </c>
      <c r="P47" s="558"/>
      <c r="Q47" s="557">
        <f>120000000/40*Q44</f>
        <v>2745527.4736419604</v>
      </c>
      <c r="R47" s="558"/>
      <c r="S47" s="557">
        <f>120000000/40*S44</f>
        <v>1473010.2801854443</v>
      </c>
      <c r="T47" s="558"/>
      <c r="U47" s="557">
        <f>120000000/40*U44</f>
        <v>2080169.9436927221</v>
      </c>
      <c r="V47" s="558"/>
      <c r="W47" s="557">
        <f>120000000/40*W44</f>
        <v>2080169.9436927221</v>
      </c>
      <c r="X47" s="558"/>
      <c r="Y47" s="557">
        <f>120000000/40*Y44</f>
        <v>2080169.9436927221</v>
      </c>
      <c r="Z47" s="558"/>
      <c r="AA47" s="557">
        <f>120000000/40*AA44</f>
        <v>2080169.9436927221</v>
      </c>
      <c r="AB47" s="558"/>
      <c r="AC47" s="557">
        <f>120000000/40*AC44</f>
        <v>2080169.9436927221</v>
      </c>
      <c r="AD47" s="558"/>
      <c r="AE47" s="557">
        <f>120000000/40*AE44</f>
        <v>2080169.9436927221</v>
      </c>
      <c r="AF47" s="558"/>
      <c r="AG47" s="557">
        <f>120000000/40*AG44</f>
        <v>2080169.9436927221</v>
      </c>
      <c r="AH47" s="558"/>
      <c r="AI47" s="557">
        <f>120000000/40*AI44</f>
        <v>2080169.9436927221</v>
      </c>
      <c r="AJ47" s="558"/>
      <c r="AK47" s="557">
        <f>120000000/40*AK44</f>
        <v>2080169.9436927221</v>
      </c>
      <c r="AL47" s="558"/>
      <c r="AM47" s="557">
        <f>120000000/40*AM44</f>
        <v>2080169.9436927221</v>
      </c>
      <c r="AN47" s="558"/>
      <c r="AO47" s="557">
        <f>120000000/40*AO44</f>
        <v>2080169.9436927221</v>
      </c>
      <c r="AP47" s="558"/>
      <c r="AQ47" s="557">
        <f>120000000/40*AQ44</f>
        <v>2080169.9436927221</v>
      </c>
      <c r="AR47" s="558"/>
      <c r="AS47" s="557">
        <f>120000000/40*AS44</f>
        <v>2080169.9436927221</v>
      </c>
      <c r="AT47" s="558"/>
      <c r="AU47" s="557">
        <f>120000000/40*AU44</f>
        <v>2080169.9436927221</v>
      </c>
      <c r="AV47" s="558"/>
      <c r="AW47" s="557">
        <f>120000000/40*AW44</f>
        <v>2080169.9436927221</v>
      </c>
      <c r="AX47" s="558"/>
      <c r="AY47" s="557">
        <f>120000000/40*AY44</f>
        <v>2080169.9436927221</v>
      </c>
      <c r="AZ47" s="558"/>
      <c r="BA47" s="557">
        <f>120000000/40*BA44</f>
        <v>2080169.9436927221</v>
      </c>
      <c r="BB47" s="558"/>
      <c r="BC47" s="557">
        <f>120000000/40*BC44</f>
        <v>2080169.9436927221</v>
      </c>
      <c r="BD47" s="558"/>
      <c r="BE47" s="557">
        <f>120000000/40*BE44</f>
        <v>2080169.9436927221</v>
      </c>
      <c r="BF47" s="558"/>
      <c r="BG47" s="557">
        <f>120000000/40*BG44</f>
        <v>2080169.9436927221</v>
      </c>
      <c r="BH47" s="558"/>
      <c r="BI47" s="557">
        <f>120000000/40*BI44</f>
        <v>2080169.9436927221</v>
      </c>
      <c r="BJ47" s="558"/>
      <c r="BK47" s="557">
        <f>120000000/40*BK44</f>
        <v>2079909.6131142122</v>
      </c>
      <c r="BL47" s="558"/>
      <c r="BM47" s="557">
        <f>120000000/40*BM44</f>
        <v>3340599.1735537178</v>
      </c>
      <c r="BN47" s="558"/>
      <c r="BO47" s="557">
        <f>120000000/40*BO44</f>
        <v>3340599.1735537178</v>
      </c>
      <c r="BP47" s="558"/>
      <c r="BQ47" s="557">
        <f>120000000/40*BQ44</f>
        <v>3340599.1735537178</v>
      </c>
      <c r="BR47" s="558"/>
      <c r="BS47" s="557">
        <f>120000000/40*BS44</f>
        <v>3340599.1735537178</v>
      </c>
      <c r="BT47" s="558"/>
      <c r="BU47" s="557">
        <f>120000000/40*BU44</f>
        <v>3340599.1735537178</v>
      </c>
      <c r="BV47" s="558"/>
      <c r="BW47" s="557">
        <f>120000000/40*BW44</f>
        <v>3340599.1735537178</v>
      </c>
      <c r="BX47" s="558"/>
      <c r="BY47" s="557">
        <f>120000000/40*BY44</f>
        <v>3340599.1735537178</v>
      </c>
      <c r="BZ47" s="558"/>
      <c r="CA47" s="557">
        <f>120000000/40*CA44</f>
        <v>3393102.2727272706</v>
      </c>
      <c r="CB47" s="558"/>
      <c r="CC47" s="557">
        <f>120000000/40*CC44</f>
        <v>3393102.2727272706</v>
      </c>
      <c r="CD47" s="558"/>
      <c r="CE47" s="557">
        <f>120000000/40*CE44</f>
        <v>3393102.2727272706</v>
      </c>
      <c r="CF47" s="558"/>
      <c r="CG47" s="557">
        <f>120000000/40*CG44</f>
        <v>3393102.2727272706</v>
      </c>
      <c r="CH47" s="558"/>
      <c r="CI47" s="557">
        <f>120000000/40*CI44</f>
        <v>3393102.2727272706</v>
      </c>
      <c r="CJ47" s="558"/>
      <c r="CK47" s="557">
        <f>120000000/40*CK44</f>
        <v>3393102.2727272706</v>
      </c>
      <c r="CL47" s="558"/>
      <c r="CM47" s="557">
        <f>120000000/40*CM44</f>
        <v>3393102.2727272706</v>
      </c>
      <c r="CN47" s="558"/>
      <c r="CO47" s="557">
        <f>120000000/40*CO44</f>
        <v>3393102.2727272706</v>
      </c>
      <c r="CP47" s="558"/>
      <c r="CQ47" s="557">
        <f>120000000/40*CQ44</f>
        <v>3393102.2727272706</v>
      </c>
      <c r="CR47" s="558"/>
      <c r="CS47" s="557">
        <f>120000000/40*CS44</f>
        <v>2089289.9560117302</v>
      </c>
      <c r="CT47" s="558"/>
      <c r="CU47" s="557">
        <f>120000000/40*CU44</f>
        <v>4484011.3636363605</v>
      </c>
      <c r="CV47" s="558"/>
      <c r="CW47" s="557">
        <f>120000000/40*CW44</f>
        <v>2084384.9161298675</v>
      </c>
      <c r="CX47" s="558"/>
      <c r="CY47" s="557">
        <f>120000000/40*CY44</f>
        <v>2080169.9436927221</v>
      </c>
      <c r="CZ47" s="558"/>
      <c r="DA47" s="557">
        <f>120000000/40*DA44</f>
        <v>2080169.9436927221</v>
      </c>
      <c r="DB47" s="558"/>
      <c r="DC47" s="557">
        <f>120000000/40*DC44</f>
        <v>2080169.9436927221</v>
      </c>
      <c r="DD47" s="558"/>
      <c r="DE47" s="557">
        <f>120000000/40*DE44</f>
        <v>2082542.7073071082</v>
      </c>
      <c r="DF47" s="558"/>
      <c r="DG47" s="557">
        <f>120000000/40*DG44</f>
        <v>3340859.504132228</v>
      </c>
      <c r="DH47" s="558"/>
      <c r="DI47" s="557">
        <f>120000000/40*DI44</f>
        <v>2049352.2267505703</v>
      </c>
      <c r="DJ47" s="558"/>
      <c r="DK47" s="557">
        <f>120000000/40*DK44</f>
        <v>2073141.5061927161</v>
      </c>
    </row>
    <row r="48" spans="1:115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AK48" si="519">+F49/F10</f>
        <v>646.44660626652887</v>
      </c>
      <c r="G48" s="70">
        <f t="shared" si="519"/>
        <v>0.15888440082644625</v>
      </c>
      <c r="H48" s="69">
        <f t="shared" si="519"/>
        <v>658.19486201652887</v>
      </c>
      <c r="I48" s="70">
        <f t="shared" si="519"/>
        <v>0.16177190082644627</v>
      </c>
      <c r="J48" s="69">
        <f t="shared" si="519"/>
        <v>658.19486201652887</v>
      </c>
      <c r="K48" s="70">
        <f t="shared" si="519"/>
        <v>0.16177190082644627</v>
      </c>
      <c r="L48" s="69">
        <f t="shared" si="519"/>
        <v>658.19486201652887</v>
      </c>
      <c r="M48" s="70">
        <f t="shared" si="519"/>
        <v>0.16177190082644627</v>
      </c>
      <c r="N48" s="69">
        <f t="shared" si="519"/>
        <v>663.71829569003683</v>
      </c>
      <c r="O48" s="70">
        <f t="shared" si="519"/>
        <v>0.16312945679659566</v>
      </c>
      <c r="P48" s="69">
        <f t="shared" si="519"/>
        <v>664.05928058925622</v>
      </c>
      <c r="Q48" s="70">
        <f t="shared" si="519"/>
        <v>0.16321326446280993</v>
      </c>
      <c r="R48" s="69">
        <f t="shared" si="519"/>
        <v>664.05928058925622</v>
      </c>
      <c r="S48" s="70">
        <f t="shared" si="519"/>
        <v>0.16321326446280993</v>
      </c>
      <c r="T48" s="69">
        <f t="shared" si="519"/>
        <v>664.05928058925622</v>
      </c>
      <c r="U48" s="70">
        <f t="shared" si="519"/>
        <v>0.16321326446280993</v>
      </c>
      <c r="V48" s="69">
        <f t="shared" si="519"/>
        <v>664.05928058925622</v>
      </c>
      <c r="W48" s="70">
        <f t="shared" si="519"/>
        <v>0.16321326446280993</v>
      </c>
      <c r="X48" s="69">
        <f t="shared" si="519"/>
        <v>664.05928058925622</v>
      </c>
      <c r="Y48" s="70">
        <f t="shared" si="519"/>
        <v>0.16321326446280993</v>
      </c>
      <c r="Z48" s="69">
        <f t="shared" si="519"/>
        <v>664.05928058925622</v>
      </c>
      <c r="AA48" s="70">
        <f t="shared" si="519"/>
        <v>0.16321326446280993</v>
      </c>
      <c r="AB48" s="69">
        <f t="shared" si="519"/>
        <v>664.05928058925622</v>
      </c>
      <c r="AC48" s="70">
        <f t="shared" si="519"/>
        <v>0.16321326446280993</v>
      </c>
      <c r="AD48" s="69">
        <f t="shared" si="519"/>
        <v>664.05928058925622</v>
      </c>
      <c r="AE48" s="70">
        <f t="shared" si="519"/>
        <v>0.16321326446280993</v>
      </c>
      <c r="AF48" s="69">
        <f t="shared" si="519"/>
        <v>664.05928058925622</v>
      </c>
      <c r="AG48" s="70">
        <f t="shared" si="519"/>
        <v>0.16321326446280993</v>
      </c>
      <c r="AH48" s="69">
        <f t="shared" si="519"/>
        <v>664.05928058925622</v>
      </c>
      <c r="AI48" s="70">
        <f t="shared" si="519"/>
        <v>0.16321326446280993</v>
      </c>
      <c r="AJ48" s="69">
        <f t="shared" si="519"/>
        <v>664.05928058925622</v>
      </c>
      <c r="AK48" s="70">
        <f t="shared" si="519"/>
        <v>0.16321326446280993</v>
      </c>
      <c r="AL48" s="69">
        <f t="shared" ref="AL48:BQ48" si="520">+AL49/AL10</f>
        <v>664.05928058925622</v>
      </c>
      <c r="AM48" s="70">
        <f t="shared" si="520"/>
        <v>0.16321326446280993</v>
      </c>
      <c r="AN48" s="69">
        <f t="shared" si="520"/>
        <v>664.05928058925622</v>
      </c>
      <c r="AO48" s="70">
        <f t="shared" si="520"/>
        <v>0.16321326446280993</v>
      </c>
      <c r="AP48" s="69">
        <f t="shared" si="520"/>
        <v>664.05928058925622</v>
      </c>
      <c r="AQ48" s="70">
        <f t="shared" si="520"/>
        <v>0.16321326446280993</v>
      </c>
      <c r="AR48" s="69">
        <f t="shared" si="520"/>
        <v>664.05928058925622</v>
      </c>
      <c r="AS48" s="70">
        <f t="shared" si="520"/>
        <v>0.16321326446280993</v>
      </c>
      <c r="AT48" s="69">
        <f t="shared" si="520"/>
        <v>664.05928058925622</v>
      </c>
      <c r="AU48" s="70">
        <f t="shared" si="520"/>
        <v>0.16321326446280993</v>
      </c>
      <c r="AV48" s="69">
        <f t="shared" si="520"/>
        <v>664.05928058925622</v>
      </c>
      <c r="AW48" s="70">
        <f t="shared" si="520"/>
        <v>0.16321326446280993</v>
      </c>
      <c r="AX48" s="69">
        <f t="shared" si="520"/>
        <v>664.05928058925622</v>
      </c>
      <c r="AY48" s="70">
        <f t="shared" si="520"/>
        <v>0.16321326446280993</v>
      </c>
      <c r="AZ48" s="69">
        <f t="shared" si="520"/>
        <v>664.05928058925622</v>
      </c>
      <c r="BA48" s="70">
        <f t="shared" si="520"/>
        <v>0.16321326446280993</v>
      </c>
      <c r="BB48" s="69">
        <f t="shared" si="520"/>
        <v>664.05928058925622</v>
      </c>
      <c r="BC48" s="70">
        <f t="shared" si="520"/>
        <v>0.16321326446280993</v>
      </c>
      <c r="BD48" s="69">
        <f t="shared" si="520"/>
        <v>664.05928058925622</v>
      </c>
      <c r="BE48" s="70">
        <f t="shared" si="520"/>
        <v>0.16321326446280993</v>
      </c>
      <c r="BF48" s="69">
        <f t="shared" si="520"/>
        <v>664.05928058925622</v>
      </c>
      <c r="BG48" s="70">
        <f t="shared" si="520"/>
        <v>0.16321326446280993</v>
      </c>
      <c r="BH48" s="69">
        <f t="shared" si="520"/>
        <v>664.05928058925622</v>
      </c>
      <c r="BI48" s="70">
        <f t="shared" si="520"/>
        <v>0.16321326446280993</v>
      </c>
      <c r="BJ48" s="69">
        <f t="shared" si="520"/>
        <v>664.06898989152887</v>
      </c>
      <c r="BK48" s="70">
        <f t="shared" si="520"/>
        <v>0.16321565082644626</v>
      </c>
      <c r="BL48" s="69">
        <f t="shared" si="520"/>
        <v>664.06898989152887</v>
      </c>
      <c r="BM48" s="70">
        <f t="shared" si="520"/>
        <v>0.16321565082644626</v>
      </c>
      <c r="BN48" s="69">
        <f t="shared" si="520"/>
        <v>664.06898989152887</v>
      </c>
      <c r="BO48" s="70">
        <f t="shared" si="520"/>
        <v>0.16321565082644626</v>
      </c>
      <c r="BP48" s="69">
        <f t="shared" si="520"/>
        <v>664.06898989152887</v>
      </c>
      <c r="BQ48" s="70">
        <f t="shared" si="520"/>
        <v>0.16321565082644626</v>
      </c>
      <c r="BR48" s="69">
        <f t="shared" ref="BR48:CW48" si="521">+BR49/BR10</f>
        <v>664.06898989152887</v>
      </c>
      <c r="BS48" s="70">
        <f t="shared" si="521"/>
        <v>0.16321565082644626</v>
      </c>
      <c r="BT48" s="69">
        <f t="shared" si="521"/>
        <v>664.06898989152887</v>
      </c>
      <c r="BU48" s="70">
        <f t="shared" si="521"/>
        <v>0.16321565082644626</v>
      </c>
      <c r="BV48" s="69">
        <f t="shared" si="521"/>
        <v>664.06898989152887</v>
      </c>
      <c r="BW48" s="70">
        <f t="shared" si="521"/>
        <v>0.16321565082644626</v>
      </c>
      <c r="BX48" s="69">
        <f t="shared" si="521"/>
        <v>664.06898989152887</v>
      </c>
      <c r="BY48" s="70">
        <f t="shared" si="521"/>
        <v>0.16321565082644626</v>
      </c>
      <c r="BZ48" s="69">
        <f t="shared" si="521"/>
        <v>662.26214548124995</v>
      </c>
      <c r="CA48" s="70">
        <f t="shared" si="521"/>
        <v>0.16277156249999999</v>
      </c>
      <c r="CB48" s="69">
        <f t="shared" si="521"/>
        <v>662.26214548124995</v>
      </c>
      <c r="CC48" s="70">
        <f t="shared" si="521"/>
        <v>0.16277156249999999</v>
      </c>
      <c r="CD48" s="69">
        <f t="shared" si="521"/>
        <v>662.26214548124995</v>
      </c>
      <c r="CE48" s="70">
        <f t="shared" si="521"/>
        <v>0.16277156249999999</v>
      </c>
      <c r="CF48" s="69">
        <f t="shared" si="521"/>
        <v>662.26214548124995</v>
      </c>
      <c r="CG48" s="70">
        <f t="shared" si="521"/>
        <v>0.16277156249999999</v>
      </c>
      <c r="CH48" s="69">
        <f t="shared" si="521"/>
        <v>662.26214548124995</v>
      </c>
      <c r="CI48" s="70">
        <f t="shared" si="521"/>
        <v>0.16277156249999999</v>
      </c>
      <c r="CJ48" s="69">
        <f t="shared" si="521"/>
        <v>662.26214548124995</v>
      </c>
      <c r="CK48" s="70">
        <f t="shared" si="521"/>
        <v>0.16277156249999999</v>
      </c>
      <c r="CL48" s="69">
        <f t="shared" si="521"/>
        <v>662.26214548124995</v>
      </c>
      <c r="CM48" s="70">
        <f t="shared" si="521"/>
        <v>0.16277156249999999</v>
      </c>
      <c r="CN48" s="69">
        <f t="shared" si="521"/>
        <v>662.26214548124995</v>
      </c>
      <c r="CO48" s="70">
        <f t="shared" si="521"/>
        <v>0.16277156249999999</v>
      </c>
      <c r="CP48" s="69">
        <f t="shared" si="521"/>
        <v>662.26214548124995</v>
      </c>
      <c r="CQ48" s="70">
        <f t="shared" si="521"/>
        <v>0.16277156249999999</v>
      </c>
      <c r="CR48" s="69">
        <f t="shared" si="521"/>
        <v>662.26214548124995</v>
      </c>
      <c r="CS48" s="70">
        <f t="shared" si="521"/>
        <v>0.16277156249999999</v>
      </c>
      <c r="CT48" s="69">
        <f t="shared" si="521"/>
        <v>662.26214548124995</v>
      </c>
      <c r="CU48" s="70">
        <f t="shared" si="521"/>
        <v>0.16277156249999999</v>
      </c>
      <c r="CV48" s="69">
        <f t="shared" si="521"/>
        <v>663.90207876649185</v>
      </c>
      <c r="CW48" s="70">
        <f t="shared" si="521"/>
        <v>0.16317462721546944</v>
      </c>
      <c r="CX48" s="69">
        <f t="shared" ref="CX48:DK48" si="522">+CX49/CX10</f>
        <v>664.05928058925622</v>
      </c>
      <c r="CY48" s="70">
        <f t="shared" si="522"/>
        <v>0.16321326446280993</v>
      </c>
      <c r="CZ48" s="69">
        <f t="shared" si="522"/>
        <v>664.05928058925622</v>
      </c>
      <c r="DA48" s="70">
        <f t="shared" si="522"/>
        <v>0.16321326446280993</v>
      </c>
      <c r="DB48" s="69">
        <f t="shared" si="522"/>
        <v>664.05928058925622</v>
      </c>
      <c r="DC48" s="70">
        <f t="shared" si="522"/>
        <v>0.16321326446280993</v>
      </c>
      <c r="DD48" s="69">
        <f t="shared" si="522"/>
        <v>663.97078587885585</v>
      </c>
      <c r="DE48" s="70">
        <f t="shared" si="522"/>
        <v>0.16319151412967806</v>
      </c>
      <c r="DF48" s="69">
        <f t="shared" si="522"/>
        <v>664.05928058925622</v>
      </c>
      <c r="DG48" s="70">
        <f t="shared" si="522"/>
        <v>0.16321326446280993</v>
      </c>
      <c r="DH48" s="69">
        <f t="shared" si="522"/>
        <v>693.68927970121649</v>
      </c>
      <c r="DI48" s="70">
        <f t="shared" si="522"/>
        <v>0.1704957602014463</v>
      </c>
      <c r="DJ48" s="69">
        <f t="shared" si="522"/>
        <v>664.32141354567818</v>
      </c>
      <c r="DK48" s="70">
        <f t="shared" si="522"/>
        <v>0.16327769180655996</v>
      </c>
    </row>
    <row r="49" spans="1:117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25857.864250661154</v>
      </c>
      <c r="G49" s="70">
        <f>+G50+G52+G56+G54</f>
        <v>6.3553760330578504</v>
      </c>
      <c r="H49" s="69">
        <f>+I49*H12</f>
        <v>26327.794480661156</v>
      </c>
      <c r="I49" s="70">
        <f>+I50+I52+I56+I54</f>
        <v>6.4708760330578512</v>
      </c>
      <c r="J49" s="69">
        <f>+K49*J12</f>
        <v>26327.794480661156</v>
      </c>
      <c r="K49" s="70">
        <f>+K50+K52+K56+K54</f>
        <v>6.4708760330578512</v>
      </c>
      <c r="L49" s="69">
        <f>+M49*L12</f>
        <v>26327.794480661156</v>
      </c>
      <c r="M49" s="70">
        <f>+M50+M52+M56+M54</f>
        <v>6.4708760330578512</v>
      </c>
      <c r="N49" s="69">
        <f>+O49*N12</f>
        <v>26548.731827601474</v>
      </c>
      <c r="O49" s="70">
        <f>+O50+O52+O56+O54</f>
        <v>6.525178271863826</v>
      </c>
      <c r="P49" s="69">
        <f>+Q49*P12</f>
        <v>26562.371223570248</v>
      </c>
      <c r="Q49" s="70">
        <f>+Q50+Q52+Q56+Q54</f>
        <v>6.528530578512397</v>
      </c>
      <c r="R49" s="69">
        <f>+S49*R12</f>
        <v>26562.371223570248</v>
      </c>
      <c r="S49" s="70">
        <f>+S50+S52+S56+S54</f>
        <v>6.528530578512397</v>
      </c>
      <c r="T49" s="69">
        <f>+U49*T12</f>
        <v>26562.371223570248</v>
      </c>
      <c r="U49" s="70">
        <f>+U50+U52+U56+U54</f>
        <v>6.528530578512397</v>
      </c>
      <c r="V49" s="69">
        <f>+W49*V12</f>
        <v>26562.371223570248</v>
      </c>
      <c r="W49" s="70">
        <f>+W50+W52+W56+W54</f>
        <v>6.528530578512397</v>
      </c>
      <c r="X49" s="69">
        <f>+Y49*X12</f>
        <v>26562.371223570248</v>
      </c>
      <c r="Y49" s="70">
        <f>+Y50+Y52+Y56+Y54</f>
        <v>6.528530578512397</v>
      </c>
      <c r="Z49" s="69">
        <f>+AA49*Z12</f>
        <v>26562.371223570248</v>
      </c>
      <c r="AA49" s="70">
        <f>+AA50+AA52+AA56+AA54</f>
        <v>6.528530578512397</v>
      </c>
      <c r="AB49" s="69">
        <f>+AC49*AB12</f>
        <v>26562.371223570248</v>
      </c>
      <c r="AC49" s="70">
        <f>+AC50+AC52+AC56+AC54</f>
        <v>6.528530578512397</v>
      </c>
      <c r="AD49" s="69">
        <f>+AE49*AD12</f>
        <v>26562.371223570248</v>
      </c>
      <c r="AE49" s="70">
        <f>+AE50+AE52+AE56+AE54</f>
        <v>6.528530578512397</v>
      </c>
      <c r="AF49" s="69">
        <f>+AG49*AF12</f>
        <v>26562.371223570248</v>
      </c>
      <c r="AG49" s="70">
        <f>+AG50+AG52+AG56+AG54</f>
        <v>6.528530578512397</v>
      </c>
      <c r="AH49" s="69">
        <f>+AI49*AH12</f>
        <v>26562.371223570248</v>
      </c>
      <c r="AI49" s="70">
        <f>+AI50+AI52+AI56+AI54</f>
        <v>6.528530578512397</v>
      </c>
      <c r="AJ49" s="69">
        <f>+AK49*AJ12</f>
        <v>26562.371223570248</v>
      </c>
      <c r="AK49" s="70">
        <f>+AK50+AK52+AK56+AK54</f>
        <v>6.528530578512397</v>
      </c>
      <c r="AL49" s="69">
        <f>+AM49*AL12</f>
        <v>26562.371223570248</v>
      </c>
      <c r="AM49" s="70">
        <f>+AM50+AM52+AM56+AM54</f>
        <v>6.528530578512397</v>
      </c>
      <c r="AN49" s="69">
        <f>+AO49*AN12</f>
        <v>26562.371223570248</v>
      </c>
      <c r="AO49" s="70">
        <f>+AO50+AO52+AO56+AO54</f>
        <v>6.528530578512397</v>
      </c>
      <c r="AP49" s="69">
        <f>+AQ49*AP12</f>
        <v>26562.371223570248</v>
      </c>
      <c r="AQ49" s="70">
        <f>+AQ50+AQ52+AQ56+AQ54</f>
        <v>6.528530578512397</v>
      </c>
      <c r="AR49" s="69">
        <f>+AS49*AR12</f>
        <v>26562.371223570248</v>
      </c>
      <c r="AS49" s="70">
        <f>+AS50+AS52+AS56+AS54</f>
        <v>6.528530578512397</v>
      </c>
      <c r="AT49" s="69">
        <f>+AU49*AT12</f>
        <v>26562.371223570248</v>
      </c>
      <c r="AU49" s="70">
        <f>+AU50+AU52+AU56+AU54</f>
        <v>6.528530578512397</v>
      </c>
      <c r="AV49" s="69">
        <f>+AW49*AV12</f>
        <v>26562.371223570248</v>
      </c>
      <c r="AW49" s="70">
        <f>+AW50+AW52+AW56+AW54</f>
        <v>6.528530578512397</v>
      </c>
      <c r="AX49" s="69">
        <f>+AY49*AX12</f>
        <v>26562.371223570248</v>
      </c>
      <c r="AY49" s="70">
        <f>+AY50+AY52+AY56+AY54</f>
        <v>6.528530578512397</v>
      </c>
      <c r="AZ49" s="69">
        <f>+BA49*AZ12</f>
        <v>26562.371223570248</v>
      </c>
      <c r="BA49" s="70">
        <f>+BA50+BA52+BA56+BA54</f>
        <v>6.528530578512397</v>
      </c>
      <c r="BB49" s="69">
        <f>+BC49*BB12</f>
        <v>26562.371223570248</v>
      </c>
      <c r="BC49" s="70">
        <f>+BC50+BC52+BC56+BC54</f>
        <v>6.528530578512397</v>
      </c>
      <c r="BD49" s="69">
        <f>+BE49*BD12</f>
        <v>26562.371223570248</v>
      </c>
      <c r="BE49" s="70">
        <f>+BE50+BE52+BE56+BE54</f>
        <v>6.528530578512397</v>
      </c>
      <c r="BF49" s="69">
        <f>+BG49*BF12</f>
        <v>26562.371223570248</v>
      </c>
      <c r="BG49" s="70">
        <f t="shared" ref="BG49" si="523">+BG50+BG52+BG56+BG54</f>
        <v>6.528530578512397</v>
      </c>
      <c r="BH49" s="69">
        <f>+BI49*BH12</f>
        <v>26562.371223570248</v>
      </c>
      <c r="BI49" s="70">
        <f t="shared" ref="BI49" si="524">+BI50+BI52+BI56+BI54</f>
        <v>6.528530578512397</v>
      </c>
      <c r="BJ49" s="69">
        <f>+BK49*BJ12</f>
        <v>26562.759595661155</v>
      </c>
      <c r="BK49" s="70">
        <f t="shared" ref="BK49" si="525">+BK50+BK52+BK56+BK54</f>
        <v>6.5286260330578507</v>
      </c>
      <c r="BL49" s="69">
        <f>+BM49*BL12</f>
        <v>26562.759595661155</v>
      </c>
      <c r="BM49" s="70">
        <f t="shared" ref="BM49" si="526">+BM50+BM52+BM56+BM54</f>
        <v>6.5286260330578507</v>
      </c>
      <c r="BN49" s="69">
        <f>+BO49*BN12</f>
        <v>26562.759595661155</v>
      </c>
      <c r="BO49" s="70">
        <f t="shared" ref="BO49" si="527">+BO50+BO52+BO56+BO54</f>
        <v>6.5286260330578507</v>
      </c>
      <c r="BP49" s="69">
        <f>+BQ49*BP12</f>
        <v>26562.759595661155</v>
      </c>
      <c r="BQ49" s="70">
        <f t="shared" ref="BQ49:BS49" si="528">+BQ50+BQ52+BQ56+BQ54</f>
        <v>6.5286260330578507</v>
      </c>
      <c r="BR49" s="69">
        <f>+BS49*BR12</f>
        <v>26562.759595661155</v>
      </c>
      <c r="BS49" s="70">
        <f t="shared" si="528"/>
        <v>6.5286260330578507</v>
      </c>
      <c r="BT49" s="69">
        <f>+BU49*BT12</f>
        <v>26562.759595661155</v>
      </c>
      <c r="BU49" s="70">
        <f t="shared" ref="BU49:BW49" si="529">+BU50+BU52+BU56+BU54</f>
        <v>6.5286260330578507</v>
      </c>
      <c r="BV49" s="69">
        <f>+BW49*BV12</f>
        <v>26562.759595661155</v>
      </c>
      <c r="BW49" s="70">
        <f t="shared" si="529"/>
        <v>6.5286260330578507</v>
      </c>
      <c r="BX49" s="69">
        <f>+BY49*BX12</f>
        <v>26562.759595661155</v>
      </c>
      <c r="BY49" s="70">
        <f t="shared" ref="BY49:CA49" si="530">+BY50+BY52+BY56+BY54</f>
        <v>6.5286260330578507</v>
      </c>
      <c r="BZ49" s="69">
        <f>+CA49*BZ12</f>
        <v>26490.48581925</v>
      </c>
      <c r="CA49" s="70">
        <f t="shared" si="530"/>
        <v>6.5108625</v>
      </c>
      <c r="CB49" s="69">
        <f>+CC49*CB12</f>
        <v>26490.48581925</v>
      </c>
      <c r="CC49" s="70">
        <f t="shared" ref="CC49:CE49" si="531">+CC50+CC52+CC56+CC54</f>
        <v>6.5108625</v>
      </c>
      <c r="CD49" s="69">
        <f>+CE49*CD12</f>
        <v>26490.48581925</v>
      </c>
      <c r="CE49" s="70">
        <f t="shared" si="531"/>
        <v>6.5108625</v>
      </c>
      <c r="CF49" s="69">
        <f>+CG49*CF12</f>
        <v>26490.48581925</v>
      </c>
      <c r="CG49" s="70">
        <f t="shared" ref="CG49:CI49" si="532">+CG50+CG52+CG56+CG54</f>
        <v>6.5108625</v>
      </c>
      <c r="CH49" s="69">
        <f>+CI49*CH12</f>
        <v>26490.48581925</v>
      </c>
      <c r="CI49" s="70">
        <f t="shared" si="532"/>
        <v>6.5108625</v>
      </c>
      <c r="CJ49" s="69">
        <f>+CK49*CJ12</f>
        <v>26490.48581925</v>
      </c>
      <c r="CK49" s="70">
        <f t="shared" ref="CK49:CM49" si="533">+CK50+CK52+CK56+CK54</f>
        <v>6.5108625</v>
      </c>
      <c r="CL49" s="69">
        <f>+CM49*CL12</f>
        <v>26490.48581925</v>
      </c>
      <c r="CM49" s="70">
        <f t="shared" si="533"/>
        <v>6.5108625</v>
      </c>
      <c r="CN49" s="69">
        <f>+CO49*CN12</f>
        <v>26490.48581925</v>
      </c>
      <c r="CO49" s="70">
        <f t="shared" ref="CO49" si="534">+CO50+CO52+CO56+CO54</f>
        <v>6.5108625</v>
      </c>
      <c r="CP49" s="69">
        <f>+CQ49*CP12</f>
        <v>26490.48581925</v>
      </c>
      <c r="CQ49" s="70">
        <f t="shared" ref="CQ49" si="535">+CQ50+CQ52+CQ56+CQ54</f>
        <v>6.5108625</v>
      </c>
      <c r="CR49" s="69">
        <f>+CS49*CR12</f>
        <v>26490.48581925</v>
      </c>
      <c r="CS49" s="70">
        <f t="shared" ref="CS49:CU49" si="536">+CS50+CS52+CS56+CS54</f>
        <v>6.5108625</v>
      </c>
      <c r="CT49" s="69">
        <f>+CU49*CT12</f>
        <v>26490.48581925</v>
      </c>
      <c r="CU49" s="70">
        <f t="shared" si="536"/>
        <v>6.5108625</v>
      </c>
      <c r="CV49" s="69">
        <f>+CW49*CV12</f>
        <v>26556.083150659673</v>
      </c>
      <c r="CW49" s="70">
        <f>+CW50+CW52+CW56+CW54</f>
        <v>6.526985088618777</v>
      </c>
      <c r="CX49" s="69">
        <f>+CY49*CX12</f>
        <v>26562.371223570248</v>
      </c>
      <c r="CY49" s="70">
        <f>+CY50+CY52+CY56+CY54</f>
        <v>6.528530578512397</v>
      </c>
      <c r="CZ49" s="69">
        <f>+DA49*CZ12</f>
        <v>26562.371223570248</v>
      </c>
      <c r="DA49" s="70">
        <f>+DA50+DA52+DA56+DA54</f>
        <v>6.528530578512397</v>
      </c>
      <c r="DB49" s="69">
        <f>+DC49*DB12</f>
        <v>26562.371223570248</v>
      </c>
      <c r="DC49" s="70">
        <f>+DC50+DC52+DC56+DC54</f>
        <v>6.528530578512397</v>
      </c>
      <c r="DD49" s="69">
        <f>+DE49*DD12</f>
        <v>26558.831435154236</v>
      </c>
      <c r="DE49" s="70">
        <f>+DE50+DE52+DE56+DE54</f>
        <v>6.527660565187122</v>
      </c>
      <c r="DF49" s="69">
        <f>+DG49*DF12</f>
        <v>26562.371223570248</v>
      </c>
      <c r="DG49" s="70">
        <f>+DG50+DG52+DG56+DG54</f>
        <v>6.528530578512397</v>
      </c>
      <c r="DH49" s="69">
        <f>+DI49*DH12</f>
        <v>27747.57118804866</v>
      </c>
      <c r="DI49" s="70">
        <f>+DI50+DI52+DI56+DI54</f>
        <v>6.819830408057852</v>
      </c>
      <c r="DJ49" s="69">
        <f>+DK49*DJ12</f>
        <v>26572.856541827128</v>
      </c>
      <c r="DK49" s="70">
        <f>+DK50+DK52+DK56+DK54</f>
        <v>6.5311076722623982</v>
      </c>
    </row>
    <row r="50" spans="1:117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0.255</v>
      </c>
      <c r="H50" s="50"/>
      <c r="I50" s="72">
        <f>+I51*I56</f>
        <v>0.25999999999999995</v>
      </c>
      <c r="J50" s="50"/>
      <c r="K50" s="72">
        <f>+K51*K56</f>
        <v>0.25999999999999995</v>
      </c>
      <c r="L50" s="50"/>
      <c r="M50" s="72">
        <f>+M51*M56</f>
        <v>0.25999999999999995</v>
      </c>
      <c r="N50" s="367"/>
      <c r="O50" s="368">
        <f>+O51*O56</f>
        <v>0.2623507462686569</v>
      </c>
      <c r="P50" s="367"/>
      <c r="Q50" s="368">
        <f>+Q51*Q56</f>
        <v>0.26249586776859507</v>
      </c>
      <c r="R50" s="367"/>
      <c r="S50" s="368">
        <f>+S51*S56</f>
        <v>0.26249586776859507</v>
      </c>
      <c r="T50" s="367"/>
      <c r="U50" s="368">
        <f>+U51*U56</f>
        <v>0.26249586776859507</v>
      </c>
      <c r="V50" s="367"/>
      <c r="W50" s="368">
        <f>+W51*W56</f>
        <v>0.26249586776859507</v>
      </c>
      <c r="X50" s="367"/>
      <c r="Y50" s="368">
        <f>+Y51*Y56</f>
        <v>0.26249586776859507</v>
      </c>
      <c r="Z50" s="367"/>
      <c r="AA50" s="368">
        <f>+AA51*AA56</f>
        <v>0.26249586776859507</v>
      </c>
      <c r="AB50" s="367"/>
      <c r="AC50" s="368">
        <f>+AC51*AC56</f>
        <v>0.26249586776859507</v>
      </c>
      <c r="AD50" s="367"/>
      <c r="AE50" s="368">
        <f>+AE51*AE56</f>
        <v>0.26249586776859507</v>
      </c>
      <c r="AF50" s="367"/>
      <c r="AG50" s="368">
        <f>+AG51*AG56</f>
        <v>0.26249586776859507</v>
      </c>
      <c r="AH50" s="367"/>
      <c r="AI50" s="368">
        <f>+AI51*AI56</f>
        <v>0.26249586776859507</v>
      </c>
      <c r="AJ50" s="367"/>
      <c r="AK50" s="368">
        <f>+AK51*AK56</f>
        <v>0.26249586776859507</v>
      </c>
      <c r="AL50" s="367"/>
      <c r="AM50" s="368">
        <f>+AM51*AM56</f>
        <v>0.26249586776859507</v>
      </c>
      <c r="AN50" s="367"/>
      <c r="AO50" s="368">
        <f>+AO51*AO56</f>
        <v>0.26249586776859507</v>
      </c>
      <c r="AP50" s="367"/>
      <c r="AQ50" s="368">
        <f>+AQ51*AQ56</f>
        <v>0.26249586776859507</v>
      </c>
      <c r="AR50" s="367"/>
      <c r="AS50" s="368">
        <f>+AS51*AS56</f>
        <v>0.26249586776859507</v>
      </c>
      <c r="AT50" s="367"/>
      <c r="AU50" s="368">
        <f>+AU51*AU56</f>
        <v>0.26249586776859507</v>
      </c>
      <c r="AV50" s="367"/>
      <c r="AW50" s="368">
        <f>+AW51*AW56</f>
        <v>0.26249586776859507</v>
      </c>
      <c r="AX50" s="367"/>
      <c r="AY50" s="368">
        <f>+AY51*AY56</f>
        <v>0.26249586776859507</v>
      </c>
      <c r="AZ50" s="367"/>
      <c r="BA50" s="368">
        <f>+BA51*BA56</f>
        <v>0.26249586776859507</v>
      </c>
      <c r="BB50" s="367"/>
      <c r="BC50" s="368">
        <f>+BC51*BC56</f>
        <v>0.26249586776859507</v>
      </c>
      <c r="BD50" s="367"/>
      <c r="BE50" s="368">
        <f>+BE51*BE56</f>
        <v>0.26249586776859507</v>
      </c>
      <c r="BF50" s="367"/>
      <c r="BG50" s="368">
        <f t="shared" ref="BG50" si="537">+BG51*BG56</f>
        <v>0.26249586776859507</v>
      </c>
      <c r="BH50" s="367"/>
      <c r="BI50" s="368">
        <f t="shared" ref="BI50" si="538">+BI51*BI56</f>
        <v>0.26249586776859507</v>
      </c>
      <c r="BJ50" s="367"/>
      <c r="BK50" s="368">
        <f t="shared" ref="BK50" si="539">+BK51*BK56</f>
        <v>0.26250000000000001</v>
      </c>
      <c r="BL50" s="367"/>
      <c r="BM50" s="368">
        <f t="shared" ref="BM50" si="540">+BM51*BM56</f>
        <v>0.26250000000000001</v>
      </c>
      <c r="BN50" s="367"/>
      <c r="BO50" s="368">
        <f t="shared" ref="BO50" si="541">+BO51*BO56</f>
        <v>0.26250000000000001</v>
      </c>
      <c r="BP50" s="367"/>
      <c r="BQ50" s="368">
        <f t="shared" ref="BQ50:BS50" si="542">+BQ51*BQ56</f>
        <v>0.26250000000000001</v>
      </c>
      <c r="BR50" s="367"/>
      <c r="BS50" s="368">
        <f t="shared" si="542"/>
        <v>0.26250000000000001</v>
      </c>
      <c r="BT50" s="367"/>
      <c r="BU50" s="368">
        <f t="shared" ref="BU50:BW50" si="543">+BU51*BU56</f>
        <v>0.26250000000000001</v>
      </c>
      <c r="BV50" s="367"/>
      <c r="BW50" s="368">
        <f t="shared" si="543"/>
        <v>0.26250000000000001</v>
      </c>
      <c r="BX50" s="367"/>
      <c r="BY50" s="368">
        <f t="shared" ref="BY50:CA50" si="544">+BY51*BY56</f>
        <v>0.26250000000000001</v>
      </c>
      <c r="BZ50" s="367"/>
      <c r="CA50" s="368">
        <f t="shared" si="544"/>
        <v>0.26237500000000002</v>
      </c>
      <c r="CB50" s="367"/>
      <c r="CC50" s="368">
        <f t="shared" ref="CC50:CE50" si="545">+CC51*CC56</f>
        <v>0.26237500000000002</v>
      </c>
      <c r="CD50" s="367"/>
      <c r="CE50" s="368">
        <f t="shared" si="545"/>
        <v>0.26237500000000002</v>
      </c>
      <c r="CF50" s="367"/>
      <c r="CG50" s="368">
        <f t="shared" ref="CG50:CI50" si="546">+CG51*CG56</f>
        <v>0.26237500000000002</v>
      </c>
      <c r="CH50" s="367"/>
      <c r="CI50" s="368">
        <f t="shared" si="546"/>
        <v>0.26237500000000002</v>
      </c>
      <c r="CJ50" s="367"/>
      <c r="CK50" s="368">
        <f t="shared" ref="CK50:CM50" si="547">+CK51*CK56</f>
        <v>0.26237500000000002</v>
      </c>
      <c r="CL50" s="367"/>
      <c r="CM50" s="368">
        <f t="shared" si="547"/>
        <v>0.26237500000000002</v>
      </c>
      <c r="CN50" s="367"/>
      <c r="CO50" s="368">
        <f t="shared" ref="CO50" si="548">+CO51*CO56</f>
        <v>0.26237500000000002</v>
      </c>
      <c r="CP50" s="367"/>
      <c r="CQ50" s="368">
        <f t="shared" ref="CQ50" si="549">+CQ51*CQ56</f>
        <v>0.26237500000000002</v>
      </c>
      <c r="CR50" s="367"/>
      <c r="CS50" s="368">
        <f t="shared" ref="CS50:CU50" si="550">+CS51*CS56</f>
        <v>0.26237500000000002</v>
      </c>
      <c r="CT50" s="367"/>
      <c r="CU50" s="368">
        <f t="shared" si="550"/>
        <v>0.26237500000000002</v>
      </c>
      <c r="CV50" s="367"/>
      <c r="CW50" s="368">
        <f>+CW51*CW56</f>
        <v>0.26242896344419592</v>
      </c>
      <c r="CX50" s="367"/>
      <c r="CY50" s="368">
        <f>+CY51*CY56</f>
        <v>0.26249586776859507</v>
      </c>
      <c r="CZ50" s="367"/>
      <c r="DA50" s="368">
        <f>+DA51*DA56</f>
        <v>0.26249586776859507</v>
      </c>
      <c r="DB50" s="367"/>
      <c r="DC50" s="368">
        <f>+DC51*DC56</f>
        <v>0.26249586776859507</v>
      </c>
      <c r="DD50" s="367"/>
      <c r="DE50" s="368">
        <f>+DE51*DE56</f>
        <v>0.262458204854081</v>
      </c>
      <c r="DF50" s="367"/>
      <c r="DG50" s="368">
        <f>+DG51*DG56</f>
        <v>0.26249586776859507</v>
      </c>
      <c r="DH50" s="367"/>
      <c r="DI50" s="368">
        <f>+DI51*DI56</f>
        <v>0.27510625000000005</v>
      </c>
      <c r="DJ50" s="367"/>
      <c r="DK50" s="368">
        <f>+DK51*DK56</f>
        <v>0.26260743026859512</v>
      </c>
    </row>
    <row r="51" spans="1:117" s="4" customFormat="1" ht="18" customHeight="1" x14ac:dyDescent="0.45">
      <c r="A51" s="561"/>
      <c r="B51" s="1184"/>
      <c r="C51" s="15" t="s">
        <v>56</v>
      </c>
      <c r="D51" s="16"/>
      <c r="E51" s="16"/>
      <c r="F51" s="73"/>
      <c r="G51" s="74">
        <v>0.05</v>
      </c>
      <c r="H51" s="73"/>
      <c r="I51" s="74">
        <v>0.05</v>
      </c>
      <c r="J51" s="73"/>
      <c r="K51" s="74">
        <v>0.05</v>
      </c>
      <c r="L51" s="73"/>
      <c r="M51" s="74">
        <v>0.05</v>
      </c>
      <c r="N51" s="369"/>
      <c r="O51" s="370">
        <v>0.05</v>
      </c>
      <c r="P51" s="369"/>
      <c r="Q51" s="370">
        <v>0.05</v>
      </c>
      <c r="R51" s="369"/>
      <c r="S51" s="370">
        <v>0.05</v>
      </c>
      <c r="T51" s="369"/>
      <c r="U51" s="370">
        <v>0.05</v>
      </c>
      <c r="V51" s="369"/>
      <c r="W51" s="370">
        <v>0.05</v>
      </c>
      <c r="X51" s="369"/>
      <c r="Y51" s="370">
        <v>0.05</v>
      </c>
      <c r="Z51" s="369"/>
      <c r="AA51" s="370">
        <v>0.05</v>
      </c>
      <c r="AB51" s="369"/>
      <c r="AC51" s="370">
        <v>0.05</v>
      </c>
      <c r="AD51" s="369"/>
      <c r="AE51" s="370">
        <v>0.05</v>
      </c>
      <c r="AF51" s="369"/>
      <c r="AG51" s="370">
        <v>0.05</v>
      </c>
      <c r="AH51" s="369"/>
      <c r="AI51" s="370">
        <v>0.05</v>
      </c>
      <c r="AJ51" s="369"/>
      <c r="AK51" s="370">
        <v>0.05</v>
      </c>
      <c r="AL51" s="369"/>
      <c r="AM51" s="370">
        <v>0.05</v>
      </c>
      <c r="AN51" s="369"/>
      <c r="AO51" s="370">
        <v>0.05</v>
      </c>
      <c r="AP51" s="369"/>
      <c r="AQ51" s="370">
        <v>0.05</v>
      </c>
      <c r="AR51" s="369"/>
      <c r="AS51" s="370">
        <v>0.05</v>
      </c>
      <c r="AT51" s="369"/>
      <c r="AU51" s="370">
        <v>0.05</v>
      </c>
      <c r="AV51" s="369"/>
      <c r="AW51" s="370">
        <v>0.05</v>
      </c>
      <c r="AX51" s="369"/>
      <c r="AY51" s="370">
        <v>0.05</v>
      </c>
      <c r="AZ51" s="369"/>
      <c r="BA51" s="370">
        <v>0.05</v>
      </c>
      <c r="BB51" s="369"/>
      <c r="BC51" s="370">
        <v>0.05</v>
      </c>
      <c r="BD51" s="369"/>
      <c r="BE51" s="370">
        <v>0.05</v>
      </c>
      <c r="BF51" s="369"/>
      <c r="BG51" s="370">
        <v>0.05</v>
      </c>
      <c r="BH51" s="369"/>
      <c r="BI51" s="370">
        <v>0.05</v>
      </c>
      <c r="BJ51" s="369"/>
      <c r="BK51" s="370">
        <v>0.05</v>
      </c>
      <c r="BL51" s="369"/>
      <c r="BM51" s="370">
        <v>0.05</v>
      </c>
      <c r="BN51" s="369"/>
      <c r="BO51" s="370">
        <v>0.05</v>
      </c>
      <c r="BP51" s="369"/>
      <c r="BQ51" s="370">
        <v>0.05</v>
      </c>
      <c r="BR51" s="369"/>
      <c r="BS51" s="370">
        <v>0.05</v>
      </c>
      <c r="BT51" s="369"/>
      <c r="BU51" s="370">
        <v>0.05</v>
      </c>
      <c r="BV51" s="369"/>
      <c r="BW51" s="370">
        <v>0.05</v>
      </c>
      <c r="BX51" s="369"/>
      <c r="BY51" s="370">
        <v>0.05</v>
      </c>
      <c r="BZ51" s="369"/>
      <c r="CA51" s="370">
        <v>0.05</v>
      </c>
      <c r="CB51" s="369"/>
      <c r="CC51" s="370">
        <v>0.05</v>
      </c>
      <c r="CD51" s="369"/>
      <c r="CE51" s="370">
        <v>0.05</v>
      </c>
      <c r="CF51" s="369"/>
      <c r="CG51" s="370">
        <v>0.05</v>
      </c>
      <c r="CH51" s="369"/>
      <c r="CI51" s="370">
        <v>0.05</v>
      </c>
      <c r="CJ51" s="369"/>
      <c r="CK51" s="370">
        <v>0.05</v>
      </c>
      <c r="CL51" s="369"/>
      <c r="CM51" s="370">
        <v>0.05</v>
      </c>
      <c r="CN51" s="369"/>
      <c r="CO51" s="370">
        <v>0.05</v>
      </c>
      <c r="CP51" s="369"/>
      <c r="CQ51" s="370">
        <v>0.05</v>
      </c>
      <c r="CR51" s="369"/>
      <c r="CS51" s="370">
        <v>0.05</v>
      </c>
      <c r="CT51" s="369"/>
      <c r="CU51" s="370">
        <v>0.05</v>
      </c>
      <c r="CV51" s="369"/>
      <c r="CW51" s="370">
        <v>0.05</v>
      </c>
      <c r="CX51" s="369"/>
      <c r="CY51" s="370">
        <v>0.05</v>
      </c>
      <c r="CZ51" s="369"/>
      <c r="DA51" s="370">
        <v>0.05</v>
      </c>
      <c r="DB51" s="369"/>
      <c r="DC51" s="370">
        <v>0.05</v>
      </c>
      <c r="DD51" s="369"/>
      <c r="DE51" s="370">
        <v>0.05</v>
      </c>
      <c r="DF51" s="369"/>
      <c r="DG51" s="370">
        <v>0.05</v>
      </c>
      <c r="DH51" s="369"/>
      <c r="DI51" s="370">
        <v>0.05</v>
      </c>
      <c r="DJ51" s="369"/>
      <c r="DK51" s="370">
        <v>0.05</v>
      </c>
    </row>
    <row r="52" spans="1:117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0.46487603305785125</v>
      </c>
      <c r="H52" s="50"/>
      <c r="I52" s="72">
        <f>$D$53/I66</f>
        <v>0.46487603305785125</v>
      </c>
      <c r="J52" s="50"/>
      <c r="K52" s="72">
        <f>$D$53/K66</f>
        <v>0.46487603305785125</v>
      </c>
      <c r="L52" s="50"/>
      <c r="M52" s="72">
        <f>$D$53/M66</f>
        <v>0.46487603305785125</v>
      </c>
      <c r="N52" s="367"/>
      <c r="O52" s="368">
        <f>$D$53/O66</f>
        <v>0.46487603305785125</v>
      </c>
      <c r="P52" s="367"/>
      <c r="Q52" s="368">
        <f>$D$53/Q66</f>
        <v>0.46487603305785125</v>
      </c>
      <c r="R52" s="367"/>
      <c r="S52" s="368">
        <f>$D$53/S66</f>
        <v>0.46487603305785125</v>
      </c>
      <c r="T52" s="367"/>
      <c r="U52" s="368">
        <f>$D$53/U66</f>
        <v>0.46487603305785125</v>
      </c>
      <c r="V52" s="367"/>
      <c r="W52" s="368">
        <f>$D$53/W66</f>
        <v>0.46487603305785125</v>
      </c>
      <c r="X52" s="367"/>
      <c r="Y52" s="368">
        <f>$D$53/Y66</f>
        <v>0.46487603305785125</v>
      </c>
      <c r="Z52" s="367"/>
      <c r="AA52" s="368">
        <f>$D$53/AA66</f>
        <v>0.46487603305785125</v>
      </c>
      <c r="AB52" s="367"/>
      <c r="AC52" s="368">
        <f>$D$53/AC66</f>
        <v>0.46487603305785125</v>
      </c>
      <c r="AD52" s="367"/>
      <c r="AE52" s="368">
        <f>$D$53/AE66</f>
        <v>0.46487603305785125</v>
      </c>
      <c r="AF52" s="367"/>
      <c r="AG52" s="368">
        <f>$D$53/AG66</f>
        <v>0.46487603305785125</v>
      </c>
      <c r="AH52" s="367"/>
      <c r="AI52" s="368">
        <f>$D$53/AI66</f>
        <v>0.46487603305785125</v>
      </c>
      <c r="AJ52" s="367"/>
      <c r="AK52" s="368">
        <f>$D$53/AK66</f>
        <v>0.46487603305785125</v>
      </c>
      <c r="AL52" s="367"/>
      <c r="AM52" s="368">
        <f>$D$53/AM66</f>
        <v>0.46487603305785125</v>
      </c>
      <c r="AN52" s="367"/>
      <c r="AO52" s="368">
        <f>$D$53/AO66</f>
        <v>0.46487603305785125</v>
      </c>
      <c r="AP52" s="367"/>
      <c r="AQ52" s="368">
        <f>$D$53/AQ66</f>
        <v>0.46487603305785125</v>
      </c>
      <c r="AR52" s="367"/>
      <c r="AS52" s="368">
        <f>$D$53/AS66</f>
        <v>0.46487603305785125</v>
      </c>
      <c r="AT52" s="367"/>
      <c r="AU52" s="368">
        <f>$D$53/AU66</f>
        <v>0.46487603305785125</v>
      </c>
      <c r="AV52" s="367"/>
      <c r="AW52" s="368">
        <f>$D$53/AW66</f>
        <v>0.46487603305785125</v>
      </c>
      <c r="AX52" s="367"/>
      <c r="AY52" s="368">
        <f>$D$53/AY66</f>
        <v>0.46487603305785125</v>
      </c>
      <c r="AZ52" s="367"/>
      <c r="BA52" s="368">
        <f>$D$53/BA66</f>
        <v>0.46487603305785125</v>
      </c>
      <c r="BB52" s="367"/>
      <c r="BC52" s="368">
        <f>$D$53/BC66</f>
        <v>0.46487603305785125</v>
      </c>
      <c r="BD52" s="367"/>
      <c r="BE52" s="368">
        <f>$D$53/BE66</f>
        <v>0.46487603305785125</v>
      </c>
      <c r="BF52" s="367"/>
      <c r="BG52" s="368">
        <f t="shared" ref="BG52" si="551">$D$53/BG66</f>
        <v>0.46487603305785125</v>
      </c>
      <c r="BH52" s="367"/>
      <c r="BI52" s="368">
        <f t="shared" ref="BI52:BK52" si="552">$D$53/BI66</f>
        <v>0.46487603305785125</v>
      </c>
      <c r="BJ52" s="367"/>
      <c r="BK52" s="368">
        <f t="shared" si="552"/>
        <v>0.46487603305785125</v>
      </c>
      <c r="BL52" s="367"/>
      <c r="BM52" s="368">
        <f t="shared" ref="BM52" si="553">$D$53/BM66</f>
        <v>0.46487603305785125</v>
      </c>
      <c r="BN52" s="367"/>
      <c r="BO52" s="368">
        <f t="shared" ref="BO52" si="554">$D$53/BO66</f>
        <v>0.46487603305785125</v>
      </c>
      <c r="BP52" s="367"/>
      <c r="BQ52" s="368">
        <f t="shared" ref="BQ52:BS52" si="555">$D$53/BQ66</f>
        <v>0.46487603305785125</v>
      </c>
      <c r="BR52" s="367"/>
      <c r="BS52" s="368">
        <f t="shared" si="555"/>
        <v>0.46487603305785125</v>
      </c>
      <c r="BT52" s="367"/>
      <c r="BU52" s="368">
        <f t="shared" ref="BU52:BW52" si="556">$D$53/BU66</f>
        <v>0.46487603305785125</v>
      </c>
      <c r="BV52" s="367"/>
      <c r="BW52" s="368">
        <f t="shared" si="556"/>
        <v>0.46487603305785125</v>
      </c>
      <c r="BX52" s="367"/>
      <c r="BY52" s="368">
        <f t="shared" ref="BY52:CA52" si="557">$D$53/BY66</f>
        <v>0.46487603305785125</v>
      </c>
      <c r="BZ52" s="367"/>
      <c r="CA52" s="368">
        <f t="shared" si="557"/>
        <v>0.45</v>
      </c>
      <c r="CB52" s="367"/>
      <c r="CC52" s="368">
        <f t="shared" ref="CC52:CE52" si="558">$D$53/CC66</f>
        <v>0.45</v>
      </c>
      <c r="CD52" s="367"/>
      <c r="CE52" s="368">
        <f t="shared" si="558"/>
        <v>0.45</v>
      </c>
      <c r="CF52" s="367"/>
      <c r="CG52" s="368">
        <f t="shared" ref="CG52:CI52" si="559">$D$53/CG66</f>
        <v>0.45</v>
      </c>
      <c r="CH52" s="367"/>
      <c r="CI52" s="368">
        <f t="shared" si="559"/>
        <v>0.45</v>
      </c>
      <c r="CJ52" s="367"/>
      <c r="CK52" s="368">
        <f t="shared" ref="CK52:CM52" si="560">$D$53/CK66</f>
        <v>0.45</v>
      </c>
      <c r="CL52" s="367"/>
      <c r="CM52" s="368">
        <f t="shared" si="560"/>
        <v>0.45</v>
      </c>
      <c r="CN52" s="367"/>
      <c r="CO52" s="368">
        <f t="shared" ref="CO52" si="561">$D$53/CO66</f>
        <v>0.45</v>
      </c>
      <c r="CP52" s="367"/>
      <c r="CQ52" s="368">
        <f t="shared" ref="CQ52" si="562">$D$53/CQ66</f>
        <v>0.45</v>
      </c>
      <c r="CR52" s="367"/>
      <c r="CS52" s="368">
        <f t="shared" ref="CS52:CU52" si="563">$D$53/CS66</f>
        <v>0.45</v>
      </c>
      <c r="CT52" s="367"/>
      <c r="CU52" s="368">
        <f t="shared" si="563"/>
        <v>0.45</v>
      </c>
      <c r="CV52" s="367"/>
      <c r="CW52" s="368">
        <f>$D$53/CW66</f>
        <v>0.46487603305785125</v>
      </c>
      <c r="CX52" s="367"/>
      <c r="CY52" s="368">
        <f>$D$53/CY66</f>
        <v>0.46487603305785125</v>
      </c>
      <c r="CZ52" s="367"/>
      <c r="DA52" s="368">
        <f>$D$53/DA66</f>
        <v>0.46487603305785125</v>
      </c>
      <c r="DB52" s="367"/>
      <c r="DC52" s="368">
        <f>$D$53/DC66</f>
        <v>0.46487603305785125</v>
      </c>
      <c r="DD52" s="367"/>
      <c r="DE52" s="368">
        <f>$D$53/DE66</f>
        <v>0.46487603305785125</v>
      </c>
      <c r="DF52" s="367"/>
      <c r="DG52" s="368">
        <f>$D$53/DG66</f>
        <v>0.46487603305785125</v>
      </c>
      <c r="DH52" s="367"/>
      <c r="DI52" s="368">
        <f>$D$53/DI66</f>
        <v>0.46487603305785125</v>
      </c>
      <c r="DJ52" s="367"/>
      <c r="DK52" s="368">
        <f>$D$53/DK66</f>
        <v>0.46487603305785125</v>
      </c>
    </row>
    <row r="53" spans="1:117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73"/>
      <c r="G53" s="74">
        <f>G52/G56</f>
        <v>9.1152163344676726E-2</v>
      </c>
      <c r="H53" s="73"/>
      <c r="I53" s="74">
        <f>I52/I56</f>
        <v>8.9399237126509865E-2</v>
      </c>
      <c r="J53" s="73"/>
      <c r="K53" s="74">
        <f>K52/K56</f>
        <v>8.9399237126509865E-2</v>
      </c>
      <c r="L53" s="73"/>
      <c r="M53" s="74">
        <f>M52/M56</f>
        <v>8.9399237126509865E-2</v>
      </c>
      <c r="N53" s="369"/>
      <c r="O53" s="370">
        <f>O52/O56</f>
        <v>8.8598191480233277E-2</v>
      </c>
      <c r="P53" s="369"/>
      <c r="Q53" s="370">
        <f>Q52/Q56</f>
        <v>8.8549209747496999E-2</v>
      </c>
      <c r="R53" s="369"/>
      <c r="S53" s="370">
        <f>S52/S56</f>
        <v>8.8549209747496999E-2</v>
      </c>
      <c r="T53" s="369"/>
      <c r="U53" s="370">
        <f>U52/U56</f>
        <v>8.8549209747496999E-2</v>
      </c>
      <c r="V53" s="369"/>
      <c r="W53" s="370">
        <f>W52/W56</f>
        <v>8.8549209747496999E-2</v>
      </c>
      <c r="X53" s="369"/>
      <c r="Y53" s="370">
        <f>Y52/Y56</f>
        <v>8.8549209747496999E-2</v>
      </c>
      <c r="Z53" s="369"/>
      <c r="AA53" s="370">
        <f>AA52/AA56</f>
        <v>8.8549209747496999E-2</v>
      </c>
      <c r="AB53" s="369"/>
      <c r="AC53" s="370">
        <f>AC52/AC56</f>
        <v>8.8549209747496999E-2</v>
      </c>
      <c r="AD53" s="369"/>
      <c r="AE53" s="370">
        <f>AE52/AE56</f>
        <v>8.8549209747496999E-2</v>
      </c>
      <c r="AF53" s="369"/>
      <c r="AG53" s="370">
        <f>AG52/AG56</f>
        <v>8.8549209747496999E-2</v>
      </c>
      <c r="AH53" s="369"/>
      <c r="AI53" s="370">
        <f>AI52/AI56</f>
        <v>8.8549209747496999E-2</v>
      </c>
      <c r="AJ53" s="369"/>
      <c r="AK53" s="370">
        <f>AK52/AK56</f>
        <v>8.8549209747496999E-2</v>
      </c>
      <c r="AL53" s="369"/>
      <c r="AM53" s="370">
        <f>AM52/AM56</f>
        <v>8.8549209747496999E-2</v>
      </c>
      <c r="AN53" s="369"/>
      <c r="AO53" s="370">
        <f>AO52/AO56</f>
        <v>8.8549209747496999E-2</v>
      </c>
      <c r="AP53" s="369"/>
      <c r="AQ53" s="370">
        <f>AQ52/AQ56</f>
        <v>8.8549209747496999E-2</v>
      </c>
      <c r="AR53" s="369"/>
      <c r="AS53" s="370">
        <f>AS52/AS56</f>
        <v>8.8549209747496999E-2</v>
      </c>
      <c r="AT53" s="369"/>
      <c r="AU53" s="370">
        <f>AU52/AU56</f>
        <v>8.8549209747496999E-2</v>
      </c>
      <c r="AV53" s="369"/>
      <c r="AW53" s="370">
        <f>AW52/AW56</f>
        <v>8.8549209747496999E-2</v>
      </c>
      <c r="AX53" s="369"/>
      <c r="AY53" s="370">
        <f>AY52/AY56</f>
        <v>8.8549209747496999E-2</v>
      </c>
      <c r="AZ53" s="369"/>
      <c r="BA53" s="370">
        <f>BA52/BA56</f>
        <v>8.8549209747496999E-2</v>
      </c>
      <c r="BB53" s="369"/>
      <c r="BC53" s="370">
        <f>BC52/BC56</f>
        <v>8.8549209747496999E-2</v>
      </c>
      <c r="BD53" s="369"/>
      <c r="BE53" s="370">
        <f>BE52/BE56</f>
        <v>8.8549209747496999E-2</v>
      </c>
      <c r="BF53" s="369"/>
      <c r="BG53" s="370">
        <f t="shared" ref="BG53" si="564">BG52/BG56</f>
        <v>8.8549209747496999E-2</v>
      </c>
      <c r="BH53" s="369"/>
      <c r="BI53" s="370">
        <f t="shared" ref="BI53" si="565">BI52/BI56</f>
        <v>8.8549209747496999E-2</v>
      </c>
      <c r="BJ53" s="369"/>
      <c r="BK53" s="370">
        <f t="shared" ref="BK53" si="566">BK52/BK56</f>
        <v>8.8547815820543094E-2</v>
      </c>
      <c r="BL53" s="369"/>
      <c r="BM53" s="370">
        <f t="shared" ref="BM53" si="567">BM52/BM56</f>
        <v>8.8547815820543094E-2</v>
      </c>
      <c r="BN53" s="369"/>
      <c r="BO53" s="370">
        <f t="shared" ref="BO53" si="568">BO52/BO56</f>
        <v>8.8547815820543094E-2</v>
      </c>
      <c r="BP53" s="369"/>
      <c r="BQ53" s="370">
        <f t="shared" ref="BQ53:BS53" si="569">BQ52/BQ56</f>
        <v>8.8547815820543094E-2</v>
      </c>
      <c r="BR53" s="369"/>
      <c r="BS53" s="370">
        <f t="shared" si="569"/>
        <v>8.8547815820543094E-2</v>
      </c>
      <c r="BT53" s="369"/>
      <c r="BU53" s="370">
        <f t="shared" ref="BU53:BW53" si="570">BU52/BU56</f>
        <v>8.8547815820543094E-2</v>
      </c>
      <c r="BV53" s="369"/>
      <c r="BW53" s="370">
        <f t="shared" si="570"/>
        <v>8.8547815820543094E-2</v>
      </c>
      <c r="BX53" s="369"/>
      <c r="BY53" s="370">
        <f t="shared" ref="BY53:CA53" si="571">BY52/BY56</f>
        <v>8.8547815820543094E-2</v>
      </c>
      <c r="BZ53" s="369"/>
      <c r="CA53" s="370">
        <f t="shared" si="571"/>
        <v>8.5755121486422101E-2</v>
      </c>
      <c r="CB53" s="369"/>
      <c r="CC53" s="370">
        <f t="shared" ref="CC53:CE53" si="572">CC52/CC56</f>
        <v>8.5755121486422101E-2</v>
      </c>
      <c r="CD53" s="369"/>
      <c r="CE53" s="370">
        <f t="shared" si="572"/>
        <v>8.5755121486422101E-2</v>
      </c>
      <c r="CF53" s="369"/>
      <c r="CG53" s="370">
        <f t="shared" ref="CG53:CI53" si="573">CG52/CG56</f>
        <v>8.5755121486422101E-2</v>
      </c>
      <c r="CH53" s="369"/>
      <c r="CI53" s="370">
        <f t="shared" si="573"/>
        <v>8.5755121486422101E-2</v>
      </c>
      <c r="CJ53" s="369"/>
      <c r="CK53" s="370">
        <f t="shared" ref="CK53:CM53" si="574">CK52/CK56</f>
        <v>8.5755121486422101E-2</v>
      </c>
      <c r="CL53" s="369"/>
      <c r="CM53" s="370">
        <f t="shared" si="574"/>
        <v>8.5755121486422101E-2</v>
      </c>
      <c r="CN53" s="369"/>
      <c r="CO53" s="370">
        <f t="shared" ref="CO53" si="575">CO52/CO56</f>
        <v>8.5755121486422101E-2</v>
      </c>
      <c r="CP53" s="369"/>
      <c r="CQ53" s="370">
        <f t="shared" ref="CQ53" si="576">CQ52/CQ56</f>
        <v>8.5755121486422101E-2</v>
      </c>
      <c r="CR53" s="369"/>
      <c r="CS53" s="370">
        <f t="shared" ref="CS53:CU53" si="577">CS52/CS56</f>
        <v>8.5755121486422101E-2</v>
      </c>
      <c r="CT53" s="369"/>
      <c r="CU53" s="370">
        <f t="shared" si="577"/>
        <v>8.5755121486422101E-2</v>
      </c>
      <c r="CV53" s="369"/>
      <c r="CW53" s="370">
        <f>CW52/CW56</f>
        <v>8.8571784713981194E-2</v>
      </c>
      <c r="CX53" s="369"/>
      <c r="CY53" s="370">
        <f>CY52/CY56</f>
        <v>8.8549209747496999E-2</v>
      </c>
      <c r="CZ53" s="369"/>
      <c r="DA53" s="370">
        <f>DA52/DA56</f>
        <v>8.8549209747496999E-2</v>
      </c>
      <c r="DB53" s="369"/>
      <c r="DC53" s="370">
        <f>DC52/DC56</f>
        <v>8.8549209747496999E-2</v>
      </c>
      <c r="DD53" s="369"/>
      <c r="DE53" s="370">
        <f>DE52/DE56</f>
        <v>8.8561916613791633E-2</v>
      </c>
      <c r="DF53" s="369"/>
      <c r="DG53" s="370">
        <f>DG52/DG56</f>
        <v>8.8549209747496999E-2</v>
      </c>
      <c r="DH53" s="369"/>
      <c r="DI53" s="370">
        <f>DI52/DI56</f>
        <v>8.4490271133035186E-2</v>
      </c>
      <c r="DJ53" s="369"/>
      <c r="DK53" s="370">
        <f>DK52/DK56</f>
        <v>8.8511591728835631E-2</v>
      </c>
    </row>
    <row r="54" spans="1:117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0.53549999999999998</v>
      </c>
      <c r="H54" s="73"/>
      <c r="I54" s="72">
        <f>(I55*(I56+I50))</f>
        <v>0.54599999999999993</v>
      </c>
      <c r="J54" s="73"/>
      <c r="K54" s="72">
        <f>(K55*(K56+K50))</f>
        <v>0.54599999999999993</v>
      </c>
      <c r="L54" s="73"/>
      <c r="M54" s="72">
        <f>(M55*(M56+M50))</f>
        <v>0.54599999999999993</v>
      </c>
      <c r="N54" s="371"/>
      <c r="O54" s="368">
        <f>(O55*(O56+O50))</f>
        <v>0.5509365671641796</v>
      </c>
      <c r="P54" s="371"/>
      <c r="Q54" s="368">
        <f>(Q55*(Q56+Q50))</f>
        <v>0.55124132231404965</v>
      </c>
      <c r="R54" s="371"/>
      <c r="S54" s="368">
        <f>(S55*(S56+S50))</f>
        <v>0.55124132231404965</v>
      </c>
      <c r="T54" s="371"/>
      <c r="U54" s="368">
        <f>(U55*(U56+U50))</f>
        <v>0.55124132231404965</v>
      </c>
      <c r="V54" s="371"/>
      <c r="W54" s="368">
        <f>(W55*(W56+W50))</f>
        <v>0.55124132231404965</v>
      </c>
      <c r="X54" s="371"/>
      <c r="Y54" s="368">
        <f>(Y55*(Y56+Y50))</f>
        <v>0.55124132231404965</v>
      </c>
      <c r="Z54" s="371"/>
      <c r="AA54" s="368">
        <f>(AA55*(AA56+AA50))</f>
        <v>0.55124132231404965</v>
      </c>
      <c r="AB54" s="371"/>
      <c r="AC54" s="368">
        <f>(AC55*(AC56+AC50))</f>
        <v>0.55124132231404965</v>
      </c>
      <c r="AD54" s="371"/>
      <c r="AE54" s="368">
        <f>(AE55*(AE56+AE50))</f>
        <v>0.55124132231404965</v>
      </c>
      <c r="AF54" s="371"/>
      <c r="AG54" s="368">
        <f>(AG55*(AG56+AG50))</f>
        <v>0.55124132231404965</v>
      </c>
      <c r="AH54" s="371"/>
      <c r="AI54" s="368">
        <f>(AI55*(AI56+AI50))</f>
        <v>0.55124132231404965</v>
      </c>
      <c r="AJ54" s="371"/>
      <c r="AK54" s="368">
        <f>(AK55*(AK56+AK50))</f>
        <v>0.55124132231404965</v>
      </c>
      <c r="AL54" s="371"/>
      <c r="AM54" s="368">
        <f>(AM55*(AM56+AM50))</f>
        <v>0.55124132231404965</v>
      </c>
      <c r="AN54" s="371"/>
      <c r="AO54" s="368">
        <f>(AO55*(AO56+AO50))</f>
        <v>0.55124132231404965</v>
      </c>
      <c r="AP54" s="371"/>
      <c r="AQ54" s="368">
        <f>(AQ55*(AQ56+AQ50))</f>
        <v>0.55124132231404965</v>
      </c>
      <c r="AR54" s="371"/>
      <c r="AS54" s="368">
        <f>(AS55*(AS56+AS50))</f>
        <v>0.55124132231404965</v>
      </c>
      <c r="AT54" s="371"/>
      <c r="AU54" s="368">
        <f>(AU55*(AU56+AU50))</f>
        <v>0.55124132231404965</v>
      </c>
      <c r="AV54" s="371"/>
      <c r="AW54" s="368">
        <f>(AW55*(AW56+AW50))</f>
        <v>0.55124132231404965</v>
      </c>
      <c r="AX54" s="371"/>
      <c r="AY54" s="368">
        <f>(AY55*(AY56+AY50))</f>
        <v>0.55124132231404965</v>
      </c>
      <c r="AZ54" s="371"/>
      <c r="BA54" s="368">
        <f>(BA55*(BA56+BA50))</f>
        <v>0.55124132231404965</v>
      </c>
      <c r="BB54" s="371"/>
      <c r="BC54" s="368">
        <f>(BC55*(BC56+BC50))</f>
        <v>0.55124132231404965</v>
      </c>
      <c r="BD54" s="371"/>
      <c r="BE54" s="368">
        <f>(BE55*(BE56+BE50))</f>
        <v>0.55124132231404965</v>
      </c>
      <c r="BF54" s="371"/>
      <c r="BG54" s="368">
        <f t="shared" ref="BG54" si="578">(BG55*(BG56+BG50))</f>
        <v>0.55124132231404965</v>
      </c>
      <c r="BH54" s="371"/>
      <c r="BI54" s="368">
        <f t="shared" ref="BI54" si="579">(BI55*(BI56+BI50))</f>
        <v>0.55124132231404965</v>
      </c>
      <c r="BJ54" s="371"/>
      <c r="BK54" s="368">
        <f t="shared" ref="BK54" si="580">(BK55*(BK56+BK50))</f>
        <v>0.55125000000000002</v>
      </c>
      <c r="BL54" s="371"/>
      <c r="BM54" s="368">
        <f t="shared" ref="BM54" si="581">(BM55*(BM56+BM50))</f>
        <v>0.55125000000000002</v>
      </c>
      <c r="BN54" s="371"/>
      <c r="BO54" s="368">
        <f t="shared" ref="BO54" si="582">(BO55*(BO56+BO50))</f>
        <v>0.55125000000000002</v>
      </c>
      <c r="BP54" s="371"/>
      <c r="BQ54" s="368">
        <f t="shared" ref="BQ54:BS54" si="583">(BQ55*(BQ56+BQ50))</f>
        <v>0.55125000000000002</v>
      </c>
      <c r="BR54" s="371"/>
      <c r="BS54" s="368">
        <f t="shared" si="583"/>
        <v>0.55125000000000002</v>
      </c>
      <c r="BT54" s="371"/>
      <c r="BU54" s="368">
        <f t="shared" ref="BU54:BW54" si="584">(BU55*(BU56+BU50))</f>
        <v>0.55125000000000002</v>
      </c>
      <c r="BV54" s="371"/>
      <c r="BW54" s="368">
        <f t="shared" si="584"/>
        <v>0.55125000000000002</v>
      </c>
      <c r="BX54" s="371"/>
      <c r="BY54" s="368">
        <f t="shared" ref="BY54:CA54" si="585">(BY55*(BY56+BY50))</f>
        <v>0.55125000000000002</v>
      </c>
      <c r="BZ54" s="371"/>
      <c r="CA54" s="368">
        <f t="shared" si="585"/>
        <v>0.55098750000000007</v>
      </c>
      <c r="CB54" s="371"/>
      <c r="CC54" s="368">
        <f t="shared" ref="CC54:CE54" si="586">(CC55*(CC56+CC50))</f>
        <v>0.55098750000000007</v>
      </c>
      <c r="CD54" s="371"/>
      <c r="CE54" s="368">
        <f t="shared" si="586"/>
        <v>0.55098750000000007</v>
      </c>
      <c r="CF54" s="371"/>
      <c r="CG54" s="368">
        <f t="shared" ref="CG54:CI54" si="587">(CG55*(CG56+CG50))</f>
        <v>0.55098750000000007</v>
      </c>
      <c r="CH54" s="371"/>
      <c r="CI54" s="368">
        <f t="shared" si="587"/>
        <v>0.55098750000000007</v>
      </c>
      <c r="CJ54" s="371"/>
      <c r="CK54" s="368">
        <f t="shared" ref="CK54:CM54" si="588">(CK55*(CK56+CK50))</f>
        <v>0.55098750000000007</v>
      </c>
      <c r="CL54" s="371"/>
      <c r="CM54" s="368">
        <f t="shared" si="588"/>
        <v>0.55098750000000007</v>
      </c>
      <c r="CN54" s="371"/>
      <c r="CO54" s="368">
        <f t="shared" ref="CO54" si="589">(CO55*(CO56+CO50))</f>
        <v>0.55098750000000007</v>
      </c>
      <c r="CP54" s="371"/>
      <c r="CQ54" s="368">
        <f t="shared" ref="CQ54" si="590">(CQ55*(CQ56+CQ50))</f>
        <v>0.55098750000000007</v>
      </c>
      <c r="CR54" s="371"/>
      <c r="CS54" s="368">
        <f t="shared" ref="CS54:CU54" si="591">(CS55*(CS56+CS50))</f>
        <v>0.55098750000000007</v>
      </c>
      <c r="CT54" s="371"/>
      <c r="CU54" s="368">
        <f t="shared" si="591"/>
        <v>0.55098750000000007</v>
      </c>
      <c r="CV54" s="371"/>
      <c r="CW54" s="368">
        <f>(CW55*(CW56+CW50))</f>
        <v>0.55110082323281151</v>
      </c>
      <c r="CX54" s="371"/>
      <c r="CY54" s="368">
        <f>(CY55*(CY56+CY50))</f>
        <v>0.55124132231404965</v>
      </c>
      <c r="CZ54" s="371"/>
      <c r="DA54" s="368">
        <f>(DA55*(DA56+DA50))</f>
        <v>0.55124132231404965</v>
      </c>
      <c r="DB54" s="371"/>
      <c r="DC54" s="368">
        <f>(DC55*(DC56+DC50))</f>
        <v>0.55124132231404965</v>
      </c>
      <c r="DD54" s="371"/>
      <c r="DE54" s="368">
        <f>(DE55*(DE56+DE50))</f>
        <v>0.55116223019357002</v>
      </c>
      <c r="DF54" s="371"/>
      <c r="DG54" s="368">
        <f>(DG55*(DG56+DG50))</f>
        <v>0.55124132231404965</v>
      </c>
      <c r="DH54" s="371"/>
      <c r="DI54" s="368">
        <f>(DI55*(DI56+DI50))</f>
        <v>0.57772312500000012</v>
      </c>
      <c r="DJ54" s="371"/>
      <c r="DK54" s="368">
        <f>(DK55*(DK56+DK50))</f>
        <v>0.55147560356404968</v>
      </c>
    </row>
    <row r="55" spans="1:117" s="4" customFormat="1" ht="18" customHeight="1" x14ac:dyDescent="0.45">
      <c r="A55" s="561"/>
      <c r="B55" s="1184"/>
      <c r="C55" s="77" t="s">
        <v>60</v>
      </c>
      <c r="D55" s="76"/>
      <c r="E55" s="16"/>
      <c r="F55" s="73"/>
      <c r="G55" s="74">
        <v>0.1</v>
      </c>
      <c r="H55" s="347"/>
      <c r="I55" s="74">
        <v>0.1</v>
      </c>
      <c r="J55" s="347"/>
      <c r="K55" s="74">
        <v>0.1</v>
      </c>
      <c r="L55" s="347"/>
      <c r="M55" s="74">
        <v>0.1</v>
      </c>
      <c r="N55" s="369"/>
      <c r="O55" s="370">
        <v>0.1</v>
      </c>
      <c r="P55" s="369"/>
      <c r="Q55" s="370">
        <v>0.1</v>
      </c>
      <c r="R55" s="369"/>
      <c r="S55" s="370">
        <v>0.1</v>
      </c>
      <c r="T55" s="369"/>
      <c r="U55" s="370">
        <v>0.1</v>
      </c>
      <c r="V55" s="369"/>
      <c r="W55" s="370">
        <v>0.1</v>
      </c>
      <c r="X55" s="369"/>
      <c r="Y55" s="370">
        <v>0.1</v>
      </c>
      <c r="Z55" s="369"/>
      <c r="AA55" s="370">
        <v>0.1</v>
      </c>
      <c r="AB55" s="369"/>
      <c r="AC55" s="370">
        <v>0.1</v>
      </c>
      <c r="AD55" s="369"/>
      <c r="AE55" s="370">
        <v>0.1</v>
      </c>
      <c r="AF55" s="369"/>
      <c r="AG55" s="370">
        <v>0.1</v>
      </c>
      <c r="AH55" s="369"/>
      <c r="AI55" s="370">
        <v>0.1</v>
      </c>
      <c r="AJ55" s="369"/>
      <c r="AK55" s="370">
        <v>0.1</v>
      </c>
      <c r="AL55" s="369"/>
      <c r="AM55" s="370">
        <v>0.1</v>
      </c>
      <c r="AN55" s="369"/>
      <c r="AO55" s="370">
        <v>0.1</v>
      </c>
      <c r="AP55" s="369"/>
      <c r="AQ55" s="370">
        <v>0.1</v>
      </c>
      <c r="AR55" s="369"/>
      <c r="AS55" s="370">
        <v>0.1</v>
      </c>
      <c r="AT55" s="369"/>
      <c r="AU55" s="370">
        <v>0.1</v>
      </c>
      <c r="AV55" s="369"/>
      <c r="AW55" s="370">
        <v>0.1</v>
      </c>
      <c r="AX55" s="369"/>
      <c r="AY55" s="370">
        <v>0.1</v>
      </c>
      <c r="AZ55" s="369"/>
      <c r="BA55" s="370">
        <v>0.1</v>
      </c>
      <c r="BB55" s="369"/>
      <c r="BC55" s="370">
        <v>0.1</v>
      </c>
      <c r="BD55" s="369"/>
      <c r="BE55" s="370">
        <v>0.1</v>
      </c>
      <c r="BF55" s="369"/>
      <c r="BG55" s="370">
        <v>0.1</v>
      </c>
      <c r="BH55" s="369"/>
      <c r="BI55" s="370">
        <v>0.1</v>
      </c>
      <c r="BJ55" s="369"/>
      <c r="BK55" s="370">
        <v>0.1</v>
      </c>
      <c r="BL55" s="369"/>
      <c r="BM55" s="370">
        <v>0.1</v>
      </c>
      <c r="BN55" s="369"/>
      <c r="BO55" s="370">
        <v>0.1</v>
      </c>
      <c r="BP55" s="369"/>
      <c r="BQ55" s="370">
        <v>0.1</v>
      </c>
      <c r="BR55" s="369"/>
      <c r="BS55" s="370">
        <v>0.1</v>
      </c>
      <c r="BT55" s="369"/>
      <c r="BU55" s="370">
        <v>0.1</v>
      </c>
      <c r="BV55" s="369"/>
      <c r="BW55" s="370">
        <v>0.1</v>
      </c>
      <c r="BX55" s="369"/>
      <c r="BY55" s="370">
        <v>0.1</v>
      </c>
      <c r="BZ55" s="369"/>
      <c r="CA55" s="370">
        <v>0.1</v>
      </c>
      <c r="CB55" s="369"/>
      <c r="CC55" s="370">
        <v>0.1</v>
      </c>
      <c r="CD55" s="369"/>
      <c r="CE55" s="370">
        <v>0.1</v>
      </c>
      <c r="CF55" s="369"/>
      <c r="CG55" s="370">
        <v>0.1</v>
      </c>
      <c r="CH55" s="369"/>
      <c r="CI55" s="370">
        <v>0.1</v>
      </c>
      <c r="CJ55" s="369"/>
      <c r="CK55" s="370">
        <v>0.1</v>
      </c>
      <c r="CL55" s="369"/>
      <c r="CM55" s="370">
        <v>0.1</v>
      </c>
      <c r="CN55" s="369"/>
      <c r="CO55" s="370">
        <v>0.1</v>
      </c>
      <c r="CP55" s="369"/>
      <c r="CQ55" s="370">
        <v>0.1</v>
      </c>
      <c r="CR55" s="369"/>
      <c r="CS55" s="370">
        <v>0.1</v>
      </c>
      <c r="CT55" s="369"/>
      <c r="CU55" s="370">
        <v>0.1</v>
      </c>
      <c r="CV55" s="369"/>
      <c r="CW55" s="370">
        <v>0.1</v>
      </c>
      <c r="CX55" s="369"/>
      <c r="CY55" s="370">
        <v>0.1</v>
      </c>
      <c r="CZ55" s="369"/>
      <c r="DA55" s="370">
        <v>0.1</v>
      </c>
      <c r="DB55" s="369"/>
      <c r="DC55" s="370">
        <v>0.1</v>
      </c>
      <c r="DD55" s="369"/>
      <c r="DE55" s="370">
        <v>0.1</v>
      </c>
      <c r="DF55" s="369"/>
      <c r="DG55" s="370">
        <v>0.1</v>
      </c>
      <c r="DH55" s="369"/>
      <c r="DI55" s="370">
        <v>0.1</v>
      </c>
      <c r="DJ55" s="369"/>
      <c r="DK55" s="370">
        <v>0.1</v>
      </c>
    </row>
    <row r="56" spans="1:117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5.0999999999999996</v>
      </c>
      <c r="H56" s="81"/>
      <c r="I56" s="82">
        <f>I60-I57+I58</f>
        <v>5.1999999999999993</v>
      </c>
      <c r="J56" s="81"/>
      <c r="K56" s="82">
        <f>K60-K57+K58</f>
        <v>5.1999999999999993</v>
      </c>
      <c r="L56" s="81"/>
      <c r="M56" s="82">
        <f>M60-M57+M58</f>
        <v>5.1999999999999993</v>
      </c>
      <c r="N56" s="550"/>
      <c r="O56" s="82">
        <f>O60-O57+O58</f>
        <v>5.2470149253731382</v>
      </c>
      <c r="P56" s="550"/>
      <c r="Q56" s="82">
        <f>Q60-Q57+Q58</f>
        <v>5.2499173553719016</v>
      </c>
      <c r="R56" s="550"/>
      <c r="S56" s="82">
        <f>S60-S57+S58</f>
        <v>5.2499173553719016</v>
      </c>
      <c r="T56" s="550"/>
      <c r="U56" s="82">
        <f>U60-U57+U58</f>
        <v>5.2499173553719016</v>
      </c>
      <c r="V56" s="550"/>
      <c r="W56" s="82">
        <f>W60-W57+W58</f>
        <v>5.2499173553719016</v>
      </c>
      <c r="X56" s="550"/>
      <c r="Y56" s="82">
        <f>Y60-Y57+Y58</f>
        <v>5.2499173553719016</v>
      </c>
      <c r="Z56" s="550"/>
      <c r="AA56" s="82">
        <f>AA60-AA57+AA58</f>
        <v>5.2499173553719016</v>
      </c>
      <c r="AB56" s="550"/>
      <c r="AC56" s="82">
        <f>AC60-AC57+AC58</f>
        <v>5.2499173553719016</v>
      </c>
      <c r="AD56" s="550"/>
      <c r="AE56" s="82">
        <f>AE60-AE57+AE58</f>
        <v>5.2499173553719016</v>
      </c>
      <c r="AF56" s="550"/>
      <c r="AG56" s="82">
        <f>AG60-AG57+AG58</f>
        <v>5.2499173553719016</v>
      </c>
      <c r="AH56" s="550"/>
      <c r="AI56" s="82">
        <f>AI60-AI57+AI58</f>
        <v>5.2499173553719016</v>
      </c>
      <c r="AJ56" s="550"/>
      <c r="AK56" s="82">
        <f>AK60-AK57+AK58</f>
        <v>5.2499173553719016</v>
      </c>
      <c r="AL56" s="550"/>
      <c r="AM56" s="82">
        <f>AM60-AM57+AM58</f>
        <v>5.2499173553719016</v>
      </c>
      <c r="AN56" s="550"/>
      <c r="AO56" s="82">
        <f>AO60-AO57+AO58</f>
        <v>5.2499173553719016</v>
      </c>
      <c r="AP56" s="550"/>
      <c r="AQ56" s="82">
        <f>AQ60-AQ57+AQ58</f>
        <v>5.2499173553719016</v>
      </c>
      <c r="AR56" s="550"/>
      <c r="AS56" s="82">
        <f>AS60-AS57+AS58</f>
        <v>5.2499173553719016</v>
      </c>
      <c r="AT56" s="550"/>
      <c r="AU56" s="82">
        <f>AU60-AU57+AU58</f>
        <v>5.2499173553719016</v>
      </c>
      <c r="AV56" s="550"/>
      <c r="AW56" s="82">
        <f>AW60-AW57+AW58</f>
        <v>5.2499173553719016</v>
      </c>
      <c r="AX56" s="550"/>
      <c r="AY56" s="82">
        <f>AY60-AY57+AY58</f>
        <v>5.2499173553719016</v>
      </c>
      <c r="AZ56" s="550"/>
      <c r="BA56" s="82">
        <f>BA60-BA57+BA58</f>
        <v>5.2499173553719016</v>
      </c>
      <c r="BB56" s="550"/>
      <c r="BC56" s="82">
        <f>BC60-BC57+BC58</f>
        <v>5.2499173553719016</v>
      </c>
      <c r="BD56" s="550"/>
      <c r="BE56" s="82">
        <f>BE60-BE57+BE58</f>
        <v>5.2499173553719016</v>
      </c>
      <c r="BF56" s="550"/>
      <c r="BG56" s="82">
        <f t="shared" ref="BG56" si="592">BG60-BG57+BG58</f>
        <v>5.2499173553719016</v>
      </c>
      <c r="BH56" s="550"/>
      <c r="BI56" s="82">
        <f t="shared" ref="BI56" si="593">BI60-BI57+BI58</f>
        <v>5.2499173553719016</v>
      </c>
      <c r="BJ56" s="550"/>
      <c r="BK56" s="82">
        <f t="shared" ref="BK56" si="594">BK60-BK57+BK58</f>
        <v>5.25</v>
      </c>
      <c r="BL56" s="550"/>
      <c r="BM56" s="82">
        <f t="shared" ref="BM56" si="595">BM60-BM57+BM58</f>
        <v>5.25</v>
      </c>
      <c r="BN56" s="550"/>
      <c r="BO56" s="82">
        <f t="shared" ref="BO56" si="596">BO60-BO57+BO58</f>
        <v>5.25</v>
      </c>
      <c r="BP56" s="550"/>
      <c r="BQ56" s="82">
        <f t="shared" ref="BQ56:BS56" si="597">BQ60-BQ57+BQ58</f>
        <v>5.25</v>
      </c>
      <c r="BR56" s="550"/>
      <c r="BS56" s="82">
        <f t="shared" si="597"/>
        <v>5.25</v>
      </c>
      <c r="BT56" s="550"/>
      <c r="BU56" s="82">
        <f t="shared" ref="BU56:BW56" si="598">BU60-BU57+BU58</f>
        <v>5.25</v>
      </c>
      <c r="BV56" s="550"/>
      <c r="BW56" s="82">
        <f t="shared" si="598"/>
        <v>5.25</v>
      </c>
      <c r="BX56" s="550"/>
      <c r="BY56" s="82">
        <f t="shared" ref="BY56:CA56" si="599">BY60-BY57+BY58</f>
        <v>5.25</v>
      </c>
      <c r="BZ56" s="550"/>
      <c r="CA56" s="82">
        <f t="shared" si="599"/>
        <v>5.2475000000000005</v>
      </c>
      <c r="CB56" s="550"/>
      <c r="CC56" s="82">
        <f t="shared" ref="CC56:CE56" si="600">CC60-CC57+CC58</f>
        <v>5.2475000000000005</v>
      </c>
      <c r="CD56" s="550"/>
      <c r="CE56" s="82">
        <f t="shared" si="600"/>
        <v>5.2475000000000005</v>
      </c>
      <c r="CF56" s="550"/>
      <c r="CG56" s="82">
        <f t="shared" ref="CG56:CI56" si="601">CG60-CG57+CG58</f>
        <v>5.2475000000000005</v>
      </c>
      <c r="CH56" s="550"/>
      <c r="CI56" s="82">
        <f t="shared" si="601"/>
        <v>5.2475000000000005</v>
      </c>
      <c r="CJ56" s="550"/>
      <c r="CK56" s="82">
        <f t="shared" ref="CK56:CM56" si="602">CK60-CK57+CK58</f>
        <v>5.2475000000000005</v>
      </c>
      <c r="CL56" s="550"/>
      <c r="CM56" s="82">
        <f t="shared" si="602"/>
        <v>5.2475000000000005</v>
      </c>
      <c r="CN56" s="550"/>
      <c r="CO56" s="82">
        <f t="shared" ref="CO56" si="603">CO60-CO57+CO58</f>
        <v>5.2475000000000005</v>
      </c>
      <c r="CP56" s="550"/>
      <c r="CQ56" s="82">
        <f t="shared" ref="CQ56" si="604">CQ60-CQ57+CQ58</f>
        <v>5.2475000000000005</v>
      </c>
      <c r="CR56" s="550"/>
      <c r="CS56" s="82">
        <f t="shared" ref="CS56:CU56" si="605">CS60-CS57+CS58</f>
        <v>5.2475000000000005</v>
      </c>
      <c r="CT56" s="550"/>
      <c r="CU56" s="82">
        <f t="shared" si="605"/>
        <v>5.2475000000000005</v>
      </c>
      <c r="CV56" s="550"/>
      <c r="CW56" s="82">
        <f>CW60-CW57+CW58</f>
        <v>5.2485792688839181</v>
      </c>
      <c r="CX56" s="550"/>
      <c r="CY56" s="82">
        <f>CY60-CY57+CY58</f>
        <v>5.2499173553719016</v>
      </c>
      <c r="CZ56" s="550"/>
      <c r="DA56" s="82">
        <f>DA60-DA57+DA58</f>
        <v>5.2499173553719016</v>
      </c>
      <c r="DB56" s="550"/>
      <c r="DC56" s="82">
        <f>DC60-DC57+DC58</f>
        <v>5.2499173553719016</v>
      </c>
      <c r="DD56" s="550"/>
      <c r="DE56" s="82">
        <f>DE60-DE57+DE58</f>
        <v>5.2491640970816196</v>
      </c>
      <c r="DF56" s="550"/>
      <c r="DG56" s="82">
        <f>DG60-DG57+DG58</f>
        <v>5.2499173553719016</v>
      </c>
      <c r="DH56" s="550"/>
      <c r="DI56" s="82">
        <f>DI60-DI57+DI58</f>
        <v>5.5021250000000004</v>
      </c>
      <c r="DJ56" s="550"/>
      <c r="DK56" s="82">
        <f>DK60-DK57+DK58</f>
        <v>5.252148605371902</v>
      </c>
    </row>
    <row r="57" spans="1:117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0.5</v>
      </c>
      <c r="H57" s="85"/>
      <c r="I57" s="86">
        <v>0.4</v>
      </c>
      <c r="J57" s="85"/>
      <c r="K57" s="86">
        <v>0.4</v>
      </c>
      <c r="L57" s="85"/>
      <c r="M57" s="86">
        <v>0.4</v>
      </c>
      <c r="N57" s="551"/>
      <c r="O57" s="86">
        <v>0.77611940298507454</v>
      </c>
      <c r="P57" s="551"/>
      <c r="Q57" s="86">
        <f>0.5+0.35-0.05</f>
        <v>0.79999999999999993</v>
      </c>
      <c r="R57" s="551"/>
      <c r="S57" s="86">
        <f>0.5+0.35-0.05</f>
        <v>0.79999999999999993</v>
      </c>
      <c r="T57" s="551"/>
      <c r="U57" s="86">
        <f>0.5+0.35-0.05</f>
        <v>0.79999999999999993</v>
      </c>
      <c r="V57" s="551"/>
      <c r="W57" s="86">
        <f>0.5+0.35-0.05</f>
        <v>0.79999999999999993</v>
      </c>
      <c r="X57" s="551"/>
      <c r="Y57" s="86">
        <f>0.5+0.35-0.05</f>
        <v>0.79999999999999993</v>
      </c>
      <c r="Z57" s="551"/>
      <c r="AA57" s="86">
        <f>0.5+0.35-0.05</f>
        <v>0.79999999999999993</v>
      </c>
      <c r="AB57" s="551"/>
      <c r="AC57" s="86">
        <f>0.5+0.35-0.05</f>
        <v>0.79999999999999993</v>
      </c>
      <c r="AD57" s="551"/>
      <c r="AE57" s="86">
        <f>0.5+0.35-0.05</f>
        <v>0.79999999999999993</v>
      </c>
      <c r="AF57" s="551"/>
      <c r="AG57" s="86">
        <f>0.5+0.35-0.05</f>
        <v>0.79999999999999993</v>
      </c>
      <c r="AH57" s="551"/>
      <c r="AI57" s="86">
        <f>0.5+0.35-0.05</f>
        <v>0.79999999999999993</v>
      </c>
      <c r="AJ57" s="551"/>
      <c r="AK57" s="86">
        <f>0.5+0.35-0.05</f>
        <v>0.79999999999999993</v>
      </c>
      <c r="AL57" s="551"/>
      <c r="AM57" s="86">
        <f>0.5+0.35-0.05</f>
        <v>0.79999999999999993</v>
      </c>
      <c r="AN57" s="551"/>
      <c r="AO57" s="86">
        <f>0.5+0.35-0.05</f>
        <v>0.79999999999999993</v>
      </c>
      <c r="AP57" s="551"/>
      <c r="AQ57" s="86">
        <f>0.5+0.35-0.05</f>
        <v>0.79999999999999993</v>
      </c>
      <c r="AR57" s="551"/>
      <c r="AS57" s="86">
        <f>0.5+0.35-0.05</f>
        <v>0.79999999999999993</v>
      </c>
      <c r="AT57" s="551"/>
      <c r="AU57" s="86">
        <f>0.5+0.35-0.05</f>
        <v>0.79999999999999993</v>
      </c>
      <c r="AV57" s="551"/>
      <c r="AW57" s="86">
        <f>0.5+0.35-0.05</f>
        <v>0.79999999999999993</v>
      </c>
      <c r="AX57" s="551"/>
      <c r="AY57" s="86">
        <f>0.5+0.35-0.05</f>
        <v>0.79999999999999993</v>
      </c>
      <c r="AZ57" s="551"/>
      <c r="BA57" s="86">
        <f>0.5+0.35-0.05</f>
        <v>0.79999999999999993</v>
      </c>
      <c r="BB57" s="551"/>
      <c r="BC57" s="86">
        <f>0.5+0.35-0.05</f>
        <v>0.79999999999999993</v>
      </c>
      <c r="BD57" s="551"/>
      <c r="BE57" s="86">
        <f>0.5+0.35-0.05</f>
        <v>0.79999999999999993</v>
      </c>
      <c r="BF57" s="551"/>
      <c r="BG57" s="86">
        <f t="shared" ref="BG57" si="606">0.5+0.35-0.05</f>
        <v>0.79999999999999993</v>
      </c>
      <c r="BH57" s="551"/>
      <c r="BI57" s="86">
        <f t="shared" ref="BI57:CU57" si="607">0.5+0.35-0.05</f>
        <v>0.79999999999999993</v>
      </c>
      <c r="BJ57" s="551"/>
      <c r="BK57" s="86">
        <f t="shared" si="607"/>
        <v>0.79999999999999993</v>
      </c>
      <c r="BL57" s="551"/>
      <c r="BM57" s="86">
        <f t="shared" si="607"/>
        <v>0.79999999999999993</v>
      </c>
      <c r="BN57" s="551"/>
      <c r="BO57" s="86">
        <f t="shared" si="607"/>
        <v>0.79999999999999993</v>
      </c>
      <c r="BP57" s="551"/>
      <c r="BQ57" s="86">
        <f t="shared" si="607"/>
        <v>0.79999999999999993</v>
      </c>
      <c r="BR57" s="551"/>
      <c r="BS57" s="86">
        <f t="shared" si="607"/>
        <v>0.79999999999999993</v>
      </c>
      <c r="BT57" s="551"/>
      <c r="BU57" s="86">
        <f t="shared" si="607"/>
        <v>0.79999999999999993</v>
      </c>
      <c r="BV57" s="551"/>
      <c r="BW57" s="86">
        <f t="shared" si="607"/>
        <v>0.79999999999999993</v>
      </c>
      <c r="BX57" s="551"/>
      <c r="BY57" s="86">
        <f t="shared" si="607"/>
        <v>0.79999999999999993</v>
      </c>
      <c r="BZ57" s="551"/>
      <c r="CA57" s="86">
        <f t="shared" si="607"/>
        <v>0.79999999999999993</v>
      </c>
      <c r="CB57" s="551"/>
      <c r="CC57" s="86">
        <f t="shared" si="607"/>
        <v>0.79999999999999993</v>
      </c>
      <c r="CD57" s="551"/>
      <c r="CE57" s="86">
        <f t="shared" si="607"/>
        <v>0.79999999999999993</v>
      </c>
      <c r="CF57" s="551"/>
      <c r="CG57" s="86">
        <f t="shared" si="607"/>
        <v>0.79999999999999993</v>
      </c>
      <c r="CH57" s="551"/>
      <c r="CI57" s="86">
        <f t="shared" si="607"/>
        <v>0.79999999999999993</v>
      </c>
      <c r="CJ57" s="551"/>
      <c r="CK57" s="86">
        <f t="shared" si="607"/>
        <v>0.79999999999999993</v>
      </c>
      <c r="CL57" s="551"/>
      <c r="CM57" s="86">
        <f t="shared" si="607"/>
        <v>0.79999999999999993</v>
      </c>
      <c r="CN57" s="551"/>
      <c r="CO57" s="86">
        <f t="shared" si="607"/>
        <v>0.79999999999999993</v>
      </c>
      <c r="CP57" s="551"/>
      <c r="CQ57" s="86">
        <f t="shared" si="607"/>
        <v>0.79999999999999993</v>
      </c>
      <c r="CR57" s="551"/>
      <c r="CS57" s="86">
        <f t="shared" si="607"/>
        <v>0.79999999999999993</v>
      </c>
      <c r="CT57" s="551"/>
      <c r="CU57" s="86">
        <f t="shared" si="607"/>
        <v>0.79999999999999993</v>
      </c>
      <c r="CV57" s="551"/>
      <c r="CW57" s="1101">
        <f>(SUMPRODUCT(O57,O$131)+SUMPRODUCT(U57,U$131)+SUMPRODUCT(W57,W$131))/SUM(O$131,U$131,W$131)</f>
        <v>0.78899049961436873</v>
      </c>
      <c r="CX57" s="551"/>
      <c r="CY57" s="1101">
        <f>(SUMPRODUCT(AC57,AC$131)+SUMPRODUCT(AA57,AA$131)+SUMPRODUCT(Y57,Y$131))/SUM(AC$131,AA$131,Y$131)</f>
        <v>0.79999999999999993</v>
      </c>
      <c r="CZ57" s="551"/>
      <c r="DA57" s="1101">
        <f>(SUMPRODUCT(AI57,AI$131)+SUMPRODUCT(AG57,AG$131)+SUMPRODUCT(AE57,AE$131))/SUM(AI$131,AG$131,AE$131)</f>
        <v>0.8</v>
      </c>
      <c r="DB57" s="551"/>
      <c r="DC57" s="1101">
        <v>0.8</v>
      </c>
      <c r="DD57" s="551"/>
      <c r="DE57" s="1101">
        <f>(SUMPRODUCT(O57,O$131)+SUMPRODUCT(U57,U$131)+SUMPRODUCT(W57,W$131)+SUMPRODUCT(Y57,Y$131)+SUMPRODUCT(AA57,AA$131)+SUMPRODUCT(AC57,AC$131))/SUM(O$131,U$131,W$131,Y$131,AA$131,AC$131)</f>
        <v>0.79380234572890851</v>
      </c>
      <c r="DF57" s="551"/>
      <c r="DG57" s="1101">
        <v>0.8</v>
      </c>
      <c r="DH57" s="551"/>
      <c r="DI57" s="1101">
        <f>0.55+0.5</f>
        <v>1.05</v>
      </c>
      <c r="DJ57" s="551"/>
      <c r="DK57" s="1101">
        <v>0.8</v>
      </c>
    </row>
    <row r="58" spans="1:117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>
        <v>0</v>
      </c>
      <c r="BX58" s="85"/>
      <c r="BY58" s="86">
        <v>0</v>
      </c>
      <c r="BZ58" s="85"/>
      <c r="CA58" s="86">
        <v>0</v>
      </c>
      <c r="CB58" s="85"/>
      <c r="CC58" s="86">
        <v>0</v>
      </c>
      <c r="CD58" s="85"/>
      <c r="CE58" s="86">
        <v>0</v>
      </c>
      <c r="CF58" s="85"/>
      <c r="CG58" s="86">
        <v>0</v>
      </c>
      <c r="CH58" s="85"/>
      <c r="CI58" s="86">
        <v>0</v>
      </c>
      <c r="CJ58" s="85"/>
      <c r="CK58" s="86">
        <v>0</v>
      </c>
      <c r="CL58" s="85"/>
      <c r="CM58" s="86">
        <v>0</v>
      </c>
      <c r="CN58" s="85"/>
      <c r="CO58" s="86">
        <v>0</v>
      </c>
      <c r="CP58" s="85"/>
      <c r="CQ58" s="86">
        <v>0</v>
      </c>
      <c r="CR58" s="85"/>
      <c r="CS58" s="86">
        <v>0</v>
      </c>
      <c r="CT58" s="85"/>
      <c r="CU58" s="86">
        <v>0</v>
      </c>
      <c r="CV58" s="85"/>
      <c r="CW58" s="86">
        <v>0</v>
      </c>
      <c r="CX58" s="85"/>
      <c r="CY58" s="86">
        <v>0</v>
      </c>
      <c r="CZ58" s="85"/>
      <c r="DA58" s="86">
        <v>0</v>
      </c>
      <c r="DB58" s="85"/>
      <c r="DC58" s="86">
        <v>0</v>
      </c>
      <c r="DD58" s="85"/>
      <c r="DE58" s="86">
        <v>0</v>
      </c>
      <c r="DF58" s="85"/>
      <c r="DG58" s="86">
        <v>0</v>
      </c>
      <c r="DH58" s="85"/>
      <c r="DI58" s="86">
        <v>0</v>
      </c>
      <c r="DJ58" s="85"/>
      <c r="DK58" s="86">
        <v>0</v>
      </c>
    </row>
    <row r="59" spans="1:117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5.6030799999999994</v>
      </c>
      <c r="H59" s="85"/>
      <c r="I59" s="86">
        <f>+I62+I65+I67</f>
        <v>5.6030800000000003</v>
      </c>
      <c r="J59" s="85"/>
      <c r="K59" s="86">
        <f>+K62+K65+K67</f>
        <v>5.6030800000000003</v>
      </c>
      <c r="L59" s="85"/>
      <c r="M59" s="86">
        <f>+M62+M65+M67</f>
        <v>5.6030800000000003</v>
      </c>
      <c r="N59" s="85"/>
      <c r="O59" s="86">
        <f>+O62+O65+O67</f>
        <v>6.0231343283582124</v>
      </c>
      <c r="P59" s="85"/>
      <c r="Q59" s="86">
        <f>+Q62+Q65+Q67</f>
        <v>6.0499173553719015</v>
      </c>
      <c r="R59" s="85"/>
      <c r="S59" s="86">
        <f>+S62+S65+S67</f>
        <v>6.0499173553719015</v>
      </c>
      <c r="T59" s="85"/>
      <c r="U59" s="86">
        <f>+U62+U65+U67</f>
        <v>6.0499173553719015</v>
      </c>
      <c r="V59" s="85"/>
      <c r="W59" s="86">
        <f>+W62+W65+W67</f>
        <v>6.0499173553719015</v>
      </c>
      <c r="X59" s="85"/>
      <c r="Y59" s="86">
        <f>+Y62+Y65+Y67</f>
        <v>6.0499173553719015</v>
      </c>
      <c r="Z59" s="85"/>
      <c r="AA59" s="86">
        <f>+AA62+AA65+AA67</f>
        <v>6.0499173553719015</v>
      </c>
      <c r="AB59" s="85"/>
      <c r="AC59" s="86">
        <f>+AC62+AC65+AC67</f>
        <v>6.0499173553719015</v>
      </c>
      <c r="AD59" s="85"/>
      <c r="AE59" s="86">
        <f>+AE62+AE65+AE67</f>
        <v>6.0499173553719015</v>
      </c>
      <c r="AF59" s="85"/>
      <c r="AG59" s="86">
        <f>+AG62+AG65+AG67</f>
        <v>6.0499173553719015</v>
      </c>
      <c r="AH59" s="85"/>
      <c r="AI59" s="86">
        <f>+AI62+AI65+AI67</f>
        <v>6.0499173553719015</v>
      </c>
      <c r="AJ59" s="85"/>
      <c r="AK59" s="86">
        <f>+AK62+AK65+AK67</f>
        <v>6.0499173553719015</v>
      </c>
      <c r="AL59" s="85"/>
      <c r="AM59" s="86">
        <f>+AM62+AM65+AM67</f>
        <v>6.0499173553719015</v>
      </c>
      <c r="AN59" s="85"/>
      <c r="AO59" s="86">
        <f>+AO62+AO65+AO67</f>
        <v>6.0499173553719015</v>
      </c>
      <c r="AP59" s="85"/>
      <c r="AQ59" s="86">
        <f>+AQ62+AQ65+AQ67</f>
        <v>6.0499173553719015</v>
      </c>
      <c r="AR59" s="85"/>
      <c r="AS59" s="86">
        <f>+AS62+AS65+AS67</f>
        <v>6.0499173553719015</v>
      </c>
      <c r="AT59" s="85"/>
      <c r="AU59" s="86">
        <f>+AU62+AU65+AU67</f>
        <v>6.0499173553719015</v>
      </c>
      <c r="AV59" s="85"/>
      <c r="AW59" s="86">
        <f>+AW62+AW65+AW67</f>
        <v>6.0499173553719015</v>
      </c>
      <c r="AX59" s="85"/>
      <c r="AY59" s="86">
        <f>+AY62+AY65+AY67</f>
        <v>6.0499173553719015</v>
      </c>
      <c r="AZ59" s="85"/>
      <c r="BA59" s="86">
        <f>+BA62+BA65+BA67</f>
        <v>6.0499173553719015</v>
      </c>
      <c r="BB59" s="85"/>
      <c r="BC59" s="86">
        <f>+BC62+BC65+BC67</f>
        <v>6.0499173553719015</v>
      </c>
      <c r="BD59" s="85"/>
      <c r="BE59" s="86">
        <f>+BE62+BE65+BE67</f>
        <v>6.0499173553719015</v>
      </c>
      <c r="BF59" s="85"/>
      <c r="BG59" s="86">
        <f t="shared" ref="BG59" si="608">+BG62+BG65+BG67</f>
        <v>6.0499173553719015</v>
      </c>
      <c r="BH59" s="85"/>
      <c r="BI59" s="86">
        <f t="shared" ref="BI59:BK59" si="609">+BI62+BI65+BI67</f>
        <v>6.0499173553719015</v>
      </c>
      <c r="BJ59" s="85"/>
      <c r="BK59" s="86">
        <f t="shared" si="609"/>
        <v>6.0436983471074388</v>
      </c>
      <c r="BL59" s="85"/>
      <c r="BM59" s="86">
        <f t="shared" ref="BM59" si="610">+BM62+BM65+BM67</f>
        <v>6.0436983471074388</v>
      </c>
      <c r="BN59" s="85"/>
      <c r="BO59" s="86">
        <f t="shared" ref="BO59" si="611">+BO62+BO65+BO67</f>
        <v>6.0436983471074388</v>
      </c>
      <c r="BP59" s="85"/>
      <c r="BQ59" s="86">
        <f t="shared" ref="BQ59:BS59" si="612">+BQ62+BQ65+BQ67</f>
        <v>6.0436983471074388</v>
      </c>
      <c r="BR59" s="85"/>
      <c r="BS59" s="86">
        <f t="shared" si="612"/>
        <v>6.0436983471074388</v>
      </c>
      <c r="BT59" s="85"/>
      <c r="BU59" s="86">
        <f t="shared" ref="BU59:BW59" si="613">+BU62+BU65+BU67</f>
        <v>6.0436983471074388</v>
      </c>
      <c r="BV59" s="85"/>
      <c r="BW59" s="86">
        <f t="shared" si="613"/>
        <v>6.0436983471074388</v>
      </c>
      <c r="BX59" s="85"/>
      <c r="BY59" s="86">
        <f t="shared" ref="BY59:CA59" si="614">+BY62+BY65+BY67</f>
        <v>6.0436983471074388</v>
      </c>
      <c r="BZ59" s="85"/>
      <c r="CA59" s="86">
        <f t="shared" si="614"/>
        <v>6.0375000000000005</v>
      </c>
      <c r="CB59" s="85"/>
      <c r="CC59" s="86">
        <f t="shared" ref="CC59:CE59" si="615">+CC62+CC65+CC67</f>
        <v>6.0375000000000005</v>
      </c>
      <c r="CD59" s="85"/>
      <c r="CE59" s="86">
        <f t="shared" si="615"/>
        <v>6.0375000000000005</v>
      </c>
      <c r="CF59" s="85"/>
      <c r="CG59" s="86">
        <f t="shared" ref="CG59:CI59" si="616">+CG62+CG65+CG67</f>
        <v>6.0375000000000005</v>
      </c>
      <c r="CH59" s="85"/>
      <c r="CI59" s="86">
        <f t="shared" si="616"/>
        <v>6.0375000000000005</v>
      </c>
      <c r="CJ59" s="85"/>
      <c r="CK59" s="86">
        <f t="shared" ref="CK59:CM59" si="617">+CK62+CK65+CK67</f>
        <v>6.0375000000000005</v>
      </c>
      <c r="CL59" s="85"/>
      <c r="CM59" s="86">
        <f t="shared" si="617"/>
        <v>6.0375000000000005</v>
      </c>
      <c r="CN59" s="85"/>
      <c r="CO59" s="86">
        <f t="shared" ref="CO59" si="618">+CO62+CO65+CO67</f>
        <v>6.0375000000000005</v>
      </c>
      <c r="CP59" s="85"/>
      <c r="CQ59" s="86">
        <f t="shared" ref="CQ59" si="619">+CQ62+CQ65+CQ67</f>
        <v>6.0375000000000005</v>
      </c>
      <c r="CR59" s="85"/>
      <c r="CS59" s="86">
        <f t="shared" ref="CS59:CU59" si="620">+CS62+CS65+CS67</f>
        <v>6.0375000000000005</v>
      </c>
      <c r="CT59" s="85"/>
      <c r="CU59" s="86">
        <f t="shared" si="620"/>
        <v>6.0375000000000005</v>
      </c>
      <c r="CV59" s="85"/>
      <c r="CW59" s="86">
        <f>+CW62+CW65+CW67</f>
        <v>6.0375697684982867</v>
      </c>
      <c r="CX59" s="85"/>
      <c r="CY59" s="86">
        <f>+CY62+CY65+CY67</f>
        <v>6.0499173553719015</v>
      </c>
      <c r="CZ59" s="85"/>
      <c r="DA59" s="86">
        <f>+DA62+DA65+DA67</f>
        <v>6.0499173553719015</v>
      </c>
      <c r="DB59" s="85"/>
      <c r="DC59" s="86">
        <f>+DC62+DC65+DC67</f>
        <v>6.0499173553719015</v>
      </c>
      <c r="DD59" s="85"/>
      <c r="DE59" s="86">
        <f>+DE62+DE65+DE67</f>
        <v>6.0429664428105285</v>
      </c>
      <c r="DF59" s="85"/>
      <c r="DG59" s="86">
        <f>+DG62+DG65+DG67</f>
        <v>6.0499173553719015</v>
      </c>
      <c r="DH59" s="85"/>
      <c r="DI59" s="86">
        <f>+DI62+DI65+DI67</f>
        <v>6.55</v>
      </c>
      <c r="DJ59" s="85"/>
      <c r="DK59" s="86">
        <f>+DK62+DK65+DK67</f>
        <v>6.0499173553719015</v>
      </c>
    </row>
    <row r="60" spans="1:117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v>5.6</v>
      </c>
      <c r="H60" s="81"/>
      <c r="I60" s="82">
        <v>5.6</v>
      </c>
      <c r="J60" s="81"/>
      <c r="K60" s="82">
        <v>5.6</v>
      </c>
      <c r="L60" s="81"/>
      <c r="M60" s="82">
        <v>5.6</v>
      </c>
      <c r="N60" s="550"/>
      <c r="O60" s="82">
        <f>O65+O67</f>
        <v>6.0231343283582124</v>
      </c>
      <c r="P60" s="550"/>
      <c r="Q60" s="82">
        <f>Q65+Q67</f>
        <v>6.0499173553719015</v>
      </c>
      <c r="R60" s="550"/>
      <c r="S60" s="82">
        <f>S65+S67</f>
        <v>6.0499173553719015</v>
      </c>
      <c r="T60" s="550"/>
      <c r="U60" s="82">
        <f>U65+U67</f>
        <v>6.0499173553719015</v>
      </c>
      <c r="V60" s="550"/>
      <c r="W60" s="82">
        <f>W65+W67</f>
        <v>6.0499173553719015</v>
      </c>
      <c r="X60" s="550"/>
      <c r="Y60" s="82">
        <f>Y65+Y67</f>
        <v>6.0499173553719015</v>
      </c>
      <c r="Z60" s="550"/>
      <c r="AA60" s="82">
        <f>AA65+AA67</f>
        <v>6.0499173553719015</v>
      </c>
      <c r="AB60" s="550"/>
      <c r="AC60" s="82">
        <f>AC65+AC67</f>
        <v>6.0499173553719015</v>
      </c>
      <c r="AD60" s="550"/>
      <c r="AE60" s="82">
        <f>AE65+AE67</f>
        <v>6.0499173553719015</v>
      </c>
      <c r="AF60" s="550"/>
      <c r="AG60" s="82">
        <f>AG65+AG67</f>
        <v>6.0499173553719015</v>
      </c>
      <c r="AH60" s="550"/>
      <c r="AI60" s="82">
        <f>AI65+AI67</f>
        <v>6.0499173553719015</v>
      </c>
      <c r="AJ60" s="550"/>
      <c r="AK60" s="82">
        <f>AK65+AK67</f>
        <v>6.0499173553719015</v>
      </c>
      <c r="AL60" s="550"/>
      <c r="AM60" s="82">
        <f>AM65+AM67</f>
        <v>6.0499173553719015</v>
      </c>
      <c r="AN60" s="550"/>
      <c r="AO60" s="82">
        <f>AO65+AO67</f>
        <v>6.0499173553719015</v>
      </c>
      <c r="AP60" s="550"/>
      <c r="AQ60" s="82">
        <f>AQ65+AQ67</f>
        <v>6.0499173553719015</v>
      </c>
      <c r="AR60" s="550"/>
      <c r="AS60" s="82">
        <f>AS65+AS67</f>
        <v>6.0499173553719015</v>
      </c>
      <c r="AT60" s="550"/>
      <c r="AU60" s="82">
        <f>AU65+AU67</f>
        <v>6.0499173553719015</v>
      </c>
      <c r="AV60" s="550"/>
      <c r="AW60" s="82">
        <f>AW65+AW67</f>
        <v>6.0499173553719015</v>
      </c>
      <c r="AX60" s="550"/>
      <c r="AY60" s="82">
        <f>AY65+AY67</f>
        <v>6.0499173553719015</v>
      </c>
      <c r="AZ60" s="550"/>
      <c r="BA60" s="82">
        <f>BA65+BA67</f>
        <v>6.0499173553719015</v>
      </c>
      <c r="BB60" s="550"/>
      <c r="BC60" s="82">
        <f>BC65+BC67</f>
        <v>6.0499173553719015</v>
      </c>
      <c r="BD60" s="550"/>
      <c r="BE60" s="82">
        <f>BE65+BE67</f>
        <v>6.0499173553719015</v>
      </c>
      <c r="BF60" s="550"/>
      <c r="BG60" s="82">
        <f t="shared" ref="BG60" si="621">BG65+BG67</f>
        <v>6.0499173553719015</v>
      </c>
      <c r="BH60" s="550"/>
      <c r="BI60" s="82">
        <f t="shared" ref="BI60" si="622">BI65+BI67</f>
        <v>6.0499173553719015</v>
      </c>
      <c r="BJ60" s="550"/>
      <c r="BK60" s="82">
        <f>BK65+BK67+BK63</f>
        <v>6.05</v>
      </c>
      <c r="BL60" s="550"/>
      <c r="BM60" s="82">
        <f>BM65+BM67+BM63</f>
        <v>6.05</v>
      </c>
      <c r="BN60" s="550"/>
      <c r="BO60" s="82">
        <f>BO65+BO67+BO63</f>
        <v>6.05</v>
      </c>
      <c r="BP60" s="550"/>
      <c r="BQ60" s="82">
        <f>BQ65+BQ67+BQ63</f>
        <v>6.05</v>
      </c>
      <c r="BR60" s="550"/>
      <c r="BS60" s="82">
        <f>BS65+BS67+BS63</f>
        <v>6.05</v>
      </c>
      <c r="BT60" s="550"/>
      <c r="BU60" s="82">
        <f>BU65+BU67+BU63</f>
        <v>6.05</v>
      </c>
      <c r="BV60" s="550"/>
      <c r="BW60" s="82">
        <f>BW65+BW67+BW63</f>
        <v>6.05</v>
      </c>
      <c r="BX60" s="550"/>
      <c r="BY60" s="82">
        <f>BY65+BY67+BY63</f>
        <v>6.05</v>
      </c>
      <c r="BZ60" s="550"/>
      <c r="CA60" s="82">
        <f>CA65+CA67+CA63</f>
        <v>6.0475000000000003</v>
      </c>
      <c r="CB60" s="550"/>
      <c r="CC60" s="82">
        <f>CC65+CC67+CC63</f>
        <v>6.0475000000000003</v>
      </c>
      <c r="CD60" s="550"/>
      <c r="CE60" s="82">
        <f>CE65+CE67+CE63</f>
        <v>6.0475000000000003</v>
      </c>
      <c r="CF60" s="550"/>
      <c r="CG60" s="82">
        <f>CG65+CG67+CG63</f>
        <v>6.0475000000000003</v>
      </c>
      <c r="CH60" s="550"/>
      <c r="CI60" s="82">
        <f>CI65+CI67+CI63</f>
        <v>6.0475000000000003</v>
      </c>
      <c r="CJ60" s="550"/>
      <c r="CK60" s="82">
        <f>CK65+CK67+CK63</f>
        <v>6.0475000000000003</v>
      </c>
      <c r="CL60" s="550"/>
      <c r="CM60" s="82">
        <f>CM65+CM67+CM63</f>
        <v>6.0475000000000003</v>
      </c>
      <c r="CN60" s="550"/>
      <c r="CO60" s="82">
        <f>CO65+CO67+CO63</f>
        <v>6.0475000000000003</v>
      </c>
      <c r="CP60" s="550"/>
      <c r="CQ60" s="82">
        <f>CQ65+CQ67+CQ63</f>
        <v>6.0475000000000003</v>
      </c>
      <c r="CR60" s="550"/>
      <c r="CS60" s="82">
        <f>CS65+CS67+CS63</f>
        <v>6.0475000000000003</v>
      </c>
      <c r="CT60" s="550"/>
      <c r="CU60" s="82">
        <f>CU65+CU67+CU63</f>
        <v>6.0475000000000003</v>
      </c>
      <c r="CV60" s="550"/>
      <c r="CW60" s="82">
        <f>CW65+CW67</f>
        <v>6.0375697684982867</v>
      </c>
      <c r="CX60" s="550"/>
      <c r="CY60" s="82">
        <f>CY65+CY67</f>
        <v>6.0499173553719015</v>
      </c>
      <c r="CZ60" s="550"/>
      <c r="DA60" s="82">
        <f>DA65+DA67</f>
        <v>6.0499173553719015</v>
      </c>
      <c r="DB60" s="550"/>
      <c r="DC60" s="82">
        <f>DC65+DC67</f>
        <v>6.0499173553719015</v>
      </c>
      <c r="DD60" s="550"/>
      <c r="DE60" s="82">
        <f>DE65+DE67</f>
        <v>6.0429664428105285</v>
      </c>
      <c r="DF60" s="550"/>
      <c r="DG60" s="82">
        <f>DG65+DG67</f>
        <v>6.0499173553719015</v>
      </c>
      <c r="DH60" s="550"/>
      <c r="DI60" s="82">
        <f>DI65+DI67+DI63+DI62</f>
        <v>6.5521250000000002</v>
      </c>
      <c r="DJ60" s="550"/>
      <c r="DK60" s="82">
        <f>DK65+DK67+DK63+DK62</f>
        <v>6.0521486053719018</v>
      </c>
    </row>
    <row r="61" spans="1:117" s="4" customFormat="1" ht="18" customHeight="1" outlineLevel="1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976">
        <f>M57/M67</f>
        <v>7.5429061227670319E-2</v>
      </c>
      <c r="M61" s="88"/>
      <c r="N61" s="976">
        <f>O57/O67</f>
        <v>0.13583407345488724</v>
      </c>
      <c r="O61" s="368"/>
      <c r="P61" s="549"/>
      <c r="Q61" s="368"/>
      <c r="R61" s="549"/>
      <c r="S61" s="368"/>
      <c r="T61" s="976">
        <f>U57/U67</f>
        <v>0.13937282229965156</v>
      </c>
      <c r="U61" s="368"/>
      <c r="V61" s="976">
        <f>W57/W67</f>
        <v>0.13937282229965156</v>
      </c>
      <c r="W61" s="368"/>
      <c r="X61" s="976">
        <f>Y57/Y67</f>
        <v>0.13937282229965156</v>
      </c>
      <c r="Y61" s="368"/>
      <c r="Z61" s="976">
        <f>AA57/AA67</f>
        <v>0.13937282229965156</v>
      </c>
      <c r="AA61" s="368"/>
      <c r="AB61" s="976">
        <f>AC57/AC67</f>
        <v>0.13937282229965156</v>
      </c>
      <c r="AC61" s="368"/>
      <c r="AD61" s="976">
        <f>AE57/AE67</f>
        <v>0.13937282229965156</v>
      </c>
      <c r="AE61" s="368"/>
      <c r="AF61" s="976">
        <f>AG57/AG67</f>
        <v>0.13937282229965156</v>
      </c>
      <c r="AG61" s="368"/>
      <c r="AH61" s="976">
        <f>AI57/AI67</f>
        <v>0.13937282229965156</v>
      </c>
      <c r="AI61" s="368"/>
      <c r="AJ61" s="976">
        <f>AK57/AK67</f>
        <v>0.13937282229965156</v>
      </c>
      <c r="AK61" s="368"/>
      <c r="AL61" s="976">
        <f>AM57/AM67</f>
        <v>0.13937282229965156</v>
      </c>
      <c r="AM61" s="368"/>
      <c r="AN61" s="976">
        <f>AO57/AO67</f>
        <v>0.13937282229965156</v>
      </c>
      <c r="AO61" s="368"/>
      <c r="AP61" s="976"/>
      <c r="AQ61" s="368"/>
      <c r="AR61" s="976"/>
      <c r="AS61" s="368"/>
      <c r="AT61" s="976"/>
      <c r="AU61" s="368"/>
      <c r="AV61" s="976"/>
      <c r="AW61" s="368"/>
      <c r="AX61" s="976"/>
      <c r="AY61" s="368"/>
      <c r="AZ61" s="976"/>
      <c r="BA61" s="368"/>
      <c r="BB61" s="976"/>
      <c r="BC61" s="368"/>
      <c r="BD61" s="976"/>
      <c r="BE61" s="368"/>
      <c r="BF61" s="976"/>
      <c r="BG61" s="368"/>
      <c r="BH61" s="976"/>
      <c r="BI61" s="368"/>
      <c r="BJ61" s="976"/>
      <c r="BK61" s="368"/>
      <c r="BL61" s="976"/>
      <c r="BM61" s="368"/>
      <c r="BN61" s="976"/>
      <c r="BO61" s="368"/>
      <c r="BP61" s="976"/>
      <c r="BQ61" s="368"/>
      <c r="BR61" s="976"/>
      <c r="BS61" s="368"/>
      <c r="BT61" s="976"/>
      <c r="BU61" s="368"/>
      <c r="BV61" s="976"/>
      <c r="BW61" s="368"/>
      <c r="BX61" s="976"/>
      <c r="BY61" s="368"/>
      <c r="BZ61" s="976"/>
      <c r="CA61" s="368"/>
      <c r="CB61" s="976"/>
      <c r="CC61" s="368"/>
      <c r="CD61" s="976"/>
      <c r="CE61" s="368"/>
      <c r="CF61" s="976"/>
      <c r="CG61" s="368"/>
      <c r="CH61" s="976"/>
      <c r="CI61" s="368"/>
      <c r="CJ61" s="976"/>
      <c r="CK61" s="368"/>
      <c r="CL61" s="976"/>
      <c r="CM61" s="368"/>
      <c r="CN61" s="976"/>
      <c r="CO61" s="368"/>
      <c r="CP61" s="976"/>
      <c r="CQ61" s="368"/>
      <c r="CR61" s="976"/>
      <c r="CS61" s="368"/>
      <c r="CT61" s="976"/>
      <c r="CU61" s="368"/>
      <c r="CV61" s="976"/>
      <c r="CW61" s="368"/>
      <c r="CX61" s="976"/>
      <c r="CY61" s="368"/>
      <c r="CZ61" s="976"/>
      <c r="DA61" s="368"/>
      <c r="DB61" s="976"/>
      <c r="DC61" s="368"/>
      <c r="DD61" s="976"/>
      <c r="DE61" s="368"/>
      <c r="DF61" s="976"/>
      <c r="DG61" s="368"/>
      <c r="DH61" s="976"/>
      <c r="DI61" s="368"/>
      <c r="DJ61" s="976"/>
      <c r="DK61" s="368"/>
      <c r="DM61" s="861"/>
    </row>
    <row r="62" spans="1:117" s="4" customFormat="1" ht="18" customHeight="1" outlineLevel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3.0799999999999998E-3</v>
      </c>
      <c r="H62" s="89"/>
      <c r="I62" s="90">
        <f>0.055/100*(I67+(I64/I66))</f>
        <v>3.0799999999999998E-3</v>
      </c>
      <c r="J62" s="89"/>
      <c r="K62" s="90">
        <f>0.055/100*(K67+(K64/K66))</f>
        <v>3.0799999999999998E-3</v>
      </c>
      <c r="L62" s="89"/>
      <c r="M62" s="90">
        <f>0.055/100*(M67+(M64/M66))</f>
        <v>3.0799999999999998E-3</v>
      </c>
      <c r="N62" s="373"/>
      <c r="O62" s="374"/>
      <c r="P62" s="373"/>
      <c r="Q62" s="374"/>
      <c r="R62" s="373"/>
      <c r="S62" s="374"/>
      <c r="T62" s="373"/>
      <c r="U62" s="374"/>
      <c r="V62" s="373"/>
      <c r="W62" s="374"/>
      <c r="X62" s="373"/>
      <c r="Y62" s="374"/>
      <c r="Z62" s="373"/>
      <c r="AA62" s="374"/>
      <c r="AB62" s="373"/>
      <c r="AC62" s="374"/>
      <c r="AD62" s="373"/>
      <c r="AE62" s="374"/>
      <c r="AF62" s="373"/>
      <c r="AG62" s="374"/>
      <c r="AH62" s="373"/>
      <c r="AI62" s="374"/>
      <c r="AJ62" s="373"/>
      <c r="AK62" s="374"/>
      <c r="AL62" s="373"/>
      <c r="AM62" s="374"/>
      <c r="AN62" s="373"/>
      <c r="AO62" s="374"/>
      <c r="AP62" s="373"/>
      <c r="AQ62" s="374"/>
      <c r="AR62" s="373"/>
      <c r="AS62" s="374"/>
      <c r="AT62" s="373"/>
      <c r="AU62" s="374"/>
      <c r="AV62" s="373"/>
      <c r="AW62" s="374"/>
      <c r="AX62" s="373"/>
      <c r="AY62" s="374"/>
      <c r="AZ62" s="373"/>
      <c r="BA62" s="374"/>
      <c r="BB62" s="373"/>
      <c r="BC62" s="374"/>
      <c r="BD62" s="373"/>
      <c r="BE62" s="374"/>
      <c r="BF62" s="373"/>
      <c r="BG62" s="374"/>
      <c r="BH62" s="373"/>
      <c r="BI62" s="374"/>
      <c r="BJ62" s="373"/>
      <c r="BK62" s="374"/>
      <c r="BL62" s="373"/>
      <c r="BM62" s="374"/>
      <c r="BN62" s="373"/>
      <c r="BO62" s="374"/>
      <c r="BP62" s="373"/>
      <c r="BQ62" s="374"/>
      <c r="BR62" s="373"/>
      <c r="BS62" s="374"/>
      <c r="BT62" s="373"/>
      <c r="BU62" s="374"/>
      <c r="BV62" s="373"/>
      <c r="BW62" s="374"/>
      <c r="BX62" s="373"/>
      <c r="BY62" s="374"/>
      <c r="BZ62" s="373"/>
      <c r="CA62" s="374"/>
      <c r="CB62" s="373"/>
      <c r="CC62" s="374"/>
      <c r="CD62" s="373"/>
      <c r="CE62" s="374"/>
      <c r="CF62" s="373"/>
      <c r="CG62" s="374"/>
      <c r="CH62" s="373"/>
      <c r="CI62" s="374"/>
      <c r="CJ62" s="373"/>
      <c r="CK62" s="374"/>
      <c r="CL62" s="373"/>
      <c r="CM62" s="374"/>
      <c r="CN62" s="373"/>
      <c r="CO62" s="374"/>
      <c r="CP62" s="373"/>
      <c r="CQ62" s="374"/>
      <c r="CR62" s="373"/>
      <c r="CS62" s="374"/>
      <c r="CT62" s="373"/>
      <c r="CU62" s="374"/>
      <c r="CV62" s="373"/>
      <c r="CW62" s="374"/>
      <c r="CX62" s="373"/>
      <c r="CY62" s="374"/>
      <c r="CZ62" s="373"/>
      <c r="DA62" s="374"/>
      <c r="DB62" s="373"/>
      <c r="DC62" s="374"/>
      <c r="DD62" s="373"/>
      <c r="DE62" s="374"/>
      <c r="DF62" s="373"/>
      <c r="DG62" s="374"/>
      <c r="DH62" s="373">
        <f>6.3-DI60</f>
        <v>-0.25212500000000038</v>
      </c>
      <c r="DI62" s="374">
        <v>-9.9173553719014151E-3</v>
      </c>
      <c r="DJ62" s="373">
        <f>6.3-DK60</f>
        <v>0.24785139462809802</v>
      </c>
      <c r="DK62" s="374">
        <v>0</v>
      </c>
    </row>
    <row r="63" spans="1:117" s="4" customFormat="1" ht="18" customHeight="1" outlineLevel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0.055/100*(G68+(G65/G67))</f>
        <v>2.7331211911166046E-3</v>
      </c>
      <c r="H63" s="89"/>
      <c r="I63" s="90">
        <f>0.055/100*(I68+(I65/I67))</f>
        <v>2.7274514987257886E-3</v>
      </c>
      <c r="J63" s="89"/>
      <c r="K63" s="90">
        <f>0.055/100*(K68+(K65/K67))</f>
        <v>2.7274514987257886E-3</v>
      </c>
      <c r="L63" s="89"/>
      <c r="M63" s="90">
        <f>0.055/100*(M68+(M65/M67))</f>
        <v>2.7274514987257886E-3</v>
      </c>
      <c r="N63" s="373"/>
      <c r="O63" s="374">
        <f>0.0425/100*(6.05-O57)</f>
        <v>2.2413992537313435E-3</v>
      </c>
      <c r="P63" s="373"/>
      <c r="Q63" s="374">
        <f>0.0425/100*(6.05-Q57)</f>
        <v>2.2312500000000002E-3</v>
      </c>
      <c r="R63" s="373"/>
      <c r="S63" s="374">
        <f>0.0425/100*(6.05-S57)</f>
        <v>2.2312500000000002E-3</v>
      </c>
      <c r="T63" s="373"/>
      <c r="U63" s="374">
        <f>0.0425/100*(6.05-U57)</f>
        <v>2.2312500000000002E-3</v>
      </c>
      <c r="V63" s="373"/>
      <c r="W63" s="374">
        <f>0.0425/100*(6.05-W57)</f>
        <v>2.2312500000000002E-3</v>
      </c>
      <c r="X63" s="373"/>
      <c r="Y63" s="374">
        <f>0.0425/100*(6.05-Y57)</f>
        <v>2.2312500000000002E-3</v>
      </c>
      <c r="Z63" s="373"/>
      <c r="AA63" s="374">
        <f>0.0425/100*(6.05-AA57)</f>
        <v>2.2312500000000002E-3</v>
      </c>
      <c r="AB63" s="373"/>
      <c r="AC63" s="374">
        <f>0.0425/100*(6.05-AC57)</f>
        <v>2.2312500000000002E-3</v>
      </c>
      <c r="AD63" s="373"/>
      <c r="AE63" s="374">
        <f>0.0425/100*(6.05-AE57)</f>
        <v>2.2312500000000002E-3</v>
      </c>
      <c r="AF63" s="373"/>
      <c r="AG63" s="374">
        <f>0.0425/100*(6.05-AG57)</f>
        <v>2.2312500000000002E-3</v>
      </c>
      <c r="AH63" s="373"/>
      <c r="AI63" s="374">
        <f>0.0425/100*(6.05-AI57)</f>
        <v>2.2312500000000002E-3</v>
      </c>
      <c r="AJ63" s="373"/>
      <c r="AK63" s="374">
        <f>0.0425/100*(6.05-AK57)</f>
        <v>2.2312500000000002E-3</v>
      </c>
      <c r="AL63" s="373"/>
      <c r="AM63" s="374">
        <f>0.0425/100*(6.05-AM57)</f>
        <v>2.2312500000000002E-3</v>
      </c>
      <c r="AN63" s="373"/>
      <c r="AO63" s="374">
        <f>0.0425/100*(6.05-AO57)</f>
        <v>2.2312500000000002E-3</v>
      </c>
      <c r="AP63" s="373"/>
      <c r="AQ63" s="374">
        <f>0.0425/100*(6.05-AQ57)</f>
        <v>2.2312500000000002E-3</v>
      </c>
      <c r="AR63" s="373"/>
      <c r="AS63" s="374">
        <f>0.0425/100*(6.05-AS57)</f>
        <v>2.2312500000000002E-3</v>
      </c>
      <c r="AT63" s="373"/>
      <c r="AU63" s="374">
        <f>0.0425/100*(6.05-AU57)</f>
        <v>2.2312500000000002E-3</v>
      </c>
      <c r="AV63" s="373"/>
      <c r="AW63" s="374">
        <f>0.0425/100*(6.05-AW57)</f>
        <v>2.2312500000000002E-3</v>
      </c>
      <c r="AX63" s="373"/>
      <c r="AY63" s="374">
        <f>0.0425/100*(6.05-AY57)</f>
        <v>2.2312500000000002E-3</v>
      </c>
      <c r="AZ63" s="373"/>
      <c r="BA63" s="374">
        <f>0.0425/100*(6.05-BA57)</f>
        <v>2.2312500000000002E-3</v>
      </c>
      <c r="BB63" s="373"/>
      <c r="BC63" s="374">
        <f>0.0425/100*(6.05-BC57)</f>
        <v>2.2312500000000002E-3</v>
      </c>
      <c r="BD63" s="373"/>
      <c r="BE63" s="374">
        <f>0.0425/100*(6.05-BE57)</f>
        <v>2.2312500000000002E-3</v>
      </c>
      <c r="BF63" s="373"/>
      <c r="BG63" s="374">
        <f t="shared" ref="BG63" si="623">0.0425/100*(6.05-BG57)</f>
        <v>2.2312500000000002E-3</v>
      </c>
      <c r="BH63" s="373"/>
      <c r="BI63" s="374">
        <f t="shared" ref="BI63" si="624">0.0425/100*(6.05-BI57)</f>
        <v>2.2312500000000002E-3</v>
      </c>
      <c r="BJ63" s="373">
        <f>6.05-BK60</f>
        <v>0</v>
      </c>
      <c r="BK63" s="374">
        <v>6.3016528925610204E-3</v>
      </c>
      <c r="BL63" s="373"/>
      <c r="BM63" s="374">
        <v>6.3016528925610204E-3</v>
      </c>
      <c r="BN63" s="373"/>
      <c r="BO63" s="374">
        <v>6.3016528925610204E-3</v>
      </c>
      <c r="BP63" s="373"/>
      <c r="BQ63" s="374">
        <v>6.3016528925610204E-3</v>
      </c>
      <c r="BR63" s="373"/>
      <c r="BS63" s="374">
        <v>6.3016528925610204E-3</v>
      </c>
      <c r="BT63" s="373"/>
      <c r="BU63" s="374">
        <v>6.3016528925610204E-3</v>
      </c>
      <c r="BV63" s="373"/>
      <c r="BW63" s="374">
        <v>6.3016528925610204E-3</v>
      </c>
      <c r="BX63" s="373"/>
      <c r="BY63" s="374">
        <v>6.3016528925610204E-3</v>
      </c>
      <c r="BZ63" s="373"/>
      <c r="CA63" s="374">
        <v>0.01</v>
      </c>
      <c r="CB63" s="373"/>
      <c r="CC63" s="374">
        <v>0.01</v>
      </c>
      <c r="CD63" s="373"/>
      <c r="CE63" s="374">
        <v>0.01</v>
      </c>
      <c r="CF63" s="373"/>
      <c r="CG63" s="374">
        <v>0.01</v>
      </c>
      <c r="CH63" s="373"/>
      <c r="CI63" s="374">
        <v>0.01</v>
      </c>
      <c r="CJ63" s="373"/>
      <c r="CK63" s="374">
        <v>0.01</v>
      </c>
      <c r="CL63" s="373"/>
      <c r="CM63" s="374">
        <v>0.01</v>
      </c>
      <c r="CN63" s="373"/>
      <c r="CO63" s="374">
        <v>0.01</v>
      </c>
      <c r="CP63" s="373"/>
      <c r="CQ63" s="374">
        <v>0.01</v>
      </c>
      <c r="CR63" s="373"/>
      <c r="CS63" s="374">
        <v>0.01</v>
      </c>
      <c r="CT63" s="373"/>
      <c r="CU63" s="374">
        <v>0.01</v>
      </c>
      <c r="CV63" s="373"/>
      <c r="CW63" s="374">
        <f>0.0425/100*(6.05-CW57)</f>
        <v>2.2359290376638935E-3</v>
      </c>
      <c r="CX63" s="373"/>
      <c r="CY63" s="374">
        <f>0.0425/100*(6.05-CY57)</f>
        <v>2.2312500000000002E-3</v>
      </c>
      <c r="CZ63" s="373"/>
      <c r="DA63" s="374">
        <f>0.0425/100*(6.05-DA57)</f>
        <v>2.2312500000000002E-3</v>
      </c>
      <c r="DB63" s="373"/>
      <c r="DC63" s="374">
        <f>0.0425/100*(6.05-DC57)</f>
        <v>2.2312500000000002E-3</v>
      </c>
      <c r="DD63" s="373"/>
      <c r="DE63" s="374">
        <f>0.0425/100*(6.05-DE57)</f>
        <v>2.2338840030652137E-3</v>
      </c>
      <c r="DF63" s="373"/>
      <c r="DG63" s="374">
        <f>0.0425/100*(6.05-DG57)</f>
        <v>2.2312500000000002E-3</v>
      </c>
      <c r="DH63" s="373"/>
      <c r="DI63" s="374">
        <f>0.0425/100*(6.05-DI57)</f>
        <v>2.1250000000000002E-3</v>
      </c>
      <c r="DJ63" s="373"/>
      <c r="DK63" s="374">
        <f>0.0425/100*(6.05-DK57)</f>
        <v>2.2312500000000002E-3</v>
      </c>
    </row>
    <row r="64" spans="1:117" s="4" customFormat="1" ht="18" customHeight="1" outlineLevel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620</v>
      </c>
      <c r="H64" s="42"/>
      <c r="I64" s="91">
        <v>1150</v>
      </c>
      <c r="J64" s="42"/>
      <c r="K64" s="91">
        <v>1150</v>
      </c>
      <c r="L64" s="42"/>
      <c r="M64" s="91">
        <v>1150</v>
      </c>
      <c r="N64" s="359"/>
      <c r="O64" s="594">
        <v>1198.0083582089421</v>
      </c>
      <c r="P64" s="359"/>
      <c r="Q64" s="594">
        <v>1200</v>
      </c>
      <c r="R64" s="359"/>
      <c r="S64" s="594">
        <v>1200</v>
      </c>
      <c r="T64" s="359"/>
      <c r="U64" s="594">
        <v>1200</v>
      </c>
      <c r="V64" s="359"/>
      <c r="W64" s="594">
        <v>1200</v>
      </c>
      <c r="X64" s="359"/>
      <c r="Y64" s="594">
        <v>1200</v>
      </c>
      <c r="Z64" s="359"/>
      <c r="AA64" s="594">
        <v>1200</v>
      </c>
      <c r="AB64" s="359"/>
      <c r="AC64" s="594">
        <v>1200</v>
      </c>
      <c r="AD64" s="359"/>
      <c r="AE64" s="594">
        <v>1200</v>
      </c>
      <c r="AF64" s="359"/>
      <c r="AG64" s="594">
        <v>1200</v>
      </c>
      <c r="AH64" s="359"/>
      <c r="AI64" s="594">
        <v>1200</v>
      </c>
      <c r="AJ64" s="359"/>
      <c r="AK64" s="594">
        <v>1200</v>
      </c>
      <c r="AL64" s="359"/>
      <c r="AM64" s="594">
        <v>1200</v>
      </c>
      <c r="AN64" s="359"/>
      <c r="AO64" s="594">
        <v>1200</v>
      </c>
      <c r="AP64" s="359"/>
      <c r="AQ64" s="594">
        <v>1200</v>
      </c>
      <c r="AR64" s="359"/>
      <c r="AS64" s="594">
        <v>1200</v>
      </c>
      <c r="AT64" s="359"/>
      <c r="AU64" s="594">
        <v>1200</v>
      </c>
      <c r="AV64" s="359"/>
      <c r="AW64" s="594">
        <v>1200</v>
      </c>
      <c r="AX64" s="359"/>
      <c r="AY64" s="594">
        <v>1200</v>
      </c>
      <c r="AZ64" s="359"/>
      <c r="BA64" s="594">
        <v>1200</v>
      </c>
      <c r="BB64" s="359"/>
      <c r="BC64" s="594">
        <v>1200</v>
      </c>
      <c r="BD64" s="359"/>
      <c r="BE64" s="594">
        <v>1200</v>
      </c>
      <c r="BF64" s="359"/>
      <c r="BG64" s="594">
        <v>1200</v>
      </c>
      <c r="BH64" s="359"/>
      <c r="BI64" s="594">
        <v>1200</v>
      </c>
      <c r="BJ64" s="359"/>
      <c r="BK64" s="594">
        <v>750</v>
      </c>
      <c r="BL64" s="359"/>
      <c r="BM64" s="594">
        <v>750</v>
      </c>
      <c r="BN64" s="359"/>
      <c r="BO64" s="594">
        <v>750</v>
      </c>
      <c r="BP64" s="359"/>
      <c r="BQ64" s="594">
        <v>750</v>
      </c>
      <c r="BR64" s="359"/>
      <c r="BS64" s="594">
        <v>750</v>
      </c>
      <c r="BT64" s="359"/>
      <c r="BU64" s="594">
        <v>750</v>
      </c>
      <c r="BV64" s="359"/>
      <c r="BW64" s="594">
        <v>750</v>
      </c>
      <c r="BX64" s="359"/>
      <c r="BY64" s="594">
        <v>750</v>
      </c>
      <c r="BZ64" s="359"/>
      <c r="CA64" s="594">
        <v>750</v>
      </c>
      <c r="CB64" s="359"/>
      <c r="CC64" s="594">
        <v>750</v>
      </c>
      <c r="CD64" s="359"/>
      <c r="CE64" s="594">
        <v>750</v>
      </c>
      <c r="CF64" s="359"/>
      <c r="CG64" s="594">
        <v>750</v>
      </c>
      <c r="CH64" s="359"/>
      <c r="CI64" s="594">
        <v>750</v>
      </c>
      <c r="CJ64" s="359"/>
      <c r="CK64" s="594">
        <v>750</v>
      </c>
      <c r="CL64" s="359"/>
      <c r="CM64" s="594">
        <v>750</v>
      </c>
      <c r="CN64" s="359"/>
      <c r="CO64" s="594">
        <v>750</v>
      </c>
      <c r="CP64" s="359"/>
      <c r="CQ64" s="594">
        <v>750</v>
      </c>
      <c r="CR64" s="359"/>
      <c r="CS64" s="594">
        <v>750</v>
      </c>
      <c r="CT64" s="359"/>
      <c r="CU64" s="594">
        <v>750</v>
      </c>
      <c r="CV64" s="359"/>
      <c r="CW64" s="594">
        <f>(SUMPRODUCT(O64,O$131)+SUMPRODUCT(U64,U$131)+SUMPRODUCT(W64,W$131))/SUM(O$131,U$131,W$131)</f>
        <v>1199.0818076678324</v>
      </c>
      <c r="CX64" s="359"/>
      <c r="CY64" s="594">
        <f>(SUMPRODUCT(AC64,AC$131)+SUMPRODUCT(AA64,AA$131)+SUMPRODUCT(Y64,Y$131))/SUM(AC$131,AA$131,Y$131)</f>
        <v>1200</v>
      </c>
      <c r="CZ64" s="359"/>
      <c r="DA64" s="594">
        <f>(SUMPRODUCT(AI64,AI$131)+SUMPRODUCT(AG64,AG$131)+SUMPRODUCT(AE64,AE$131))/SUM(AI$131,AG$131,AE$131)</f>
        <v>1200</v>
      </c>
      <c r="DB64" s="359"/>
      <c r="DC64" s="594">
        <v>1200</v>
      </c>
      <c r="DD64" s="359"/>
      <c r="DE64" s="594">
        <f>(SUMPRODUCT(O64,O$131)+SUMPRODUCT(U64,U$131)+SUMPRODUCT(W64,W$131)+SUMPRODUCT(Y64,Y$131)+SUMPRODUCT(AA64,AA$131)+SUMPRODUCT(AC64,AC$131))/SUM(O$131,U$131,W$131,Y$131,AA$131,AC$131)</f>
        <v>1199.4831156337875</v>
      </c>
      <c r="DF64" s="359"/>
      <c r="DG64" s="594">
        <v>1200</v>
      </c>
      <c r="DH64" s="359"/>
      <c r="DI64" s="594">
        <v>1200</v>
      </c>
      <c r="DJ64" s="359"/>
      <c r="DK64" s="594">
        <v>1200</v>
      </c>
    </row>
    <row r="65" spans="1:115" s="97" customFormat="1" ht="18" customHeight="1" outlineLevel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0.16012396694214875</v>
      </c>
      <c r="H65" s="95"/>
      <c r="I65" s="96">
        <f>+I64/I66</f>
        <v>0.29700413223140498</v>
      </c>
      <c r="J65" s="95"/>
      <c r="K65" s="96">
        <f>+K64/K66</f>
        <v>0.29700413223140498</v>
      </c>
      <c r="L65" s="95"/>
      <c r="M65" s="96">
        <f>+M64/M66</f>
        <v>0.29700413223140498</v>
      </c>
      <c r="N65" s="375"/>
      <c r="O65" s="368">
        <f>+O64/O66</f>
        <v>0.30940298507462349</v>
      </c>
      <c r="P65" s="375"/>
      <c r="Q65" s="368">
        <f>+Q64/Q66</f>
        <v>0.30991735537190085</v>
      </c>
      <c r="R65" s="375"/>
      <c r="S65" s="368">
        <f>+S64/S66</f>
        <v>0.30991735537190085</v>
      </c>
      <c r="T65" s="375"/>
      <c r="U65" s="368">
        <f>+U64/U66</f>
        <v>0.30991735537190085</v>
      </c>
      <c r="V65" s="375"/>
      <c r="W65" s="368">
        <f>+W64/W66</f>
        <v>0.30991735537190085</v>
      </c>
      <c r="X65" s="375"/>
      <c r="Y65" s="368">
        <f>+Y64/Y66</f>
        <v>0.30991735537190085</v>
      </c>
      <c r="Z65" s="375"/>
      <c r="AA65" s="368">
        <f>+AA64/AA66</f>
        <v>0.30991735537190085</v>
      </c>
      <c r="AB65" s="375"/>
      <c r="AC65" s="368">
        <f>+AC64/AC66</f>
        <v>0.30991735537190085</v>
      </c>
      <c r="AD65" s="375"/>
      <c r="AE65" s="368">
        <f>+AE64/AE66</f>
        <v>0.30991735537190085</v>
      </c>
      <c r="AF65" s="375"/>
      <c r="AG65" s="368">
        <f>+AG64/AG66</f>
        <v>0.30991735537190085</v>
      </c>
      <c r="AH65" s="375"/>
      <c r="AI65" s="368">
        <f>+AI64/AI66</f>
        <v>0.30991735537190085</v>
      </c>
      <c r="AJ65" s="375"/>
      <c r="AK65" s="368">
        <f>+AK64/AK66</f>
        <v>0.30991735537190085</v>
      </c>
      <c r="AL65" s="375"/>
      <c r="AM65" s="368">
        <f>+AM64/AM66</f>
        <v>0.30991735537190085</v>
      </c>
      <c r="AN65" s="375"/>
      <c r="AO65" s="368">
        <f>+AO64/AO66</f>
        <v>0.30991735537190085</v>
      </c>
      <c r="AP65" s="375"/>
      <c r="AQ65" s="368">
        <f>+AQ64/AQ66</f>
        <v>0.30991735537190085</v>
      </c>
      <c r="AR65" s="375"/>
      <c r="AS65" s="368">
        <f>+AS64/AS66</f>
        <v>0.30991735537190085</v>
      </c>
      <c r="AT65" s="375"/>
      <c r="AU65" s="368">
        <f>+AU64/AU66</f>
        <v>0.30991735537190085</v>
      </c>
      <c r="AV65" s="375"/>
      <c r="AW65" s="368">
        <f>+AW64/AW66</f>
        <v>0.30991735537190085</v>
      </c>
      <c r="AX65" s="375"/>
      <c r="AY65" s="368">
        <f>+AY64/AY66</f>
        <v>0.30991735537190085</v>
      </c>
      <c r="AZ65" s="375"/>
      <c r="BA65" s="368">
        <f>+BA64/BA66</f>
        <v>0.30991735537190085</v>
      </c>
      <c r="BB65" s="375"/>
      <c r="BC65" s="368">
        <f>+BC64/BC66</f>
        <v>0.30991735537190085</v>
      </c>
      <c r="BD65" s="375"/>
      <c r="BE65" s="368">
        <f>+BE64/BE66</f>
        <v>0.30991735537190085</v>
      </c>
      <c r="BF65" s="375"/>
      <c r="BG65" s="368">
        <f t="shared" ref="BG65" si="625">+BG64/BG66</f>
        <v>0.30991735537190085</v>
      </c>
      <c r="BH65" s="375"/>
      <c r="BI65" s="368">
        <f t="shared" ref="BI65" si="626">+BI64/BI66</f>
        <v>0.30991735537190085</v>
      </c>
      <c r="BJ65" s="375"/>
      <c r="BK65" s="368">
        <f t="shared" ref="BK65:BM65" si="627">+BK64/BK66</f>
        <v>0.19369834710743802</v>
      </c>
      <c r="BL65" s="375"/>
      <c r="BM65" s="368">
        <f t="shared" si="627"/>
        <v>0.19369834710743802</v>
      </c>
      <c r="BN65" s="375"/>
      <c r="BO65" s="368">
        <f t="shared" ref="BO65" si="628">+BO64/BO66</f>
        <v>0.19369834710743802</v>
      </c>
      <c r="BP65" s="375"/>
      <c r="BQ65" s="368">
        <f t="shared" ref="BQ65:BS65" si="629">+BQ64/BQ66</f>
        <v>0.19369834710743802</v>
      </c>
      <c r="BR65" s="375"/>
      <c r="BS65" s="368">
        <f t="shared" si="629"/>
        <v>0.19369834710743802</v>
      </c>
      <c r="BT65" s="375"/>
      <c r="BU65" s="368">
        <f t="shared" ref="BU65:BW65" si="630">+BU64/BU66</f>
        <v>0.19369834710743802</v>
      </c>
      <c r="BV65" s="375"/>
      <c r="BW65" s="368">
        <f t="shared" si="630"/>
        <v>0.19369834710743802</v>
      </c>
      <c r="BX65" s="375"/>
      <c r="BY65" s="368">
        <f t="shared" ref="BY65" si="631">+BY64/BY66</f>
        <v>0.19369834710743802</v>
      </c>
      <c r="BZ65" s="375"/>
      <c r="CA65" s="368">
        <f t="shared" ref="CA65:CC65" si="632">+CA64/CA66</f>
        <v>0.1875</v>
      </c>
      <c r="CB65" s="375"/>
      <c r="CC65" s="368">
        <f t="shared" si="632"/>
        <v>0.1875</v>
      </c>
      <c r="CD65" s="375"/>
      <c r="CE65" s="368">
        <f t="shared" ref="CE65:CG65" si="633">+CE64/CE66</f>
        <v>0.1875</v>
      </c>
      <c r="CF65" s="375"/>
      <c r="CG65" s="368">
        <f t="shared" si="633"/>
        <v>0.1875</v>
      </c>
      <c r="CH65" s="375"/>
      <c r="CI65" s="368">
        <f t="shared" ref="CI65" si="634">+CI64/CI66</f>
        <v>0.1875</v>
      </c>
      <c r="CJ65" s="375"/>
      <c r="CK65" s="368">
        <f t="shared" ref="CK65:CM65" si="635">+CK64/CK66</f>
        <v>0.1875</v>
      </c>
      <c r="CL65" s="375"/>
      <c r="CM65" s="368">
        <f t="shared" si="635"/>
        <v>0.1875</v>
      </c>
      <c r="CN65" s="375"/>
      <c r="CO65" s="368">
        <f t="shared" ref="CO65:CQ65" si="636">+CO64/CO66</f>
        <v>0.1875</v>
      </c>
      <c r="CP65" s="375"/>
      <c r="CQ65" s="368">
        <f t="shared" si="636"/>
        <v>0.1875</v>
      </c>
      <c r="CR65" s="375"/>
      <c r="CS65" s="368">
        <f t="shared" ref="CS65" si="637">+CS64/CS66</f>
        <v>0.1875</v>
      </c>
      <c r="CT65" s="375"/>
      <c r="CU65" s="368">
        <f t="shared" ref="CU65" si="638">+CU64/CU66</f>
        <v>0.1875</v>
      </c>
      <c r="CV65" s="375"/>
      <c r="CW65" s="368">
        <f>+CW64/CW66</f>
        <v>0.30968021892247738</v>
      </c>
      <c r="CX65" s="375"/>
      <c r="CY65" s="368">
        <f>+CY64/CY66</f>
        <v>0.30991735537190085</v>
      </c>
      <c r="CZ65" s="375"/>
      <c r="DA65" s="368">
        <f>+DA64/DA66</f>
        <v>0.30991735537190085</v>
      </c>
      <c r="DB65" s="375"/>
      <c r="DC65" s="368">
        <f>+DC64/DC66</f>
        <v>0.30991735537190085</v>
      </c>
      <c r="DD65" s="375"/>
      <c r="DE65" s="368">
        <f>+DE64/DE66</f>
        <v>0.30978386250872614</v>
      </c>
      <c r="DF65" s="375"/>
      <c r="DG65" s="368">
        <f>+DG64/DG66</f>
        <v>0.30991735537190085</v>
      </c>
      <c r="DH65" s="375"/>
      <c r="DI65" s="368">
        <f>+DI64/DI66</f>
        <v>0.30991735537190085</v>
      </c>
      <c r="DJ65" s="375"/>
      <c r="DK65" s="368">
        <f>+DK64/DK66</f>
        <v>0.30991735537190085</v>
      </c>
    </row>
    <row r="66" spans="1:115" s="4" customFormat="1" ht="18" customHeight="1" outlineLevel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3872</v>
      </c>
      <c r="H66" s="42"/>
      <c r="I66" s="88">
        <v>3872</v>
      </c>
      <c r="J66" s="42"/>
      <c r="K66" s="88">
        <v>3872</v>
      </c>
      <c r="L66" s="42"/>
      <c r="M66" s="88">
        <v>3872</v>
      </c>
      <c r="N66" s="359"/>
      <c r="O66" s="372">
        <v>3872</v>
      </c>
      <c r="P66" s="359"/>
      <c r="Q66" s="372">
        <v>3872</v>
      </c>
      <c r="R66" s="359"/>
      <c r="S66" s="372">
        <v>3872</v>
      </c>
      <c r="T66" s="359"/>
      <c r="U66" s="372">
        <v>3872</v>
      </c>
      <c r="V66" s="359"/>
      <c r="W66" s="372">
        <v>3872</v>
      </c>
      <c r="X66" s="359"/>
      <c r="Y66" s="372">
        <v>3872</v>
      </c>
      <c r="Z66" s="359"/>
      <c r="AA66" s="372">
        <v>3872</v>
      </c>
      <c r="AB66" s="359"/>
      <c r="AC66" s="372">
        <v>3872</v>
      </c>
      <c r="AD66" s="359"/>
      <c r="AE66" s="372">
        <v>3872</v>
      </c>
      <c r="AF66" s="359"/>
      <c r="AG66" s="372">
        <v>3872</v>
      </c>
      <c r="AH66" s="359"/>
      <c r="AI66" s="372">
        <v>3872</v>
      </c>
      <c r="AJ66" s="359"/>
      <c r="AK66" s="372">
        <v>3872</v>
      </c>
      <c r="AL66" s="359"/>
      <c r="AM66" s="372">
        <v>3872</v>
      </c>
      <c r="AN66" s="359"/>
      <c r="AO66" s="372">
        <v>3872</v>
      </c>
      <c r="AP66" s="359"/>
      <c r="AQ66" s="372">
        <v>3872</v>
      </c>
      <c r="AR66" s="359"/>
      <c r="AS66" s="372">
        <v>3872</v>
      </c>
      <c r="AT66" s="359"/>
      <c r="AU66" s="372">
        <v>3872</v>
      </c>
      <c r="AV66" s="359"/>
      <c r="AW66" s="372">
        <v>3872</v>
      </c>
      <c r="AX66" s="359"/>
      <c r="AY66" s="372">
        <v>3872</v>
      </c>
      <c r="AZ66" s="359"/>
      <c r="BA66" s="372">
        <v>3872</v>
      </c>
      <c r="BB66" s="359"/>
      <c r="BC66" s="372">
        <v>3872</v>
      </c>
      <c r="BD66" s="359"/>
      <c r="BE66" s="372">
        <v>3872</v>
      </c>
      <c r="BF66" s="359"/>
      <c r="BG66" s="372">
        <v>3872</v>
      </c>
      <c r="BH66" s="359"/>
      <c r="BI66" s="372">
        <v>3872</v>
      </c>
      <c r="BJ66" s="359"/>
      <c r="BK66" s="372">
        <v>3872</v>
      </c>
      <c r="BL66" s="359"/>
      <c r="BM66" s="372">
        <v>3872</v>
      </c>
      <c r="BN66" s="359"/>
      <c r="BO66" s="372">
        <v>3872</v>
      </c>
      <c r="BP66" s="359"/>
      <c r="BQ66" s="372">
        <v>3872</v>
      </c>
      <c r="BR66" s="359"/>
      <c r="BS66" s="372">
        <v>3872</v>
      </c>
      <c r="BT66" s="359"/>
      <c r="BU66" s="372">
        <v>3872</v>
      </c>
      <c r="BV66" s="359"/>
      <c r="BW66" s="372">
        <v>3872</v>
      </c>
      <c r="BX66" s="359"/>
      <c r="BY66" s="372">
        <v>3872</v>
      </c>
      <c r="BZ66" s="359"/>
      <c r="CA66" s="372">
        <v>4000</v>
      </c>
      <c r="CB66" s="359"/>
      <c r="CC66" s="372">
        <v>4000</v>
      </c>
      <c r="CD66" s="359"/>
      <c r="CE66" s="372">
        <v>4000</v>
      </c>
      <c r="CF66" s="359"/>
      <c r="CG66" s="372">
        <v>4000</v>
      </c>
      <c r="CH66" s="359"/>
      <c r="CI66" s="372">
        <v>4000</v>
      </c>
      <c r="CJ66" s="359"/>
      <c r="CK66" s="372">
        <v>4000</v>
      </c>
      <c r="CL66" s="359"/>
      <c r="CM66" s="372">
        <v>4000</v>
      </c>
      <c r="CN66" s="359"/>
      <c r="CO66" s="372">
        <v>4000</v>
      </c>
      <c r="CP66" s="359"/>
      <c r="CQ66" s="372">
        <v>4000</v>
      </c>
      <c r="CR66" s="359"/>
      <c r="CS66" s="372">
        <v>4000</v>
      </c>
      <c r="CT66" s="359"/>
      <c r="CU66" s="372">
        <v>4000</v>
      </c>
      <c r="CV66" s="359"/>
      <c r="CW66" s="372">
        <v>3872</v>
      </c>
      <c r="CX66" s="359"/>
      <c r="CY66" s="372">
        <v>3872</v>
      </c>
      <c r="CZ66" s="359"/>
      <c r="DA66" s="372">
        <v>3872</v>
      </c>
      <c r="DB66" s="359"/>
      <c r="DC66" s="372">
        <v>3872</v>
      </c>
      <c r="DD66" s="359"/>
      <c r="DE66" s="372">
        <v>3872</v>
      </c>
      <c r="DF66" s="359"/>
      <c r="DG66" s="372">
        <v>3872</v>
      </c>
      <c r="DH66" s="359"/>
      <c r="DI66" s="372">
        <v>3872</v>
      </c>
      <c r="DJ66" s="359"/>
      <c r="DK66" s="372">
        <v>3872</v>
      </c>
    </row>
    <row r="67" spans="1:115" s="7" customFormat="1" ht="18" customHeight="1" outlineLevel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f>G60-G65</f>
        <v>5.4398760330578506</v>
      </c>
      <c r="H67" s="81"/>
      <c r="I67" s="82">
        <f>I60-I65</f>
        <v>5.3029958677685949</v>
      </c>
      <c r="J67" s="81"/>
      <c r="K67" s="82">
        <f>K60-K65</f>
        <v>5.3029958677685949</v>
      </c>
      <c r="L67" s="81"/>
      <c r="M67" s="82">
        <f>M60-M65</f>
        <v>5.3029958677685949</v>
      </c>
      <c r="N67" s="935"/>
      <c r="O67" s="82">
        <v>5.7137313432835892</v>
      </c>
      <c r="P67" s="81"/>
      <c r="Q67" s="82">
        <f>5.44+0.3</f>
        <v>5.74</v>
      </c>
      <c r="R67" s="81"/>
      <c r="S67" s="82">
        <f>5.44+0.3</f>
        <v>5.74</v>
      </c>
      <c r="T67" s="935"/>
      <c r="U67" s="82">
        <f>5.44+0.3</f>
        <v>5.74</v>
      </c>
      <c r="V67" s="935"/>
      <c r="W67" s="82">
        <f>5.44+0.3</f>
        <v>5.74</v>
      </c>
      <c r="X67" s="935"/>
      <c r="Y67" s="82">
        <f>5.44+0.3</f>
        <v>5.74</v>
      </c>
      <c r="Z67" s="935"/>
      <c r="AA67" s="82">
        <f>5.44+0.3</f>
        <v>5.74</v>
      </c>
      <c r="AB67" s="935"/>
      <c r="AC67" s="82">
        <f>5.44+0.3</f>
        <v>5.74</v>
      </c>
      <c r="AD67" s="935"/>
      <c r="AE67" s="82">
        <f>5.44+0.3</f>
        <v>5.74</v>
      </c>
      <c r="AF67" s="935"/>
      <c r="AG67" s="82">
        <f>5.44+0.3</f>
        <v>5.74</v>
      </c>
      <c r="AH67" s="935"/>
      <c r="AI67" s="82">
        <f>5.44+0.3</f>
        <v>5.74</v>
      </c>
      <c r="AJ67" s="935"/>
      <c r="AK67" s="82">
        <f>5.44+0.3</f>
        <v>5.74</v>
      </c>
      <c r="AL67" s="935"/>
      <c r="AM67" s="82">
        <f>5.44+0.3</f>
        <v>5.74</v>
      </c>
      <c r="AN67" s="935"/>
      <c r="AO67" s="82">
        <f>5.44+0.3</f>
        <v>5.74</v>
      </c>
      <c r="AP67" s="935"/>
      <c r="AQ67" s="82">
        <f>5.44+0.3</f>
        <v>5.74</v>
      </c>
      <c r="AR67" s="935"/>
      <c r="AS67" s="82">
        <f>5.44+0.3</f>
        <v>5.74</v>
      </c>
      <c r="AT67" s="935"/>
      <c r="AU67" s="82">
        <f>5.44+0.3</f>
        <v>5.74</v>
      </c>
      <c r="AV67" s="935"/>
      <c r="AW67" s="82">
        <f>5.44+0.3</f>
        <v>5.74</v>
      </c>
      <c r="AX67" s="935"/>
      <c r="AY67" s="82">
        <f>5.44+0.3</f>
        <v>5.74</v>
      </c>
      <c r="AZ67" s="935"/>
      <c r="BA67" s="82">
        <f>5.44+0.3</f>
        <v>5.74</v>
      </c>
      <c r="BB67" s="935"/>
      <c r="BC67" s="82">
        <f>5.44+0.3</f>
        <v>5.74</v>
      </c>
      <c r="BD67" s="935"/>
      <c r="BE67" s="82">
        <f>5.44+0.3</f>
        <v>5.74</v>
      </c>
      <c r="BF67" s="935"/>
      <c r="BG67" s="82">
        <f t="shared" ref="BG67" si="639">5.44+0.3</f>
        <v>5.74</v>
      </c>
      <c r="BH67" s="935"/>
      <c r="BI67" s="82">
        <f t="shared" ref="BI67" si="640">5.44+0.3</f>
        <v>5.74</v>
      </c>
      <c r="BJ67" s="935"/>
      <c r="BK67" s="82">
        <f>5.44+0.41</f>
        <v>5.8500000000000005</v>
      </c>
      <c r="BL67" s="935"/>
      <c r="BM67" s="82">
        <f>5.44+0.41</f>
        <v>5.8500000000000005</v>
      </c>
      <c r="BN67" s="935"/>
      <c r="BO67" s="82">
        <f>5.44+0.41</f>
        <v>5.8500000000000005</v>
      </c>
      <c r="BP67" s="935"/>
      <c r="BQ67" s="82">
        <f>5.44+0.41</f>
        <v>5.8500000000000005</v>
      </c>
      <c r="BR67" s="935"/>
      <c r="BS67" s="82">
        <f>5.44+0.41</f>
        <v>5.8500000000000005</v>
      </c>
      <c r="BT67" s="935"/>
      <c r="BU67" s="82">
        <f>5.44+0.41</f>
        <v>5.8500000000000005</v>
      </c>
      <c r="BV67" s="935"/>
      <c r="BW67" s="82">
        <f>5.44+0.41</f>
        <v>5.8500000000000005</v>
      </c>
      <c r="BX67" s="935"/>
      <c r="BY67" s="82">
        <f>5.44+0.41</f>
        <v>5.8500000000000005</v>
      </c>
      <c r="BZ67" s="935"/>
      <c r="CA67" s="82">
        <f>5.44+0.41</f>
        <v>5.8500000000000005</v>
      </c>
      <c r="CB67" s="935"/>
      <c r="CC67" s="82">
        <f>5.44+0.41</f>
        <v>5.8500000000000005</v>
      </c>
      <c r="CD67" s="935"/>
      <c r="CE67" s="82">
        <f>5.44+0.41</f>
        <v>5.8500000000000005</v>
      </c>
      <c r="CF67" s="935"/>
      <c r="CG67" s="82">
        <f>5.44+0.41</f>
        <v>5.8500000000000005</v>
      </c>
      <c r="CH67" s="935"/>
      <c r="CI67" s="82">
        <f>5.44+0.41</f>
        <v>5.8500000000000005</v>
      </c>
      <c r="CJ67" s="935"/>
      <c r="CK67" s="82">
        <f>5.44+0.41</f>
        <v>5.8500000000000005</v>
      </c>
      <c r="CL67" s="935"/>
      <c r="CM67" s="82">
        <f>5.44+0.41</f>
        <v>5.8500000000000005</v>
      </c>
      <c r="CN67" s="935"/>
      <c r="CO67" s="82">
        <f>5.44+0.41</f>
        <v>5.8500000000000005</v>
      </c>
      <c r="CP67" s="935"/>
      <c r="CQ67" s="82">
        <f>5.44+0.41</f>
        <v>5.8500000000000005</v>
      </c>
      <c r="CR67" s="935"/>
      <c r="CS67" s="82">
        <f>5.44+0.41</f>
        <v>5.8500000000000005</v>
      </c>
      <c r="CT67" s="935"/>
      <c r="CU67" s="82">
        <f>5.44+0.41</f>
        <v>5.8500000000000005</v>
      </c>
      <c r="CV67" s="935"/>
      <c r="CW67" s="82">
        <f>(SUMPRODUCT(O67,O$131)+SUMPRODUCT(U67,U$131)+SUMPRODUCT(W67,W$131))/SUM(O$131,U$131,W$131)</f>
        <v>5.7278895495758091</v>
      </c>
      <c r="CX67" s="935"/>
      <c r="CY67" s="82">
        <f>(SUMPRODUCT(AC67,AC$131)+SUMPRODUCT(AA67,AA$131)+SUMPRODUCT(Y67,Y$131))/SUM(AC$131,AA$131,Y$131)</f>
        <v>5.74</v>
      </c>
      <c r="CZ67" s="935"/>
      <c r="DA67" s="82">
        <f>(SUMPRODUCT(AI67,AI$131)+SUMPRODUCT(AG67,AG$131)+SUMPRODUCT(AE67,AE$131))/SUM(AI$131,AG$131,AE$131)</f>
        <v>5.74</v>
      </c>
      <c r="DB67" s="935"/>
      <c r="DC67" s="82">
        <f>(SUMPRODUCT(AI67,AI$131)+SUMPRODUCT(AG67,AG$131)+SUMPRODUCT(AE67,AE$131))/SUM(AI$131,AG$131,AE$131)</f>
        <v>5.74</v>
      </c>
      <c r="DD67" s="935"/>
      <c r="DE67" s="82">
        <f>(SUMPRODUCT(O67,O$131)+SUMPRODUCT(U67,U$131)+SUMPRODUCT(W67,W$131)+SUMPRODUCT(Y67,Y$131)+SUMPRODUCT(AA67,AA$131)+SUMPRODUCT(AC67,AC$131))/SUM(O$131,U$131,W$131,Y$131,AA$131,AC$131)</f>
        <v>5.7331825803018024</v>
      </c>
      <c r="DF67" s="935"/>
      <c r="DG67" s="82">
        <f>(SUMPRODUCT(AI67,AI$131)+SUMPRODUCT(AG67,AG$131)+SUMPRODUCT(AE67,AE$131))/SUM(AI$131,AG$131,AE$131)</f>
        <v>5.74</v>
      </c>
      <c r="DH67" s="935"/>
      <c r="DI67" s="82">
        <f>5.74+0.26+0.25</f>
        <v>6.25</v>
      </c>
      <c r="DJ67" s="935"/>
      <c r="DK67" s="82">
        <v>5.74</v>
      </c>
    </row>
    <row r="68" spans="1:115" s="7" customFormat="1" ht="18" customHeight="1" outlineLevel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4.9398760330578506</v>
      </c>
      <c r="H68" s="81"/>
      <c r="I68" s="82">
        <f>I56-I65</f>
        <v>4.9029958677685945</v>
      </c>
      <c r="J68" s="81"/>
      <c r="K68" s="82">
        <f>K56-K65</f>
        <v>4.9029958677685945</v>
      </c>
      <c r="L68" s="81"/>
      <c r="M68" s="82">
        <f>M56-M65</f>
        <v>4.9029958677685945</v>
      </c>
      <c r="N68" s="81"/>
      <c r="O68" s="82">
        <f>O56-O65</f>
        <v>4.937611940298515</v>
      </c>
      <c r="P68" s="81"/>
      <c r="Q68" s="82">
        <f>Q56-Q65</f>
        <v>4.9400000000000004</v>
      </c>
      <c r="R68" s="81"/>
      <c r="S68" s="82">
        <f>S56-S65</f>
        <v>4.9400000000000004</v>
      </c>
      <c r="T68" s="81"/>
      <c r="U68" s="82">
        <f>U56-U65</f>
        <v>4.9400000000000004</v>
      </c>
      <c r="V68" s="81"/>
      <c r="W68" s="82">
        <f>W56-W65</f>
        <v>4.9400000000000004</v>
      </c>
      <c r="X68" s="81"/>
      <c r="Y68" s="82">
        <f>Y56-Y65</f>
        <v>4.9400000000000004</v>
      </c>
      <c r="Z68" s="81"/>
      <c r="AA68" s="82">
        <f>AA56-AA65</f>
        <v>4.9400000000000004</v>
      </c>
      <c r="AB68" s="81"/>
      <c r="AC68" s="82">
        <f>AC56-AC65</f>
        <v>4.9400000000000004</v>
      </c>
      <c r="AD68" s="81"/>
      <c r="AE68" s="82">
        <f>AE56-AE65</f>
        <v>4.9400000000000004</v>
      </c>
      <c r="AF68" s="81"/>
      <c r="AG68" s="82">
        <f>AG56-AG65</f>
        <v>4.9400000000000004</v>
      </c>
      <c r="AH68" s="81"/>
      <c r="AI68" s="82">
        <f>AI56-AI65</f>
        <v>4.9400000000000004</v>
      </c>
      <c r="AJ68" s="81"/>
      <c r="AK68" s="82">
        <f>AK56-AK65</f>
        <v>4.9400000000000004</v>
      </c>
      <c r="AL68" s="81"/>
      <c r="AM68" s="82">
        <f>AM56-AM65</f>
        <v>4.9400000000000004</v>
      </c>
      <c r="AN68" s="81"/>
      <c r="AO68" s="82">
        <f>AO56-AO65</f>
        <v>4.9400000000000004</v>
      </c>
      <c r="AP68" s="81"/>
      <c r="AQ68" s="82">
        <f>AQ56-AQ65</f>
        <v>4.9400000000000004</v>
      </c>
      <c r="AR68" s="81"/>
      <c r="AS68" s="82">
        <f>AS56-AS65</f>
        <v>4.9400000000000004</v>
      </c>
      <c r="AT68" s="81"/>
      <c r="AU68" s="82">
        <f>AU56-AU65</f>
        <v>4.9400000000000004</v>
      </c>
      <c r="AV68" s="81"/>
      <c r="AW68" s="82">
        <f>AW56-AW65</f>
        <v>4.9400000000000004</v>
      </c>
      <c r="AX68" s="81"/>
      <c r="AY68" s="82">
        <f>AY56-AY65</f>
        <v>4.9400000000000004</v>
      </c>
      <c r="AZ68" s="81"/>
      <c r="BA68" s="82">
        <f>BA56-BA65</f>
        <v>4.9400000000000004</v>
      </c>
      <c r="BB68" s="81"/>
      <c r="BC68" s="82">
        <f>BC56-BC65</f>
        <v>4.9400000000000004</v>
      </c>
      <c r="BD68" s="81"/>
      <c r="BE68" s="82">
        <f>BE56-BE65</f>
        <v>4.9400000000000004</v>
      </c>
      <c r="BF68" s="81"/>
      <c r="BG68" s="82">
        <f t="shared" ref="BG68" si="641">BG56-BG65</f>
        <v>4.9400000000000004</v>
      </c>
      <c r="BH68" s="81"/>
      <c r="BI68" s="82">
        <f t="shared" ref="BI68:BK68" si="642">BI56-BI65</f>
        <v>4.9400000000000004</v>
      </c>
      <c r="BJ68" s="81"/>
      <c r="BK68" s="82">
        <f t="shared" si="642"/>
        <v>5.0563016528925617</v>
      </c>
      <c r="BL68" s="81"/>
      <c r="BM68" s="82">
        <f t="shared" ref="BM68" si="643">BM56-BM65</f>
        <v>5.0563016528925617</v>
      </c>
      <c r="BN68" s="81"/>
      <c r="BO68" s="82">
        <f t="shared" ref="BO68" si="644">BO56-BO65</f>
        <v>5.0563016528925617</v>
      </c>
      <c r="BP68" s="81"/>
      <c r="BQ68" s="82">
        <f t="shared" ref="BQ68:BS68" si="645">BQ56-BQ65</f>
        <v>5.0563016528925617</v>
      </c>
      <c r="BR68" s="81"/>
      <c r="BS68" s="82">
        <f t="shared" si="645"/>
        <v>5.0563016528925617</v>
      </c>
      <c r="BT68" s="81"/>
      <c r="BU68" s="82">
        <f t="shared" ref="BU68:BW68" si="646">BU56-BU65</f>
        <v>5.0563016528925617</v>
      </c>
      <c r="BV68" s="81"/>
      <c r="BW68" s="82">
        <f t="shared" si="646"/>
        <v>5.0563016528925617</v>
      </c>
      <c r="BX68" s="81"/>
      <c r="BY68" s="82">
        <f t="shared" ref="BY68:CA68" si="647">BY56-BY65</f>
        <v>5.0563016528925617</v>
      </c>
      <c r="BZ68" s="81"/>
      <c r="CA68" s="82">
        <f t="shared" si="647"/>
        <v>5.0600000000000005</v>
      </c>
      <c r="CB68" s="81"/>
      <c r="CC68" s="82">
        <f t="shared" ref="CC68:CE68" si="648">CC56-CC65</f>
        <v>5.0600000000000005</v>
      </c>
      <c r="CD68" s="81"/>
      <c r="CE68" s="82">
        <f t="shared" si="648"/>
        <v>5.0600000000000005</v>
      </c>
      <c r="CF68" s="81"/>
      <c r="CG68" s="82">
        <f t="shared" ref="CG68:CI68" si="649">CG56-CG65</f>
        <v>5.0600000000000005</v>
      </c>
      <c r="CH68" s="81"/>
      <c r="CI68" s="82">
        <f t="shared" si="649"/>
        <v>5.0600000000000005</v>
      </c>
      <c r="CJ68" s="81"/>
      <c r="CK68" s="82">
        <f t="shared" ref="CK68:CM68" si="650">CK56-CK65</f>
        <v>5.0600000000000005</v>
      </c>
      <c r="CL68" s="81"/>
      <c r="CM68" s="82">
        <f t="shared" si="650"/>
        <v>5.0600000000000005</v>
      </c>
      <c r="CN68" s="81"/>
      <c r="CO68" s="82">
        <f t="shared" ref="CO68" si="651">CO56-CO65</f>
        <v>5.0600000000000005</v>
      </c>
      <c r="CP68" s="81"/>
      <c r="CQ68" s="82">
        <f t="shared" ref="CQ68" si="652">CQ56-CQ65</f>
        <v>5.0600000000000005</v>
      </c>
      <c r="CR68" s="81"/>
      <c r="CS68" s="82">
        <f t="shared" ref="CS68:CU68" si="653">CS56-CS65</f>
        <v>5.0600000000000005</v>
      </c>
      <c r="CT68" s="81"/>
      <c r="CU68" s="82">
        <f t="shared" si="653"/>
        <v>5.0600000000000005</v>
      </c>
      <c r="CV68" s="81"/>
      <c r="CW68" s="82">
        <f>CW56-CW65</f>
        <v>4.9388990499614405</v>
      </c>
      <c r="CX68" s="81"/>
      <c r="CY68" s="82">
        <f>CY56-CY65</f>
        <v>4.9400000000000004</v>
      </c>
      <c r="CZ68" s="81"/>
      <c r="DA68" s="82">
        <f>DA56-DA65</f>
        <v>4.9400000000000004</v>
      </c>
      <c r="DB68" s="81"/>
      <c r="DC68" s="82">
        <f>DC56-DC65</f>
        <v>4.9400000000000004</v>
      </c>
      <c r="DD68" s="81"/>
      <c r="DE68" s="82">
        <f>DE56-DE65</f>
        <v>4.9393802345728934</v>
      </c>
      <c r="DF68" s="81"/>
      <c r="DG68" s="82">
        <f>DG56-DG65</f>
        <v>4.9400000000000004</v>
      </c>
      <c r="DH68" s="81"/>
      <c r="DI68" s="82">
        <f>DI56-DI65</f>
        <v>5.1922076446280991</v>
      </c>
      <c r="DJ68" s="81"/>
      <c r="DK68" s="82">
        <f>DK56-DK65</f>
        <v>4.9422312500000007</v>
      </c>
    </row>
    <row r="69" spans="1:115" s="103" customFormat="1" ht="18" customHeight="1" outlineLevel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0.13599690082644628</v>
      </c>
      <c r="H69" s="101"/>
      <c r="I69" s="102">
        <f>+I67/I10</f>
        <v>0.13257489669421488</v>
      </c>
      <c r="J69" s="101"/>
      <c r="K69" s="102">
        <f>+K67/K10</f>
        <v>0.13257489669421488</v>
      </c>
      <c r="L69" s="101"/>
      <c r="M69" s="102">
        <f>+M67/M10</f>
        <v>0.13257489669421488</v>
      </c>
      <c r="N69" s="101"/>
      <c r="O69" s="82">
        <f>+O67/O10</f>
        <v>0.14284328358208973</v>
      </c>
      <c r="P69" s="101"/>
      <c r="Q69" s="82">
        <f>+Q67/Q10</f>
        <v>0.14350000000000002</v>
      </c>
      <c r="R69" s="101"/>
      <c r="S69" s="82">
        <f>+S67/S10</f>
        <v>0.14350000000000002</v>
      </c>
      <c r="T69" s="101"/>
      <c r="U69" s="82">
        <f>+U67/U10</f>
        <v>0.14350000000000002</v>
      </c>
      <c r="V69" s="101"/>
      <c r="W69" s="82">
        <f>+W67/W10</f>
        <v>0.14350000000000002</v>
      </c>
      <c r="X69" s="101"/>
      <c r="Y69" s="82">
        <f>+Y67/Y10</f>
        <v>0.14350000000000002</v>
      </c>
      <c r="Z69" s="101"/>
      <c r="AA69" s="82">
        <f>+AA67/AA10</f>
        <v>0.14350000000000002</v>
      </c>
      <c r="AB69" s="101"/>
      <c r="AC69" s="82">
        <f>+AC67/AC10</f>
        <v>0.14350000000000002</v>
      </c>
      <c r="AD69" s="101"/>
      <c r="AE69" s="82">
        <f>+AE67/AE10</f>
        <v>0.14350000000000002</v>
      </c>
      <c r="AF69" s="101"/>
      <c r="AG69" s="82">
        <f>+AG67/AG10</f>
        <v>0.14350000000000002</v>
      </c>
      <c r="AH69" s="101"/>
      <c r="AI69" s="82">
        <f>+AI67/AI10</f>
        <v>0.14350000000000002</v>
      </c>
      <c r="AJ69" s="101"/>
      <c r="AK69" s="82">
        <f>+AK67/AK10</f>
        <v>0.14350000000000002</v>
      </c>
      <c r="AL69" s="101"/>
      <c r="AM69" s="82">
        <f>+AM67/AM10</f>
        <v>0.14350000000000002</v>
      </c>
      <c r="AN69" s="101"/>
      <c r="AO69" s="82">
        <f>+AO67/AO10</f>
        <v>0.14350000000000002</v>
      </c>
      <c r="AP69" s="101"/>
      <c r="AQ69" s="82">
        <f>+AQ67/AQ10</f>
        <v>0.14350000000000002</v>
      </c>
      <c r="AR69" s="101"/>
      <c r="AS69" s="82">
        <f>+AS67/AS10</f>
        <v>0.14350000000000002</v>
      </c>
      <c r="AT69" s="101"/>
      <c r="AU69" s="82">
        <f>+AU67/AU10</f>
        <v>0.14350000000000002</v>
      </c>
      <c r="AV69" s="101"/>
      <c r="AW69" s="82">
        <f>+AW67/AW10</f>
        <v>0.14350000000000002</v>
      </c>
      <c r="AX69" s="101"/>
      <c r="AY69" s="82">
        <f>+AY67/AY10</f>
        <v>0.14350000000000002</v>
      </c>
      <c r="AZ69" s="101"/>
      <c r="BA69" s="82">
        <f>+BA67/BA10</f>
        <v>0.14350000000000002</v>
      </c>
      <c r="BB69" s="101"/>
      <c r="BC69" s="82">
        <f>+BC67/BC10</f>
        <v>0.14350000000000002</v>
      </c>
      <c r="BD69" s="101"/>
      <c r="BE69" s="82">
        <f>+BE67/BE10</f>
        <v>0.14350000000000002</v>
      </c>
      <c r="BF69" s="101"/>
      <c r="BG69" s="82">
        <f>+BG67/BG10</f>
        <v>0.14350000000000002</v>
      </c>
      <c r="BH69" s="101"/>
      <c r="BI69" s="82">
        <f>+BI67/BI10</f>
        <v>0.14350000000000002</v>
      </c>
      <c r="BJ69" s="101"/>
      <c r="BK69" s="82">
        <f>+BK67/BK10</f>
        <v>0.14625000000000002</v>
      </c>
      <c r="BL69" s="101"/>
      <c r="BM69" s="82">
        <f>+BM67/BM10</f>
        <v>0.14625000000000002</v>
      </c>
      <c r="BN69" s="101"/>
      <c r="BO69" s="82">
        <f>+BO67/BO10</f>
        <v>0.14625000000000002</v>
      </c>
      <c r="BP69" s="101"/>
      <c r="BQ69" s="82">
        <f>+BQ67/BQ10</f>
        <v>0.14625000000000002</v>
      </c>
      <c r="BR69" s="101"/>
      <c r="BS69" s="82">
        <f>+BS67/BS10</f>
        <v>0.14625000000000002</v>
      </c>
      <c r="BT69" s="101"/>
      <c r="BU69" s="82">
        <f>+BU67/BU10</f>
        <v>0.14625000000000002</v>
      </c>
      <c r="BV69" s="101"/>
      <c r="BW69" s="82">
        <f>+BW67/BW10</f>
        <v>0.14625000000000002</v>
      </c>
      <c r="BX69" s="101"/>
      <c r="BY69" s="82">
        <f>+BY67/BY10</f>
        <v>0.14625000000000002</v>
      </c>
      <c r="BZ69" s="101"/>
      <c r="CA69" s="82">
        <f>+CA67/CA10</f>
        <v>0.14625000000000002</v>
      </c>
      <c r="CB69" s="101"/>
      <c r="CC69" s="82">
        <f>+CC67/CC10</f>
        <v>0.14625000000000002</v>
      </c>
      <c r="CD69" s="101"/>
      <c r="CE69" s="82">
        <f>+CE67/CE10</f>
        <v>0.14625000000000002</v>
      </c>
      <c r="CF69" s="101"/>
      <c r="CG69" s="82">
        <f>+CG67/CG10</f>
        <v>0.14625000000000002</v>
      </c>
      <c r="CH69" s="101"/>
      <c r="CI69" s="82">
        <f>+CI67/CI10</f>
        <v>0.14625000000000002</v>
      </c>
      <c r="CJ69" s="101"/>
      <c r="CK69" s="82">
        <f>+CK67/CK10</f>
        <v>0.14625000000000002</v>
      </c>
      <c r="CL69" s="101"/>
      <c r="CM69" s="82">
        <f>+CM67/CM10</f>
        <v>0.14625000000000002</v>
      </c>
      <c r="CN69" s="101"/>
      <c r="CO69" s="82">
        <f>+CO67/CO10</f>
        <v>0.14625000000000002</v>
      </c>
      <c r="CP69" s="101"/>
      <c r="CQ69" s="82">
        <f>+CQ67/CQ10</f>
        <v>0.14625000000000002</v>
      </c>
      <c r="CR69" s="101"/>
      <c r="CS69" s="82">
        <f>+CS67/CS10</f>
        <v>0.14625000000000002</v>
      </c>
      <c r="CT69" s="101"/>
      <c r="CU69" s="82">
        <f>+CU67/CU10</f>
        <v>0.14625000000000002</v>
      </c>
      <c r="CV69" s="101"/>
      <c r="CW69" s="82">
        <f>+CW67/CW10</f>
        <v>0.14319723873939522</v>
      </c>
      <c r="CX69" s="101"/>
      <c r="CY69" s="82">
        <f>+CY67/CY10</f>
        <v>0.14350000000000002</v>
      </c>
      <c r="CZ69" s="101"/>
      <c r="DA69" s="82">
        <f>+DA67/DA10</f>
        <v>0.14350000000000002</v>
      </c>
      <c r="DB69" s="101"/>
      <c r="DC69" s="82">
        <f>+DC67/DC10</f>
        <v>0.14350000000000002</v>
      </c>
      <c r="DD69" s="101"/>
      <c r="DE69" s="82">
        <f>+DE67/DE10</f>
        <v>0.14332956450754505</v>
      </c>
      <c r="DF69" s="101"/>
      <c r="DG69" s="82">
        <f>+DG67/DG10</f>
        <v>0.14350000000000002</v>
      </c>
      <c r="DH69" s="101"/>
      <c r="DI69" s="82">
        <f>+DI67/DI10</f>
        <v>0.15625</v>
      </c>
      <c r="DJ69" s="101"/>
      <c r="DK69" s="82">
        <f>+DK67/DK10</f>
        <v>0.14350000000000002</v>
      </c>
    </row>
    <row r="70" spans="1:115" s="4" customFormat="1" ht="18" customHeight="1" outlineLevel="1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377"/>
      <c r="O70" s="595"/>
      <c r="P70" s="377"/>
      <c r="Q70" s="595"/>
      <c r="R70" s="377"/>
      <c r="S70" s="595"/>
      <c r="T70" s="377"/>
      <c r="U70" s="595"/>
      <c r="V70" s="377"/>
      <c r="W70" s="595"/>
      <c r="X70" s="377"/>
      <c r="Y70" s="595"/>
      <c r="Z70" s="377"/>
      <c r="AA70" s="595"/>
      <c r="AB70" s="377"/>
      <c r="AC70" s="595"/>
      <c r="AD70" s="377"/>
      <c r="AE70" s="595"/>
      <c r="AF70" s="377"/>
      <c r="AG70" s="595"/>
      <c r="AH70" s="377"/>
      <c r="AI70" s="595"/>
      <c r="AJ70" s="377"/>
      <c r="AK70" s="595"/>
      <c r="AL70" s="377"/>
      <c r="AM70" s="595"/>
      <c r="AN70" s="377"/>
      <c r="AO70" s="595"/>
      <c r="AP70" s="377"/>
      <c r="AQ70" s="595"/>
      <c r="AR70" s="377"/>
      <c r="AS70" s="595"/>
      <c r="AT70" s="377"/>
      <c r="AU70" s="595"/>
      <c r="AV70" s="377"/>
      <c r="AW70" s="595"/>
      <c r="AX70" s="377"/>
      <c r="AY70" s="595"/>
      <c r="AZ70" s="377"/>
      <c r="BA70" s="595"/>
      <c r="BB70" s="377"/>
      <c r="BC70" s="595"/>
      <c r="BD70" s="377"/>
      <c r="BE70" s="595"/>
      <c r="BF70" s="377"/>
      <c r="BG70" s="595"/>
      <c r="BH70" s="377"/>
      <c r="BI70" s="595"/>
      <c r="BJ70" s="377"/>
      <c r="BK70" s="595"/>
      <c r="BL70" s="377"/>
      <c r="BM70" s="595"/>
      <c r="BN70" s="377"/>
      <c r="BO70" s="595"/>
      <c r="BP70" s="377"/>
      <c r="BQ70" s="595"/>
      <c r="BR70" s="377"/>
      <c r="BS70" s="595"/>
      <c r="BT70" s="377"/>
      <c r="BU70" s="595"/>
      <c r="BV70" s="377"/>
      <c r="BW70" s="595"/>
      <c r="BX70" s="377"/>
      <c r="BY70" s="595"/>
      <c r="BZ70" s="377"/>
      <c r="CA70" s="595"/>
      <c r="CB70" s="377"/>
      <c r="CC70" s="595"/>
      <c r="CD70" s="377"/>
      <c r="CE70" s="595"/>
      <c r="CF70" s="377"/>
      <c r="CG70" s="595"/>
      <c r="CH70" s="377"/>
      <c r="CI70" s="595"/>
      <c r="CJ70" s="377"/>
      <c r="CK70" s="595"/>
      <c r="CL70" s="377"/>
      <c r="CM70" s="595"/>
      <c r="CN70" s="377"/>
      <c r="CO70" s="595"/>
      <c r="CP70" s="377"/>
      <c r="CQ70" s="595"/>
      <c r="CR70" s="377"/>
      <c r="CS70" s="595"/>
      <c r="CT70" s="377"/>
      <c r="CU70" s="595"/>
      <c r="CV70" s="377"/>
      <c r="CW70" s="595"/>
      <c r="CX70" s="377"/>
      <c r="CY70" s="595"/>
      <c r="CZ70" s="377"/>
      <c r="DA70" s="595"/>
      <c r="DB70" s="377"/>
      <c r="DC70" s="595"/>
      <c r="DD70" s="377"/>
      <c r="DE70" s="595"/>
      <c r="DF70" s="377"/>
      <c r="DG70" s="595"/>
      <c r="DH70" s="377"/>
      <c r="DI70" s="595"/>
      <c r="DJ70" s="377"/>
      <c r="DK70" s="595"/>
    </row>
    <row r="71" spans="1:115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3.5330450940327975</v>
      </c>
      <c r="H71" s="111"/>
      <c r="I71" s="112">
        <f>I74+I72</f>
        <v>3.6553899705920707</v>
      </c>
      <c r="J71" s="111"/>
      <c r="K71" s="112">
        <f>K74+K72</f>
        <v>3.6553899705920707</v>
      </c>
      <c r="L71" s="111"/>
      <c r="M71" s="112">
        <f>M74+M72</f>
        <v>3.6553899705920707</v>
      </c>
      <c r="N71" s="111"/>
      <c r="O71" s="112">
        <f>O74+O72</f>
        <v>3.6713830405699528</v>
      </c>
      <c r="P71" s="111"/>
      <c r="Q71" s="112">
        <f>Q74+Q72</f>
        <v>3.8054599289954605</v>
      </c>
      <c r="R71" s="111"/>
      <c r="S71" s="112">
        <f>S74+S72</f>
        <v>3.8054599289954605</v>
      </c>
      <c r="T71" s="111"/>
      <c r="U71" s="112">
        <f>U74+U72</f>
        <v>3.9429636364854033</v>
      </c>
      <c r="V71" s="111"/>
      <c r="W71" s="112">
        <f>W74+W72</f>
        <v>3.9924047562194453</v>
      </c>
      <c r="X71" s="111"/>
      <c r="Y71" s="112">
        <f>Y74+Y72</f>
        <v>4.1632558749738902</v>
      </c>
      <c r="Z71" s="111"/>
      <c r="AA71" s="112">
        <f>AA74+AA72</f>
        <v>4.278167924097823</v>
      </c>
      <c r="AB71" s="111"/>
      <c r="AC71" s="112">
        <f>AC74+AC72</f>
        <v>4.2083591796725184</v>
      </c>
      <c r="AD71" s="111"/>
      <c r="AE71" s="112">
        <f>AE74+AE72</f>
        <v>4.0904695881777844</v>
      </c>
      <c r="AF71" s="111"/>
      <c r="AG71" s="112">
        <f>AG74+AG72</f>
        <v>4.1351450675871773</v>
      </c>
      <c r="AH71" s="111"/>
      <c r="AI71" s="112">
        <f>AI74+AI72</f>
        <v>3.8295672787848982</v>
      </c>
      <c r="AJ71" s="111"/>
      <c r="AK71" s="112">
        <f>AK74+AK72</f>
        <v>3.7223122852499726</v>
      </c>
      <c r="AL71" s="111"/>
      <c r="AM71" s="112">
        <f>AM74+AM72</f>
        <v>3.6624552147656484</v>
      </c>
      <c r="AN71" s="111"/>
      <c r="AO71" s="112">
        <f>AO74+AO72</f>
        <v>3.5760127912629183</v>
      </c>
      <c r="AP71" s="111"/>
      <c r="AQ71" s="112">
        <f>AQ74+AQ72</f>
        <v>3.6720890994980104</v>
      </c>
      <c r="AR71" s="111"/>
      <c r="AS71" s="112">
        <f>AS74+AS72</f>
        <v>3.6973562818547561</v>
      </c>
      <c r="AT71" s="111"/>
      <c r="AU71" s="112">
        <f>AU74+AU72</f>
        <v>3.563270317258068</v>
      </c>
      <c r="AV71" s="111"/>
      <c r="AW71" s="112">
        <f>AW74+AW72</f>
        <v>3.8010258681236633</v>
      </c>
      <c r="AX71" s="111"/>
      <c r="AY71" s="112">
        <f>AY74+AY72</f>
        <v>3.82012839307705</v>
      </c>
      <c r="AZ71" s="111"/>
      <c r="BA71" s="112">
        <f>BA74+BA72</f>
        <v>3.6924459303979189</v>
      </c>
      <c r="BB71" s="111"/>
      <c r="BC71" s="112">
        <f>BC74+BC72</f>
        <v>3.6124584579787711</v>
      </c>
      <c r="BD71" s="111"/>
      <c r="BE71" s="112">
        <f>BE74+BE72</f>
        <v>3.4946098457606936</v>
      </c>
      <c r="BF71" s="111"/>
      <c r="BG71" s="112">
        <f t="shared" ref="BG71" si="654">BG74+BG72</f>
        <v>3.5814042010704874</v>
      </c>
      <c r="BH71" s="111"/>
      <c r="BI71" s="112">
        <f t="shared" ref="BI71" si="655">BI74+BI72</f>
        <v>3.548454350742849</v>
      </c>
      <c r="BJ71" s="111"/>
      <c r="BK71" s="112">
        <f t="shared" ref="BK71" si="656">BK74+BK72</f>
        <v>3.5168710538164261</v>
      </c>
      <c r="BL71" s="111"/>
      <c r="BM71" s="112">
        <f t="shared" ref="BM71" si="657">BM74+BM72</f>
        <v>3.544384407745147</v>
      </c>
      <c r="BN71" s="111"/>
      <c r="BO71" s="112">
        <f t="shared" ref="BO71" si="658">BO74+BO72</f>
        <v>3.5912551949452425</v>
      </c>
      <c r="BP71" s="111"/>
      <c r="BQ71" s="112">
        <f t="shared" ref="BQ71:BS71" si="659">BQ74+BQ72</f>
        <v>3.7150306242736506</v>
      </c>
      <c r="BR71" s="111"/>
      <c r="BS71" s="112">
        <f t="shared" si="659"/>
        <v>3.6709288288132229</v>
      </c>
      <c r="BT71" s="111"/>
      <c r="BU71" s="112">
        <f t="shared" ref="BU71:BW71" si="660">BU74+BU72</f>
        <v>3.7803703976724834</v>
      </c>
      <c r="BV71" s="111"/>
      <c r="BW71" s="112">
        <f t="shared" si="660"/>
        <v>3.6905538071479027</v>
      </c>
      <c r="BX71" s="111"/>
      <c r="BY71" s="112">
        <f t="shared" ref="BY71:CA71" si="661">BY74+BY72</f>
        <v>3.746078143728516</v>
      </c>
      <c r="BZ71" s="111"/>
      <c r="CA71" s="112">
        <f t="shared" si="661"/>
        <v>3.7266137411956293</v>
      </c>
      <c r="CB71" s="111"/>
      <c r="CC71" s="112">
        <f t="shared" ref="CC71:CE71" si="662">CC74+CC72</f>
        <v>3.7235804005725024</v>
      </c>
      <c r="CD71" s="111"/>
      <c r="CE71" s="112">
        <f t="shared" si="662"/>
        <v>3.7512266428154248</v>
      </c>
      <c r="CF71" s="111"/>
      <c r="CG71" s="112">
        <f t="shared" ref="CG71:CI71" si="663">CG74+CG72</f>
        <v>3.7491361778385661</v>
      </c>
      <c r="CH71" s="111"/>
      <c r="CI71" s="112">
        <f t="shared" si="663"/>
        <v>3.4543037923794433</v>
      </c>
      <c r="CJ71" s="111"/>
      <c r="CK71" s="112">
        <f t="shared" ref="CK71:CM71" si="664">CK74+CK72</f>
        <v>3.4645004684479077</v>
      </c>
      <c r="CL71" s="111"/>
      <c r="CM71" s="112">
        <f t="shared" si="664"/>
        <v>3.6811452217662146</v>
      </c>
      <c r="CN71" s="111"/>
      <c r="CO71" s="112">
        <f t="shared" ref="CO71" si="665">CO74+CO72</f>
        <v>3.677759909032583</v>
      </c>
      <c r="CP71" s="111"/>
      <c r="CQ71" s="112">
        <f t="shared" ref="CQ71" si="666">CQ74+CQ72</f>
        <v>3.677759909032583</v>
      </c>
      <c r="CR71" s="111"/>
      <c r="CS71" s="112">
        <f t="shared" ref="CS71:CU71" si="667">CS74+CS72</f>
        <v>3.6206376191587308</v>
      </c>
      <c r="CT71" s="111"/>
      <c r="CU71" s="112">
        <f t="shared" si="667"/>
        <v>3.6206376191587308</v>
      </c>
      <c r="CV71" s="111"/>
      <c r="CW71" s="112">
        <f>CW74+CW72</f>
        <v>3.8335452386080782</v>
      </c>
      <c r="CX71" s="111"/>
      <c r="CY71" s="112">
        <f>CY74+CY72</f>
        <v>4.2134684968279075</v>
      </c>
      <c r="CZ71" s="111"/>
      <c r="DA71" s="112">
        <f>DA74+DA72</f>
        <v>3.9443322562190004</v>
      </c>
      <c r="DB71" s="111"/>
      <c r="DC71" s="112">
        <f>DC74+DC72</f>
        <v>3.8613079483713606</v>
      </c>
      <c r="DD71" s="111"/>
      <c r="DE71" s="112">
        <f>DE74+DE72</f>
        <v>4.0009668268821121</v>
      </c>
      <c r="DF71" s="111"/>
      <c r="DG71" s="112">
        <f>DG74+DG72</f>
        <v>4.054175342322563</v>
      </c>
      <c r="DH71" s="111"/>
      <c r="DI71" s="112">
        <f>DI74+DI72</f>
        <v>4.0240785111419237</v>
      </c>
      <c r="DJ71" s="111"/>
      <c r="DK71" s="112">
        <f>DK74+DK72</f>
        <v>3.7643382514016634</v>
      </c>
    </row>
    <row r="72" spans="1:115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f>G115</f>
        <v>0.11798732756232323</v>
      </c>
      <c r="H72" s="116"/>
      <c r="I72" s="117">
        <f>I115</f>
        <v>0.11798732756232323</v>
      </c>
      <c r="J72" s="116"/>
      <c r="K72" s="117">
        <f>K115</f>
        <v>0.11798732756232323</v>
      </c>
      <c r="L72" s="116"/>
      <c r="M72" s="117">
        <f>M115</f>
        <v>0.11798732756232323</v>
      </c>
      <c r="N72" s="1024">
        <f>O72/O67</f>
        <v>1.8770056234824493E-2</v>
      </c>
      <c r="O72" s="596">
        <v>0.10724705862411225</v>
      </c>
      <c r="P72" s="116"/>
      <c r="Q72" s="596">
        <f>Q115</f>
        <v>0.11813598533348853</v>
      </c>
      <c r="R72" s="116"/>
      <c r="S72" s="596">
        <f>S115</f>
        <v>0.11813598533348853</v>
      </c>
      <c r="T72" s="1024">
        <f>U72/U67</f>
        <v>2.4614118232957234E-2</v>
      </c>
      <c r="U72" s="596">
        <v>0.14128503865717454</v>
      </c>
      <c r="V72" s="1024">
        <f>W72/W67</f>
        <v>2.7298952343045475E-2</v>
      </c>
      <c r="W72" s="596">
        <v>0.15669598644908103</v>
      </c>
      <c r="X72" s="1024">
        <f>Y72/Y67</f>
        <v>1.899550314430393E-2</v>
      </c>
      <c r="Y72" s="596">
        <v>0.10903418804830457</v>
      </c>
      <c r="Z72" s="1024">
        <f>AA72/AA67</f>
        <v>2.2868545255800003E-2</v>
      </c>
      <c r="AA72" s="596">
        <v>0.13126544976829202</v>
      </c>
      <c r="AB72" s="1024">
        <f>AC72/AC67</f>
        <v>3.2107671260205237E-2</v>
      </c>
      <c r="AC72" s="596">
        <v>0.18429803303357808</v>
      </c>
      <c r="AD72" s="1024">
        <f>AE72/AE67</f>
        <v>2.1502064520390007E-2</v>
      </c>
      <c r="AE72" s="596">
        <v>0.12342185034703863</v>
      </c>
      <c r="AF72" s="1024">
        <f>AG72/AG67</f>
        <v>2.6744431603818869E-2</v>
      </c>
      <c r="AG72" s="596">
        <v>0.15351303740592032</v>
      </c>
      <c r="AH72" s="1024">
        <f>AI72/AI67</f>
        <v>2.1159699707341401E-2</v>
      </c>
      <c r="AI72" s="596">
        <v>0.12145667632013965</v>
      </c>
      <c r="AJ72" s="1024">
        <f>AK72/AK67</f>
        <v>2.1040676721187274E-2</v>
      </c>
      <c r="AK72" s="596">
        <v>0.12077348437961496</v>
      </c>
      <c r="AL72" s="1024">
        <f>AM72/AM67</f>
        <v>2.1852034910791834E-2</v>
      </c>
      <c r="AM72" s="596">
        <v>0.12543068038794514</v>
      </c>
      <c r="AN72" s="1024">
        <f>AO72/AO67</f>
        <v>2.1655183403414567E-2</v>
      </c>
      <c r="AO72" s="596">
        <v>0.12430075273559962</v>
      </c>
      <c r="AP72" s="1024">
        <f>AQ72/AQ67</f>
        <v>2.1596590048663055E-2</v>
      </c>
      <c r="AQ72" s="596">
        <v>0.12396442687932593</v>
      </c>
      <c r="AR72" s="1024">
        <f>AS72/AS67</f>
        <v>1.9252080642912429E-2</v>
      </c>
      <c r="AS72" s="596">
        <v>0.11050694289031734</v>
      </c>
      <c r="AT72" s="1024">
        <f>AU72/AU67</f>
        <v>1.9187970749253665E-2</v>
      </c>
      <c r="AU72" s="596">
        <v>0.11013895210071603</v>
      </c>
      <c r="AV72" s="1024">
        <f>AW72/AW67</f>
        <v>2.1125423608175278E-2</v>
      </c>
      <c r="AW72" s="596">
        <v>0.12125993151092609</v>
      </c>
      <c r="AX72" s="1024">
        <f>AY72/AY67</f>
        <v>2.0670909659534061E-2</v>
      </c>
      <c r="AY72" s="596">
        <v>0.11865102144572552</v>
      </c>
      <c r="AZ72" s="1024">
        <f>BA72/BA67</f>
        <v>2.1024317352230714E-2</v>
      </c>
      <c r="BA72" s="596">
        <v>0.12067958160180431</v>
      </c>
      <c r="BB72" s="1024">
        <f>BC72/BC67</f>
        <v>1.9902896368396202E-2</v>
      </c>
      <c r="BC72" s="596">
        <v>0.11424262515459421</v>
      </c>
      <c r="BD72" s="1024">
        <f>BE72/BE67</f>
        <v>1.9249934531385442E-2</v>
      </c>
      <c r="BE72" s="596">
        <v>0.11049462421015244</v>
      </c>
      <c r="BF72" s="1024">
        <f t="shared" ref="BF72" si="668">BG72/BG67</f>
        <v>2.1308901358236664E-2</v>
      </c>
      <c r="BG72" s="596">
        <v>0.12231309379627846</v>
      </c>
      <c r="BH72" s="1024">
        <f t="shared" ref="BH72:BJ72" si="669">BI72/BI67</f>
        <v>1.889448619213397E-2</v>
      </c>
      <c r="BI72" s="596">
        <v>0.108454350742849</v>
      </c>
      <c r="BJ72" s="1024">
        <f t="shared" si="669"/>
        <v>1.9977957917337776E-2</v>
      </c>
      <c r="BK72" s="596">
        <v>0.116871053816426</v>
      </c>
      <c r="BL72" s="1024">
        <f t="shared" ref="BL72" si="670">BM72/BM67</f>
        <v>2.0379167998618289E-2</v>
      </c>
      <c r="BM72" s="596">
        <v>0.11921813279191699</v>
      </c>
      <c r="BN72" s="1024">
        <f t="shared" ref="BN72" si="671">BO72/BO67</f>
        <v>1.7979747041422564E-2</v>
      </c>
      <c r="BO72" s="596">
        <v>0.10518152019232201</v>
      </c>
      <c r="BP72" s="1024">
        <f t="shared" ref="BP72" si="672">BQ72/BQ67</f>
        <v>1.9702548552578289E-2</v>
      </c>
      <c r="BQ72" s="596">
        <v>0.115259909032583</v>
      </c>
      <c r="BR72" s="1024">
        <f t="shared" ref="BR72" si="673">BS72/BS67</f>
        <v>1.9702548552578289E-2</v>
      </c>
      <c r="BS72" s="596">
        <v>0.115259909032583</v>
      </c>
      <c r="BT72" s="1024">
        <f t="shared" ref="BT72" si="674">BU72/BU67</f>
        <v>1.9702548552578289E-2</v>
      </c>
      <c r="BU72" s="596">
        <v>0.115259909032583</v>
      </c>
      <c r="BV72" s="1024">
        <f t="shared" ref="BV72" si="675">BW72/BW67</f>
        <v>1.9702548552578289E-2</v>
      </c>
      <c r="BW72" s="596">
        <v>0.115259909032583</v>
      </c>
      <c r="BX72" s="1024">
        <f t="shared" ref="BX72" si="676">BY72/BY67</f>
        <v>2.0281234489951207E-2</v>
      </c>
      <c r="BY72" s="596">
        <v>0.11864522176621457</v>
      </c>
      <c r="BZ72" s="1024">
        <f t="shared" ref="BZ72" si="677">CA72/CA67</f>
        <v>2.0281234489951207E-2</v>
      </c>
      <c r="CA72" s="596">
        <v>0.11864522176621457</v>
      </c>
      <c r="CB72" s="1024">
        <f t="shared" ref="CB72" si="678">CC72/CC67</f>
        <v>2.0281234489951207E-2</v>
      </c>
      <c r="CC72" s="596">
        <v>0.11864522176621457</v>
      </c>
      <c r="CD72" s="1024"/>
      <c r="CE72" s="596">
        <v>0.11864522176621457</v>
      </c>
      <c r="CF72" s="1024"/>
      <c r="CG72" s="596">
        <v>0.11864522176621457</v>
      </c>
      <c r="CH72" s="1024"/>
      <c r="CI72" s="596">
        <v>0.11864522176621457</v>
      </c>
      <c r="CJ72" s="1024"/>
      <c r="CK72" s="596">
        <v>0.11864522176621457</v>
      </c>
      <c r="CL72" s="1024"/>
      <c r="CM72" s="596">
        <v>0.11864522176621457</v>
      </c>
      <c r="CN72" s="1024"/>
      <c r="CO72" s="596">
        <v>0.115259909032583</v>
      </c>
      <c r="CP72" s="1024">
        <f t="shared" ref="CP72" si="679">CQ72/CQ67</f>
        <v>1.9702548552578289E-2</v>
      </c>
      <c r="CQ72" s="596">
        <v>0.115259909032583</v>
      </c>
      <c r="CR72" s="1024">
        <f t="shared" ref="CR72" si="680">CS72/CS67</f>
        <v>1.9702548552578289E-2</v>
      </c>
      <c r="CS72" s="596">
        <v>0.115259909032583</v>
      </c>
      <c r="CT72" s="1024">
        <f t="shared" ref="CT72" si="681">CU72/CU67</f>
        <v>1.9702548552578289E-2</v>
      </c>
      <c r="CU72" s="596">
        <v>0.115259909032583</v>
      </c>
      <c r="CV72" s="1024">
        <f>CW72/CW67</f>
        <v>2.2780736999316351E-2</v>
      </c>
      <c r="CW72" s="596">
        <f>(SUMPRODUCT(O72,O$131)+SUMPRODUCT(U72,U$131)+SUMPRODUCT(W72,W$131))/SUM(O$131,U$131,W$131)</f>
        <v>0.13048554539001911</v>
      </c>
      <c r="CX72" s="1024">
        <f>CY72/CY67</f>
        <v>2.5396634031469838E-2</v>
      </c>
      <c r="CY72" s="596">
        <f>(SUMPRODUCT(AC72,AC$131)+SUMPRODUCT(AA72,AA$131)+SUMPRODUCT(Y72,Y$131))/SUM(AC$131,AA$131,Y$131)</f>
        <v>0.14577667934063687</v>
      </c>
      <c r="CZ72" s="1024">
        <f>DA72/DA67</f>
        <v>2.2295229100701607E-2</v>
      </c>
      <c r="DA72" s="596">
        <f>(SUMPRODUCT(AI72,AI$131)+SUMPRODUCT(AG72,AG$131)+SUMPRODUCT(AE72,AE$131))/SUM(AI$131,AG$131,AE$131)</f>
        <v>0.12797461503802723</v>
      </c>
      <c r="DB72" s="1024">
        <f>DC72/DC67</f>
        <v>2.2295229100701607E-2</v>
      </c>
      <c r="DC72" s="596">
        <f>(SUMPRODUCT(AI72,AI$131)+SUMPRODUCT(AG72,AG$131)+SUMPRODUCT(AE72,AE$131))/SUM(AI$131,AG$131,AE$131)</f>
        <v>0.12797461503802723</v>
      </c>
      <c r="DD72" s="1024">
        <f>DE72/DE67</f>
        <v>2.3925408535959362E-2</v>
      </c>
      <c r="DE72" s="596">
        <f>(SUMPRODUCT(O72,O$131)+SUMPRODUCT(U72,U$131)+SUMPRODUCT(W72,W$131)+SUMPRODUCT(Y72,Y$131)+SUMPRODUCT(AA72,AA$131)+SUMPRODUCT(AC72,AC$131))/SUM(O$131,U$131,W$131,Y$131,AA$131,AC$131)</f>
        <v>0.13716873544496627</v>
      </c>
      <c r="DF72" s="1024">
        <f>DG72/DG67</f>
        <v>2.3563836829903106E-2</v>
      </c>
      <c r="DG72" s="596">
        <f>(SUMPRODUCT(CY72,CY$131)+SUMPRODUCT(CW72,CW$131)+SUMPRODUCT(AI72,AI$131))/SUM(CY$131,CW$131,AI$131)</f>
        <v>0.13525642340364383</v>
      </c>
      <c r="DH72" s="1024">
        <f>DI72/DI67</f>
        <v>2.0475938406084356E-2</v>
      </c>
      <c r="DI72" s="596">
        <f>(SUMPRODUCT(AI72,AI$131)+SUMPRODUCT(AG72,AG$131)+SUMPRODUCT(AE72,AE$131))/SUM(AI$131,AG$131,AE$131)</f>
        <v>0.12797461503802723</v>
      </c>
      <c r="DJ72" s="1024">
        <f>DK72/DK67</f>
        <v>2.2295229100701607E-2</v>
      </c>
      <c r="DK72" s="596">
        <f>DI72</f>
        <v>0.12797461503802723</v>
      </c>
    </row>
    <row r="73" spans="1:115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42"/>
      <c r="K73" s="118"/>
      <c r="L73" s="42"/>
      <c r="M73" s="118"/>
      <c r="N73" s="359"/>
      <c r="O73" s="597"/>
      <c r="P73" s="359"/>
      <c r="Q73" s="597"/>
      <c r="R73" s="359"/>
      <c r="S73" s="597"/>
      <c r="T73" s="359"/>
      <c r="U73" s="597"/>
      <c r="V73" s="359"/>
      <c r="W73" s="597"/>
      <c r="X73" s="359"/>
      <c r="Y73" s="597"/>
      <c r="Z73" s="359"/>
      <c r="AA73" s="597"/>
      <c r="AB73" s="359"/>
      <c r="AC73" s="597"/>
      <c r="AD73" s="359"/>
      <c r="AE73" s="597"/>
      <c r="AF73" s="359"/>
      <c r="AG73" s="597"/>
      <c r="AH73" s="359"/>
      <c r="AI73" s="597"/>
      <c r="AJ73" s="359"/>
      <c r="AK73" s="597"/>
      <c r="AL73" s="359"/>
      <c r="AM73" s="597"/>
      <c r="AN73" s="359"/>
      <c r="AO73" s="597"/>
      <c r="AP73" s="359"/>
      <c r="AQ73" s="597"/>
      <c r="AR73" s="359"/>
      <c r="AS73" s="597"/>
      <c r="AT73" s="359"/>
      <c r="AU73" s="597"/>
      <c r="AV73" s="359"/>
      <c r="AW73" s="597"/>
      <c r="AX73" s="359"/>
      <c r="AY73" s="597"/>
      <c r="AZ73" s="359"/>
      <c r="BA73" s="597"/>
      <c r="BB73" s="359"/>
      <c r="BC73" s="597"/>
      <c r="BD73" s="359"/>
      <c r="BE73" s="597"/>
      <c r="BF73" s="359"/>
      <c r="BG73" s="597"/>
      <c r="BH73" s="359"/>
      <c r="BI73" s="597"/>
      <c r="BJ73" s="359"/>
      <c r="BK73" s="597"/>
      <c r="BL73" s="359"/>
      <c r="BM73" s="597"/>
      <c r="BN73" s="359"/>
      <c r="BO73" s="597"/>
      <c r="BP73" s="359"/>
      <c r="BQ73" s="597"/>
      <c r="BR73" s="359"/>
      <c r="BS73" s="597"/>
      <c r="BT73" s="359"/>
      <c r="BU73" s="597"/>
      <c r="BV73" s="359"/>
      <c r="BW73" s="597"/>
      <c r="BX73" s="359"/>
      <c r="BY73" s="597"/>
      <c r="BZ73" s="359"/>
      <c r="CA73" s="597"/>
      <c r="CB73" s="359"/>
      <c r="CC73" s="597"/>
      <c r="CD73" s="359"/>
      <c r="CE73" s="597"/>
      <c r="CF73" s="359"/>
      <c r="CG73" s="597"/>
      <c r="CH73" s="359"/>
      <c r="CI73" s="597"/>
      <c r="CJ73" s="359"/>
      <c r="CK73" s="597"/>
      <c r="CL73" s="359"/>
      <c r="CM73" s="597"/>
      <c r="CN73" s="359"/>
      <c r="CO73" s="597"/>
      <c r="CP73" s="359"/>
      <c r="CQ73" s="597"/>
      <c r="CR73" s="359"/>
      <c r="CS73" s="597"/>
      <c r="CT73" s="359"/>
      <c r="CU73" s="597"/>
      <c r="CV73" s="359"/>
      <c r="CW73" s="597"/>
      <c r="CX73" s="359"/>
      <c r="CY73" s="597"/>
      <c r="CZ73" s="359"/>
      <c r="DA73" s="597"/>
      <c r="DB73" s="359"/>
      <c r="DC73" s="597"/>
      <c r="DD73" s="359"/>
      <c r="DE73" s="597"/>
      <c r="DF73" s="359"/>
      <c r="DG73" s="597"/>
      <c r="DH73" s="359"/>
      <c r="DI73" s="597"/>
      <c r="DJ73" s="359"/>
      <c r="DK73" s="597"/>
    </row>
    <row r="74" spans="1:115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3.4150577664704742</v>
      </c>
      <c r="H74" s="66"/>
      <c r="I74" s="70">
        <v>3.5374026430297474</v>
      </c>
      <c r="J74" s="66"/>
      <c r="K74" s="70">
        <v>3.5374026430297474</v>
      </c>
      <c r="L74" s="66"/>
      <c r="M74" s="70">
        <v>3.5374026430297474</v>
      </c>
      <c r="N74" s="552"/>
      <c r="O74" s="70">
        <v>3.5641359819458405</v>
      </c>
      <c r="P74" s="552"/>
      <c r="Q74" s="70">
        <f>Q76/Q79</f>
        <v>3.6873239436619718</v>
      </c>
      <c r="R74" s="552"/>
      <c r="S74" s="70">
        <f>S76/S79</f>
        <v>3.6873239436619718</v>
      </c>
      <c r="T74" s="552"/>
      <c r="U74" s="70">
        <v>3.8016785978282286</v>
      </c>
      <c r="V74" s="552"/>
      <c r="W74" s="70">
        <v>3.8357087697703642</v>
      </c>
      <c r="X74" s="552"/>
      <c r="Y74" s="70">
        <v>4.0542216869255858</v>
      </c>
      <c r="Z74" s="552"/>
      <c r="AA74" s="70">
        <v>4.1469024743295311</v>
      </c>
      <c r="AB74" s="552"/>
      <c r="AC74" s="70">
        <v>4.0240611466389407</v>
      </c>
      <c r="AD74" s="552"/>
      <c r="AE74" s="70">
        <v>3.9670477378307458</v>
      </c>
      <c r="AF74" s="552"/>
      <c r="AG74" s="70">
        <v>3.9816320301812569</v>
      </c>
      <c r="AH74" s="552"/>
      <c r="AI74" s="70">
        <v>3.7081106024647585</v>
      </c>
      <c r="AJ74" s="552"/>
      <c r="AK74" s="70">
        <v>3.6015388008703577</v>
      </c>
      <c r="AL74" s="552"/>
      <c r="AM74" s="70">
        <v>3.5370245343777031</v>
      </c>
      <c r="AN74" s="552"/>
      <c r="AO74" s="70">
        <v>3.4517120385273188</v>
      </c>
      <c r="AP74" s="552"/>
      <c r="AQ74" s="70">
        <v>3.5481246726186844</v>
      </c>
      <c r="AR74" s="552"/>
      <c r="AS74" s="70">
        <v>3.5868493389644387</v>
      </c>
      <c r="AT74" s="552"/>
      <c r="AU74" s="70">
        <v>3.4531313651573519</v>
      </c>
      <c r="AV74" s="552"/>
      <c r="AW74" s="70">
        <v>3.6797659366127373</v>
      </c>
      <c r="AX74" s="552"/>
      <c r="AY74" s="70">
        <v>3.7014773716313245</v>
      </c>
      <c r="AZ74" s="552"/>
      <c r="BA74" s="70">
        <v>3.5717663487961144</v>
      </c>
      <c r="BB74" s="552"/>
      <c r="BC74" s="70">
        <v>3.4982158328241768</v>
      </c>
      <c r="BD74" s="552"/>
      <c r="BE74" s="70">
        <v>3.384115221550541</v>
      </c>
      <c r="BF74" s="552"/>
      <c r="BG74" s="70">
        <v>3.459091107274209</v>
      </c>
      <c r="BH74" s="552"/>
      <c r="BI74" s="70">
        <v>3.44</v>
      </c>
      <c r="BJ74" s="552"/>
      <c r="BK74" s="70">
        <v>3.4</v>
      </c>
      <c r="BL74" s="552"/>
      <c r="BM74" s="70">
        <v>3.4251662749532299</v>
      </c>
      <c r="BN74" s="552"/>
      <c r="BO74" s="70">
        <f>BO77/BO79*BO10</f>
        <v>3.4860736747529204</v>
      </c>
      <c r="BP74" s="552"/>
      <c r="BQ74" s="70">
        <f>BQ77/BQ79*BQ10</f>
        <v>3.5997707152410676</v>
      </c>
      <c r="BR74" s="552"/>
      <c r="BS74" s="70">
        <f>BS77/BS79*BS10</f>
        <v>3.5556689197806399</v>
      </c>
      <c r="BT74" s="552"/>
      <c r="BU74" s="70">
        <f>BU77/BU79*BU10</f>
        <v>3.6651104886399004</v>
      </c>
      <c r="BV74" s="552"/>
      <c r="BW74" s="70">
        <f>BW77/BW79*BW10</f>
        <v>3.5752938981153197</v>
      </c>
      <c r="BX74" s="552"/>
      <c r="BY74" s="70">
        <f>BY77/BY79*BY10</f>
        <v>3.6274329219623014</v>
      </c>
      <c r="BZ74" s="552"/>
      <c r="CA74" s="70">
        <f>CA77/CA79*CA10</f>
        <v>3.6079685194294147</v>
      </c>
      <c r="CB74" s="552"/>
      <c r="CC74" s="70">
        <f>CC77/CC79*CC10</f>
        <v>3.6049351788062878</v>
      </c>
      <c r="CD74" s="552"/>
      <c r="CE74" s="70">
        <f>CE77/CE79*CE10</f>
        <v>3.6325814210492102</v>
      </c>
      <c r="CF74" s="552"/>
      <c r="CG74" s="70">
        <f>CG77/CG79*CG10</f>
        <v>3.6304909560723515</v>
      </c>
      <c r="CH74" s="552"/>
      <c r="CI74" s="70">
        <f>CI77/CI79*CI10</f>
        <v>3.3356585706132287</v>
      </c>
      <c r="CJ74" s="552"/>
      <c r="CK74" s="70">
        <f>CK77/CK79*CK10</f>
        <v>3.3458552466816931</v>
      </c>
      <c r="CL74" s="552"/>
      <c r="CM74" s="70">
        <f>CM77/CM79*CM10</f>
        <v>3.5625</v>
      </c>
      <c r="CN74" s="552"/>
      <c r="CO74" s="70">
        <f>CO77/CO79*CO10</f>
        <v>3.5625</v>
      </c>
      <c r="CP74" s="552"/>
      <c r="CQ74" s="70">
        <f>CO74</f>
        <v>3.5625</v>
      </c>
      <c r="CR74" s="552"/>
      <c r="CS74" s="70">
        <v>3.5053777101261478</v>
      </c>
      <c r="CT74" s="552"/>
      <c r="CU74" s="70">
        <v>3.5053777101261478</v>
      </c>
      <c r="CV74" s="552"/>
      <c r="CW74" s="70">
        <f>CW76/CW79</f>
        <v>3.7030596932180591</v>
      </c>
      <c r="CX74" s="552"/>
      <c r="CY74" s="70">
        <f>CY76/CY79</f>
        <v>4.0676918174872707</v>
      </c>
      <c r="CZ74" s="552"/>
      <c r="DA74" s="70">
        <f>DA76/DA79</f>
        <v>3.8163576411809732</v>
      </c>
      <c r="DB74" s="552"/>
      <c r="DC74" s="70">
        <f>DC76/DC79</f>
        <v>3.7333333333333334</v>
      </c>
      <c r="DD74" s="552"/>
      <c r="DE74" s="70">
        <f>DE76/DE79</f>
        <v>3.8637980914371459</v>
      </c>
      <c r="DF74" s="552"/>
      <c r="DG74" s="70">
        <f>DG76/DG79</f>
        <v>3.9189189189189189</v>
      </c>
      <c r="DH74" s="552"/>
      <c r="DI74" s="70">
        <f>DI76/DI79</f>
        <v>3.8961038961038961</v>
      </c>
      <c r="DJ74" s="552"/>
      <c r="DK74" s="70">
        <f>DK76/DK79</f>
        <v>3.6363636363636362</v>
      </c>
    </row>
    <row r="75" spans="1:115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8.537644416176185E-2</v>
      </c>
      <c r="H75" s="124"/>
      <c r="I75" s="125">
        <f>+I74/I10</f>
        <v>8.8435066075743682E-2</v>
      </c>
      <c r="J75" s="124"/>
      <c r="K75" s="125">
        <f>+K74/K10</f>
        <v>8.8435066075743682E-2</v>
      </c>
      <c r="L75" s="124"/>
      <c r="M75" s="125">
        <f>+M74/M10</f>
        <v>8.8435066075743682E-2</v>
      </c>
      <c r="N75" s="124"/>
      <c r="O75" s="70">
        <f>+O74/O10</f>
        <v>8.9103399548646017E-2</v>
      </c>
      <c r="P75" s="124"/>
      <c r="Q75" s="70">
        <f>+Q74/Q10</f>
        <v>9.2183098591549301E-2</v>
      </c>
      <c r="R75" s="124"/>
      <c r="S75" s="70">
        <f>+S74/S10</f>
        <v>9.2183098591549301E-2</v>
      </c>
      <c r="T75" s="124"/>
      <c r="U75" s="70">
        <f>+U74/U10</f>
        <v>9.5041964945705715E-2</v>
      </c>
      <c r="V75" s="124"/>
      <c r="W75" s="70">
        <f>+W74/W10</f>
        <v>9.58927192442591E-2</v>
      </c>
      <c r="X75" s="124"/>
      <c r="Y75" s="70">
        <f>+Y74/Y10</f>
        <v>0.10135554217313965</v>
      </c>
      <c r="Z75" s="124"/>
      <c r="AA75" s="70">
        <f>+AA74/AA10</f>
        <v>0.10367256185823828</v>
      </c>
      <c r="AB75" s="124"/>
      <c r="AC75" s="70">
        <f>+AC74/AC10</f>
        <v>0.10060152866597352</v>
      </c>
      <c r="AD75" s="124"/>
      <c r="AE75" s="70">
        <f>+AE74/AE10</f>
        <v>9.917619344576864E-2</v>
      </c>
      <c r="AF75" s="124"/>
      <c r="AG75" s="70">
        <f>+AG74/AG10</f>
        <v>9.9540800754531422E-2</v>
      </c>
      <c r="AH75" s="124"/>
      <c r="AI75" s="70">
        <f>+AI74/AI10</f>
        <v>9.2702765061618966E-2</v>
      </c>
      <c r="AJ75" s="124"/>
      <c r="AK75" s="70">
        <f>+AK74/AK10</f>
        <v>9.0038470021758937E-2</v>
      </c>
      <c r="AL75" s="124"/>
      <c r="AM75" s="70">
        <f>+AM74/AM10</f>
        <v>8.8425613359442573E-2</v>
      </c>
      <c r="AN75" s="124"/>
      <c r="AO75" s="70">
        <f>+AO74/AO10</f>
        <v>8.6292800963182967E-2</v>
      </c>
      <c r="AP75" s="124"/>
      <c r="AQ75" s="70">
        <f>+AQ74/AQ10</f>
        <v>8.8703116815467109E-2</v>
      </c>
      <c r="AR75" s="124"/>
      <c r="AS75" s="70">
        <f>+AS74/AS10</f>
        <v>8.9671233474110962E-2</v>
      </c>
      <c r="AT75" s="124"/>
      <c r="AU75" s="70">
        <f>+AU74/AU10</f>
        <v>8.6328284128933799E-2</v>
      </c>
      <c r="AV75" s="124"/>
      <c r="AW75" s="70">
        <f>+AW74/AW10</f>
        <v>9.199414841531843E-2</v>
      </c>
      <c r="AX75" s="124"/>
      <c r="AY75" s="70">
        <f>+AY74/AY10</f>
        <v>9.2536934290783107E-2</v>
      </c>
      <c r="AZ75" s="124"/>
      <c r="BA75" s="70">
        <f>+BA74/BA10</f>
        <v>8.9294158719902858E-2</v>
      </c>
      <c r="BB75" s="124"/>
      <c r="BC75" s="70">
        <f>+BC74/BC10</f>
        <v>8.7455395820604423E-2</v>
      </c>
      <c r="BD75" s="124"/>
      <c r="BE75" s="70">
        <f>+BE74/BE10</f>
        <v>8.4602880538763525E-2</v>
      </c>
      <c r="BF75" s="124"/>
      <c r="BG75" s="70">
        <f>+BG74/BG10</f>
        <v>8.647727768185523E-2</v>
      </c>
      <c r="BH75" s="124"/>
      <c r="BI75" s="70">
        <f>+BI74/BI10</f>
        <v>8.5999999999999993E-2</v>
      </c>
      <c r="BJ75" s="124"/>
      <c r="BK75" s="70">
        <f>+BK74/BK10</f>
        <v>8.4999999999999992E-2</v>
      </c>
      <c r="BL75" s="124"/>
      <c r="BM75" s="70">
        <f>+BM74/BM10</f>
        <v>8.5629156873830742E-2</v>
      </c>
      <c r="BN75" s="124"/>
      <c r="BO75" s="70">
        <f>+BO74/BO10</f>
        <v>8.7151841868823007E-2</v>
      </c>
      <c r="BP75" s="124"/>
      <c r="BQ75" s="70">
        <f>+BQ74/BQ10</f>
        <v>8.9994267881026685E-2</v>
      </c>
      <c r="BR75" s="124"/>
      <c r="BS75" s="70">
        <f>+BS74/BS10</f>
        <v>8.8891722994516004E-2</v>
      </c>
      <c r="BT75" s="124"/>
      <c r="BU75" s="70">
        <f>+BU74/BU10</f>
        <v>9.1627762215997513E-2</v>
      </c>
      <c r="BV75" s="124"/>
      <c r="BW75" s="70">
        <f>+BW74/BW10</f>
        <v>8.9382347452882996E-2</v>
      </c>
      <c r="BX75" s="124"/>
      <c r="BY75" s="70">
        <f>+BY74/BY10</f>
        <v>9.0685823049057535E-2</v>
      </c>
      <c r="BZ75" s="124"/>
      <c r="CA75" s="70">
        <f>+CA74/CA10</f>
        <v>9.0199212985735369E-2</v>
      </c>
      <c r="CB75" s="124"/>
      <c r="CC75" s="70">
        <f>+CC74/CC10</f>
        <v>9.0123379470157194E-2</v>
      </c>
      <c r="CD75" s="124"/>
      <c r="CE75" s="70">
        <f>+CE74/CE10</f>
        <v>9.0814535526230256E-2</v>
      </c>
      <c r="CF75" s="124"/>
      <c r="CG75" s="70">
        <f>+CG74/CG10</f>
        <v>9.0762273901808785E-2</v>
      </c>
      <c r="CH75" s="124"/>
      <c r="CI75" s="70">
        <f>+CI74/CI10</f>
        <v>8.3391464265330714E-2</v>
      </c>
      <c r="CJ75" s="124"/>
      <c r="CK75" s="70">
        <f>+CK74/CK10</f>
        <v>8.364638116704233E-2</v>
      </c>
      <c r="CL75" s="124"/>
      <c r="CM75" s="70">
        <f>+CM74/CM10</f>
        <v>8.9062500000000003E-2</v>
      </c>
      <c r="CN75" s="124"/>
      <c r="CO75" s="70">
        <f>+CO74/CO10</f>
        <v>8.9062500000000003E-2</v>
      </c>
      <c r="CP75" s="124"/>
      <c r="CQ75" s="70">
        <f>+CQ74/CQ10</f>
        <v>8.9062500000000003E-2</v>
      </c>
      <c r="CR75" s="124"/>
      <c r="CS75" s="70">
        <f>+CS74/CS10</f>
        <v>8.7634442753153699E-2</v>
      </c>
      <c r="CT75" s="124"/>
      <c r="CU75" s="70">
        <f>+CU74/CU10</f>
        <v>8.7634442753153699E-2</v>
      </c>
      <c r="CV75" s="124"/>
      <c r="CW75" s="70">
        <f>+CW74/CW10</f>
        <v>9.2576492330451482E-2</v>
      </c>
      <c r="CX75" s="124"/>
      <c r="CY75" s="70">
        <f>+CY74/CY10</f>
        <v>0.10169229543718177</v>
      </c>
      <c r="CZ75" s="124"/>
      <c r="DA75" s="70">
        <f>+DA74/DA10</f>
        <v>9.5408941029524325E-2</v>
      </c>
      <c r="DB75" s="124"/>
      <c r="DC75" s="70">
        <f>+DC74/DC10</f>
        <v>9.3333333333333338E-2</v>
      </c>
      <c r="DD75" s="124"/>
      <c r="DE75" s="70">
        <f>+DE74/DE10</f>
        <v>9.6594952285928654E-2</v>
      </c>
      <c r="DF75" s="124"/>
      <c r="DG75" s="70">
        <f>+DG74/DG10</f>
        <v>9.7972972972972971E-2</v>
      </c>
      <c r="DH75" s="124"/>
      <c r="DI75" s="70">
        <f>+DI74/DI10</f>
        <v>9.7402597402597407E-2</v>
      </c>
      <c r="DJ75" s="124"/>
      <c r="DK75" s="70">
        <f>+DK74/DK10</f>
        <v>9.0909090909090912E-2</v>
      </c>
    </row>
    <row r="76" spans="1:115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90">
        <f>G74*G79</f>
        <v>48592.85695910838</v>
      </c>
      <c r="H76" s="127"/>
      <c r="I76" s="90">
        <f>I74*I79</f>
        <v>50333.702207670278</v>
      </c>
      <c r="J76" s="127"/>
      <c r="K76" s="90">
        <f>K74*K79</f>
        <v>50333.702207670278</v>
      </c>
      <c r="L76" s="127"/>
      <c r="M76" s="90">
        <f>M74*M79</f>
        <v>50333.702207670278</v>
      </c>
      <c r="N76" s="380"/>
      <c r="O76" s="374">
        <f>O77*O10</f>
        <v>51070.50448530195</v>
      </c>
      <c r="P76" s="380"/>
      <c r="Q76" s="374">
        <f>Q77*Q10</f>
        <v>52360</v>
      </c>
      <c r="R76" s="380"/>
      <c r="S76" s="374">
        <f>S77*S10</f>
        <v>52360</v>
      </c>
      <c r="T76" s="380"/>
      <c r="U76" s="374">
        <f>U77*U10</f>
        <v>54565.492914628565</v>
      </c>
      <c r="V76" s="380"/>
      <c r="W76" s="374">
        <f>W77*W10</f>
        <v>55030.913719895412</v>
      </c>
      <c r="X76" s="380"/>
      <c r="Y76" s="374">
        <f>Y77*Y10</f>
        <v>58247.002976059892</v>
      </c>
      <c r="Z76" s="380"/>
      <c r="AA76" s="374">
        <f>AA77*AA10</f>
        <v>60615.273467274754</v>
      </c>
      <c r="AB76" s="380"/>
      <c r="AC76" s="374">
        <f>AC77*AC10</f>
        <v>59045.049204633178</v>
      </c>
      <c r="AD76" s="380"/>
      <c r="AE76" s="374">
        <f>AE77*AE10</f>
        <v>59422.408064966745</v>
      </c>
      <c r="AF76" s="380"/>
      <c r="AG76" s="374">
        <f>AG77*AG10</f>
        <v>59139.180544282208</v>
      </c>
      <c r="AH76" s="380"/>
      <c r="AI76" s="374">
        <f>AI77*AI10</f>
        <v>55758.859129262572</v>
      </c>
      <c r="AJ76" s="380"/>
      <c r="AK76" s="374">
        <f>AK77*AK10</f>
        <v>55528.525231819178</v>
      </c>
      <c r="AL76" s="380"/>
      <c r="AM76" s="374">
        <f>AM77*AM10</f>
        <v>55336.748840339169</v>
      </c>
      <c r="AN76" s="380"/>
      <c r="AO76" s="374">
        <f>AO77*AO10</f>
        <v>53926.097177912299</v>
      </c>
      <c r="AP76" s="380"/>
      <c r="AQ76" s="374">
        <f>AQ77*AQ10</f>
        <v>54396.299355917057</v>
      </c>
      <c r="AR76" s="380"/>
      <c r="AS76" s="374">
        <f>AS77*AS10</f>
        <v>54129.143374312342</v>
      </c>
      <c r="AT76" s="380"/>
      <c r="AU76" s="374">
        <f>AU77*AU10</f>
        <v>52746.581602778548</v>
      </c>
      <c r="AV76" s="380"/>
      <c r="AW76" s="374">
        <f>AW77*AW10</f>
        <v>54670.282520255438</v>
      </c>
      <c r="AX76" s="380"/>
      <c r="AY76" s="374">
        <f>AY77*AY10</f>
        <v>54711.537030082611</v>
      </c>
      <c r="AZ76" s="380"/>
      <c r="BA76" s="374">
        <f>BA77*BA10</f>
        <v>53330.043353874782</v>
      </c>
      <c r="BB76" s="380"/>
      <c r="BC76" s="374">
        <f>BC77*BC10</f>
        <v>52557.194672350437</v>
      </c>
      <c r="BD76" s="380"/>
      <c r="BE76" s="374">
        <f>BE77*BE10</f>
        <v>51560.379515544046</v>
      </c>
      <c r="BF76" s="380"/>
      <c r="BG76" s="374">
        <f>BG77*BG10</f>
        <v>53045.162130049997</v>
      </c>
      <c r="BH76" s="380"/>
      <c r="BI76" s="374">
        <f>BI77*BI10</f>
        <v>54052.72</v>
      </c>
      <c r="BJ76" s="380"/>
      <c r="BK76" s="374">
        <f>BK77*BK10</f>
        <v>53342.600000000006</v>
      </c>
      <c r="BL76" s="380"/>
      <c r="BM76" s="374">
        <f>BM77*BM10</f>
        <v>53158.580587274126</v>
      </c>
      <c r="BN76" s="380"/>
      <c r="BO76" s="374">
        <f>BO77*BO10</f>
        <v>54320</v>
      </c>
      <c r="BP76" s="380"/>
      <c r="BQ76" s="374">
        <f>BQ77*BQ10</f>
        <v>56520</v>
      </c>
      <c r="BR76" s="380"/>
      <c r="BS76" s="374">
        <f>BS77*BS10</f>
        <v>55760</v>
      </c>
      <c r="BT76" s="380"/>
      <c r="BU76" s="374">
        <f>BU77*BU10</f>
        <v>58880</v>
      </c>
      <c r="BV76" s="380"/>
      <c r="BW76" s="374">
        <f>BW77*BW10</f>
        <v>57480</v>
      </c>
      <c r="BX76" s="380"/>
      <c r="BY76" s="374">
        <f>BY77*BY10</f>
        <v>59080</v>
      </c>
      <c r="BZ76" s="380"/>
      <c r="CA76" s="374">
        <f>CA77*CA10</f>
        <v>58680</v>
      </c>
      <c r="CB76" s="380"/>
      <c r="CC76" s="374">
        <f>CC77*CC10</f>
        <v>57560</v>
      </c>
      <c r="CD76" s="380"/>
      <c r="CE76" s="374">
        <f>CE77*CE10</f>
        <v>55880</v>
      </c>
      <c r="CF76" s="380"/>
      <c r="CG76" s="374">
        <f>CG77*CG10</f>
        <v>56200</v>
      </c>
      <c r="CH76" s="380"/>
      <c r="CI76" s="374">
        <f>CI77*CI10</f>
        <v>52600</v>
      </c>
      <c r="CJ76" s="380"/>
      <c r="CK76" s="374">
        <f>CK77*CK10</f>
        <v>53440</v>
      </c>
      <c r="CL76" s="380"/>
      <c r="CM76" s="374">
        <f>CM77*CM10</f>
        <v>57000</v>
      </c>
      <c r="CN76" s="380"/>
      <c r="CO76" s="374">
        <f>CO77*CO10</f>
        <v>57000</v>
      </c>
      <c r="CP76" s="380"/>
      <c r="CQ76" s="374">
        <f>CQ77*CQ10</f>
        <v>57000</v>
      </c>
      <c r="CR76" s="380"/>
      <c r="CS76" s="374">
        <f>CS77*CS10</f>
        <v>54971.333250198251</v>
      </c>
      <c r="CT76" s="380"/>
      <c r="CU76" s="374">
        <f>CU77*CU10</f>
        <v>54971.333250198251</v>
      </c>
      <c r="CV76" s="380"/>
      <c r="CW76" s="374">
        <f>CW77*CW10</f>
        <v>53101.989031084384</v>
      </c>
      <c r="CX76" s="380"/>
      <c r="CY76" s="374">
        <f>CY77*CY10</f>
        <v>59228.33271919618</v>
      </c>
      <c r="CZ76" s="380"/>
      <c r="DA76" s="374">
        <f>DA77*DA10</f>
        <v>57204.663133283982</v>
      </c>
      <c r="DB76" s="380"/>
      <c r="DC76" s="374">
        <f>DC77*DC10</f>
        <v>56000</v>
      </c>
      <c r="DD76" s="380"/>
      <c r="DE76" s="374">
        <f>DE77*DE10</f>
        <v>55779.587654038245</v>
      </c>
      <c r="DF76" s="380"/>
      <c r="DG76" s="374">
        <f>DG77*DG10</f>
        <v>58000</v>
      </c>
      <c r="DH76" s="380"/>
      <c r="DI76" s="374">
        <f>DI77*DI10</f>
        <v>60000</v>
      </c>
      <c r="DJ76" s="380"/>
      <c r="DK76" s="374">
        <f>DK77*DK10</f>
        <v>56000</v>
      </c>
    </row>
    <row r="77" spans="1:115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G76/G10</f>
        <v>1214.8214239777094</v>
      </c>
      <c r="H77" s="127"/>
      <c r="I77" s="90">
        <f>I76/I10</f>
        <v>1258.3425551917569</v>
      </c>
      <c r="J77" s="127"/>
      <c r="K77" s="90">
        <f>K76/K10</f>
        <v>1258.3425551917569</v>
      </c>
      <c r="L77" s="127"/>
      <c r="M77" s="90">
        <f>M76/M10</f>
        <v>1258.3425551917569</v>
      </c>
      <c r="N77" s="684">
        <f>O77/I77-1</f>
        <v>1.4638348567957982E-2</v>
      </c>
      <c r="O77" s="622">
        <f>O74*O79/O10</f>
        <v>1276.7626121325488</v>
      </c>
      <c r="P77" s="380"/>
      <c r="Q77" s="622">
        <v>1309</v>
      </c>
      <c r="R77" s="380"/>
      <c r="S77" s="622">
        <v>1309</v>
      </c>
      <c r="T77" s="684">
        <f>U77/O77-1</f>
        <v>6.8434578129778822E-2</v>
      </c>
      <c r="U77" s="622">
        <f>U74*U79/U10</f>
        <v>1364.1373228657142</v>
      </c>
      <c r="V77" s="684">
        <f>W77/U77-1</f>
        <v>8.5295812500958412E-3</v>
      </c>
      <c r="W77" s="622">
        <f>W74*W79/W10</f>
        <v>1375.7728429973854</v>
      </c>
      <c r="X77" s="684">
        <f>Y77/W77-1</f>
        <v>5.8441502035277981E-2</v>
      </c>
      <c r="Y77" s="622">
        <f>Y74*Y79/Y10</f>
        <v>1456.1750744014973</v>
      </c>
      <c r="Z77" s="684">
        <f>AA77/Y77-1</f>
        <v>4.0659096094407543E-2</v>
      </c>
      <c r="AA77" s="622">
        <f>AA74*AA79/AA10</f>
        <v>1515.3818366818689</v>
      </c>
      <c r="AB77" s="684">
        <f>AC77/AA77-1</f>
        <v>-2.5904762493389022E-2</v>
      </c>
      <c r="AC77" s="622">
        <f>AC74*AC79/AC10</f>
        <v>1476.1262301158295</v>
      </c>
      <c r="AD77" s="684">
        <f>AE77/AC77-1</f>
        <v>6.3910330403105231E-3</v>
      </c>
      <c r="AE77" s="622">
        <f>AE74*AE79/AE10</f>
        <v>1485.5602016241687</v>
      </c>
      <c r="AF77" s="684">
        <f>AG77/AE77-1</f>
        <v>-4.766342023279968E-3</v>
      </c>
      <c r="AG77" s="622">
        <f>AG74*AG79/AG10</f>
        <v>1478.4795136070552</v>
      </c>
      <c r="AH77" s="684">
        <f>AI77/AG77-1</f>
        <v>-5.715874626447548E-2</v>
      </c>
      <c r="AI77" s="622">
        <f>AI74*AI79/AI10</f>
        <v>1393.9714782315643</v>
      </c>
      <c r="AJ77" s="684">
        <f>AK77/AI77-1</f>
        <v>-4.1308932973220802E-3</v>
      </c>
      <c r="AK77" s="622">
        <f>AK74*AK79/AK10</f>
        <v>1388.2131307954794</v>
      </c>
      <c r="AL77" s="684">
        <f>AM77/AK77-1</f>
        <v>-3.4536554082678084E-3</v>
      </c>
      <c r="AM77" s="622">
        <f>AM74*AM79/AM10</f>
        <v>1383.4187210084792</v>
      </c>
      <c r="AN77" s="684">
        <f>AO77/AM77-1</f>
        <v>-2.5492131214592484E-2</v>
      </c>
      <c r="AO77" s="622">
        <f>AO74*AO79/AO10</f>
        <v>1348.1524294478074</v>
      </c>
      <c r="AP77" s="684">
        <f>AQ77/AO77-1</f>
        <v>8.7193808306480491E-3</v>
      </c>
      <c r="AQ77" s="622">
        <f>AQ74*AQ79/AQ10</f>
        <v>1359.9074838979263</v>
      </c>
      <c r="AR77" s="684">
        <f>AS77/AQ77-1</f>
        <v>-4.9112896422732755E-3</v>
      </c>
      <c r="AS77" s="622">
        <f>AS74*AS79/AS10</f>
        <v>1353.2285843578086</v>
      </c>
      <c r="AT77" s="684">
        <f>AU77/AS77-1</f>
        <v>-2.554191116554605E-2</v>
      </c>
      <c r="AU77" s="622">
        <f>AU74*AU79/AU10</f>
        <v>1318.6645400694638</v>
      </c>
      <c r="AV77" s="684">
        <f>AW77/AU77-1</f>
        <v>3.6470627271427913E-2</v>
      </c>
      <c r="AW77" s="622">
        <f>AW74*AW79/AW10</f>
        <v>1366.757063006386</v>
      </c>
      <c r="AX77" s="684">
        <f>AY77/AW77-1</f>
        <v>7.5460575518127015E-4</v>
      </c>
      <c r="AY77" s="622">
        <f>AY74*AY79/AY10</f>
        <v>1367.7884257520652</v>
      </c>
      <c r="AZ77" s="684">
        <f>BA77/AY77-1</f>
        <v>-2.5250500190631242E-2</v>
      </c>
      <c r="BA77" s="622">
        <f>BA74*BA79/BA10</f>
        <v>1333.2510838468695</v>
      </c>
      <c r="BB77" s="684">
        <f>BC77/BA77-1</f>
        <v>-1.4491806736327995E-2</v>
      </c>
      <c r="BC77" s="622">
        <f>BC74*BC79/BC10</f>
        <v>1313.9298668087608</v>
      </c>
      <c r="BD77" s="684">
        <f>BE77/BC77-1</f>
        <v>-1.8966293064549666E-2</v>
      </c>
      <c r="BE77" s="622">
        <f>BE74*BE79/BE10</f>
        <v>1289.0094878886011</v>
      </c>
      <c r="BF77" s="684">
        <f t="shared" ref="BF77" si="682">BG77/BE77-1</f>
        <v>2.8796968301180392E-2</v>
      </c>
      <c r="BG77" s="622">
        <f>BG74*BG79/BG10</f>
        <v>1326.1290532512498</v>
      </c>
      <c r="BH77" s="684">
        <f t="shared" ref="BH77:BJ77" si="683">BI77/BG77-1</f>
        <v>1.8994340473119653E-2</v>
      </c>
      <c r="BI77" s="622">
        <f>BI74*BI79/BI10</f>
        <v>1351.318</v>
      </c>
      <c r="BJ77" s="684">
        <f t="shared" si="683"/>
        <v>-1.313754423459168E-2</v>
      </c>
      <c r="BK77" s="622">
        <f>BK74*BK79/BK10</f>
        <v>1333.5650000000001</v>
      </c>
      <c r="BL77" s="684">
        <f t="shared" ref="BL77" si="684">BM77/BK77-1</f>
        <v>-3.4497645920122944E-3</v>
      </c>
      <c r="BM77" s="622">
        <f>BM74*BM79/BM10</f>
        <v>1328.9645146818532</v>
      </c>
      <c r="BN77" s="684">
        <f t="shared" ref="BN77" si="685">BO77/BM77-1</f>
        <v>2.1848202113280424E-2</v>
      </c>
      <c r="BO77" s="622">
        <v>1358</v>
      </c>
      <c r="BP77" s="684">
        <f t="shared" ref="BP77" si="686">BQ77/BO77-1</f>
        <v>4.0500736377025115E-2</v>
      </c>
      <c r="BQ77" s="622">
        <v>1413</v>
      </c>
      <c r="BR77" s="684">
        <f t="shared" ref="BR77" si="687">BS77/BQ77-1</f>
        <v>-1.3446567586694935E-2</v>
      </c>
      <c r="BS77" s="622">
        <v>1394</v>
      </c>
      <c r="BT77" s="684">
        <f t="shared" ref="BT77" si="688">BU77/BS77-1</f>
        <v>5.5954088952654191E-2</v>
      </c>
      <c r="BU77" s="622">
        <v>1472</v>
      </c>
      <c r="BV77" s="684"/>
      <c r="BW77" s="622">
        <v>1437</v>
      </c>
      <c r="BX77" s="684"/>
      <c r="BY77" s="622">
        <v>1477</v>
      </c>
      <c r="BZ77" s="684"/>
      <c r="CA77" s="622">
        <v>1467</v>
      </c>
      <c r="CB77" s="684"/>
      <c r="CC77" s="622">
        <v>1439</v>
      </c>
      <c r="CD77" s="684"/>
      <c r="CE77" s="622">
        <v>1397</v>
      </c>
      <c r="CF77" s="684"/>
      <c r="CG77" s="622">
        <v>1405</v>
      </c>
      <c r="CH77" s="684"/>
      <c r="CI77" s="622">
        <v>1315</v>
      </c>
      <c r="CJ77" s="684"/>
      <c r="CK77" s="622">
        <v>1336</v>
      </c>
      <c r="CL77" s="684"/>
      <c r="CM77" s="622">
        <v>1425</v>
      </c>
      <c r="CN77" s="684"/>
      <c r="CO77" s="622">
        <v>1425</v>
      </c>
      <c r="CP77" s="684"/>
      <c r="CQ77" s="622">
        <f>CO77</f>
        <v>1425</v>
      </c>
      <c r="CR77" s="684">
        <f t="shared" ref="CR77" si="689">CS77/BS77-1</f>
        <v>-1.4143951753976869E-2</v>
      </c>
      <c r="CS77" s="622">
        <f>CS74*CS79/CS10</f>
        <v>1374.2833312549562</v>
      </c>
      <c r="CT77" s="684">
        <f t="shared" ref="CT77" si="690">CU77/BU77-1</f>
        <v>-6.6383606484404778E-2</v>
      </c>
      <c r="CU77" s="622">
        <f>CU74*CU79/CU10</f>
        <v>1374.2833312549562</v>
      </c>
      <c r="CV77" s="684">
        <f>CW77/AE77-1</f>
        <v>-0.10636423597933331</v>
      </c>
      <c r="CW77" s="622">
        <f>(SUMPRODUCT(O77,O$131)+SUMPRODUCT(U77,U$131)+SUMPRODUCT(W77,W$131))/SUM(O$131,U$131,W$131)</f>
        <v>1327.5497257771096</v>
      </c>
      <c r="CX77" s="684">
        <f>CY77/AG77-1</f>
        <v>1.5074976368198989E-3</v>
      </c>
      <c r="CY77" s="622">
        <f>(SUMPRODUCT(AC77,AC$131)+SUMPRODUCT(AA77,AA$131)+SUMPRODUCT(Y77,Y$131))/SUM(AC$131,AA$131,Y$131)</f>
        <v>1480.7083179799045</v>
      </c>
      <c r="CZ77" s="684">
        <f>DA77/AI77-1</f>
        <v>2.5929583685880164E-2</v>
      </c>
      <c r="DA77" s="622">
        <f>(SUMPRODUCT(AI77,AI$131)+SUMPRODUCT(AG77,AG$131)+SUMPRODUCT(AE77,AE$131))/SUM(AI$131,AG$131,AE$131)</f>
        <v>1430.1165783320996</v>
      </c>
      <c r="DB77" s="684">
        <f>DC77/CW77-1</f>
        <v>5.4574433496628494E-2</v>
      </c>
      <c r="DC77" s="622">
        <v>1400</v>
      </c>
      <c r="DD77" s="684">
        <f>DE77/AI77-1</f>
        <v>3.7175302901393259E-4</v>
      </c>
      <c r="DE77" s="622">
        <f>(SUMPRODUCT(O77,O$131)+SUMPRODUCT(U77,U$131)+SUMPRODUCT(W77,W$131)+SUMPRODUCT(Y77,Y$131)+SUMPRODUCT(AA77,AA$131)+SUMPRODUCT(AC77,AC$131))/SUM(O$131,U$131,W$131,Y$131,AA$131,AC$131)</f>
        <v>1394.489691350956</v>
      </c>
      <c r="DF77" s="684">
        <f>DG77/DA77-1</f>
        <v>1.3903357229163582E-2</v>
      </c>
      <c r="DG77" s="622">
        <v>1450</v>
      </c>
      <c r="DH77" s="684">
        <f>DI77/CY77-1</f>
        <v>1.3028684843490845E-2</v>
      </c>
      <c r="DI77" s="622">
        <v>1500</v>
      </c>
      <c r="DJ77" s="684">
        <f>DK77/DA77-1</f>
        <v>-2.1058827502876465E-2</v>
      </c>
      <c r="DK77" s="622">
        <v>1400</v>
      </c>
    </row>
    <row r="78" spans="1:115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380"/>
      <c r="O78" s="374"/>
      <c r="P78" s="380"/>
      <c r="Q78" s="374"/>
      <c r="R78" s="380"/>
      <c r="S78" s="374"/>
      <c r="T78" s="380"/>
      <c r="U78" s="374"/>
      <c r="V78" s="380"/>
      <c r="W78" s="374"/>
      <c r="X78" s="380"/>
      <c r="Y78" s="374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>
        <f>AK74/AK67</f>
        <v>0.62744578412375562</v>
      </c>
      <c r="AL78" s="380"/>
      <c r="AM78" s="374">
        <f>AM74/AM67</f>
        <v>0.61620636487416425</v>
      </c>
      <c r="AN78" s="380"/>
      <c r="AO78" s="374">
        <f>AO74/AO67</f>
        <v>0.60134356071904504</v>
      </c>
      <c r="AP78" s="380"/>
      <c r="AQ78" s="374">
        <f>AQ74/AQ67</f>
        <v>0.6181401868673666</v>
      </c>
      <c r="AR78" s="380"/>
      <c r="AS78" s="374">
        <f>AS74/AS67</f>
        <v>0.62488664441889175</v>
      </c>
      <c r="AT78" s="380"/>
      <c r="AU78" s="374">
        <f>AU74/AU67</f>
        <v>0.60159083016678605</v>
      </c>
      <c r="AV78" s="380"/>
      <c r="AW78" s="374">
        <f>AW74/AW67</f>
        <v>0.64107420498479739</v>
      </c>
      <c r="AX78" s="380"/>
      <c r="AY78" s="374">
        <f>AY74/AY67</f>
        <v>0.64485668495319237</v>
      </c>
      <c r="AZ78" s="380"/>
      <c r="BA78" s="374">
        <f>BA74/BA67</f>
        <v>0.62225894578329521</v>
      </c>
      <c r="BB78" s="380"/>
      <c r="BC78" s="374">
        <f>BC74/BC67</f>
        <v>0.60944526704253954</v>
      </c>
      <c r="BD78" s="380"/>
      <c r="BE78" s="374">
        <f>BE74/BE67</f>
        <v>0.58956711176838694</v>
      </c>
      <c r="BF78" s="380"/>
      <c r="BG78" s="374">
        <f t="shared" ref="BG78" si="691">BG74/BG67</f>
        <v>0.60262911276554165</v>
      </c>
      <c r="BH78" s="380"/>
      <c r="BI78" s="374">
        <f t="shared" ref="BI78:BK78" si="692">BI74/BI67</f>
        <v>0.5993031358885017</v>
      </c>
      <c r="BJ78" s="380"/>
      <c r="BK78" s="374">
        <f t="shared" si="692"/>
        <v>0.58119658119658113</v>
      </c>
      <c r="BL78" s="380"/>
      <c r="BM78" s="374">
        <f t="shared" ref="BM78" si="693">BM74/BM67</f>
        <v>0.58549850853901364</v>
      </c>
      <c r="BN78" s="380"/>
      <c r="BO78" s="374">
        <f t="shared" ref="BO78" si="694">BO74/BO67</f>
        <v>0.59591002987229402</v>
      </c>
      <c r="BP78" s="380"/>
      <c r="BQ78" s="374">
        <f t="shared" ref="BQ78:BS78" si="695">BQ74/BQ67</f>
        <v>0.6153454214087295</v>
      </c>
      <c r="BR78" s="380"/>
      <c r="BS78" s="374">
        <f t="shared" si="695"/>
        <v>0.60780665295395553</v>
      </c>
      <c r="BT78" s="380"/>
      <c r="BU78" s="374">
        <f t="shared" ref="BU78:BW78" si="696">BU74/BU67</f>
        <v>0.62651461344271797</v>
      </c>
      <c r="BV78" s="380"/>
      <c r="BW78" s="374">
        <f t="shared" si="696"/>
        <v>0.6111613501051828</v>
      </c>
      <c r="BX78" s="380"/>
      <c r="BY78" s="374">
        <f t="shared" ref="BY78:CA78" si="697">BY74/BY67</f>
        <v>0.62007400375423949</v>
      </c>
      <c r="BZ78" s="380"/>
      <c r="CA78" s="374">
        <f t="shared" si="697"/>
        <v>0.61674675545801949</v>
      </c>
      <c r="CB78" s="380"/>
      <c r="CC78" s="374">
        <f t="shared" ref="CC78:CE78" si="698">CC74/CC67</f>
        <v>0.61622823569338248</v>
      </c>
      <c r="CD78" s="380"/>
      <c r="CE78" s="374">
        <f t="shared" si="698"/>
        <v>0.62095408906824101</v>
      </c>
      <c r="CF78" s="380"/>
      <c r="CG78" s="374">
        <f t="shared" ref="CG78:CI78" si="699">CG74/CG67</f>
        <v>0.62059674462775238</v>
      </c>
      <c r="CH78" s="380"/>
      <c r="CI78" s="374">
        <f t="shared" si="699"/>
        <v>0.57019804625867154</v>
      </c>
      <c r="CJ78" s="380"/>
      <c r="CK78" s="374">
        <f t="shared" ref="CK78:CM78" si="700">CK74/CK67</f>
        <v>0.57194106780883636</v>
      </c>
      <c r="CL78" s="380"/>
      <c r="CM78" s="374">
        <f t="shared" si="700"/>
        <v>0.60897435897435892</v>
      </c>
      <c r="CN78" s="380"/>
      <c r="CO78" s="374">
        <f t="shared" ref="CO78" si="701">CO74/CO67</f>
        <v>0.60897435897435892</v>
      </c>
      <c r="CP78" s="380"/>
      <c r="CQ78" s="374">
        <f t="shared" ref="CQ78" si="702">CQ74/CQ67</f>
        <v>0.60897435897435892</v>
      </c>
      <c r="CR78" s="380"/>
      <c r="CS78" s="374">
        <f t="shared" ref="CS78:CU78" si="703">CS74/CS67</f>
        <v>0.59920986497882867</v>
      </c>
      <c r="CT78" s="380"/>
      <c r="CU78" s="374">
        <f t="shared" si="703"/>
        <v>0.59920986497882867</v>
      </c>
      <c r="CV78" s="380"/>
      <c r="CW78" s="374"/>
      <c r="CX78" s="380"/>
      <c r="CY78" s="374"/>
      <c r="CZ78" s="380"/>
      <c r="DA78" s="374"/>
      <c r="DB78" s="380"/>
      <c r="DC78" s="374"/>
      <c r="DD78" s="380"/>
      <c r="DE78" s="374"/>
      <c r="DF78" s="380"/>
      <c r="DG78" s="374"/>
      <c r="DH78" s="380"/>
      <c r="DI78" s="374"/>
      <c r="DJ78" s="380"/>
      <c r="DK78" s="374"/>
    </row>
    <row r="79" spans="1:115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v>14229</v>
      </c>
      <c r="H79" s="42"/>
      <c r="I79" s="88">
        <v>14229</v>
      </c>
      <c r="J79" s="42"/>
      <c r="K79" s="88">
        <v>14229</v>
      </c>
      <c r="L79" s="42"/>
      <c r="M79" s="88">
        <v>14229</v>
      </c>
      <c r="N79" s="359"/>
      <c r="O79" s="372">
        <v>14329</v>
      </c>
      <c r="P79" s="359"/>
      <c r="Q79" s="372">
        <v>14200</v>
      </c>
      <c r="R79" s="359"/>
      <c r="S79" s="372">
        <v>14200</v>
      </c>
      <c r="T79" s="359"/>
      <c r="U79" s="372">
        <v>14353</v>
      </c>
      <c r="V79" s="359"/>
      <c r="W79" s="372">
        <v>14347</v>
      </c>
      <c r="X79" s="359"/>
      <c r="Y79" s="372">
        <v>14367</v>
      </c>
      <c r="Z79" s="359"/>
      <c r="AA79" s="372">
        <v>14617</v>
      </c>
      <c r="AB79" s="359"/>
      <c r="AC79" s="372">
        <v>14673</v>
      </c>
      <c r="AD79" s="359"/>
      <c r="AE79" s="372">
        <v>14979</v>
      </c>
      <c r="AF79" s="359"/>
      <c r="AG79" s="372">
        <v>14853</v>
      </c>
      <c r="AH79" s="359"/>
      <c r="AI79" s="372">
        <v>15037</v>
      </c>
      <c r="AJ79" s="359"/>
      <c r="AK79" s="372">
        <v>15418</v>
      </c>
      <c r="AL79" s="359"/>
      <c r="AM79" s="372">
        <v>15645</v>
      </c>
      <c r="AN79" s="359"/>
      <c r="AO79" s="372">
        <v>15623</v>
      </c>
      <c r="AP79" s="359"/>
      <c r="AQ79" s="372">
        <v>15331</v>
      </c>
      <c r="AR79" s="359"/>
      <c r="AS79" s="372">
        <v>15091</v>
      </c>
      <c r="AT79" s="359"/>
      <c r="AU79" s="372">
        <v>15275</v>
      </c>
      <c r="AV79" s="359"/>
      <c r="AW79" s="372">
        <v>14857</v>
      </c>
      <c r="AX79" s="359"/>
      <c r="AY79" s="372">
        <v>14781</v>
      </c>
      <c r="AZ79" s="359"/>
      <c r="BA79" s="372">
        <v>14931</v>
      </c>
      <c r="BB79" s="359"/>
      <c r="BC79" s="372">
        <v>15024</v>
      </c>
      <c r="BD79" s="359"/>
      <c r="BE79" s="372">
        <v>15236</v>
      </c>
      <c r="BF79" s="359"/>
      <c r="BG79" s="372">
        <v>15335</v>
      </c>
      <c r="BH79" s="359"/>
      <c r="BI79" s="372">
        <v>15713</v>
      </c>
      <c r="BJ79" s="359"/>
      <c r="BK79" s="372">
        <v>15689</v>
      </c>
      <c r="BL79" s="359"/>
      <c r="BM79" s="372">
        <v>15520</v>
      </c>
      <c r="BN79" s="359"/>
      <c r="BO79" s="372">
        <v>15582</v>
      </c>
      <c r="BP79" s="359"/>
      <c r="BQ79" s="372">
        <v>15701</v>
      </c>
      <c r="BR79" s="359"/>
      <c r="BS79" s="372">
        <v>15682</v>
      </c>
      <c r="BT79" s="359"/>
      <c r="BU79" s="372">
        <v>16065</v>
      </c>
      <c r="BV79" s="359"/>
      <c r="BW79" s="372">
        <v>16077</v>
      </c>
      <c r="BX79" s="359"/>
      <c r="BY79" s="372">
        <v>16287</v>
      </c>
      <c r="BZ79" s="359"/>
      <c r="CA79" s="372">
        <v>16264</v>
      </c>
      <c r="CB79" s="359"/>
      <c r="CC79" s="372">
        <v>15967</v>
      </c>
      <c r="CD79" s="359"/>
      <c r="CE79" s="372">
        <v>15383</v>
      </c>
      <c r="CF79" s="359"/>
      <c r="CG79" s="372">
        <v>15480</v>
      </c>
      <c r="CH79" s="359"/>
      <c r="CI79" s="372">
        <v>15769</v>
      </c>
      <c r="CJ79" s="359"/>
      <c r="CK79" s="372">
        <v>15972</v>
      </c>
      <c r="CL79" s="359"/>
      <c r="CM79" s="372">
        <v>16000</v>
      </c>
      <c r="CN79" s="359"/>
      <c r="CO79" s="372">
        <v>16000</v>
      </c>
      <c r="CP79" s="359"/>
      <c r="CQ79" s="372">
        <f>CO79</f>
        <v>16000</v>
      </c>
      <c r="CR79" s="359"/>
      <c r="CS79" s="372">
        <v>15682</v>
      </c>
      <c r="CT79" s="359"/>
      <c r="CU79" s="372">
        <v>15682</v>
      </c>
      <c r="CV79" s="359"/>
      <c r="CW79" s="372">
        <f>(SUMPRODUCT(O79,O$131)+SUMPRODUCT(U79,U$131)+SUMPRODUCT(W79,W$131))/SUM(O$131,U$131,W$131)</f>
        <v>14340.030523498615</v>
      </c>
      <c r="CX79" s="359"/>
      <c r="CY79" s="372">
        <f>(SUMPRODUCT(AC79,AC$131)+SUMPRODUCT(AA79,AA$131)+SUMPRODUCT(Y79,Y$131))/SUM(AC$131,AA$131,Y$131)</f>
        <v>14560.673565428369</v>
      </c>
      <c r="CZ79" s="359"/>
      <c r="DA79" s="372">
        <f>(SUMPRODUCT(AI79,AI$131)+SUMPRODUCT(AG79,AG$131)+SUMPRODUCT(AE79,AE$131))/SUM(AI$131,AG$131,AE$131)</f>
        <v>14989.334992089991</v>
      </c>
      <c r="DB79" s="359"/>
      <c r="DC79" s="372">
        <v>15000</v>
      </c>
      <c r="DD79" s="359"/>
      <c r="DE79" s="372">
        <f>(SUMPRODUCT(O79,O$131)+SUMPRODUCT(U79,U$131)+SUMPRODUCT(W79,W$131)+SUMPRODUCT(Y79,Y$131)+SUMPRODUCT(AA79,AA$131)+SUMPRODUCT(AC79,AC$131))/SUM(O$131,U$131,W$131,Y$131,AA$131,AC$131)</f>
        <v>14436.465450318326</v>
      </c>
      <c r="DF79" s="359"/>
      <c r="DG79" s="372">
        <v>14800</v>
      </c>
      <c r="DH79" s="359"/>
      <c r="DI79" s="372">
        <v>15400</v>
      </c>
      <c r="DJ79" s="359"/>
      <c r="DK79" s="372">
        <v>15400</v>
      </c>
    </row>
    <row r="80" spans="1:115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368">
        <f>+G67-G74</f>
        <v>2.0248182665873764</v>
      </c>
      <c r="H80" s="50"/>
      <c r="I80" s="72">
        <f>+I67-I74</f>
        <v>1.7655932247388475</v>
      </c>
      <c r="J80" s="50"/>
      <c r="K80" s="72">
        <f>+K67-K74</f>
        <v>1.7655932247388475</v>
      </c>
      <c r="L80" s="50"/>
      <c r="M80" s="72">
        <f>+M67-M74</f>
        <v>1.7655932247388475</v>
      </c>
      <c r="N80" s="363"/>
      <c r="O80" s="368">
        <f>+O67-O74</f>
        <v>2.1495953613377488</v>
      </c>
      <c r="P80" s="363"/>
      <c r="Q80" s="368">
        <f>+Q67-Q74</f>
        <v>2.0526760563380284</v>
      </c>
      <c r="R80" s="363"/>
      <c r="S80" s="368">
        <f>+S67-S74</f>
        <v>2.0526760563380284</v>
      </c>
      <c r="T80" s="363"/>
      <c r="U80" s="368">
        <f>+U67-U74</f>
        <v>1.9383214021717716</v>
      </c>
      <c r="V80" s="363"/>
      <c r="W80" s="368">
        <f>+W67-W74</f>
        <v>1.904291230229636</v>
      </c>
      <c r="X80" s="363"/>
      <c r="Y80" s="368">
        <f>+Y67-Y74</f>
        <v>1.6857783130744144</v>
      </c>
      <c r="Z80" s="363"/>
      <c r="AA80" s="368">
        <f>+AA67-AA74</f>
        <v>1.5930975256704691</v>
      </c>
      <c r="AB80" s="363"/>
      <c r="AC80" s="368">
        <f>+AC67-AC74</f>
        <v>1.7159388533610596</v>
      </c>
      <c r="AD80" s="363"/>
      <c r="AE80" s="368">
        <f>+AE67-AE74</f>
        <v>1.7729522621692544</v>
      </c>
      <c r="AF80" s="363"/>
      <c r="AG80" s="368">
        <f>+AG67-AG74</f>
        <v>1.7583679698187433</v>
      </c>
      <c r="AH80" s="363"/>
      <c r="AI80" s="368">
        <f>+AI67-AI74</f>
        <v>2.0318893975352417</v>
      </c>
      <c r="AJ80" s="363"/>
      <c r="AK80" s="368">
        <f>+AK67-AK74</f>
        <v>2.1384611991296425</v>
      </c>
      <c r="AL80" s="363"/>
      <c r="AM80" s="368">
        <f>+AM67-AM74</f>
        <v>2.2029754656222971</v>
      </c>
      <c r="AN80" s="363"/>
      <c r="AO80" s="368">
        <f>+AO67-AO74</f>
        <v>2.2882879614726814</v>
      </c>
      <c r="AP80" s="363"/>
      <c r="AQ80" s="368">
        <f>+AQ67-AQ74</f>
        <v>2.1918753273813159</v>
      </c>
      <c r="AR80" s="363"/>
      <c r="AS80" s="368">
        <f>+AS67-AS74</f>
        <v>2.1531506610355615</v>
      </c>
      <c r="AT80" s="363"/>
      <c r="AU80" s="368">
        <f>+AU67-AU74</f>
        <v>2.2868686348426484</v>
      </c>
      <c r="AV80" s="363"/>
      <c r="AW80" s="368">
        <f>+AW67-AW74</f>
        <v>2.0602340633872629</v>
      </c>
      <c r="AX80" s="363"/>
      <c r="AY80" s="368">
        <f>+AY67-AY74</f>
        <v>2.0385226283686757</v>
      </c>
      <c r="AZ80" s="363"/>
      <c r="BA80" s="368">
        <f>+BA67-BA74</f>
        <v>2.1682336512038858</v>
      </c>
      <c r="BB80" s="363"/>
      <c r="BC80" s="368">
        <f>+BC67-BC74</f>
        <v>2.2417841671758234</v>
      </c>
      <c r="BD80" s="363"/>
      <c r="BE80" s="368">
        <f>+BE67-BE74</f>
        <v>2.3558847784494592</v>
      </c>
      <c r="BF80" s="363"/>
      <c r="BG80" s="368">
        <f t="shared" ref="BG80" si="704">+BG67-BG74</f>
        <v>2.2809088927257912</v>
      </c>
      <c r="BH80" s="363"/>
      <c r="BI80" s="368">
        <f t="shared" ref="BI80:BK80" si="705">+BI67-BI74</f>
        <v>2.3000000000000003</v>
      </c>
      <c r="BJ80" s="363"/>
      <c r="BK80" s="368">
        <f t="shared" si="705"/>
        <v>2.4500000000000006</v>
      </c>
      <c r="BL80" s="363"/>
      <c r="BM80" s="368">
        <f t="shared" ref="BM80" si="706">+BM67-BM74</f>
        <v>2.4248337250467706</v>
      </c>
      <c r="BN80" s="363"/>
      <c r="BO80" s="368">
        <f t="shared" ref="BO80" si="707">+BO67-BO74</f>
        <v>2.3639263252470801</v>
      </c>
      <c r="BP80" s="363"/>
      <c r="BQ80" s="368">
        <f t="shared" ref="BQ80:BS80" si="708">+BQ67-BQ74</f>
        <v>2.2502292847589329</v>
      </c>
      <c r="BR80" s="363"/>
      <c r="BS80" s="368">
        <f t="shared" si="708"/>
        <v>2.2943310802193606</v>
      </c>
      <c r="BT80" s="363"/>
      <c r="BU80" s="368">
        <f t="shared" ref="BU80:BW80" si="709">+BU67-BU74</f>
        <v>2.1848895113601001</v>
      </c>
      <c r="BV80" s="363"/>
      <c r="BW80" s="368">
        <f t="shared" si="709"/>
        <v>2.2747061018846808</v>
      </c>
      <c r="BX80" s="363"/>
      <c r="BY80" s="368">
        <f t="shared" ref="BY80:CA80" si="710">+BY67-BY74</f>
        <v>2.2225670780376992</v>
      </c>
      <c r="BZ80" s="363"/>
      <c r="CA80" s="368">
        <f t="shared" si="710"/>
        <v>2.2420314805705859</v>
      </c>
      <c r="CB80" s="363"/>
      <c r="CC80" s="368">
        <f t="shared" ref="CC80:CE80" si="711">+CC67-CC74</f>
        <v>2.2450648211937128</v>
      </c>
      <c r="CD80" s="363"/>
      <c r="CE80" s="368">
        <f t="shared" si="711"/>
        <v>2.2174185789507903</v>
      </c>
      <c r="CF80" s="363"/>
      <c r="CG80" s="368">
        <f t="shared" ref="CG80:CI80" si="712">+CG67-CG74</f>
        <v>2.219509043927649</v>
      </c>
      <c r="CH80" s="363"/>
      <c r="CI80" s="368">
        <f t="shared" si="712"/>
        <v>2.5143414293867719</v>
      </c>
      <c r="CJ80" s="363"/>
      <c r="CK80" s="368">
        <f t="shared" ref="CK80:CM80" si="713">+CK67-CK74</f>
        <v>2.5041447533183074</v>
      </c>
      <c r="CL80" s="363"/>
      <c r="CM80" s="368">
        <f t="shared" si="713"/>
        <v>2.2875000000000005</v>
      </c>
      <c r="CN80" s="363"/>
      <c r="CO80" s="368">
        <f t="shared" ref="CO80" si="714">+CO67-CO74</f>
        <v>2.2875000000000005</v>
      </c>
      <c r="CP80" s="363"/>
      <c r="CQ80" s="368">
        <f t="shared" ref="CQ80" si="715">+CQ67-CQ74</f>
        <v>2.2875000000000005</v>
      </c>
      <c r="CR80" s="363"/>
      <c r="CS80" s="368">
        <f t="shared" ref="CS80:CU80" si="716">+CS67-CS74</f>
        <v>2.3446222898738527</v>
      </c>
      <c r="CT80" s="363"/>
      <c r="CU80" s="368">
        <f t="shared" si="716"/>
        <v>2.3446222898738527</v>
      </c>
      <c r="CV80" s="363"/>
      <c r="CW80" s="368">
        <f>+CW67-CW74</f>
        <v>2.02482985635775</v>
      </c>
      <c r="CX80" s="363"/>
      <c r="CY80" s="368">
        <f>+CY67-CY74</f>
        <v>1.6723081825127295</v>
      </c>
      <c r="CZ80" s="363"/>
      <c r="DA80" s="368">
        <f>+DA67-DA74</f>
        <v>1.923642358819027</v>
      </c>
      <c r="DB80" s="363"/>
      <c r="DC80" s="368">
        <f>+DC67-DC74</f>
        <v>2.0066666666666668</v>
      </c>
      <c r="DD80" s="363"/>
      <c r="DE80" s="368">
        <f>+DE67-DE74</f>
        <v>1.8693844888646565</v>
      </c>
      <c r="DF80" s="363"/>
      <c r="DG80" s="368">
        <f>+DG67-DG74</f>
        <v>1.8210810810810814</v>
      </c>
      <c r="DH80" s="363"/>
      <c r="DI80" s="368">
        <f>+DI67-DI74</f>
        <v>2.3538961038961039</v>
      </c>
      <c r="DJ80" s="363"/>
      <c r="DK80" s="368">
        <f>+DK67-DK74</f>
        <v>2.103636363636364</v>
      </c>
    </row>
    <row r="81" spans="1:115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5.0620456664684413E-2</v>
      </c>
      <c r="H81" s="50"/>
      <c r="I81" s="72">
        <f>+I80/I10</f>
        <v>4.4139830618471189E-2</v>
      </c>
      <c r="J81" s="50"/>
      <c r="K81" s="72">
        <f>+K80/K10</f>
        <v>4.4139830618471189E-2</v>
      </c>
      <c r="L81" s="50"/>
      <c r="M81" s="72">
        <f>+M80/M10</f>
        <v>4.4139830618471189E-2</v>
      </c>
      <c r="N81" s="363"/>
      <c r="O81" s="368">
        <f>+O80/O10</f>
        <v>5.3739884033443722E-2</v>
      </c>
      <c r="P81" s="363"/>
      <c r="Q81" s="368">
        <f>+Q80/Q10</f>
        <v>5.1316901408450709E-2</v>
      </c>
      <c r="R81" s="363"/>
      <c r="S81" s="368">
        <f>+S80/S10</f>
        <v>5.1316901408450709E-2</v>
      </c>
      <c r="T81" s="363"/>
      <c r="U81" s="368">
        <f>+U80/U10</f>
        <v>4.8458035054294288E-2</v>
      </c>
      <c r="V81" s="363"/>
      <c r="W81" s="368">
        <f>+W80/W10</f>
        <v>4.7607280755740902E-2</v>
      </c>
      <c r="X81" s="363"/>
      <c r="Y81" s="368">
        <f>+Y80/Y10</f>
        <v>4.2144457826860361E-2</v>
      </c>
      <c r="Z81" s="363"/>
      <c r="AA81" s="368">
        <f>+AA80/AA10</f>
        <v>3.9827438141761727E-2</v>
      </c>
      <c r="AB81" s="363"/>
      <c r="AC81" s="368">
        <f>+AC80/AC10</f>
        <v>4.2898471334026488E-2</v>
      </c>
      <c r="AD81" s="363"/>
      <c r="AE81" s="368">
        <f>+AE80/AE10</f>
        <v>4.4323806554231363E-2</v>
      </c>
      <c r="AF81" s="363"/>
      <c r="AG81" s="368">
        <f>+AG80/AG10</f>
        <v>4.395919924546858E-2</v>
      </c>
      <c r="AH81" s="363"/>
      <c r="AI81" s="368">
        <f>+AI80/AI10</f>
        <v>5.0797234938381043E-2</v>
      </c>
      <c r="AJ81" s="363"/>
      <c r="AK81" s="368">
        <f>+AK80/AK10</f>
        <v>5.3461529978241065E-2</v>
      </c>
      <c r="AL81" s="363"/>
      <c r="AM81" s="368">
        <f>+AM80/AM10</f>
        <v>5.5074386640557429E-2</v>
      </c>
      <c r="AN81" s="363"/>
      <c r="AO81" s="368">
        <f>+AO80/AO10</f>
        <v>5.7207199036817036E-2</v>
      </c>
      <c r="AP81" s="363"/>
      <c r="AQ81" s="368">
        <f>+AQ80/AQ10</f>
        <v>5.4796883184532894E-2</v>
      </c>
      <c r="AR81" s="363"/>
      <c r="AS81" s="368">
        <f>+AS80/AS10</f>
        <v>5.3828766525889041E-2</v>
      </c>
      <c r="AT81" s="363"/>
      <c r="AU81" s="368">
        <f>+AU80/AU10</f>
        <v>5.717171587106621E-2</v>
      </c>
      <c r="AV81" s="363"/>
      <c r="AW81" s="368">
        <f>+AW80/AW10</f>
        <v>5.1505851584681572E-2</v>
      </c>
      <c r="AX81" s="363"/>
      <c r="AY81" s="368">
        <f>+AY80/AY10</f>
        <v>5.0963065709216895E-2</v>
      </c>
      <c r="AZ81" s="363"/>
      <c r="BA81" s="368">
        <f>+BA80/BA10</f>
        <v>5.4205841280097145E-2</v>
      </c>
      <c r="BB81" s="363"/>
      <c r="BC81" s="368">
        <f>+BC80/BC10</f>
        <v>5.6044604179395587E-2</v>
      </c>
      <c r="BD81" s="363"/>
      <c r="BE81" s="368">
        <f>+BE80/BE10</f>
        <v>5.8897119461236477E-2</v>
      </c>
      <c r="BF81" s="363"/>
      <c r="BG81" s="368">
        <f>+BG80/BG10</f>
        <v>5.7022722318144779E-2</v>
      </c>
      <c r="BH81" s="363"/>
      <c r="BI81" s="368">
        <f>+BI80/BI10</f>
        <v>5.7500000000000009E-2</v>
      </c>
      <c r="BJ81" s="363"/>
      <c r="BK81" s="368">
        <f>+BK80/BK10</f>
        <v>6.1250000000000013E-2</v>
      </c>
      <c r="BL81" s="363"/>
      <c r="BM81" s="368">
        <f>+BM80/BM10</f>
        <v>6.0620843126169263E-2</v>
      </c>
      <c r="BN81" s="363"/>
      <c r="BO81" s="368">
        <f>+BO80/BO10</f>
        <v>5.9098158131177005E-2</v>
      </c>
      <c r="BP81" s="363"/>
      <c r="BQ81" s="368">
        <f>+BQ80/BQ10</f>
        <v>5.625573211897332E-2</v>
      </c>
      <c r="BR81" s="363"/>
      <c r="BS81" s="368">
        <f>+BS80/BS10</f>
        <v>5.7358277005484015E-2</v>
      </c>
      <c r="BT81" s="363"/>
      <c r="BU81" s="368">
        <f>+BU80/BU10</f>
        <v>5.4622237784002506E-2</v>
      </c>
      <c r="BV81" s="363"/>
      <c r="BW81" s="368">
        <f>+BW80/BW10</f>
        <v>5.6867652547117023E-2</v>
      </c>
      <c r="BX81" s="363"/>
      <c r="BY81" s="368">
        <f>+BY80/BY10</f>
        <v>5.5564176950942477E-2</v>
      </c>
      <c r="BZ81" s="363"/>
      <c r="CA81" s="368">
        <f>+CA80/CA10</f>
        <v>5.605078701426465E-2</v>
      </c>
      <c r="CB81" s="363"/>
      <c r="CC81" s="368">
        <f>+CC80/CC10</f>
        <v>5.6126620529842818E-2</v>
      </c>
      <c r="CD81" s="363"/>
      <c r="CE81" s="368">
        <f>+CE80/CE10</f>
        <v>5.5435464473769756E-2</v>
      </c>
      <c r="CF81" s="363"/>
      <c r="CG81" s="368">
        <f>+CG80/CG10</f>
        <v>5.5487726098191227E-2</v>
      </c>
      <c r="CH81" s="363"/>
      <c r="CI81" s="368">
        <f>+CI80/CI10</f>
        <v>6.2858535734669291E-2</v>
      </c>
      <c r="CJ81" s="363"/>
      <c r="CK81" s="368">
        <f>+CK80/CK10</f>
        <v>6.2603618832957689E-2</v>
      </c>
      <c r="CL81" s="363"/>
      <c r="CM81" s="368">
        <f>+CM80/CM10</f>
        <v>5.7187500000000016E-2</v>
      </c>
      <c r="CN81" s="363"/>
      <c r="CO81" s="368">
        <f>+CO80/CO10</f>
        <v>5.7187500000000016E-2</v>
      </c>
      <c r="CP81" s="363"/>
      <c r="CQ81" s="368">
        <f>+CQ80/CQ10</f>
        <v>5.7187500000000016E-2</v>
      </c>
      <c r="CR81" s="363"/>
      <c r="CS81" s="368">
        <f>+CS80/CS10</f>
        <v>5.861555724684632E-2</v>
      </c>
      <c r="CT81" s="363"/>
      <c r="CU81" s="368">
        <f>+CU80/CU10</f>
        <v>5.861555724684632E-2</v>
      </c>
      <c r="CV81" s="363"/>
      <c r="CW81" s="368">
        <f>+CW80/CW10</f>
        <v>5.0620746408943748E-2</v>
      </c>
      <c r="CX81" s="363"/>
      <c r="CY81" s="368">
        <f>+CY80/CY10</f>
        <v>4.1807704562818238E-2</v>
      </c>
      <c r="CZ81" s="363"/>
      <c r="DA81" s="368">
        <f>+DA80/DA10</f>
        <v>4.8091058970475678E-2</v>
      </c>
      <c r="DB81" s="363"/>
      <c r="DC81" s="368">
        <f>+DC80/DC10</f>
        <v>5.0166666666666672E-2</v>
      </c>
      <c r="DD81" s="363"/>
      <c r="DE81" s="368">
        <f>+DE80/DE10</f>
        <v>4.6734612221616414E-2</v>
      </c>
      <c r="DF81" s="363"/>
      <c r="DG81" s="368">
        <f>+DG80/DG10</f>
        <v>4.5527027027027031E-2</v>
      </c>
      <c r="DH81" s="363"/>
      <c r="DI81" s="368">
        <f>+DI80/DI10</f>
        <v>5.88474025974026E-2</v>
      </c>
      <c r="DJ81" s="363"/>
      <c r="DK81" s="368">
        <f>+DK80/DK10</f>
        <v>5.2590909090909098E-2</v>
      </c>
    </row>
    <row r="82" spans="1:115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382">
        <f>+G80/G67</f>
        <v>0.37221772229415867</v>
      </c>
      <c r="H82" s="132"/>
      <c r="I82" s="133">
        <f>+I80/I67</f>
        <v>0.332942598629966</v>
      </c>
      <c r="J82" s="132"/>
      <c r="K82" s="133">
        <f>+K80/K67</f>
        <v>0.332942598629966</v>
      </c>
      <c r="L82" s="132"/>
      <c r="M82" s="133">
        <f>+M80/M67</f>
        <v>0.332942598629966</v>
      </c>
      <c r="N82" s="381"/>
      <c r="O82" s="611">
        <f>+O80/O67</f>
        <v>0.37621568677088185</v>
      </c>
      <c r="P82" s="381"/>
      <c r="Q82" s="611">
        <f>+Q80/Q67</f>
        <v>0.35760906904843698</v>
      </c>
      <c r="R82" s="381"/>
      <c r="S82" s="611">
        <f>+S80/S67</f>
        <v>0.35760906904843698</v>
      </c>
      <c r="T82" s="381"/>
      <c r="U82" s="611">
        <f>+U80/U67</f>
        <v>0.33768665543062221</v>
      </c>
      <c r="V82" s="381"/>
      <c r="W82" s="611">
        <f>+W80/W67</f>
        <v>0.33175805404697489</v>
      </c>
      <c r="X82" s="381"/>
      <c r="Y82" s="611">
        <f>+Y80/Y67</f>
        <v>0.2936896015809084</v>
      </c>
      <c r="Z82" s="381"/>
      <c r="AA82" s="611">
        <f>+AA80/AA67</f>
        <v>0.2775431229391061</v>
      </c>
      <c r="AB82" s="381"/>
      <c r="AC82" s="611">
        <f>+AC80/AC67</f>
        <v>0.29894405110819849</v>
      </c>
      <c r="AD82" s="381"/>
      <c r="AE82" s="611">
        <f>+AE80/AE67</f>
        <v>0.30887670072635093</v>
      </c>
      <c r="AF82" s="381"/>
      <c r="AG82" s="611">
        <f>+AG80/AG67</f>
        <v>0.30633588324368349</v>
      </c>
      <c r="AH82" s="381"/>
      <c r="AI82" s="611">
        <f>+AI80/AI67</f>
        <v>0.35398769991903162</v>
      </c>
      <c r="AJ82" s="381"/>
      <c r="AK82" s="611">
        <f>+AK80/AK67</f>
        <v>0.37255421587624432</v>
      </c>
      <c r="AL82" s="381"/>
      <c r="AM82" s="611">
        <f>+AM80/AM67</f>
        <v>0.3837936351258357</v>
      </c>
      <c r="AN82" s="381"/>
      <c r="AO82" s="611">
        <f>+AO80/AO67</f>
        <v>0.39865643928095496</v>
      </c>
      <c r="AP82" s="381"/>
      <c r="AQ82" s="611">
        <f>+AQ80/AQ67</f>
        <v>0.3818598131326334</v>
      </c>
      <c r="AR82" s="381"/>
      <c r="AS82" s="611">
        <f>+AS80/AS67</f>
        <v>0.37511335558110825</v>
      </c>
      <c r="AT82" s="381"/>
      <c r="AU82" s="611">
        <f>+AU80/AU67</f>
        <v>0.39840916983321401</v>
      </c>
      <c r="AV82" s="381"/>
      <c r="AW82" s="611">
        <f>+AW80/AW67</f>
        <v>0.35892579501520261</v>
      </c>
      <c r="AX82" s="381"/>
      <c r="AY82" s="611">
        <f>+AY80/AY67</f>
        <v>0.35514331504680763</v>
      </c>
      <c r="AZ82" s="381"/>
      <c r="BA82" s="611">
        <f>+BA80/BA67</f>
        <v>0.37774105421670484</v>
      </c>
      <c r="BB82" s="381"/>
      <c r="BC82" s="611">
        <f>+BC80/BC67</f>
        <v>0.39055473295746052</v>
      </c>
      <c r="BD82" s="381"/>
      <c r="BE82" s="611">
        <f>+BE80/BE67</f>
        <v>0.41043288823161311</v>
      </c>
      <c r="BF82" s="381"/>
      <c r="BG82" s="611">
        <f t="shared" ref="BG82" si="717">+BG80/BG67</f>
        <v>0.3973708872344584</v>
      </c>
      <c r="BH82" s="381"/>
      <c r="BI82" s="611">
        <f t="shared" ref="BI82:BK82" si="718">+BI80/BI67</f>
        <v>0.4006968641114983</v>
      </c>
      <c r="BJ82" s="381"/>
      <c r="BK82" s="611">
        <f t="shared" si="718"/>
        <v>0.41880341880341887</v>
      </c>
      <c r="BL82" s="381"/>
      <c r="BM82" s="611">
        <f t="shared" ref="BM82" si="719">+BM80/BM67</f>
        <v>0.41450149146098642</v>
      </c>
      <c r="BN82" s="381"/>
      <c r="BO82" s="611">
        <f t="shared" ref="BO82" si="720">+BO80/BO67</f>
        <v>0.40408997012770598</v>
      </c>
      <c r="BP82" s="381"/>
      <c r="BQ82" s="611">
        <f t="shared" ref="BQ82:BS82" si="721">+BQ80/BQ67</f>
        <v>0.38465457859127056</v>
      </c>
      <c r="BR82" s="381"/>
      <c r="BS82" s="611">
        <f t="shared" si="721"/>
        <v>0.39219334704604453</v>
      </c>
      <c r="BT82" s="381"/>
      <c r="BU82" s="611">
        <f t="shared" ref="BU82:BW82" si="722">+BU80/BU67</f>
        <v>0.37348538655728203</v>
      </c>
      <c r="BV82" s="381"/>
      <c r="BW82" s="611">
        <f t="shared" si="722"/>
        <v>0.3888386498948172</v>
      </c>
      <c r="BX82" s="381"/>
      <c r="BY82" s="611">
        <f t="shared" ref="BY82:CA82" si="723">+BY80/BY67</f>
        <v>0.37992599624576051</v>
      </c>
      <c r="BZ82" s="381"/>
      <c r="CA82" s="611">
        <f t="shared" si="723"/>
        <v>0.38325324454198045</v>
      </c>
      <c r="CB82" s="381"/>
      <c r="CC82" s="611">
        <f t="shared" ref="CC82:CE82" si="724">+CC80/CC67</f>
        <v>0.38377176430661752</v>
      </c>
      <c r="CD82" s="381"/>
      <c r="CE82" s="611">
        <f t="shared" si="724"/>
        <v>0.37904591093175899</v>
      </c>
      <c r="CF82" s="381"/>
      <c r="CG82" s="611">
        <f t="shared" ref="CG82:CI82" si="725">+CG80/CG67</f>
        <v>0.37940325537224767</v>
      </c>
      <c r="CH82" s="381"/>
      <c r="CI82" s="611">
        <f t="shared" si="725"/>
        <v>0.42980195374132846</v>
      </c>
      <c r="CJ82" s="381"/>
      <c r="CK82" s="611">
        <f t="shared" ref="CK82:CM82" si="726">+CK80/CK67</f>
        <v>0.42805893219116364</v>
      </c>
      <c r="CL82" s="381"/>
      <c r="CM82" s="611">
        <f t="shared" si="726"/>
        <v>0.39102564102564108</v>
      </c>
      <c r="CN82" s="381"/>
      <c r="CO82" s="611">
        <f t="shared" ref="CO82" si="727">+CO80/CO67</f>
        <v>0.39102564102564108</v>
      </c>
      <c r="CP82" s="381"/>
      <c r="CQ82" s="611">
        <f t="shared" ref="CQ82" si="728">+CQ80/CQ67</f>
        <v>0.39102564102564108</v>
      </c>
      <c r="CR82" s="381"/>
      <c r="CS82" s="611">
        <f t="shared" ref="CS82:CU82" si="729">+CS80/CS67</f>
        <v>0.40079013502117139</v>
      </c>
      <c r="CT82" s="381"/>
      <c r="CU82" s="611">
        <f t="shared" si="729"/>
        <v>0.40079013502117139</v>
      </c>
      <c r="CV82" s="381"/>
      <c r="CW82" s="611">
        <f>+CW80/CW67</f>
        <v>0.35350364891510577</v>
      </c>
      <c r="CX82" s="381"/>
      <c r="CY82" s="611">
        <f>+CY80/CY67</f>
        <v>0.29134288893949989</v>
      </c>
      <c r="CZ82" s="381"/>
      <c r="DA82" s="611">
        <f>+DA80/DA67</f>
        <v>0.33512933080470853</v>
      </c>
      <c r="DB82" s="381"/>
      <c r="DC82" s="611">
        <f>+DC80/DC67</f>
        <v>0.34959349593495936</v>
      </c>
      <c r="DD82" s="381"/>
      <c r="DE82" s="611">
        <f>+DE80/DE67</f>
        <v>0.32606400767481741</v>
      </c>
      <c r="DF82" s="381"/>
      <c r="DG82" s="611">
        <f>+DG80/DG67</f>
        <v>0.31726151238346362</v>
      </c>
      <c r="DH82" s="381"/>
      <c r="DI82" s="611">
        <f>+DI80/DI67</f>
        <v>0.37662337662337664</v>
      </c>
      <c r="DJ82" s="381"/>
      <c r="DK82" s="611">
        <f>+DK80/DK67</f>
        <v>0.36648717136522019</v>
      </c>
    </row>
    <row r="83" spans="1:115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1.5248182665873764</v>
      </c>
      <c r="H83" s="137"/>
      <c r="I83" s="138">
        <f>I80-I57</f>
        <v>1.3655932247388476</v>
      </c>
      <c r="J83" s="137"/>
      <c r="K83" s="138">
        <f>K80-K57</f>
        <v>1.3655932247388476</v>
      </c>
      <c r="L83" s="137"/>
      <c r="M83" s="138">
        <f>M80-M57</f>
        <v>1.3655932247388476</v>
      </c>
      <c r="N83" s="137"/>
      <c r="O83" s="138">
        <f>O80-O57</f>
        <v>1.3734759583526741</v>
      </c>
      <c r="P83" s="137"/>
      <c r="Q83" s="138">
        <f>Q80-Q57</f>
        <v>1.2526760563380286</v>
      </c>
      <c r="R83" s="137"/>
      <c r="S83" s="138">
        <f>S80-S57</f>
        <v>1.2526760563380286</v>
      </c>
      <c r="T83" s="137"/>
      <c r="U83" s="138">
        <f>U80-U57</f>
        <v>1.1383214021717718</v>
      </c>
      <c r="V83" s="137"/>
      <c r="W83" s="138">
        <f>W80-W57</f>
        <v>1.1042912302296362</v>
      </c>
      <c r="X83" s="137"/>
      <c r="Y83" s="138">
        <f>Y80-Y57</f>
        <v>0.88577831307441446</v>
      </c>
      <c r="Z83" s="137"/>
      <c r="AA83" s="138">
        <f>AA80-AA57</f>
        <v>0.79309752567046921</v>
      </c>
      <c r="AB83" s="137"/>
      <c r="AC83" s="138">
        <f>AC80-AC57</f>
        <v>0.91593885336105962</v>
      </c>
      <c r="AD83" s="137"/>
      <c r="AE83" s="138">
        <f>AE80-AE57</f>
        <v>0.97295226216925446</v>
      </c>
      <c r="AF83" s="137"/>
      <c r="AG83" s="138">
        <f>AG80-AG57</f>
        <v>0.95836796981874339</v>
      </c>
      <c r="AH83" s="137"/>
      <c r="AI83" s="138">
        <f>AI80-AI57</f>
        <v>1.2318893975352418</v>
      </c>
      <c r="AJ83" s="137"/>
      <c r="AK83" s="138">
        <f>AK80-AK57</f>
        <v>1.3384611991296427</v>
      </c>
      <c r="AL83" s="137"/>
      <c r="AM83" s="138">
        <f>AM80-AM57</f>
        <v>1.4029754656222972</v>
      </c>
      <c r="AN83" s="137"/>
      <c r="AO83" s="138">
        <f>AO80-AO57</f>
        <v>1.4882879614726816</v>
      </c>
      <c r="AP83" s="137"/>
      <c r="AQ83" s="138">
        <f>AQ80-AQ57</f>
        <v>1.391875327381316</v>
      </c>
      <c r="AR83" s="137"/>
      <c r="AS83" s="138">
        <f>AS80-AS57</f>
        <v>1.3531506610355617</v>
      </c>
      <c r="AT83" s="137"/>
      <c r="AU83" s="138">
        <f>AU80-AU57</f>
        <v>1.4868686348426485</v>
      </c>
      <c r="AV83" s="137"/>
      <c r="AW83" s="138">
        <f>AW80-AW57</f>
        <v>1.2602340633872631</v>
      </c>
      <c r="AX83" s="137"/>
      <c r="AY83" s="138">
        <f>AY80-AY57</f>
        <v>1.2385226283686759</v>
      </c>
      <c r="AZ83" s="137"/>
      <c r="BA83" s="138">
        <f>BA80-BA57</f>
        <v>1.368233651203886</v>
      </c>
      <c r="BB83" s="137"/>
      <c r="BC83" s="138">
        <f>BC80-BC57</f>
        <v>1.4417841671758236</v>
      </c>
      <c r="BD83" s="137"/>
      <c r="BE83" s="138">
        <f>BE80-BE57</f>
        <v>1.5558847784494594</v>
      </c>
      <c r="BF83" s="137"/>
      <c r="BG83" s="138">
        <f t="shared" ref="BG83" si="730">BG80-BG57</f>
        <v>1.4809088927257914</v>
      </c>
      <c r="BH83" s="137"/>
      <c r="BI83" s="138">
        <f t="shared" ref="BI83:BK83" si="731">BI80-BI57</f>
        <v>1.5000000000000004</v>
      </c>
      <c r="BJ83" s="137"/>
      <c r="BK83" s="138">
        <f t="shared" si="731"/>
        <v>1.6500000000000008</v>
      </c>
      <c r="BL83" s="137"/>
      <c r="BM83" s="138">
        <f t="shared" ref="BM83" si="732">BM80-BM57</f>
        <v>1.6248337250467708</v>
      </c>
      <c r="BN83" s="137"/>
      <c r="BO83" s="138">
        <f t="shared" ref="BO83" si="733">BO80-BO57</f>
        <v>1.5639263252470803</v>
      </c>
      <c r="BP83" s="137"/>
      <c r="BQ83" s="138">
        <f t="shared" ref="BQ83:BS83" si="734">BQ80-BQ57</f>
        <v>1.4502292847589331</v>
      </c>
      <c r="BR83" s="137"/>
      <c r="BS83" s="138">
        <f t="shared" si="734"/>
        <v>1.4943310802193608</v>
      </c>
      <c r="BT83" s="137"/>
      <c r="BU83" s="138">
        <f t="shared" ref="BU83:BW83" si="735">BU80-BU57</f>
        <v>1.3848895113601003</v>
      </c>
      <c r="BV83" s="137"/>
      <c r="BW83" s="138">
        <f t="shared" si="735"/>
        <v>1.474706101884681</v>
      </c>
      <c r="BX83" s="137"/>
      <c r="BY83" s="138">
        <f t="shared" ref="BY83:CA83" si="736">BY80-BY57</f>
        <v>1.4225670780376993</v>
      </c>
      <c r="BZ83" s="137"/>
      <c r="CA83" s="138">
        <f t="shared" si="736"/>
        <v>1.4420314805705861</v>
      </c>
      <c r="CB83" s="137"/>
      <c r="CC83" s="138">
        <f t="shared" ref="CC83:CE83" si="737">CC80-CC57</f>
        <v>1.4450648211937129</v>
      </c>
      <c r="CD83" s="137"/>
      <c r="CE83" s="138">
        <f t="shared" si="737"/>
        <v>1.4174185789507905</v>
      </c>
      <c r="CF83" s="137"/>
      <c r="CG83" s="138">
        <f t="shared" ref="CG83:CI83" si="738">CG80-CG57</f>
        <v>1.4195090439276492</v>
      </c>
      <c r="CH83" s="137"/>
      <c r="CI83" s="138">
        <f t="shared" si="738"/>
        <v>1.714341429386772</v>
      </c>
      <c r="CJ83" s="137"/>
      <c r="CK83" s="138">
        <f t="shared" ref="CK83:CM83" si="739">CK80-CK57</f>
        <v>1.7041447533183076</v>
      </c>
      <c r="CL83" s="137"/>
      <c r="CM83" s="138">
        <f t="shared" si="739"/>
        <v>1.4875000000000007</v>
      </c>
      <c r="CN83" s="137"/>
      <c r="CO83" s="138">
        <f t="shared" ref="CO83" si="740">CO80-CO57</f>
        <v>1.4875000000000007</v>
      </c>
      <c r="CP83" s="137"/>
      <c r="CQ83" s="138">
        <f t="shared" ref="CQ83" si="741">CQ80-CQ57</f>
        <v>1.4875000000000007</v>
      </c>
      <c r="CR83" s="137"/>
      <c r="CS83" s="138">
        <f t="shared" ref="CS83:CU83" si="742">CS80-CS57</f>
        <v>1.5446222898738529</v>
      </c>
      <c r="CT83" s="137"/>
      <c r="CU83" s="138">
        <f t="shared" si="742"/>
        <v>1.5446222898738529</v>
      </c>
      <c r="CV83" s="137"/>
      <c r="CW83" s="138">
        <f>CW80-CW57</f>
        <v>1.2358393567433814</v>
      </c>
      <c r="CX83" s="137"/>
      <c r="CY83" s="138">
        <f>CY80-CY57</f>
        <v>0.87230818251272957</v>
      </c>
      <c r="CZ83" s="137"/>
      <c r="DA83" s="138">
        <f>DA80-DA57</f>
        <v>1.123642358819027</v>
      </c>
      <c r="DB83" s="137"/>
      <c r="DC83" s="138">
        <f>DC80-DC57</f>
        <v>1.2066666666666668</v>
      </c>
      <c r="DD83" s="137"/>
      <c r="DE83" s="138">
        <f>DE80-DE57</f>
        <v>1.075582143135748</v>
      </c>
      <c r="DF83" s="137"/>
      <c r="DG83" s="138">
        <f>DG80-DG57</f>
        <v>1.0210810810810813</v>
      </c>
      <c r="DH83" s="137"/>
      <c r="DI83" s="138">
        <f>DI80-DI57</f>
        <v>1.3038961038961039</v>
      </c>
      <c r="DJ83" s="137"/>
      <c r="DK83" s="138">
        <f>DK80-DK57</f>
        <v>1.3036363636363639</v>
      </c>
    </row>
    <row r="84" spans="1:115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0.28030386305149846</v>
      </c>
      <c r="H84" s="132"/>
      <c r="I84" s="133">
        <f>I83/I67</f>
        <v>0.25751353740229571</v>
      </c>
      <c r="J84" s="132"/>
      <c r="K84" s="133">
        <f>K83/K67</f>
        <v>0.25751353740229571</v>
      </c>
      <c r="L84" s="132"/>
      <c r="M84" s="133">
        <f>M83/M67</f>
        <v>0.25751353740229571</v>
      </c>
      <c r="N84" s="381"/>
      <c r="O84" s="611">
        <f>O83/O67</f>
        <v>0.24038161331599459</v>
      </c>
      <c r="P84" s="381"/>
      <c r="Q84" s="611">
        <f>Q83/Q67</f>
        <v>0.21823624674878547</v>
      </c>
      <c r="R84" s="381"/>
      <c r="S84" s="611">
        <f>S83/S67</f>
        <v>0.21823624674878547</v>
      </c>
      <c r="T84" s="381"/>
      <c r="U84" s="611">
        <f>U83/U67</f>
        <v>0.1983138331309707</v>
      </c>
      <c r="V84" s="381"/>
      <c r="W84" s="611">
        <f>W83/W67</f>
        <v>0.19238523174732336</v>
      </c>
      <c r="X84" s="381"/>
      <c r="Y84" s="611">
        <f>Y83/Y67</f>
        <v>0.15431677928125687</v>
      </c>
      <c r="Z84" s="381"/>
      <c r="AA84" s="611">
        <f>AA83/AA67</f>
        <v>0.13817030063945457</v>
      </c>
      <c r="AB84" s="381"/>
      <c r="AC84" s="611">
        <f>AC83/AC67</f>
        <v>0.15957122880854696</v>
      </c>
      <c r="AD84" s="381"/>
      <c r="AE84" s="611">
        <f>AE83/AE67</f>
        <v>0.16950387842669937</v>
      </c>
      <c r="AF84" s="381"/>
      <c r="AG84" s="611">
        <f>AG83/AG67</f>
        <v>0.16696306094403193</v>
      </c>
      <c r="AH84" s="381"/>
      <c r="AI84" s="611">
        <f>AI83/AI67</f>
        <v>0.21461487761938011</v>
      </c>
      <c r="AJ84" s="381"/>
      <c r="AK84" s="611">
        <f>AK83/AK67</f>
        <v>0.23318139357659279</v>
      </c>
      <c r="AL84" s="381"/>
      <c r="AM84" s="611">
        <f>AM83/AM67</f>
        <v>0.24442081282618419</v>
      </c>
      <c r="AN84" s="381"/>
      <c r="AO84" s="611">
        <f>AO83/AO67</f>
        <v>0.25928361698130342</v>
      </c>
      <c r="AP84" s="381"/>
      <c r="AQ84" s="611">
        <f>AQ83/AQ67</f>
        <v>0.24248699083298189</v>
      </c>
      <c r="AR84" s="381"/>
      <c r="AS84" s="611">
        <f>AS83/AS67</f>
        <v>0.23574053328145672</v>
      </c>
      <c r="AT84" s="381"/>
      <c r="AU84" s="611">
        <f>AU83/AU67</f>
        <v>0.25903634753356247</v>
      </c>
      <c r="AV84" s="381"/>
      <c r="AW84" s="611">
        <f>AW83/AW67</f>
        <v>0.21955297271555105</v>
      </c>
      <c r="AX84" s="381"/>
      <c r="AY84" s="611">
        <f>AY83/AY67</f>
        <v>0.21577049274715607</v>
      </c>
      <c r="AZ84" s="381"/>
      <c r="BA84" s="611">
        <f>BA83/BA67</f>
        <v>0.23836823191705328</v>
      </c>
      <c r="BB84" s="381"/>
      <c r="BC84" s="611">
        <f>BC83/BC67</f>
        <v>0.25118191065780898</v>
      </c>
      <c r="BD84" s="381"/>
      <c r="BE84" s="611">
        <f>BE83/BE67</f>
        <v>0.27106006593196158</v>
      </c>
      <c r="BF84" s="381"/>
      <c r="BG84" s="611">
        <f t="shared" ref="BG84" si="743">BG83/BG67</f>
        <v>0.25799806493480687</v>
      </c>
      <c r="BH84" s="381"/>
      <c r="BI84" s="611">
        <f t="shared" ref="BI84" si="744">BI83/BI67</f>
        <v>0.26132404181184676</v>
      </c>
      <c r="BJ84" s="381"/>
      <c r="BK84" s="611">
        <f t="shared" ref="BK84" si="745">BK83/BK67</f>
        <v>0.28205128205128216</v>
      </c>
      <c r="BL84" s="381"/>
      <c r="BM84" s="611">
        <f t="shared" ref="BM84" si="746">BM83/BM67</f>
        <v>0.27774935470884971</v>
      </c>
      <c r="BN84" s="381"/>
      <c r="BO84" s="611">
        <f t="shared" ref="BO84" si="747">BO83/BO67</f>
        <v>0.26733783337556927</v>
      </c>
      <c r="BP84" s="381"/>
      <c r="BQ84" s="611">
        <f t="shared" ref="BQ84:BS84" si="748">BQ83/BQ67</f>
        <v>0.24790244183913385</v>
      </c>
      <c r="BR84" s="381"/>
      <c r="BS84" s="611">
        <f t="shared" si="748"/>
        <v>0.25544121029390782</v>
      </c>
      <c r="BT84" s="381"/>
      <c r="BU84" s="611">
        <f t="shared" ref="BU84:BW84" si="749">BU83/BU67</f>
        <v>0.23673324980514532</v>
      </c>
      <c r="BV84" s="381"/>
      <c r="BW84" s="611">
        <f t="shared" si="749"/>
        <v>0.25208651314268049</v>
      </c>
      <c r="BX84" s="381"/>
      <c r="BY84" s="611">
        <f t="shared" ref="BY84:CA84" si="750">BY83/BY67</f>
        <v>0.2431738594936238</v>
      </c>
      <c r="BZ84" s="381"/>
      <c r="CA84" s="611">
        <f t="shared" si="750"/>
        <v>0.24650110778984374</v>
      </c>
      <c r="CB84" s="381"/>
      <c r="CC84" s="611">
        <f t="shared" ref="CC84:CE84" si="751">CC83/CC67</f>
        <v>0.24701962755448081</v>
      </c>
      <c r="CD84" s="381"/>
      <c r="CE84" s="611">
        <f t="shared" si="751"/>
        <v>0.24229377417962228</v>
      </c>
      <c r="CF84" s="381"/>
      <c r="CG84" s="611">
        <f t="shared" ref="CG84:CI84" si="752">CG83/CG67</f>
        <v>0.24265111862011096</v>
      </c>
      <c r="CH84" s="381"/>
      <c r="CI84" s="611">
        <f t="shared" si="752"/>
        <v>0.29304981698919175</v>
      </c>
      <c r="CJ84" s="381"/>
      <c r="CK84" s="611">
        <f t="shared" ref="CK84:CM84" si="753">CK83/CK67</f>
        <v>0.29130679543902693</v>
      </c>
      <c r="CL84" s="381"/>
      <c r="CM84" s="611">
        <f t="shared" si="753"/>
        <v>0.25427350427350437</v>
      </c>
      <c r="CN84" s="381"/>
      <c r="CO84" s="611">
        <f t="shared" ref="CO84" si="754">CO83/CO67</f>
        <v>0.25427350427350437</v>
      </c>
      <c r="CP84" s="381"/>
      <c r="CQ84" s="611">
        <f t="shared" ref="CQ84" si="755">CQ83/CQ67</f>
        <v>0.25427350427350437</v>
      </c>
      <c r="CR84" s="381"/>
      <c r="CS84" s="611">
        <f t="shared" ref="CS84:CU84" si="756">CS83/CS67</f>
        <v>0.26403799826903468</v>
      </c>
      <c r="CT84" s="381"/>
      <c r="CU84" s="611">
        <f t="shared" si="756"/>
        <v>0.26403799826903468</v>
      </c>
      <c r="CV84" s="381"/>
      <c r="CW84" s="611">
        <f>CW83/CW67</f>
        <v>0.21575823801192257</v>
      </c>
      <c r="CX84" s="381"/>
      <c r="CY84" s="611">
        <f>CY83/CY67</f>
        <v>0.15197006663984836</v>
      </c>
      <c r="CZ84" s="381"/>
      <c r="DA84" s="611">
        <f>DA83/DA67</f>
        <v>0.19575650850505696</v>
      </c>
      <c r="DB84" s="381"/>
      <c r="DC84" s="611">
        <f>DC83/DC67</f>
        <v>0.2102206736353078</v>
      </c>
      <c r="DD84" s="381"/>
      <c r="DE84" s="611">
        <f>DE83/DE67</f>
        <v>0.18760646954298252</v>
      </c>
      <c r="DF84" s="381"/>
      <c r="DG84" s="611">
        <f>DG83/DG67</f>
        <v>0.17788869008381206</v>
      </c>
      <c r="DH84" s="381"/>
      <c r="DI84" s="611">
        <f>DI83/DI67</f>
        <v>0.20862337662337663</v>
      </c>
      <c r="DJ84" s="381"/>
      <c r="DK84" s="611">
        <f>DK83/DK67</f>
        <v>0.22711434906556863</v>
      </c>
    </row>
    <row r="85" spans="1:115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381"/>
      <c r="O85" s="383"/>
      <c r="P85" s="381"/>
      <c r="Q85" s="383"/>
      <c r="R85" s="381"/>
      <c r="S85" s="383"/>
      <c r="T85" s="381"/>
      <c r="U85" s="383"/>
      <c r="V85" s="381"/>
      <c r="W85" s="383"/>
      <c r="X85" s="381"/>
      <c r="Y85" s="383"/>
      <c r="Z85" s="381"/>
      <c r="AA85" s="383"/>
      <c r="AB85" s="381"/>
      <c r="AC85" s="383"/>
      <c r="AD85" s="381"/>
      <c r="AE85" s="383"/>
      <c r="AF85" s="381"/>
      <c r="AG85" s="383"/>
      <c r="AH85" s="381"/>
      <c r="AI85" s="383"/>
      <c r="AJ85" s="381"/>
      <c r="AK85" s="383"/>
      <c r="AL85" s="381"/>
      <c r="AM85" s="383"/>
      <c r="AN85" s="381"/>
      <c r="AO85" s="383"/>
      <c r="AP85" s="381"/>
      <c r="AQ85" s="383"/>
      <c r="AR85" s="381"/>
      <c r="AS85" s="383"/>
      <c r="AT85" s="381"/>
      <c r="AU85" s="383"/>
      <c r="AV85" s="381"/>
      <c r="AW85" s="383"/>
      <c r="AX85" s="381"/>
      <c r="AY85" s="383"/>
      <c r="AZ85" s="381"/>
      <c r="BA85" s="383"/>
      <c r="BB85" s="381"/>
      <c r="BC85" s="383"/>
      <c r="BD85" s="381"/>
      <c r="BE85" s="383"/>
      <c r="BF85" s="381"/>
      <c r="BG85" s="383"/>
      <c r="BH85" s="381"/>
      <c r="BI85" s="383"/>
      <c r="BJ85" s="381"/>
      <c r="BK85" s="383"/>
      <c r="BL85" s="381"/>
      <c r="BM85" s="383"/>
      <c r="BN85" s="381"/>
      <c r="BO85" s="383"/>
      <c r="BP85" s="381"/>
      <c r="BQ85" s="383"/>
      <c r="BR85" s="381"/>
      <c r="BS85" s="383"/>
      <c r="BT85" s="381"/>
      <c r="BU85" s="383"/>
      <c r="BV85" s="381"/>
      <c r="BW85" s="383"/>
      <c r="BX85" s="381"/>
      <c r="BY85" s="383"/>
      <c r="BZ85" s="381"/>
      <c r="CA85" s="383"/>
      <c r="CB85" s="381"/>
      <c r="CC85" s="383"/>
      <c r="CD85" s="381"/>
      <c r="CE85" s="383"/>
      <c r="CF85" s="381"/>
      <c r="CG85" s="383"/>
      <c r="CH85" s="381"/>
      <c r="CI85" s="383"/>
      <c r="CJ85" s="381"/>
      <c r="CK85" s="383"/>
      <c r="CL85" s="381"/>
      <c r="CM85" s="383"/>
      <c r="CN85" s="381"/>
      <c r="CO85" s="383"/>
      <c r="CP85" s="381"/>
      <c r="CQ85" s="383"/>
      <c r="CR85" s="381"/>
      <c r="CS85" s="383"/>
      <c r="CT85" s="381"/>
      <c r="CU85" s="383"/>
      <c r="CV85" s="381"/>
      <c r="CW85" s="383"/>
      <c r="CX85" s="381"/>
      <c r="CY85" s="383"/>
      <c r="CZ85" s="381"/>
      <c r="DA85" s="383"/>
      <c r="DB85" s="381"/>
      <c r="DC85" s="383"/>
      <c r="DD85" s="381"/>
      <c r="DE85" s="383"/>
      <c r="DF85" s="381"/>
      <c r="DG85" s="383"/>
      <c r="DH85" s="381"/>
      <c r="DI85" s="383"/>
      <c r="DJ85" s="381"/>
      <c r="DK85" s="383"/>
    </row>
    <row r="86" spans="1:115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1.4068309390250531</v>
      </c>
      <c r="H86" s="141"/>
      <c r="I86" s="142">
        <f>I83-I72</f>
        <v>1.2476058971765243</v>
      </c>
      <c r="J86" s="141"/>
      <c r="K86" s="142">
        <f>K83-K72</f>
        <v>1.2476058971765243</v>
      </c>
      <c r="L86" s="141"/>
      <c r="M86" s="142">
        <f>M83-M72</f>
        <v>1.2476058971765243</v>
      </c>
      <c r="N86" s="141"/>
      <c r="O86" s="599">
        <f>O83-O72</f>
        <v>1.2662288997285618</v>
      </c>
      <c r="P86" s="141"/>
      <c r="Q86" s="599">
        <f>Q83-Q72</f>
        <v>1.1345400710045401</v>
      </c>
      <c r="R86" s="141"/>
      <c r="S86" s="599">
        <f>S83-S72</f>
        <v>1.1345400710045401</v>
      </c>
      <c r="T86" s="141"/>
      <c r="U86" s="599">
        <f>U83-U72</f>
        <v>0.99703636351459723</v>
      </c>
      <c r="V86" s="141"/>
      <c r="W86" s="599">
        <f>W83-W72</f>
        <v>0.94759524378055515</v>
      </c>
      <c r="X86" s="141"/>
      <c r="Y86" s="599">
        <f>Y83-Y72</f>
        <v>0.7767441250261099</v>
      </c>
      <c r="Z86" s="141"/>
      <c r="AA86" s="599">
        <f>AA83-AA72</f>
        <v>0.66183207590217719</v>
      </c>
      <c r="AB86" s="141"/>
      <c r="AC86" s="599">
        <f>AC83-AC72</f>
        <v>0.73164082032748157</v>
      </c>
      <c r="AD86" s="141"/>
      <c r="AE86" s="599">
        <f>AE83-AE72</f>
        <v>0.84953041182221578</v>
      </c>
      <c r="AF86" s="141"/>
      <c r="AG86" s="599">
        <f>AG83-AG72</f>
        <v>0.80485493241282313</v>
      </c>
      <c r="AH86" s="141"/>
      <c r="AI86" s="599">
        <f>AI83-AI72</f>
        <v>1.1104327212151022</v>
      </c>
      <c r="AJ86" s="141"/>
      <c r="AK86" s="599">
        <f>AK83-AK72</f>
        <v>1.2176877147500278</v>
      </c>
      <c r="AL86" s="141"/>
      <c r="AM86" s="599">
        <f>AM83-AM72</f>
        <v>1.277544785234352</v>
      </c>
      <c r="AN86" s="141"/>
      <c r="AO86" s="599">
        <f>AO83-AO72</f>
        <v>1.3639872087370819</v>
      </c>
      <c r="AP86" s="141"/>
      <c r="AQ86" s="599">
        <f>AQ83-AQ72</f>
        <v>1.2679109005019902</v>
      </c>
      <c r="AR86" s="141"/>
      <c r="AS86" s="599">
        <f>AS83-AS72</f>
        <v>1.2426437181452443</v>
      </c>
      <c r="AT86" s="141"/>
      <c r="AU86" s="599">
        <f>AU83-AU72</f>
        <v>1.3767296827419324</v>
      </c>
      <c r="AV86" s="141"/>
      <c r="AW86" s="599">
        <f>AW83-AW72</f>
        <v>1.1389741318763369</v>
      </c>
      <c r="AX86" s="141"/>
      <c r="AY86" s="599">
        <f>AY83-AY72</f>
        <v>1.1198716069229504</v>
      </c>
      <c r="AZ86" s="141"/>
      <c r="BA86" s="599">
        <f>BA83-BA72</f>
        <v>1.2475540696020817</v>
      </c>
      <c r="BB86" s="141"/>
      <c r="BC86" s="599">
        <f>BC83-BC72</f>
        <v>1.3275415420212293</v>
      </c>
      <c r="BD86" s="141"/>
      <c r="BE86" s="599">
        <f>BE83-BE72</f>
        <v>1.4453901542393068</v>
      </c>
      <c r="BF86" s="141"/>
      <c r="BG86" s="599">
        <f t="shared" ref="BG86" si="757">BG83-BG72</f>
        <v>1.358595798929513</v>
      </c>
      <c r="BH86" s="141"/>
      <c r="BI86" s="599">
        <f t="shared" ref="BI86:BK86" si="758">BI83-BI72</f>
        <v>1.3915456492571514</v>
      </c>
      <c r="BJ86" s="141"/>
      <c r="BK86" s="599">
        <f t="shared" si="758"/>
        <v>1.5331289461835749</v>
      </c>
      <c r="BL86" s="141"/>
      <c r="BM86" s="599">
        <f t="shared" ref="BM86" si="759">BM83-BM72</f>
        <v>1.5056155922548538</v>
      </c>
      <c r="BN86" s="141"/>
      <c r="BO86" s="599">
        <f t="shared" ref="BO86" si="760">BO83-BO72</f>
        <v>1.4587448050547582</v>
      </c>
      <c r="BP86" s="141"/>
      <c r="BQ86" s="599">
        <f t="shared" ref="BQ86:BS86" si="761">BQ83-BQ72</f>
        <v>1.3349693757263501</v>
      </c>
      <c r="BR86" s="141"/>
      <c r="BS86" s="599">
        <f t="shared" si="761"/>
        <v>1.3790711711867778</v>
      </c>
      <c r="BT86" s="141"/>
      <c r="BU86" s="599">
        <f t="shared" ref="BU86:BW86" si="762">BU83-BU72</f>
        <v>1.2696296023275173</v>
      </c>
      <c r="BV86" s="141"/>
      <c r="BW86" s="599">
        <f t="shared" si="762"/>
        <v>1.359446192852098</v>
      </c>
      <c r="BX86" s="141"/>
      <c r="BY86" s="599">
        <f t="shared" ref="BY86:CA86" si="763">BY83-BY72</f>
        <v>1.3039218562714847</v>
      </c>
      <c r="BZ86" s="141"/>
      <c r="CA86" s="599">
        <f t="shared" si="763"/>
        <v>1.3233862588043714</v>
      </c>
      <c r="CB86" s="141"/>
      <c r="CC86" s="599">
        <f t="shared" ref="CC86:CE86" si="764">CC83-CC72</f>
        <v>1.3264195994274983</v>
      </c>
      <c r="CD86" s="141"/>
      <c r="CE86" s="599">
        <f t="shared" si="764"/>
        <v>1.2987733571845759</v>
      </c>
      <c r="CF86" s="141"/>
      <c r="CG86" s="599">
        <f t="shared" ref="CG86:CI86" si="765">CG83-CG72</f>
        <v>1.3008638221614346</v>
      </c>
      <c r="CH86" s="141"/>
      <c r="CI86" s="599">
        <f t="shared" si="765"/>
        <v>1.5956962076205574</v>
      </c>
      <c r="CJ86" s="141"/>
      <c r="CK86" s="599">
        <f t="shared" ref="CK86:CM86" si="766">CK83-CK72</f>
        <v>1.585499531552093</v>
      </c>
      <c r="CL86" s="141"/>
      <c r="CM86" s="599">
        <f t="shared" si="766"/>
        <v>1.3688547782337861</v>
      </c>
      <c r="CN86" s="141"/>
      <c r="CO86" s="599">
        <f t="shared" ref="CO86" si="767">CO83-CO72</f>
        <v>1.3722400909674177</v>
      </c>
      <c r="CP86" s="141"/>
      <c r="CQ86" s="599">
        <f t="shared" ref="CQ86" si="768">CQ83-CQ72</f>
        <v>1.3722400909674177</v>
      </c>
      <c r="CR86" s="141"/>
      <c r="CS86" s="599">
        <f t="shared" ref="CS86:CU86" si="769">CS83-CS72</f>
        <v>1.4293623808412699</v>
      </c>
      <c r="CT86" s="141"/>
      <c r="CU86" s="599">
        <f t="shared" si="769"/>
        <v>1.4293623808412699</v>
      </c>
      <c r="CV86" s="141"/>
      <c r="CW86" s="599">
        <f>CW83-CW72</f>
        <v>1.1053538113533623</v>
      </c>
      <c r="CX86" s="141"/>
      <c r="CY86" s="599">
        <f>CY83-CY72</f>
        <v>0.7265315031720927</v>
      </c>
      <c r="CZ86" s="141"/>
      <c r="DA86" s="599">
        <f>DA83-DA72</f>
        <v>0.99566774378099976</v>
      </c>
      <c r="DB86" s="141"/>
      <c r="DC86" s="599">
        <f>DC83-DC72</f>
        <v>1.0786920516286396</v>
      </c>
      <c r="DD86" s="141"/>
      <c r="DE86" s="599">
        <f>DE83-DE72</f>
        <v>0.93841340769078174</v>
      </c>
      <c r="DF86" s="141"/>
      <c r="DG86" s="599">
        <f>DG83-DG72</f>
        <v>0.88582465767743745</v>
      </c>
      <c r="DH86" s="141"/>
      <c r="DI86" s="599">
        <f>DI83-DI72</f>
        <v>1.1759214888580767</v>
      </c>
      <c r="DJ86" s="141"/>
      <c r="DK86" s="599">
        <f>DK83-DK72</f>
        <v>1.1756617485983367</v>
      </c>
    </row>
    <row r="87" spans="1:115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0.2586145218155364</v>
      </c>
      <c r="H87" s="132"/>
      <c r="I87" s="133">
        <f>I86/I67</f>
        <v>0.2352643540153265</v>
      </c>
      <c r="J87" s="132"/>
      <c r="K87" s="133">
        <f>K86/K67</f>
        <v>0.2352643540153265</v>
      </c>
      <c r="L87" s="132"/>
      <c r="M87" s="133">
        <f>M86/M67</f>
        <v>0.2352643540153265</v>
      </c>
      <c r="N87" s="381"/>
      <c r="O87" s="611">
        <f>O86/O67</f>
        <v>0.22161155708117009</v>
      </c>
      <c r="P87" s="381"/>
      <c r="Q87" s="611">
        <f>Q86/Q67</f>
        <v>0.19765506463493729</v>
      </c>
      <c r="R87" s="381"/>
      <c r="S87" s="611">
        <f>S86/S67</f>
        <v>0.19765506463493729</v>
      </c>
      <c r="T87" s="381"/>
      <c r="U87" s="611">
        <f>U86/U67</f>
        <v>0.17369971489801345</v>
      </c>
      <c r="V87" s="381"/>
      <c r="W87" s="611">
        <f>W86/W67</f>
        <v>0.16508627940427789</v>
      </c>
      <c r="X87" s="381"/>
      <c r="Y87" s="611">
        <f>Y86/Y67</f>
        <v>0.13532127613695294</v>
      </c>
      <c r="Z87" s="381"/>
      <c r="AA87" s="611">
        <f>AA86/AA67</f>
        <v>0.11530175538365456</v>
      </c>
      <c r="AB87" s="381"/>
      <c r="AC87" s="611">
        <f>AC86/AC67</f>
        <v>0.12746355754834174</v>
      </c>
      <c r="AD87" s="381"/>
      <c r="AE87" s="611">
        <f>AE86/AE67</f>
        <v>0.14800181390630937</v>
      </c>
      <c r="AF87" s="381"/>
      <c r="AG87" s="611">
        <f>AG86/AG67</f>
        <v>0.14021862934021309</v>
      </c>
      <c r="AH87" s="381"/>
      <c r="AI87" s="611">
        <f>AI86/AI67</f>
        <v>0.1934551779120387</v>
      </c>
      <c r="AJ87" s="381"/>
      <c r="AK87" s="611">
        <f>AK86/AK67</f>
        <v>0.21214071685540553</v>
      </c>
      <c r="AL87" s="381"/>
      <c r="AM87" s="611">
        <f>AM86/AM67</f>
        <v>0.22256877791539231</v>
      </c>
      <c r="AN87" s="381"/>
      <c r="AO87" s="611">
        <f>AO86/AO67</f>
        <v>0.23762843357788882</v>
      </c>
      <c r="AP87" s="381"/>
      <c r="AQ87" s="611">
        <f>AQ86/AQ67</f>
        <v>0.22089040078431885</v>
      </c>
      <c r="AR87" s="381"/>
      <c r="AS87" s="611">
        <f>AS86/AS67</f>
        <v>0.2164884526385443</v>
      </c>
      <c r="AT87" s="381"/>
      <c r="AU87" s="611">
        <f>AU86/AU67</f>
        <v>0.23984837678430879</v>
      </c>
      <c r="AV87" s="381"/>
      <c r="AW87" s="611">
        <f>AW86/AW67</f>
        <v>0.19842754910737576</v>
      </c>
      <c r="AX87" s="381"/>
      <c r="AY87" s="611">
        <f>AY86/AY67</f>
        <v>0.19509958308762201</v>
      </c>
      <c r="AZ87" s="381"/>
      <c r="BA87" s="611">
        <f>BA86/BA67</f>
        <v>0.21734391456482258</v>
      </c>
      <c r="BB87" s="381"/>
      <c r="BC87" s="611">
        <f>BC86/BC67</f>
        <v>0.23127901428941278</v>
      </c>
      <c r="BD87" s="381"/>
      <c r="BE87" s="611">
        <f>BE86/BE67</f>
        <v>0.25181013140057612</v>
      </c>
      <c r="BF87" s="381"/>
      <c r="BG87" s="611">
        <f t="shared" ref="BG87" si="770">BG86/BG67</f>
        <v>0.23668916357657019</v>
      </c>
      <c r="BH87" s="381"/>
      <c r="BI87" s="611">
        <f t="shared" ref="BI87" si="771">BI86/BI67</f>
        <v>0.24242955561971277</v>
      </c>
      <c r="BJ87" s="381"/>
      <c r="BK87" s="611">
        <f t="shared" ref="BK87" si="772">BK86/BK67</f>
        <v>0.26207332413394441</v>
      </c>
      <c r="BL87" s="381"/>
      <c r="BM87" s="611">
        <f t="shared" ref="BM87" si="773">BM86/BM67</f>
        <v>0.25737018671023137</v>
      </c>
      <c r="BN87" s="381"/>
      <c r="BO87" s="611">
        <f t="shared" ref="BO87" si="774">BO86/BO67</f>
        <v>0.24935808633414669</v>
      </c>
      <c r="BP87" s="381"/>
      <c r="BQ87" s="611">
        <f t="shared" ref="BQ87:BS87" si="775">BQ86/BQ67</f>
        <v>0.22819989328655554</v>
      </c>
      <c r="BR87" s="381"/>
      <c r="BS87" s="611">
        <f t="shared" si="775"/>
        <v>0.23573866174132951</v>
      </c>
      <c r="BT87" s="381"/>
      <c r="BU87" s="611">
        <f t="shared" ref="BU87:BW87" si="776">BU86/BU67</f>
        <v>0.21703070125256704</v>
      </c>
      <c r="BV87" s="381"/>
      <c r="BW87" s="611">
        <f t="shared" si="776"/>
        <v>0.23238396459010219</v>
      </c>
      <c r="BX87" s="381"/>
      <c r="BY87" s="611">
        <f t="shared" ref="BY87:CA87" si="777">BY86/BY67</f>
        <v>0.22289262500367257</v>
      </c>
      <c r="BZ87" s="381"/>
      <c r="CA87" s="611">
        <f t="shared" si="777"/>
        <v>0.22621987329989254</v>
      </c>
      <c r="CB87" s="381"/>
      <c r="CC87" s="611">
        <f t="shared" ref="CC87:CE87" si="778">CC86/CC67</f>
        <v>0.22673839306452961</v>
      </c>
      <c r="CD87" s="381"/>
      <c r="CE87" s="611">
        <f t="shared" si="778"/>
        <v>0.22201253968967108</v>
      </c>
      <c r="CF87" s="381"/>
      <c r="CG87" s="611">
        <f t="shared" ref="CG87:CI87" si="779">CG86/CG67</f>
        <v>0.22236988413015973</v>
      </c>
      <c r="CH87" s="381"/>
      <c r="CI87" s="611">
        <f t="shared" si="779"/>
        <v>0.27276858249924057</v>
      </c>
      <c r="CJ87" s="381"/>
      <c r="CK87" s="611">
        <f t="shared" ref="CK87:CM87" si="780">CK86/CK67</f>
        <v>0.27102556094907571</v>
      </c>
      <c r="CL87" s="381"/>
      <c r="CM87" s="611">
        <f t="shared" si="780"/>
        <v>0.23399226978355317</v>
      </c>
      <c r="CN87" s="381"/>
      <c r="CO87" s="611">
        <f t="shared" ref="CO87" si="781">CO86/CO67</f>
        <v>0.23457095572092609</v>
      </c>
      <c r="CP87" s="381"/>
      <c r="CQ87" s="611">
        <f t="shared" ref="CQ87" si="782">CQ86/CQ67</f>
        <v>0.23457095572092609</v>
      </c>
      <c r="CR87" s="381"/>
      <c r="CS87" s="611">
        <f t="shared" ref="CS87:CU87" si="783">CS86/CS67</f>
        <v>0.24433544971645638</v>
      </c>
      <c r="CT87" s="381"/>
      <c r="CU87" s="611">
        <f t="shared" si="783"/>
        <v>0.24433544971645638</v>
      </c>
      <c r="CV87" s="381"/>
      <c r="CW87" s="611">
        <f>CW86/CW67</f>
        <v>0.19297750101260622</v>
      </c>
      <c r="CX87" s="381"/>
      <c r="CY87" s="611">
        <f>CY86/CY67</f>
        <v>0.1265734326083785</v>
      </c>
      <c r="CZ87" s="381"/>
      <c r="DA87" s="611">
        <f>DA86/DA67</f>
        <v>0.17346127940435535</v>
      </c>
      <c r="DB87" s="381"/>
      <c r="DC87" s="611">
        <f>DC86/DC67</f>
        <v>0.18792544453460619</v>
      </c>
      <c r="DD87" s="381"/>
      <c r="DE87" s="611">
        <f>DE86/DE67</f>
        <v>0.16368106100702315</v>
      </c>
      <c r="DF87" s="381"/>
      <c r="DG87" s="611">
        <f>DG86/DG67</f>
        <v>0.15432485325390896</v>
      </c>
      <c r="DH87" s="381"/>
      <c r="DI87" s="611">
        <f>DI86/DI67</f>
        <v>0.18814743821729227</v>
      </c>
      <c r="DJ87" s="381"/>
      <c r="DK87" s="611">
        <f>DK86/DK67</f>
        <v>0.20481911996486701</v>
      </c>
    </row>
    <row r="88" spans="1:115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381"/>
      <c r="O88" s="383"/>
      <c r="P88" s="381"/>
      <c r="Q88" s="383"/>
      <c r="R88" s="381"/>
      <c r="S88" s="383"/>
      <c r="T88" s="381"/>
      <c r="U88" s="383"/>
      <c r="V88" s="381"/>
      <c r="W88" s="383"/>
      <c r="X88" s="381"/>
      <c r="Y88" s="383"/>
      <c r="Z88" s="381"/>
      <c r="AA88" s="383"/>
      <c r="AB88" s="381"/>
      <c r="AC88" s="383"/>
      <c r="AD88" s="381"/>
      <c r="AE88" s="383"/>
      <c r="AF88" s="381"/>
      <c r="AG88" s="383"/>
      <c r="AH88" s="381"/>
      <c r="AI88" s="383"/>
      <c r="AJ88" s="381"/>
      <c r="AK88" s="383"/>
      <c r="AL88" s="381"/>
      <c r="AM88" s="383"/>
      <c r="AN88" s="381"/>
      <c r="AO88" s="383"/>
      <c r="AP88" s="381"/>
      <c r="AQ88" s="383"/>
      <c r="AR88" s="381"/>
      <c r="AS88" s="383"/>
      <c r="AT88" s="381"/>
      <c r="AU88" s="383"/>
      <c r="AV88" s="381"/>
      <c r="AW88" s="383"/>
      <c r="AX88" s="381"/>
      <c r="AY88" s="383"/>
      <c r="AZ88" s="381"/>
      <c r="BA88" s="383"/>
      <c r="BB88" s="381"/>
      <c r="BC88" s="383"/>
      <c r="BD88" s="381"/>
      <c r="BE88" s="383"/>
      <c r="BF88" s="381"/>
      <c r="BG88" s="383"/>
      <c r="BH88" s="381"/>
      <c r="BI88" s="383"/>
      <c r="BJ88" s="381"/>
      <c r="BK88" s="383"/>
      <c r="BL88" s="381"/>
      <c r="BM88" s="383"/>
      <c r="BN88" s="381"/>
      <c r="BO88" s="383"/>
      <c r="BP88" s="381"/>
      <c r="BQ88" s="383"/>
      <c r="BR88" s="381"/>
      <c r="BS88" s="383"/>
      <c r="BT88" s="381"/>
      <c r="BU88" s="383"/>
      <c r="BV88" s="381"/>
      <c r="BW88" s="383"/>
      <c r="BX88" s="381"/>
      <c r="BY88" s="383"/>
      <c r="BZ88" s="381"/>
      <c r="CA88" s="383"/>
      <c r="CB88" s="381"/>
      <c r="CC88" s="383"/>
      <c r="CD88" s="381"/>
      <c r="CE88" s="383"/>
      <c r="CF88" s="381"/>
      <c r="CG88" s="383"/>
      <c r="CH88" s="381"/>
      <c r="CI88" s="383"/>
      <c r="CJ88" s="381"/>
      <c r="CK88" s="383"/>
      <c r="CL88" s="381"/>
      <c r="CM88" s="383"/>
      <c r="CN88" s="381"/>
      <c r="CO88" s="383"/>
      <c r="CP88" s="381"/>
      <c r="CQ88" s="383"/>
      <c r="CR88" s="381"/>
      <c r="CS88" s="383"/>
      <c r="CT88" s="381"/>
      <c r="CU88" s="383"/>
      <c r="CV88" s="381"/>
      <c r="CW88" s="383"/>
      <c r="CX88" s="381"/>
      <c r="CY88" s="383"/>
      <c r="CZ88" s="381"/>
      <c r="DA88" s="383"/>
      <c r="DB88" s="381"/>
      <c r="DC88" s="383"/>
      <c r="DD88" s="381"/>
      <c r="DE88" s="383"/>
      <c r="DF88" s="381"/>
      <c r="DG88" s="383"/>
      <c r="DH88" s="381"/>
      <c r="DI88" s="383"/>
      <c r="DJ88" s="381"/>
      <c r="DK88" s="383"/>
    </row>
    <row r="89" spans="1:115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1.4068309390250531</v>
      </c>
      <c r="H89" s="146"/>
      <c r="I89" s="147">
        <f>I86</f>
        <v>1.2476058971765243</v>
      </c>
      <c r="J89" s="146"/>
      <c r="K89" s="147">
        <f>K86</f>
        <v>1.2476058971765243</v>
      </c>
      <c r="L89" s="146"/>
      <c r="M89" s="147">
        <f>M86</f>
        <v>1.2476058971765243</v>
      </c>
      <c r="N89" s="424"/>
      <c r="O89" s="601">
        <f>O86</f>
        <v>1.2662288997285618</v>
      </c>
      <c r="P89" s="424"/>
      <c r="Q89" s="601">
        <f>Q86</f>
        <v>1.1345400710045401</v>
      </c>
      <c r="R89" s="424"/>
      <c r="S89" s="601">
        <f>S86</f>
        <v>1.1345400710045401</v>
      </c>
      <c r="T89" s="424"/>
      <c r="U89" s="601">
        <f>U86</f>
        <v>0.99703636351459723</v>
      </c>
      <c r="V89" s="424"/>
      <c r="W89" s="601">
        <f>W86</f>
        <v>0.94759524378055515</v>
      </c>
      <c r="X89" s="424"/>
      <c r="Y89" s="601">
        <f>Y86</f>
        <v>0.7767441250261099</v>
      </c>
      <c r="Z89" s="424"/>
      <c r="AA89" s="601">
        <f>AA86</f>
        <v>0.66183207590217719</v>
      </c>
      <c r="AB89" s="424"/>
      <c r="AC89" s="601">
        <f>AC86</f>
        <v>0.73164082032748157</v>
      </c>
      <c r="AD89" s="424"/>
      <c r="AE89" s="601">
        <f>AE86</f>
        <v>0.84953041182221578</v>
      </c>
      <c r="AF89" s="424"/>
      <c r="AG89" s="601">
        <f>AG86</f>
        <v>0.80485493241282313</v>
      </c>
      <c r="AH89" s="424"/>
      <c r="AI89" s="601">
        <f>AI86</f>
        <v>1.1104327212151022</v>
      </c>
      <c r="AJ89" s="424"/>
      <c r="AK89" s="601">
        <f>AK86</f>
        <v>1.2176877147500278</v>
      </c>
      <c r="AL89" s="424"/>
      <c r="AM89" s="601">
        <f>AM86</f>
        <v>1.277544785234352</v>
      </c>
      <c r="AN89" s="424"/>
      <c r="AO89" s="601">
        <f>AO86</f>
        <v>1.3639872087370819</v>
      </c>
      <c r="AP89" s="424"/>
      <c r="AQ89" s="601">
        <f>AQ86</f>
        <v>1.2679109005019902</v>
      </c>
      <c r="AR89" s="424"/>
      <c r="AS89" s="601">
        <f>AS86</f>
        <v>1.2426437181452443</v>
      </c>
      <c r="AT89" s="424"/>
      <c r="AU89" s="601">
        <f>AU86</f>
        <v>1.3767296827419324</v>
      </c>
      <c r="AV89" s="424"/>
      <c r="AW89" s="601">
        <f>AW86</f>
        <v>1.1389741318763369</v>
      </c>
      <c r="AX89" s="424"/>
      <c r="AY89" s="601">
        <f>AY86</f>
        <v>1.1198716069229504</v>
      </c>
      <c r="AZ89" s="424"/>
      <c r="BA89" s="601">
        <f>BA86</f>
        <v>1.2475540696020817</v>
      </c>
      <c r="BB89" s="424"/>
      <c r="BC89" s="601">
        <f>BC86</f>
        <v>1.3275415420212293</v>
      </c>
      <c r="BD89" s="424"/>
      <c r="BE89" s="601">
        <f>BE86</f>
        <v>1.4453901542393068</v>
      </c>
      <c r="BF89" s="424"/>
      <c r="BG89" s="601">
        <f t="shared" ref="BG89" si="784">BG86</f>
        <v>1.358595798929513</v>
      </c>
      <c r="BH89" s="424"/>
      <c r="BI89" s="601">
        <f t="shared" ref="BI89:BK89" si="785">BI86</f>
        <v>1.3915456492571514</v>
      </c>
      <c r="BJ89" s="424"/>
      <c r="BK89" s="601">
        <f t="shared" si="785"/>
        <v>1.5331289461835749</v>
      </c>
      <c r="BL89" s="424"/>
      <c r="BM89" s="601">
        <f t="shared" ref="BM89" si="786">BM86</f>
        <v>1.5056155922548538</v>
      </c>
      <c r="BN89" s="424"/>
      <c r="BO89" s="601">
        <f t="shared" ref="BO89" si="787">BO86</f>
        <v>1.4587448050547582</v>
      </c>
      <c r="BP89" s="424"/>
      <c r="BQ89" s="601">
        <f t="shared" ref="BQ89:BS89" si="788">BQ86</f>
        <v>1.3349693757263501</v>
      </c>
      <c r="BR89" s="424"/>
      <c r="BS89" s="601">
        <f t="shared" si="788"/>
        <v>1.3790711711867778</v>
      </c>
      <c r="BT89" s="424"/>
      <c r="BU89" s="601">
        <f t="shared" ref="BU89:BW89" si="789">BU86</f>
        <v>1.2696296023275173</v>
      </c>
      <c r="BV89" s="424"/>
      <c r="BW89" s="601">
        <f t="shared" si="789"/>
        <v>1.359446192852098</v>
      </c>
      <c r="BX89" s="424"/>
      <c r="BY89" s="601">
        <f t="shared" ref="BY89:CA89" si="790">BY86</f>
        <v>1.3039218562714847</v>
      </c>
      <c r="BZ89" s="424"/>
      <c r="CA89" s="601">
        <f t="shared" si="790"/>
        <v>1.3233862588043714</v>
      </c>
      <c r="CB89" s="424"/>
      <c r="CC89" s="601">
        <f t="shared" ref="CC89:CE89" si="791">CC86</f>
        <v>1.3264195994274983</v>
      </c>
      <c r="CD89" s="424"/>
      <c r="CE89" s="601">
        <f t="shared" si="791"/>
        <v>1.2987733571845759</v>
      </c>
      <c r="CF89" s="424"/>
      <c r="CG89" s="601">
        <f t="shared" ref="CG89:CI89" si="792">CG86</f>
        <v>1.3008638221614346</v>
      </c>
      <c r="CH89" s="424"/>
      <c r="CI89" s="601">
        <f t="shared" si="792"/>
        <v>1.5956962076205574</v>
      </c>
      <c r="CJ89" s="424"/>
      <c r="CK89" s="601">
        <f t="shared" ref="CK89:CM89" si="793">CK86</f>
        <v>1.585499531552093</v>
      </c>
      <c r="CL89" s="424"/>
      <c r="CM89" s="601">
        <f t="shared" si="793"/>
        <v>1.3688547782337861</v>
      </c>
      <c r="CN89" s="424"/>
      <c r="CO89" s="601">
        <f t="shared" ref="CO89" si="794">CO86</f>
        <v>1.3722400909674177</v>
      </c>
      <c r="CP89" s="424"/>
      <c r="CQ89" s="601">
        <f t="shared" ref="CQ89" si="795">CQ86</f>
        <v>1.3722400909674177</v>
      </c>
      <c r="CR89" s="424"/>
      <c r="CS89" s="601">
        <f t="shared" ref="CS89:CU89" si="796">CS86</f>
        <v>1.4293623808412699</v>
      </c>
      <c r="CT89" s="424"/>
      <c r="CU89" s="601">
        <f t="shared" si="796"/>
        <v>1.4293623808412699</v>
      </c>
      <c r="CV89" s="424"/>
      <c r="CW89" s="601">
        <f>CW86</f>
        <v>1.1053538113533623</v>
      </c>
      <c r="CX89" s="424"/>
      <c r="CY89" s="601">
        <f>CY86</f>
        <v>0.7265315031720927</v>
      </c>
      <c r="CZ89" s="424"/>
      <c r="DA89" s="601">
        <f>DA86</f>
        <v>0.99566774378099976</v>
      </c>
      <c r="DB89" s="424"/>
      <c r="DC89" s="601">
        <f>DC86</f>
        <v>1.0786920516286396</v>
      </c>
      <c r="DD89" s="424"/>
      <c r="DE89" s="601">
        <f>DE86</f>
        <v>0.93841340769078174</v>
      </c>
      <c r="DF89" s="424"/>
      <c r="DG89" s="601">
        <f>DG86</f>
        <v>0.88582465767743745</v>
      </c>
      <c r="DH89" s="424"/>
      <c r="DI89" s="601">
        <f>DI86</f>
        <v>1.1759214888580767</v>
      </c>
      <c r="DJ89" s="424"/>
      <c r="DK89" s="601">
        <f>DK86</f>
        <v>1.1756617485983367</v>
      </c>
    </row>
    <row r="90" spans="1:115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0.2586145218155364</v>
      </c>
      <c r="H90" s="132"/>
      <c r="I90" s="133">
        <f>I89/I67</f>
        <v>0.2352643540153265</v>
      </c>
      <c r="J90" s="132"/>
      <c r="K90" s="133">
        <f>K89/K67</f>
        <v>0.2352643540153265</v>
      </c>
      <c r="L90" s="132"/>
      <c r="M90" s="133">
        <f>M89/M67</f>
        <v>0.2352643540153265</v>
      </c>
      <c r="N90" s="381"/>
      <c r="O90" s="611">
        <f>O89/O67</f>
        <v>0.22161155708117009</v>
      </c>
      <c r="P90" s="381"/>
      <c r="Q90" s="611">
        <f>Q89/Q67</f>
        <v>0.19765506463493729</v>
      </c>
      <c r="R90" s="381"/>
      <c r="S90" s="611">
        <f>S89/S67</f>
        <v>0.19765506463493729</v>
      </c>
      <c r="T90" s="381"/>
      <c r="U90" s="611">
        <f>U89/U67</f>
        <v>0.17369971489801345</v>
      </c>
      <c r="V90" s="381"/>
      <c r="W90" s="611">
        <f>W89/W67</f>
        <v>0.16508627940427789</v>
      </c>
      <c r="X90" s="381"/>
      <c r="Y90" s="611">
        <f>Y89/Y67</f>
        <v>0.13532127613695294</v>
      </c>
      <c r="Z90" s="381"/>
      <c r="AA90" s="611">
        <f>AA89/AA67</f>
        <v>0.11530175538365456</v>
      </c>
      <c r="AB90" s="381"/>
      <c r="AC90" s="611">
        <f>AC89/AC67</f>
        <v>0.12746355754834174</v>
      </c>
      <c r="AD90" s="381"/>
      <c r="AE90" s="611">
        <f>AE89/AE67</f>
        <v>0.14800181390630937</v>
      </c>
      <c r="AF90" s="381"/>
      <c r="AG90" s="611">
        <f>AG89/AG67</f>
        <v>0.14021862934021309</v>
      </c>
      <c r="AH90" s="381"/>
      <c r="AI90" s="611">
        <f>AI89/AI67</f>
        <v>0.1934551779120387</v>
      </c>
      <c r="AJ90" s="381"/>
      <c r="AK90" s="611">
        <f>AK89/AK67</f>
        <v>0.21214071685540553</v>
      </c>
      <c r="AL90" s="381"/>
      <c r="AM90" s="611">
        <f>AM89/AM67</f>
        <v>0.22256877791539231</v>
      </c>
      <c r="AN90" s="381"/>
      <c r="AO90" s="611">
        <f>AO89/AO67</f>
        <v>0.23762843357788882</v>
      </c>
      <c r="AP90" s="381"/>
      <c r="AQ90" s="611">
        <f>AQ89/AQ67</f>
        <v>0.22089040078431885</v>
      </c>
      <c r="AR90" s="381"/>
      <c r="AS90" s="611">
        <f>AS89/AS67</f>
        <v>0.2164884526385443</v>
      </c>
      <c r="AT90" s="381"/>
      <c r="AU90" s="611">
        <f>AU89/AU67</f>
        <v>0.23984837678430879</v>
      </c>
      <c r="AV90" s="381"/>
      <c r="AW90" s="611">
        <f>AW89/AW67</f>
        <v>0.19842754910737576</v>
      </c>
      <c r="AX90" s="381"/>
      <c r="AY90" s="611">
        <f>AY89/AY67</f>
        <v>0.19509958308762201</v>
      </c>
      <c r="AZ90" s="381"/>
      <c r="BA90" s="611">
        <f>BA89/BA67</f>
        <v>0.21734391456482258</v>
      </c>
      <c r="BB90" s="381"/>
      <c r="BC90" s="611">
        <f>BC89/BC67</f>
        <v>0.23127901428941278</v>
      </c>
      <c r="BD90" s="381"/>
      <c r="BE90" s="611">
        <f>BE89/BE67</f>
        <v>0.25181013140057612</v>
      </c>
      <c r="BF90" s="381"/>
      <c r="BG90" s="611">
        <f t="shared" ref="BG90" si="797">BG89/BG67</f>
        <v>0.23668916357657019</v>
      </c>
      <c r="BH90" s="381"/>
      <c r="BI90" s="611">
        <f t="shared" ref="BI90" si="798">BI89/BI67</f>
        <v>0.24242955561971277</v>
      </c>
      <c r="BJ90" s="381"/>
      <c r="BK90" s="611">
        <f t="shared" ref="BK90" si="799">BK89/BK67</f>
        <v>0.26207332413394441</v>
      </c>
      <c r="BL90" s="381"/>
      <c r="BM90" s="611">
        <f t="shared" ref="BM90" si="800">BM89/BM67</f>
        <v>0.25737018671023137</v>
      </c>
      <c r="BN90" s="381"/>
      <c r="BO90" s="611">
        <f t="shared" ref="BO90" si="801">BO89/BO67</f>
        <v>0.24935808633414669</v>
      </c>
      <c r="BP90" s="381"/>
      <c r="BQ90" s="611">
        <f t="shared" ref="BQ90:BS90" si="802">BQ89/BQ67</f>
        <v>0.22819989328655554</v>
      </c>
      <c r="BR90" s="381"/>
      <c r="BS90" s="611">
        <f t="shared" si="802"/>
        <v>0.23573866174132951</v>
      </c>
      <c r="BT90" s="381"/>
      <c r="BU90" s="611">
        <f t="shared" ref="BU90:BW90" si="803">BU89/BU67</f>
        <v>0.21703070125256704</v>
      </c>
      <c r="BV90" s="381"/>
      <c r="BW90" s="611">
        <f t="shared" si="803"/>
        <v>0.23238396459010219</v>
      </c>
      <c r="BX90" s="381"/>
      <c r="BY90" s="611">
        <f t="shared" ref="BY90:CA90" si="804">BY89/BY67</f>
        <v>0.22289262500367257</v>
      </c>
      <c r="BZ90" s="381"/>
      <c r="CA90" s="611">
        <f t="shared" si="804"/>
        <v>0.22621987329989254</v>
      </c>
      <c r="CB90" s="381"/>
      <c r="CC90" s="611">
        <f t="shared" ref="CC90:CE90" si="805">CC89/CC67</f>
        <v>0.22673839306452961</v>
      </c>
      <c r="CD90" s="381"/>
      <c r="CE90" s="611">
        <f t="shared" si="805"/>
        <v>0.22201253968967108</v>
      </c>
      <c r="CF90" s="381"/>
      <c r="CG90" s="611">
        <f t="shared" ref="CG90:CI90" si="806">CG89/CG67</f>
        <v>0.22236988413015973</v>
      </c>
      <c r="CH90" s="381"/>
      <c r="CI90" s="611">
        <f t="shared" si="806"/>
        <v>0.27276858249924057</v>
      </c>
      <c r="CJ90" s="381"/>
      <c r="CK90" s="611">
        <f t="shared" ref="CK90:CM90" si="807">CK89/CK67</f>
        <v>0.27102556094907571</v>
      </c>
      <c r="CL90" s="381"/>
      <c r="CM90" s="611">
        <f t="shared" si="807"/>
        <v>0.23399226978355317</v>
      </c>
      <c r="CN90" s="381"/>
      <c r="CO90" s="611">
        <f t="shared" ref="CO90" si="808">CO89/CO67</f>
        <v>0.23457095572092609</v>
      </c>
      <c r="CP90" s="381"/>
      <c r="CQ90" s="611">
        <f t="shared" ref="CQ90" si="809">CQ89/CQ67</f>
        <v>0.23457095572092609</v>
      </c>
      <c r="CR90" s="381"/>
      <c r="CS90" s="611">
        <f t="shared" ref="CS90:CU90" si="810">CS89/CS67</f>
        <v>0.24433544971645638</v>
      </c>
      <c r="CT90" s="381"/>
      <c r="CU90" s="611">
        <f t="shared" si="810"/>
        <v>0.24433544971645638</v>
      </c>
      <c r="CV90" s="381"/>
      <c r="CW90" s="611">
        <f>CW89/CW67</f>
        <v>0.19297750101260622</v>
      </c>
      <c r="CX90" s="381"/>
      <c r="CY90" s="611">
        <f>CY89/CY67</f>
        <v>0.1265734326083785</v>
      </c>
      <c r="CZ90" s="381"/>
      <c r="DA90" s="611">
        <f>DA89/DA67</f>
        <v>0.17346127940435535</v>
      </c>
      <c r="DB90" s="381"/>
      <c r="DC90" s="611">
        <f>DC89/DC67</f>
        <v>0.18792544453460619</v>
      </c>
      <c r="DD90" s="381"/>
      <c r="DE90" s="611">
        <f>DE89/DE67</f>
        <v>0.16368106100702315</v>
      </c>
      <c r="DF90" s="381"/>
      <c r="DG90" s="611">
        <f>DG89/DG67</f>
        <v>0.15432485325390896</v>
      </c>
      <c r="DH90" s="381"/>
      <c r="DI90" s="611">
        <f>DI89/DI67</f>
        <v>0.18814743821729227</v>
      </c>
      <c r="DJ90" s="381"/>
      <c r="DK90" s="611">
        <f>DK89/DK67</f>
        <v>0.20481911996486701</v>
      </c>
    </row>
    <row r="91" spans="1:115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381"/>
      <c r="O91" s="383"/>
      <c r="P91" s="381"/>
      <c r="Q91" s="383"/>
      <c r="R91" s="381"/>
      <c r="S91" s="383"/>
      <c r="T91" s="381"/>
      <c r="U91" s="383"/>
      <c r="V91" s="381"/>
      <c r="W91" s="383"/>
      <c r="X91" s="381"/>
      <c r="Y91" s="383"/>
      <c r="Z91" s="381"/>
      <c r="AA91" s="383"/>
      <c r="AB91" s="381"/>
      <c r="AC91" s="383"/>
      <c r="AD91" s="381"/>
      <c r="AE91" s="383"/>
      <c r="AF91" s="381"/>
      <c r="AG91" s="383"/>
      <c r="AH91" s="381"/>
      <c r="AI91" s="383"/>
      <c r="AJ91" s="381"/>
      <c r="AK91" s="383"/>
      <c r="AL91" s="381"/>
      <c r="AM91" s="383"/>
      <c r="AN91" s="381"/>
      <c r="AO91" s="383"/>
      <c r="AP91" s="381"/>
      <c r="AQ91" s="383"/>
      <c r="AR91" s="381"/>
      <c r="AS91" s="383"/>
      <c r="AT91" s="381"/>
      <c r="AU91" s="383"/>
      <c r="AV91" s="381"/>
      <c r="AW91" s="383"/>
      <c r="AX91" s="381"/>
      <c r="AY91" s="383"/>
      <c r="AZ91" s="381"/>
      <c r="BA91" s="383"/>
      <c r="BB91" s="381"/>
      <c r="BC91" s="383"/>
      <c r="BD91" s="381"/>
      <c r="BE91" s="383"/>
      <c r="BF91" s="381"/>
      <c r="BG91" s="383"/>
      <c r="BH91" s="381"/>
      <c r="BI91" s="383"/>
      <c r="BJ91" s="381"/>
      <c r="BK91" s="383"/>
      <c r="BL91" s="381"/>
      <c r="BM91" s="383"/>
      <c r="BN91" s="381"/>
      <c r="BO91" s="383"/>
      <c r="BP91" s="381"/>
      <c r="BQ91" s="383"/>
      <c r="BR91" s="381"/>
      <c r="BS91" s="383"/>
      <c r="BT91" s="381"/>
      <c r="BU91" s="383"/>
      <c r="BV91" s="381"/>
      <c r="BW91" s="383"/>
      <c r="BX91" s="381"/>
      <c r="BY91" s="383"/>
      <c r="BZ91" s="381"/>
      <c r="CA91" s="383"/>
      <c r="CB91" s="381"/>
      <c r="CC91" s="383"/>
      <c r="CD91" s="381"/>
      <c r="CE91" s="383"/>
      <c r="CF91" s="381"/>
      <c r="CG91" s="383"/>
      <c r="CH91" s="381"/>
      <c r="CI91" s="383"/>
      <c r="CJ91" s="381"/>
      <c r="CK91" s="383"/>
      <c r="CL91" s="381"/>
      <c r="CM91" s="383"/>
      <c r="CN91" s="381"/>
      <c r="CO91" s="383"/>
      <c r="CP91" s="381"/>
      <c r="CQ91" s="383"/>
      <c r="CR91" s="381"/>
      <c r="CS91" s="383"/>
      <c r="CT91" s="381"/>
      <c r="CU91" s="383"/>
      <c r="CV91" s="381"/>
      <c r="CW91" s="383"/>
      <c r="CX91" s="381"/>
      <c r="CY91" s="383"/>
      <c r="CZ91" s="381"/>
      <c r="DA91" s="383"/>
      <c r="DB91" s="381"/>
      <c r="DC91" s="383"/>
      <c r="DD91" s="381"/>
      <c r="DE91" s="383"/>
      <c r="DF91" s="381"/>
      <c r="DG91" s="383"/>
      <c r="DH91" s="381"/>
      <c r="DI91" s="383"/>
      <c r="DJ91" s="381"/>
      <c r="DK91" s="383"/>
    </row>
    <row r="92" spans="1:115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1.1000000000000001</v>
      </c>
      <c r="H92" s="256"/>
      <c r="I92" s="257">
        <v>0.88</v>
      </c>
      <c r="J92" s="256"/>
      <c r="K92" s="257">
        <v>0.88</v>
      </c>
      <c r="L92" s="256"/>
      <c r="M92" s="257">
        <v>0.88</v>
      </c>
      <c r="N92" s="256"/>
      <c r="O92" s="604">
        <v>1.0029850746268656</v>
      </c>
      <c r="P92" s="256"/>
      <c r="Q92" s="604">
        <v>1</v>
      </c>
      <c r="R92" s="256"/>
      <c r="S92" s="604">
        <v>1</v>
      </c>
      <c r="T92" s="256"/>
      <c r="U92" s="604">
        <v>1</v>
      </c>
      <c r="V92" s="256"/>
      <c r="W92" s="604">
        <v>1</v>
      </c>
      <c r="X92" s="256"/>
      <c r="Y92" s="604">
        <v>1</v>
      </c>
      <c r="Z92" s="256"/>
      <c r="AA92" s="604">
        <v>0.63188042366449992</v>
      </c>
      <c r="AB92" s="256"/>
      <c r="AC92" s="604">
        <v>0.6</v>
      </c>
      <c r="AD92" s="256"/>
      <c r="AE92" s="604">
        <v>0.61373387222135856</v>
      </c>
      <c r="AF92" s="256"/>
      <c r="AG92" s="604">
        <v>0.5</v>
      </c>
      <c r="AH92" s="256"/>
      <c r="AI92" s="604">
        <v>0.5</v>
      </c>
      <c r="AJ92" s="256"/>
      <c r="AK92" s="604">
        <v>0.5</v>
      </c>
      <c r="AL92" s="256"/>
      <c r="AM92" s="604">
        <v>0.5</v>
      </c>
      <c r="AN92" s="256"/>
      <c r="AO92" s="604">
        <v>0.91666000000000003</v>
      </c>
      <c r="AP92" s="256"/>
      <c r="AQ92" s="604">
        <v>0.99035113060377655</v>
      </c>
      <c r="AR92" s="256"/>
      <c r="AS92" s="604">
        <v>1</v>
      </c>
      <c r="AT92" s="256"/>
      <c r="AU92" s="604">
        <v>1</v>
      </c>
      <c r="AV92" s="256"/>
      <c r="AW92" s="604">
        <v>1</v>
      </c>
      <c r="AX92" s="256"/>
      <c r="AY92" s="604">
        <v>1</v>
      </c>
      <c r="AZ92" s="256"/>
      <c r="BA92" s="604">
        <v>1</v>
      </c>
      <c r="BB92" s="256"/>
      <c r="BC92" s="604">
        <v>1</v>
      </c>
      <c r="BD92" s="256"/>
      <c r="BE92" s="604">
        <v>1</v>
      </c>
      <c r="BF92" s="256"/>
      <c r="BG92" s="604">
        <v>1</v>
      </c>
      <c r="BH92" s="256"/>
      <c r="BI92" s="604">
        <v>1.4</v>
      </c>
      <c r="BJ92" s="256"/>
      <c r="BK92" s="604">
        <v>1.4</v>
      </c>
      <c r="BL92" s="256"/>
      <c r="BM92" s="604">
        <v>1.4</v>
      </c>
      <c r="BN92" s="256"/>
      <c r="BO92" s="604">
        <v>1</v>
      </c>
      <c r="BP92" s="256"/>
      <c r="BQ92" s="604">
        <v>1</v>
      </c>
      <c r="BR92" s="256"/>
      <c r="BS92" s="604">
        <v>1</v>
      </c>
      <c r="BT92" s="256"/>
      <c r="BU92" s="604">
        <v>1</v>
      </c>
      <c r="BV92" s="256"/>
      <c r="BW92" s="604">
        <v>1</v>
      </c>
      <c r="BX92" s="256"/>
      <c r="BY92" s="604">
        <v>1</v>
      </c>
      <c r="BZ92" s="256"/>
      <c r="CA92" s="604">
        <v>0.7</v>
      </c>
      <c r="CB92" s="256"/>
      <c r="CC92" s="604">
        <v>0.7</v>
      </c>
      <c r="CD92" s="256"/>
      <c r="CE92" s="604">
        <v>1</v>
      </c>
      <c r="CF92" s="256"/>
      <c r="CG92" s="604">
        <v>1</v>
      </c>
      <c r="CH92" s="256"/>
      <c r="CI92" s="604">
        <v>1</v>
      </c>
      <c r="CJ92" s="256"/>
      <c r="CK92" s="604">
        <v>1.4</v>
      </c>
      <c r="CL92" s="256"/>
      <c r="CM92" s="604">
        <v>1.4</v>
      </c>
      <c r="CN92" s="256"/>
      <c r="CO92" s="604">
        <v>0.8</v>
      </c>
      <c r="CP92" s="256"/>
      <c r="CQ92" s="604">
        <v>1</v>
      </c>
      <c r="CR92" s="256"/>
      <c r="CS92" s="604">
        <v>1</v>
      </c>
      <c r="CT92" s="256"/>
      <c r="CU92" s="604">
        <v>1</v>
      </c>
      <c r="CV92" s="256"/>
      <c r="CW92" s="604">
        <f>(SUMPRODUCT(O92,O$131)+SUMPRODUCT(U92,U$131)+SUMPRODUCT(W92,W$131))/SUM(O$131,U$131,W$131)</f>
        <v>1.0013761875482039</v>
      </c>
      <c r="CX92" s="256"/>
      <c r="CY92" s="604">
        <f>(SUMPRODUCT(AC92,AC$131)+SUMPRODUCT(AA92,AA$131)+SUMPRODUCT(Y92,Y$131))/SUM(AC$131,AA$131,Y$131)</f>
        <v>0.73536588157202043</v>
      </c>
      <c r="CZ92" s="256"/>
      <c r="DA92" s="604">
        <f>(SUMPRODUCT(AI92,AI$131)+SUMPRODUCT(AG92,AG$131)+SUMPRODUCT(AE92,AE$131))/SUM(AI$131,AG$131,AE$131)</f>
        <v>0.52495895749915777</v>
      </c>
      <c r="DB92" s="256"/>
      <c r="DC92" s="604">
        <v>1</v>
      </c>
      <c r="DD92" s="256"/>
      <c r="DE92" s="604">
        <f>(SUMPRODUCT(O92,O$131)+SUMPRODUCT(U92,U$131)+SUMPRODUCT(W92,W$131)+SUMPRODUCT(Y92,Y$131)+SUMPRODUCT(AA92,AA$131)+SUMPRODUCT(AC92,AC$131))/SUM(O$131,U$131,W$131,Y$131,AA$131,AC$131)</f>
        <v>0.88511290471026527</v>
      </c>
      <c r="DF92" s="256"/>
      <c r="DG92" s="604">
        <v>0.5</v>
      </c>
      <c r="DH92" s="256"/>
      <c r="DI92" s="604">
        <v>1</v>
      </c>
      <c r="DJ92" s="256"/>
      <c r="DK92" s="604">
        <v>1</v>
      </c>
    </row>
    <row r="93" spans="1:115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0.30683093902505298</v>
      </c>
      <c r="H93" s="146"/>
      <c r="I93" s="147">
        <f>I89-I92</f>
        <v>0.36760589717652425</v>
      </c>
      <c r="J93" s="146"/>
      <c r="K93" s="147">
        <f>K89-K92</f>
        <v>0.36760589717652425</v>
      </c>
      <c r="L93" s="146"/>
      <c r="M93" s="147">
        <f>M89-M92</f>
        <v>0.36760589717652425</v>
      </c>
      <c r="N93" s="146"/>
      <c r="O93" s="601">
        <f>O89-O92</f>
        <v>0.26324382510169619</v>
      </c>
      <c r="P93" s="146"/>
      <c r="Q93" s="601">
        <f>Q89-Q92</f>
        <v>0.13454007100454013</v>
      </c>
      <c r="R93" s="146"/>
      <c r="S93" s="601">
        <f>S89-S92</f>
        <v>0.13454007100454013</v>
      </c>
      <c r="T93" s="146"/>
      <c r="U93" s="601">
        <f>U89-U92</f>
        <v>-2.9636364854027653E-3</v>
      </c>
      <c r="V93" s="146"/>
      <c r="W93" s="601">
        <f>W89-W92</f>
        <v>-5.2404756219444848E-2</v>
      </c>
      <c r="X93" s="146"/>
      <c r="Y93" s="601">
        <f>Y89-Y92</f>
        <v>-0.2232558749738901</v>
      </c>
      <c r="Z93" s="146"/>
      <c r="AA93" s="601">
        <f>AA89-AA92</f>
        <v>2.9951652237677262E-2</v>
      </c>
      <c r="AB93" s="146"/>
      <c r="AC93" s="601">
        <f>AC89-AC92</f>
        <v>0.13164082032748159</v>
      </c>
      <c r="AD93" s="146"/>
      <c r="AE93" s="601">
        <f>AE89-AE92</f>
        <v>0.23579653960085722</v>
      </c>
      <c r="AF93" s="146"/>
      <c r="AG93" s="601">
        <f>AG89-AG92</f>
        <v>0.30485493241282313</v>
      </c>
      <c r="AH93" s="146"/>
      <c r="AI93" s="601">
        <f>AI89-AI92</f>
        <v>0.61043272121510217</v>
      </c>
      <c r="AJ93" s="146"/>
      <c r="AK93" s="601">
        <f>AK89-AK92</f>
        <v>0.71768771475002779</v>
      </c>
      <c r="AL93" s="146"/>
      <c r="AM93" s="601">
        <f>AM89-AM92</f>
        <v>0.777544785234352</v>
      </c>
      <c r="AN93" s="146"/>
      <c r="AO93" s="601">
        <f>AO89-AO92</f>
        <v>0.44732720873708187</v>
      </c>
      <c r="AP93" s="146"/>
      <c r="AQ93" s="601">
        <f>AQ89-AQ92</f>
        <v>0.27755976989821363</v>
      </c>
      <c r="AR93" s="146"/>
      <c r="AS93" s="601">
        <f>AS89-AS92</f>
        <v>0.24264371814524432</v>
      </c>
      <c r="AT93" s="146"/>
      <c r="AU93" s="601">
        <f>AU89-AU92</f>
        <v>0.37672968274193241</v>
      </c>
      <c r="AV93" s="146"/>
      <c r="AW93" s="601">
        <f>AW89-AW92</f>
        <v>0.13897413187633689</v>
      </c>
      <c r="AX93" s="146"/>
      <c r="AY93" s="601">
        <f>AY89-AY92</f>
        <v>0.1198716069229504</v>
      </c>
      <c r="AZ93" s="146"/>
      <c r="BA93" s="601">
        <f>BA89-BA92</f>
        <v>0.24755406960208171</v>
      </c>
      <c r="BB93" s="146"/>
      <c r="BC93" s="601">
        <f>BC89-BC92</f>
        <v>0.32754154202122931</v>
      </c>
      <c r="BD93" s="146"/>
      <c r="BE93" s="601">
        <f>BE89-BE92</f>
        <v>0.44539015423930683</v>
      </c>
      <c r="BF93" s="146"/>
      <c r="BG93" s="601">
        <f t="shared" ref="BG93" si="811">BG89-BG92</f>
        <v>0.35859579892951299</v>
      </c>
      <c r="BH93" s="146"/>
      <c r="BI93" s="601">
        <f t="shared" ref="BI93" si="812">BI89-BI92</f>
        <v>-8.4543507428485043E-3</v>
      </c>
      <c r="BJ93" s="146"/>
      <c r="BK93" s="601">
        <f t="shared" ref="BK93" si="813">BK89-BK92</f>
        <v>0.13312894618357496</v>
      </c>
      <c r="BL93" s="146"/>
      <c r="BM93" s="601">
        <f t="shared" ref="BM93" si="814">BM89-BM92</f>
        <v>0.10561559225485384</v>
      </c>
      <c r="BN93" s="146"/>
      <c r="BO93" s="601">
        <f t="shared" ref="BO93" si="815">BO89-BO92</f>
        <v>0.45874480505475823</v>
      </c>
      <c r="BP93" s="146"/>
      <c r="BQ93" s="601">
        <f t="shared" ref="BQ93:BS93" si="816">BQ89-BQ92</f>
        <v>0.3349693757263501</v>
      </c>
      <c r="BR93" s="146"/>
      <c r="BS93" s="601">
        <f t="shared" si="816"/>
        <v>0.3790711711867778</v>
      </c>
      <c r="BT93" s="146"/>
      <c r="BU93" s="601">
        <f t="shared" ref="BU93:BW93" si="817">BU89-BU92</f>
        <v>0.26962960232751731</v>
      </c>
      <c r="BV93" s="146"/>
      <c r="BW93" s="601">
        <f t="shared" si="817"/>
        <v>0.359446192852098</v>
      </c>
      <c r="BX93" s="146"/>
      <c r="BY93" s="601">
        <f t="shared" ref="BY93:CA93" si="818">BY89-BY92</f>
        <v>0.30392185627148471</v>
      </c>
      <c r="BZ93" s="146"/>
      <c r="CA93" s="601">
        <f t="shared" si="818"/>
        <v>0.62338625880437148</v>
      </c>
      <c r="CB93" s="146"/>
      <c r="CC93" s="601">
        <f t="shared" ref="CC93:CE93" si="819">CC89-CC92</f>
        <v>0.62641959942749836</v>
      </c>
      <c r="CD93" s="146"/>
      <c r="CE93" s="601">
        <f t="shared" si="819"/>
        <v>0.29877335718457587</v>
      </c>
      <c r="CF93" s="146"/>
      <c r="CG93" s="601">
        <f t="shared" ref="CG93:CI93" si="820">CG89-CG92</f>
        <v>0.30086382216143459</v>
      </c>
      <c r="CH93" s="146"/>
      <c r="CI93" s="601">
        <f t="shared" si="820"/>
        <v>0.59569620762055742</v>
      </c>
      <c r="CJ93" s="146"/>
      <c r="CK93" s="601">
        <f t="shared" ref="CK93:CM93" si="821">CK89-CK92</f>
        <v>0.18549953155209309</v>
      </c>
      <c r="CL93" s="146"/>
      <c r="CM93" s="601">
        <f t="shared" si="821"/>
        <v>-3.1145221766213815E-2</v>
      </c>
      <c r="CN93" s="146"/>
      <c r="CO93" s="601">
        <f t="shared" ref="CO93" si="822">CO89-CO92</f>
        <v>0.57224009096741768</v>
      </c>
      <c r="CP93" s="146"/>
      <c r="CQ93" s="601">
        <f t="shared" ref="CQ93" si="823">CQ89-CQ92</f>
        <v>0.37224009096741772</v>
      </c>
      <c r="CR93" s="146"/>
      <c r="CS93" s="601">
        <f t="shared" ref="CS93:CU93" si="824">CS89-CS92</f>
        <v>0.42936238084126988</v>
      </c>
      <c r="CT93" s="146"/>
      <c r="CU93" s="601">
        <f t="shared" si="824"/>
        <v>0.42936238084126988</v>
      </c>
      <c r="CV93" s="146"/>
      <c r="CW93" s="601">
        <f>CW89-CW92</f>
        <v>0.1039776238051584</v>
      </c>
      <c r="CX93" s="146"/>
      <c r="CY93" s="601">
        <f>CY89-CY92</f>
        <v>-8.8343783999277337E-3</v>
      </c>
      <c r="CZ93" s="146"/>
      <c r="DA93" s="601">
        <f>DA89-DA92</f>
        <v>0.47070878628184198</v>
      </c>
      <c r="DB93" s="146"/>
      <c r="DC93" s="601">
        <f>DC89-DC92</f>
        <v>7.869205162863957E-2</v>
      </c>
      <c r="DD93" s="146"/>
      <c r="DE93" s="601">
        <f>DE89-DE92</f>
        <v>5.3300502980516473E-2</v>
      </c>
      <c r="DF93" s="146"/>
      <c r="DG93" s="601">
        <f>DG89-DG92</f>
        <v>0.38582465767743745</v>
      </c>
      <c r="DH93" s="146"/>
      <c r="DI93" s="601">
        <f>DI89-DI92</f>
        <v>0.17592148885807668</v>
      </c>
      <c r="DJ93" s="146"/>
      <c r="DK93" s="601">
        <f>DK89-DK92</f>
        <v>0.17566174859833672</v>
      </c>
    </row>
    <row r="94" spans="1:115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5.6404031481683943E-2</v>
      </c>
      <c r="H94" s="132"/>
      <c r="I94" s="133">
        <f>I93/I67</f>
        <v>6.9320419314451806E-2</v>
      </c>
      <c r="J94" s="132"/>
      <c r="K94" s="133">
        <f>K93/K67</f>
        <v>6.9320419314451806E-2</v>
      </c>
      <c r="L94" s="132"/>
      <c r="M94" s="133">
        <f>M93/M67</f>
        <v>6.9320419314451806E-2</v>
      </c>
      <c r="N94" s="381"/>
      <c r="O94" s="611">
        <f>O93/O67</f>
        <v>4.6072139077931201E-2</v>
      </c>
      <c r="P94" s="381"/>
      <c r="Q94" s="611">
        <f>Q93/Q67</f>
        <v>2.3439036760372844E-2</v>
      </c>
      <c r="R94" s="381"/>
      <c r="S94" s="611">
        <f>S93/S67</f>
        <v>2.3439036760372844E-2</v>
      </c>
      <c r="T94" s="381"/>
      <c r="U94" s="611">
        <f>U93/U67</f>
        <v>-5.1631297655100434E-4</v>
      </c>
      <c r="V94" s="381"/>
      <c r="W94" s="611">
        <f>W93/W67</f>
        <v>-9.129748470286558E-3</v>
      </c>
      <c r="X94" s="381"/>
      <c r="Y94" s="611">
        <f>Y93/Y67</f>
        <v>-3.8894751737611512E-2</v>
      </c>
      <c r="Z94" s="381"/>
      <c r="AA94" s="611">
        <f>AA93/AA67</f>
        <v>5.2180578811284427E-3</v>
      </c>
      <c r="AB94" s="381"/>
      <c r="AC94" s="611">
        <f>AC93/AC67</f>
        <v>2.2933940823603064E-2</v>
      </c>
      <c r="AD94" s="381"/>
      <c r="AE94" s="611">
        <f>AE93/AE67</f>
        <v>4.1079536515828782E-2</v>
      </c>
      <c r="AF94" s="381"/>
      <c r="AG94" s="611">
        <f>AG93/AG67</f>
        <v>5.3110615402930855E-2</v>
      </c>
      <c r="AH94" s="381"/>
      <c r="AI94" s="611">
        <f>AI93/AI67</f>
        <v>0.10634716397475648</v>
      </c>
      <c r="AJ94" s="381"/>
      <c r="AK94" s="611">
        <f>AK93/AK67</f>
        <v>0.1250327029181233</v>
      </c>
      <c r="AL94" s="381"/>
      <c r="AM94" s="611">
        <f>AM93/AM67</f>
        <v>0.1354607639781101</v>
      </c>
      <c r="AN94" s="381"/>
      <c r="AO94" s="611">
        <f>AO93/AO67</f>
        <v>7.7931569466390571E-2</v>
      </c>
      <c r="AP94" s="381"/>
      <c r="AQ94" s="611">
        <f>AQ93/AQ67</f>
        <v>4.8355360609444883E-2</v>
      </c>
      <c r="AR94" s="381"/>
      <c r="AS94" s="611">
        <f>AS93/AS67</f>
        <v>4.2272424763979848E-2</v>
      </c>
      <c r="AT94" s="381"/>
      <c r="AU94" s="611">
        <f>AU93/AU67</f>
        <v>6.5632348909744315E-2</v>
      </c>
      <c r="AV94" s="381"/>
      <c r="AW94" s="611">
        <f>AW93/AW67</f>
        <v>2.4211521232811305E-2</v>
      </c>
      <c r="AX94" s="381"/>
      <c r="AY94" s="611">
        <f>AY93/AY67</f>
        <v>2.0883555213057559E-2</v>
      </c>
      <c r="AZ94" s="381"/>
      <c r="BA94" s="611">
        <f>BA93/BA67</f>
        <v>4.3127886690258133E-2</v>
      </c>
      <c r="BB94" s="381"/>
      <c r="BC94" s="611">
        <f>BC93/BC67</f>
        <v>5.7062986414848312E-2</v>
      </c>
      <c r="BD94" s="381"/>
      <c r="BE94" s="611">
        <f>BE93/BE67</f>
        <v>7.7594103526011635E-2</v>
      </c>
      <c r="BF94" s="381"/>
      <c r="BG94" s="611">
        <f t="shared" ref="BG94" si="825">BG93/BG67</f>
        <v>6.2473135702005744E-2</v>
      </c>
      <c r="BH94" s="381"/>
      <c r="BI94" s="611">
        <f t="shared" ref="BI94" si="826">BI93/BI67</f>
        <v>-1.4728834046774397E-3</v>
      </c>
      <c r="BJ94" s="381"/>
      <c r="BK94" s="611">
        <f t="shared" ref="BK94" si="827">BK93/BK67</f>
        <v>2.2757084817705119E-2</v>
      </c>
      <c r="BL94" s="381"/>
      <c r="BM94" s="611">
        <f t="shared" ref="BM94" si="828">BM93/BM67</f>
        <v>1.8053947393992107E-2</v>
      </c>
      <c r="BN94" s="381"/>
      <c r="BO94" s="611">
        <f t="shared" ref="BO94" si="829">BO93/BO67</f>
        <v>7.8417915393975759E-2</v>
      </c>
      <c r="BP94" s="381"/>
      <c r="BQ94" s="611">
        <f t="shared" ref="BQ94:BS94" si="830">BQ93/BQ67</f>
        <v>5.7259722346384628E-2</v>
      </c>
      <c r="BR94" s="381"/>
      <c r="BS94" s="611">
        <f t="shared" si="830"/>
        <v>6.4798490801158598E-2</v>
      </c>
      <c r="BT94" s="381"/>
      <c r="BU94" s="611">
        <f t="shared" ref="BU94:BW94" si="831">BU93/BU67</f>
        <v>4.609053031239612E-2</v>
      </c>
      <c r="BV94" s="381"/>
      <c r="BW94" s="611">
        <f t="shared" si="831"/>
        <v>6.1443793649931279E-2</v>
      </c>
      <c r="BX94" s="381"/>
      <c r="BY94" s="611">
        <f t="shared" ref="BY94:CA94" si="832">BY93/BY67</f>
        <v>5.1952454063501657E-2</v>
      </c>
      <c r="BZ94" s="381"/>
      <c r="CA94" s="611">
        <f t="shared" si="832"/>
        <v>0.10656175364177289</v>
      </c>
      <c r="CB94" s="381"/>
      <c r="CC94" s="611">
        <f t="shared" ref="CC94:CE94" si="833">CC93/CC67</f>
        <v>0.10708027340640996</v>
      </c>
      <c r="CD94" s="381"/>
      <c r="CE94" s="611">
        <f t="shared" si="833"/>
        <v>5.1072368749500142E-2</v>
      </c>
      <c r="CF94" s="381"/>
      <c r="CG94" s="611">
        <f t="shared" ref="CG94:CI94" si="834">CG93/CG67</f>
        <v>5.1429713189988811E-2</v>
      </c>
      <c r="CH94" s="381"/>
      <c r="CI94" s="611">
        <f t="shared" si="834"/>
        <v>0.10182841155906963</v>
      </c>
      <c r="CJ94" s="381"/>
      <c r="CK94" s="611">
        <f t="shared" ref="CK94:CM94" si="835">CK93/CK67</f>
        <v>3.1709321632836421E-2</v>
      </c>
      <c r="CL94" s="381"/>
      <c r="CM94" s="611">
        <f t="shared" si="835"/>
        <v>-5.3239695326861222E-3</v>
      </c>
      <c r="CN94" s="381"/>
      <c r="CO94" s="611">
        <f t="shared" ref="CO94" si="836">CO93/CO67</f>
        <v>9.7818818968789342E-2</v>
      </c>
      <c r="CP94" s="381"/>
      <c r="CQ94" s="611">
        <f t="shared" ref="CQ94" si="837">CQ93/CQ67</f>
        <v>6.3630784780755165E-2</v>
      </c>
      <c r="CR94" s="381"/>
      <c r="CS94" s="611">
        <f t="shared" ref="CS94:CU94" si="838">CS93/CS67</f>
        <v>7.3395278776285447E-2</v>
      </c>
      <c r="CT94" s="381"/>
      <c r="CU94" s="611">
        <f t="shared" si="838"/>
        <v>7.3395278776285447E-2</v>
      </c>
      <c r="CV94" s="381"/>
      <c r="CW94" s="611">
        <f>CW93/CW67</f>
        <v>1.8152868155926417E-2</v>
      </c>
      <c r="CX94" s="381"/>
      <c r="CY94" s="611">
        <f>CY93/CY67</f>
        <v>-1.5390903135762601E-3</v>
      </c>
      <c r="CZ94" s="381"/>
      <c r="DA94" s="611">
        <f>DA93/DA67</f>
        <v>8.2005015031679784E-2</v>
      </c>
      <c r="DB94" s="381"/>
      <c r="DC94" s="611">
        <f>DC93/DC67</f>
        <v>1.3709416660041737E-2</v>
      </c>
      <c r="DD94" s="381"/>
      <c r="DE94" s="611">
        <f>DE93/DE67</f>
        <v>9.2968438095182137E-3</v>
      </c>
      <c r="DF94" s="381"/>
      <c r="DG94" s="611">
        <f>DG93/DG67</f>
        <v>6.7216839316626725E-2</v>
      </c>
      <c r="DH94" s="381"/>
      <c r="DI94" s="611">
        <f>DI93/DI67</f>
        <v>2.8147438217292268E-2</v>
      </c>
      <c r="DJ94" s="381"/>
      <c r="DK94" s="611">
        <f>DK93/DK67</f>
        <v>3.0603092090302562E-2</v>
      </c>
    </row>
    <row r="95" spans="1:115" s="65" customFormat="1" ht="6.75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3"/>
      <c r="P95" s="381"/>
      <c r="Q95" s="383"/>
      <c r="R95" s="381"/>
      <c r="S95" s="383"/>
      <c r="T95" s="381"/>
      <c r="U95" s="383"/>
      <c r="V95" s="381"/>
      <c r="W95" s="383"/>
      <c r="X95" s="381"/>
      <c r="Y95" s="383"/>
      <c r="Z95" s="381"/>
      <c r="AA95" s="383"/>
      <c r="AB95" s="381"/>
      <c r="AC95" s="383"/>
      <c r="AD95" s="381"/>
      <c r="AE95" s="383"/>
      <c r="AF95" s="381"/>
      <c r="AG95" s="383"/>
      <c r="AH95" s="381"/>
      <c r="AI95" s="383"/>
      <c r="AJ95" s="381"/>
      <c r="AK95" s="383"/>
      <c r="AL95" s="381"/>
      <c r="AM95" s="383"/>
      <c r="AN95" s="381"/>
      <c r="AO95" s="383"/>
      <c r="AP95" s="381"/>
      <c r="AQ95" s="383"/>
      <c r="AR95" s="381"/>
      <c r="AS95" s="383"/>
      <c r="AT95" s="381"/>
      <c r="AU95" s="383"/>
      <c r="AV95" s="381"/>
      <c r="AW95" s="383"/>
      <c r="AX95" s="381"/>
      <c r="AY95" s="383"/>
      <c r="AZ95" s="381"/>
      <c r="BA95" s="383"/>
      <c r="BB95" s="381"/>
      <c r="BC95" s="383"/>
      <c r="BD95" s="381"/>
      <c r="BE95" s="383"/>
      <c r="BF95" s="381"/>
      <c r="BG95" s="383"/>
      <c r="BH95" s="381"/>
      <c r="BI95" s="383"/>
      <c r="BJ95" s="381"/>
      <c r="BK95" s="383"/>
      <c r="BL95" s="381"/>
      <c r="BM95" s="383"/>
      <c r="BN95" s="381"/>
      <c r="BO95" s="383"/>
      <c r="BP95" s="381"/>
      <c r="BQ95" s="383"/>
      <c r="BR95" s="381"/>
      <c r="BS95" s="383"/>
      <c r="BT95" s="381"/>
      <c r="BU95" s="383"/>
      <c r="BV95" s="381"/>
      <c r="BW95" s="383"/>
      <c r="BX95" s="381"/>
      <c r="BY95" s="383"/>
      <c r="BZ95" s="381"/>
      <c r="CA95" s="383"/>
      <c r="CB95" s="381"/>
      <c r="CC95" s="383"/>
      <c r="CD95" s="381"/>
      <c r="CE95" s="383"/>
      <c r="CF95" s="381"/>
      <c r="CG95" s="383"/>
      <c r="CH95" s="381"/>
      <c r="CI95" s="383"/>
      <c r="CJ95" s="381"/>
      <c r="CK95" s="383"/>
      <c r="CL95" s="381"/>
      <c r="CM95" s="383"/>
      <c r="CN95" s="381"/>
      <c r="CO95" s="383"/>
      <c r="CP95" s="381"/>
      <c r="CQ95" s="383"/>
      <c r="CR95" s="381"/>
      <c r="CS95" s="383"/>
      <c r="CT95" s="381"/>
      <c r="CU95" s="383"/>
      <c r="CV95" s="381"/>
      <c r="CW95" s="383"/>
      <c r="CX95" s="381"/>
      <c r="CY95" s="383"/>
      <c r="CZ95" s="381"/>
      <c r="DA95" s="383"/>
      <c r="DB95" s="381"/>
      <c r="DC95" s="383"/>
      <c r="DD95" s="381"/>
      <c r="DE95" s="383"/>
      <c r="DF95" s="381"/>
      <c r="DG95" s="383"/>
      <c r="DH95" s="381"/>
      <c r="DI95" s="383"/>
      <c r="DJ95" s="381"/>
      <c r="DK95" s="383"/>
    </row>
    <row r="96" spans="1:115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(G137-G135)/G66-G58</f>
        <v>0.14979338842975207</v>
      </c>
      <c r="H96" s="132"/>
      <c r="I96" s="383">
        <f>(I137-I135)/I66-I58</f>
        <v>1.2913223140495868E-2</v>
      </c>
      <c r="J96" s="132"/>
      <c r="K96" s="151">
        <f>(K138-K135)/K66</f>
        <v>1.2913223140495868E-2</v>
      </c>
      <c r="L96" s="132"/>
      <c r="M96" s="151">
        <f>(M138-M135)/M66</f>
        <v>1.2913223140495868E-2</v>
      </c>
      <c r="N96" s="381"/>
      <c r="O96" s="1099">
        <f>(O136-O135)/O66-O58</f>
        <v>1.3981164439282026E-2</v>
      </c>
      <c r="P96" s="381"/>
      <c r="Q96" s="383">
        <f>(Q137-Q135)/Q66</f>
        <v>7.7479338842975212E-2</v>
      </c>
      <c r="R96" s="381"/>
      <c r="S96" s="383">
        <f>(S137-S135)/S66</f>
        <v>7.7479338842975212E-2</v>
      </c>
      <c r="T96" s="381"/>
      <c r="U96" s="383">
        <f>(U136-U135)/U66-U58</f>
        <v>1.2871403295631799E-2</v>
      </c>
      <c r="V96" s="381"/>
      <c r="W96" s="383">
        <f>(W136-W135)/W66-W58</f>
        <v>-6.6136466221746112E-3</v>
      </c>
      <c r="X96" s="381"/>
      <c r="Y96" s="383">
        <f>(Y136-Y135)/Y66-Y58</f>
        <v>1.4620398874734097E-3</v>
      </c>
      <c r="Z96" s="381"/>
      <c r="AA96" s="383">
        <f>(AA136-AA135)/AA66-AA58</f>
        <v>-3.2524783504012597E-2</v>
      </c>
      <c r="AB96" s="381"/>
      <c r="AC96" s="383">
        <f>(AC136-AC135)/AC66-AC58</f>
        <v>-2.714010660993068E-2</v>
      </c>
      <c r="AD96" s="381"/>
      <c r="AE96" s="383">
        <f>(AE136-AE135)/AE66-AE58</f>
        <v>-1.4829105264790868E-2</v>
      </c>
      <c r="AF96" s="381"/>
      <c r="AG96" s="383">
        <f>(AG136-AG135)/AG66-AG58</f>
        <v>-2.2003099537987836E-2</v>
      </c>
      <c r="AH96" s="381"/>
      <c r="AI96" s="383">
        <f>(AI136-AI135)/AI66-AI58</f>
        <v>-7.8991790593093816E-2</v>
      </c>
      <c r="AJ96" s="381"/>
      <c r="AK96" s="383">
        <f>(AK136-AK135)/AK66-AK58</f>
        <v>-0.13636902376058688</v>
      </c>
      <c r="AL96" s="381"/>
      <c r="AM96" s="383">
        <f>(AM136-AM135)/AM66-AM58</f>
        <v>-0.1655769815688613</v>
      </c>
      <c r="AN96" s="381"/>
      <c r="AO96" s="383">
        <f>(AO136-AO135)/AO66-AO58</f>
        <v>-0.19151856857595179</v>
      </c>
      <c r="AP96" s="381"/>
      <c r="AQ96" s="383">
        <f>(AQ136-AQ135)/AQ66-AQ58</f>
        <v>-0.21862510721401709</v>
      </c>
      <c r="AR96" s="381"/>
      <c r="AS96" s="383">
        <f>(AS136-AS135)/AS66-AS58</f>
        <v>-0.23486958354250845</v>
      </c>
      <c r="AT96" s="381"/>
      <c r="AU96" s="383">
        <f>(AU136-AU135)/AU66-AU58</f>
        <v>-0.23624628069925302</v>
      </c>
      <c r="AV96" s="381"/>
      <c r="AW96" s="383">
        <f>(AW136-AW135)/AW66-AW58</f>
        <v>-0.24715909090909091</v>
      </c>
      <c r="AX96" s="381"/>
      <c r="AY96" s="383">
        <f>(AY136-AY135)/AY66-AY58</f>
        <v>-0.25051652892561982</v>
      </c>
      <c r="AZ96" s="381"/>
      <c r="BA96" s="383">
        <f>(BA136-BA135)/BA66-BA58</f>
        <v>-0.28202479338842973</v>
      </c>
      <c r="BB96" s="381"/>
      <c r="BC96" s="383">
        <f>(BC136-BC135)/BC66-BC58</f>
        <v>-0.28279958677685951</v>
      </c>
      <c r="BD96" s="381"/>
      <c r="BE96" s="383">
        <f>(BE136-BE135)/BE66-BE58</f>
        <v>-0.28279958677685951</v>
      </c>
      <c r="BF96" s="381"/>
      <c r="BG96" s="383">
        <f t="shared" ref="BG96" si="839">(BG136-BG135)/BG66-BG58</f>
        <v>-0.28589876033057854</v>
      </c>
      <c r="BH96" s="381"/>
      <c r="BI96" s="383">
        <f t="shared" ref="BI96:BK96" si="840">(BI136-BI135)/BI66-BI58</f>
        <v>-0.29442148760330578</v>
      </c>
      <c r="BJ96" s="381"/>
      <c r="BK96" s="383">
        <f t="shared" si="840"/>
        <v>-0.17820247933884298</v>
      </c>
      <c r="BL96" s="381"/>
      <c r="BM96" s="383">
        <f t="shared" ref="BM96" si="841">(BM136-BM135)/BM66-BM58</f>
        <v>-0.17949380165289255</v>
      </c>
      <c r="BN96" s="381"/>
      <c r="BO96" s="383">
        <f t="shared" ref="BO96" si="842">(BO136-BO135)/BO66-BO58</f>
        <v>-0.17407024793388429</v>
      </c>
      <c r="BP96" s="381"/>
      <c r="BQ96" s="383">
        <f t="shared" ref="BQ96:BS96" si="843">(BQ136-BQ135)/BQ66-BQ58</f>
        <v>-0.18104338842975207</v>
      </c>
      <c r="BR96" s="381"/>
      <c r="BS96" s="383">
        <f t="shared" si="843"/>
        <v>-0.17613636363636365</v>
      </c>
      <c r="BT96" s="381"/>
      <c r="BU96" s="383">
        <f t="shared" ref="BU96:BW96" si="844">(BU136-BU135)/BU66-BU58</f>
        <v>-0.17820247933884298</v>
      </c>
      <c r="BV96" s="381"/>
      <c r="BW96" s="383">
        <f t="shared" si="844"/>
        <v>-0.190599173553719</v>
      </c>
      <c r="BX96" s="381"/>
      <c r="BY96" s="383">
        <f t="shared" ref="BY96:CA96" si="845">(BY136-BY135)/BY66-BY58</f>
        <v>-0.17053202479338841</v>
      </c>
      <c r="BZ96" s="381"/>
      <c r="CA96" s="383">
        <f t="shared" si="845"/>
        <v>-0.11367381974248927</v>
      </c>
      <c r="CB96" s="381"/>
      <c r="CC96" s="383">
        <f t="shared" ref="CC96:CE96" si="846">(CC136-CC135)/CC66-CC58</f>
        <v>-0.13450000000000001</v>
      </c>
      <c r="CD96" s="381"/>
      <c r="CE96" s="383">
        <f t="shared" si="846"/>
        <v>-0.17524999999999999</v>
      </c>
      <c r="CF96" s="381"/>
      <c r="CG96" s="383">
        <f t="shared" ref="CG96:CI96" si="847">(CG136-CG135)/CG66-CG58</f>
        <v>-0.17206081081081082</v>
      </c>
      <c r="CH96" s="381"/>
      <c r="CI96" s="383">
        <f t="shared" si="847"/>
        <v>-0.18375</v>
      </c>
      <c r="CJ96" s="381"/>
      <c r="CK96" s="383">
        <f t="shared" ref="CK96:CM96" si="848">(CK136-CK135)/CK66-CK58</f>
        <v>-0.18575</v>
      </c>
      <c r="CL96" s="381"/>
      <c r="CM96" s="383">
        <f t="shared" si="848"/>
        <v>-0.16250000000000001</v>
      </c>
      <c r="CN96" s="381"/>
      <c r="CO96" s="383">
        <f t="shared" ref="CO96" si="849">(CO136-CO135)/CO66-CO58</f>
        <v>-0.16250000000000001</v>
      </c>
      <c r="CP96" s="381"/>
      <c r="CQ96" s="383">
        <f t="shared" ref="CQ96" si="850">(CQ136-CQ135)/CQ66-CQ58</f>
        <v>-0.1125</v>
      </c>
      <c r="CR96" s="381"/>
      <c r="CS96" s="383">
        <f t="shared" ref="CS96:CU96" si="851">(CS136-CS135)/CS66-CS58</f>
        <v>-0.17874999999999999</v>
      </c>
      <c r="CT96" s="381"/>
      <c r="CU96" s="383">
        <f t="shared" si="851"/>
        <v>-0.17874999999999999</v>
      </c>
      <c r="CV96" s="381"/>
      <c r="CW96" s="383">
        <f>(CW136-CW135)/CW66-CW58</f>
        <v>7.1967569954945916E-3</v>
      </c>
      <c r="CX96" s="381"/>
      <c r="CY96" s="383">
        <f>(CY136-CY135)/CY66-CY58</f>
        <v>-1.9587404992435432E-2</v>
      </c>
      <c r="CZ96" s="381"/>
      <c r="DA96" s="383">
        <f>(DA136-DA135)/DA66-DA58</f>
        <v>-5.4090566042482399E-2</v>
      </c>
      <c r="DB96" s="381"/>
      <c r="DC96" s="383">
        <f>(DC136-DC135)/DC66-DC58</f>
        <v>-0.15495867768595042</v>
      </c>
      <c r="DD96" s="381"/>
      <c r="DE96" s="383">
        <f>(DE136-DE135)/DE66-DE58</f>
        <v>-4.5096112572401564E-3</v>
      </c>
      <c r="DF96" s="381"/>
      <c r="DG96" s="383">
        <f>(DG136-DG135)/DG66-DG58</f>
        <v>-7.7479338842975212E-2</v>
      </c>
      <c r="DH96" s="381"/>
      <c r="DI96" s="383">
        <f>(DI136-DI135)/DI66-DI58</f>
        <v>-7.7479338842975212E-2</v>
      </c>
      <c r="DJ96" s="381"/>
      <c r="DK96" s="383">
        <f>(DK136-DK135)/DK66-DK58</f>
        <v>-0.10330578512396695</v>
      </c>
    </row>
    <row r="97" spans="1:115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381"/>
      <c r="O97" s="383"/>
      <c r="P97" s="381"/>
      <c r="Q97" s="383"/>
      <c r="R97" s="381"/>
      <c r="S97" s="383"/>
      <c r="T97" s="381"/>
      <c r="U97" s="383"/>
      <c r="V97" s="381"/>
      <c r="W97" s="383"/>
      <c r="X97" s="381"/>
      <c r="Y97" s="383"/>
      <c r="Z97" s="381"/>
      <c r="AA97" s="383"/>
      <c r="AB97" s="381"/>
      <c r="AC97" s="383"/>
      <c r="AD97" s="381"/>
      <c r="AE97" s="383"/>
      <c r="AF97" s="381"/>
      <c r="AG97" s="383"/>
      <c r="AH97" s="381"/>
      <c r="AI97" s="383"/>
      <c r="AJ97" s="381"/>
      <c r="AK97" s="383"/>
      <c r="AL97" s="381"/>
      <c r="AM97" s="383"/>
      <c r="AN97" s="381"/>
      <c r="AO97" s="383"/>
      <c r="AP97" s="381"/>
      <c r="AQ97" s="383"/>
      <c r="AR97" s="381"/>
      <c r="AS97" s="383"/>
      <c r="AT97" s="381"/>
      <c r="AU97" s="383"/>
      <c r="AV97" s="381"/>
      <c r="AW97" s="383"/>
      <c r="AX97" s="381"/>
      <c r="AY97" s="383"/>
      <c r="AZ97" s="381"/>
      <c r="BA97" s="383"/>
      <c r="BB97" s="381"/>
      <c r="BC97" s="383"/>
      <c r="BD97" s="381"/>
      <c r="BE97" s="383"/>
      <c r="BF97" s="381"/>
      <c r="BG97" s="383"/>
      <c r="BH97" s="381"/>
      <c r="BI97" s="383"/>
      <c r="BJ97" s="381"/>
      <c r="BK97" s="383"/>
      <c r="BL97" s="381"/>
      <c r="BM97" s="383"/>
      <c r="BN97" s="381"/>
      <c r="BO97" s="383"/>
      <c r="BP97" s="381"/>
      <c r="BQ97" s="383"/>
      <c r="BR97" s="381"/>
      <c r="BS97" s="383"/>
      <c r="BT97" s="381"/>
      <c r="BU97" s="383"/>
      <c r="BV97" s="381"/>
      <c r="BW97" s="383"/>
      <c r="BX97" s="381"/>
      <c r="BY97" s="383"/>
      <c r="BZ97" s="381"/>
      <c r="CA97" s="383"/>
      <c r="CB97" s="381"/>
      <c r="CC97" s="383"/>
      <c r="CD97" s="381"/>
      <c r="CE97" s="383"/>
      <c r="CF97" s="381"/>
      <c r="CG97" s="383"/>
      <c r="CH97" s="381"/>
      <c r="CI97" s="383"/>
      <c r="CJ97" s="381"/>
      <c r="CK97" s="383"/>
      <c r="CL97" s="381"/>
      <c r="CM97" s="383"/>
      <c r="CN97" s="381"/>
      <c r="CO97" s="383"/>
      <c r="CP97" s="381"/>
      <c r="CQ97" s="383"/>
      <c r="CR97" s="381"/>
      <c r="CS97" s="383"/>
      <c r="CT97" s="381"/>
      <c r="CU97" s="383"/>
      <c r="CV97" s="381"/>
      <c r="CW97" s="383"/>
      <c r="CX97" s="381"/>
      <c r="CY97" s="383"/>
      <c r="CZ97" s="381"/>
      <c r="DA97" s="383"/>
      <c r="DB97" s="381"/>
      <c r="DC97" s="383"/>
      <c r="DD97" s="381"/>
      <c r="DE97" s="383"/>
      <c r="DF97" s="381"/>
      <c r="DG97" s="383"/>
      <c r="DH97" s="381"/>
      <c r="DI97" s="383"/>
      <c r="DJ97" s="381"/>
      <c r="DK97" s="383"/>
    </row>
    <row r="98" spans="1:115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155"/>
      <c r="G98" s="156">
        <f>G93-G96</f>
        <v>0.15703755059530092</v>
      </c>
      <c r="H98" s="155"/>
      <c r="I98" s="156">
        <f>I93-I96</f>
        <v>0.35469267403602839</v>
      </c>
      <c r="J98" s="155"/>
      <c r="K98" s="156">
        <f>K93-K96</f>
        <v>0.35469267403602839</v>
      </c>
      <c r="L98" s="155"/>
      <c r="M98" s="156">
        <f>M93-M96</f>
        <v>0.35469267403602839</v>
      </c>
      <c r="N98" s="155"/>
      <c r="O98" s="590">
        <f>O93-O96</f>
        <v>0.24926266066241418</v>
      </c>
      <c r="P98" s="155"/>
      <c r="Q98" s="590">
        <f>Q93-Q96</f>
        <v>5.7060732161564917E-2</v>
      </c>
      <c r="R98" s="155"/>
      <c r="S98" s="590">
        <f>S93-S96</f>
        <v>5.7060732161564917E-2</v>
      </c>
      <c r="T98" s="155"/>
      <c r="U98" s="590">
        <f>U93-U96</f>
        <v>-1.5835039781034566E-2</v>
      </c>
      <c r="V98" s="155"/>
      <c r="W98" s="590">
        <f>W93-W96</f>
        <v>-4.5791109597270237E-2</v>
      </c>
      <c r="X98" s="155"/>
      <c r="Y98" s="590">
        <f>Y93-Y96</f>
        <v>-0.2247179148613635</v>
      </c>
      <c r="Z98" s="155"/>
      <c r="AA98" s="590">
        <f>AA93-AA96</f>
        <v>6.2476435741689859E-2</v>
      </c>
      <c r="AB98" s="155"/>
      <c r="AC98" s="590">
        <f>AC93-AC96</f>
        <v>0.15878092693741228</v>
      </c>
      <c r="AD98" s="155"/>
      <c r="AE98" s="590">
        <f>AE93-AE96</f>
        <v>0.25062564486564809</v>
      </c>
      <c r="AF98" s="155"/>
      <c r="AG98" s="590">
        <f>AG93-AG96</f>
        <v>0.32685803195081098</v>
      </c>
      <c r="AH98" s="155"/>
      <c r="AI98" s="590">
        <f>AI93-AI96</f>
        <v>0.68942451180819597</v>
      </c>
      <c r="AJ98" s="155"/>
      <c r="AK98" s="590">
        <f>AK93-AK96</f>
        <v>0.8540567385106147</v>
      </c>
      <c r="AL98" s="155"/>
      <c r="AM98" s="590">
        <f>AM93-AM96</f>
        <v>0.94312176680321325</v>
      </c>
      <c r="AN98" s="155"/>
      <c r="AO98" s="590">
        <f>AO93-AO96</f>
        <v>0.6388457773130336</v>
      </c>
      <c r="AP98" s="155"/>
      <c r="AQ98" s="590">
        <f>AQ93-AQ96</f>
        <v>0.49618487711223069</v>
      </c>
      <c r="AR98" s="155"/>
      <c r="AS98" s="590">
        <f>AS93-AS96</f>
        <v>0.47751330168775274</v>
      </c>
      <c r="AT98" s="155"/>
      <c r="AU98" s="590">
        <f>AU93-AU96</f>
        <v>0.61297596344118543</v>
      </c>
      <c r="AV98" s="155"/>
      <c r="AW98" s="590">
        <f>AW93-AW96</f>
        <v>0.38613322278542783</v>
      </c>
      <c r="AX98" s="155"/>
      <c r="AY98" s="590">
        <f>AY93-AY96</f>
        <v>0.37038813584857022</v>
      </c>
      <c r="AZ98" s="155"/>
      <c r="BA98" s="590">
        <f>BA93-BA96</f>
        <v>0.52957886299051138</v>
      </c>
      <c r="BB98" s="155"/>
      <c r="BC98" s="590">
        <f>BC93-BC96</f>
        <v>0.61034112879808888</v>
      </c>
      <c r="BD98" s="155"/>
      <c r="BE98" s="590">
        <f>BE93-BE96</f>
        <v>0.7281897410161664</v>
      </c>
      <c r="BF98" s="155"/>
      <c r="BG98" s="590">
        <f t="shared" ref="BG98" si="852">BG93-BG96</f>
        <v>0.64449455926009147</v>
      </c>
      <c r="BH98" s="155"/>
      <c r="BI98" s="590">
        <f t="shared" ref="BI98:BK98" si="853">BI93-BI96</f>
        <v>0.28596713686045727</v>
      </c>
      <c r="BJ98" s="155"/>
      <c r="BK98" s="590">
        <f t="shared" si="853"/>
        <v>0.31133142552241794</v>
      </c>
      <c r="BL98" s="155"/>
      <c r="BM98" s="590">
        <f t="shared" ref="BM98" si="854">BM93-BM96</f>
        <v>0.28510939390774637</v>
      </c>
      <c r="BN98" s="155"/>
      <c r="BO98" s="590">
        <f t="shared" ref="BO98" si="855">BO93-BO96</f>
        <v>0.63281505298864249</v>
      </c>
      <c r="BP98" s="155"/>
      <c r="BQ98" s="590">
        <f t="shared" ref="BQ98:BS98" si="856">BQ93-BQ96</f>
        <v>0.5160127641561022</v>
      </c>
      <c r="BR98" s="155"/>
      <c r="BS98" s="590">
        <f t="shared" si="856"/>
        <v>0.55520753482314145</v>
      </c>
      <c r="BT98" s="155"/>
      <c r="BU98" s="590">
        <f t="shared" ref="BU98:BW98" si="857">BU93-BU96</f>
        <v>0.44783208166636029</v>
      </c>
      <c r="BV98" s="155"/>
      <c r="BW98" s="590">
        <f t="shared" si="857"/>
        <v>0.55004536640581703</v>
      </c>
      <c r="BX98" s="155"/>
      <c r="BY98" s="590">
        <f t="shared" ref="BY98:CA98" si="858">BY93-BY96</f>
        <v>0.47445388106487313</v>
      </c>
      <c r="BZ98" s="155"/>
      <c r="CA98" s="590">
        <f t="shared" si="858"/>
        <v>0.73706007854686073</v>
      </c>
      <c r="CB98" s="155"/>
      <c r="CC98" s="590">
        <f t="shared" ref="CC98:CE98" si="859">CC93-CC96</f>
        <v>0.76091959942749843</v>
      </c>
      <c r="CD98" s="155"/>
      <c r="CE98" s="590">
        <f t="shared" si="859"/>
        <v>0.47402335718457589</v>
      </c>
      <c r="CF98" s="155"/>
      <c r="CG98" s="590">
        <f t="shared" ref="CG98:CI98" si="860">CG93-CG96</f>
        <v>0.47292463297224541</v>
      </c>
      <c r="CH98" s="155"/>
      <c r="CI98" s="590">
        <f t="shared" si="860"/>
        <v>0.77944620762055739</v>
      </c>
      <c r="CJ98" s="155"/>
      <c r="CK98" s="590">
        <f t="shared" ref="CK98:CM98" si="861">CK93-CK96</f>
        <v>0.37124953155209306</v>
      </c>
      <c r="CL98" s="155"/>
      <c r="CM98" s="590">
        <f t="shared" si="861"/>
        <v>0.13135477823378619</v>
      </c>
      <c r="CN98" s="155"/>
      <c r="CO98" s="590">
        <f t="shared" ref="CO98" si="862">CO93-CO96</f>
        <v>0.73474009096741766</v>
      </c>
      <c r="CP98" s="155"/>
      <c r="CQ98" s="590">
        <f t="shared" ref="CQ98" si="863">CQ93-CQ96</f>
        <v>0.48474009096741771</v>
      </c>
      <c r="CR98" s="155"/>
      <c r="CS98" s="590">
        <f t="shared" ref="CS98:CU98" si="864">CS93-CS96</f>
        <v>0.60811238084126984</v>
      </c>
      <c r="CT98" s="155"/>
      <c r="CU98" s="590">
        <f t="shared" si="864"/>
        <v>0.60811238084126984</v>
      </c>
      <c r="CV98" s="155"/>
      <c r="CW98" s="590">
        <f>CW93-CW96</f>
        <v>9.6780866809663815E-2</v>
      </c>
      <c r="CX98" s="155"/>
      <c r="CY98" s="590">
        <f>CY93-CY96</f>
        <v>1.0753026592507698E-2</v>
      </c>
      <c r="CZ98" s="155"/>
      <c r="DA98" s="590">
        <f>DA93-DA96</f>
        <v>0.5247993523243244</v>
      </c>
      <c r="DB98" s="155"/>
      <c r="DC98" s="590">
        <f>DC93-DC96</f>
        <v>0.23365072931458999</v>
      </c>
      <c r="DD98" s="155"/>
      <c r="DE98" s="590">
        <f>DE93-DE96</f>
        <v>5.781011423775663E-2</v>
      </c>
      <c r="DF98" s="155"/>
      <c r="DG98" s="590">
        <f>DG93-DG96</f>
        <v>0.46330399652041265</v>
      </c>
      <c r="DH98" s="155"/>
      <c r="DI98" s="590">
        <f>DI93-DI96</f>
        <v>0.25340082770105188</v>
      </c>
      <c r="DJ98" s="155"/>
      <c r="DK98" s="590">
        <f>DK93-DK96</f>
        <v>0.27896753372230365</v>
      </c>
    </row>
    <row r="99" spans="1:115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60">
        <f>G98/G67</f>
        <v>2.8867854642457235E-2</v>
      </c>
      <c r="H99" s="159"/>
      <c r="I99" s="160">
        <f>I98/I67</f>
        <v>6.6885338567174227E-2</v>
      </c>
      <c r="J99" s="159"/>
      <c r="K99" s="160">
        <f>K98/K67</f>
        <v>6.6885338567174227E-2</v>
      </c>
      <c r="L99" s="159"/>
      <c r="M99" s="160">
        <f>M98/M67</f>
        <v>6.6885338567174227E-2</v>
      </c>
      <c r="N99" s="159"/>
      <c r="O99" s="609">
        <f>O98/O67</f>
        <v>4.3625197911242176E-2</v>
      </c>
      <c r="P99" s="159"/>
      <c r="Q99" s="609">
        <f>Q98/Q67</f>
        <v>9.9408941048022507E-3</v>
      </c>
      <c r="R99" s="159"/>
      <c r="S99" s="609">
        <f>S98/S67</f>
        <v>9.9408941048022507E-3</v>
      </c>
      <c r="T99" s="159"/>
      <c r="U99" s="609">
        <f>U98/U67</f>
        <v>-2.7587177318875548E-3</v>
      </c>
      <c r="V99" s="159"/>
      <c r="W99" s="609">
        <f>W98/W67</f>
        <v>-7.9775452260052674E-3</v>
      </c>
      <c r="X99" s="159"/>
      <c r="Y99" s="609">
        <f>Y98/Y67</f>
        <v>-3.9149462519401303E-2</v>
      </c>
      <c r="Z99" s="159"/>
      <c r="AA99" s="609">
        <f>AA98/AA67</f>
        <v>1.0884396470677675E-2</v>
      </c>
      <c r="AB99" s="159"/>
      <c r="AC99" s="609">
        <f>AC98/AC67</f>
        <v>2.7662182393277397E-2</v>
      </c>
      <c r="AD99" s="159"/>
      <c r="AE99" s="609">
        <f>AE98/AE67</f>
        <v>4.3663004331994437E-2</v>
      </c>
      <c r="AF99" s="159"/>
      <c r="AG99" s="609">
        <f>AG98/AG67</f>
        <v>5.6943908005367763E-2</v>
      </c>
      <c r="AH99" s="159"/>
      <c r="AI99" s="609">
        <f>AI98/AI67</f>
        <v>0.12010879996658466</v>
      </c>
      <c r="AJ99" s="159"/>
      <c r="AK99" s="609">
        <f>AK98/AK67</f>
        <v>0.14879037256282485</v>
      </c>
      <c r="AL99" s="159"/>
      <c r="AM99" s="609">
        <f>AM98/AM67</f>
        <v>0.16430692801449709</v>
      </c>
      <c r="AN99" s="159"/>
      <c r="AO99" s="609">
        <f>AO98/AO67</f>
        <v>0.11129717374791526</v>
      </c>
      <c r="AP99" s="159"/>
      <c r="AQ99" s="609">
        <f>AQ98/AQ67</f>
        <v>8.6443358381921714E-2</v>
      </c>
      <c r="AR99" s="159"/>
      <c r="AS99" s="609">
        <f>AS98/AS67</f>
        <v>8.3190470677308836E-2</v>
      </c>
      <c r="AT99" s="159"/>
      <c r="AU99" s="609">
        <f>AU98/AU67</f>
        <v>0.10679023753330756</v>
      </c>
      <c r="AV99" s="159"/>
      <c r="AW99" s="609">
        <f>AW98/AW67</f>
        <v>6.7270596304081498E-2</v>
      </c>
      <c r="AX99" s="159"/>
      <c r="AY99" s="609">
        <f>AY98/AY67</f>
        <v>6.4527549799402478E-2</v>
      </c>
      <c r="AZ99" s="159"/>
      <c r="BA99" s="609">
        <f>BA98/BA67</f>
        <v>9.2261125956535087E-2</v>
      </c>
      <c r="BB99" s="159"/>
      <c r="BC99" s="609">
        <f>BC98/BC67</f>
        <v>0.10633120710768099</v>
      </c>
      <c r="BD99" s="159"/>
      <c r="BE99" s="609">
        <f>BE98/BE67</f>
        <v>0.12686232421884433</v>
      </c>
      <c r="BF99" s="159"/>
      <c r="BG99" s="609">
        <f t="shared" ref="BG99" si="865">BG98/BG67</f>
        <v>0.11228128210106122</v>
      </c>
      <c r="BH99" s="159"/>
      <c r="BI99" s="609">
        <f t="shared" ref="BI99" si="866">BI98/BI67</f>
        <v>4.9820058686490809E-2</v>
      </c>
      <c r="BJ99" s="159"/>
      <c r="BK99" s="609">
        <f t="shared" ref="BK99" si="867">BK98/BK67</f>
        <v>5.3219047097849213E-2</v>
      </c>
      <c r="BL99" s="159"/>
      <c r="BM99" s="609">
        <f t="shared" ref="BM99" si="868">BM98/BM67</f>
        <v>4.8736648531238692E-2</v>
      </c>
      <c r="BN99" s="159"/>
      <c r="BO99" s="609">
        <f t="shared" ref="BO99" si="869">BO98/BO67</f>
        <v>0.10817351333139187</v>
      </c>
      <c r="BP99" s="159"/>
      <c r="BQ99" s="609">
        <f t="shared" ref="BQ99:BS99" si="870">BQ98/BQ67</f>
        <v>8.8207310112154214E-2</v>
      </c>
      <c r="BR99" s="159"/>
      <c r="BS99" s="609">
        <f t="shared" si="870"/>
        <v>9.4907270909938696E-2</v>
      </c>
      <c r="BT99" s="159"/>
      <c r="BU99" s="609">
        <f t="shared" ref="BU99" si="871">BU98/BU67</f>
        <v>7.6552492592540211E-2</v>
      </c>
      <c r="BV99" s="159"/>
      <c r="BW99" s="609">
        <f>BW98/BW67</f>
        <v>9.4024848958259313E-2</v>
      </c>
      <c r="BX99" s="159"/>
      <c r="BY99" s="609">
        <f>BY98/BY67</f>
        <v>8.110322753245694E-2</v>
      </c>
      <c r="BZ99" s="159"/>
      <c r="CA99" s="609">
        <f>CA98/CA67</f>
        <v>0.12599317581997618</v>
      </c>
      <c r="CB99" s="159"/>
      <c r="CC99" s="609">
        <f>CC98/CC67</f>
        <v>0.13007172639786296</v>
      </c>
      <c r="CD99" s="159"/>
      <c r="CE99" s="609">
        <f>CE98/CE67</f>
        <v>8.1029633706765108E-2</v>
      </c>
      <c r="CF99" s="159"/>
      <c r="CG99" s="609">
        <f>CG98/CG67</f>
        <v>8.0841817602093219E-2</v>
      </c>
      <c r="CH99" s="159"/>
      <c r="CI99" s="609">
        <f>CI98/CI67</f>
        <v>0.13323866796932604</v>
      </c>
      <c r="CJ99" s="159"/>
      <c r="CK99" s="609">
        <f>CK98/CK67</f>
        <v>6.3461458384973163E-2</v>
      </c>
      <c r="CL99" s="159"/>
      <c r="CM99" s="609">
        <f>CM98/CM67</f>
        <v>2.2453808245091654E-2</v>
      </c>
      <c r="CN99" s="159"/>
      <c r="CO99" s="609">
        <f>CO98/CO67</f>
        <v>0.12559659674656712</v>
      </c>
      <c r="CP99" s="159"/>
      <c r="CQ99" s="609">
        <f>CQ98/CQ67</f>
        <v>8.2861554011524383E-2</v>
      </c>
      <c r="CR99" s="159"/>
      <c r="CS99" s="609">
        <f t="shared" ref="CS99:CU99" si="872">CS98/CS67</f>
        <v>0.10395083433184099</v>
      </c>
      <c r="CT99" s="159"/>
      <c r="CU99" s="609">
        <f t="shared" si="872"/>
        <v>0.10395083433184099</v>
      </c>
      <c r="CV99" s="159"/>
      <c r="CW99" s="609">
        <f>CW98/CW67</f>
        <v>1.68964268553033E-2</v>
      </c>
      <c r="CX99" s="159"/>
      <c r="CY99" s="609">
        <f>CY98/CY67</f>
        <v>1.873349580576254E-3</v>
      </c>
      <c r="CZ99" s="159"/>
      <c r="DA99" s="609">
        <f>DA98/DA67</f>
        <v>9.1428458593087875E-2</v>
      </c>
      <c r="DB99" s="159"/>
      <c r="DC99" s="609">
        <f>DC98/DC67</f>
        <v>4.0705701971182923E-2</v>
      </c>
      <c r="DD99" s="159"/>
      <c r="DE99" s="609">
        <f>DE98/DE67</f>
        <v>1.0083424594985325E-2</v>
      </c>
      <c r="DF99" s="159"/>
      <c r="DG99" s="609">
        <f>DG98/DG67</f>
        <v>8.0714981972197328E-2</v>
      </c>
      <c r="DH99" s="159"/>
      <c r="DI99" s="609">
        <f>DI98/DI67</f>
        <v>4.0544132432168298E-2</v>
      </c>
      <c r="DJ99" s="159"/>
      <c r="DK99" s="609">
        <f>DK98/DK67</f>
        <v>4.8600615631063354E-2</v>
      </c>
    </row>
    <row r="100" spans="1:115" s="4" customFormat="1" ht="18" customHeight="1" outlineLevel="1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f>G64</f>
        <v>620</v>
      </c>
      <c r="H100" s="251"/>
      <c r="I100" s="167">
        <f>I64</f>
        <v>1150</v>
      </c>
      <c r="J100" s="251"/>
      <c r="K100" s="167">
        <f>K64</f>
        <v>1150</v>
      </c>
      <c r="L100" s="251"/>
      <c r="M100" s="167">
        <f>M64</f>
        <v>1150</v>
      </c>
      <c r="N100" s="251"/>
      <c r="O100" s="167">
        <f>O64</f>
        <v>1198.0083582089421</v>
      </c>
      <c r="P100" s="251"/>
      <c r="Q100" s="167">
        <f>Q64</f>
        <v>1200</v>
      </c>
      <c r="R100" s="251"/>
      <c r="S100" s="167">
        <f>S64</f>
        <v>1200</v>
      </c>
      <c r="T100" s="251"/>
      <c r="U100" s="167">
        <f>U64</f>
        <v>1200</v>
      </c>
      <c r="V100" s="251"/>
      <c r="W100" s="167">
        <f>W64</f>
        <v>1200</v>
      </c>
      <c r="X100" s="251"/>
      <c r="Y100" s="167">
        <f>Y64</f>
        <v>1200</v>
      </c>
      <c r="Z100" s="251"/>
      <c r="AA100" s="167">
        <f>AA64</f>
        <v>1200</v>
      </c>
      <c r="AB100" s="251"/>
      <c r="AC100" s="167">
        <f>AC64</f>
        <v>1200</v>
      </c>
      <c r="AD100" s="251"/>
      <c r="AE100" s="167">
        <f>AE64</f>
        <v>1200</v>
      </c>
      <c r="AF100" s="251"/>
      <c r="AG100" s="167">
        <f>AG64</f>
        <v>1200</v>
      </c>
      <c r="AH100" s="251"/>
      <c r="AI100" s="167">
        <f>AI64</f>
        <v>1200</v>
      </c>
      <c r="AJ100" s="251"/>
      <c r="AK100" s="167">
        <f>AK64</f>
        <v>1200</v>
      </c>
      <c r="AL100" s="251"/>
      <c r="AM100" s="167">
        <f>AM64</f>
        <v>1200</v>
      </c>
      <c r="AN100" s="251"/>
      <c r="AO100" s="167">
        <f>AO64</f>
        <v>1200</v>
      </c>
      <c r="AP100" s="251"/>
      <c r="AQ100" s="167">
        <f>AQ64</f>
        <v>1200</v>
      </c>
      <c r="AR100" s="251"/>
      <c r="AS100" s="167">
        <f>AS64</f>
        <v>1200</v>
      </c>
      <c r="AT100" s="251"/>
      <c r="AU100" s="167">
        <f>AU64</f>
        <v>1200</v>
      </c>
      <c r="AV100" s="251"/>
      <c r="AW100" s="167">
        <f>AW64</f>
        <v>1200</v>
      </c>
      <c r="AX100" s="251"/>
      <c r="AY100" s="167">
        <f>AY64</f>
        <v>1200</v>
      </c>
      <c r="AZ100" s="251"/>
      <c r="BA100" s="167">
        <f>BA64</f>
        <v>1200</v>
      </c>
      <c r="BB100" s="251"/>
      <c r="BC100" s="167">
        <f>BC64</f>
        <v>1200</v>
      </c>
      <c r="BD100" s="251"/>
      <c r="BE100" s="167">
        <f>BE64</f>
        <v>1200</v>
      </c>
      <c r="BF100" s="251"/>
      <c r="BG100" s="167">
        <f t="shared" ref="BG100" si="873">BG64</f>
        <v>1200</v>
      </c>
      <c r="BH100" s="251"/>
      <c r="BI100" s="167">
        <f t="shared" ref="BI100:BK100" si="874">BI64</f>
        <v>1200</v>
      </c>
      <c r="BJ100" s="251"/>
      <c r="BK100" s="167">
        <f t="shared" si="874"/>
        <v>750</v>
      </c>
      <c r="BL100" s="251"/>
      <c r="BM100" s="167">
        <f t="shared" ref="BM100" si="875">BM64</f>
        <v>750</v>
      </c>
      <c r="BN100" s="251"/>
      <c r="BO100" s="167">
        <f t="shared" ref="BO100" si="876">BO64</f>
        <v>750</v>
      </c>
      <c r="BP100" s="251"/>
      <c r="BQ100" s="167">
        <f t="shared" ref="BQ100:BS100" si="877">BQ64</f>
        <v>750</v>
      </c>
      <c r="BR100" s="251"/>
      <c r="BS100" s="167">
        <f t="shared" si="877"/>
        <v>750</v>
      </c>
      <c r="BT100" s="251"/>
      <c r="BU100" s="167">
        <f t="shared" ref="BU100:BW100" si="878">BU64</f>
        <v>750</v>
      </c>
      <c r="BV100" s="251"/>
      <c r="BW100" s="167">
        <f t="shared" si="878"/>
        <v>750</v>
      </c>
      <c r="BX100" s="251"/>
      <c r="BY100" s="167">
        <f t="shared" ref="BY100:CA100" si="879">BY64</f>
        <v>750</v>
      </c>
      <c r="BZ100" s="251"/>
      <c r="CA100" s="167">
        <f t="shared" si="879"/>
        <v>750</v>
      </c>
      <c r="CB100" s="251"/>
      <c r="CC100" s="167">
        <f t="shared" ref="CC100:CE100" si="880">CC64</f>
        <v>750</v>
      </c>
      <c r="CD100" s="251"/>
      <c r="CE100" s="167">
        <f t="shared" si="880"/>
        <v>750</v>
      </c>
      <c r="CF100" s="251"/>
      <c r="CG100" s="167">
        <f t="shared" ref="CG100:CI100" si="881">CG64</f>
        <v>750</v>
      </c>
      <c r="CH100" s="251"/>
      <c r="CI100" s="167">
        <f t="shared" si="881"/>
        <v>750</v>
      </c>
      <c r="CJ100" s="251"/>
      <c r="CK100" s="167">
        <f t="shared" ref="CK100:CM100" si="882">CK64</f>
        <v>750</v>
      </c>
      <c r="CL100" s="251"/>
      <c r="CM100" s="167">
        <f t="shared" si="882"/>
        <v>750</v>
      </c>
      <c r="CN100" s="251"/>
      <c r="CO100" s="167">
        <f t="shared" ref="CO100" si="883">CO64</f>
        <v>750</v>
      </c>
      <c r="CP100" s="251"/>
      <c r="CQ100" s="167">
        <f t="shared" ref="CQ100" si="884">CQ64</f>
        <v>750</v>
      </c>
      <c r="CR100" s="251"/>
      <c r="CS100" s="167">
        <f t="shared" ref="CS100:CU100" si="885">CS64</f>
        <v>750</v>
      </c>
      <c r="CT100" s="251"/>
      <c r="CU100" s="167">
        <f t="shared" si="885"/>
        <v>750</v>
      </c>
      <c r="CV100" s="251"/>
      <c r="CW100" s="167">
        <f>CW64</f>
        <v>1199.0818076678324</v>
      </c>
      <c r="CX100" s="251"/>
      <c r="CY100" s="167">
        <f>CY64</f>
        <v>1200</v>
      </c>
      <c r="CZ100" s="251"/>
      <c r="DA100" s="167">
        <f>DA64</f>
        <v>1200</v>
      </c>
      <c r="DB100" s="251"/>
      <c r="DC100" s="167">
        <f>DC64</f>
        <v>1200</v>
      </c>
      <c r="DD100" s="251"/>
      <c r="DE100" s="167">
        <f>DE64</f>
        <v>1199.4831156337875</v>
      </c>
      <c r="DF100" s="251"/>
      <c r="DG100" s="167">
        <f>DG64</f>
        <v>1200</v>
      </c>
      <c r="DH100" s="251"/>
      <c r="DI100" s="167">
        <f>DI64</f>
        <v>1200</v>
      </c>
      <c r="DJ100" s="251"/>
      <c r="DK100" s="167">
        <f>DK64</f>
        <v>1200</v>
      </c>
    </row>
    <row r="101" spans="1:115" s="4" customFormat="1" ht="18" customHeight="1" outlineLevel="1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>
        <v>1150</v>
      </c>
      <c r="BX101" s="164"/>
      <c r="BY101" s="168">
        <v>1150</v>
      </c>
      <c r="BZ101" s="164"/>
      <c r="CA101" s="168">
        <v>1150</v>
      </c>
      <c r="CB101" s="164"/>
      <c r="CC101" s="168">
        <v>1150</v>
      </c>
      <c r="CD101" s="164"/>
      <c r="CE101" s="168">
        <v>1150</v>
      </c>
      <c r="CF101" s="164"/>
      <c r="CG101" s="168">
        <v>1150</v>
      </c>
      <c r="CH101" s="164"/>
      <c r="CI101" s="168">
        <v>1150</v>
      </c>
      <c r="CJ101" s="164"/>
      <c r="CK101" s="168">
        <v>1150</v>
      </c>
      <c r="CL101" s="164"/>
      <c r="CM101" s="168">
        <v>1150</v>
      </c>
      <c r="CN101" s="164"/>
      <c r="CO101" s="168">
        <v>1150</v>
      </c>
      <c r="CP101" s="164"/>
      <c r="CQ101" s="168">
        <v>1150</v>
      </c>
      <c r="CR101" s="164"/>
      <c r="CS101" s="168">
        <v>1150</v>
      </c>
      <c r="CT101" s="164"/>
      <c r="CU101" s="168">
        <v>1150</v>
      </c>
      <c r="CV101" s="164"/>
      <c r="CW101" s="168">
        <v>1150</v>
      </c>
      <c r="CX101" s="164"/>
      <c r="CY101" s="168">
        <v>1150</v>
      </c>
      <c r="CZ101" s="164"/>
      <c r="DA101" s="168">
        <v>1150</v>
      </c>
      <c r="DB101" s="164"/>
      <c r="DC101" s="168">
        <v>1150</v>
      </c>
      <c r="DD101" s="164"/>
      <c r="DE101" s="168">
        <v>1150</v>
      </c>
      <c r="DF101" s="164"/>
      <c r="DG101" s="168">
        <v>1150</v>
      </c>
      <c r="DH101" s="164"/>
      <c r="DI101" s="168">
        <v>1150</v>
      </c>
      <c r="DJ101" s="164"/>
      <c r="DK101" s="168">
        <v>1150</v>
      </c>
    </row>
    <row r="102" spans="1:115" s="4" customFormat="1" ht="18" customHeight="1" outlineLevel="1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>
        <v>750</v>
      </c>
      <c r="BX102" s="164"/>
      <c r="BY102" s="168">
        <v>750</v>
      </c>
      <c r="BZ102" s="164"/>
      <c r="CA102" s="168">
        <v>750</v>
      </c>
      <c r="CB102" s="164"/>
      <c r="CC102" s="168">
        <v>750</v>
      </c>
      <c r="CD102" s="164"/>
      <c r="CE102" s="168">
        <v>750</v>
      </c>
      <c r="CF102" s="164"/>
      <c r="CG102" s="168">
        <v>750</v>
      </c>
      <c r="CH102" s="164"/>
      <c r="CI102" s="168">
        <v>750</v>
      </c>
      <c r="CJ102" s="164"/>
      <c r="CK102" s="168">
        <v>750</v>
      </c>
      <c r="CL102" s="164"/>
      <c r="CM102" s="168">
        <v>750</v>
      </c>
      <c r="CN102" s="164"/>
      <c r="CO102" s="168">
        <v>750</v>
      </c>
      <c r="CP102" s="164"/>
      <c r="CQ102" s="168">
        <v>750</v>
      </c>
      <c r="CR102" s="164"/>
      <c r="CS102" s="168">
        <v>750</v>
      </c>
      <c r="CT102" s="164"/>
      <c r="CU102" s="168">
        <v>750</v>
      </c>
      <c r="CV102" s="164"/>
      <c r="CW102" s="168">
        <v>750</v>
      </c>
      <c r="CX102" s="164"/>
      <c r="CY102" s="168">
        <v>750</v>
      </c>
      <c r="CZ102" s="164"/>
      <c r="DA102" s="168">
        <v>750</v>
      </c>
      <c r="DB102" s="164"/>
      <c r="DC102" s="168">
        <v>750</v>
      </c>
      <c r="DD102" s="164"/>
      <c r="DE102" s="168">
        <v>750</v>
      </c>
      <c r="DF102" s="164"/>
      <c r="DG102" s="168">
        <v>750</v>
      </c>
      <c r="DH102" s="164"/>
      <c r="DI102" s="168">
        <v>750</v>
      </c>
      <c r="DJ102" s="164"/>
      <c r="DK102" s="168">
        <v>750</v>
      </c>
    </row>
    <row r="103" spans="1:115" s="4" customFormat="1" ht="18" customHeight="1" outlineLevel="1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164"/>
      <c r="BY103" s="171"/>
      <c r="BZ103" s="164"/>
      <c r="CA103" s="171"/>
      <c r="CB103" s="164"/>
      <c r="CC103" s="171"/>
      <c r="CD103" s="164"/>
      <c r="CE103" s="171"/>
      <c r="CF103" s="164"/>
      <c r="CG103" s="171"/>
      <c r="CH103" s="164"/>
      <c r="CI103" s="171"/>
      <c r="CJ103" s="164"/>
      <c r="CK103" s="171"/>
      <c r="CL103" s="164"/>
      <c r="CM103" s="171"/>
      <c r="CN103" s="164"/>
      <c r="CO103" s="171"/>
      <c r="CP103" s="164"/>
      <c r="CQ103" s="171"/>
      <c r="CR103" s="164"/>
      <c r="CS103" s="171"/>
      <c r="CT103" s="164"/>
      <c r="CU103" s="171"/>
      <c r="CV103" s="164"/>
      <c r="CW103" s="171"/>
      <c r="CX103" s="164"/>
      <c r="CY103" s="171"/>
      <c r="CZ103" s="164"/>
      <c r="DA103" s="171"/>
      <c r="DB103" s="164"/>
      <c r="DC103" s="171"/>
      <c r="DD103" s="164"/>
      <c r="DE103" s="171"/>
      <c r="DF103" s="164"/>
      <c r="DG103" s="171"/>
      <c r="DH103" s="164"/>
      <c r="DI103" s="171"/>
      <c r="DJ103" s="164"/>
      <c r="DK103" s="171"/>
    </row>
    <row r="104" spans="1:115" s="4" customFormat="1" ht="18" customHeight="1" outlineLevel="1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0</v>
      </c>
      <c r="J104" s="173"/>
      <c r="K104" s="165">
        <f>K101-K100</f>
        <v>0</v>
      </c>
      <c r="L104" s="173"/>
      <c r="M104" s="165">
        <f>M101-M100</f>
        <v>0</v>
      </c>
      <c r="N104" s="173"/>
      <c r="O104" s="165">
        <f>O101-O100</f>
        <v>-48.008358208942127</v>
      </c>
      <c r="P104" s="173"/>
      <c r="Q104" s="165">
        <f>Q101-Q100</f>
        <v>-50</v>
      </c>
      <c r="R104" s="173"/>
      <c r="S104" s="165">
        <f>S101-S100</f>
        <v>-50</v>
      </c>
      <c r="T104" s="173"/>
      <c r="U104" s="165">
        <f>U101-U100</f>
        <v>-50</v>
      </c>
      <c r="V104" s="173"/>
      <c r="W104" s="165">
        <f>W101-W100</f>
        <v>-50</v>
      </c>
      <c r="X104" s="173"/>
      <c r="Y104" s="165">
        <f>Y101-Y100</f>
        <v>-50</v>
      </c>
      <c r="Z104" s="173"/>
      <c r="AA104" s="165">
        <f>AA101-AA100</f>
        <v>-50</v>
      </c>
      <c r="AB104" s="173"/>
      <c r="AC104" s="165">
        <f>AC101-AC100</f>
        <v>-50</v>
      </c>
      <c r="AD104" s="173"/>
      <c r="AE104" s="165">
        <f>AE101-AE100</f>
        <v>-50</v>
      </c>
      <c r="AF104" s="173"/>
      <c r="AG104" s="165">
        <f>AG101-AG100</f>
        <v>-50</v>
      </c>
      <c r="AH104" s="173"/>
      <c r="AI104" s="165">
        <f>AI101-AI100</f>
        <v>-50</v>
      </c>
      <c r="AJ104" s="173"/>
      <c r="AK104" s="165">
        <f>AK101-AK100</f>
        <v>-50</v>
      </c>
      <c r="AL104" s="173"/>
      <c r="AM104" s="165">
        <f>AM101-AM100</f>
        <v>-50</v>
      </c>
      <c r="AN104" s="173"/>
      <c r="AO104" s="165">
        <f>AO101-AO100</f>
        <v>-50</v>
      </c>
      <c r="AP104" s="173"/>
      <c r="AQ104" s="165">
        <f>AQ101-AQ100</f>
        <v>-50</v>
      </c>
      <c r="AR104" s="173"/>
      <c r="AS104" s="165">
        <f>AS101-AS100</f>
        <v>-50</v>
      </c>
      <c r="AT104" s="173"/>
      <c r="AU104" s="165">
        <f>AU101-AU100</f>
        <v>-50</v>
      </c>
      <c r="AV104" s="173"/>
      <c r="AW104" s="165">
        <f>AW101-AW100</f>
        <v>-50</v>
      </c>
      <c r="AX104" s="173"/>
      <c r="AY104" s="165">
        <f>AY101-AY100</f>
        <v>-50</v>
      </c>
      <c r="AZ104" s="173"/>
      <c r="BA104" s="165">
        <f>BA101-BA100</f>
        <v>-50</v>
      </c>
      <c r="BB104" s="173"/>
      <c r="BC104" s="165">
        <f>BC101-BC100</f>
        <v>-50</v>
      </c>
      <c r="BD104" s="173"/>
      <c r="BE104" s="165">
        <f>BE101-BE100</f>
        <v>-50</v>
      </c>
      <c r="BF104" s="173"/>
      <c r="BG104" s="165">
        <f t="shared" ref="BG104" si="886">BG101-BG100</f>
        <v>-50</v>
      </c>
      <c r="BH104" s="173"/>
      <c r="BI104" s="165">
        <f t="shared" ref="BI104:BK104" si="887">BI101-BI100</f>
        <v>-50</v>
      </c>
      <c r="BJ104" s="173"/>
      <c r="BK104" s="165">
        <f t="shared" si="887"/>
        <v>400</v>
      </c>
      <c r="BL104" s="173"/>
      <c r="BM104" s="165">
        <f t="shared" ref="BM104" si="888">BM101-BM100</f>
        <v>400</v>
      </c>
      <c r="BN104" s="173"/>
      <c r="BO104" s="165">
        <f t="shared" ref="BO104" si="889">BO101-BO100</f>
        <v>400</v>
      </c>
      <c r="BP104" s="173"/>
      <c r="BQ104" s="165">
        <f t="shared" ref="BQ104:BS104" si="890">BQ101-BQ100</f>
        <v>400</v>
      </c>
      <c r="BR104" s="173"/>
      <c r="BS104" s="165">
        <f t="shared" si="890"/>
        <v>400</v>
      </c>
      <c r="BT104" s="173"/>
      <c r="BU104" s="165">
        <f t="shared" ref="BU104:BW104" si="891">BU101-BU100</f>
        <v>400</v>
      </c>
      <c r="BV104" s="173"/>
      <c r="BW104" s="165">
        <f t="shared" si="891"/>
        <v>400</v>
      </c>
      <c r="BX104" s="173"/>
      <c r="BY104" s="165">
        <f t="shared" ref="BY104:CA104" si="892">BY101-BY100</f>
        <v>400</v>
      </c>
      <c r="BZ104" s="173"/>
      <c r="CA104" s="165">
        <f t="shared" si="892"/>
        <v>400</v>
      </c>
      <c r="CB104" s="173"/>
      <c r="CC104" s="165">
        <f t="shared" ref="CC104:CE104" si="893">CC101-CC100</f>
        <v>400</v>
      </c>
      <c r="CD104" s="173"/>
      <c r="CE104" s="165">
        <f t="shared" si="893"/>
        <v>400</v>
      </c>
      <c r="CF104" s="173"/>
      <c r="CG104" s="165">
        <f t="shared" ref="CG104:CI104" si="894">CG101-CG100</f>
        <v>400</v>
      </c>
      <c r="CH104" s="173"/>
      <c r="CI104" s="165">
        <f t="shared" si="894"/>
        <v>400</v>
      </c>
      <c r="CJ104" s="173"/>
      <c r="CK104" s="165">
        <f t="shared" ref="CK104:CM104" si="895">CK101-CK100</f>
        <v>400</v>
      </c>
      <c r="CL104" s="173"/>
      <c r="CM104" s="165">
        <f t="shared" si="895"/>
        <v>400</v>
      </c>
      <c r="CN104" s="173"/>
      <c r="CO104" s="165">
        <f t="shared" ref="CO104" si="896">CO101-CO100</f>
        <v>400</v>
      </c>
      <c r="CP104" s="173"/>
      <c r="CQ104" s="165">
        <f t="shared" ref="CQ104" si="897">CQ101-CQ100</f>
        <v>400</v>
      </c>
      <c r="CR104" s="173"/>
      <c r="CS104" s="165">
        <f t="shared" ref="CS104:CU104" si="898">CS101-CS100</f>
        <v>400</v>
      </c>
      <c r="CT104" s="173"/>
      <c r="CU104" s="165">
        <f t="shared" si="898"/>
        <v>400</v>
      </c>
      <c r="CV104" s="173"/>
      <c r="CW104" s="165">
        <f>CW101-CW100</f>
        <v>-49.081807667832436</v>
      </c>
      <c r="CX104" s="173"/>
      <c r="CY104" s="165">
        <f>CY101-CY100</f>
        <v>-50</v>
      </c>
      <c r="CZ104" s="173"/>
      <c r="DA104" s="165">
        <f>DA101-DA100</f>
        <v>-50</v>
      </c>
      <c r="DB104" s="173"/>
      <c r="DC104" s="165">
        <f>DC101-DC100</f>
        <v>-50</v>
      </c>
      <c r="DD104" s="173"/>
      <c r="DE104" s="165">
        <f>DE101-DE100</f>
        <v>-49.48311563378752</v>
      </c>
      <c r="DF104" s="173"/>
      <c r="DG104" s="165">
        <f>DG101-DG100</f>
        <v>-50</v>
      </c>
      <c r="DH104" s="173"/>
      <c r="DI104" s="165">
        <f>DI101-DI100</f>
        <v>-50</v>
      </c>
      <c r="DJ104" s="173"/>
      <c r="DK104" s="165">
        <f>DK101-DK100</f>
        <v>-50</v>
      </c>
    </row>
    <row r="105" spans="1:115" s="97" customFormat="1" ht="18" customHeight="1" outlineLevel="1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65">
        <f>G104/G66</f>
        <v>0.1368801652892562</v>
      </c>
      <c r="H105" s="177"/>
      <c r="I105" s="178">
        <f>I104/I66</f>
        <v>0</v>
      </c>
      <c r="J105" s="177"/>
      <c r="K105" s="178">
        <f>K104/K66</f>
        <v>0</v>
      </c>
      <c r="L105" s="177"/>
      <c r="M105" s="178">
        <f>M104/M66</f>
        <v>0</v>
      </c>
      <c r="N105" s="177"/>
      <c r="O105" s="178">
        <f>O104/O66</f>
        <v>-1.2398852843218525E-2</v>
      </c>
      <c r="P105" s="177"/>
      <c r="Q105" s="178">
        <f>Q104/Q66</f>
        <v>-1.2913223140495868E-2</v>
      </c>
      <c r="R105" s="177"/>
      <c r="S105" s="178">
        <f>S104/S66</f>
        <v>-1.2913223140495868E-2</v>
      </c>
      <c r="T105" s="177"/>
      <c r="U105" s="178">
        <f>U104/U66</f>
        <v>-1.2913223140495868E-2</v>
      </c>
      <c r="V105" s="177"/>
      <c r="W105" s="178">
        <f>W104/W66</f>
        <v>-1.2913223140495868E-2</v>
      </c>
      <c r="X105" s="177"/>
      <c r="Y105" s="178">
        <f>Y104/Y66</f>
        <v>-1.2913223140495868E-2</v>
      </c>
      <c r="Z105" s="177"/>
      <c r="AA105" s="178">
        <f>AA104/AA66</f>
        <v>-1.2913223140495868E-2</v>
      </c>
      <c r="AB105" s="177"/>
      <c r="AC105" s="178">
        <f>AC104/AC66</f>
        <v>-1.2913223140495868E-2</v>
      </c>
      <c r="AD105" s="177"/>
      <c r="AE105" s="178">
        <f>AE104/AE66</f>
        <v>-1.2913223140495868E-2</v>
      </c>
      <c r="AF105" s="177"/>
      <c r="AG105" s="178">
        <f>AG104/AG66</f>
        <v>-1.2913223140495868E-2</v>
      </c>
      <c r="AH105" s="177"/>
      <c r="AI105" s="178">
        <f>AI104/AI66</f>
        <v>-1.2913223140495868E-2</v>
      </c>
      <c r="AJ105" s="177"/>
      <c r="AK105" s="178">
        <f>AK104/AK66</f>
        <v>-1.2913223140495868E-2</v>
      </c>
      <c r="AL105" s="177"/>
      <c r="AM105" s="178">
        <f>AM104/AM66</f>
        <v>-1.2913223140495868E-2</v>
      </c>
      <c r="AN105" s="177"/>
      <c r="AO105" s="178">
        <f>AO104/AO66</f>
        <v>-1.2913223140495868E-2</v>
      </c>
      <c r="AP105" s="177"/>
      <c r="AQ105" s="178">
        <f>AQ104/AQ66</f>
        <v>-1.2913223140495868E-2</v>
      </c>
      <c r="AR105" s="177"/>
      <c r="AS105" s="178">
        <f>AS104/AS66</f>
        <v>-1.2913223140495868E-2</v>
      </c>
      <c r="AT105" s="177"/>
      <c r="AU105" s="178">
        <f>AU104/AU66</f>
        <v>-1.2913223140495868E-2</v>
      </c>
      <c r="AV105" s="177"/>
      <c r="AW105" s="178">
        <f>AW104/AW66</f>
        <v>-1.2913223140495868E-2</v>
      </c>
      <c r="AX105" s="177"/>
      <c r="AY105" s="178">
        <f>AY104/AY66</f>
        <v>-1.2913223140495868E-2</v>
      </c>
      <c r="AZ105" s="177"/>
      <c r="BA105" s="178">
        <f>BA104/BA66</f>
        <v>-1.2913223140495868E-2</v>
      </c>
      <c r="BB105" s="177"/>
      <c r="BC105" s="178">
        <f>BC104/BC66</f>
        <v>-1.2913223140495868E-2</v>
      </c>
      <c r="BD105" s="177"/>
      <c r="BE105" s="178">
        <f>BE104/BE66</f>
        <v>-1.2913223140495868E-2</v>
      </c>
      <c r="BF105" s="177"/>
      <c r="BG105" s="178">
        <f t="shared" ref="BG105" si="899">BG104/BG66</f>
        <v>-1.2913223140495868E-2</v>
      </c>
      <c r="BH105" s="177"/>
      <c r="BI105" s="178">
        <f t="shared" ref="BI105" si="900">BI104/BI66</f>
        <v>-1.2913223140495868E-2</v>
      </c>
      <c r="BJ105" s="177"/>
      <c r="BK105" s="178">
        <f t="shared" ref="BK105" si="901">BK104/BK66</f>
        <v>0.10330578512396695</v>
      </c>
      <c r="BL105" s="177"/>
      <c r="BM105" s="178">
        <f t="shared" ref="BM105" si="902">BM104/BM66</f>
        <v>0.10330578512396695</v>
      </c>
      <c r="BN105" s="177"/>
      <c r="BO105" s="178">
        <f t="shared" ref="BO105" si="903">BO104/BO66</f>
        <v>0.10330578512396695</v>
      </c>
      <c r="BP105" s="177"/>
      <c r="BQ105" s="178">
        <f t="shared" ref="BQ105:BS105" si="904">BQ104/BQ66</f>
        <v>0.10330578512396695</v>
      </c>
      <c r="BR105" s="177"/>
      <c r="BS105" s="178">
        <f t="shared" si="904"/>
        <v>0.10330578512396695</v>
      </c>
      <c r="BT105" s="177"/>
      <c r="BU105" s="178">
        <f t="shared" ref="BU105:BW105" si="905">BU104/BU66</f>
        <v>0.10330578512396695</v>
      </c>
      <c r="BV105" s="177"/>
      <c r="BW105" s="178">
        <f t="shared" si="905"/>
        <v>0.10330578512396695</v>
      </c>
      <c r="BX105" s="177"/>
      <c r="BY105" s="178">
        <f t="shared" ref="BY105:CA105" si="906">BY104/BY66</f>
        <v>0.10330578512396695</v>
      </c>
      <c r="BZ105" s="177"/>
      <c r="CA105" s="178">
        <f t="shared" si="906"/>
        <v>0.1</v>
      </c>
      <c r="CB105" s="177"/>
      <c r="CC105" s="178">
        <f t="shared" ref="CC105:CE105" si="907">CC104/CC66</f>
        <v>0.1</v>
      </c>
      <c r="CD105" s="177"/>
      <c r="CE105" s="178">
        <f t="shared" si="907"/>
        <v>0.1</v>
      </c>
      <c r="CF105" s="177"/>
      <c r="CG105" s="178">
        <f t="shared" ref="CG105:CI105" si="908">CG104/CG66</f>
        <v>0.1</v>
      </c>
      <c r="CH105" s="177"/>
      <c r="CI105" s="178">
        <f t="shared" si="908"/>
        <v>0.1</v>
      </c>
      <c r="CJ105" s="177"/>
      <c r="CK105" s="178">
        <f t="shared" ref="CK105:CM105" si="909">CK104/CK66</f>
        <v>0.1</v>
      </c>
      <c r="CL105" s="177"/>
      <c r="CM105" s="178">
        <f t="shared" si="909"/>
        <v>0.1</v>
      </c>
      <c r="CN105" s="177"/>
      <c r="CO105" s="178">
        <f t="shared" ref="CO105" si="910">CO104/CO66</f>
        <v>0.1</v>
      </c>
      <c r="CP105" s="177"/>
      <c r="CQ105" s="178">
        <f t="shared" ref="CQ105" si="911">CQ104/CQ66</f>
        <v>0.1</v>
      </c>
      <c r="CR105" s="177"/>
      <c r="CS105" s="178">
        <f t="shared" ref="CS105:CU105" si="912">CS104/CS66</f>
        <v>0.1</v>
      </c>
      <c r="CT105" s="177"/>
      <c r="CU105" s="178">
        <f t="shared" si="912"/>
        <v>0.1</v>
      </c>
      <c r="CV105" s="177"/>
      <c r="CW105" s="178">
        <f>CW104/CW66</f>
        <v>-1.2676086691072426E-2</v>
      </c>
      <c r="CX105" s="177"/>
      <c r="CY105" s="178">
        <f>CY104/CY66</f>
        <v>-1.2913223140495868E-2</v>
      </c>
      <c r="CZ105" s="177"/>
      <c r="DA105" s="178">
        <f>DA104/DA66</f>
        <v>-1.2913223140495868E-2</v>
      </c>
      <c r="DB105" s="177"/>
      <c r="DC105" s="178">
        <f>DC104/DC66</f>
        <v>-1.2913223140495868E-2</v>
      </c>
      <c r="DD105" s="177"/>
      <c r="DE105" s="178">
        <f>DE104/DE66</f>
        <v>-1.2779730277321157E-2</v>
      </c>
      <c r="DF105" s="177"/>
      <c r="DG105" s="178">
        <f>DG104/DG66</f>
        <v>-1.2913223140495868E-2</v>
      </c>
      <c r="DH105" s="177"/>
      <c r="DI105" s="178">
        <f>DI104/DI66</f>
        <v>-1.2913223140495868E-2</v>
      </c>
      <c r="DJ105" s="177"/>
      <c r="DK105" s="178">
        <f>DK104/DK66</f>
        <v>-1.2913223140495868E-2</v>
      </c>
    </row>
    <row r="106" spans="1:115" s="97" customFormat="1" ht="18" customHeight="1" outlineLevel="1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0.10330578512396695</v>
      </c>
      <c r="H106" s="177"/>
      <c r="I106" s="178">
        <f>(I101-I102)/I66</f>
        <v>0.10330578512396695</v>
      </c>
      <c r="J106" s="177"/>
      <c r="K106" s="178">
        <f>(K101-K102)/K66</f>
        <v>0.10330578512396695</v>
      </c>
      <c r="L106" s="177"/>
      <c r="M106" s="178">
        <f>(M101-M102)/M66</f>
        <v>0.10330578512396695</v>
      </c>
      <c r="N106" s="177"/>
      <c r="O106" s="178">
        <f>(O101-O102)/O66</f>
        <v>0.10330578512396695</v>
      </c>
      <c r="P106" s="177"/>
      <c r="Q106" s="178">
        <f>(Q101-Q102)/Q66</f>
        <v>0.10330578512396695</v>
      </c>
      <c r="R106" s="177"/>
      <c r="S106" s="178">
        <f>(S101-S102)/S66</f>
        <v>0.10330578512396695</v>
      </c>
      <c r="T106" s="177"/>
      <c r="U106" s="178">
        <f>(U101-U102)/U66</f>
        <v>0.10330578512396695</v>
      </c>
      <c r="V106" s="177"/>
      <c r="W106" s="178">
        <f>(W101-W102)/W66</f>
        <v>0.10330578512396695</v>
      </c>
      <c r="X106" s="177"/>
      <c r="Y106" s="178">
        <f>(Y101-Y102)/Y66</f>
        <v>0.10330578512396695</v>
      </c>
      <c r="Z106" s="177"/>
      <c r="AA106" s="178">
        <f>(AA101-AA102)/AA66</f>
        <v>0.10330578512396695</v>
      </c>
      <c r="AB106" s="177"/>
      <c r="AC106" s="178">
        <f>(AC101-AC102)/AC66</f>
        <v>0.10330578512396695</v>
      </c>
      <c r="AD106" s="177"/>
      <c r="AE106" s="178">
        <f>(AE101-AE102)/AE66</f>
        <v>0.10330578512396695</v>
      </c>
      <c r="AF106" s="177"/>
      <c r="AG106" s="178">
        <f>(AG101-AG102)/AG66</f>
        <v>0.10330578512396695</v>
      </c>
      <c r="AH106" s="177"/>
      <c r="AI106" s="178">
        <f>(AI101-AI102)/AI66</f>
        <v>0.10330578512396695</v>
      </c>
      <c r="AJ106" s="177"/>
      <c r="AK106" s="178">
        <f>(AK101-AK102)/AK66</f>
        <v>0.10330578512396695</v>
      </c>
      <c r="AL106" s="177"/>
      <c r="AM106" s="178">
        <f>(AM101-AM102)/AM66</f>
        <v>0.10330578512396695</v>
      </c>
      <c r="AN106" s="177"/>
      <c r="AO106" s="178">
        <f>(AO101-AO102)/AO66</f>
        <v>0.10330578512396695</v>
      </c>
      <c r="AP106" s="177"/>
      <c r="AQ106" s="178">
        <f>(AQ101-AQ102)/AQ66</f>
        <v>0.10330578512396695</v>
      </c>
      <c r="AR106" s="177"/>
      <c r="AS106" s="178">
        <f>(AS101-AS102)/AS66</f>
        <v>0.10330578512396695</v>
      </c>
      <c r="AT106" s="177"/>
      <c r="AU106" s="178">
        <f>(AU101-AU102)/AU66</f>
        <v>0.10330578512396695</v>
      </c>
      <c r="AV106" s="177"/>
      <c r="AW106" s="178">
        <f>(AW101-AW102)/AW66</f>
        <v>0.10330578512396695</v>
      </c>
      <c r="AX106" s="177"/>
      <c r="AY106" s="178">
        <f>(AY101-AY102)/AY66</f>
        <v>0.10330578512396695</v>
      </c>
      <c r="AZ106" s="177"/>
      <c r="BA106" s="178">
        <f>(BA101-BA102)/BA66</f>
        <v>0.10330578512396695</v>
      </c>
      <c r="BB106" s="177"/>
      <c r="BC106" s="178">
        <f>(BC101-BC102)/BC66</f>
        <v>0.10330578512396695</v>
      </c>
      <c r="BD106" s="177"/>
      <c r="BE106" s="178">
        <f>(BE101-BE102)/BE66</f>
        <v>0.10330578512396695</v>
      </c>
      <c r="BF106" s="177"/>
      <c r="BG106" s="178">
        <f t="shared" ref="BG106" si="913">(BG101-BG102)/BG66</f>
        <v>0.10330578512396695</v>
      </c>
      <c r="BH106" s="177"/>
      <c r="BI106" s="178">
        <f t="shared" ref="BI106:BK106" si="914">(BI101-BI102)/BI66</f>
        <v>0.10330578512396695</v>
      </c>
      <c r="BJ106" s="177"/>
      <c r="BK106" s="178">
        <f t="shared" si="914"/>
        <v>0.10330578512396695</v>
      </c>
      <c r="BL106" s="177"/>
      <c r="BM106" s="178">
        <f t="shared" ref="BM106" si="915">(BM101-BM102)/BM66</f>
        <v>0.10330578512396695</v>
      </c>
      <c r="BN106" s="177"/>
      <c r="BO106" s="178">
        <f t="shared" ref="BO106" si="916">(BO101-BO102)/BO66</f>
        <v>0.10330578512396695</v>
      </c>
      <c r="BP106" s="177"/>
      <c r="BQ106" s="178">
        <f t="shared" ref="BQ106:BS106" si="917">(BQ101-BQ102)/BQ66</f>
        <v>0.10330578512396695</v>
      </c>
      <c r="BR106" s="177"/>
      <c r="BS106" s="178">
        <f t="shared" si="917"/>
        <v>0.10330578512396695</v>
      </c>
      <c r="BT106" s="177"/>
      <c r="BU106" s="178">
        <f t="shared" ref="BU106:BW106" si="918">(BU101-BU102)/BU66</f>
        <v>0.10330578512396695</v>
      </c>
      <c r="BV106" s="177"/>
      <c r="BW106" s="178">
        <f t="shared" si="918"/>
        <v>0.10330578512396695</v>
      </c>
      <c r="BX106" s="177"/>
      <c r="BY106" s="178">
        <f t="shared" ref="BY106:CA106" si="919">(BY101-BY102)/BY66</f>
        <v>0.10330578512396695</v>
      </c>
      <c r="BZ106" s="177"/>
      <c r="CA106" s="178">
        <f t="shared" si="919"/>
        <v>0.1</v>
      </c>
      <c r="CB106" s="177"/>
      <c r="CC106" s="178">
        <f t="shared" ref="CC106:CE106" si="920">(CC101-CC102)/CC66</f>
        <v>0.1</v>
      </c>
      <c r="CD106" s="177"/>
      <c r="CE106" s="178">
        <f t="shared" si="920"/>
        <v>0.1</v>
      </c>
      <c r="CF106" s="177"/>
      <c r="CG106" s="178">
        <f t="shared" ref="CG106:CI106" si="921">(CG101-CG102)/CG66</f>
        <v>0.1</v>
      </c>
      <c r="CH106" s="177"/>
      <c r="CI106" s="178">
        <f t="shared" si="921"/>
        <v>0.1</v>
      </c>
      <c r="CJ106" s="177"/>
      <c r="CK106" s="178">
        <f t="shared" ref="CK106:CM106" si="922">(CK101-CK102)/CK66</f>
        <v>0.1</v>
      </c>
      <c r="CL106" s="177"/>
      <c r="CM106" s="178">
        <f t="shared" si="922"/>
        <v>0.1</v>
      </c>
      <c r="CN106" s="177"/>
      <c r="CO106" s="178">
        <f t="shared" ref="CO106" si="923">(CO101-CO102)/CO66</f>
        <v>0.1</v>
      </c>
      <c r="CP106" s="177"/>
      <c r="CQ106" s="178">
        <f t="shared" ref="CQ106" si="924">(CQ101-CQ102)/CQ66</f>
        <v>0.1</v>
      </c>
      <c r="CR106" s="177"/>
      <c r="CS106" s="178">
        <f t="shared" ref="CS106:CU106" si="925">(CS101-CS102)/CS66</f>
        <v>0.1</v>
      </c>
      <c r="CT106" s="177"/>
      <c r="CU106" s="178">
        <f t="shared" si="925"/>
        <v>0.1</v>
      </c>
      <c r="CV106" s="177"/>
      <c r="CW106" s="178">
        <f>(CW101-CW102)/CW66</f>
        <v>0.10330578512396695</v>
      </c>
      <c r="CX106" s="177"/>
      <c r="CY106" s="178">
        <f>(CY101-CY102)/CY66</f>
        <v>0.10330578512396695</v>
      </c>
      <c r="CZ106" s="177"/>
      <c r="DA106" s="178">
        <f>(DA101-DA102)/DA66</f>
        <v>0.10330578512396695</v>
      </c>
      <c r="DB106" s="177"/>
      <c r="DC106" s="178">
        <f>(DC101-DC102)/DC66</f>
        <v>0.10330578512396695</v>
      </c>
      <c r="DD106" s="177"/>
      <c r="DE106" s="178">
        <f>(DE101-DE102)/DE66</f>
        <v>0.10330578512396695</v>
      </c>
      <c r="DF106" s="177"/>
      <c r="DG106" s="178">
        <f>(DG101-DG102)/DG66</f>
        <v>0.10330578512396695</v>
      </c>
      <c r="DH106" s="177"/>
      <c r="DI106" s="178">
        <f>(DI101-DI102)/DI66</f>
        <v>0.10330578512396695</v>
      </c>
      <c r="DJ106" s="177"/>
      <c r="DK106" s="178">
        <f>(DK101-DK102)/DK66</f>
        <v>0.10330578512396695</v>
      </c>
    </row>
    <row r="107" spans="1:115" s="4" customFormat="1" ht="18" customHeight="1" outlineLevel="1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180"/>
      <c r="BY107" s="181"/>
      <c r="BZ107" s="180"/>
      <c r="CA107" s="181"/>
      <c r="CB107" s="180"/>
      <c r="CC107" s="181"/>
      <c r="CD107" s="180"/>
      <c r="CE107" s="181"/>
      <c r="CF107" s="180"/>
      <c r="CG107" s="181"/>
      <c r="CH107" s="180"/>
      <c r="CI107" s="181"/>
      <c r="CJ107" s="180"/>
      <c r="CK107" s="181"/>
      <c r="CL107" s="180"/>
      <c r="CM107" s="181"/>
      <c r="CN107" s="180"/>
      <c r="CO107" s="181"/>
      <c r="CP107" s="180"/>
      <c r="CQ107" s="181"/>
      <c r="CR107" s="180"/>
      <c r="CS107" s="181"/>
      <c r="CT107" s="180"/>
      <c r="CU107" s="181"/>
      <c r="CV107" s="180"/>
      <c r="CW107" s="181"/>
      <c r="CX107" s="180"/>
      <c r="CY107" s="181"/>
      <c r="CZ107" s="180"/>
      <c r="DA107" s="181"/>
      <c r="DB107" s="180"/>
      <c r="DC107" s="181"/>
      <c r="DD107" s="180"/>
      <c r="DE107" s="181"/>
      <c r="DF107" s="180"/>
      <c r="DG107" s="181"/>
      <c r="DH107" s="180"/>
      <c r="DI107" s="181"/>
      <c r="DJ107" s="180"/>
      <c r="DK107" s="181"/>
    </row>
    <row r="108" spans="1:115" s="4" customFormat="1" ht="18" customHeight="1" outlineLevel="1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1.8879381012981207</v>
      </c>
      <c r="H108" s="186"/>
      <c r="I108" s="187">
        <f>I60-(I101/I66)-I74</f>
        <v>1.7655932247388475</v>
      </c>
      <c r="J108" s="186"/>
      <c r="K108" s="187">
        <f>K60-(K101/K66)-K74</f>
        <v>1.7655932247388475</v>
      </c>
      <c r="L108" s="186"/>
      <c r="M108" s="187">
        <f>M60-(M101/M66)-M74</f>
        <v>1.7655932247388475</v>
      </c>
      <c r="N108" s="186"/>
      <c r="O108" s="187">
        <f>O60-(O101/O66)-O74</f>
        <v>2.1619942141809672</v>
      </c>
      <c r="P108" s="186"/>
      <c r="Q108" s="187">
        <f>Q60-(Q101/Q66)-Q74</f>
        <v>2.0655892794785249</v>
      </c>
      <c r="R108" s="186"/>
      <c r="S108" s="187">
        <f>S60-(S101/S66)-S74</f>
        <v>2.0655892794785249</v>
      </c>
      <c r="T108" s="186"/>
      <c r="U108" s="187">
        <f>U60-(U101/U66)-U74</f>
        <v>1.9512346253122681</v>
      </c>
      <c r="V108" s="186"/>
      <c r="W108" s="187">
        <f>W60-(W101/W66)-W74</f>
        <v>1.9172044533701325</v>
      </c>
      <c r="X108" s="186"/>
      <c r="Y108" s="187">
        <f>Y60-(Y101/Y66)-Y74</f>
        <v>1.6986915362149109</v>
      </c>
      <c r="Z108" s="186"/>
      <c r="AA108" s="187">
        <f>AA60-(AA101/AA66)-AA74</f>
        <v>1.6060107488109656</v>
      </c>
      <c r="AB108" s="186"/>
      <c r="AC108" s="187">
        <f>AC60-(AC101/AC66)-AC74</f>
        <v>1.728852076501556</v>
      </c>
      <c r="AD108" s="186"/>
      <c r="AE108" s="187">
        <f>AE60-(AE101/AE66)-AE74</f>
        <v>1.7858654853097509</v>
      </c>
      <c r="AF108" s="186"/>
      <c r="AG108" s="187">
        <f>AG60-(AG101/AG66)-AG74</f>
        <v>1.7712811929592398</v>
      </c>
      <c r="AH108" s="186"/>
      <c r="AI108" s="187">
        <f>AI60-(AI101/AI66)-AI74</f>
        <v>2.0448026206757381</v>
      </c>
      <c r="AJ108" s="186"/>
      <c r="AK108" s="187">
        <f>AK60-(AK101/AK66)-AK74</f>
        <v>2.151374422270139</v>
      </c>
      <c r="AL108" s="186"/>
      <c r="AM108" s="187">
        <f>AM60-(AM101/AM66)-AM74</f>
        <v>2.2158886887627935</v>
      </c>
      <c r="AN108" s="186"/>
      <c r="AO108" s="187">
        <f>AO60-(AO101/AO66)-AO74</f>
        <v>2.3012011846131779</v>
      </c>
      <c r="AP108" s="186"/>
      <c r="AQ108" s="187">
        <f>AQ60-(AQ101/AQ66)-AQ74</f>
        <v>2.2047885505218123</v>
      </c>
      <c r="AR108" s="186"/>
      <c r="AS108" s="187">
        <f>AS60-(AS101/AS66)-AS74</f>
        <v>2.166063884176058</v>
      </c>
      <c r="AT108" s="186"/>
      <c r="AU108" s="187">
        <f>AU60-(AU101/AU66)-AU74</f>
        <v>2.2997818579831448</v>
      </c>
      <c r="AV108" s="186"/>
      <c r="AW108" s="187">
        <f>AW60-(AW101/AW66)-AW74</f>
        <v>2.0731472865277594</v>
      </c>
      <c r="AX108" s="186"/>
      <c r="AY108" s="187">
        <f>AY60-(AY101/AY66)-AY74</f>
        <v>2.0514358515091722</v>
      </c>
      <c r="AZ108" s="186"/>
      <c r="BA108" s="187">
        <f>BA60-(BA101/BA66)-BA74</f>
        <v>2.1811468743443823</v>
      </c>
      <c r="BB108" s="186"/>
      <c r="BC108" s="187">
        <f>BC60-(BC101/BC66)-BC74</f>
        <v>2.2546973903163199</v>
      </c>
      <c r="BD108" s="186"/>
      <c r="BE108" s="187">
        <f>BE60-(BE101/BE66)-BE74</f>
        <v>2.3687980015899557</v>
      </c>
      <c r="BF108" s="186"/>
      <c r="BG108" s="187">
        <f t="shared" ref="BG108" si="926">BG60-(BG101/BG66)-BG74</f>
        <v>2.2938221158662877</v>
      </c>
      <c r="BH108" s="186"/>
      <c r="BI108" s="187">
        <f t="shared" ref="BI108:BK108" si="927">BI60-(BI101/BI66)-BI74</f>
        <v>2.3129132231404967</v>
      </c>
      <c r="BJ108" s="186"/>
      <c r="BK108" s="187">
        <f t="shared" si="927"/>
        <v>2.3529958677685952</v>
      </c>
      <c r="BL108" s="186"/>
      <c r="BM108" s="187">
        <f t="shared" ref="BM108" si="928">BM60-(BM101/BM66)-BM74</f>
        <v>2.3278295928153652</v>
      </c>
      <c r="BN108" s="186"/>
      <c r="BO108" s="187">
        <f t="shared" ref="BO108" si="929">BO60-(BO101/BO66)-BO74</f>
        <v>2.2669221930156747</v>
      </c>
      <c r="BP108" s="186"/>
      <c r="BQ108" s="187">
        <f t="shared" ref="BQ108:BS108" si="930">BQ60-(BQ101/BQ66)-BQ74</f>
        <v>2.1532251525275274</v>
      </c>
      <c r="BR108" s="186"/>
      <c r="BS108" s="187">
        <f t="shared" si="930"/>
        <v>2.1973269479879551</v>
      </c>
      <c r="BT108" s="186"/>
      <c r="BU108" s="187">
        <f t="shared" ref="BU108:BW108" si="931">BU60-(BU101/BU66)-BU74</f>
        <v>2.0878853791286947</v>
      </c>
      <c r="BV108" s="186"/>
      <c r="BW108" s="187">
        <f t="shared" si="931"/>
        <v>2.1777019696532753</v>
      </c>
      <c r="BX108" s="186"/>
      <c r="BY108" s="187">
        <f t="shared" ref="BY108:CA108" si="932">BY60-(BY101/BY66)-BY74</f>
        <v>2.1255629458062937</v>
      </c>
      <c r="BZ108" s="186"/>
      <c r="CA108" s="187">
        <f t="shared" si="932"/>
        <v>2.152031480570586</v>
      </c>
      <c r="CB108" s="186"/>
      <c r="CC108" s="187">
        <f t="shared" ref="CC108:CE108" si="933">CC60-(CC101/CC66)-CC74</f>
        <v>2.1550648211937129</v>
      </c>
      <c r="CD108" s="186"/>
      <c r="CE108" s="187">
        <f t="shared" si="933"/>
        <v>2.1274185789507905</v>
      </c>
      <c r="CF108" s="186"/>
      <c r="CG108" s="187">
        <f t="shared" ref="CG108:CI108" si="934">CG60-(CG101/CG66)-CG74</f>
        <v>2.1295090439276492</v>
      </c>
      <c r="CH108" s="186"/>
      <c r="CI108" s="187">
        <f t="shared" si="934"/>
        <v>2.424341429386772</v>
      </c>
      <c r="CJ108" s="186"/>
      <c r="CK108" s="187">
        <f t="shared" ref="CK108:CM108" si="935">CK60-(CK101/CK66)-CK74</f>
        <v>2.4141447533183076</v>
      </c>
      <c r="CL108" s="186"/>
      <c r="CM108" s="187">
        <f t="shared" si="935"/>
        <v>2.1975000000000007</v>
      </c>
      <c r="CN108" s="186"/>
      <c r="CO108" s="187">
        <f t="shared" ref="CO108" si="936">CO60-(CO101/CO66)-CO74</f>
        <v>2.1975000000000007</v>
      </c>
      <c r="CP108" s="186"/>
      <c r="CQ108" s="187">
        <f t="shared" ref="CQ108" si="937">CQ60-(CQ101/CQ66)-CQ74</f>
        <v>2.1975000000000007</v>
      </c>
      <c r="CR108" s="186"/>
      <c r="CS108" s="187">
        <f t="shared" ref="CS108:CU108" si="938">CS60-(CS101/CS66)-CS74</f>
        <v>2.2546222898738528</v>
      </c>
      <c r="CT108" s="186"/>
      <c r="CU108" s="187">
        <f t="shared" si="938"/>
        <v>2.2546222898738528</v>
      </c>
      <c r="CV108" s="186"/>
      <c r="CW108" s="187">
        <f>CW60-(CW101/CW66)-CW74</f>
        <v>2.0375059430488229</v>
      </c>
      <c r="CX108" s="186"/>
      <c r="CY108" s="187">
        <f>CY60-(CY101/CY66)-CY74</f>
        <v>1.685221405653226</v>
      </c>
      <c r="CZ108" s="186"/>
      <c r="DA108" s="187">
        <f>DA60-(DA101/DA66)-DA74</f>
        <v>1.9365555819595235</v>
      </c>
      <c r="DB108" s="186"/>
      <c r="DC108" s="187">
        <f>DC60-(DC101/DC66)-DC74</f>
        <v>2.0195798898071633</v>
      </c>
      <c r="DD108" s="186"/>
      <c r="DE108" s="187">
        <f>DE60-(DE101/DE66)-DE74</f>
        <v>1.8821642191419778</v>
      </c>
      <c r="DF108" s="186"/>
      <c r="DG108" s="187">
        <f>DG60-(DG101/DG66)-DG74</f>
        <v>1.8339943042215778</v>
      </c>
      <c r="DH108" s="186"/>
      <c r="DI108" s="187">
        <f>DI60-(DI101/DI66)-DI74</f>
        <v>2.3590169716646994</v>
      </c>
      <c r="DJ108" s="186"/>
      <c r="DK108" s="187">
        <f>DK60-(DK101/DK66)-DK74</f>
        <v>2.1187808367768608</v>
      </c>
    </row>
    <row r="109" spans="1:115" s="4" customFormat="1" ht="18" customHeight="1" outlineLevel="1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0.34705535380314123</v>
      </c>
      <c r="H109" s="192"/>
      <c r="I109" s="193">
        <f>I108/I67</f>
        <v>0.332942598629966</v>
      </c>
      <c r="J109" s="192"/>
      <c r="K109" s="193">
        <f>K108/K67</f>
        <v>0.332942598629966</v>
      </c>
      <c r="L109" s="192"/>
      <c r="M109" s="193">
        <f>M108/M67</f>
        <v>0.332942598629966</v>
      </c>
      <c r="N109" s="192"/>
      <c r="O109" s="193">
        <f>O108/O67</f>
        <v>0.37838569654178106</v>
      </c>
      <c r="P109" s="192"/>
      <c r="Q109" s="193">
        <f>Q108/Q67</f>
        <v>0.35985875949103219</v>
      </c>
      <c r="R109" s="192"/>
      <c r="S109" s="193">
        <f>S108/S67</f>
        <v>0.35985875949103219</v>
      </c>
      <c r="T109" s="192"/>
      <c r="U109" s="193">
        <f>U108/U67</f>
        <v>0.33993634587321742</v>
      </c>
      <c r="V109" s="192"/>
      <c r="W109" s="193">
        <f>W108/W67</f>
        <v>0.3340077444895701</v>
      </c>
      <c r="X109" s="192"/>
      <c r="Y109" s="193">
        <f>Y108/Y67</f>
        <v>0.29593929202350361</v>
      </c>
      <c r="Z109" s="192"/>
      <c r="AA109" s="193">
        <f>AA108/AA67</f>
        <v>0.27979281338170131</v>
      </c>
      <c r="AB109" s="192"/>
      <c r="AC109" s="193">
        <f>AC108/AC67</f>
        <v>0.3011937415507937</v>
      </c>
      <c r="AD109" s="192"/>
      <c r="AE109" s="193">
        <f>AE108/AE67</f>
        <v>0.31112639116894614</v>
      </c>
      <c r="AF109" s="192"/>
      <c r="AG109" s="193">
        <f>AG108/AG67</f>
        <v>0.3085855736862787</v>
      </c>
      <c r="AH109" s="192"/>
      <c r="AI109" s="193">
        <f>AI108/AI67</f>
        <v>0.35623739036162683</v>
      </c>
      <c r="AJ109" s="192"/>
      <c r="AK109" s="193">
        <f>AK108/AK67</f>
        <v>0.37480390631883953</v>
      </c>
      <c r="AL109" s="192"/>
      <c r="AM109" s="193">
        <f>AM108/AM67</f>
        <v>0.38604332556843091</v>
      </c>
      <c r="AN109" s="192"/>
      <c r="AO109" s="193">
        <f>AO108/AO67</f>
        <v>0.40090612972355016</v>
      </c>
      <c r="AP109" s="192"/>
      <c r="AQ109" s="193">
        <f>AQ108/AQ67</f>
        <v>0.38410950357522861</v>
      </c>
      <c r="AR109" s="192"/>
      <c r="AS109" s="193">
        <f>AS108/AS67</f>
        <v>0.37736304602370346</v>
      </c>
      <c r="AT109" s="192"/>
      <c r="AU109" s="193">
        <f>AU108/AU67</f>
        <v>0.40065886027580921</v>
      </c>
      <c r="AV109" s="192"/>
      <c r="AW109" s="193">
        <f>AW108/AW67</f>
        <v>0.36117548545779776</v>
      </c>
      <c r="AX109" s="192"/>
      <c r="AY109" s="193">
        <f>AY108/AY67</f>
        <v>0.35739300548940278</v>
      </c>
      <c r="AZ109" s="192"/>
      <c r="BA109" s="193">
        <f>BA108/BA67</f>
        <v>0.37999074465930005</v>
      </c>
      <c r="BB109" s="192"/>
      <c r="BC109" s="193">
        <f>BC108/BC67</f>
        <v>0.39280442340005572</v>
      </c>
      <c r="BD109" s="192"/>
      <c r="BE109" s="193">
        <f>BE108/BE67</f>
        <v>0.41268257867420827</v>
      </c>
      <c r="BF109" s="192"/>
      <c r="BG109" s="193">
        <f t="shared" ref="BG109" si="939">BG108/BG67</f>
        <v>0.39962057767705361</v>
      </c>
      <c r="BH109" s="192"/>
      <c r="BI109" s="193">
        <f t="shared" ref="BI109" si="940">BI108/BI67</f>
        <v>0.40294655455409351</v>
      </c>
      <c r="BJ109" s="192"/>
      <c r="BK109" s="193">
        <f t="shared" ref="BK109" si="941">BK108/BK67</f>
        <v>0.40222151585787946</v>
      </c>
      <c r="BL109" s="192"/>
      <c r="BM109" s="193">
        <f t="shared" ref="BM109" si="942">BM108/BM67</f>
        <v>0.39791958851544701</v>
      </c>
      <c r="BN109" s="192"/>
      <c r="BO109" s="193">
        <f t="shared" ref="BO109" si="943">BO108/BO67</f>
        <v>0.38750806718216657</v>
      </c>
      <c r="BP109" s="192"/>
      <c r="BQ109" s="193">
        <f t="shared" ref="BQ109:BS109" si="944">BQ108/BQ67</f>
        <v>0.36807267564573115</v>
      </c>
      <c r="BR109" s="192"/>
      <c r="BS109" s="193">
        <f t="shared" si="944"/>
        <v>0.37561144410050512</v>
      </c>
      <c r="BT109" s="192"/>
      <c r="BU109" s="193">
        <f t="shared" ref="BU109:BW109" si="945">BU108/BU67</f>
        <v>0.35690348361174262</v>
      </c>
      <c r="BV109" s="192"/>
      <c r="BW109" s="193">
        <f t="shared" si="945"/>
        <v>0.37225674694927779</v>
      </c>
      <c r="BX109" s="192"/>
      <c r="BY109" s="193">
        <f t="shared" ref="BY109:CA109" si="946">BY108/BY67</f>
        <v>0.3633440933002211</v>
      </c>
      <c r="BZ109" s="192"/>
      <c r="CA109" s="193">
        <f t="shared" si="946"/>
        <v>0.36786862915736512</v>
      </c>
      <c r="CB109" s="192"/>
      <c r="CC109" s="193">
        <f t="shared" ref="CC109:CE109" si="947">CC108/CC67</f>
        <v>0.36838714892200219</v>
      </c>
      <c r="CD109" s="192"/>
      <c r="CE109" s="193">
        <f t="shared" si="947"/>
        <v>0.36366129554714366</v>
      </c>
      <c r="CF109" s="192"/>
      <c r="CG109" s="193">
        <f t="shared" ref="CG109:CI109" si="948">CG108/CG67</f>
        <v>0.36401863998763229</v>
      </c>
      <c r="CH109" s="192"/>
      <c r="CI109" s="193">
        <f t="shared" si="948"/>
        <v>0.41441733835671313</v>
      </c>
      <c r="CJ109" s="192"/>
      <c r="CK109" s="193">
        <f t="shared" ref="CK109:CM109" si="949">CK108/CK67</f>
        <v>0.41267431680654826</v>
      </c>
      <c r="CL109" s="192"/>
      <c r="CM109" s="193">
        <f t="shared" si="949"/>
        <v>0.37564102564102575</v>
      </c>
      <c r="CN109" s="192"/>
      <c r="CO109" s="193">
        <f t="shared" ref="CO109" si="950">CO108/CO67</f>
        <v>0.37564102564102575</v>
      </c>
      <c r="CP109" s="192"/>
      <c r="CQ109" s="193">
        <f t="shared" ref="CQ109" si="951">CQ108/CQ67</f>
        <v>0.37564102564102575</v>
      </c>
      <c r="CR109" s="192"/>
      <c r="CS109" s="193">
        <f t="shared" ref="CS109:CU109" si="952">CS108/CS67</f>
        <v>0.385405519636556</v>
      </c>
      <c r="CT109" s="192"/>
      <c r="CU109" s="193">
        <f t="shared" si="952"/>
        <v>0.385405519636556</v>
      </c>
      <c r="CV109" s="192"/>
      <c r="CW109" s="193">
        <f>CW108/CW67</f>
        <v>0.35571669554970986</v>
      </c>
      <c r="CX109" s="192"/>
      <c r="CY109" s="193">
        <f>CY108/CY67</f>
        <v>0.2935925793820951</v>
      </c>
      <c r="CZ109" s="192"/>
      <c r="DA109" s="193">
        <f>DA108/DA67</f>
        <v>0.33737902124730373</v>
      </c>
      <c r="DB109" s="192"/>
      <c r="DC109" s="193">
        <f>DC108/DC67</f>
        <v>0.35184318637755457</v>
      </c>
      <c r="DD109" s="192"/>
      <c r="DE109" s="193">
        <f>DE108/DE67</f>
        <v>0.32829308900936804</v>
      </c>
      <c r="DF109" s="192"/>
      <c r="DG109" s="193">
        <f>DG108/DG67</f>
        <v>0.31951120282605883</v>
      </c>
      <c r="DH109" s="192"/>
      <c r="DI109" s="193">
        <f>DI108/DI67</f>
        <v>0.37744271546635189</v>
      </c>
      <c r="DJ109" s="192"/>
      <c r="DK109" s="193">
        <f>DK108/DK67</f>
        <v>0.36912558132001055</v>
      </c>
    </row>
    <row r="110" spans="1:115" s="162" customFormat="1" ht="18" customHeight="1" outlineLevel="1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/>
      <c r="BT110" s="164"/>
      <c r="BU110" s="198"/>
      <c r="BV110" s="164"/>
      <c r="BW110" s="198"/>
      <c r="BX110" s="164"/>
      <c r="BY110" s="198"/>
      <c r="BZ110" s="164"/>
      <c r="CA110" s="198"/>
      <c r="CB110" s="164"/>
      <c r="CC110" s="198"/>
      <c r="CD110" s="164"/>
      <c r="CE110" s="198"/>
      <c r="CF110" s="164"/>
      <c r="CG110" s="198"/>
      <c r="CH110" s="164"/>
      <c r="CI110" s="198"/>
      <c r="CJ110" s="164"/>
      <c r="CK110" s="198"/>
      <c r="CL110" s="164"/>
      <c r="CM110" s="198"/>
      <c r="CN110" s="164"/>
      <c r="CO110" s="198"/>
      <c r="CP110" s="164"/>
      <c r="CQ110" s="198"/>
      <c r="CR110" s="164"/>
      <c r="CS110" s="198"/>
      <c r="CT110" s="164"/>
      <c r="CU110" s="198"/>
      <c r="CV110" s="164"/>
      <c r="CW110" s="198"/>
      <c r="CX110" s="164"/>
      <c r="CY110" s="198"/>
      <c r="CZ110" s="164"/>
      <c r="DA110" s="198"/>
      <c r="DB110" s="164"/>
      <c r="DC110" s="198"/>
      <c r="DD110" s="164"/>
      <c r="DE110" s="198"/>
      <c r="DF110" s="164"/>
      <c r="DG110" s="198"/>
      <c r="DH110" s="164"/>
      <c r="DI110" s="198"/>
      <c r="DJ110" s="164"/>
      <c r="DK110" s="198"/>
    </row>
    <row r="111" spans="1:115" s="4" customFormat="1" ht="18" customHeight="1" outlineLevel="1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1.9912438864220872</v>
      </c>
      <c r="H111" s="186"/>
      <c r="I111" s="187">
        <f>I60-(I102/I66)-I74</f>
        <v>1.868899009862814</v>
      </c>
      <c r="J111" s="186"/>
      <c r="K111" s="187">
        <f>K60-(K102/K66)-K74</f>
        <v>1.868899009862814</v>
      </c>
      <c r="L111" s="186"/>
      <c r="M111" s="187">
        <f>M60-(M102/M66)-M74</f>
        <v>1.868899009862814</v>
      </c>
      <c r="N111" s="186"/>
      <c r="O111" s="187">
        <f>O60-(O102/O66)-O74</f>
        <v>2.2652999993049336</v>
      </c>
      <c r="P111" s="186"/>
      <c r="Q111" s="187">
        <f>Q60-(Q102/Q66)-Q74</f>
        <v>2.1688950646024914</v>
      </c>
      <c r="R111" s="186"/>
      <c r="S111" s="187">
        <f>S60-(S102/S66)-S74</f>
        <v>2.1688950646024914</v>
      </c>
      <c r="T111" s="186"/>
      <c r="U111" s="187">
        <f>U60-(U102/U66)-U74</f>
        <v>2.0545404104362346</v>
      </c>
      <c r="V111" s="186"/>
      <c r="W111" s="187">
        <f>W60-(W102/W66)-W74</f>
        <v>2.0205102384940989</v>
      </c>
      <c r="X111" s="186"/>
      <c r="Y111" s="187">
        <f>Y60-(Y102/Y66)-Y74</f>
        <v>1.8019973213388774</v>
      </c>
      <c r="Z111" s="186"/>
      <c r="AA111" s="187">
        <f>AA60-(AA102/AA66)-AA74</f>
        <v>1.7093165339349321</v>
      </c>
      <c r="AB111" s="186"/>
      <c r="AC111" s="187">
        <f>AC60-(AC102/AC66)-AC74</f>
        <v>1.8321578616255225</v>
      </c>
      <c r="AD111" s="186"/>
      <c r="AE111" s="187">
        <f>AE60-(AE102/AE66)-AE74</f>
        <v>1.8891712704337174</v>
      </c>
      <c r="AF111" s="186"/>
      <c r="AG111" s="187">
        <f>AG60-(AG102/AG66)-AG74</f>
        <v>1.8745869780832063</v>
      </c>
      <c r="AH111" s="186"/>
      <c r="AI111" s="187">
        <f>AI60-(AI102/AI66)-AI74</f>
        <v>2.1481084057997046</v>
      </c>
      <c r="AJ111" s="186"/>
      <c r="AK111" s="187">
        <f>AK60-(AK102/AK66)-AK74</f>
        <v>2.2546802073941055</v>
      </c>
      <c r="AL111" s="186"/>
      <c r="AM111" s="187">
        <f>AM60-(AM102/AM66)-AM74</f>
        <v>2.31919447388676</v>
      </c>
      <c r="AN111" s="186"/>
      <c r="AO111" s="187">
        <f>AO60-(AO102/AO66)-AO74</f>
        <v>2.4045069697371444</v>
      </c>
      <c r="AP111" s="186"/>
      <c r="AQ111" s="187">
        <f>AQ60-(AQ102/AQ66)-AQ74</f>
        <v>2.3080943356457788</v>
      </c>
      <c r="AR111" s="186"/>
      <c r="AS111" s="187">
        <f>AS60-(AS102/AS66)-AS74</f>
        <v>2.2693696693000245</v>
      </c>
      <c r="AT111" s="186"/>
      <c r="AU111" s="187">
        <f>AU60-(AU102/AU66)-AU74</f>
        <v>2.4030876431071113</v>
      </c>
      <c r="AV111" s="186"/>
      <c r="AW111" s="187">
        <f>AW60-(AW102/AW66)-AW74</f>
        <v>2.1764530716517259</v>
      </c>
      <c r="AX111" s="186"/>
      <c r="AY111" s="187">
        <f>AY60-(AY102/AY66)-AY74</f>
        <v>2.1547416366331387</v>
      </c>
      <c r="AZ111" s="186"/>
      <c r="BA111" s="187">
        <f>BA60-(BA102/BA66)-BA74</f>
        <v>2.2844526594683487</v>
      </c>
      <c r="BB111" s="186"/>
      <c r="BC111" s="187">
        <f>BC60-(BC102/BC66)-BC74</f>
        <v>2.3580031754402864</v>
      </c>
      <c r="BD111" s="186"/>
      <c r="BE111" s="187">
        <f>BE60-(BE102/BE66)-BE74</f>
        <v>2.4721037867139222</v>
      </c>
      <c r="BF111" s="186"/>
      <c r="BG111" s="187">
        <f t="shared" ref="BG111" si="953">BG60-(BG102/BG66)-BG74</f>
        <v>2.3971279009902542</v>
      </c>
      <c r="BH111" s="186"/>
      <c r="BI111" s="187">
        <f t="shared" ref="BI111:BK111" si="954">BI60-(BI102/BI66)-BI74</f>
        <v>2.4162190082644632</v>
      </c>
      <c r="BJ111" s="186"/>
      <c r="BK111" s="187">
        <f t="shared" si="954"/>
        <v>2.4563016528925616</v>
      </c>
      <c r="BL111" s="186"/>
      <c r="BM111" s="187">
        <f t="shared" ref="BM111" si="955">BM60-(BM102/BM66)-BM74</f>
        <v>2.4311353779393317</v>
      </c>
      <c r="BN111" s="186"/>
      <c r="BO111" s="187">
        <f t="shared" ref="BO111" si="956">BO60-(BO102/BO66)-BO74</f>
        <v>2.3702279781396411</v>
      </c>
      <c r="BP111" s="186"/>
      <c r="BQ111" s="187">
        <f t="shared" ref="BQ111:BS111" si="957">BQ60-(BQ102/BQ66)-BQ74</f>
        <v>2.2565309376514939</v>
      </c>
      <c r="BR111" s="186"/>
      <c r="BS111" s="187">
        <f t="shared" si="957"/>
        <v>2.3006327331119216</v>
      </c>
      <c r="BT111" s="186"/>
      <c r="BU111" s="187">
        <f t="shared" ref="BU111:BW111" si="958">BU60-(BU102/BU66)-BU74</f>
        <v>2.1911911642526611</v>
      </c>
      <c r="BV111" s="186"/>
      <c r="BW111" s="187">
        <f t="shared" si="958"/>
        <v>2.2810077547772418</v>
      </c>
      <c r="BX111" s="186"/>
      <c r="BY111" s="187">
        <f t="shared" ref="BY111:CA111" si="959">BY60-(BY102/BY66)-BY74</f>
        <v>2.2288687309302602</v>
      </c>
      <c r="BZ111" s="186"/>
      <c r="CA111" s="187">
        <f t="shared" si="959"/>
        <v>2.2520314805705857</v>
      </c>
      <c r="CB111" s="186"/>
      <c r="CC111" s="187">
        <f t="shared" ref="CC111:CE111" si="960">CC60-(CC102/CC66)-CC74</f>
        <v>2.2550648211937125</v>
      </c>
      <c r="CD111" s="186"/>
      <c r="CE111" s="187">
        <f t="shared" si="960"/>
        <v>2.2274185789507901</v>
      </c>
      <c r="CF111" s="186"/>
      <c r="CG111" s="187">
        <f t="shared" ref="CG111:CI111" si="961">CG60-(CG102/CG66)-CG74</f>
        <v>2.2295090439276488</v>
      </c>
      <c r="CH111" s="186"/>
      <c r="CI111" s="187">
        <f t="shared" si="961"/>
        <v>2.5243414293867716</v>
      </c>
      <c r="CJ111" s="186"/>
      <c r="CK111" s="187">
        <f t="shared" ref="CK111:CM111" si="962">CK60-(CK102/CK66)-CK74</f>
        <v>2.5141447533183072</v>
      </c>
      <c r="CL111" s="186"/>
      <c r="CM111" s="187">
        <f t="shared" si="962"/>
        <v>2.2975000000000003</v>
      </c>
      <c r="CN111" s="186"/>
      <c r="CO111" s="187">
        <f t="shared" ref="CO111" si="963">CO60-(CO102/CO66)-CO74</f>
        <v>2.2975000000000003</v>
      </c>
      <c r="CP111" s="186"/>
      <c r="CQ111" s="187">
        <f t="shared" ref="CQ111" si="964">CQ60-(CQ102/CQ66)-CQ74</f>
        <v>2.2975000000000003</v>
      </c>
      <c r="CR111" s="186"/>
      <c r="CS111" s="187">
        <f t="shared" ref="CS111:CU111" si="965">CS60-(CS102/CS66)-CS74</f>
        <v>2.3546222898738525</v>
      </c>
      <c r="CT111" s="186"/>
      <c r="CU111" s="187">
        <f t="shared" si="965"/>
        <v>2.3546222898738525</v>
      </c>
      <c r="CV111" s="186"/>
      <c r="CW111" s="187">
        <f>CW60-(CW102/CW66)-CW74</f>
        <v>2.1408117281727894</v>
      </c>
      <c r="CX111" s="186"/>
      <c r="CY111" s="187">
        <f>CY60-(CY102/CY66)-CY74</f>
        <v>1.7885271907771925</v>
      </c>
      <c r="CZ111" s="186"/>
      <c r="DA111" s="187">
        <f>DA60-(DA102/DA66)-DA74</f>
        <v>2.03986136708349</v>
      </c>
      <c r="DB111" s="186"/>
      <c r="DC111" s="187">
        <f>DC60-(DC102/DC66)-DC74</f>
        <v>2.1228856749311298</v>
      </c>
      <c r="DD111" s="186"/>
      <c r="DE111" s="187">
        <f>DE60-(DE102/DE66)-DE74</f>
        <v>1.9854700042659443</v>
      </c>
      <c r="DF111" s="186"/>
      <c r="DG111" s="187">
        <f>DG60-(DG102/DG66)-DG74</f>
        <v>1.9373000893455443</v>
      </c>
      <c r="DH111" s="186"/>
      <c r="DI111" s="187">
        <f>DI60-(DI102/DI66)-DI74</f>
        <v>2.4623227567886659</v>
      </c>
      <c r="DJ111" s="186"/>
      <c r="DK111" s="187">
        <f>DK60-(DK102/DK66)-DK74</f>
        <v>2.2220866219008273</v>
      </c>
    </row>
    <row r="112" spans="1:115" s="4" customFormat="1" ht="18" customHeight="1" outlineLevel="1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0.36604582058881474</v>
      </c>
      <c r="H112" s="192"/>
      <c r="I112" s="193">
        <f>I111/I67</f>
        <v>0.35242324460818653</v>
      </c>
      <c r="J112" s="192"/>
      <c r="K112" s="193">
        <f>K111/K67</f>
        <v>0.35242324460818653</v>
      </c>
      <c r="L112" s="192"/>
      <c r="M112" s="193">
        <f>M111/M67</f>
        <v>0.35242324460818653</v>
      </c>
      <c r="N112" s="192"/>
      <c r="O112" s="193">
        <f>O111/O67</f>
        <v>0.39646596299417575</v>
      </c>
      <c r="P112" s="192"/>
      <c r="Q112" s="193">
        <f>Q111/Q67</f>
        <v>0.37785628303179292</v>
      </c>
      <c r="R112" s="192"/>
      <c r="S112" s="193">
        <f>S111/S67</f>
        <v>0.37785628303179292</v>
      </c>
      <c r="T112" s="192"/>
      <c r="U112" s="193">
        <f>U111/U67</f>
        <v>0.35793386941397815</v>
      </c>
      <c r="V112" s="192"/>
      <c r="W112" s="193">
        <f>W111/W67</f>
        <v>0.35200526803033083</v>
      </c>
      <c r="X112" s="192"/>
      <c r="Y112" s="193">
        <f>Y111/Y67</f>
        <v>0.31393681556426434</v>
      </c>
      <c r="Z112" s="192"/>
      <c r="AA112" s="193">
        <f>AA111/AA67</f>
        <v>0.29779033692246204</v>
      </c>
      <c r="AB112" s="192"/>
      <c r="AC112" s="193">
        <f>AC111/AC67</f>
        <v>0.31919126509155443</v>
      </c>
      <c r="AD112" s="192"/>
      <c r="AE112" s="193">
        <f>AE111/AE67</f>
        <v>0.32912391470970687</v>
      </c>
      <c r="AF112" s="192"/>
      <c r="AG112" s="193">
        <f>AG111/AG67</f>
        <v>0.32658309722703943</v>
      </c>
      <c r="AH112" s="192"/>
      <c r="AI112" s="193">
        <f>AI111/AI67</f>
        <v>0.37423491390238756</v>
      </c>
      <c r="AJ112" s="192"/>
      <c r="AK112" s="193">
        <f>AK111/AK67</f>
        <v>0.39280142985960026</v>
      </c>
      <c r="AL112" s="192"/>
      <c r="AM112" s="193">
        <f>AM111/AM67</f>
        <v>0.40404084910919164</v>
      </c>
      <c r="AN112" s="192"/>
      <c r="AO112" s="193">
        <f>AO111/AO67</f>
        <v>0.41890365326431084</v>
      </c>
      <c r="AP112" s="192"/>
      <c r="AQ112" s="193">
        <f>AQ111/AQ67</f>
        <v>0.40210702711598934</v>
      </c>
      <c r="AR112" s="192"/>
      <c r="AS112" s="193">
        <f>AS111/AS67</f>
        <v>0.39536056956446419</v>
      </c>
      <c r="AT112" s="192"/>
      <c r="AU112" s="193">
        <f>AU111/AU67</f>
        <v>0.41865638381656989</v>
      </c>
      <c r="AV112" s="192"/>
      <c r="AW112" s="193">
        <f>AW111/AW67</f>
        <v>0.37917300899855849</v>
      </c>
      <c r="AX112" s="192"/>
      <c r="AY112" s="193">
        <f>AY111/AY67</f>
        <v>0.37539052903016351</v>
      </c>
      <c r="AZ112" s="192"/>
      <c r="BA112" s="193">
        <f>BA111/BA67</f>
        <v>0.39798826820006072</v>
      </c>
      <c r="BB112" s="192"/>
      <c r="BC112" s="193">
        <f>BC111/BC67</f>
        <v>0.4108019469408164</v>
      </c>
      <c r="BD112" s="192"/>
      <c r="BE112" s="193">
        <f>BE111/BE67</f>
        <v>0.430680102214969</v>
      </c>
      <c r="BF112" s="192"/>
      <c r="BG112" s="193">
        <f t="shared" ref="BG112" si="966">BG111/BG67</f>
        <v>0.41761810121781429</v>
      </c>
      <c r="BH112" s="192"/>
      <c r="BI112" s="193">
        <f t="shared" ref="BI112" si="967">BI111/BI67</f>
        <v>0.42094407809485418</v>
      </c>
      <c r="BJ112" s="192"/>
      <c r="BK112" s="193">
        <f t="shared" ref="BK112" si="968">BK111/BK67</f>
        <v>0.41988062442607887</v>
      </c>
      <c r="BL112" s="192"/>
      <c r="BM112" s="193">
        <f t="shared" ref="BM112" si="969">BM111/BM67</f>
        <v>0.41557869708364642</v>
      </c>
      <c r="BN112" s="192"/>
      <c r="BO112" s="193">
        <f t="shared" ref="BO112" si="970">BO111/BO67</f>
        <v>0.40516717575036598</v>
      </c>
      <c r="BP112" s="192"/>
      <c r="BQ112" s="193">
        <f t="shared" ref="BQ112:BS112" si="971">BQ111/BQ67</f>
        <v>0.38573178421393056</v>
      </c>
      <c r="BR112" s="192"/>
      <c r="BS112" s="193">
        <f t="shared" si="971"/>
        <v>0.39327055266870453</v>
      </c>
      <c r="BT112" s="192"/>
      <c r="BU112" s="193">
        <f t="shared" ref="BU112:BW112" si="972">BU111/BU67</f>
        <v>0.37456259217994203</v>
      </c>
      <c r="BV112" s="192"/>
      <c r="BW112" s="193">
        <f t="shared" si="972"/>
        <v>0.38991585551747721</v>
      </c>
      <c r="BX112" s="192"/>
      <c r="BY112" s="193">
        <f t="shared" ref="BY112:CA112" si="973">BY111/BY67</f>
        <v>0.38100320186842052</v>
      </c>
      <c r="BZ112" s="192"/>
      <c r="CA112" s="193">
        <f t="shared" si="973"/>
        <v>0.38496264625138216</v>
      </c>
      <c r="CB112" s="192"/>
      <c r="CC112" s="193">
        <f t="shared" ref="CC112:CE112" si="974">CC111/CC67</f>
        <v>0.38548116601601923</v>
      </c>
      <c r="CD112" s="192"/>
      <c r="CE112" s="193">
        <f t="shared" si="974"/>
        <v>0.38075531264116069</v>
      </c>
      <c r="CF112" s="192"/>
      <c r="CG112" s="193">
        <f t="shared" ref="CG112:CI112" si="975">CG111/CG67</f>
        <v>0.38111265708164932</v>
      </c>
      <c r="CH112" s="192"/>
      <c r="CI112" s="193">
        <f t="shared" si="975"/>
        <v>0.43151135545073016</v>
      </c>
      <c r="CJ112" s="192"/>
      <c r="CK112" s="193">
        <f t="shared" ref="CK112:CM112" si="976">CK111/CK67</f>
        <v>0.42976833390056529</v>
      </c>
      <c r="CL112" s="192"/>
      <c r="CM112" s="193">
        <f t="shared" si="976"/>
        <v>0.39273504273504273</v>
      </c>
      <c r="CN112" s="192"/>
      <c r="CO112" s="193">
        <f t="shared" ref="CO112" si="977">CO111/CO67</f>
        <v>0.39273504273504273</v>
      </c>
      <c r="CP112" s="192"/>
      <c r="CQ112" s="193">
        <f t="shared" ref="CQ112" si="978">CQ111/CQ67</f>
        <v>0.39273504273504273</v>
      </c>
      <c r="CR112" s="192"/>
      <c r="CS112" s="193">
        <f t="shared" ref="CS112:CU112" si="979">CS111/CS67</f>
        <v>0.40249953673057304</v>
      </c>
      <c r="CT112" s="192"/>
      <c r="CU112" s="193">
        <f t="shared" si="979"/>
        <v>0.40249953673057304</v>
      </c>
      <c r="CV112" s="192"/>
      <c r="CW112" s="193">
        <f>CW111/CW67</f>
        <v>0.37375227117138315</v>
      </c>
      <c r="CX112" s="192"/>
      <c r="CY112" s="193">
        <f>CY111/CY67</f>
        <v>0.31159010292285583</v>
      </c>
      <c r="CZ112" s="192"/>
      <c r="DA112" s="193">
        <f>DA111/DA67</f>
        <v>0.35537654478806446</v>
      </c>
      <c r="DB112" s="192"/>
      <c r="DC112" s="193">
        <f>DC111/DC67</f>
        <v>0.3698407099183153</v>
      </c>
      <c r="DD112" s="192"/>
      <c r="DE112" s="193">
        <f>DE111/DE67</f>
        <v>0.34631201369509262</v>
      </c>
      <c r="DF112" s="192"/>
      <c r="DG112" s="193">
        <f>DG111/DG67</f>
        <v>0.33750872636681956</v>
      </c>
      <c r="DH112" s="192"/>
      <c r="DI112" s="193">
        <f>DI111/DI67</f>
        <v>0.39397164108618654</v>
      </c>
      <c r="DJ112" s="192"/>
      <c r="DK112" s="193">
        <f>DK111/DK67</f>
        <v>0.38712310486077128</v>
      </c>
    </row>
    <row r="113" spans="1:115" s="4" customFormat="1" ht="18" customHeight="1" outlineLevel="1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173"/>
      <c r="BY113" s="165"/>
      <c r="BZ113" s="173"/>
      <c r="CA113" s="165"/>
      <c r="CB113" s="173"/>
      <c r="CC113" s="165"/>
      <c r="CD113" s="173"/>
      <c r="CE113" s="165"/>
      <c r="CF113" s="173"/>
      <c r="CG113" s="165"/>
      <c r="CH113" s="173"/>
      <c r="CI113" s="165"/>
      <c r="CJ113" s="173"/>
      <c r="CK113" s="165"/>
      <c r="CL113" s="173"/>
      <c r="CM113" s="165"/>
      <c r="CN113" s="173"/>
      <c r="CO113" s="165"/>
      <c r="CP113" s="173"/>
      <c r="CQ113" s="165"/>
      <c r="CR113" s="173"/>
      <c r="CS113" s="165"/>
      <c r="CT113" s="173"/>
      <c r="CU113" s="165"/>
      <c r="CV113" s="173"/>
      <c r="CW113" s="165"/>
      <c r="CX113" s="173"/>
      <c r="CY113" s="165"/>
      <c r="CZ113" s="173"/>
      <c r="DA113" s="165"/>
      <c r="DB113" s="173"/>
      <c r="DC113" s="165"/>
      <c r="DD113" s="173"/>
      <c r="DE113" s="165"/>
      <c r="DF113" s="173"/>
      <c r="DG113" s="165"/>
      <c r="DH113" s="173"/>
      <c r="DI113" s="165"/>
      <c r="DJ113" s="173"/>
      <c r="DK113" s="165"/>
    </row>
    <row r="114" spans="1:115" s="65" customFormat="1" ht="18" customHeight="1" outlineLevel="2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456.84693232131553</v>
      </c>
      <c r="H114" s="202" t="s">
        <v>111</v>
      </c>
      <c r="I114" s="203">
        <f>I116/I79</f>
        <v>456.84693232131553</v>
      </c>
      <c r="J114" s="202" t="s">
        <v>111</v>
      </c>
      <c r="K114" s="203">
        <f>K116/K79</f>
        <v>456.84693232131553</v>
      </c>
      <c r="L114" s="202" t="s">
        <v>111</v>
      </c>
      <c r="M114" s="203">
        <f>M116/M79</f>
        <v>456.84693232131553</v>
      </c>
      <c r="N114" s="202" t="s">
        <v>111</v>
      </c>
      <c r="O114" s="203">
        <f>O116/O79</f>
        <v>454.87996370995876</v>
      </c>
      <c r="P114" s="202" t="s">
        <v>111</v>
      </c>
      <c r="Q114" s="203">
        <f>Q116/Q79</f>
        <v>457.42253521126759</v>
      </c>
      <c r="R114" s="202" t="s">
        <v>111</v>
      </c>
      <c r="S114" s="203">
        <f>S116/S79</f>
        <v>457.42253521126759</v>
      </c>
      <c r="T114" s="202" t="s">
        <v>111</v>
      </c>
      <c r="U114" s="203">
        <f>U116/U79</f>
        <v>454.41196962307527</v>
      </c>
      <c r="V114" s="202" t="s">
        <v>111</v>
      </c>
      <c r="W114" s="203">
        <f>W116/W79</f>
        <v>454.52882135638112</v>
      </c>
      <c r="X114" s="202" t="s">
        <v>111</v>
      </c>
      <c r="Y114" s="203">
        <f>Y116/Y79</f>
        <v>454.13969513468356</v>
      </c>
      <c r="Z114" s="202" t="s">
        <v>111</v>
      </c>
      <c r="AA114" s="203">
        <f>AA116/AA79</f>
        <v>449.36546486967222</v>
      </c>
      <c r="AB114" s="202" t="s">
        <v>111</v>
      </c>
      <c r="AC114" s="203">
        <f>AC116/AC79</f>
        <v>448.31833980781028</v>
      </c>
      <c r="AD114" s="202" t="s">
        <v>111</v>
      </c>
      <c r="AE114" s="203">
        <f>AE116/AE79</f>
        <v>442.73482876026429</v>
      </c>
      <c r="AF114" s="202" t="s">
        <v>111</v>
      </c>
      <c r="AG114" s="203">
        <f>AG116/AG79</f>
        <v>445.00605938194303</v>
      </c>
      <c r="AH114" s="202" t="s">
        <v>111</v>
      </c>
      <c r="AI114" s="203">
        <f>AI116/AI79</f>
        <v>441.70213473432193</v>
      </c>
      <c r="AJ114" s="202" t="s">
        <v>111</v>
      </c>
      <c r="AK114" s="203">
        <f>AK116/AK79</f>
        <v>435.11155791931503</v>
      </c>
      <c r="AL114" s="202" t="s">
        <v>111</v>
      </c>
      <c r="AM114" s="203">
        <f>AM116/AM79</f>
        <v>431.33748801534034</v>
      </c>
      <c r="AN114" s="202" t="s">
        <v>111</v>
      </c>
      <c r="AO114" s="203">
        <f>AO116/AO79</f>
        <v>431.69845740254749</v>
      </c>
      <c r="AP114" s="202" t="s">
        <v>111</v>
      </c>
      <c r="AQ114" s="203">
        <f>AQ116/AQ79</f>
        <v>436.58763290065872</v>
      </c>
      <c r="AR114" s="202" t="s">
        <v>111</v>
      </c>
      <c r="AS114" s="203">
        <f>AS116/AS79</f>
        <v>440.74779670001988</v>
      </c>
      <c r="AT114" s="202" t="s">
        <v>111</v>
      </c>
      <c r="AU114" s="203">
        <f>AU116/AU79</f>
        <v>437.54664484451717</v>
      </c>
      <c r="AV114" s="202" t="s">
        <v>111</v>
      </c>
      <c r="AW114" s="203">
        <f>AW116/AW79</f>
        <v>444.93336474389179</v>
      </c>
      <c r="AX114" s="202" t="s">
        <v>111</v>
      </c>
      <c r="AY114" s="203">
        <f>AY116/AY79</f>
        <v>446.32129084635682</v>
      </c>
      <c r="AZ114" s="202" t="s">
        <v>111</v>
      </c>
      <c r="BA114" s="203">
        <f>BA116/BA79</f>
        <v>443.59553948161545</v>
      </c>
      <c r="BB114" s="202" t="s">
        <v>111</v>
      </c>
      <c r="BC114" s="203">
        <f>BC116/BC79</f>
        <v>441.93290734824274</v>
      </c>
      <c r="BD114" s="202" t="s">
        <v>111</v>
      </c>
      <c r="BE114" s="203">
        <f>BE116/BE79</f>
        <v>438.21869257022837</v>
      </c>
      <c r="BF114" s="202" t="s">
        <v>111</v>
      </c>
      <c r="BG114" s="203">
        <f t="shared" ref="BG114" si="980">BG116/BG79</f>
        <v>436.51940006521022</v>
      </c>
      <c r="BH114" s="202" t="s">
        <v>111</v>
      </c>
      <c r="BI114" s="203">
        <f t="shared" ref="BI114:BK114" si="981">BI116/BI79</f>
        <v>430.22815503086611</v>
      </c>
      <c r="BJ114" s="202" t="s">
        <v>111</v>
      </c>
      <c r="BK114" s="203">
        <f t="shared" si="981"/>
        <v>430.61858627063549</v>
      </c>
      <c r="BL114" s="202" t="s">
        <v>111</v>
      </c>
      <c r="BM114" s="203">
        <f t="shared" ref="BM114" si="982">BM116/BM79</f>
        <v>433.40206185567013</v>
      </c>
      <c r="BN114" s="202" t="s">
        <v>111</v>
      </c>
      <c r="BO114" s="203">
        <f t="shared" ref="BO114" si="983">BO116/BO79</f>
        <v>432.37389295340779</v>
      </c>
      <c r="BP114" s="202" t="s">
        <v>111</v>
      </c>
      <c r="BQ114" s="203">
        <f t="shared" ref="BQ114:BS114" si="984">BQ116/BQ79</f>
        <v>430.42322145086297</v>
      </c>
      <c r="BR114" s="202" t="s">
        <v>111</v>
      </c>
      <c r="BS114" s="203">
        <f t="shared" si="984"/>
        <v>430.73268715725027</v>
      </c>
      <c r="BT114" s="202" t="s">
        <v>111</v>
      </c>
      <c r="BU114" s="203">
        <f t="shared" ref="BU114:BW114" si="985">BU116/BU79</f>
        <v>424.63585434173672</v>
      </c>
      <c r="BV114" s="202" t="s">
        <v>111</v>
      </c>
      <c r="BW114" s="203">
        <f t="shared" si="985"/>
        <v>424.44952416495613</v>
      </c>
      <c r="BX114" s="202" t="s">
        <v>111</v>
      </c>
      <c r="BY114" s="203">
        <f t="shared" ref="BY114:CA114" si="986">BY116/BY79</f>
        <v>421.23319211641183</v>
      </c>
      <c r="BZ114" s="202" t="s">
        <v>111</v>
      </c>
      <c r="CA114" s="203">
        <f t="shared" si="986"/>
        <v>422.17166748647321</v>
      </c>
      <c r="CB114" s="202" t="s">
        <v>111</v>
      </c>
      <c r="CC114" s="203">
        <f t="shared" ref="CC114:CE114" si="987">CC116/CC79</f>
        <v>426.76927412788876</v>
      </c>
      <c r="CD114" s="202" t="s">
        <v>111</v>
      </c>
      <c r="CE114" s="203">
        <f t="shared" si="987"/>
        <v>436.32743938113504</v>
      </c>
      <c r="CF114" s="202" t="s">
        <v>111</v>
      </c>
      <c r="CG114" s="203">
        <f t="shared" ref="CG114:CI114" si="988">CG116/CG79</f>
        <v>434.68992248062017</v>
      </c>
      <c r="CH114" s="202" t="s">
        <v>111</v>
      </c>
      <c r="CI114" s="203">
        <f t="shared" si="988"/>
        <v>429.93055995941404</v>
      </c>
      <c r="CJ114" s="202" t="s">
        <v>111</v>
      </c>
      <c r="CK114" s="203">
        <f t="shared" ref="CK114:CM114" si="989">CK116/CK79</f>
        <v>426.69045830202856</v>
      </c>
      <c r="CL114" s="202" t="s">
        <v>111</v>
      </c>
      <c r="CM114" s="203">
        <f t="shared" si="989"/>
        <v>443.75</v>
      </c>
      <c r="CN114" s="202" t="s">
        <v>111</v>
      </c>
      <c r="CO114" s="203">
        <f t="shared" ref="CO114" si="990">CO116/CO79</f>
        <v>426.25</v>
      </c>
      <c r="CP114" s="202" t="s">
        <v>111</v>
      </c>
      <c r="CQ114" s="203">
        <f t="shared" ref="CQ114" si="991">CQ116/CQ79</f>
        <v>426.25</v>
      </c>
      <c r="CR114" s="202" t="s">
        <v>111</v>
      </c>
      <c r="CS114" s="203">
        <f t="shared" ref="CS114:CU114" si="992">CS116/CS79</f>
        <v>431.34485397270754</v>
      </c>
      <c r="CT114" s="202" t="s">
        <v>111</v>
      </c>
      <c r="CU114" s="203">
        <f t="shared" si="992"/>
        <v>431.34485397270754</v>
      </c>
      <c r="CV114" s="202" t="s">
        <v>111</v>
      </c>
      <c r="CW114" s="203">
        <f>CW116/CW79</f>
        <v>454.66467668449286</v>
      </c>
      <c r="CX114" s="202" t="s">
        <v>111</v>
      </c>
      <c r="CY114" s="203">
        <f>CY116/CY79</f>
        <v>450.42681881983492</v>
      </c>
      <c r="CZ114" s="202" t="s">
        <v>111</v>
      </c>
      <c r="DA114" s="203">
        <f>DA116/DA79</f>
        <v>442.55022835344755</v>
      </c>
      <c r="DB114" s="202" t="s">
        <v>111</v>
      </c>
      <c r="DC114" s="203">
        <f>DC116/DC79</f>
        <v>442.35999999999996</v>
      </c>
      <c r="DD114" s="202" t="s">
        <v>111</v>
      </c>
      <c r="DE114" s="203">
        <f>DE116/DE79</f>
        <v>452.79652947609617</v>
      </c>
      <c r="DF114" s="202" t="s">
        <v>111</v>
      </c>
      <c r="DG114" s="203">
        <f>DG116/DG79</f>
        <v>445.97297297297297</v>
      </c>
      <c r="DH114" s="202" t="s">
        <v>111</v>
      </c>
      <c r="DI114" s="203">
        <f>DI116/DI79</f>
        <v>435.41558441558436</v>
      </c>
      <c r="DJ114" s="202" t="s">
        <v>111</v>
      </c>
      <c r="DK114" s="203">
        <f>DK116/DK79</f>
        <v>435.41558441558436</v>
      </c>
    </row>
    <row r="115" spans="1:115" s="65" customFormat="1" ht="18" customHeight="1" outlineLevel="2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0.11798732756232323</v>
      </c>
      <c r="H115" s="202" t="s">
        <v>111</v>
      </c>
      <c r="I115" s="203">
        <f>I114/I66</f>
        <v>0.11798732756232323</v>
      </c>
      <c r="J115" s="202" t="s">
        <v>111</v>
      </c>
      <c r="K115" s="203">
        <f>K114/K66</f>
        <v>0.11798732756232323</v>
      </c>
      <c r="L115" s="202" t="s">
        <v>111</v>
      </c>
      <c r="M115" s="203">
        <f>M114/M66</f>
        <v>0.11798732756232323</v>
      </c>
      <c r="N115" s="202" t="s">
        <v>111</v>
      </c>
      <c r="O115" s="203">
        <f>O114/O66</f>
        <v>0.11747932947054721</v>
      </c>
      <c r="P115" s="202" t="s">
        <v>111</v>
      </c>
      <c r="Q115" s="203">
        <f>Q114/Q66</f>
        <v>0.11813598533348853</v>
      </c>
      <c r="R115" s="202" t="s">
        <v>111</v>
      </c>
      <c r="S115" s="203">
        <f>S114/S66</f>
        <v>0.11813598533348853</v>
      </c>
      <c r="T115" s="202" t="s">
        <v>111</v>
      </c>
      <c r="U115" s="203">
        <f>U114/U66</f>
        <v>0.11735846322910001</v>
      </c>
      <c r="V115" s="202" t="s">
        <v>111</v>
      </c>
      <c r="W115" s="203">
        <f>W114/W66</f>
        <v>0.11738864187923066</v>
      </c>
      <c r="X115" s="202" t="s">
        <v>111</v>
      </c>
      <c r="Y115" s="203">
        <f>Y114/Y66</f>
        <v>0.11728814440461868</v>
      </c>
      <c r="Z115" s="202" t="s">
        <v>111</v>
      </c>
      <c r="AA115" s="203">
        <f>AA114/AA66</f>
        <v>0.11605513038989469</v>
      </c>
      <c r="AB115" s="202" t="s">
        <v>111</v>
      </c>
      <c r="AC115" s="203">
        <f>AC114/AC66</f>
        <v>0.11578469519829811</v>
      </c>
      <c r="AD115" s="202" t="s">
        <v>111</v>
      </c>
      <c r="AE115" s="203">
        <f>AE114/AE66</f>
        <v>0.1143426727170104</v>
      </c>
      <c r="AF115" s="202" t="s">
        <v>111</v>
      </c>
      <c r="AG115" s="203">
        <f>AG114/AG66</f>
        <v>0.1149292508734357</v>
      </c>
      <c r="AH115" s="202" t="s">
        <v>111</v>
      </c>
      <c r="AI115" s="203">
        <f>AI114/AI66</f>
        <v>0.11407596454915339</v>
      </c>
      <c r="AJ115" s="202" t="s">
        <v>111</v>
      </c>
      <c r="AK115" s="203">
        <f>AK114/AK66</f>
        <v>0.11237385276841814</v>
      </c>
      <c r="AL115" s="202" t="s">
        <v>111</v>
      </c>
      <c r="AM115" s="203">
        <f>AM114/AM66</f>
        <v>0.11139914463206103</v>
      </c>
      <c r="AN115" s="202" t="s">
        <v>111</v>
      </c>
      <c r="AO115" s="203">
        <f>AO114/AO66</f>
        <v>0.11149237019693892</v>
      </c>
      <c r="AP115" s="202" t="s">
        <v>111</v>
      </c>
      <c r="AQ115" s="203">
        <f>AQ114/AQ66</f>
        <v>0.11275507048054202</v>
      </c>
      <c r="AR115" s="202" t="s">
        <v>111</v>
      </c>
      <c r="AS115" s="203">
        <f>AS114/AS66</f>
        <v>0.1138294929493853</v>
      </c>
      <c r="AT115" s="202" t="s">
        <v>111</v>
      </c>
      <c r="AU115" s="203">
        <f>AU114/AU66</f>
        <v>0.11300274918505092</v>
      </c>
      <c r="AV115" s="202" t="s">
        <v>111</v>
      </c>
      <c r="AW115" s="203">
        <f>AW114/AW66</f>
        <v>0.11491047643179024</v>
      </c>
      <c r="AX115" s="202" t="s">
        <v>111</v>
      </c>
      <c r="AY115" s="203">
        <f>AY114/AY66</f>
        <v>0.11526892842106323</v>
      </c>
      <c r="AZ115" s="202" t="s">
        <v>111</v>
      </c>
      <c r="BA115" s="203">
        <f>BA114/BA66</f>
        <v>0.1145649637090949</v>
      </c>
      <c r="BB115" s="202" t="s">
        <v>111</v>
      </c>
      <c r="BC115" s="203">
        <f>BC114/BC66</f>
        <v>0.11413556491431889</v>
      </c>
      <c r="BD115" s="202" t="s">
        <v>111</v>
      </c>
      <c r="BE115" s="203">
        <f>BE114/BE66</f>
        <v>0.11317631522991435</v>
      </c>
      <c r="BF115" s="202" t="s">
        <v>111</v>
      </c>
      <c r="BG115" s="203">
        <f t="shared" ref="BG115" si="993">BG114/BG66</f>
        <v>0.11273744836394892</v>
      </c>
      <c r="BH115" s="202" t="s">
        <v>111</v>
      </c>
      <c r="BI115" s="203">
        <f t="shared" ref="BI115" si="994">BI114/BI66</f>
        <v>0.11111264334474848</v>
      </c>
      <c r="BJ115" s="202" t="s">
        <v>111</v>
      </c>
      <c r="BK115" s="203">
        <f t="shared" ref="BK115" si="995">BK114/BK66</f>
        <v>0.11121347785915173</v>
      </c>
      <c r="BL115" s="202" t="s">
        <v>111</v>
      </c>
      <c r="BM115" s="203">
        <f t="shared" ref="BM115" si="996">BM114/BM66</f>
        <v>0.11193235068586521</v>
      </c>
      <c r="BN115" s="202" t="s">
        <v>111</v>
      </c>
      <c r="BO115" s="203">
        <f t="shared" ref="BO115" si="997">BO114/BO66</f>
        <v>0.11166681119664458</v>
      </c>
      <c r="BP115" s="202" t="s">
        <v>111</v>
      </c>
      <c r="BQ115" s="203">
        <f t="shared" ref="BQ115:BS115" si="998">BQ114/BQ66</f>
        <v>0.11116302206892122</v>
      </c>
      <c r="BR115" s="202" t="s">
        <v>111</v>
      </c>
      <c r="BS115" s="203">
        <f t="shared" si="998"/>
        <v>0.11124294606333943</v>
      </c>
      <c r="BT115" s="202" t="s">
        <v>111</v>
      </c>
      <c r="BU115" s="203">
        <f t="shared" ref="BU115:BW115" si="999">BU114/BU66</f>
        <v>0.10966835081139895</v>
      </c>
      <c r="BV115" s="202" t="s">
        <v>111</v>
      </c>
      <c r="BW115" s="203">
        <f t="shared" si="999"/>
        <v>0.10962022834838743</v>
      </c>
      <c r="BX115" s="202" t="s">
        <v>111</v>
      </c>
      <c r="BY115" s="203">
        <f t="shared" ref="BY115:CA115" si="1000">BY114/BY66</f>
        <v>0.10878956407965182</v>
      </c>
      <c r="BZ115" s="202" t="s">
        <v>111</v>
      </c>
      <c r="CA115" s="203">
        <f t="shared" si="1000"/>
        <v>0.10554291687161831</v>
      </c>
      <c r="CB115" s="202" t="s">
        <v>111</v>
      </c>
      <c r="CC115" s="203">
        <f t="shared" ref="CC115:CE115" si="1001">CC114/CC66</f>
        <v>0.1066923185319722</v>
      </c>
      <c r="CD115" s="202" t="s">
        <v>111</v>
      </c>
      <c r="CE115" s="203">
        <f t="shared" si="1001"/>
        <v>0.10908185984528376</v>
      </c>
      <c r="CF115" s="202" t="s">
        <v>111</v>
      </c>
      <c r="CG115" s="203">
        <f t="shared" ref="CG115:CI115" si="1002">CG114/CG66</f>
        <v>0.10867248062015504</v>
      </c>
      <c r="CH115" s="202" t="s">
        <v>111</v>
      </c>
      <c r="CI115" s="203">
        <f t="shared" si="1002"/>
        <v>0.10748263998985351</v>
      </c>
      <c r="CJ115" s="202" t="s">
        <v>111</v>
      </c>
      <c r="CK115" s="203">
        <f t="shared" ref="CK115:CM115" si="1003">CK114/CK66</f>
        <v>0.10667261457550714</v>
      </c>
      <c r="CL115" s="202" t="s">
        <v>111</v>
      </c>
      <c r="CM115" s="203">
        <f t="shared" si="1003"/>
        <v>0.11093749999999999</v>
      </c>
      <c r="CN115" s="202" t="s">
        <v>111</v>
      </c>
      <c r="CO115" s="203">
        <f t="shared" ref="CO115" si="1004">CO114/CO66</f>
        <v>0.1065625</v>
      </c>
      <c r="CP115" s="202" t="s">
        <v>111</v>
      </c>
      <c r="CQ115" s="203">
        <f t="shared" ref="CQ115" si="1005">CQ114/CQ66</f>
        <v>0.1065625</v>
      </c>
      <c r="CR115" s="202" t="s">
        <v>111</v>
      </c>
      <c r="CS115" s="203">
        <f t="shared" ref="CS115:CU115" si="1006">CS114/CS66</f>
        <v>0.10783621349317689</v>
      </c>
      <c r="CT115" s="202" t="s">
        <v>111</v>
      </c>
      <c r="CU115" s="203">
        <f t="shared" si="1006"/>
        <v>0.10783621349317689</v>
      </c>
      <c r="CV115" s="202" t="s">
        <v>111</v>
      </c>
      <c r="CW115" s="203">
        <f>CW114/CW66</f>
        <v>0.1174237284825653</v>
      </c>
      <c r="CX115" s="202" t="s">
        <v>111</v>
      </c>
      <c r="CY115" s="203">
        <f>CY114/CY66</f>
        <v>0.11632924039768464</v>
      </c>
      <c r="CZ115" s="202" t="s">
        <v>111</v>
      </c>
      <c r="DA115" s="203">
        <f>DA114/DA66</f>
        <v>0.11429499699210939</v>
      </c>
      <c r="DB115" s="202" t="s">
        <v>111</v>
      </c>
      <c r="DC115" s="203">
        <f>DC114/DC66</f>
        <v>0.11424586776859504</v>
      </c>
      <c r="DD115" s="202" t="s">
        <v>111</v>
      </c>
      <c r="DE115" s="203">
        <f>DE114/DE66</f>
        <v>0.11694125244733888</v>
      </c>
      <c r="DF115" s="202" t="s">
        <v>111</v>
      </c>
      <c r="DG115" s="203">
        <f>DG114/DG66</f>
        <v>0.11517897029260665</v>
      </c>
      <c r="DH115" s="202" t="s">
        <v>111</v>
      </c>
      <c r="DI115" s="203">
        <f>DI114/DI66</f>
        <v>0.11245237200815712</v>
      </c>
      <c r="DJ115" s="202" t="s">
        <v>111</v>
      </c>
      <c r="DK115" s="203">
        <f>DK114/DK66</f>
        <v>0.11245237200815712</v>
      </c>
    </row>
    <row r="116" spans="1:115" s="65" customFormat="1" ht="18" customHeight="1" outlineLevel="2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6500474.9999999991</v>
      </c>
      <c r="H116" s="202" t="s">
        <v>114</v>
      </c>
      <c r="I116" s="204">
        <f>I117*I66</f>
        <v>6500474.9999999991</v>
      </c>
      <c r="J116" s="202" t="s">
        <v>114</v>
      </c>
      <c r="K116" s="204">
        <f>K117*K66</f>
        <v>6500474.9999999991</v>
      </c>
      <c r="L116" s="202" t="s">
        <v>114</v>
      </c>
      <c r="M116" s="204">
        <f>M117*M66</f>
        <v>6500474.9999999991</v>
      </c>
      <c r="N116" s="202" t="s">
        <v>114</v>
      </c>
      <c r="O116" s="204">
        <f>O117*O66</f>
        <v>6517974.9999999991</v>
      </c>
      <c r="P116" s="202" t="s">
        <v>114</v>
      </c>
      <c r="Q116" s="204">
        <f>Q117*Q66</f>
        <v>6495400</v>
      </c>
      <c r="R116" s="202" t="s">
        <v>114</v>
      </c>
      <c r="S116" s="204">
        <f>S117*S66</f>
        <v>6495400</v>
      </c>
      <c r="T116" s="202" t="s">
        <v>114</v>
      </c>
      <c r="U116" s="204">
        <f>U117*U66</f>
        <v>6522174.9999999991</v>
      </c>
      <c r="V116" s="202" t="s">
        <v>114</v>
      </c>
      <c r="W116" s="204">
        <f>W117*W66</f>
        <v>6521125</v>
      </c>
      <c r="X116" s="202" t="s">
        <v>114</v>
      </c>
      <c r="Y116" s="204">
        <f>Y117*Y66</f>
        <v>6524624.9999999991</v>
      </c>
      <c r="Z116" s="202" t="s">
        <v>114</v>
      </c>
      <c r="AA116" s="204">
        <f>AA117*AA66</f>
        <v>6568374.9999999991</v>
      </c>
      <c r="AB116" s="202" t="s">
        <v>114</v>
      </c>
      <c r="AC116" s="204">
        <f>AC117*AC66</f>
        <v>6578175</v>
      </c>
      <c r="AD116" s="202" t="s">
        <v>114</v>
      </c>
      <c r="AE116" s="204">
        <f>AE117*AE66</f>
        <v>6631724.9999999991</v>
      </c>
      <c r="AF116" s="202" t="s">
        <v>114</v>
      </c>
      <c r="AG116" s="204">
        <f>AG117*AG66</f>
        <v>6609675</v>
      </c>
      <c r="AH116" s="202" t="s">
        <v>114</v>
      </c>
      <c r="AI116" s="204">
        <f>AI117*AI66</f>
        <v>6641874.9999999991</v>
      </c>
      <c r="AJ116" s="202" t="s">
        <v>114</v>
      </c>
      <c r="AK116" s="204">
        <f>AK117*AK66</f>
        <v>6708549.9999999991</v>
      </c>
      <c r="AL116" s="202" t="s">
        <v>114</v>
      </c>
      <c r="AM116" s="204">
        <f>AM117*AM66</f>
        <v>6748275</v>
      </c>
      <c r="AN116" s="202" t="s">
        <v>114</v>
      </c>
      <c r="AO116" s="204">
        <f>AO117*AO66</f>
        <v>6744424.9999999991</v>
      </c>
      <c r="AP116" s="202" t="s">
        <v>114</v>
      </c>
      <c r="AQ116" s="204">
        <f>AQ117*AQ66</f>
        <v>6693324.9999999991</v>
      </c>
      <c r="AR116" s="202" t="s">
        <v>114</v>
      </c>
      <c r="AS116" s="204">
        <f>AS117*AS66</f>
        <v>6651325</v>
      </c>
      <c r="AT116" s="202" t="s">
        <v>114</v>
      </c>
      <c r="AU116" s="204">
        <f>AU117*AU66</f>
        <v>6683525</v>
      </c>
      <c r="AV116" s="202" t="s">
        <v>114</v>
      </c>
      <c r="AW116" s="204">
        <f>AW117*AW66</f>
        <v>6610375</v>
      </c>
      <c r="AX116" s="202" t="s">
        <v>114</v>
      </c>
      <c r="AY116" s="204">
        <f>AY117*AY66</f>
        <v>6597075</v>
      </c>
      <c r="AZ116" s="202" t="s">
        <v>114</v>
      </c>
      <c r="BA116" s="204">
        <f>BA117*BA66</f>
        <v>6623325</v>
      </c>
      <c r="BB116" s="202" t="s">
        <v>114</v>
      </c>
      <c r="BC116" s="204">
        <f>BC117*BC66</f>
        <v>6639599.9999999991</v>
      </c>
      <c r="BD116" s="202" t="s">
        <v>114</v>
      </c>
      <c r="BE116" s="204">
        <f>BE117*BE66</f>
        <v>6676699.9999999991</v>
      </c>
      <c r="BF116" s="202" t="s">
        <v>114</v>
      </c>
      <c r="BG116" s="204">
        <f t="shared" ref="BG116" si="1007">BG117*BG66</f>
        <v>6694024.9999999991</v>
      </c>
      <c r="BH116" s="202" t="s">
        <v>114</v>
      </c>
      <c r="BI116" s="204">
        <f t="shared" ref="BI116" si="1008">BI117*BI66</f>
        <v>6760174.9999999991</v>
      </c>
      <c r="BJ116" s="202" t="s">
        <v>114</v>
      </c>
      <c r="BK116" s="204">
        <f t="shared" ref="BK116" si="1009">BK117*BK66</f>
        <v>6755975</v>
      </c>
      <c r="BL116" s="202" t="s">
        <v>114</v>
      </c>
      <c r="BM116" s="204">
        <f t="shared" ref="BM116" si="1010">BM117*BM66</f>
        <v>6726400</v>
      </c>
      <c r="BN116" s="202" t="s">
        <v>114</v>
      </c>
      <c r="BO116" s="204">
        <f t="shared" ref="BO116" si="1011">BO117*BO66</f>
        <v>6737250</v>
      </c>
      <c r="BP116" s="202" t="s">
        <v>114</v>
      </c>
      <c r="BQ116" s="204">
        <f t="shared" ref="BQ116:BS116" si="1012">BQ117*BQ66</f>
        <v>6758074.9999999991</v>
      </c>
      <c r="BR116" s="202" t="s">
        <v>114</v>
      </c>
      <c r="BS116" s="204">
        <f t="shared" si="1012"/>
        <v>6754749.9999999991</v>
      </c>
      <c r="BT116" s="202" t="s">
        <v>114</v>
      </c>
      <c r="BU116" s="204">
        <f t="shared" ref="BU116:BW116" si="1013">BU117*BU66</f>
        <v>6821775</v>
      </c>
      <c r="BV116" s="202" t="s">
        <v>114</v>
      </c>
      <c r="BW116" s="204">
        <f t="shared" si="1013"/>
        <v>6823875</v>
      </c>
      <c r="BX116" s="202" t="s">
        <v>114</v>
      </c>
      <c r="BY116" s="204">
        <f t="shared" ref="BY116:CA116" si="1014">BY117*BY66</f>
        <v>6860624.9999999991</v>
      </c>
      <c r="BZ116" s="202" t="s">
        <v>114</v>
      </c>
      <c r="CA116" s="204">
        <f t="shared" si="1014"/>
        <v>6866200</v>
      </c>
      <c r="CB116" s="202" t="s">
        <v>114</v>
      </c>
      <c r="CC116" s="204">
        <f t="shared" ref="CC116:CE116" si="1015">CC117*CC66</f>
        <v>6814225</v>
      </c>
      <c r="CD116" s="202" t="s">
        <v>114</v>
      </c>
      <c r="CE116" s="204">
        <f t="shared" si="1015"/>
        <v>6712025</v>
      </c>
      <c r="CF116" s="202" t="s">
        <v>114</v>
      </c>
      <c r="CG116" s="204">
        <f t="shared" ref="CG116:CI116" si="1016">CG117*CG66</f>
        <v>6729000</v>
      </c>
      <c r="CH116" s="202" t="s">
        <v>114</v>
      </c>
      <c r="CI116" s="204">
        <f t="shared" si="1016"/>
        <v>6779575</v>
      </c>
      <c r="CJ116" s="202" t="s">
        <v>114</v>
      </c>
      <c r="CK116" s="204">
        <f t="shared" ref="CK116:CM116" si="1017">CK117*CK66</f>
        <v>6815100</v>
      </c>
      <c r="CL116" s="202" t="s">
        <v>114</v>
      </c>
      <c r="CM116" s="204">
        <f t="shared" si="1017"/>
        <v>7100000</v>
      </c>
      <c r="CN116" s="202" t="s">
        <v>114</v>
      </c>
      <c r="CO116" s="204">
        <f t="shared" ref="CO116" si="1018">CO117*CO66</f>
        <v>6820000</v>
      </c>
      <c r="CP116" s="202" t="s">
        <v>114</v>
      </c>
      <c r="CQ116" s="204">
        <f t="shared" ref="CQ116" si="1019">CQ117*CQ66</f>
        <v>6820000</v>
      </c>
      <c r="CR116" s="202" t="s">
        <v>114</v>
      </c>
      <c r="CS116" s="204">
        <f t="shared" ref="CS116:CU116" si="1020">CS117*CS66</f>
        <v>6764350</v>
      </c>
      <c r="CT116" s="202" t="s">
        <v>114</v>
      </c>
      <c r="CU116" s="204">
        <f t="shared" si="1020"/>
        <v>6764350</v>
      </c>
      <c r="CV116" s="202" t="s">
        <v>114</v>
      </c>
      <c r="CW116" s="204">
        <f>CW117*CW66</f>
        <v>6519905.3416122571</v>
      </c>
      <c r="CX116" s="202" t="s">
        <v>114</v>
      </c>
      <c r="CY116" s="204">
        <f>CY117*CY66</f>
        <v>6558517.8739499636</v>
      </c>
      <c r="CZ116" s="202" t="s">
        <v>114</v>
      </c>
      <c r="DA116" s="204">
        <f>DA117*DA66</f>
        <v>6633533.6236157473</v>
      </c>
      <c r="DB116" s="202" t="s">
        <v>114</v>
      </c>
      <c r="DC116" s="204">
        <f>DC117*DC66</f>
        <v>6635399.9999999991</v>
      </c>
      <c r="DD116" s="202" t="s">
        <v>114</v>
      </c>
      <c r="DE116" s="204">
        <f>DE117*DE66</f>
        <v>6536781.4538057065</v>
      </c>
      <c r="DF116" s="202" t="s">
        <v>114</v>
      </c>
      <c r="DG116" s="204">
        <f>DG117*DG66</f>
        <v>6600400</v>
      </c>
      <c r="DH116" s="202" t="s">
        <v>114</v>
      </c>
      <c r="DI116" s="204">
        <f>DI117*DI66</f>
        <v>6705399.9999999991</v>
      </c>
      <c r="DJ116" s="202" t="s">
        <v>114</v>
      </c>
      <c r="DK116" s="204">
        <f>DK117*DK66</f>
        <v>6705399.9999999991</v>
      </c>
    </row>
    <row r="117" spans="1:115" s="65" customFormat="1" ht="18" customHeight="1" outlineLevel="2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1678.8416838842973</v>
      </c>
      <c r="H117" s="202" t="s">
        <v>114</v>
      </c>
      <c r="I117" s="204">
        <f>SUM(I118:I123)</f>
        <v>1678.8416838842973</v>
      </c>
      <c r="J117" s="202" t="s">
        <v>114</v>
      </c>
      <c r="K117" s="204">
        <f>SUM(K118:K123)</f>
        <v>1678.8416838842973</v>
      </c>
      <c r="L117" s="202" t="s">
        <v>114</v>
      </c>
      <c r="M117" s="204">
        <f>SUM(M118:M123)</f>
        <v>1678.8416838842973</v>
      </c>
      <c r="N117" s="202" t="s">
        <v>114</v>
      </c>
      <c r="O117" s="204">
        <f>SUM(O118:O123)</f>
        <v>1683.3613119834708</v>
      </c>
      <c r="P117" s="202" t="s">
        <v>114</v>
      </c>
      <c r="Q117" s="204">
        <f>SUM(Q118:Q123)</f>
        <v>1677.5309917355371</v>
      </c>
      <c r="R117" s="202" t="s">
        <v>114</v>
      </c>
      <c r="S117" s="204">
        <f>SUM(S118:S123)</f>
        <v>1677.5309917355371</v>
      </c>
      <c r="T117" s="202" t="s">
        <v>114</v>
      </c>
      <c r="U117" s="204">
        <f>SUM(U118:U123)</f>
        <v>1684.4460227272725</v>
      </c>
      <c r="V117" s="202" t="s">
        <v>114</v>
      </c>
      <c r="W117" s="204">
        <f>SUM(W118:W123)</f>
        <v>1684.1748450413222</v>
      </c>
      <c r="X117" s="202" t="s">
        <v>114</v>
      </c>
      <c r="Y117" s="204">
        <f>SUM(Y118:Y123)</f>
        <v>1685.0787706611568</v>
      </c>
      <c r="Z117" s="202" t="s">
        <v>114</v>
      </c>
      <c r="AA117" s="204">
        <f>SUM(AA118:AA123)</f>
        <v>1696.3778409090908</v>
      </c>
      <c r="AB117" s="202" t="s">
        <v>114</v>
      </c>
      <c r="AC117" s="204">
        <f>SUM(AC118:AC123)</f>
        <v>1698.9088326446281</v>
      </c>
      <c r="AD117" s="202" t="s">
        <v>114</v>
      </c>
      <c r="AE117" s="204">
        <f>SUM(AE118:AE123)</f>
        <v>1712.7388946280989</v>
      </c>
      <c r="AF117" s="202" t="s">
        <v>114</v>
      </c>
      <c r="AG117" s="204">
        <f>SUM(AG118:AG123)</f>
        <v>1707.0441632231405</v>
      </c>
      <c r="AH117" s="202" t="s">
        <v>114</v>
      </c>
      <c r="AI117" s="204">
        <f>SUM(AI118:AI123)</f>
        <v>1715.3602789256197</v>
      </c>
      <c r="AJ117" s="202" t="s">
        <v>114</v>
      </c>
      <c r="AK117" s="204">
        <f>SUM(AK118:AK123)</f>
        <v>1732.5800619834708</v>
      </c>
      <c r="AL117" s="202" t="s">
        <v>114</v>
      </c>
      <c r="AM117" s="204">
        <f>SUM(AM118:AM123)</f>
        <v>1742.839617768595</v>
      </c>
      <c r="AN117" s="202" t="s">
        <v>114</v>
      </c>
      <c r="AO117" s="204">
        <f>SUM(AO118:AO123)</f>
        <v>1741.8452995867767</v>
      </c>
      <c r="AP117" s="202" t="s">
        <v>114</v>
      </c>
      <c r="AQ117" s="204">
        <f>SUM(AQ118:AQ123)</f>
        <v>1728.6479855371899</v>
      </c>
      <c r="AR117" s="202" t="s">
        <v>114</v>
      </c>
      <c r="AS117" s="204">
        <f>SUM(AS118:AS123)</f>
        <v>1717.8008780991736</v>
      </c>
      <c r="AT117" s="202" t="s">
        <v>114</v>
      </c>
      <c r="AU117" s="204">
        <f>SUM(AU118:AU123)</f>
        <v>1726.1169938016528</v>
      </c>
      <c r="AV117" s="202" t="s">
        <v>114</v>
      </c>
      <c r="AW117" s="204">
        <f>SUM(AW118:AW123)</f>
        <v>1707.2249483471073</v>
      </c>
      <c r="AX117" s="202" t="s">
        <v>114</v>
      </c>
      <c r="AY117" s="204">
        <f>SUM(AY118:AY123)</f>
        <v>1703.7900309917354</v>
      </c>
      <c r="AZ117" s="202" t="s">
        <v>114</v>
      </c>
      <c r="BA117" s="204">
        <f>SUM(BA118:BA123)</f>
        <v>1710.5694731404958</v>
      </c>
      <c r="BB117" s="202" t="s">
        <v>114</v>
      </c>
      <c r="BC117" s="204">
        <f>SUM(BC118:BC123)</f>
        <v>1714.772727272727</v>
      </c>
      <c r="BD117" s="202" t="s">
        <v>114</v>
      </c>
      <c r="BE117" s="204">
        <f>SUM(BE118:BE123)</f>
        <v>1724.354338842975</v>
      </c>
      <c r="BF117" s="202" t="s">
        <v>114</v>
      </c>
      <c r="BG117" s="204">
        <f t="shared" ref="BG117" si="1021">SUM(BG118:BG123)</f>
        <v>1728.8287706611568</v>
      </c>
      <c r="BH117" s="202" t="s">
        <v>114</v>
      </c>
      <c r="BI117" s="204">
        <f t="shared" ref="BI117" si="1022">SUM(BI118:BI123)</f>
        <v>1745.9129648760329</v>
      </c>
      <c r="BJ117" s="202" t="s">
        <v>114</v>
      </c>
      <c r="BK117" s="204">
        <f t="shared" ref="BK117" si="1023">SUM(BK118:BK123)</f>
        <v>1744.8282541322315</v>
      </c>
      <c r="BL117" s="202" t="s">
        <v>114</v>
      </c>
      <c r="BM117" s="204">
        <f t="shared" ref="BM117" si="1024">SUM(BM118:BM123)</f>
        <v>1737.1900826446281</v>
      </c>
      <c r="BN117" s="202" t="s">
        <v>114</v>
      </c>
      <c r="BO117" s="204">
        <f t="shared" ref="BO117" si="1025">SUM(BO118:BO123)</f>
        <v>1739.9922520661157</v>
      </c>
      <c r="BP117" s="202" t="s">
        <v>114</v>
      </c>
      <c r="BQ117" s="204">
        <f t="shared" ref="BQ117:BS117" si="1026">SUM(BQ118:BQ123)</f>
        <v>1745.3706095041321</v>
      </c>
      <c r="BR117" s="202" t="s">
        <v>114</v>
      </c>
      <c r="BS117" s="204">
        <f t="shared" si="1026"/>
        <v>1744.5118801652891</v>
      </c>
      <c r="BT117" s="202" t="s">
        <v>114</v>
      </c>
      <c r="BU117" s="204">
        <f t="shared" ref="BU117:BW117" si="1027">SUM(BU118:BU123)</f>
        <v>1761.8220557851239</v>
      </c>
      <c r="BV117" s="202" t="s">
        <v>114</v>
      </c>
      <c r="BW117" s="204">
        <f t="shared" si="1027"/>
        <v>1762.3644111570247</v>
      </c>
      <c r="BX117" s="202" t="s">
        <v>114</v>
      </c>
      <c r="BY117" s="204">
        <f t="shared" ref="BY117:CA117" si="1028">SUM(BY118:BY123)</f>
        <v>1771.8556301652891</v>
      </c>
      <c r="BZ117" s="202" t="s">
        <v>114</v>
      </c>
      <c r="CA117" s="204">
        <f t="shared" si="1028"/>
        <v>1716.55</v>
      </c>
      <c r="CB117" s="202" t="s">
        <v>114</v>
      </c>
      <c r="CC117" s="204">
        <f t="shared" ref="CC117:CE117" si="1029">SUM(CC118:CC123)</f>
        <v>1703.5562500000001</v>
      </c>
      <c r="CD117" s="202" t="s">
        <v>114</v>
      </c>
      <c r="CE117" s="204">
        <f t="shared" si="1029"/>
        <v>1678.0062499999999</v>
      </c>
      <c r="CF117" s="202" t="s">
        <v>114</v>
      </c>
      <c r="CG117" s="204">
        <f t="shared" ref="CG117:CI117" si="1030">SUM(CG118:CG123)</f>
        <v>1682.25</v>
      </c>
      <c r="CH117" s="202" t="s">
        <v>114</v>
      </c>
      <c r="CI117" s="204">
        <f t="shared" si="1030"/>
        <v>1694.89375</v>
      </c>
      <c r="CJ117" s="202" t="s">
        <v>114</v>
      </c>
      <c r="CK117" s="204">
        <f t="shared" ref="CK117:CM117" si="1031">SUM(CK118:CK123)</f>
        <v>1703.7750000000001</v>
      </c>
      <c r="CL117" s="202" t="s">
        <v>114</v>
      </c>
      <c r="CM117" s="204">
        <f t="shared" si="1031"/>
        <v>1775</v>
      </c>
      <c r="CN117" s="202" t="s">
        <v>114</v>
      </c>
      <c r="CO117" s="204">
        <f t="shared" ref="CO117" si="1032">SUM(CO118:CO123)</f>
        <v>1705</v>
      </c>
      <c r="CP117" s="202" t="s">
        <v>114</v>
      </c>
      <c r="CQ117" s="204">
        <f t="shared" ref="CQ117" si="1033">SUM(CQ118:CQ123)</f>
        <v>1705</v>
      </c>
      <c r="CR117" s="202" t="s">
        <v>114</v>
      </c>
      <c r="CS117" s="204">
        <f t="shared" ref="CS117:CU117" si="1034">SUM(CS118:CS123)</f>
        <v>1691.0875000000001</v>
      </c>
      <c r="CT117" s="202" t="s">
        <v>114</v>
      </c>
      <c r="CU117" s="204">
        <f t="shared" si="1034"/>
        <v>1691.0875000000001</v>
      </c>
      <c r="CV117" s="202" t="s">
        <v>114</v>
      </c>
      <c r="CW117" s="204">
        <f>SUM(CW118:CW123)</f>
        <v>1683.8598506230003</v>
      </c>
      <c r="CX117" s="202" t="s">
        <v>114</v>
      </c>
      <c r="CY117" s="204">
        <f>SUM(CY118:CY123)</f>
        <v>1693.8320955449287</v>
      </c>
      <c r="CZ117" s="202" t="s">
        <v>114</v>
      </c>
      <c r="DA117" s="204">
        <f>SUM(DA118:DA123)</f>
        <v>1713.2059978346456</v>
      </c>
      <c r="DB117" s="202" t="s">
        <v>114</v>
      </c>
      <c r="DC117" s="204">
        <f>SUM(DC118:DC123)</f>
        <v>1713.6880165289253</v>
      </c>
      <c r="DD117" s="202" t="s">
        <v>114</v>
      </c>
      <c r="DE117" s="204">
        <f>SUM(DE118:DE123)</f>
        <v>1688.2183506729614</v>
      </c>
      <c r="DF117" s="202" t="s">
        <v>114</v>
      </c>
      <c r="DG117" s="204">
        <f>SUM(DG118:DG123)</f>
        <v>1704.6487603305784</v>
      </c>
      <c r="DH117" s="202" t="s">
        <v>114</v>
      </c>
      <c r="DI117" s="204">
        <f>SUM(DI118:DI123)</f>
        <v>1731.7665289256197</v>
      </c>
      <c r="DJ117" s="202" t="s">
        <v>114</v>
      </c>
      <c r="DK117" s="204">
        <f>SUM(DK118:DK123)</f>
        <v>1731.7665289256197</v>
      </c>
    </row>
    <row r="118" spans="1:115" s="65" customFormat="1" ht="18" customHeight="1" outlineLevel="2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  <c r="BX118" s="202" t="s">
        <v>114</v>
      </c>
      <c r="BY118" s="204">
        <v>75</v>
      </c>
      <c r="BZ118" s="202" t="s">
        <v>114</v>
      </c>
      <c r="CA118" s="204">
        <v>75</v>
      </c>
      <c r="CB118" s="202" t="s">
        <v>114</v>
      </c>
      <c r="CC118" s="204">
        <v>75</v>
      </c>
      <c r="CD118" s="202" t="s">
        <v>114</v>
      </c>
      <c r="CE118" s="204">
        <v>75</v>
      </c>
      <c r="CF118" s="202" t="s">
        <v>114</v>
      </c>
      <c r="CG118" s="204">
        <v>75</v>
      </c>
      <c r="CH118" s="202" t="s">
        <v>114</v>
      </c>
      <c r="CI118" s="204">
        <v>75</v>
      </c>
      <c r="CJ118" s="202" t="s">
        <v>114</v>
      </c>
      <c r="CK118" s="204">
        <v>75</v>
      </c>
      <c r="CL118" s="202" t="s">
        <v>114</v>
      </c>
      <c r="CM118" s="204">
        <v>75</v>
      </c>
      <c r="CN118" s="202" t="s">
        <v>114</v>
      </c>
      <c r="CO118" s="204">
        <v>75</v>
      </c>
      <c r="CP118" s="202" t="s">
        <v>114</v>
      </c>
      <c r="CQ118" s="204">
        <v>75</v>
      </c>
      <c r="CR118" s="202" t="s">
        <v>114</v>
      </c>
      <c r="CS118" s="204">
        <v>75</v>
      </c>
      <c r="CT118" s="202" t="s">
        <v>114</v>
      </c>
      <c r="CU118" s="204">
        <v>75</v>
      </c>
      <c r="CV118" s="202" t="s">
        <v>114</v>
      </c>
      <c r="CW118" s="204">
        <v>75</v>
      </c>
      <c r="CX118" s="202" t="s">
        <v>114</v>
      </c>
      <c r="CY118" s="204">
        <v>75</v>
      </c>
      <c r="CZ118" s="202" t="s">
        <v>114</v>
      </c>
      <c r="DA118" s="204">
        <v>75</v>
      </c>
      <c r="DB118" s="202" t="s">
        <v>114</v>
      </c>
      <c r="DC118" s="204">
        <v>75</v>
      </c>
      <c r="DD118" s="202" t="s">
        <v>114</v>
      </c>
      <c r="DE118" s="204">
        <v>75</v>
      </c>
      <c r="DF118" s="202" t="s">
        <v>114</v>
      </c>
      <c r="DG118" s="204">
        <v>75</v>
      </c>
      <c r="DH118" s="202" t="s">
        <v>114</v>
      </c>
      <c r="DI118" s="204">
        <v>75</v>
      </c>
      <c r="DJ118" s="202" t="s">
        <v>114</v>
      </c>
      <c r="DK118" s="204">
        <v>75</v>
      </c>
    </row>
    <row r="119" spans="1:115" s="65" customFormat="1" ht="18" customHeight="1" outlineLevel="2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501.03305785123968</v>
      </c>
      <c r="H119" s="202" t="s">
        <v>114</v>
      </c>
      <c r="I119" s="204">
        <f>1940000/I66</f>
        <v>501.03305785123968</v>
      </c>
      <c r="J119" s="202" t="s">
        <v>114</v>
      </c>
      <c r="K119" s="204">
        <f>1940000/K66</f>
        <v>501.03305785123968</v>
      </c>
      <c r="L119" s="202" t="s">
        <v>114</v>
      </c>
      <c r="M119" s="204">
        <f>1940000/M66</f>
        <v>501.03305785123968</v>
      </c>
      <c r="N119" s="202" t="s">
        <v>114</v>
      </c>
      <c r="O119" s="204">
        <f>1940000/O66</f>
        <v>501.03305785123968</v>
      </c>
      <c r="P119" s="202" t="s">
        <v>114</v>
      </c>
      <c r="Q119" s="204">
        <f>1940000/Q66</f>
        <v>501.03305785123968</v>
      </c>
      <c r="R119" s="202" t="s">
        <v>114</v>
      </c>
      <c r="S119" s="204">
        <f>1940000/S66</f>
        <v>501.03305785123968</v>
      </c>
      <c r="T119" s="202" t="s">
        <v>114</v>
      </c>
      <c r="U119" s="204">
        <f>1940000/U66</f>
        <v>501.03305785123968</v>
      </c>
      <c r="V119" s="202" t="s">
        <v>114</v>
      </c>
      <c r="W119" s="204">
        <f>1940000/W66</f>
        <v>501.03305785123968</v>
      </c>
      <c r="X119" s="202" t="s">
        <v>114</v>
      </c>
      <c r="Y119" s="204">
        <f>1940000/Y66</f>
        <v>501.03305785123968</v>
      </c>
      <c r="Z119" s="202" t="s">
        <v>114</v>
      </c>
      <c r="AA119" s="204">
        <f>1940000/AA66</f>
        <v>501.03305785123968</v>
      </c>
      <c r="AB119" s="202" t="s">
        <v>114</v>
      </c>
      <c r="AC119" s="204">
        <f>1940000/AC66</f>
        <v>501.03305785123968</v>
      </c>
      <c r="AD119" s="202" t="s">
        <v>114</v>
      </c>
      <c r="AE119" s="204">
        <f>1940000/AE66</f>
        <v>501.03305785123968</v>
      </c>
      <c r="AF119" s="202" t="s">
        <v>114</v>
      </c>
      <c r="AG119" s="204">
        <f>1940000/AG66</f>
        <v>501.03305785123968</v>
      </c>
      <c r="AH119" s="202" t="s">
        <v>114</v>
      </c>
      <c r="AI119" s="204">
        <f>1940000/AI66</f>
        <v>501.03305785123968</v>
      </c>
      <c r="AJ119" s="202" t="s">
        <v>114</v>
      </c>
      <c r="AK119" s="204">
        <f>1940000/AK66</f>
        <v>501.03305785123968</v>
      </c>
      <c r="AL119" s="202" t="s">
        <v>114</v>
      </c>
      <c r="AM119" s="204">
        <f>1940000/AM66</f>
        <v>501.03305785123968</v>
      </c>
      <c r="AN119" s="202" t="s">
        <v>114</v>
      </c>
      <c r="AO119" s="204">
        <f>1940000/AO66</f>
        <v>501.03305785123968</v>
      </c>
      <c r="AP119" s="202" t="s">
        <v>114</v>
      </c>
      <c r="AQ119" s="204">
        <f>1940000/AQ66</f>
        <v>501.03305785123968</v>
      </c>
      <c r="AR119" s="202" t="s">
        <v>114</v>
      </c>
      <c r="AS119" s="204">
        <f>1940000/AS66</f>
        <v>501.03305785123968</v>
      </c>
      <c r="AT119" s="202" t="s">
        <v>114</v>
      </c>
      <c r="AU119" s="204">
        <f>1940000/AU66</f>
        <v>501.03305785123968</v>
      </c>
      <c r="AV119" s="202" t="s">
        <v>114</v>
      </c>
      <c r="AW119" s="204">
        <f>1940000/AW66</f>
        <v>501.03305785123968</v>
      </c>
      <c r="AX119" s="202" t="s">
        <v>114</v>
      </c>
      <c r="AY119" s="204">
        <f>1940000/AY66</f>
        <v>501.03305785123968</v>
      </c>
      <c r="AZ119" s="202" t="s">
        <v>114</v>
      </c>
      <c r="BA119" s="204">
        <f>1940000/BA66</f>
        <v>501.03305785123968</v>
      </c>
      <c r="BB119" s="202" t="s">
        <v>114</v>
      </c>
      <c r="BC119" s="204">
        <f>1940000/BC66</f>
        <v>501.03305785123968</v>
      </c>
      <c r="BD119" s="202" t="s">
        <v>114</v>
      </c>
      <c r="BE119" s="204">
        <f>1940000/BE66</f>
        <v>501.03305785123968</v>
      </c>
      <c r="BF119" s="202" t="s">
        <v>114</v>
      </c>
      <c r="BG119" s="204">
        <f t="shared" ref="BG119" si="1035">1940000/BG66</f>
        <v>501.03305785123968</v>
      </c>
      <c r="BH119" s="202" t="s">
        <v>114</v>
      </c>
      <c r="BI119" s="204">
        <f t="shared" ref="BI119:BK119" si="1036">1940000/BI66</f>
        <v>501.03305785123968</v>
      </c>
      <c r="BJ119" s="202" t="s">
        <v>114</v>
      </c>
      <c r="BK119" s="204">
        <f t="shared" si="1036"/>
        <v>501.03305785123968</v>
      </c>
      <c r="BL119" s="202" t="s">
        <v>114</v>
      </c>
      <c r="BM119" s="204">
        <f t="shared" ref="BM119" si="1037">1940000/BM66</f>
        <v>501.03305785123968</v>
      </c>
      <c r="BN119" s="202" t="s">
        <v>114</v>
      </c>
      <c r="BO119" s="204">
        <f t="shared" ref="BO119" si="1038">1940000/BO66</f>
        <v>501.03305785123968</v>
      </c>
      <c r="BP119" s="202" t="s">
        <v>114</v>
      </c>
      <c r="BQ119" s="204">
        <f t="shared" ref="BQ119:BS119" si="1039">1940000/BQ66</f>
        <v>501.03305785123968</v>
      </c>
      <c r="BR119" s="202" t="s">
        <v>114</v>
      </c>
      <c r="BS119" s="204">
        <f t="shared" si="1039"/>
        <v>501.03305785123968</v>
      </c>
      <c r="BT119" s="202" t="s">
        <v>114</v>
      </c>
      <c r="BU119" s="204">
        <f t="shared" ref="BU119:BW119" si="1040">1940000/BU66</f>
        <v>501.03305785123968</v>
      </c>
      <c r="BV119" s="202" t="s">
        <v>114</v>
      </c>
      <c r="BW119" s="204">
        <f t="shared" si="1040"/>
        <v>501.03305785123968</v>
      </c>
      <c r="BX119" s="202" t="s">
        <v>114</v>
      </c>
      <c r="BY119" s="204">
        <f t="shared" ref="BY119:CA119" si="1041">1940000/BY66</f>
        <v>501.03305785123968</v>
      </c>
      <c r="BZ119" s="202" t="s">
        <v>114</v>
      </c>
      <c r="CA119" s="204">
        <f t="shared" si="1041"/>
        <v>485</v>
      </c>
      <c r="CB119" s="202" t="s">
        <v>114</v>
      </c>
      <c r="CC119" s="204">
        <f t="shared" ref="CC119:CE119" si="1042">1940000/CC66</f>
        <v>485</v>
      </c>
      <c r="CD119" s="202" t="s">
        <v>114</v>
      </c>
      <c r="CE119" s="204">
        <f t="shared" si="1042"/>
        <v>485</v>
      </c>
      <c r="CF119" s="202" t="s">
        <v>114</v>
      </c>
      <c r="CG119" s="204">
        <f t="shared" ref="CG119:CI119" si="1043">1940000/CG66</f>
        <v>485</v>
      </c>
      <c r="CH119" s="202" t="s">
        <v>114</v>
      </c>
      <c r="CI119" s="204">
        <f t="shared" si="1043"/>
        <v>485</v>
      </c>
      <c r="CJ119" s="202" t="s">
        <v>114</v>
      </c>
      <c r="CK119" s="204">
        <f t="shared" ref="CK119" si="1044">1940000/CK66</f>
        <v>485</v>
      </c>
      <c r="CL119" s="202" t="s">
        <v>114</v>
      </c>
      <c r="CM119" s="204">
        <f>2150000/CM66</f>
        <v>537.5</v>
      </c>
      <c r="CN119" s="202" t="s">
        <v>114</v>
      </c>
      <c r="CO119" s="204">
        <f t="shared" ref="CO119" si="1045">1940000/CO66</f>
        <v>485</v>
      </c>
      <c r="CP119" s="202" t="s">
        <v>114</v>
      </c>
      <c r="CQ119" s="204">
        <f t="shared" ref="CQ119" si="1046">1940000/CQ66</f>
        <v>485</v>
      </c>
      <c r="CR119" s="202" t="s">
        <v>114</v>
      </c>
      <c r="CS119" s="204">
        <f t="shared" ref="CS119:CU119" si="1047">1940000/CS66</f>
        <v>485</v>
      </c>
      <c r="CT119" s="202" t="s">
        <v>114</v>
      </c>
      <c r="CU119" s="204">
        <f t="shared" si="1047"/>
        <v>485</v>
      </c>
      <c r="CV119" s="202" t="s">
        <v>114</v>
      </c>
      <c r="CW119" s="204">
        <f>1940000/CW66</f>
        <v>501.03305785123968</v>
      </c>
      <c r="CX119" s="202" t="s">
        <v>114</v>
      </c>
      <c r="CY119" s="204">
        <f>1940000/CY66</f>
        <v>501.03305785123968</v>
      </c>
      <c r="CZ119" s="202" t="s">
        <v>114</v>
      </c>
      <c r="DA119" s="204">
        <f>1940000/DA66</f>
        <v>501.03305785123968</v>
      </c>
      <c r="DB119" s="202" t="s">
        <v>114</v>
      </c>
      <c r="DC119" s="204">
        <f>1940000/DC66</f>
        <v>501.03305785123968</v>
      </c>
      <c r="DD119" s="202" t="s">
        <v>114</v>
      </c>
      <c r="DE119" s="204">
        <f>1940000/DE66</f>
        <v>501.03305785123968</v>
      </c>
      <c r="DF119" s="202" t="s">
        <v>114</v>
      </c>
      <c r="DG119" s="204">
        <f>1940000/DG66</f>
        <v>501.03305785123968</v>
      </c>
      <c r="DH119" s="202" t="s">
        <v>114</v>
      </c>
      <c r="DI119" s="204">
        <f>1940000/DI66</f>
        <v>501.03305785123968</v>
      </c>
      <c r="DJ119" s="202" t="s">
        <v>114</v>
      </c>
      <c r="DK119" s="204">
        <f>1940000/DK66</f>
        <v>501.03305785123968</v>
      </c>
    </row>
    <row r="120" spans="1:115" s="65" customFormat="1" ht="18" customHeight="1" outlineLevel="2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71.022727272727266</v>
      </c>
      <c r="H120" s="202" t="s">
        <v>114</v>
      </c>
      <c r="I120" s="204">
        <f>275000/I66</f>
        <v>71.022727272727266</v>
      </c>
      <c r="J120" s="202" t="s">
        <v>114</v>
      </c>
      <c r="K120" s="204">
        <f>275000/K66</f>
        <v>71.022727272727266</v>
      </c>
      <c r="L120" s="202" t="s">
        <v>114</v>
      </c>
      <c r="M120" s="204">
        <f>275000/M66</f>
        <v>71.022727272727266</v>
      </c>
      <c r="N120" s="202" t="s">
        <v>114</v>
      </c>
      <c r="O120" s="204">
        <f>275000/O66</f>
        <v>71.022727272727266</v>
      </c>
      <c r="P120" s="202" t="s">
        <v>114</v>
      </c>
      <c r="Q120" s="204">
        <f>275000/Q66</f>
        <v>71.022727272727266</v>
      </c>
      <c r="R120" s="202" t="s">
        <v>114</v>
      </c>
      <c r="S120" s="204">
        <f>275000/S66</f>
        <v>71.022727272727266</v>
      </c>
      <c r="T120" s="202" t="s">
        <v>114</v>
      </c>
      <c r="U120" s="204">
        <f>275000/U66</f>
        <v>71.022727272727266</v>
      </c>
      <c r="V120" s="202" t="s">
        <v>114</v>
      </c>
      <c r="W120" s="204">
        <f>275000/W66</f>
        <v>71.022727272727266</v>
      </c>
      <c r="X120" s="202" t="s">
        <v>114</v>
      </c>
      <c r="Y120" s="204">
        <f>275000/Y66</f>
        <v>71.022727272727266</v>
      </c>
      <c r="Z120" s="202" t="s">
        <v>114</v>
      </c>
      <c r="AA120" s="204">
        <f>275000/AA66</f>
        <v>71.022727272727266</v>
      </c>
      <c r="AB120" s="202" t="s">
        <v>114</v>
      </c>
      <c r="AC120" s="204">
        <f>275000/AC66</f>
        <v>71.022727272727266</v>
      </c>
      <c r="AD120" s="202" t="s">
        <v>114</v>
      </c>
      <c r="AE120" s="204">
        <f>275000/AE66</f>
        <v>71.022727272727266</v>
      </c>
      <c r="AF120" s="202" t="s">
        <v>114</v>
      </c>
      <c r="AG120" s="204">
        <f>275000/AG66</f>
        <v>71.022727272727266</v>
      </c>
      <c r="AH120" s="202" t="s">
        <v>114</v>
      </c>
      <c r="AI120" s="204">
        <f>275000/AI66</f>
        <v>71.022727272727266</v>
      </c>
      <c r="AJ120" s="202" t="s">
        <v>114</v>
      </c>
      <c r="AK120" s="204">
        <f>275000/AK66</f>
        <v>71.022727272727266</v>
      </c>
      <c r="AL120" s="202" t="s">
        <v>114</v>
      </c>
      <c r="AM120" s="204">
        <f>275000/AM66</f>
        <v>71.022727272727266</v>
      </c>
      <c r="AN120" s="202" t="s">
        <v>114</v>
      </c>
      <c r="AO120" s="204">
        <f>275000/AO66</f>
        <v>71.022727272727266</v>
      </c>
      <c r="AP120" s="202" t="s">
        <v>114</v>
      </c>
      <c r="AQ120" s="204">
        <f>275000/AQ66</f>
        <v>71.022727272727266</v>
      </c>
      <c r="AR120" s="202" t="s">
        <v>114</v>
      </c>
      <c r="AS120" s="204">
        <f>275000/AS66</f>
        <v>71.022727272727266</v>
      </c>
      <c r="AT120" s="202" t="s">
        <v>114</v>
      </c>
      <c r="AU120" s="204">
        <f>275000/AU66</f>
        <v>71.022727272727266</v>
      </c>
      <c r="AV120" s="202" t="s">
        <v>114</v>
      </c>
      <c r="AW120" s="204">
        <f>275000/AW66</f>
        <v>71.022727272727266</v>
      </c>
      <c r="AX120" s="202" t="s">
        <v>114</v>
      </c>
      <c r="AY120" s="204">
        <f>275000/AY66</f>
        <v>71.022727272727266</v>
      </c>
      <c r="AZ120" s="202" t="s">
        <v>114</v>
      </c>
      <c r="BA120" s="204">
        <f>275000/BA66</f>
        <v>71.022727272727266</v>
      </c>
      <c r="BB120" s="202" t="s">
        <v>114</v>
      </c>
      <c r="BC120" s="204">
        <f>275000/BC66</f>
        <v>71.022727272727266</v>
      </c>
      <c r="BD120" s="202" t="s">
        <v>114</v>
      </c>
      <c r="BE120" s="204">
        <f>275000/BE66</f>
        <v>71.022727272727266</v>
      </c>
      <c r="BF120" s="202" t="s">
        <v>114</v>
      </c>
      <c r="BG120" s="204">
        <f t="shared" ref="BG120" si="1048">275000/BG66</f>
        <v>71.022727272727266</v>
      </c>
      <c r="BH120" s="202" t="s">
        <v>114</v>
      </c>
      <c r="BI120" s="204">
        <f t="shared" ref="BI120:BK120" si="1049">275000/BI66</f>
        <v>71.022727272727266</v>
      </c>
      <c r="BJ120" s="202" t="s">
        <v>114</v>
      </c>
      <c r="BK120" s="204">
        <f t="shared" si="1049"/>
        <v>71.022727272727266</v>
      </c>
      <c r="BL120" s="202" t="s">
        <v>114</v>
      </c>
      <c r="BM120" s="204">
        <f t="shared" ref="BM120" si="1050">275000/BM66</f>
        <v>71.022727272727266</v>
      </c>
      <c r="BN120" s="202" t="s">
        <v>114</v>
      </c>
      <c r="BO120" s="204">
        <f t="shared" ref="BO120" si="1051">275000/BO66</f>
        <v>71.022727272727266</v>
      </c>
      <c r="BP120" s="202" t="s">
        <v>114</v>
      </c>
      <c r="BQ120" s="204">
        <f t="shared" ref="BQ120:BS120" si="1052">275000/BQ66</f>
        <v>71.022727272727266</v>
      </c>
      <c r="BR120" s="202" t="s">
        <v>114</v>
      </c>
      <c r="BS120" s="204">
        <f t="shared" si="1052"/>
        <v>71.022727272727266</v>
      </c>
      <c r="BT120" s="202" t="s">
        <v>114</v>
      </c>
      <c r="BU120" s="204">
        <f t="shared" ref="BU120:BW120" si="1053">275000/BU66</f>
        <v>71.022727272727266</v>
      </c>
      <c r="BV120" s="202" t="s">
        <v>114</v>
      </c>
      <c r="BW120" s="204">
        <f t="shared" si="1053"/>
        <v>71.022727272727266</v>
      </c>
      <c r="BX120" s="202" t="s">
        <v>114</v>
      </c>
      <c r="BY120" s="204">
        <f t="shared" ref="BY120:CA120" si="1054">275000/BY66</f>
        <v>71.022727272727266</v>
      </c>
      <c r="BZ120" s="202" t="s">
        <v>114</v>
      </c>
      <c r="CA120" s="204">
        <f t="shared" si="1054"/>
        <v>68.75</v>
      </c>
      <c r="CB120" s="202" t="s">
        <v>114</v>
      </c>
      <c r="CC120" s="204">
        <f t="shared" ref="CC120:CE120" si="1055">275000/CC66</f>
        <v>68.75</v>
      </c>
      <c r="CD120" s="202" t="s">
        <v>114</v>
      </c>
      <c r="CE120" s="204">
        <f t="shared" si="1055"/>
        <v>68.75</v>
      </c>
      <c r="CF120" s="202" t="s">
        <v>114</v>
      </c>
      <c r="CG120" s="204">
        <f t="shared" ref="CG120:CI120" si="1056">275000/CG66</f>
        <v>68.75</v>
      </c>
      <c r="CH120" s="202" t="s">
        <v>114</v>
      </c>
      <c r="CI120" s="204">
        <f t="shared" si="1056"/>
        <v>68.75</v>
      </c>
      <c r="CJ120" s="202" t="s">
        <v>114</v>
      </c>
      <c r="CK120" s="204">
        <f t="shared" ref="CK120" si="1057">275000/CK66</f>
        <v>68.75</v>
      </c>
      <c r="CL120" s="202" t="s">
        <v>114</v>
      </c>
      <c r="CM120" s="204">
        <f>300000/CM66</f>
        <v>75</v>
      </c>
      <c r="CN120" s="202" t="s">
        <v>114</v>
      </c>
      <c r="CO120" s="204">
        <f t="shared" ref="CO120" si="1058">275000/CO66</f>
        <v>68.75</v>
      </c>
      <c r="CP120" s="202" t="s">
        <v>114</v>
      </c>
      <c r="CQ120" s="204">
        <f t="shared" ref="CQ120" si="1059">275000/CQ66</f>
        <v>68.75</v>
      </c>
      <c r="CR120" s="202" t="s">
        <v>114</v>
      </c>
      <c r="CS120" s="204">
        <f t="shared" ref="CS120:CU120" si="1060">275000/CS66</f>
        <v>68.75</v>
      </c>
      <c r="CT120" s="202" t="s">
        <v>114</v>
      </c>
      <c r="CU120" s="204">
        <f t="shared" si="1060"/>
        <v>68.75</v>
      </c>
      <c r="CV120" s="202" t="s">
        <v>114</v>
      </c>
      <c r="CW120" s="204">
        <f>275000/CW66</f>
        <v>71.022727272727266</v>
      </c>
      <c r="CX120" s="202" t="s">
        <v>114</v>
      </c>
      <c r="CY120" s="204">
        <f>275000/CY66</f>
        <v>71.022727272727266</v>
      </c>
      <c r="CZ120" s="202" t="s">
        <v>114</v>
      </c>
      <c r="DA120" s="204">
        <f>275000/DA66</f>
        <v>71.022727272727266</v>
      </c>
      <c r="DB120" s="202" t="s">
        <v>114</v>
      </c>
      <c r="DC120" s="204">
        <f>275000/DC66</f>
        <v>71.022727272727266</v>
      </c>
      <c r="DD120" s="202" t="s">
        <v>114</v>
      </c>
      <c r="DE120" s="204">
        <f>275000/DE66</f>
        <v>71.022727272727266</v>
      </c>
      <c r="DF120" s="202" t="s">
        <v>114</v>
      </c>
      <c r="DG120" s="204">
        <f>275000/DG66</f>
        <v>71.022727272727266</v>
      </c>
      <c r="DH120" s="202" t="s">
        <v>114</v>
      </c>
      <c r="DI120" s="204">
        <f>275000/DI66</f>
        <v>71.022727272727266</v>
      </c>
      <c r="DJ120" s="202" t="s">
        <v>114</v>
      </c>
      <c r="DK120" s="204">
        <f>275000/DK66</f>
        <v>71.022727272727266</v>
      </c>
    </row>
    <row r="121" spans="1:115" s="65" customFormat="1" ht="18" customHeight="1" outlineLevel="2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330.57851239669424</v>
      </c>
      <c r="H121" s="202" t="s">
        <v>114</v>
      </c>
      <c r="I121" s="204">
        <f>1280000/I66</f>
        <v>330.57851239669424</v>
      </c>
      <c r="J121" s="202" t="s">
        <v>114</v>
      </c>
      <c r="K121" s="204">
        <f>1280000/K66</f>
        <v>330.57851239669424</v>
      </c>
      <c r="L121" s="202" t="s">
        <v>114</v>
      </c>
      <c r="M121" s="204">
        <f>1280000/M66</f>
        <v>330.57851239669424</v>
      </c>
      <c r="N121" s="202" t="s">
        <v>114</v>
      </c>
      <c r="O121" s="204">
        <f>1280000/O66</f>
        <v>330.57851239669424</v>
      </c>
      <c r="P121" s="202" t="s">
        <v>114</v>
      </c>
      <c r="Q121" s="204">
        <f>1280000/Q66</f>
        <v>330.57851239669424</v>
      </c>
      <c r="R121" s="202" t="s">
        <v>114</v>
      </c>
      <c r="S121" s="204">
        <f>1280000/S66</f>
        <v>330.57851239669424</v>
      </c>
      <c r="T121" s="202" t="s">
        <v>114</v>
      </c>
      <c r="U121" s="204">
        <f>1280000/U66</f>
        <v>330.57851239669424</v>
      </c>
      <c r="V121" s="202" t="s">
        <v>114</v>
      </c>
      <c r="W121" s="204">
        <f>1280000/W66</f>
        <v>330.57851239669424</v>
      </c>
      <c r="X121" s="202" t="s">
        <v>114</v>
      </c>
      <c r="Y121" s="204">
        <f>1280000/Y66</f>
        <v>330.57851239669424</v>
      </c>
      <c r="Z121" s="202" t="s">
        <v>114</v>
      </c>
      <c r="AA121" s="204">
        <f>1280000/AA66</f>
        <v>330.57851239669424</v>
      </c>
      <c r="AB121" s="202" t="s">
        <v>114</v>
      </c>
      <c r="AC121" s="204">
        <f>1280000/AC66</f>
        <v>330.57851239669424</v>
      </c>
      <c r="AD121" s="202" t="s">
        <v>114</v>
      </c>
      <c r="AE121" s="204">
        <f>1280000/AE66</f>
        <v>330.57851239669424</v>
      </c>
      <c r="AF121" s="202" t="s">
        <v>114</v>
      </c>
      <c r="AG121" s="204">
        <f>1280000/AG66</f>
        <v>330.57851239669424</v>
      </c>
      <c r="AH121" s="202" t="s">
        <v>114</v>
      </c>
      <c r="AI121" s="204">
        <f>1280000/AI66</f>
        <v>330.57851239669424</v>
      </c>
      <c r="AJ121" s="202" t="s">
        <v>114</v>
      </c>
      <c r="AK121" s="204">
        <f>1280000/AK66</f>
        <v>330.57851239669424</v>
      </c>
      <c r="AL121" s="202" t="s">
        <v>114</v>
      </c>
      <c r="AM121" s="204">
        <f>1280000/AM66</f>
        <v>330.57851239669424</v>
      </c>
      <c r="AN121" s="202" t="s">
        <v>114</v>
      </c>
      <c r="AO121" s="204">
        <f>1280000/AO66</f>
        <v>330.57851239669424</v>
      </c>
      <c r="AP121" s="202" t="s">
        <v>114</v>
      </c>
      <c r="AQ121" s="204">
        <f>1280000/AQ66</f>
        <v>330.57851239669424</v>
      </c>
      <c r="AR121" s="202" t="s">
        <v>114</v>
      </c>
      <c r="AS121" s="204">
        <f>1280000/AS66</f>
        <v>330.57851239669424</v>
      </c>
      <c r="AT121" s="202" t="s">
        <v>114</v>
      </c>
      <c r="AU121" s="204">
        <f>1280000/AU66</f>
        <v>330.57851239669424</v>
      </c>
      <c r="AV121" s="202" t="s">
        <v>114</v>
      </c>
      <c r="AW121" s="204">
        <f>1280000/AW66</f>
        <v>330.57851239669424</v>
      </c>
      <c r="AX121" s="202" t="s">
        <v>114</v>
      </c>
      <c r="AY121" s="204">
        <f>1280000/AY66</f>
        <v>330.57851239669424</v>
      </c>
      <c r="AZ121" s="202" t="s">
        <v>114</v>
      </c>
      <c r="BA121" s="204">
        <f>1280000/BA66</f>
        <v>330.57851239669424</v>
      </c>
      <c r="BB121" s="202" t="s">
        <v>114</v>
      </c>
      <c r="BC121" s="204">
        <f>1280000/BC66</f>
        <v>330.57851239669424</v>
      </c>
      <c r="BD121" s="202" t="s">
        <v>114</v>
      </c>
      <c r="BE121" s="204">
        <f>1280000/BE66</f>
        <v>330.57851239669424</v>
      </c>
      <c r="BF121" s="202" t="s">
        <v>114</v>
      </c>
      <c r="BG121" s="204">
        <f t="shared" ref="BG121" si="1061">1280000/BG66</f>
        <v>330.57851239669424</v>
      </c>
      <c r="BH121" s="202" t="s">
        <v>114</v>
      </c>
      <c r="BI121" s="204">
        <f t="shared" ref="BI121:BK121" si="1062">1280000/BI66</f>
        <v>330.57851239669424</v>
      </c>
      <c r="BJ121" s="202" t="s">
        <v>114</v>
      </c>
      <c r="BK121" s="204">
        <f t="shared" si="1062"/>
        <v>330.57851239669424</v>
      </c>
      <c r="BL121" s="202" t="s">
        <v>114</v>
      </c>
      <c r="BM121" s="204">
        <f t="shared" ref="BM121" si="1063">1280000/BM66</f>
        <v>330.57851239669424</v>
      </c>
      <c r="BN121" s="202" t="s">
        <v>114</v>
      </c>
      <c r="BO121" s="204">
        <f t="shared" ref="BO121" si="1064">1280000/BO66</f>
        <v>330.57851239669424</v>
      </c>
      <c r="BP121" s="202" t="s">
        <v>114</v>
      </c>
      <c r="BQ121" s="204">
        <f t="shared" ref="BQ121:BS121" si="1065">1280000/BQ66</f>
        <v>330.57851239669424</v>
      </c>
      <c r="BR121" s="202" t="s">
        <v>114</v>
      </c>
      <c r="BS121" s="204">
        <f t="shared" si="1065"/>
        <v>330.57851239669424</v>
      </c>
      <c r="BT121" s="202" t="s">
        <v>114</v>
      </c>
      <c r="BU121" s="204">
        <f t="shared" ref="BU121:BW121" si="1066">1280000/BU66</f>
        <v>330.57851239669424</v>
      </c>
      <c r="BV121" s="202" t="s">
        <v>114</v>
      </c>
      <c r="BW121" s="204">
        <f t="shared" si="1066"/>
        <v>330.57851239669424</v>
      </c>
      <c r="BX121" s="202" t="s">
        <v>114</v>
      </c>
      <c r="BY121" s="204">
        <f t="shared" ref="BY121:CA121" si="1067">1280000/BY66</f>
        <v>330.57851239669424</v>
      </c>
      <c r="BZ121" s="202" t="s">
        <v>114</v>
      </c>
      <c r="CA121" s="204">
        <f t="shared" si="1067"/>
        <v>320</v>
      </c>
      <c r="CB121" s="202" t="s">
        <v>114</v>
      </c>
      <c r="CC121" s="204">
        <f t="shared" ref="CC121:CE121" si="1068">1280000/CC66</f>
        <v>320</v>
      </c>
      <c r="CD121" s="202" t="s">
        <v>114</v>
      </c>
      <c r="CE121" s="204">
        <f t="shared" si="1068"/>
        <v>320</v>
      </c>
      <c r="CF121" s="202" t="s">
        <v>114</v>
      </c>
      <c r="CG121" s="204">
        <f t="shared" ref="CG121:CI121" si="1069">1280000/CG66</f>
        <v>320</v>
      </c>
      <c r="CH121" s="202" t="s">
        <v>114</v>
      </c>
      <c r="CI121" s="204">
        <f t="shared" si="1069"/>
        <v>320</v>
      </c>
      <c r="CJ121" s="202" t="s">
        <v>114</v>
      </c>
      <c r="CK121" s="204">
        <f t="shared" ref="CK121" si="1070">1280000/CK66</f>
        <v>320</v>
      </c>
      <c r="CL121" s="202" t="s">
        <v>114</v>
      </c>
      <c r="CM121" s="204">
        <f t="shared" ref="CM121" si="1071">1280000/CM66</f>
        <v>320</v>
      </c>
      <c r="CN121" s="202" t="s">
        <v>114</v>
      </c>
      <c r="CO121" s="204">
        <f t="shared" ref="CO121" si="1072">1280000/CO66</f>
        <v>320</v>
      </c>
      <c r="CP121" s="202" t="s">
        <v>114</v>
      </c>
      <c r="CQ121" s="204">
        <f t="shared" ref="CQ121" si="1073">1280000/CQ66</f>
        <v>320</v>
      </c>
      <c r="CR121" s="202" t="s">
        <v>114</v>
      </c>
      <c r="CS121" s="204">
        <f t="shared" ref="CS121:CU121" si="1074">1280000/CS66</f>
        <v>320</v>
      </c>
      <c r="CT121" s="202" t="s">
        <v>114</v>
      </c>
      <c r="CU121" s="204">
        <f t="shared" si="1074"/>
        <v>320</v>
      </c>
      <c r="CV121" s="202" t="s">
        <v>114</v>
      </c>
      <c r="CW121" s="204">
        <f>1280000/CW66</f>
        <v>330.57851239669424</v>
      </c>
      <c r="CX121" s="202" t="s">
        <v>114</v>
      </c>
      <c r="CY121" s="204">
        <f>1280000/CY66</f>
        <v>330.57851239669424</v>
      </c>
      <c r="CZ121" s="202" t="s">
        <v>114</v>
      </c>
      <c r="DA121" s="204">
        <f>1280000/DA66</f>
        <v>330.57851239669424</v>
      </c>
      <c r="DB121" s="202" t="s">
        <v>114</v>
      </c>
      <c r="DC121" s="204">
        <f>1280000/DC66</f>
        <v>330.57851239669424</v>
      </c>
      <c r="DD121" s="202" t="s">
        <v>114</v>
      </c>
      <c r="DE121" s="204">
        <f>1280000/DE66</f>
        <v>330.57851239669424</v>
      </c>
      <c r="DF121" s="202" t="s">
        <v>114</v>
      </c>
      <c r="DG121" s="204">
        <f>1280000/DG66</f>
        <v>330.57851239669424</v>
      </c>
      <c r="DH121" s="202" t="s">
        <v>114</v>
      </c>
      <c r="DI121" s="204">
        <f>1280000/DI66</f>
        <v>330.57851239669424</v>
      </c>
      <c r="DJ121" s="202" t="s">
        <v>114</v>
      </c>
      <c r="DK121" s="204">
        <f>1280000/DK66</f>
        <v>330.57851239669424</v>
      </c>
    </row>
    <row r="122" spans="1:115" s="65" customFormat="1" ht="18" customHeight="1" outlineLevel="2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58.109504132231407</v>
      </c>
      <c r="H122" s="202" t="s">
        <v>114</v>
      </c>
      <c r="I122" s="204">
        <f>225000/I66</f>
        <v>58.109504132231407</v>
      </c>
      <c r="J122" s="202" t="s">
        <v>114</v>
      </c>
      <c r="K122" s="204">
        <f>225000/K66</f>
        <v>58.109504132231407</v>
      </c>
      <c r="L122" s="202" t="s">
        <v>114</v>
      </c>
      <c r="M122" s="204">
        <f>225000/M66</f>
        <v>58.109504132231407</v>
      </c>
      <c r="N122" s="202" t="s">
        <v>114</v>
      </c>
      <c r="O122" s="204">
        <f>225000/O66</f>
        <v>58.109504132231407</v>
      </c>
      <c r="P122" s="202" t="s">
        <v>114</v>
      </c>
      <c r="Q122" s="204">
        <f>225000/Q66</f>
        <v>58.109504132231407</v>
      </c>
      <c r="R122" s="202" t="s">
        <v>114</v>
      </c>
      <c r="S122" s="204">
        <f>225000/S66</f>
        <v>58.109504132231407</v>
      </c>
      <c r="T122" s="202" t="s">
        <v>114</v>
      </c>
      <c r="U122" s="204">
        <f>225000/U66</f>
        <v>58.109504132231407</v>
      </c>
      <c r="V122" s="202" t="s">
        <v>114</v>
      </c>
      <c r="W122" s="204">
        <f>225000/W66</f>
        <v>58.109504132231407</v>
      </c>
      <c r="X122" s="202" t="s">
        <v>114</v>
      </c>
      <c r="Y122" s="204">
        <f>225000/Y66</f>
        <v>58.109504132231407</v>
      </c>
      <c r="Z122" s="202" t="s">
        <v>114</v>
      </c>
      <c r="AA122" s="204">
        <f>225000/AA66</f>
        <v>58.109504132231407</v>
      </c>
      <c r="AB122" s="202" t="s">
        <v>114</v>
      </c>
      <c r="AC122" s="204">
        <f>225000/AC66</f>
        <v>58.109504132231407</v>
      </c>
      <c r="AD122" s="202" t="s">
        <v>114</v>
      </c>
      <c r="AE122" s="204">
        <f>225000/AE66</f>
        <v>58.109504132231407</v>
      </c>
      <c r="AF122" s="202" t="s">
        <v>114</v>
      </c>
      <c r="AG122" s="204">
        <f>225000/AG66</f>
        <v>58.109504132231407</v>
      </c>
      <c r="AH122" s="202" t="s">
        <v>114</v>
      </c>
      <c r="AI122" s="204">
        <f>225000/AI66</f>
        <v>58.109504132231407</v>
      </c>
      <c r="AJ122" s="202" t="s">
        <v>114</v>
      </c>
      <c r="AK122" s="204">
        <f>225000/AK66</f>
        <v>58.109504132231407</v>
      </c>
      <c r="AL122" s="202" t="s">
        <v>114</v>
      </c>
      <c r="AM122" s="204">
        <f>225000/AM66</f>
        <v>58.109504132231407</v>
      </c>
      <c r="AN122" s="202" t="s">
        <v>114</v>
      </c>
      <c r="AO122" s="204">
        <f>225000/AO66</f>
        <v>58.109504132231407</v>
      </c>
      <c r="AP122" s="202" t="s">
        <v>114</v>
      </c>
      <c r="AQ122" s="204">
        <f>225000/AQ66</f>
        <v>58.109504132231407</v>
      </c>
      <c r="AR122" s="202" t="s">
        <v>114</v>
      </c>
      <c r="AS122" s="204">
        <f>225000/AS66</f>
        <v>58.109504132231407</v>
      </c>
      <c r="AT122" s="202" t="s">
        <v>114</v>
      </c>
      <c r="AU122" s="204">
        <f>225000/AU66</f>
        <v>58.109504132231407</v>
      </c>
      <c r="AV122" s="202" t="s">
        <v>114</v>
      </c>
      <c r="AW122" s="204">
        <f>225000/AW66</f>
        <v>58.109504132231407</v>
      </c>
      <c r="AX122" s="202" t="s">
        <v>114</v>
      </c>
      <c r="AY122" s="204">
        <f>225000/AY66</f>
        <v>58.109504132231407</v>
      </c>
      <c r="AZ122" s="202" t="s">
        <v>114</v>
      </c>
      <c r="BA122" s="204">
        <f>225000/BA66</f>
        <v>58.109504132231407</v>
      </c>
      <c r="BB122" s="202" t="s">
        <v>114</v>
      </c>
      <c r="BC122" s="204">
        <f>225000/BC66</f>
        <v>58.109504132231407</v>
      </c>
      <c r="BD122" s="202" t="s">
        <v>114</v>
      </c>
      <c r="BE122" s="204">
        <f>225000/BE66</f>
        <v>58.109504132231407</v>
      </c>
      <c r="BF122" s="202" t="s">
        <v>114</v>
      </c>
      <c r="BG122" s="204">
        <f t="shared" ref="BG122" si="1075">225000/BG66</f>
        <v>58.109504132231407</v>
      </c>
      <c r="BH122" s="202" t="s">
        <v>114</v>
      </c>
      <c r="BI122" s="204">
        <f t="shared" ref="BI122:BK122" si="1076">225000/BI66</f>
        <v>58.109504132231407</v>
      </c>
      <c r="BJ122" s="202" t="s">
        <v>114</v>
      </c>
      <c r="BK122" s="204">
        <f t="shared" si="1076"/>
        <v>58.109504132231407</v>
      </c>
      <c r="BL122" s="202" t="s">
        <v>114</v>
      </c>
      <c r="BM122" s="204">
        <f t="shared" ref="BM122" si="1077">225000/BM66</f>
        <v>58.109504132231407</v>
      </c>
      <c r="BN122" s="202" t="s">
        <v>114</v>
      </c>
      <c r="BO122" s="204">
        <f t="shared" ref="BO122" si="1078">225000/BO66</f>
        <v>58.109504132231407</v>
      </c>
      <c r="BP122" s="202" t="s">
        <v>114</v>
      </c>
      <c r="BQ122" s="204">
        <f t="shared" ref="BQ122:BS122" si="1079">225000/BQ66</f>
        <v>58.109504132231407</v>
      </c>
      <c r="BR122" s="202" t="s">
        <v>114</v>
      </c>
      <c r="BS122" s="204">
        <f t="shared" si="1079"/>
        <v>58.109504132231407</v>
      </c>
      <c r="BT122" s="202" t="s">
        <v>114</v>
      </c>
      <c r="BU122" s="204">
        <f t="shared" ref="BU122:BW122" si="1080">225000/BU66</f>
        <v>58.109504132231407</v>
      </c>
      <c r="BV122" s="202" t="s">
        <v>114</v>
      </c>
      <c r="BW122" s="204">
        <f t="shared" si="1080"/>
        <v>58.109504132231407</v>
      </c>
      <c r="BX122" s="202" t="s">
        <v>114</v>
      </c>
      <c r="BY122" s="204">
        <f t="shared" ref="BY122:CA122" si="1081">225000/BY66</f>
        <v>58.109504132231407</v>
      </c>
      <c r="BZ122" s="202" t="s">
        <v>114</v>
      </c>
      <c r="CA122" s="204">
        <f t="shared" si="1081"/>
        <v>56.25</v>
      </c>
      <c r="CB122" s="202" t="s">
        <v>114</v>
      </c>
      <c r="CC122" s="204">
        <f t="shared" ref="CC122:CE122" si="1082">225000/CC66</f>
        <v>56.25</v>
      </c>
      <c r="CD122" s="202" t="s">
        <v>114</v>
      </c>
      <c r="CE122" s="204">
        <f t="shared" si="1082"/>
        <v>56.25</v>
      </c>
      <c r="CF122" s="202" t="s">
        <v>114</v>
      </c>
      <c r="CG122" s="204">
        <f t="shared" ref="CG122:CI122" si="1083">225000/CG66</f>
        <v>56.25</v>
      </c>
      <c r="CH122" s="202" t="s">
        <v>114</v>
      </c>
      <c r="CI122" s="204">
        <f t="shared" si="1083"/>
        <v>56.25</v>
      </c>
      <c r="CJ122" s="202" t="s">
        <v>114</v>
      </c>
      <c r="CK122" s="204">
        <f t="shared" ref="CK122" si="1084">225000/CK66</f>
        <v>56.25</v>
      </c>
      <c r="CL122" s="202" t="s">
        <v>114</v>
      </c>
      <c r="CM122" s="204">
        <f>(225000+45000)/CM66</f>
        <v>67.5</v>
      </c>
      <c r="CN122" s="202" t="s">
        <v>114</v>
      </c>
      <c r="CO122" s="204">
        <f t="shared" ref="CO122" si="1085">225000/CO66</f>
        <v>56.25</v>
      </c>
      <c r="CP122" s="202" t="s">
        <v>114</v>
      </c>
      <c r="CQ122" s="204">
        <f t="shared" ref="CQ122" si="1086">225000/CQ66</f>
        <v>56.25</v>
      </c>
      <c r="CR122" s="202" t="s">
        <v>114</v>
      </c>
      <c r="CS122" s="204">
        <f t="shared" ref="CS122:CU122" si="1087">225000/CS66</f>
        <v>56.25</v>
      </c>
      <c r="CT122" s="202" t="s">
        <v>114</v>
      </c>
      <c r="CU122" s="204">
        <f t="shared" si="1087"/>
        <v>56.25</v>
      </c>
      <c r="CV122" s="202" t="s">
        <v>114</v>
      </c>
      <c r="CW122" s="204">
        <f>225000/CW66</f>
        <v>58.109504132231407</v>
      </c>
      <c r="CX122" s="202" t="s">
        <v>114</v>
      </c>
      <c r="CY122" s="204">
        <f>225000/CY66</f>
        <v>58.109504132231407</v>
      </c>
      <c r="CZ122" s="202" t="s">
        <v>114</v>
      </c>
      <c r="DA122" s="204">
        <f>225000/DA66</f>
        <v>58.109504132231407</v>
      </c>
      <c r="DB122" s="202" t="s">
        <v>114</v>
      </c>
      <c r="DC122" s="204">
        <f>225000/DC66</f>
        <v>58.109504132231407</v>
      </c>
      <c r="DD122" s="202" t="s">
        <v>114</v>
      </c>
      <c r="DE122" s="204">
        <f>225000/DE66</f>
        <v>58.109504132231407</v>
      </c>
      <c r="DF122" s="202" t="s">
        <v>114</v>
      </c>
      <c r="DG122" s="204">
        <f>225000/DG66</f>
        <v>58.109504132231407</v>
      </c>
      <c r="DH122" s="202" t="s">
        <v>114</v>
      </c>
      <c r="DI122" s="204">
        <f>225000/DI66</f>
        <v>58.109504132231407</v>
      </c>
      <c r="DJ122" s="202" t="s">
        <v>114</v>
      </c>
      <c r="DK122" s="204">
        <f>225000/DK66</f>
        <v>58.109504132231407</v>
      </c>
    </row>
    <row r="123" spans="1:115" s="4" customFormat="1" ht="18" customHeight="1" outlineLevel="2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643.09788223140492</v>
      </c>
      <c r="H123" s="208" t="s">
        <v>114</v>
      </c>
      <c r="I123" s="209">
        <f>(175*I79)/I66</f>
        <v>643.09788223140492</v>
      </c>
      <c r="J123" s="208" t="s">
        <v>114</v>
      </c>
      <c r="K123" s="209">
        <f>(175*K79)/K66</f>
        <v>643.09788223140492</v>
      </c>
      <c r="L123" s="208" t="s">
        <v>114</v>
      </c>
      <c r="M123" s="209">
        <f>(175*M79)/M66</f>
        <v>643.09788223140492</v>
      </c>
      <c r="N123" s="208" t="s">
        <v>114</v>
      </c>
      <c r="O123" s="209">
        <f>(175*O79)/O66</f>
        <v>647.61751033057851</v>
      </c>
      <c r="P123" s="208" t="s">
        <v>114</v>
      </c>
      <c r="Q123" s="209">
        <f>(175*Q79)/Q66</f>
        <v>641.78719008264466</v>
      </c>
      <c r="R123" s="208" t="s">
        <v>114</v>
      </c>
      <c r="S123" s="209">
        <f>(175*S79)/S66</f>
        <v>641.78719008264466</v>
      </c>
      <c r="T123" s="208" t="s">
        <v>114</v>
      </c>
      <c r="U123" s="209">
        <f>(175*U79)/U66</f>
        <v>648.70222107438019</v>
      </c>
      <c r="V123" s="208" t="s">
        <v>114</v>
      </c>
      <c r="W123" s="209">
        <f>(175*W79)/W66</f>
        <v>648.43104338842977</v>
      </c>
      <c r="X123" s="208" t="s">
        <v>114</v>
      </c>
      <c r="Y123" s="209">
        <f>(175*Y79)/Y66</f>
        <v>649.33496900826447</v>
      </c>
      <c r="Z123" s="208" t="s">
        <v>114</v>
      </c>
      <c r="AA123" s="209">
        <f>(175*AA79)/AA66</f>
        <v>660.63403925619832</v>
      </c>
      <c r="AB123" s="208" t="s">
        <v>114</v>
      </c>
      <c r="AC123" s="209">
        <f>(175*AC79)/AC66</f>
        <v>663.16503099173553</v>
      </c>
      <c r="AD123" s="208" t="s">
        <v>114</v>
      </c>
      <c r="AE123" s="209">
        <f>(175*AE79)/AE66</f>
        <v>676.9950929752066</v>
      </c>
      <c r="AF123" s="208" t="s">
        <v>114</v>
      </c>
      <c r="AG123" s="209">
        <f>(175*AG79)/AG66</f>
        <v>671.3003615702479</v>
      </c>
      <c r="AH123" s="208" t="s">
        <v>114</v>
      </c>
      <c r="AI123" s="209">
        <f>(175*AI79)/AI66</f>
        <v>679.61647727272725</v>
      </c>
      <c r="AJ123" s="208" t="s">
        <v>114</v>
      </c>
      <c r="AK123" s="209">
        <f>(175*AK79)/AK66</f>
        <v>696.83626033057851</v>
      </c>
      <c r="AL123" s="208" t="s">
        <v>114</v>
      </c>
      <c r="AM123" s="209">
        <f>(175*AM79)/AM66</f>
        <v>707.09581611570252</v>
      </c>
      <c r="AN123" s="208" t="s">
        <v>114</v>
      </c>
      <c r="AO123" s="209">
        <f>(175*AO79)/AO66</f>
        <v>706.10149793388427</v>
      </c>
      <c r="AP123" s="208" t="s">
        <v>114</v>
      </c>
      <c r="AQ123" s="209">
        <f>(175*AQ79)/AQ66</f>
        <v>692.90418388429748</v>
      </c>
      <c r="AR123" s="208" t="s">
        <v>114</v>
      </c>
      <c r="AS123" s="209">
        <f>(175*AS79)/AS66</f>
        <v>682.05707644628103</v>
      </c>
      <c r="AT123" s="208" t="s">
        <v>114</v>
      </c>
      <c r="AU123" s="209">
        <f>(175*AU79)/AU66</f>
        <v>690.37319214876038</v>
      </c>
      <c r="AV123" s="208" t="s">
        <v>114</v>
      </c>
      <c r="AW123" s="209">
        <f>(175*AW79)/AW66</f>
        <v>671.48114669421489</v>
      </c>
      <c r="AX123" s="208" t="s">
        <v>114</v>
      </c>
      <c r="AY123" s="209">
        <f>(175*AY79)/AY66</f>
        <v>668.04622933884298</v>
      </c>
      <c r="AZ123" s="208" t="s">
        <v>114</v>
      </c>
      <c r="BA123" s="209">
        <f>(175*BA79)/BA66</f>
        <v>674.82567148760336</v>
      </c>
      <c r="BB123" s="208" t="s">
        <v>114</v>
      </c>
      <c r="BC123" s="209">
        <f>(175*BC79)/BC66</f>
        <v>679.02892561983469</v>
      </c>
      <c r="BD123" s="208" t="s">
        <v>114</v>
      </c>
      <c r="BE123" s="209">
        <f>(175*BE79)/BE66</f>
        <v>688.6105371900826</v>
      </c>
      <c r="BF123" s="208" t="s">
        <v>114</v>
      </c>
      <c r="BG123" s="209">
        <f t="shared" ref="BG123" si="1088">(175*BG79)/BG66</f>
        <v>693.08496900826447</v>
      </c>
      <c r="BH123" s="208" t="s">
        <v>114</v>
      </c>
      <c r="BI123" s="209">
        <f t="shared" ref="BI123:BK123" si="1089">(175*BI79)/BI66</f>
        <v>710.16916322314046</v>
      </c>
      <c r="BJ123" s="208" t="s">
        <v>114</v>
      </c>
      <c r="BK123" s="209">
        <f t="shared" si="1089"/>
        <v>709.08445247933889</v>
      </c>
      <c r="BL123" s="208" t="s">
        <v>114</v>
      </c>
      <c r="BM123" s="209">
        <f t="shared" ref="BM123" si="1090">(175*BM79)/BM66</f>
        <v>701.44628099173553</v>
      </c>
      <c r="BN123" s="208" t="s">
        <v>114</v>
      </c>
      <c r="BO123" s="209">
        <f t="shared" ref="BO123" si="1091">(175*BO79)/BO66</f>
        <v>704.24845041322317</v>
      </c>
      <c r="BP123" s="208" t="s">
        <v>114</v>
      </c>
      <c r="BQ123" s="209">
        <f t="shared" ref="BQ123:BS123" si="1092">(175*BQ79)/BQ66</f>
        <v>709.62680785123962</v>
      </c>
      <c r="BR123" s="208" t="s">
        <v>114</v>
      </c>
      <c r="BS123" s="209">
        <f t="shared" si="1092"/>
        <v>708.76807851239664</v>
      </c>
      <c r="BT123" s="208" t="s">
        <v>114</v>
      </c>
      <c r="BU123" s="209">
        <f t="shared" ref="BU123:BW123" si="1093">(175*BU79)/BU66</f>
        <v>726.07825413223145</v>
      </c>
      <c r="BV123" s="208" t="s">
        <v>114</v>
      </c>
      <c r="BW123" s="209">
        <f t="shared" si="1093"/>
        <v>726.62060950413218</v>
      </c>
      <c r="BX123" s="208" t="s">
        <v>114</v>
      </c>
      <c r="BY123" s="209">
        <f t="shared" ref="BY123:CA123" si="1094">(175*BY79)/BY66</f>
        <v>736.11182851239664</v>
      </c>
      <c r="BZ123" s="208" t="s">
        <v>114</v>
      </c>
      <c r="CA123" s="209">
        <f t="shared" si="1094"/>
        <v>711.55</v>
      </c>
      <c r="CB123" s="208" t="s">
        <v>114</v>
      </c>
      <c r="CC123" s="209">
        <f t="shared" ref="CC123:CE123" si="1095">(175*CC79)/CC66</f>
        <v>698.55624999999998</v>
      </c>
      <c r="CD123" s="208" t="s">
        <v>114</v>
      </c>
      <c r="CE123" s="209">
        <f t="shared" si="1095"/>
        <v>673.00625000000002</v>
      </c>
      <c r="CF123" s="208" t="s">
        <v>114</v>
      </c>
      <c r="CG123" s="209">
        <f t="shared" ref="CG123:CI123" si="1096">(175*CG79)/CG66</f>
        <v>677.25</v>
      </c>
      <c r="CH123" s="208" t="s">
        <v>114</v>
      </c>
      <c r="CI123" s="209">
        <f t="shared" si="1096"/>
        <v>689.89374999999995</v>
      </c>
      <c r="CJ123" s="208" t="s">
        <v>114</v>
      </c>
      <c r="CK123" s="209">
        <f t="shared" ref="CK123" si="1097">(175*CK79)/CK66</f>
        <v>698.77499999999998</v>
      </c>
      <c r="CL123" s="208" t="s">
        <v>114</v>
      </c>
      <c r="CM123" s="209">
        <f t="shared" ref="CM123" si="1098">(175*CM79)/CM66</f>
        <v>700</v>
      </c>
      <c r="CN123" s="208" t="s">
        <v>114</v>
      </c>
      <c r="CO123" s="209">
        <f t="shared" ref="CO123" si="1099">(175*CO79)/CO66</f>
        <v>700</v>
      </c>
      <c r="CP123" s="208" t="s">
        <v>114</v>
      </c>
      <c r="CQ123" s="209">
        <f t="shared" ref="CQ123" si="1100">(175*CQ79)/CQ66</f>
        <v>700</v>
      </c>
      <c r="CR123" s="208" t="s">
        <v>114</v>
      </c>
      <c r="CS123" s="209">
        <f t="shared" ref="CS123:CU123" si="1101">(175*CS79)/CS66</f>
        <v>686.08749999999998</v>
      </c>
      <c r="CT123" s="208" t="s">
        <v>114</v>
      </c>
      <c r="CU123" s="209">
        <f t="shared" si="1101"/>
        <v>686.08749999999998</v>
      </c>
      <c r="CV123" s="208" t="s">
        <v>114</v>
      </c>
      <c r="CW123" s="209">
        <f>(175*CW79)/CW66</f>
        <v>648.11604897010784</v>
      </c>
      <c r="CX123" s="208" t="s">
        <v>114</v>
      </c>
      <c r="CY123" s="209">
        <f>(175*CY79)/CY66</f>
        <v>658.08829389203629</v>
      </c>
      <c r="CZ123" s="208" t="s">
        <v>114</v>
      </c>
      <c r="DA123" s="209">
        <f>(175*DA79)/DA66</f>
        <v>677.46219618175314</v>
      </c>
      <c r="DB123" s="208" t="s">
        <v>114</v>
      </c>
      <c r="DC123" s="209">
        <f>(175*DC79)/DC66</f>
        <v>677.94421487603302</v>
      </c>
      <c r="DD123" s="208" t="s">
        <v>114</v>
      </c>
      <c r="DE123" s="209">
        <f>(175*DE79)/DE66</f>
        <v>652.47454902006893</v>
      </c>
      <c r="DF123" s="208" t="s">
        <v>114</v>
      </c>
      <c r="DG123" s="209">
        <f>(175*DG79)/DG66</f>
        <v>668.90495867768595</v>
      </c>
      <c r="DH123" s="208" t="s">
        <v>114</v>
      </c>
      <c r="DI123" s="209">
        <f>(175*DI79)/DI66</f>
        <v>696.02272727272725</v>
      </c>
      <c r="DJ123" s="208" t="s">
        <v>114</v>
      </c>
      <c r="DK123" s="209">
        <f>(175*DK79)/DK66</f>
        <v>696.02272727272725</v>
      </c>
    </row>
    <row r="124" spans="1:115" ht="15" customHeight="1" outlineLevel="1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359"/>
      <c r="O124" s="1094">
        <f>O99+N72</f>
        <v>6.239525414606667E-2</v>
      </c>
      <c r="P124" s="1095"/>
      <c r="Q124" s="1094"/>
      <c r="R124" s="1095"/>
      <c r="S124" s="1094"/>
      <c r="T124" s="1095"/>
      <c r="U124" s="1094">
        <f>U99+T72</f>
        <v>2.1855400501069679E-2</v>
      </c>
      <c r="V124" s="1095"/>
      <c r="W124" s="1094">
        <f>W99+V72</f>
        <v>1.932140711704021E-2</v>
      </c>
      <c r="X124" s="1095"/>
      <c r="Y124" s="1094">
        <f>Y99+X72</f>
        <v>-2.0153959375097372E-2</v>
      </c>
      <c r="Z124" s="1095"/>
      <c r="AA124" s="1094">
        <f>AA99+Z72</f>
        <v>3.3752941726477678E-2</v>
      </c>
      <c r="AB124" s="1095"/>
      <c r="AC124" s="1094">
        <f>AC99+AB72</f>
        <v>5.9769853653482634E-2</v>
      </c>
      <c r="AD124" s="1095"/>
      <c r="AE124" s="1094">
        <f>AE99+AD72</f>
        <v>6.5165068852384447E-2</v>
      </c>
      <c r="AF124" s="1095"/>
      <c r="AG124" s="1094">
        <f>AG99+AF72</f>
        <v>8.3688339609186632E-2</v>
      </c>
      <c r="AH124" s="1095"/>
      <c r="AI124" s="1094">
        <f>AI99+AH72</f>
        <v>0.14126849967392607</v>
      </c>
      <c r="AJ124" s="1095"/>
      <c r="AK124" s="1094">
        <f>AK99+AJ72</f>
        <v>0.16983104928401213</v>
      </c>
      <c r="AL124" s="1095"/>
      <c r="AM124" s="1094">
        <f>AM99+AL72</f>
        <v>0.18615896292528891</v>
      </c>
      <c r="AN124" s="1095"/>
      <c r="AO124" s="1094">
        <f>AO99+AN72</f>
        <v>0.13295235715132983</v>
      </c>
      <c r="AP124" s="1095"/>
      <c r="AQ124" s="1094">
        <f>AQ99+AP72</f>
        <v>0.10803994843058477</v>
      </c>
      <c r="AR124" s="1095"/>
      <c r="AS124" s="1094">
        <f>AS99+AR72</f>
        <v>0.10244255132022126</v>
      </c>
      <c r="AT124" s="1095"/>
      <c r="AU124" s="1094">
        <f>AU99+AT72</f>
        <v>0.12597820828256123</v>
      </c>
      <c r="AV124" s="1095"/>
      <c r="AW124" s="1094">
        <f>AW99+AV72</f>
        <v>8.8396019912256776E-2</v>
      </c>
      <c r="AX124" s="1095"/>
      <c r="AY124" s="1094">
        <f>AY99+AX72</f>
        <v>8.5198459458936532E-2</v>
      </c>
      <c r="AZ124" s="1095"/>
      <c r="BA124" s="1094">
        <f>BA99+AZ72</f>
        <v>0.1132854433087658</v>
      </c>
      <c r="BB124" s="1095"/>
      <c r="BC124" s="1094">
        <f>BC99+BB72</f>
        <v>0.12623410347607719</v>
      </c>
      <c r="BD124" s="1095"/>
      <c r="BE124" s="1094">
        <f>BE99+BD72</f>
        <v>0.14611225875022976</v>
      </c>
      <c r="BF124" s="1095"/>
      <c r="BG124" s="1094">
        <f t="shared" ref="BG124" si="1102">BG99+BF72</f>
        <v>0.13359018345929788</v>
      </c>
      <c r="BH124" s="1095"/>
      <c r="BI124" s="1094">
        <f t="shared" ref="BI124:BK124" si="1103">BI99+BH72</f>
        <v>6.8714544878624773E-2</v>
      </c>
      <c r="BJ124" s="1095"/>
      <c r="BK124" s="1094">
        <f t="shared" si="1103"/>
        <v>7.3197005015186986E-2</v>
      </c>
      <c r="BL124" s="1095"/>
      <c r="BM124" s="1094">
        <f t="shared" ref="BM124" si="1104">BM99+BL72</f>
        <v>6.9115816529856988E-2</v>
      </c>
      <c r="BN124" s="1095"/>
      <c r="BO124" s="1094">
        <f t="shared" ref="BO124" si="1105">BO99+BN72</f>
        <v>0.12615326037281444</v>
      </c>
      <c r="BP124" s="1095"/>
      <c r="BQ124" s="1094">
        <f t="shared" ref="BQ124" si="1106">BQ99+BP72</f>
        <v>0.1079098586647325</v>
      </c>
      <c r="BR124" s="1095"/>
      <c r="BS124" s="1094">
        <f t="shared" ref="BS124" si="1107">BS99+BR72</f>
        <v>0.11460981946251698</v>
      </c>
      <c r="BT124" s="1095"/>
      <c r="BU124" s="1094">
        <f t="shared" ref="BU124" si="1108">BU99+BT72</f>
        <v>9.62550411451185E-2</v>
      </c>
      <c r="BV124" s="1095"/>
      <c r="BW124" s="1094">
        <f t="shared" ref="BW124" si="1109">BW99+BV72</f>
        <v>0.1137273975108376</v>
      </c>
      <c r="BX124" s="1095"/>
      <c r="BY124" s="1094">
        <f t="shared" ref="BY124" si="1110">BY99+BX72</f>
        <v>0.10138446202240814</v>
      </c>
      <c r="BZ124" s="1095"/>
      <c r="CA124" s="1094">
        <f t="shared" ref="CA124" si="1111">CA99+BZ72</f>
        <v>0.14627441030992738</v>
      </c>
      <c r="CB124" s="1095"/>
      <c r="CC124" s="1094">
        <f t="shared" ref="CC124" si="1112">CC99+CB72</f>
        <v>0.15035296088781416</v>
      </c>
      <c r="CD124" s="1095"/>
      <c r="CE124" s="1094">
        <f t="shared" ref="CE124" si="1113">CE99+CD72</f>
        <v>8.1029633706765108E-2</v>
      </c>
      <c r="CF124" s="1095"/>
      <c r="CG124" s="1094">
        <f t="shared" ref="CG124" si="1114">CG99+CF72</f>
        <v>8.0841817602093219E-2</v>
      </c>
      <c r="CH124" s="1095"/>
      <c r="CI124" s="1094">
        <f t="shared" ref="CI124" si="1115">CI99+CH72</f>
        <v>0.13323866796932604</v>
      </c>
      <c r="CJ124" s="1095"/>
      <c r="CK124" s="1094">
        <f t="shared" ref="CK124" si="1116">CK99+CJ72</f>
        <v>6.3461458384973163E-2</v>
      </c>
      <c r="CL124" s="1095"/>
      <c r="CM124" s="1094">
        <f t="shared" ref="CM124" si="1117">CM99+CL72</f>
        <v>2.2453808245091654E-2</v>
      </c>
      <c r="CN124" s="1095"/>
      <c r="CO124" s="1094">
        <f t="shared" ref="CO124" si="1118">CO99+CN72</f>
        <v>0.12559659674656712</v>
      </c>
      <c r="CP124" s="1095"/>
      <c r="CQ124" s="1094">
        <f t="shared" ref="CQ124" si="1119">CQ99+CP72</f>
        <v>0.10256410256410267</v>
      </c>
      <c r="CR124" s="1095"/>
      <c r="CS124" s="1094">
        <f t="shared" ref="CS124" si="1120">CS99+CR72</f>
        <v>0.12365338288441928</v>
      </c>
      <c r="CT124" s="1095"/>
      <c r="CU124" s="1094">
        <f t="shared" ref="CU124" si="1121">CU99+CT72</f>
        <v>0.12365338288441928</v>
      </c>
      <c r="CV124" s="1095"/>
      <c r="CW124" s="1094">
        <f>CW99+CV72</f>
        <v>3.9677163854619654E-2</v>
      </c>
      <c r="CX124" s="1095"/>
      <c r="CY124" s="1094">
        <f>CY99+CX72</f>
        <v>2.7269983612046092E-2</v>
      </c>
      <c r="CZ124" s="1095"/>
      <c r="DA124" s="1094">
        <f>DA99+CZ72</f>
        <v>0.11372368769378949</v>
      </c>
      <c r="DB124" s="1095"/>
      <c r="DC124" s="1094">
        <f>DC99+DB72</f>
        <v>6.3000931071884536E-2</v>
      </c>
      <c r="DD124" s="1095"/>
      <c r="DE124" s="1094">
        <f>DE99+DD72</f>
        <v>3.4008833130944688E-2</v>
      </c>
      <c r="DF124" s="1095"/>
      <c r="DG124" s="1094">
        <f>DG99+DF72</f>
        <v>0.10427881880210044</v>
      </c>
      <c r="DH124" s="1095"/>
      <c r="DI124" s="1094">
        <f>DI99+DH72</f>
        <v>6.1020070838252657E-2</v>
      </c>
      <c r="DJ124" s="1095"/>
      <c r="DK124" s="1094">
        <f>DK99+DJ72</f>
        <v>7.0895844731764968E-2</v>
      </c>
    </row>
    <row r="125" spans="1:115" ht="15" customHeight="1" outlineLevel="3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33580560</v>
      </c>
      <c r="H125" s="214"/>
      <c r="I125" s="215">
        <v>33580560</v>
      </c>
      <c r="J125" s="214"/>
      <c r="K125" s="215">
        <v>33580560</v>
      </c>
      <c r="L125" s="214"/>
      <c r="M125" s="215">
        <v>33580560</v>
      </c>
      <c r="N125" s="214"/>
      <c r="O125" s="215">
        <v>33580560</v>
      </c>
      <c r="P125" s="214"/>
      <c r="Q125" s="215">
        <v>33580560</v>
      </c>
      <c r="R125" s="214"/>
      <c r="S125" s="215">
        <v>33580560</v>
      </c>
      <c r="T125" s="214"/>
      <c r="U125" s="215">
        <v>33580560</v>
      </c>
      <c r="V125" s="214"/>
      <c r="W125" s="215">
        <v>33580560</v>
      </c>
      <c r="X125" s="214"/>
      <c r="Y125" s="215">
        <v>33580560</v>
      </c>
      <c r="Z125" s="214"/>
      <c r="AA125" s="215">
        <v>33580560</v>
      </c>
      <c r="AB125" s="214"/>
      <c r="AC125" s="215">
        <v>33580560</v>
      </c>
      <c r="AD125" s="214"/>
      <c r="AE125" s="215">
        <v>33580560</v>
      </c>
      <c r="AF125" s="214"/>
      <c r="AG125" s="215">
        <v>33580560</v>
      </c>
      <c r="AH125" s="214"/>
      <c r="AI125" s="215">
        <v>33580560</v>
      </c>
      <c r="AJ125" s="214"/>
      <c r="AK125" s="215">
        <v>33580560</v>
      </c>
      <c r="AL125" s="214"/>
      <c r="AM125" s="215">
        <v>33580560</v>
      </c>
      <c r="AN125" s="214"/>
      <c r="AO125" s="215">
        <v>33580560</v>
      </c>
      <c r="AP125" s="214"/>
      <c r="AQ125" s="215">
        <v>33580560</v>
      </c>
      <c r="AR125" s="214"/>
      <c r="AS125" s="215">
        <v>33580560</v>
      </c>
      <c r="AT125" s="214"/>
      <c r="AU125" s="215">
        <v>33580560</v>
      </c>
      <c r="AV125" s="214"/>
      <c r="AW125" s="215">
        <v>33580560</v>
      </c>
      <c r="AX125" s="214"/>
      <c r="AY125" s="215">
        <v>33580560</v>
      </c>
      <c r="AZ125" s="214"/>
      <c r="BA125" s="215">
        <v>33580560</v>
      </c>
      <c r="BB125" s="214"/>
      <c r="BC125" s="215">
        <v>33580560</v>
      </c>
      <c r="BD125" s="214"/>
      <c r="BE125" s="215">
        <v>33580560</v>
      </c>
      <c r="BF125" s="214"/>
      <c r="BG125" s="215">
        <v>33580560</v>
      </c>
      <c r="BH125" s="214"/>
      <c r="BI125" s="215">
        <v>33580560</v>
      </c>
      <c r="BJ125" s="214"/>
      <c r="BK125" s="215">
        <v>33580560</v>
      </c>
      <c r="BL125" s="214"/>
      <c r="BM125" s="215">
        <v>33580560</v>
      </c>
      <c r="BN125" s="214"/>
      <c r="BO125" s="215">
        <v>33580560</v>
      </c>
      <c r="BP125" s="214"/>
      <c r="BQ125" s="215">
        <v>33580560</v>
      </c>
      <c r="BR125" s="214"/>
      <c r="BS125" s="215">
        <v>33580560</v>
      </c>
      <c r="BT125" s="214"/>
      <c r="BU125" s="215">
        <v>33580560</v>
      </c>
      <c r="BV125" s="214"/>
      <c r="BW125" s="215">
        <v>33580560</v>
      </c>
      <c r="BX125" s="214"/>
      <c r="BY125" s="215">
        <v>33580560</v>
      </c>
      <c r="BZ125" s="214"/>
      <c r="CA125" s="215">
        <v>33580560</v>
      </c>
      <c r="CB125" s="214"/>
      <c r="CC125" s="215">
        <v>33580560</v>
      </c>
      <c r="CD125" s="214"/>
      <c r="CE125" s="215">
        <v>33580560</v>
      </c>
      <c r="CF125" s="214"/>
      <c r="CG125" s="215">
        <v>33580560</v>
      </c>
      <c r="CH125" s="214"/>
      <c r="CI125" s="215">
        <v>33580560</v>
      </c>
      <c r="CJ125" s="214"/>
      <c r="CK125" s="215">
        <v>33580560</v>
      </c>
      <c r="CL125" s="214"/>
      <c r="CM125" s="215">
        <v>33580560</v>
      </c>
      <c r="CN125" s="214"/>
      <c r="CO125" s="215">
        <v>33580560</v>
      </c>
      <c r="CP125" s="214"/>
      <c r="CQ125" s="215">
        <v>33580560</v>
      </c>
      <c r="CR125" s="214"/>
      <c r="CS125" s="215">
        <v>33580560</v>
      </c>
      <c r="CT125" s="214"/>
      <c r="CU125" s="215">
        <v>33580560</v>
      </c>
      <c r="CV125" s="214"/>
      <c r="CW125" s="215">
        <v>33580560</v>
      </c>
      <c r="CX125" s="214"/>
      <c r="CY125" s="215">
        <v>33580560</v>
      </c>
      <c r="CZ125" s="214"/>
      <c r="DA125" s="215">
        <v>33580560</v>
      </c>
      <c r="DB125" s="214"/>
      <c r="DC125" s="215">
        <v>33580560</v>
      </c>
      <c r="DD125" s="214"/>
      <c r="DE125" s="215">
        <v>33580560</v>
      </c>
      <c r="DF125" s="214"/>
      <c r="DG125" s="215">
        <v>33580560</v>
      </c>
      <c r="DH125" s="214"/>
      <c r="DI125" s="215">
        <v>33580560</v>
      </c>
      <c r="DJ125" s="214"/>
      <c r="DK125" s="215">
        <v>33580560</v>
      </c>
    </row>
    <row r="126" spans="1:115" ht="15" customHeight="1" outlineLevel="3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>
        <f>O125/O10</f>
        <v>839514</v>
      </c>
      <c r="P126" s="214"/>
      <c r="Q126" s="215">
        <f>Q125/Q10</f>
        <v>839514</v>
      </c>
      <c r="R126" s="214"/>
      <c r="S126" s="215">
        <f>S125/S10</f>
        <v>839514</v>
      </c>
      <c r="T126" s="214"/>
      <c r="U126" s="215">
        <f>U125/U10</f>
        <v>839514</v>
      </c>
      <c r="V126" s="214"/>
      <c r="W126" s="215">
        <f>W125/W10</f>
        <v>839514</v>
      </c>
      <c r="X126" s="214"/>
      <c r="Y126" s="215">
        <f>Y125/Y10</f>
        <v>839514</v>
      </c>
      <c r="Z126" s="214"/>
      <c r="AA126" s="215">
        <f>AA125/AA10</f>
        <v>839514</v>
      </c>
      <c r="AB126" s="214"/>
      <c r="AC126" s="215">
        <f>AC125/AC10</f>
        <v>839514</v>
      </c>
      <c r="AD126" s="214"/>
      <c r="AE126" s="215">
        <f>AE125/AE10</f>
        <v>839514</v>
      </c>
      <c r="AF126" s="214"/>
      <c r="AG126" s="215">
        <f>AG125/AG10</f>
        <v>839514</v>
      </c>
      <c r="AH126" s="214"/>
      <c r="AI126" s="215">
        <f>AI125/AI10</f>
        <v>839514</v>
      </c>
      <c r="AJ126" s="214"/>
      <c r="AK126" s="215">
        <f>AK125/AK10</f>
        <v>839514</v>
      </c>
      <c r="AL126" s="214"/>
      <c r="AM126" s="215">
        <f>AM125/AM10</f>
        <v>839514</v>
      </c>
      <c r="AN126" s="214"/>
      <c r="AO126" s="215">
        <f>AO125/AO10</f>
        <v>839514</v>
      </c>
      <c r="AP126" s="214"/>
      <c r="AQ126" s="215">
        <f>AQ125/AQ10</f>
        <v>839514</v>
      </c>
      <c r="AR126" s="214"/>
      <c r="AS126" s="215">
        <f>AS125/AS10</f>
        <v>839514</v>
      </c>
      <c r="AT126" s="214"/>
      <c r="AU126" s="215">
        <f>AU125/AU10</f>
        <v>839514</v>
      </c>
      <c r="AV126" s="214"/>
      <c r="AW126" s="215">
        <f>AW125/AW10</f>
        <v>839514</v>
      </c>
      <c r="AX126" s="214"/>
      <c r="AY126" s="215">
        <f>AY125/AY10</f>
        <v>839514</v>
      </c>
      <c r="AZ126" s="214"/>
      <c r="BA126" s="215">
        <f>BA125/BA10</f>
        <v>839514</v>
      </c>
      <c r="BB126" s="214"/>
      <c r="BC126" s="215">
        <f>BC125/BC10</f>
        <v>839514</v>
      </c>
      <c r="BD126" s="214"/>
      <c r="BE126" s="215">
        <f>BE125/BE10</f>
        <v>839514</v>
      </c>
      <c r="BF126" s="214"/>
      <c r="BG126" s="215">
        <f>BG125/BG10</f>
        <v>839514</v>
      </c>
      <c r="BH126" s="214"/>
      <c r="BI126" s="215">
        <f>BI125/BI10</f>
        <v>839514</v>
      </c>
      <c r="BJ126" s="214"/>
      <c r="BK126" s="215">
        <f>BK125/BK10</f>
        <v>839514</v>
      </c>
      <c r="BL126" s="214"/>
      <c r="BM126" s="215">
        <f>BM125/BM10</f>
        <v>839514</v>
      </c>
      <c r="BN126" s="214"/>
      <c r="BO126" s="215">
        <f>BO125/BO10</f>
        <v>839514</v>
      </c>
      <c r="BP126" s="214"/>
      <c r="BQ126" s="215">
        <f>BQ125/BQ10</f>
        <v>839514</v>
      </c>
      <c r="BR126" s="214"/>
      <c r="BS126" s="215">
        <f>BS125/BS10</f>
        <v>839514</v>
      </c>
      <c r="BT126" s="214"/>
      <c r="BU126" s="215">
        <f>BU125/BU10</f>
        <v>839514</v>
      </c>
      <c r="BV126" s="214"/>
      <c r="BW126" s="215">
        <f>BW125/BW10</f>
        <v>839514</v>
      </c>
      <c r="BX126" s="214"/>
      <c r="BY126" s="215">
        <f>BY125/BY10</f>
        <v>839514</v>
      </c>
      <c r="BZ126" s="214"/>
      <c r="CA126" s="215">
        <f>CA125/CA10</f>
        <v>839514</v>
      </c>
      <c r="CB126" s="214"/>
      <c r="CC126" s="215">
        <f>CC125/CC10</f>
        <v>839514</v>
      </c>
      <c r="CD126" s="214"/>
      <c r="CE126" s="215">
        <f>CE125/CE10</f>
        <v>839514</v>
      </c>
      <c r="CF126" s="214"/>
      <c r="CG126" s="215">
        <f>CG125/CG10</f>
        <v>839514</v>
      </c>
      <c r="CH126" s="214"/>
      <c r="CI126" s="215">
        <f>CI125/CI10</f>
        <v>839514</v>
      </c>
      <c r="CJ126" s="214"/>
      <c r="CK126" s="215">
        <f>CK125/CK10</f>
        <v>839514</v>
      </c>
      <c r="CL126" s="214"/>
      <c r="CM126" s="215">
        <f>CM125/CM10</f>
        <v>839514</v>
      </c>
      <c r="CN126" s="214"/>
      <c r="CO126" s="215">
        <f>CO125/CO10</f>
        <v>839514</v>
      </c>
      <c r="CP126" s="214"/>
      <c r="CQ126" s="215">
        <f>CQ125/CQ10</f>
        <v>839514</v>
      </c>
      <c r="CR126" s="214"/>
      <c r="CS126" s="215">
        <f>CS125/CS10</f>
        <v>839514</v>
      </c>
      <c r="CT126" s="214"/>
      <c r="CU126" s="215">
        <f>CU125/CU10</f>
        <v>839514</v>
      </c>
      <c r="CV126" s="214"/>
      <c r="CW126" s="215">
        <f>CW125/CW10</f>
        <v>839514</v>
      </c>
      <c r="CX126" s="214"/>
      <c r="CY126" s="215">
        <f>CY125/CY10</f>
        <v>839514</v>
      </c>
      <c r="CZ126" s="214"/>
      <c r="DA126" s="215">
        <f>DA125/DA10</f>
        <v>839514</v>
      </c>
      <c r="DB126" s="214"/>
      <c r="DC126" s="215">
        <f>DC125/DC10</f>
        <v>839514</v>
      </c>
      <c r="DD126" s="214"/>
      <c r="DE126" s="215">
        <f>DE125/DE10</f>
        <v>839514</v>
      </c>
      <c r="DF126" s="214"/>
      <c r="DG126" s="215">
        <f>DG125/DG10</f>
        <v>839514</v>
      </c>
      <c r="DH126" s="214"/>
      <c r="DI126" s="215">
        <f>DI125/DI10</f>
        <v>839514</v>
      </c>
      <c r="DJ126" s="214"/>
      <c r="DK126" s="215">
        <f>DK125/DK10</f>
        <v>839514</v>
      </c>
    </row>
    <row r="127" spans="1:115" ht="15" customHeight="1" outlineLevel="3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>
        <f>O126/O66</f>
        <v>216.81663223140495</v>
      </c>
      <c r="P127" s="214"/>
      <c r="Q127" s="215">
        <f>Q126/Q66</f>
        <v>216.81663223140495</v>
      </c>
      <c r="R127" s="214"/>
      <c r="S127" s="215">
        <f>S126/S66</f>
        <v>216.81663223140495</v>
      </c>
      <c r="T127" s="214"/>
      <c r="U127" s="215">
        <f>U126/U66</f>
        <v>216.81663223140495</v>
      </c>
      <c r="V127" s="214"/>
      <c r="W127" s="215">
        <f>W126/W66</f>
        <v>216.81663223140495</v>
      </c>
      <c r="X127" s="214"/>
      <c r="Y127" s="215">
        <f>Y126/Y66</f>
        <v>216.81663223140495</v>
      </c>
      <c r="Z127" s="214"/>
      <c r="AA127" s="215">
        <f>AA126/AA66</f>
        <v>216.81663223140495</v>
      </c>
      <c r="AB127" s="214"/>
      <c r="AC127" s="215">
        <f>AC126/AC66</f>
        <v>216.81663223140495</v>
      </c>
      <c r="AD127" s="214"/>
      <c r="AE127" s="215">
        <f>AE126/AE66</f>
        <v>216.81663223140495</v>
      </c>
      <c r="AF127" s="214"/>
      <c r="AG127" s="215">
        <f>AG126/AG66</f>
        <v>216.81663223140495</v>
      </c>
      <c r="AH127" s="214"/>
      <c r="AI127" s="215">
        <f>AI126/AI66</f>
        <v>216.81663223140495</v>
      </c>
      <c r="AJ127" s="214"/>
      <c r="AK127" s="215">
        <f>AK126/AK66</f>
        <v>216.81663223140495</v>
      </c>
      <c r="AL127" s="214"/>
      <c r="AM127" s="215">
        <f>AM126/AM66</f>
        <v>216.81663223140495</v>
      </c>
      <c r="AN127" s="214"/>
      <c r="AO127" s="215">
        <f>AO126/AO66</f>
        <v>216.81663223140495</v>
      </c>
      <c r="AP127" s="214"/>
      <c r="AQ127" s="215">
        <f>AQ126/AQ66</f>
        <v>216.81663223140495</v>
      </c>
      <c r="AR127" s="214"/>
      <c r="AS127" s="215">
        <f>AS126/AS66</f>
        <v>216.81663223140495</v>
      </c>
      <c r="AT127" s="214"/>
      <c r="AU127" s="215">
        <f>AU126/AU66</f>
        <v>216.81663223140495</v>
      </c>
      <c r="AV127" s="214"/>
      <c r="AW127" s="215">
        <f>AW126/AW66</f>
        <v>216.81663223140495</v>
      </c>
      <c r="AX127" s="214"/>
      <c r="AY127" s="215">
        <f>AY126/AY66</f>
        <v>216.81663223140495</v>
      </c>
      <c r="AZ127" s="214"/>
      <c r="BA127" s="215">
        <f>BA126/BA66</f>
        <v>216.81663223140495</v>
      </c>
      <c r="BB127" s="214"/>
      <c r="BC127" s="215">
        <f>BC126/BC66</f>
        <v>216.81663223140495</v>
      </c>
      <c r="BD127" s="214"/>
      <c r="BE127" s="215">
        <f>BE126/BE66</f>
        <v>216.81663223140495</v>
      </c>
      <c r="BF127" s="214"/>
      <c r="BG127" s="215">
        <f t="shared" ref="BG127" si="1122">BG126/BG66</f>
        <v>216.81663223140495</v>
      </c>
      <c r="BH127" s="214"/>
      <c r="BI127" s="215">
        <f t="shared" ref="BI127" si="1123">BI126/BI66</f>
        <v>216.81663223140495</v>
      </c>
      <c r="BJ127" s="214"/>
      <c r="BK127" s="215">
        <f t="shared" ref="BK127" si="1124">BK126/BK66</f>
        <v>216.81663223140495</v>
      </c>
      <c r="BL127" s="214"/>
      <c r="BM127" s="215">
        <f t="shared" ref="BM127" si="1125">BM126/BM66</f>
        <v>216.81663223140495</v>
      </c>
      <c r="BN127" s="214"/>
      <c r="BO127" s="215">
        <f t="shared" ref="BO127" si="1126">BO126/BO66</f>
        <v>216.81663223140495</v>
      </c>
      <c r="BP127" s="214"/>
      <c r="BQ127" s="215">
        <f t="shared" ref="BQ127:BS127" si="1127">BQ126/BQ66</f>
        <v>216.81663223140495</v>
      </c>
      <c r="BR127" s="214"/>
      <c r="BS127" s="215">
        <f t="shared" si="1127"/>
        <v>216.81663223140495</v>
      </c>
      <c r="BT127" s="214"/>
      <c r="BU127" s="215">
        <f t="shared" ref="BU127:BW127" si="1128">BU126/BU66</f>
        <v>216.81663223140495</v>
      </c>
      <c r="BV127" s="214"/>
      <c r="BW127" s="215">
        <f t="shared" si="1128"/>
        <v>216.81663223140495</v>
      </c>
      <c r="BX127" s="214"/>
      <c r="BY127" s="215">
        <f t="shared" ref="BY127:CA127" si="1129">BY126/BY66</f>
        <v>216.81663223140495</v>
      </c>
      <c r="BZ127" s="214"/>
      <c r="CA127" s="215">
        <f t="shared" si="1129"/>
        <v>209.8785</v>
      </c>
      <c r="CB127" s="214"/>
      <c r="CC127" s="215">
        <f t="shared" ref="CC127:CE127" si="1130">CC126/CC66</f>
        <v>209.8785</v>
      </c>
      <c r="CD127" s="214"/>
      <c r="CE127" s="215">
        <f t="shared" si="1130"/>
        <v>209.8785</v>
      </c>
      <c r="CF127" s="214"/>
      <c r="CG127" s="215">
        <f t="shared" ref="CG127:CI127" si="1131">CG126/CG66</f>
        <v>209.8785</v>
      </c>
      <c r="CH127" s="214"/>
      <c r="CI127" s="215">
        <f t="shared" si="1131"/>
        <v>209.8785</v>
      </c>
      <c r="CJ127" s="214"/>
      <c r="CK127" s="215">
        <f t="shared" ref="CK127:CM127" si="1132">CK126/CK66</f>
        <v>209.8785</v>
      </c>
      <c r="CL127" s="214"/>
      <c r="CM127" s="215">
        <f t="shared" si="1132"/>
        <v>209.8785</v>
      </c>
      <c r="CN127" s="214"/>
      <c r="CO127" s="215">
        <f t="shared" ref="CO127" si="1133">CO126/CO66</f>
        <v>209.8785</v>
      </c>
      <c r="CP127" s="214"/>
      <c r="CQ127" s="215">
        <f t="shared" ref="CQ127" si="1134">CQ126/CQ66</f>
        <v>209.8785</v>
      </c>
      <c r="CR127" s="214"/>
      <c r="CS127" s="215">
        <f t="shared" ref="CS127:CU127" si="1135">CS126/CS66</f>
        <v>209.8785</v>
      </c>
      <c r="CT127" s="214"/>
      <c r="CU127" s="215">
        <f t="shared" si="1135"/>
        <v>209.8785</v>
      </c>
      <c r="CV127" s="214"/>
      <c r="CW127" s="215">
        <f>CW126/CW66</f>
        <v>216.81663223140495</v>
      </c>
      <c r="CX127" s="214"/>
      <c r="CY127" s="215">
        <f>CY126/CY66</f>
        <v>216.81663223140495</v>
      </c>
      <c r="CZ127" s="214"/>
      <c r="DA127" s="215">
        <f>DA126/DA66</f>
        <v>216.81663223140495</v>
      </c>
      <c r="DB127" s="214"/>
      <c r="DC127" s="215">
        <f>DC126/DC66</f>
        <v>216.81663223140495</v>
      </c>
      <c r="DD127" s="214"/>
      <c r="DE127" s="215">
        <f>DE126/DE66</f>
        <v>216.81663223140495</v>
      </c>
      <c r="DF127" s="214"/>
      <c r="DG127" s="215">
        <f>DG126/DG66</f>
        <v>216.81663223140495</v>
      </c>
      <c r="DH127" s="214"/>
      <c r="DI127" s="215">
        <f>DI126/DI66</f>
        <v>216.81663223140495</v>
      </c>
      <c r="DJ127" s="214"/>
      <c r="DK127" s="215">
        <f>DK126/DK66</f>
        <v>216.81663223140495</v>
      </c>
    </row>
    <row r="128" spans="1:115" outlineLevel="3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44653360</v>
      </c>
      <c r="H128" s="219"/>
      <c r="I128" s="220">
        <f>G128</f>
        <v>44653360</v>
      </c>
      <c r="J128" s="219"/>
      <c r="K128" s="220">
        <f>I128</f>
        <v>44653360</v>
      </c>
      <c r="L128" s="219"/>
      <c r="M128" s="220">
        <f>K128</f>
        <v>44653360</v>
      </c>
      <c r="N128" s="219"/>
      <c r="O128" s="220">
        <v>44155840</v>
      </c>
      <c r="P128" s="219"/>
      <c r="Q128" s="220">
        <f>O128</f>
        <v>44155840</v>
      </c>
      <c r="R128" s="219"/>
      <c r="S128" s="220">
        <f>Q128</f>
        <v>44155840</v>
      </c>
      <c r="T128" s="219"/>
      <c r="U128" s="220">
        <v>44155840</v>
      </c>
      <c r="V128" s="219"/>
      <c r="W128" s="220">
        <v>44155840</v>
      </c>
      <c r="X128" s="219"/>
      <c r="Y128" s="220">
        <v>44155840</v>
      </c>
      <c r="Z128" s="219"/>
      <c r="AA128" s="220">
        <v>44155840</v>
      </c>
      <c r="AB128" s="219"/>
      <c r="AC128" s="220">
        <v>44155840</v>
      </c>
      <c r="AD128" s="219"/>
      <c r="AE128" s="220">
        <v>44155840</v>
      </c>
      <c r="AF128" s="219"/>
      <c r="AG128" s="220">
        <v>44155840</v>
      </c>
      <c r="AH128" s="219"/>
      <c r="AI128" s="220">
        <v>44155840</v>
      </c>
      <c r="AJ128" s="219"/>
      <c r="AK128" s="220">
        <v>44155840</v>
      </c>
      <c r="AL128" s="219"/>
      <c r="AM128" s="220">
        <v>44155840</v>
      </c>
      <c r="AN128" s="219"/>
      <c r="AO128" s="220">
        <v>44155840</v>
      </c>
      <c r="AP128" s="219"/>
      <c r="AQ128" s="220">
        <v>44155840</v>
      </c>
      <c r="AR128" s="219"/>
      <c r="AS128" s="220">
        <v>44155840</v>
      </c>
      <c r="AT128" s="219"/>
      <c r="AU128" s="220">
        <v>44155840</v>
      </c>
      <c r="AV128" s="219"/>
      <c r="AW128" s="220">
        <v>44155840</v>
      </c>
      <c r="AX128" s="219"/>
      <c r="AY128" s="220">
        <v>44155840</v>
      </c>
      <c r="AZ128" s="219"/>
      <c r="BA128" s="220">
        <v>44155840</v>
      </c>
      <c r="BB128" s="219"/>
      <c r="BC128" s="220">
        <v>44155840</v>
      </c>
      <c r="BD128" s="219"/>
      <c r="BE128" s="220">
        <v>44155840</v>
      </c>
      <c r="BF128" s="219"/>
      <c r="BG128" s="220">
        <v>44155840</v>
      </c>
      <c r="BH128" s="219"/>
      <c r="BI128" s="220">
        <v>44155840</v>
      </c>
      <c r="BJ128" s="219"/>
      <c r="BK128" s="220">
        <v>44155840</v>
      </c>
      <c r="BL128" s="219"/>
      <c r="BM128" s="220">
        <v>44155840</v>
      </c>
      <c r="BN128" s="219"/>
      <c r="BO128" s="220">
        <v>44155840</v>
      </c>
      <c r="BP128" s="219"/>
      <c r="BQ128" s="220">
        <v>44155840</v>
      </c>
      <c r="BR128" s="219"/>
      <c r="BS128" s="220">
        <v>44155840</v>
      </c>
      <c r="BT128" s="219"/>
      <c r="BU128" s="220">
        <v>44155840</v>
      </c>
      <c r="BV128" s="219"/>
      <c r="BW128" s="220">
        <v>44155840</v>
      </c>
      <c r="BX128" s="219"/>
      <c r="BY128" s="220">
        <v>44155840</v>
      </c>
      <c r="BZ128" s="219"/>
      <c r="CA128" s="220">
        <v>44155840</v>
      </c>
      <c r="CB128" s="219"/>
      <c r="CC128" s="220">
        <v>44155840</v>
      </c>
      <c r="CD128" s="219"/>
      <c r="CE128" s="220">
        <v>44155840</v>
      </c>
      <c r="CF128" s="219"/>
      <c r="CG128" s="220">
        <v>44155840</v>
      </c>
      <c r="CH128" s="219"/>
      <c r="CI128" s="220">
        <v>44155840</v>
      </c>
      <c r="CJ128" s="219"/>
      <c r="CK128" s="220">
        <v>44155840</v>
      </c>
      <c r="CL128" s="219"/>
      <c r="CM128" s="220">
        <v>44155840</v>
      </c>
      <c r="CN128" s="219"/>
      <c r="CO128" s="220">
        <v>44155840</v>
      </c>
      <c r="CP128" s="219"/>
      <c r="CQ128" s="220">
        <v>44155840</v>
      </c>
      <c r="CR128" s="219"/>
      <c r="CS128" s="220">
        <v>44155840</v>
      </c>
      <c r="CT128" s="219"/>
      <c r="CU128" s="220">
        <v>44155840</v>
      </c>
      <c r="CV128" s="219"/>
      <c r="CW128" s="220">
        <v>44155840</v>
      </c>
      <c r="CX128" s="219"/>
      <c r="CY128" s="220">
        <v>44155840</v>
      </c>
      <c r="CZ128" s="219"/>
      <c r="DA128" s="220">
        <v>44155840</v>
      </c>
      <c r="DB128" s="219"/>
      <c r="DC128" s="220">
        <v>44155840</v>
      </c>
      <c r="DD128" s="219"/>
      <c r="DE128" s="220">
        <v>44155840</v>
      </c>
      <c r="DF128" s="219"/>
      <c r="DG128" s="220">
        <v>44155840</v>
      </c>
      <c r="DH128" s="219"/>
      <c r="DI128" s="220">
        <v>44155840</v>
      </c>
      <c r="DJ128" s="219"/>
      <c r="DK128" s="220">
        <v>44155840</v>
      </c>
    </row>
    <row r="129" spans="1:115" outlineLevel="3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1116334</v>
      </c>
      <c r="H129" s="219"/>
      <c r="I129" s="221">
        <f>I128/I10</f>
        <v>1116334</v>
      </c>
      <c r="J129" s="219"/>
      <c r="K129" s="221">
        <f>K128/K10</f>
        <v>1116334</v>
      </c>
      <c r="L129" s="219"/>
      <c r="M129" s="221">
        <f>M128/M10</f>
        <v>1116334</v>
      </c>
      <c r="N129" s="219"/>
      <c r="O129" s="221">
        <f>O128/O10</f>
        <v>1103896</v>
      </c>
      <c r="P129" s="219"/>
      <c r="Q129" s="221">
        <f>Q128/Q10</f>
        <v>1103896</v>
      </c>
      <c r="R129" s="219"/>
      <c r="S129" s="221">
        <f>S128/S10</f>
        <v>1103896</v>
      </c>
      <c r="T129" s="219"/>
      <c r="U129" s="221">
        <f>U128/U10</f>
        <v>1103896</v>
      </c>
      <c r="V129" s="219"/>
      <c r="W129" s="221">
        <f>W128/W10</f>
        <v>1103896</v>
      </c>
      <c r="X129" s="219"/>
      <c r="Y129" s="221">
        <f>Y128/Y10</f>
        <v>1103896</v>
      </c>
      <c r="Z129" s="219"/>
      <c r="AA129" s="221">
        <f>AA128/AA10</f>
        <v>1103896</v>
      </c>
      <c r="AB129" s="219"/>
      <c r="AC129" s="221">
        <f>AC128/AC10</f>
        <v>1103896</v>
      </c>
      <c r="AD129" s="219"/>
      <c r="AE129" s="221">
        <f>AE128/AE10</f>
        <v>1103896</v>
      </c>
      <c r="AF129" s="219"/>
      <c r="AG129" s="221">
        <f>AG128/AG10</f>
        <v>1103896</v>
      </c>
      <c r="AH129" s="219"/>
      <c r="AI129" s="221">
        <f>AI128/AI10</f>
        <v>1103896</v>
      </c>
      <c r="AJ129" s="219"/>
      <c r="AK129" s="221">
        <f>AK128/AK10</f>
        <v>1103896</v>
      </c>
      <c r="AL129" s="219"/>
      <c r="AM129" s="221">
        <f>AM128/AM10</f>
        <v>1103896</v>
      </c>
      <c r="AN129" s="219"/>
      <c r="AO129" s="221">
        <f>AO128/AO10</f>
        <v>1103896</v>
      </c>
      <c r="AP129" s="219"/>
      <c r="AQ129" s="221">
        <f>AQ128/AQ10</f>
        <v>1103896</v>
      </c>
      <c r="AR129" s="219"/>
      <c r="AS129" s="221">
        <f>AS128/AS10</f>
        <v>1103896</v>
      </c>
      <c r="AT129" s="219"/>
      <c r="AU129" s="221">
        <f>AU128/AU10</f>
        <v>1103896</v>
      </c>
      <c r="AV129" s="219"/>
      <c r="AW129" s="221">
        <f>AW128/AW10</f>
        <v>1103896</v>
      </c>
      <c r="AX129" s="219"/>
      <c r="AY129" s="221">
        <f>AY128/AY10</f>
        <v>1103896</v>
      </c>
      <c r="AZ129" s="219"/>
      <c r="BA129" s="221">
        <f>BA128/BA10</f>
        <v>1103896</v>
      </c>
      <c r="BB129" s="219"/>
      <c r="BC129" s="221">
        <f>BC128/BC10</f>
        <v>1103896</v>
      </c>
      <c r="BD129" s="219"/>
      <c r="BE129" s="221">
        <f>BE128/BE10</f>
        <v>1103896</v>
      </c>
      <c r="BF129" s="219"/>
      <c r="BG129" s="221">
        <f>BG128/BG10</f>
        <v>1103896</v>
      </c>
      <c r="BH129" s="219"/>
      <c r="BI129" s="221">
        <f>BI128/BI10</f>
        <v>1103896</v>
      </c>
      <c r="BJ129" s="219"/>
      <c r="BK129" s="221">
        <f>BK128/BK10</f>
        <v>1103896</v>
      </c>
      <c r="BL129" s="219"/>
      <c r="BM129" s="221">
        <f>BM128/BM10</f>
        <v>1103896</v>
      </c>
      <c r="BN129" s="219"/>
      <c r="BO129" s="221">
        <f>BO128/BO10</f>
        <v>1103896</v>
      </c>
      <c r="BP129" s="219"/>
      <c r="BQ129" s="221">
        <f>BQ128/BQ10</f>
        <v>1103896</v>
      </c>
      <c r="BR129" s="219"/>
      <c r="BS129" s="221">
        <f>BS128/BS10</f>
        <v>1103896</v>
      </c>
      <c r="BT129" s="219"/>
      <c r="BU129" s="221">
        <f>BU128/BU10</f>
        <v>1103896</v>
      </c>
      <c r="BV129" s="219"/>
      <c r="BW129" s="221">
        <f>BW128/BW10</f>
        <v>1103896</v>
      </c>
      <c r="BX129" s="219"/>
      <c r="BY129" s="221">
        <f>BY128/BY10</f>
        <v>1103896</v>
      </c>
      <c r="BZ129" s="219"/>
      <c r="CA129" s="221">
        <f>CA128/CA10</f>
        <v>1103896</v>
      </c>
      <c r="CB129" s="219"/>
      <c r="CC129" s="221">
        <f>CC128/CC10</f>
        <v>1103896</v>
      </c>
      <c r="CD129" s="219"/>
      <c r="CE129" s="221">
        <f>CE128/CE10</f>
        <v>1103896</v>
      </c>
      <c r="CF129" s="219"/>
      <c r="CG129" s="221">
        <f>CG128/CG10</f>
        <v>1103896</v>
      </c>
      <c r="CH129" s="219"/>
      <c r="CI129" s="221">
        <f>CI128/CI10</f>
        <v>1103896</v>
      </c>
      <c r="CJ129" s="219"/>
      <c r="CK129" s="221">
        <f>CK128/CK10</f>
        <v>1103896</v>
      </c>
      <c r="CL129" s="219"/>
      <c r="CM129" s="221">
        <f>CM128/CM10</f>
        <v>1103896</v>
      </c>
      <c r="CN129" s="219"/>
      <c r="CO129" s="221">
        <f>CO128/CO10</f>
        <v>1103896</v>
      </c>
      <c r="CP129" s="219"/>
      <c r="CQ129" s="221">
        <f>CQ128/CQ10</f>
        <v>1103896</v>
      </c>
      <c r="CR129" s="219"/>
      <c r="CS129" s="221">
        <f>CS128/CS10</f>
        <v>1103896</v>
      </c>
      <c r="CT129" s="219"/>
      <c r="CU129" s="221">
        <f>CU128/CU10</f>
        <v>1103896</v>
      </c>
      <c r="CV129" s="219"/>
      <c r="CW129" s="221">
        <f>CW128/CW10</f>
        <v>1103896</v>
      </c>
      <c r="CX129" s="219"/>
      <c r="CY129" s="221">
        <f>CY128/CY10</f>
        <v>1103896</v>
      </c>
      <c r="CZ129" s="219"/>
      <c r="DA129" s="221">
        <f>DA128/DA10</f>
        <v>1103896</v>
      </c>
      <c r="DB129" s="219"/>
      <c r="DC129" s="221">
        <f>DC128/DC10</f>
        <v>1103896</v>
      </c>
      <c r="DD129" s="219"/>
      <c r="DE129" s="221">
        <f>DE128/DE10</f>
        <v>1103896</v>
      </c>
      <c r="DF129" s="219"/>
      <c r="DG129" s="221">
        <f>DG128/DG10</f>
        <v>1103896</v>
      </c>
      <c r="DH129" s="219"/>
      <c r="DI129" s="221">
        <f>DI128/DI10</f>
        <v>1103896</v>
      </c>
      <c r="DJ129" s="219"/>
      <c r="DK129" s="221">
        <f>DK128/DK10</f>
        <v>1103896</v>
      </c>
    </row>
    <row r="130" spans="1:115" outlineLevel="3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288.30940082644628</v>
      </c>
      <c r="H130" s="222"/>
      <c r="I130" s="220">
        <f>I129/I66</f>
        <v>288.30940082644628</v>
      </c>
      <c r="J130" s="222"/>
      <c r="K130" s="220">
        <f>K129/K66</f>
        <v>288.30940082644628</v>
      </c>
      <c r="L130" s="222"/>
      <c r="M130" s="220">
        <f>M129/M66</f>
        <v>288.30940082644628</v>
      </c>
      <c r="N130" s="222"/>
      <c r="O130" s="220">
        <f>O129/O66</f>
        <v>285.09710743801651</v>
      </c>
      <c r="P130" s="222"/>
      <c r="Q130" s="220">
        <f>Q129/Q66</f>
        <v>285.09710743801651</v>
      </c>
      <c r="R130" s="222"/>
      <c r="S130" s="220">
        <f>S129/S66</f>
        <v>285.09710743801651</v>
      </c>
      <c r="T130" s="222"/>
      <c r="U130" s="220">
        <f>U129/U66</f>
        <v>285.09710743801651</v>
      </c>
      <c r="V130" s="222"/>
      <c r="W130" s="220">
        <f>W129/W66</f>
        <v>285.09710743801651</v>
      </c>
      <c r="X130" s="222"/>
      <c r="Y130" s="220">
        <f>Y129/Y66</f>
        <v>285.09710743801651</v>
      </c>
      <c r="Z130" s="222"/>
      <c r="AA130" s="220">
        <f>AA129/AA66</f>
        <v>285.09710743801651</v>
      </c>
      <c r="AB130" s="222"/>
      <c r="AC130" s="220">
        <f>AC129/AC66</f>
        <v>285.09710743801651</v>
      </c>
      <c r="AD130" s="222"/>
      <c r="AE130" s="220">
        <f>AE129/AE66</f>
        <v>285.09710743801651</v>
      </c>
      <c r="AF130" s="222"/>
      <c r="AG130" s="220">
        <f>AG129/AG66</f>
        <v>285.09710743801651</v>
      </c>
      <c r="AH130" s="222"/>
      <c r="AI130" s="220">
        <f>AI129/AI66</f>
        <v>285.09710743801651</v>
      </c>
      <c r="AJ130" s="222"/>
      <c r="AK130" s="220">
        <f>AK129/AK66</f>
        <v>285.09710743801651</v>
      </c>
      <c r="AL130" s="222"/>
      <c r="AM130" s="220">
        <f>AM129/AM66</f>
        <v>285.09710743801651</v>
      </c>
      <c r="AN130" s="222"/>
      <c r="AO130" s="220">
        <f>AO129/AO66</f>
        <v>285.09710743801651</v>
      </c>
      <c r="AP130" s="222"/>
      <c r="AQ130" s="220">
        <f>AQ129/AQ66</f>
        <v>285.09710743801651</v>
      </c>
      <c r="AR130" s="222"/>
      <c r="AS130" s="220">
        <f>AS129/AS66</f>
        <v>285.09710743801651</v>
      </c>
      <c r="AT130" s="222"/>
      <c r="AU130" s="220">
        <f>AU129/AU66</f>
        <v>285.09710743801651</v>
      </c>
      <c r="AV130" s="222"/>
      <c r="AW130" s="220">
        <f>AW129/AW66</f>
        <v>285.09710743801651</v>
      </c>
      <c r="AX130" s="222"/>
      <c r="AY130" s="220">
        <f>AY129/AY66</f>
        <v>285.09710743801651</v>
      </c>
      <c r="AZ130" s="222"/>
      <c r="BA130" s="220">
        <f>BA129/BA66</f>
        <v>285.09710743801651</v>
      </c>
      <c r="BB130" s="222"/>
      <c r="BC130" s="220">
        <f>BC129/BC66</f>
        <v>285.09710743801651</v>
      </c>
      <c r="BD130" s="222"/>
      <c r="BE130" s="220">
        <f>BE129/BE66</f>
        <v>285.09710743801651</v>
      </c>
      <c r="BF130" s="222"/>
      <c r="BG130" s="220">
        <f t="shared" ref="BG130" si="1136">BG129/BG66</f>
        <v>285.09710743801651</v>
      </c>
      <c r="BH130" s="222"/>
      <c r="BI130" s="220">
        <f t="shared" ref="BI130" si="1137">BI129/BI66</f>
        <v>285.09710743801651</v>
      </c>
      <c r="BJ130" s="222"/>
      <c r="BK130" s="220">
        <f t="shared" ref="BK130" si="1138">BK129/BK66</f>
        <v>285.09710743801651</v>
      </c>
      <c r="BL130" s="222"/>
      <c r="BM130" s="220">
        <f t="shared" ref="BM130" si="1139">BM129/BM66</f>
        <v>285.09710743801651</v>
      </c>
      <c r="BN130" s="222"/>
      <c r="BO130" s="220">
        <f t="shared" ref="BO130" si="1140">BO129/BO66</f>
        <v>285.09710743801651</v>
      </c>
      <c r="BP130" s="222"/>
      <c r="BQ130" s="220">
        <f t="shared" ref="BQ130:BS130" si="1141">BQ129/BQ66</f>
        <v>285.09710743801651</v>
      </c>
      <c r="BR130" s="222"/>
      <c r="BS130" s="220">
        <f t="shared" si="1141"/>
        <v>285.09710743801651</v>
      </c>
      <c r="BT130" s="222"/>
      <c r="BU130" s="220">
        <f t="shared" ref="BU130:BW130" si="1142">BU129/BU66</f>
        <v>285.09710743801651</v>
      </c>
      <c r="BV130" s="222"/>
      <c r="BW130" s="220">
        <f t="shared" si="1142"/>
        <v>285.09710743801651</v>
      </c>
      <c r="BX130" s="222"/>
      <c r="BY130" s="220">
        <f t="shared" ref="BY130:CA130" si="1143">BY129/BY66</f>
        <v>285.09710743801651</v>
      </c>
      <c r="BZ130" s="222"/>
      <c r="CA130" s="220">
        <f t="shared" si="1143"/>
        <v>275.97399999999999</v>
      </c>
      <c r="CB130" s="222"/>
      <c r="CC130" s="220">
        <f t="shared" ref="CC130:CE130" si="1144">CC129/CC66</f>
        <v>275.97399999999999</v>
      </c>
      <c r="CD130" s="222"/>
      <c r="CE130" s="220">
        <f t="shared" si="1144"/>
        <v>275.97399999999999</v>
      </c>
      <c r="CF130" s="222"/>
      <c r="CG130" s="220">
        <f t="shared" ref="CG130:CI130" si="1145">CG129/CG66</f>
        <v>275.97399999999999</v>
      </c>
      <c r="CH130" s="222"/>
      <c r="CI130" s="220">
        <f t="shared" si="1145"/>
        <v>275.97399999999999</v>
      </c>
      <c r="CJ130" s="222"/>
      <c r="CK130" s="220">
        <f t="shared" ref="CK130:CM130" si="1146">CK129/CK66</f>
        <v>275.97399999999999</v>
      </c>
      <c r="CL130" s="222"/>
      <c r="CM130" s="220">
        <f t="shared" si="1146"/>
        <v>275.97399999999999</v>
      </c>
      <c r="CN130" s="222"/>
      <c r="CO130" s="220">
        <f t="shared" ref="CO130" si="1147">CO129/CO66</f>
        <v>275.97399999999999</v>
      </c>
      <c r="CP130" s="222"/>
      <c r="CQ130" s="220">
        <f t="shared" ref="CQ130" si="1148">CQ129/CQ66</f>
        <v>275.97399999999999</v>
      </c>
      <c r="CR130" s="222"/>
      <c r="CS130" s="220">
        <f t="shared" ref="CS130:CU130" si="1149">CS129/CS66</f>
        <v>275.97399999999999</v>
      </c>
      <c r="CT130" s="222"/>
      <c r="CU130" s="220">
        <f t="shared" si="1149"/>
        <v>275.97399999999999</v>
      </c>
      <c r="CV130" s="222"/>
      <c r="CW130" s="220">
        <f>CW129/CW66</f>
        <v>285.09710743801651</v>
      </c>
      <c r="CX130" s="222"/>
      <c r="CY130" s="220">
        <f>CY129/CY66</f>
        <v>285.09710743801651</v>
      </c>
      <c r="CZ130" s="222"/>
      <c r="DA130" s="220">
        <f>DA129/DA66</f>
        <v>285.09710743801651</v>
      </c>
      <c r="DB130" s="222"/>
      <c r="DC130" s="220">
        <f>DC129/DC66</f>
        <v>285.09710743801651</v>
      </c>
      <c r="DD130" s="222"/>
      <c r="DE130" s="220">
        <f>DE129/DE66</f>
        <v>285.09710743801651</v>
      </c>
      <c r="DF130" s="222"/>
      <c r="DG130" s="220">
        <f>DG129/DG66</f>
        <v>285.09710743801651</v>
      </c>
      <c r="DH130" s="222"/>
      <c r="DI130" s="220">
        <f>DI129/DI66</f>
        <v>285.09710743801651</v>
      </c>
      <c r="DJ130" s="222"/>
      <c r="DK130" s="220">
        <f>DK129/DK66</f>
        <v>285.09710743801651</v>
      </c>
    </row>
    <row r="131" spans="1:115" outlineLevel="2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/>
      <c r="H131" s="585"/>
      <c r="I131" s="586"/>
      <c r="J131" s="585"/>
      <c r="K131" s="586"/>
      <c r="L131" s="585"/>
      <c r="M131" s="586"/>
      <c r="N131" s="585"/>
      <c r="O131" s="586">
        <f>INDEX(Table5[#All],MATCH(N$4,Table5[[#All],[SKU]],0),MATCH(LEFT(N$3,3),Table5[#Headers],0))</f>
        <v>10376960</v>
      </c>
      <c r="P131" s="585"/>
      <c r="Q131" s="586">
        <v>65620800</v>
      </c>
      <c r="R131" s="585"/>
      <c r="S131" s="586">
        <v>65620800</v>
      </c>
      <c r="T131" s="585"/>
      <c r="U131" s="586">
        <f>INDEX(Table5[#All],MATCH(T$4,Table5[[#All],[SKU]],0),MATCH(LEFT(T$3,3),Table5[#Headers],0))</f>
        <v>4985400</v>
      </c>
      <c r="V131" s="585"/>
      <c r="W131" s="586">
        <f>INDEX(Table5[#All],MATCH(V$4,Table5[[#All],[SKU]],0),MATCH(LEFT(V$3,3),Table5[#Headers],0))</f>
        <v>7146200</v>
      </c>
      <c r="X131" s="585"/>
      <c r="Y131" s="586">
        <f>INDEX(Table5[#All],MATCH(X$4,Table5[[#All],[SKU]],0),MATCH(LEFT(X$3,3),Table5[#Headers],0))</f>
        <v>5527520</v>
      </c>
      <c r="Z131" s="585"/>
      <c r="AA131" s="586">
        <f>INDEX(Table5[#All],MATCH(Z$4,Table5[[#All],[SKU]],0),MATCH(LEFT(Z$3,3),Table5[#Headers],0))</f>
        <v>4849120</v>
      </c>
      <c r="AB131" s="585"/>
      <c r="AC131" s="586">
        <f>INDEX(Table5[#All],MATCH(AB$4,Table5[[#All],[SKU]],0),MATCH(LEFT(AB$3,3),Table5[#Headers],0))</f>
        <v>7098960</v>
      </c>
      <c r="AD131" s="585"/>
      <c r="AE131" s="586">
        <f>INDEX(Table5[#All],MATCH(AD$4,Table5[[#All],[SKU]],0),MATCH(LEFT(AD$3,3),Table5[#Headers],0))</f>
        <v>2058560</v>
      </c>
      <c r="AF131" s="585"/>
      <c r="AG131" s="586">
        <f>INDEX(Table5[#All],MATCH(AF$4,Table5[[#All],[SKU]],0),MATCH(LEFT(AF$3,3),Table5[#Headers],0))</f>
        <v>1781120</v>
      </c>
      <c r="AH131" s="585"/>
      <c r="AI131" s="586">
        <f>INDEX(Table5[#All],MATCH(AH$4,Table5[[#All],[SKU]],0),MATCH(LEFT(AH$3,3),Table5[#Headers],0))</f>
        <v>5540840</v>
      </c>
      <c r="AJ131" s="585"/>
      <c r="AK131" s="586">
        <f>INDEX(Table5[#All],MATCH(AJ$4,Table5[[#All],[SKU]],0),MATCH(LEFT(AJ$3,3),Table5[#Headers],0))</f>
        <v>4240080</v>
      </c>
      <c r="AL131" s="585"/>
      <c r="AM131" s="586">
        <f>INDEX(Table5[#All],MATCH(AL$4,Table5[[#All],[SKU]],0),MATCH(LEFT(AL$3,3),Table5[#Headers],0))</f>
        <v>6186040</v>
      </c>
      <c r="AN131" s="585"/>
      <c r="AO131" s="586">
        <f>INDEX(Table5[#All],MATCH(AN$4,Table5[[#All],[SKU]],0),MATCH(LEFT(AN$3,3),Table5[#Headers],0))</f>
        <v>6504960</v>
      </c>
      <c r="AP131" s="585"/>
      <c r="AQ131" s="586">
        <f>'Sales Volume'!P5</f>
        <v>7615400</v>
      </c>
      <c r="AR131" s="585"/>
      <c r="AS131" s="586">
        <f>'Sales Volume'!Q5</f>
        <v>13629760</v>
      </c>
      <c r="AT131" s="585"/>
      <c r="AU131" s="586">
        <f>'Sales Volume'!R5</f>
        <v>1589760</v>
      </c>
      <c r="AV131" s="585"/>
      <c r="AW131" s="586">
        <f>'Sales Volume'!S5</f>
        <v>1567800</v>
      </c>
      <c r="AX131" s="585"/>
      <c r="AY131" s="586">
        <f>'Sales Volume'!T5</f>
        <v>6191200</v>
      </c>
      <c r="AZ131" s="585"/>
      <c r="BA131" s="586">
        <f>'Sales Volume'!U5</f>
        <v>4238440</v>
      </c>
      <c r="BB131" s="585"/>
      <c r="BC131" s="586">
        <f>'Sales Volume'!V5</f>
        <v>5781760</v>
      </c>
      <c r="BD131" s="585"/>
      <c r="BE131" s="586">
        <f>'Sales Volume'!W5</f>
        <v>4707280</v>
      </c>
      <c r="BF131" s="585"/>
      <c r="BG131" s="586">
        <f>'Sales Volume'!X5</f>
        <v>4697240</v>
      </c>
      <c r="BH131" s="585"/>
      <c r="BI131" s="586">
        <f>'Sales Volume'!Y5</f>
        <v>5465360</v>
      </c>
      <c r="BJ131" s="585"/>
      <c r="BK131" s="586">
        <f>'Sales Volume'!AA5</f>
        <v>0</v>
      </c>
      <c r="BL131" s="585"/>
      <c r="BM131" s="586">
        <f>'Sales Volume'!AC5</f>
        <v>0</v>
      </c>
      <c r="BN131" s="585"/>
      <c r="BO131" s="586">
        <f>'Sales Volume'!AE5</f>
        <v>0</v>
      </c>
      <c r="BP131" s="585"/>
      <c r="BQ131" s="586">
        <f>'Sales Volume'!AG5</f>
        <v>0</v>
      </c>
      <c r="BR131" s="585"/>
      <c r="BS131" s="586">
        <f>'Sales Volume'!AI5</f>
        <v>0</v>
      </c>
      <c r="BT131" s="585"/>
      <c r="BU131" s="586">
        <f>'Sales Volume'!AK5</f>
        <v>0</v>
      </c>
      <c r="BV131" s="585"/>
      <c r="BW131" s="586">
        <f>'Sales Volume'!AM5</f>
        <v>0</v>
      </c>
      <c r="BX131" s="585"/>
      <c r="BY131" s="586">
        <f>'Sales Volume'!AO5</f>
        <v>0</v>
      </c>
      <c r="BZ131" s="585"/>
      <c r="CA131" s="586">
        <f>'Sales Volume'!AQ5</f>
        <v>0</v>
      </c>
      <c r="CB131" s="585"/>
      <c r="CC131" s="586">
        <f>'Sales Volume'!AS5</f>
        <v>0</v>
      </c>
      <c r="CD131" s="585"/>
      <c r="CE131" s="586">
        <f>'Sales Volume'!AU5</f>
        <v>0</v>
      </c>
      <c r="CF131" s="585"/>
      <c r="CG131" s="586">
        <f>'Sales Volume'!AW5</f>
        <v>0</v>
      </c>
      <c r="CH131" s="585"/>
      <c r="CI131" s="586">
        <f>'Sales Volume'!AY5</f>
        <v>0</v>
      </c>
      <c r="CJ131" s="585"/>
      <c r="CK131" s="586">
        <f>'Sales Volume'!BA5</f>
        <v>0</v>
      </c>
      <c r="CL131" s="585"/>
      <c r="CM131" s="586">
        <f>'Sales Volume'!BC5</f>
        <v>0</v>
      </c>
      <c r="CN131" s="585"/>
      <c r="CO131" s="586">
        <f>'Sales Volume'!AO5</f>
        <v>0</v>
      </c>
      <c r="CP131" s="585"/>
      <c r="CQ131" s="586">
        <f>'Sales Volume'!AQ5</f>
        <v>0</v>
      </c>
      <c r="CR131" s="585"/>
      <c r="CS131" s="586">
        <f>'Sales Volume'!AK5</f>
        <v>0</v>
      </c>
      <c r="CT131" s="585"/>
      <c r="CU131" s="586">
        <f>'Sales Volume'!AM5</f>
        <v>0</v>
      </c>
      <c r="CV131" s="585"/>
      <c r="CW131" s="586">
        <f>SUM(O$131,U$131,W$131)</f>
        <v>22508560</v>
      </c>
      <c r="CX131" s="585"/>
      <c r="CY131" s="586">
        <f>SUM(AC$131,AA$131,Y$131)</f>
        <v>17475600</v>
      </c>
      <c r="CZ131" s="585"/>
      <c r="DA131" s="586">
        <f>SUM(AE131,AG131,AI131)</f>
        <v>9380520</v>
      </c>
      <c r="DB131" s="585"/>
      <c r="DC131" s="586">
        <v>16853920</v>
      </c>
      <c r="DD131" s="585"/>
      <c r="DE131" s="586">
        <f>SUM(O131,U131,W131,Y131,AA131,AC131)</f>
        <v>39984160</v>
      </c>
      <c r="DF131" s="585"/>
      <c r="DG131" s="586">
        <v>16853920</v>
      </c>
      <c r="DH131" s="585"/>
      <c r="DI131" s="586">
        <v>72532448</v>
      </c>
      <c r="DJ131" s="585"/>
      <c r="DK131" s="586">
        <v>72532448</v>
      </c>
    </row>
    <row r="132" spans="1:115" outlineLevel="2" x14ac:dyDescent="0.45">
      <c r="A132" s="561"/>
      <c r="B132" s="1187"/>
      <c r="C132" s="582"/>
      <c r="D132" s="583"/>
      <c r="E132" s="584" t="s">
        <v>125</v>
      </c>
      <c r="F132" s="585"/>
      <c r="G132" s="586"/>
      <c r="H132" s="585"/>
      <c r="I132" s="586"/>
      <c r="J132" s="585"/>
      <c r="K132" s="586"/>
      <c r="L132" s="585"/>
      <c r="M132" s="586"/>
      <c r="N132" s="585"/>
      <c r="O132" s="586">
        <f>O131/O10</f>
        <v>259424</v>
      </c>
      <c r="P132" s="585"/>
      <c r="Q132" s="586">
        <f>Q131/Q10</f>
        <v>1640520</v>
      </c>
      <c r="R132" s="585"/>
      <c r="S132" s="586">
        <f>S131/S10</f>
        <v>1640520</v>
      </c>
      <c r="T132" s="585"/>
      <c r="U132" s="586">
        <f>U131/U10</f>
        <v>124635</v>
      </c>
      <c r="V132" s="585"/>
      <c r="W132" s="586">
        <f>W131/W10</f>
        <v>178655</v>
      </c>
      <c r="X132" s="585"/>
      <c r="Y132" s="586">
        <f>Y131/Y10</f>
        <v>138188</v>
      </c>
      <c r="Z132" s="585"/>
      <c r="AA132" s="586">
        <f>AA131/AA10</f>
        <v>121228</v>
      </c>
      <c r="AB132" s="585"/>
      <c r="AC132" s="586">
        <f>AC131/AC10</f>
        <v>177474</v>
      </c>
      <c r="AD132" s="585"/>
      <c r="AE132" s="586">
        <f>AE131/AE10</f>
        <v>51464</v>
      </c>
      <c r="AF132" s="585"/>
      <c r="AG132" s="586">
        <f>AG131/AG10</f>
        <v>44528</v>
      </c>
      <c r="AH132" s="585"/>
      <c r="AI132" s="586">
        <f>AI131/AI10</f>
        <v>138521</v>
      </c>
      <c r="AJ132" s="585"/>
      <c r="AK132" s="586">
        <f>AK131/AK10</f>
        <v>106002</v>
      </c>
      <c r="AL132" s="585"/>
      <c r="AM132" s="586">
        <f>AM131/AM10</f>
        <v>154651</v>
      </c>
      <c r="AN132" s="585"/>
      <c r="AO132" s="586">
        <f>AO131/AO10</f>
        <v>162624</v>
      </c>
      <c r="AP132" s="585"/>
      <c r="AQ132" s="586">
        <f>AQ131/AQ10</f>
        <v>190385</v>
      </c>
      <c r="AR132" s="585"/>
      <c r="AS132" s="586">
        <f>AS131/AS10</f>
        <v>340744</v>
      </c>
      <c r="AT132" s="585"/>
      <c r="AU132" s="586">
        <f>AU131/AU10</f>
        <v>39744</v>
      </c>
      <c r="AV132" s="585"/>
      <c r="AW132" s="586">
        <f>AW131/AW10</f>
        <v>39195</v>
      </c>
      <c r="AX132" s="585"/>
      <c r="AY132" s="586">
        <f>AY131/AY10</f>
        <v>154780</v>
      </c>
      <c r="AZ132" s="585"/>
      <c r="BA132" s="586">
        <f>BA131/BA10</f>
        <v>105961</v>
      </c>
      <c r="BB132" s="585"/>
      <c r="BC132" s="586">
        <f>BC131/BC10</f>
        <v>144544</v>
      </c>
      <c r="BD132" s="585"/>
      <c r="BE132" s="586">
        <f>BE131/BE10</f>
        <v>117682</v>
      </c>
      <c r="BF132" s="585"/>
      <c r="BG132" s="586">
        <f>BG131/BG10</f>
        <v>117431</v>
      </c>
      <c r="BH132" s="585"/>
      <c r="BI132" s="586">
        <f>BI131/BI10</f>
        <v>136634</v>
      </c>
      <c r="BJ132" s="585"/>
      <c r="BK132" s="586">
        <f>BK131/BK10</f>
        <v>0</v>
      </c>
      <c r="BL132" s="585"/>
      <c r="BM132" s="586">
        <f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>BS131/BS10</f>
        <v>0</v>
      </c>
      <c r="BT132" s="585"/>
      <c r="BU132" s="586">
        <f>BU131/BU10</f>
        <v>0</v>
      </c>
      <c r="BV132" s="585"/>
      <c r="BW132" s="586">
        <f>BW131/BW10</f>
        <v>0</v>
      </c>
      <c r="BX132" s="585"/>
      <c r="BY132" s="586">
        <f>BY131/BY10</f>
        <v>0</v>
      </c>
      <c r="BZ132" s="585"/>
      <c r="CA132" s="586">
        <f>CA131/CA10</f>
        <v>0</v>
      </c>
      <c r="CB132" s="585"/>
      <c r="CC132" s="586">
        <f>CC131/CC10</f>
        <v>0</v>
      </c>
      <c r="CD132" s="585"/>
      <c r="CE132" s="586">
        <f>CE131/CE10</f>
        <v>0</v>
      </c>
      <c r="CF132" s="585"/>
      <c r="CG132" s="586">
        <f>CG131/CG10</f>
        <v>0</v>
      </c>
      <c r="CH132" s="585"/>
      <c r="CI132" s="586">
        <f>CI131/CI10</f>
        <v>0</v>
      </c>
      <c r="CJ132" s="585"/>
      <c r="CK132" s="586">
        <f>CK131/CK10</f>
        <v>0</v>
      </c>
      <c r="CL132" s="585"/>
      <c r="CM132" s="586">
        <f>CM131/CM10</f>
        <v>0</v>
      </c>
      <c r="CN132" s="585"/>
      <c r="CO132" s="586">
        <f>CO131/CO10</f>
        <v>0</v>
      </c>
      <c r="CP132" s="585"/>
      <c r="CQ132" s="586">
        <f>CQ131/CQ10</f>
        <v>0</v>
      </c>
      <c r="CR132" s="585"/>
      <c r="CS132" s="586">
        <f>CS131/CS10</f>
        <v>0</v>
      </c>
      <c r="CT132" s="585"/>
      <c r="CU132" s="586">
        <f>CU131/CU10</f>
        <v>0</v>
      </c>
      <c r="CV132" s="585"/>
      <c r="CW132" s="586">
        <f>CW131/CW10</f>
        <v>562714</v>
      </c>
      <c r="CX132" s="585"/>
      <c r="CY132" s="586">
        <f>CY131/CY10</f>
        <v>436890</v>
      </c>
      <c r="CZ132" s="585"/>
      <c r="DA132" s="586">
        <f>DA131/DA10</f>
        <v>234513</v>
      </c>
      <c r="DB132" s="585"/>
      <c r="DC132" s="586">
        <f>DC131/DC10</f>
        <v>421348</v>
      </c>
      <c r="DD132" s="585"/>
      <c r="DE132" s="586">
        <f>DE131/DE10</f>
        <v>999604</v>
      </c>
      <c r="DF132" s="585"/>
      <c r="DG132" s="586">
        <f>DG131/DG10</f>
        <v>421348</v>
      </c>
      <c r="DH132" s="585"/>
      <c r="DI132" s="586">
        <f>DI131/DI10</f>
        <v>1813311.2</v>
      </c>
      <c r="DJ132" s="585"/>
      <c r="DK132" s="586">
        <f>DK131/DK10</f>
        <v>1813311.2</v>
      </c>
    </row>
    <row r="133" spans="1:115" outlineLevel="2" x14ac:dyDescent="0.45">
      <c r="A133" s="561"/>
      <c r="B133" s="1187"/>
      <c r="C133" s="582"/>
      <c r="D133" s="583"/>
      <c r="E133" s="584" t="s">
        <v>126</v>
      </c>
      <c r="F133" s="585"/>
      <c r="G133" s="586"/>
      <c r="H133" s="585"/>
      <c r="I133" s="586"/>
      <c r="J133" s="585"/>
      <c r="K133" s="586"/>
      <c r="L133" s="585"/>
      <c r="M133" s="586"/>
      <c r="N133" s="585"/>
      <c r="O133" s="586">
        <f>O132/O66</f>
        <v>67</v>
      </c>
      <c r="P133" s="585"/>
      <c r="Q133" s="586">
        <f>Q132/Q66</f>
        <v>423.68801652892563</v>
      </c>
      <c r="R133" s="585"/>
      <c r="S133" s="586">
        <f>S132/S66</f>
        <v>423.68801652892563</v>
      </c>
      <c r="T133" s="585"/>
      <c r="U133" s="586">
        <f>U132/U66</f>
        <v>32.188791322314053</v>
      </c>
      <c r="V133" s="585"/>
      <c r="W133" s="586">
        <f>W132/W66</f>
        <v>46.140237603305785</v>
      </c>
      <c r="X133" s="585"/>
      <c r="Y133" s="586">
        <f>Y132/Y66</f>
        <v>35.689049586776861</v>
      </c>
      <c r="Z133" s="585"/>
      <c r="AA133" s="586">
        <f>AA132/AA66</f>
        <v>31.30888429752066</v>
      </c>
      <c r="AB133" s="585"/>
      <c r="AC133" s="586">
        <f>AC132/AC66</f>
        <v>45.835227272727273</v>
      </c>
      <c r="AD133" s="585"/>
      <c r="AE133" s="586">
        <f>AE132/AE66</f>
        <v>13.291322314049587</v>
      </c>
      <c r="AF133" s="585"/>
      <c r="AG133" s="586">
        <f>AG132/AG66</f>
        <v>11.5</v>
      </c>
      <c r="AH133" s="585"/>
      <c r="AI133" s="586">
        <f>AI132/AI66</f>
        <v>35.775051652892564</v>
      </c>
      <c r="AJ133" s="585"/>
      <c r="AK133" s="586">
        <f>AK132/AK66</f>
        <v>27.376549586776861</v>
      </c>
      <c r="AL133" s="585"/>
      <c r="AM133" s="586">
        <f>AM132/AM66</f>
        <v>39.940857438016529</v>
      </c>
      <c r="AN133" s="585"/>
      <c r="AO133" s="586">
        <f>AO132/AO66</f>
        <v>42</v>
      </c>
      <c r="AP133" s="585"/>
      <c r="AQ133" s="586">
        <f>AQ132/AQ66</f>
        <v>49.169679752066116</v>
      </c>
      <c r="AR133" s="585"/>
      <c r="AS133" s="586">
        <f>AS132/AS66</f>
        <v>88.002066115702476</v>
      </c>
      <c r="AT133" s="585"/>
      <c r="AU133" s="586">
        <f>AU132/AU66</f>
        <v>10.264462809917354</v>
      </c>
      <c r="AV133" s="585"/>
      <c r="AW133" s="586">
        <f>AW132/AW66</f>
        <v>10.122675619834711</v>
      </c>
      <c r="AX133" s="585"/>
      <c r="AY133" s="586">
        <f>AY132/AY66</f>
        <v>39.974173553719005</v>
      </c>
      <c r="AZ133" s="585"/>
      <c r="BA133" s="586">
        <f>BA132/BA66</f>
        <v>27.365960743801654</v>
      </c>
      <c r="BB133" s="585"/>
      <c r="BC133" s="586">
        <f>BC132/BC66</f>
        <v>37.330578512396691</v>
      </c>
      <c r="BD133" s="585"/>
      <c r="BE133" s="586">
        <f>BE132/BE66</f>
        <v>30.393078512396695</v>
      </c>
      <c r="BF133" s="585"/>
      <c r="BG133" s="586">
        <f>BG132/BG66</f>
        <v>30.328254132231404</v>
      </c>
      <c r="BH133" s="585"/>
      <c r="BI133" s="586">
        <f>BI132/BI66</f>
        <v>35.28770661157025</v>
      </c>
      <c r="BJ133" s="585"/>
      <c r="BK133" s="586">
        <f>BK132/BK66</f>
        <v>0</v>
      </c>
      <c r="BL133" s="585"/>
      <c r="BM133" s="586">
        <f>BM132/BM66</f>
        <v>0</v>
      </c>
      <c r="BN133" s="585"/>
      <c r="BO133" s="586">
        <f>BO132/BO66</f>
        <v>0</v>
      </c>
      <c r="BP133" s="585"/>
      <c r="BQ133" s="586">
        <f>BQ132/BQ66</f>
        <v>0</v>
      </c>
      <c r="BR133" s="585"/>
      <c r="BS133" s="586">
        <f>BS132/BS66</f>
        <v>0</v>
      </c>
      <c r="BT133" s="585"/>
      <c r="BU133" s="586">
        <f>BU132/BU66</f>
        <v>0</v>
      </c>
      <c r="BV133" s="585"/>
      <c r="BW133" s="586">
        <f>BW132/BW66</f>
        <v>0</v>
      </c>
      <c r="BX133" s="585"/>
      <c r="BY133" s="586">
        <f>BY132/BY66</f>
        <v>0</v>
      </c>
      <c r="BZ133" s="585"/>
      <c r="CA133" s="586">
        <f>CA132/CA66</f>
        <v>0</v>
      </c>
      <c r="CB133" s="585"/>
      <c r="CC133" s="586">
        <f>CC132/CC66</f>
        <v>0</v>
      </c>
      <c r="CD133" s="585"/>
      <c r="CE133" s="586">
        <f>CE132/CE66</f>
        <v>0</v>
      </c>
      <c r="CF133" s="585"/>
      <c r="CG133" s="586">
        <f>CG132/CG66</f>
        <v>0</v>
      </c>
      <c r="CH133" s="585"/>
      <c r="CI133" s="586">
        <f>CI132/CI66</f>
        <v>0</v>
      </c>
      <c r="CJ133" s="585"/>
      <c r="CK133" s="586">
        <f>CK132/CK66</f>
        <v>0</v>
      </c>
      <c r="CL133" s="585"/>
      <c r="CM133" s="586">
        <f>CM132/CM66</f>
        <v>0</v>
      </c>
      <c r="CN133" s="585"/>
      <c r="CO133" s="586">
        <f>CO132/CO66</f>
        <v>0</v>
      </c>
      <c r="CP133" s="585"/>
      <c r="CQ133" s="586">
        <f>CQ132/CQ66</f>
        <v>0</v>
      </c>
      <c r="CR133" s="585"/>
      <c r="CS133" s="586">
        <f>CS132/CS66</f>
        <v>0</v>
      </c>
      <c r="CT133" s="585"/>
      <c r="CU133" s="586">
        <f>CU132/CU66</f>
        <v>0</v>
      </c>
      <c r="CV133" s="585"/>
      <c r="CW133" s="586">
        <f>CW132/CW66</f>
        <v>145.32902892561984</v>
      </c>
      <c r="CX133" s="585"/>
      <c r="CY133" s="586">
        <f>CY132/CY66</f>
        <v>112.83316115702479</v>
      </c>
      <c r="CZ133" s="585"/>
      <c r="DA133" s="586">
        <f>DA132/DA66</f>
        <v>60.566373966942152</v>
      </c>
      <c r="DB133" s="585"/>
      <c r="DC133" s="586">
        <f>DC132/DC66</f>
        <v>108.81921487603306</v>
      </c>
      <c r="DD133" s="585"/>
      <c r="DE133" s="586">
        <f>DE132/DE66</f>
        <v>258.16219008264466</v>
      </c>
      <c r="DF133" s="585"/>
      <c r="DG133" s="586">
        <f>DG132/DG66</f>
        <v>108.81921487603306</v>
      </c>
      <c r="DH133" s="585"/>
      <c r="DI133" s="586">
        <f>DI132/DI66</f>
        <v>468.31384297520663</v>
      </c>
      <c r="DJ133" s="585"/>
      <c r="DK133" s="586">
        <f>DK132/DK66</f>
        <v>468.31384297520663</v>
      </c>
    </row>
    <row r="134" spans="1:115" outlineLevel="1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375"/>
      <c r="O134" s="376"/>
      <c r="P134" s="375"/>
      <c r="Q134" s="376"/>
      <c r="R134" s="375"/>
      <c r="S134" s="376"/>
      <c r="T134" s="375"/>
      <c r="U134" s="376"/>
      <c r="V134" s="375"/>
      <c r="W134" s="376"/>
      <c r="X134" s="375"/>
      <c r="Y134" s="376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375"/>
      <c r="BY134" s="376"/>
      <c r="BZ134" s="375"/>
      <c r="CA134" s="376"/>
      <c r="CB134" s="375"/>
      <c r="CC134" s="376"/>
      <c r="CD134" s="375"/>
      <c r="CE134" s="376"/>
      <c r="CF134" s="375"/>
      <c r="CG134" s="376"/>
      <c r="CH134" s="375"/>
      <c r="CI134" s="376"/>
      <c r="CJ134" s="375"/>
      <c r="CK134" s="376"/>
      <c r="CL134" s="375"/>
      <c r="CM134" s="376"/>
      <c r="CN134" s="375"/>
      <c r="CO134" s="376"/>
      <c r="CP134" s="375"/>
      <c r="CQ134" s="376"/>
      <c r="CR134" s="375"/>
      <c r="CS134" s="376"/>
      <c r="CT134" s="375"/>
      <c r="CU134" s="376"/>
      <c r="CV134" s="375"/>
      <c r="CW134" s="376"/>
      <c r="CX134" s="375"/>
      <c r="CY134" s="376"/>
      <c r="CZ134" s="375"/>
      <c r="DA134" s="376"/>
      <c r="DB134" s="375"/>
      <c r="DC134" s="376"/>
      <c r="DD134" s="375"/>
      <c r="DE134" s="376"/>
      <c r="DF134" s="375"/>
      <c r="DG134" s="376"/>
      <c r="DH134" s="375"/>
      <c r="DI134" s="376"/>
      <c r="DJ134" s="375"/>
      <c r="DK134" s="376"/>
    </row>
    <row r="135" spans="1:115" outlineLevel="2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224">
        <f>G64</f>
        <v>620</v>
      </c>
      <c r="H135" s="180"/>
      <c r="I135" s="224">
        <f>I64</f>
        <v>1150</v>
      </c>
      <c r="J135" s="180"/>
      <c r="K135" s="224">
        <f>K64</f>
        <v>1150</v>
      </c>
      <c r="L135" s="180"/>
      <c r="M135" s="224">
        <f>M64</f>
        <v>1150</v>
      </c>
      <c r="N135" s="380"/>
      <c r="O135" s="384">
        <f>O64</f>
        <v>1198.0083582089421</v>
      </c>
      <c r="P135" s="380"/>
      <c r="Q135" s="384">
        <v>1200</v>
      </c>
      <c r="R135" s="380"/>
      <c r="S135" s="384">
        <v>1200</v>
      </c>
      <c r="T135" s="380"/>
      <c r="U135" s="384">
        <f>U64</f>
        <v>1200</v>
      </c>
      <c r="V135" s="380"/>
      <c r="W135" s="384">
        <f>W64</f>
        <v>1200</v>
      </c>
      <c r="X135" s="380"/>
      <c r="Y135" s="384">
        <f>Y64</f>
        <v>1200</v>
      </c>
      <c r="Z135" s="380"/>
      <c r="AA135" s="384">
        <f>AA64</f>
        <v>1200</v>
      </c>
      <c r="AB135" s="380"/>
      <c r="AC135" s="384">
        <f>AC64</f>
        <v>1200</v>
      </c>
      <c r="AD135" s="380"/>
      <c r="AE135" s="384">
        <f>AE64</f>
        <v>1200</v>
      </c>
      <c r="AF135" s="380"/>
      <c r="AG135" s="384">
        <f>AG64</f>
        <v>1200</v>
      </c>
      <c r="AH135" s="380"/>
      <c r="AI135" s="384">
        <f>AI64</f>
        <v>1200</v>
      </c>
      <c r="AJ135" s="380"/>
      <c r="AK135" s="384">
        <f>AK64</f>
        <v>1200</v>
      </c>
      <c r="AL135" s="380"/>
      <c r="AM135" s="384">
        <f>AM64</f>
        <v>1200</v>
      </c>
      <c r="AN135" s="380"/>
      <c r="AO135" s="384">
        <f>AO64</f>
        <v>1200</v>
      </c>
      <c r="AP135" s="380"/>
      <c r="AQ135" s="384">
        <f>AQ64</f>
        <v>1200</v>
      </c>
      <c r="AR135" s="380"/>
      <c r="AS135" s="384">
        <f>AS64</f>
        <v>1200</v>
      </c>
      <c r="AT135" s="380"/>
      <c r="AU135" s="384">
        <f>AU64</f>
        <v>1200</v>
      </c>
      <c r="AV135" s="380"/>
      <c r="AW135" s="384">
        <f>AW64</f>
        <v>1200</v>
      </c>
      <c r="AX135" s="380"/>
      <c r="AY135" s="384">
        <f>AY64</f>
        <v>1200</v>
      </c>
      <c r="AZ135" s="380"/>
      <c r="BA135" s="384">
        <f>BA64</f>
        <v>1200</v>
      </c>
      <c r="BB135" s="380"/>
      <c r="BC135" s="384">
        <f>BC64</f>
        <v>1200</v>
      </c>
      <c r="BD135" s="380"/>
      <c r="BE135" s="384">
        <f>BE64</f>
        <v>1200</v>
      </c>
      <c r="BF135" s="380"/>
      <c r="BG135" s="384">
        <f t="shared" ref="BG135" si="1150">BG64</f>
        <v>1200</v>
      </c>
      <c r="BH135" s="380"/>
      <c r="BI135" s="384">
        <f t="shared" ref="BI135:BK135" si="1151">BI64</f>
        <v>1200</v>
      </c>
      <c r="BJ135" s="380"/>
      <c r="BK135" s="384">
        <f t="shared" si="1151"/>
        <v>750</v>
      </c>
      <c r="BL135" s="380"/>
      <c r="BM135" s="384">
        <f t="shared" ref="BM135" si="1152">BM64</f>
        <v>750</v>
      </c>
      <c r="BN135" s="380"/>
      <c r="BO135" s="384">
        <f t="shared" ref="BO135" si="1153">BO64</f>
        <v>750</v>
      </c>
      <c r="BP135" s="380"/>
      <c r="BQ135" s="384">
        <f t="shared" ref="BQ135:BS135" si="1154">BQ64</f>
        <v>750</v>
      </c>
      <c r="BR135" s="380"/>
      <c r="BS135" s="384">
        <f t="shared" si="1154"/>
        <v>750</v>
      </c>
      <c r="BT135" s="380"/>
      <c r="BU135" s="384">
        <f t="shared" ref="BU135:BW135" si="1155">BU64</f>
        <v>750</v>
      </c>
      <c r="BV135" s="380"/>
      <c r="BW135" s="384">
        <f t="shared" si="1155"/>
        <v>750</v>
      </c>
      <c r="BX135" s="380"/>
      <c r="BY135" s="384">
        <f t="shared" ref="BY135:CA135" si="1156">BY64</f>
        <v>750</v>
      </c>
      <c r="BZ135" s="380"/>
      <c r="CA135" s="384">
        <f t="shared" si="1156"/>
        <v>750</v>
      </c>
      <c r="CB135" s="380"/>
      <c r="CC135" s="384">
        <f t="shared" ref="CC135:CE135" si="1157">CC64</f>
        <v>750</v>
      </c>
      <c r="CD135" s="380"/>
      <c r="CE135" s="384">
        <f t="shared" si="1157"/>
        <v>750</v>
      </c>
      <c r="CF135" s="380"/>
      <c r="CG135" s="384">
        <f t="shared" ref="CG135:CI135" si="1158">CG64</f>
        <v>750</v>
      </c>
      <c r="CH135" s="380"/>
      <c r="CI135" s="384">
        <f t="shared" si="1158"/>
        <v>750</v>
      </c>
      <c r="CJ135" s="380"/>
      <c r="CK135" s="384">
        <f t="shared" ref="CK135:CM135" si="1159">CK64</f>
        <v>750</v>
      </c>
      <c r="CL135" s="380"/>
      <c r="CM135" s="384">
        <f t="shared" si="1159"/>
        <v>750</v>
      </c>
      <c r="CN135" s="380"/>
      <c r="CO135" s="384">
        <f t="shared" ref="CO135" si="1160">CO64</f>
        <v>750</v>
      </c>
      <c r="CP135" s="380"/>
      <c r="CQ135" s="384">
        <f t="shared" ref="CQ135" si="1161">CQ64</f>
        <v>750</v>
      </c>
      <c r="CR135" s="380"/>
      <c r="CS135" s="384">
        <f t="shared" ref="CS135:CU135" si="1162">CS64</f>
        <v>750</v>
      </c>
      <c r="CT135" s="380"/>
      <c r="CU135" s="384">
        <f t="shared" si="1162"/>
        <v>750</v>
      </c>
      <c r="CV135" s="380"/>
      <c r="CW135" s="384">
        <f>CW64</f>
        <v>1199.0818076678324</v>
      </c>
      <c r="CX135" s="380"/>
      <c r="CY135" s="384">
        <f>CY64</f>
        <v>1200</v>
      </c>
      <c r="CZ135" s="380"/>
      <c r="DA135" s="384">
        <f>DA64</f>
        <v>1200</v>
      </c>
      <c r="DB135" s="380"/>
      <c r="DC135" s="384">
        <f>DC64</f>
        <v>1200</v>
      </c>
      <c r="DD135" s="380"/>
      <c r="DE135" s="384">
        <f>(SUMPRODUCT(O135,O$131)+SUMPRODUCT(U135,U$131)+SUMPRODUCT(W135,W$131)+SUMPRODUCT(Y135,Y$131)+SUMPRODUCT(AA135,AA$131)+SUMPRODUCT(AC135,AC$131))/SUM(O$131,U$131,W$131,Y$131,AA$131,AC$131)</f>
        <v>1199.4831156337875</v>
      </c>
      <c r="DF135" s="380"/>
      <c r="DG135" s="384">
        <f>DG64</f>
        <v>1200</v>
      </c>
      <c r="DH135" s="380"/>
      <c r="DI135" s="384">
        <f>DI64</f>
        <v>1200</v>
      </c>
      <c r="DJ135" s="380"/>
      <c r="DK135" s="384">
        <f>DK64</f>
        <v>1200</v>
      </c>
    </row>
    <row r="136" spans="1:115" outlineLevel="2" x14ac:dyDescent="0.45">
      <c r="A136" s="561"/>
      <c r="B136" s="1187"/>
      <c r="C136" s="161" t="s">
        <v>388</v>
      </c>
      <c r="D136" s="162"/>
      <c r="E136" s="179"/>
      <c r="F136" s="180"/>
      <c r="G136" s="224"/>
      <c r="H136" s="180"/>
      <c r="I136" s="224"/>
      <c r="J136" s="180"/>
      <c r="K136" s="224"/>
      <c r="L136" s="180"/>
      <c r="M136" s="224"/>
      <c r="N136" s="380"/>
      <c r="O136" s="384">
        <v>1252.1434269178421</v>
      </c>
      <c r="P136" s="380"/>
      <c r="Q136" s="384"/>
      <c r="R136" s="380"/>
      <c r="S136" s="384"/>
      <c r="T136" s="380"/>
      <c r="U136" s="384">
        <v>1249.8380735606863</v>
      </c>
      <c r="V136" s="380"/>
      <c r="W136" s="384">
        <v>1174.3919602789399</v>
      </c>
      <c r="X136" s="380"/>
      <c r="Y136" s="384">
        <v>1205.661018444297</v>
      </c>
      <c r="Z136" s="380"/>
      <c r="AA136" s="384">
        <v>1074.0640382724632</v>
      </c>
      <c r="AB136" s="380"/>
      <c r="AC136" s="384">
        <v>1094.9135072063484</v>
      </c>
      <c r="AD136" s="380"/>
      <c r="AE136" s="384">
        <v>1142.5817044147298</v>
      </c>
      <c r="AF136" s="380"/>
      <c r="AG136" s="384">
        <v>1114.8039985889111</v>
      </c>
      <c r="AH136" s="380"/>
      <c r="AI136" s="384">
        <v>894.14378682354072</v>
      </c>
      <c r="AJ136" s="380"/>
      <c r="AK136" s="384">
        <v>671.97913999900766</v>
      </c>
      <c r="AL136" s="380"/>
      <c r="AM136" s="384">
        <v>558.88592736536907</v>
      </c>
      <c r="AN136" s="380"/>
      <c r="AO136" s="384">
        <v>458.44010247391464</v>
      </c>
      <c r="AP136" s="380"/>
      <c r="AQ136" s="384">
        <v>353.48358486732587</v>
      </c>
      <c r="AR136" s="380"/>
      <c r="AS136" s="384">
        <v>290.58497252340732</v>
      </c>
      <c r="AT136" s="380"/>
      <c r="AU136" s="384">
        <v>285.25440113249226</v>
      </c>
      <c r="AV136" s="380"/>
      <c r="AW136" s="384">
        <v>243</v>
      </c>
      <c r="AX136" s="380"/>
      <c r="AY136" s="384">
        <v>230</v>
      </c>
      <c r="AZ136" s="380"/>
      <c r="BA136" s="384">
        <v>108</v>
      </c>
      <c r="BB136" s="380"/>
      <c r="BC136" s="384">
        <v>105</v>
      </c>
      <c r="BD136" s="380"/>
      <c r="BE136" s="384">
        <v>105</v>
      </c>
      <c r="BF136" s="380"/>
      <c r="BG136" s="384">
        <v>93</v>
      </c>
      <c r="BH136" s="380"/>
      <c r="BI136" s="384">
        <v>60</v>
      </c>
      <c r="BJ136" s="380"/>
      <c r="BK136" s="384">
        <v>60</v>
      </c>
      <c r="BL136" s="380"/>
      <c r="BM136" s="384">
        <v>55</v>
      </c>
      <c r="BN136" s="380"/>
      <c r="BO136" s="384">
        <v>76</v>
      </c>
      <c r="BP136" s="380"/>
      <c r="BQ136" s="384">
        <v>49</v>
      </c>
      <c r="BR136" s="380"/>
      <c r="BS136" s="384">
        <v>68</v>
      </c>
      <c r="BT136" s="380"/>
      <c r="BU136" s="384">
        <v>60</v>
      </c>
      <c r="BV136" s="380"/>
      <c r="BW136" s="384">
        <v>12</v>
      </c>
      <c r="BX136" s="380"/>
      <c r="BY136" s="384">
        <v>89.7</v>
      </c>
      <c r="BZ136" s="380"/>
      <c r="CA136" s="384">
        <v>295.30472103004291</v>
      </c>
      <c r="CB136" s="380"/>
      <c r="CC136" s="384">
        <v>212</v>
      </c>
      <c r="CD136" s="380"/>
      <c r="CE136" s="384">
        <v>49</v>
      </c>
      <c r="CF136" s="380"/>
      <c r="CG136" s="384">
        <v>61.756756756756758</v>
      </c>
      <c r="CH136" s="380"/>
      <c r="CI136" s="384">
        <v>15</v>
      </c>
      <c r="CJ136" s="380"/>
      <c r="CK136" s="384">
        <v>7</v>
      </c>
      <c r="CL136" s="380"/>
      <c r="CM136" s="384">
        <v>100</v>
      </c>
      <c r="CN136" s="380"/>
      <c r="CO136" s="384">
        <v>100</v>
      </c>
      <c r="CP136" s="380"/>
      <c r="CQ136" s="384">
        <v>300</v>
      </c>
      <c r="CR136" s="380"/>
      <c r="CS136" s="384">
        <v>35</v>
      </c>
      <c r="CT136" s="380"/>
      <c r="CU136" s="384">
        <v>35</v>
      </c>
      <c r="CV136" s="380"/>
      <c r="CW136" s="384">
        <f>(SUMPRODUCT(O136,O$131)+SUMPRODUCT(U136,U$131)+SUMPRODUCT(W136,W$131))/SUM(O$131,U$131,W$131)</f>
        <v>1226.9476507543875</v>
      </c>
      <c r="CX136" s="380"/>
      <c r="CY136" s="384">
        <f>(SUMPRODUCT(AC136,AC$131)+SUMPRODUCT(AA136,AA$131)+SUMPRODUCT(Y136,Y$131))/SUM(AC$131,AA$131,Y$131)</f>
        <v>1124.15756786929</v>
      </c>
      <c r="CZ136" s="380"/>
      <c r="DA136" s="384">
        <f>(SUMPRODUCT(AI136,AI$131)+SUMPRODUCT(AG136,AG$131)+SUMPRODUCT(AE136,AE$131))/SUM(AI$131,AG$131,AE$131)</f>
        <v>990.56132828350815</v>
      </c>
      <c r="DB136" s="380"/>
      <c r="DC136" s="384">
        <v>600</v>
      </c>
      <c r="DD136" s="380"/>
      <c r="DE136" s="384">
        <f>(SUMPRODUCT(O136,O$131)+SUMPRODUCT(U136,U$131)+SUMPRODUCT(W136,W$131)+SUMPRODUCT(Y136,Y$131)+SUMPRODUCT(AA136,AA$131)+SUMPRODUCT(AC136,AC$131))/SUM(O$131,U$131,W$131,Y$131,AA$131,AC$131)</f>
        <v>1182.0219008457536</v>
      </c>
      <c r="DF136" s="380"/>
      <c r="DG136" s="384">
        <v>900</v>
      </c>
      <c r="DH136" s="380"/>
      <c r="DI136" s="384">
        <v>900</v>
      </c>
      <c r="DJ136" s="380"/>
      <c r="DK136" s="384">
        <v>800</v>
      </c>
    </row>
    <row r="137" spans="1:115" outlineLevel="3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>
        <v>1200</v>
      </c>
      <c r="H137" s="180"/>
      <c r="I137" s="224">
        <f>G137</f>
        <v>1200</v>
      </c>
      <c r="J137" s="180"/>
      <c r="K137" s="224">
        <f>I137</f>
        <v>1200</v>
      </c>
      <c r="L137" s="180"/>
      <c r="M137" s="224">
        <f>K137</f>
        <v>1200</v>
      </c>
      <c r="N137" s="380"/>
      <c r="O137" s="384">
        <v>1218</v>
      </c>
      <c r="P137" s="380"/>
      <c r="Q137" s="384">
        <v>1500</v>
      </c>
      <c r="R137" s="380"/>
      <c r="S137" s="384">
        <v>1500</v>
      </c>
      <c r="T137" s="380"/>
      <c r="U137" s="384">
        <v>1244</v>
      </c>
      <c r="V137" s="380"/>
      <c r="W137" s="384">
        <v>1244</v>
      </c>
      <c r="X137" s="380"/>
      <c r="Y137" s="384">
        <v>1244</v>
      </c>
      <c r="Z137" s="380"/>
      <c r="AA137" s="384">
        <v>1244</v>
      </c>
      <c r="AB137" s="380"/>
      <c r="AC137" s="384">
        <v>1244</v>
      </c>
      <c r="AD137" s="380"/>
      <c r="AE137" s="384">
        <v>1244</v>
      </c>
      <c r="AF137" s="380"/>
      <c r="AG137" s="384">
        <v>1244</v>
      </c>
      <c r="AH137" s="380"/>
      <c r="AI137" s="384">
        <v>1244</v>
      </c>
      <c r="AJ137" s="380"/>
      <c r="AK137" s="384">
        <v>1244</v>
      </c>
      <c r="AL137" s="380"/>
      <c r="AM137" s="384">
        <v>1244</v>
      </c>
      <c r="AN137" s="380"/>
      <c r="AO137" s="384">
        <v>1244</v>
      </c>
      <c r="AP137" s="380"/>
      <c r="AQ137" s="384">
        <v>1244</v>
      </c>
      <c r="AR137" s="380"/>
      <c r="AS137" s="384">
        <v>1244</v>
      </c>
      <c r="AT137" s="380"/>
      <c r="AU137" s="384">
        <v>1244</v>
      </c>
      <c r="AV137" s="380"/>
      <c r="AW137" s="384">
        <v>1244</v>
      </c>
      <c r="AX137" s="380"/>
      <c r="AY137" s="384">
        <v>1244</v>
      </c>
      <c r="AZ137" s="380"/>
      <c r="BA137" s="384">
        <v>1244</v>
      </c>
      <c r="BB137" s="380"/>
      <c r="BC137" s="384">
        <v>1244</v>
      </c>
      <c r="BD137" s="380"/>
      <c r="BE137" s="384">
        <v>1244</v>
      </c>
      <c r="BF137" s="380"/>
      <c r="BG137" s="384">
        <v>1244</v>
      </c>
      <c r="BH137" s="380"/>
      <c r="BI137" s="384">
        <v>1244</v>
      </c>
      <c r="BJ137" s="380"/>
      <c r="BK137" s="384">
        <v>1244</v>
      </c>
      <c r="BL137" s="380"/>
      <c r="BM137" s="384">
        <v>1244</v>
      </c>
      <c r="BN137" s="380"/>
      <c r="BO137" s="384">
        <v>1244</v>
      </c>
      <c r="BP137" s="380"/>
      <c r="BQ137" s="384">
        <v>1244</v>
      </c>
      <c r="BR137" s="380"/>
      <c r="BS137" s="384">
        <v>1244</v>
      </c>
      <c r="BT137" s="380"/>
      <c r="BU137" s="384">
        <v>1244</v>
      </c>
      <c r="BV137" s="380"/>
      <c r="BW137" s="384">
        <v>1244</v>
      </c>
      <c r="BX137" s="380"/>
      <c r="BY137" s="384">
        <v>1244</v>
      </c>
      <c r="BZ137" s="380"/>
      <c r="CA137" s="384">
        <v>1244</v>
      </c>
      <c r="CB137" s="380"/>
      <c r="CC137" s="384">
        <v>1244</v>
      </c>
      <c r="CD137" s="380"/>
      <c r="CE137" s="384">
        <v>1244</v>
      </c>
      <c r="CF137" s="380"/>
      <c r="CG137" s="384">
        <v>1244</v>
      </c>
      <c r="CH137" s="380"/>
      <c r="CI137" s="384">
        <v>1244</v>
      </c>
      <c r="CJ137" s="380"/>
      <c r="CK137" s="384">
        <v>1244</v>
      </c>
      <c r="CL137" s="380"/>
      <c r="CM137" s="384">
        <v>1244</v>
      </c>
      <c r="CN137" s="380"/>
      <c r="CO137" s="384">
        <v>1244</v>
      </c>
      <c r="CP137" s="380"/>
      <c r="CQ137" s="384">
        <v>1244</v>
      </c>
      <c r="CR137" s="380"/>
      <c r="CS137" s="384">
        <v>1244</v>
      </c>
      <c r="CT137" s="380"/>
      <c r="CU137" s="384">
        <v>1244</v>
      </c>
      <c r="CV137" s="380"/>
      <c r="CW137" s="384">
        <v>1244</v>
      </c>
      <c r="CX137" s="380"/>
      <c r="CY137" s="384">
        <v>1244</v>
      </c>
      <c r="CZ137" s="380"/>
      <c r="DA137" s="384">
        <v>1244</v>
      </c>
      <c r="DB137" s="380"/>
      <c r="DC137" s="384">
        <v>1244</v>
      </c>
      <c r="DD137" s="380"/>
      <c r="DE137" s="384">
        <v>1244</v>
      </c>
      <c r="DF137" s="380"/>
      <c r="DG137" s="384">
        <v>1244</v>
      </c>
      <c r="DH137" s="380"/>
      <c r="DI137" s="384">
        <v>1244</v>
      </c>
      <c r="DJ137" s="380"/>
      <c r="DK137" s="384">
        <v>1244</v>
      </c>
    </row>
    <row r="138" spans="1:115" outlineLevel="3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1200</v>
      </c>
      <c r="H138" s="180"/>
      <c r="I138" s="224">
        <f>G138</f>
        <v>1200</v>
      </c>
      <c r="J138" s="180"/>
      <c r="K138" s="224">
        <f>I138</f>
        <v>1200</v>
      </c>
      <c r="L138" s="180"/>
      <c r="M138" s="224">
        <f>K138</f>
        <v>1200</v>
      </c>
      <c r="N138" s="380"/>
      <c r="O138" s="384">
        <f>O64</f>
        <v>1198.0083582089421</v>
      </c>
      <c r="P138" s="380"/>
      <c r="Q138" s="384">
        <f>Q64</f>
        <v>1200</v>
      </c>
      <c r="R138" s="380"/>
      <c r="S138" s="384">
        <f>S64</f>
        <v>1200</v>
      </c>
      <c r="T138" s="380"/>
      <c r="U138" s="384">
        <f>U64</f>
        <v>1200</v>
      </c>
      <c r="V138" s="380"/>
      <c r="W138" s="384">
        <f>W64</f>
        <v>1200</v>
      </c>
      <c r="X138" s="380"/>
      <c r="Y138" s="384">
        <f>Y64</f>
        <v>1200</v>
      </c>
      <c r="Z138" s="380"/>
      <c r="AA138" s="384">
        <f>AA64</f>
        <v>1200</v>
      </c>
      <c r="AB138" s="380"/>
      <c r="AC138" s="384">
        <f>AC64</f>
        <v>1200</v>
      </c>
      <c r="AD138" s="380"/>
      <c r="AE138" s="384">
        <f>AE64</f>
        <v>1200</v>
      </c>
      <c r="AF138" s="380"/>
      <c r="AG138" s="384">
        <f>AG64</f>
        <v>1200</v>
      </c>
      <c r="AH138" s="380"/>
      <c r="AI138" s="384">
        <f>AI64</f>
        <v>1200</v>
      </c>
      <c r="AJ138" s="380"/>
      <c r="AK138" s="384">
        <f>AK64</f>
        <v>1200</v>
      </c>
      <c r="AL138" s="380"/>
      <c r="AM138" s="384">
        <f>AM64</f>
        <v>1200</v>
      </c>
      <c r="AN138" s="380"/>
      <c r="AO138" s="384">
        <f>AO64</f>
        <v>1200</v>
      </c>
      <c r="AP138" s="380"/>
      <c r="AQ138" s="384">
        <f>AQ64</f>
        <v>1200</v>
      </c>
      <c r="AR138" s="380"/>
      <c r="AS138" s="384">
        <f>AS64</f>
        <v>1200</v>
      </c>
      <c r="AT138" s="380"/>
      <c r="AU138" s="384">
        <f>AU64</f>
        <v>1200</v>
      </c>
      <c r="AV138" s="380"/>
      <c r="AW138" s="384">
        <f>AW64</f>
        <v>1200</v>
      </c>
      <c r="AX138" s="380"/>
      <c r="AY138" s="384">
        <f>AY64</f>
        <v>1200</v>
      </c>
      <c r="AZ138" s="380"/>
      <c r="BA138" s="384">
        <f>BA64</f>
        <v>1200</v>
      </c>
      <c r="BB138" s="380"/>
      <c r="BC138" s="384">
        <f>BC64</f>
        <v>1200</v>
      </c>
      <c r="BD138" s="380"/>
      <c r="BE138" s="384">
        <f>BE64</f>
        <v>1200</v>
      </c>
      <c r="BF138" s="380"/>
      <c r="BG138" s="384">
        <f t="shared" ref="BG138" si="1163">BG64</f>
        <v>1200</v>
      </c>
      <c r="BH138" s="380"/>
      <c r="BI138" s="384">
        <f t="shared" ref="BI138:BK138" si="1164">BI64</f>
        <v>1200</v>
      </c>
      <c r="BJ138" s="380"/>
      <c r="BK138" s="384">
        <f t="shared" si="1164"/>
        <v>750</v>
      </c>
      <c r="BL138" s="380"/>
      <c r="BM138" s="384">
        <f t="shared" ref="BM138" si="1165">BM64</f>
        <v>750</v>
      </c>
      <c r="BN138" s="380"/>
      <c r="BO138" s="384">
        <f t="shared" ref="BO138" si="1166">BO64</f>
        <v>750</v>
      </c>
      <c r="BP138" s="380"/>
      <c r="BQ138" s="384">
        <f t="shared" ref="BQ138:BS138" si="1167">BQ64</f>
        <v>750</v>
      </c>
      <c r="BR138" s="380"/>
      <c r="BS138" s="384">
        <f t="shared" si="1167"/>
        <v>750</v>
      </c>
      <c r="BT138" s="380"/>
      <c r="BU138" s="384">
        <f t="shared" ref="BU138:BW138" si="1168">BU64</f>
        <v>750</v>
      </c>
      <c r="BV138" s="380"/>
      <c r="BW138" s="384">
        <f t="shared" si="1168"/>
        <v>750</v>
      </c>
      <c r="BX138" s="380"/>
      <c r="BY138" s="384">
        <f t="shared" ref="BY138:CA138" si="1169">BY64</f>
        <v>750</v>
      </c>
      <c r="BZ138" s="380"/>
      <c r="CA138" s="384">
        <f t="shared" si="1169"/>
        <v>750</v>
      </c>
      <c r="CB138" s="380"/>
      <c r="CC138" s="384">
        <f t="shared" ref="CC138:CE138" si="1170">CC64</f>
        <v>750</v>
      </c>
      <c r="CD138" s="380"/>
      <c r="CE138" s="384">
        <f t="shared" si="1170"/>
        <v>750</v>
      </c>
      <c r="CF138" s="380"/>
      <c r="CG138" s="384">
        <f t="shared" ref="CG138:CI138" si="1171">CG64</f>
        <v>750</v>
      </c>
      <c r="CH138" s="380"/>
      <c r="CI138" s="384">
        <f t="shared" si="1171"/>
        <v>750</v>
      </c>
      <c r="CJ138" s="380"/>
      <c r="CK138" s="384">
        <f t="shared" ref="CK138:CM138" si="1172">CK64</f>
        <v>750</v>
      </c>
      <c r="CL138" s="380"/>
      <c r="CM138" s="384">
        <f t="shared" si="1172"/>
        <v>750</v>
      </c>
      <c r="CN138" s="380"/>
      <c r="CO138" s="384">
        <f t="shared" ref="CO138" si="1173">CO64</f>
        <v>750</v>
      </c>
      <c r="CP138" s="380"/>
      <c r="CQ138" s="384">
        <f t="shared" ref="CQ138" si="1174">CQ64</f>
        <v>750</v>
      </c>
      <c r="CR138" s="380"/>
      <c r="CS138" s="384">
        <f t="shared" ref="CS138:CU138" si="1175">CS64</f>
        <v>750</v>
      </c>
      <c r="CT138" s="380"/>
      <c r="CU138" s="384">
        <f t="shared" si="1175"/>
        <v>750</v>
      </c>
      <c r="CV138" s="380"/>
      <c r="CW138" s="384">
        <f>CW64</f>
        <v>1199.0818076678324</v>
      </c>
      <c r="CX138" s="380"/>
      <c r="CY138" s="384">
        <f>CY64</f>
        <v>1200</v>
      </c>
      <c r="CZ138" s="380"/>
      <c r="DA138" s="384">
        <f>DA64</f>
        <v>1200</v>
      </c>
      <c r="DB138" s="380"/>
      <c r="DC138" s="384">
        <f>DC64</f>
        <v>1200</v>
      </c>
      <c r="DD138" s="380"/>
      <c r="DE138" s="384">
        <f>DE64</f>
        <v>1199.4831156337875</v>
      </c>
      <c r="DF138" s="380"/>
      <c r="DG138" s="384">
        <f>DG64</f>
        <v>1200</v>
      </c>
      <c r="DH138" s="380"/>
      <c r="DI138" s="384">
        <f>DI64</f>
        <v>1200</v>
      </c>
      <c r="DJ138" s="380"/>
      <c r="DK138" s="384">
        <f>DK64</f>
        <v>1200</v>
      </c>
    </row>
    <row r="139" spans="1:115" outlineLevel="3" x14ac:dyDescent="0.45">
      <c r="A139" s="561"/>
      <c r="B139" s="1187"/>
      <c r="C139" s="225" t="s">
        <v>130</v>
      </c>
      <c r="D139" s="162"/>
      <c r="E139" s="179"/>
      <c r="F139" s="180"/>
      <c r="G139" s="224">
        <v>750</v>
      </c>
      <c r="H139" s="180"/>
      <c r="I139" s="224">
        <v>750</v>
      </c>
      <c r="J139" s="180"/>
      <c r="K139" s="224">
        <v>750</v>
      </c>
      <c r="L139" s="180"/>
      <c r="M139" s="224">
        <v>750</v>
      </c>
      <c r="N139" s="380"/>
      <c r="O139" s="384">
        <v>750</v>
      </c>
      <c r="P139" s="380"/>
      <c r="Q139" s="384">
        <v>750</v>
      </c>
      <c r="R139" s="380"/>
      <c r="S139" s="384">
        <v>750</v>
      </c>
      <c r="T139" s="380"/>
      <c r="U139" s="384">
        <v>750</v>
      </c>
      <c r="V139" s="380"/>
      <c r="W139" s="384">
        <v>750</v>
      </c>
      <c r="X139" s="380"/>
      <c r="Y139" s="384">
        <v>750</v>
      </c>
      <c r="Z139" s="380"/>
      <c r="AA139" s="384">
        <v>750</v>
      </c>
      <c r="AB139" s="380"/>
      <c r="AC139" s="384">
        <v>750</v>
      </c>
      <c r="AD139" s="380"/>
      <c r="AE139" s="384">
        <v>750</v>
      </c>
      <c r="AF139" s="380"/>
      <c r="AG139" s="384">
        <v>750</v>
      </c>
      <c r="AH139" s="380"/>
      <c r="AI139" s="384">
        <v>750</v>
      </c>
      <c r="AJ139" s="380"/>
      <c r="AK139" s="384">
        <v>750</v>
      </c>
      <c r="AL139" s="380"/>
      <c r="AM139" s="384">
        <v>750</v>
      </c>
      <c r="AN139" s="380"/>
      <c r="AO139" s="384">
        <v>750</v>
      </c>
      <c r="AP139" s="380"/>
      <c r="AQ139" s="384">
        <v>750</v>
      </c>
      <c r="AR139" s="380"/>
      <c r="AS139" s="384">
        <v>750</v>
      </c>
      <c r="AT139" s="380"/>
      <c r="AU139" s="384">
        <v>750</v>
      </c>
      <c r="AV139" s="380"/>
      <c r="AW139" s="384">
        <v>750</v>
      </c>
      <c r="AX139" s="380"/>
      <c r="AY139" s="384">
        <v>750</v>
      </c>
      <c r="AZ139" s="380"/>
      <c r="BA139" s="384">
        <v>750</v>
      </c>
      <c r="BB139" s="380"/>
      <c r="BC139" s="384">
        <v>750</v>
      </c>
      <c r="BD139" s="380"/>
      <c r="BE139" s="384">
        <v>750</v>
      </c>
      <c r="BF139" s="380"/>
      <c r="BG139" s="384">
        <v>750</v>
      </c>
      <c r="BH139" s="380"/>
      <c r="BI139" s="384">
        <v>750</v>
      </c>
      <c r="BJ139" s="380"/>
      <c r="BK139" s="384">
        <v>750</v>
      </c>
      <c r="BL139" s="380"/>
      <c r="BM139" s="384">
        <v>750</v>
      </c>
      <c r="BN139" s="380"/>
      <c r="BO139" s="384">
        <v>750</v>
      </c>
      <c r="BP139" s="380"/>
      <c r="BQ139" s="384">
        <v>750</v>
      </c>
      <c r="BR139" s="380"/>
      <c r="BS139" s="384">
        <v>750</v>
      </c>
      <c r="BT139" s="380"/>
      <c r="BU139" s="384">
        <v>750</v>
      </c>
      <c r="BV139" s="380"/>
      <c r="BW139" s="384">
        <v>750</v>
      </c>
      <c r="BX139" s="380"/>
      <c r="BY139" s="384">
        <v>750</v>
      </c>
      <c r="BZ139" s="380"/>
      <c r="CA139" s="384">
        <v>750</v>
      </c>
      <c r="CB139" s="380"/>
      <c r="CC139" s="384">
        <v>750</v>
      </c>
      <c r="CD139" s="380"/>
      <c r="CE139" s="384">
        <v>750</v>
      </c>
      <c r="CF139" s="380"/>
      <c r="CG139" s="384">
        <v>750</v>
      </c>
      <c r="CH139" s="380"/>
      <c r="CI139" s="384">
        <v>750</v>
      </c>
      <c r="CJ139" s="380"/>
      <c r="CK139" s="384">
        <v>750</v>
      </c>
      <c r="CL139" s="380"/>
      <c r="CM139" s="384">
        <v>750</v>
      </c>
      <c r="CN139" s="380"/>
      <c r="CO139" s="384">
        <v>750</v>
      </c>
      <c r="CP139" s="380"/>
      <c r="CQ139" s="384">
        <v>750</v>
      </c>
      <c r="CR139" s="380"/>
      <c r="CS139" s="384">
        <v>750</v>
      </c>
      <c r="CT139" s="380"/>
      <c r="CU139" s="384">
        <v>750</v>
      </c>
      <c r="CV139" s="380"/>
      <c r="CW139" s="384">
        <v>750</v>
      </c>
      <c r="CX139" s="380"/>
      <c r="CY139" s="384">
        <v>750</v>
      </c>
      <c r="CZ139" s="380"/>
      <c r="DA139" s="384">
        <v>750</v>
      </c>
      <c r="DB139" s="380"/>
      <c r="DC139" s="384">
        <v>750</v>
      </c>
      <c r="DD139" s="380"/>
      <c r="DE139" s="384">
        <v>750</v>
      </c>
      <c r="DF139" s="380"/>
      <c r="DG139" s="384">
        <v>750</v>
      </c>
      <c r="DH139" s="380"/>
      <c r="DI139" s="384">
        <v>750</v>
      </c>
      <c r="DJ139" s="380"/>
      <c r="DK139" s="384">
        <v>750</v>
      </c>
    </row>
    <row r="140" spans="1:115" outlineLevel="2" x14ac:dyDescent="0.45">
      <c r="A140" s="561"/>
      <c r="B140" s="1187"/>
      <c r="C140" s="170"/>
      <c r="D140" s="162"/>
      <c r="E140" s="197"/>
      <c r="F140" s="164"/>
      <c r="G140" s="171"/>
      <c r="H140" s="164"/>
      <c r="I140" s="171"/>
      <c r="J140" s="164"/>
      <c r="K140" s="171"/>
      <c r="L140" s="164"/>
      <c r="M140" s="171"/>
      <c r="N140" s="359"/>
      <c r="O140" s="372"/>
      <c r="P140" s="359"/>
      <c r="Q140" s="372"/>
      <c r="R140" s="359"/>
      <c r="S140" s="372"/>
      <c r="T140" s="359"/>
      <c r="U140" s="372"/>
      <c r="V140" s="359"/>
      <c r="W140" s="372"/>
      <c r="X140" s="359"/>
      <c r="Y140" s="372"/>
      <c r="Z140" s="359"/>
      <c r="AA140" s="372"/>
      <c r="AB140" s="359"/>
      <c r="AC140" s="372"/>
      <c r="AD140" s="359"/>
      <c r="AE140" s="372"/>
      <c r="AF140" s="359"/>
      <c r="AG140" s="372"/>
      <c r="AH140" s="359"/>
      <c r="AI140" s="372"/>
      <c r="AJ140" s="359"/>
      <c r="AK140" s="372"/>
      <c r="AL140" s="359"/>
      <c r="AM140" s="372"/>
      <c r="AN140" s="359"/>
      <c r="AO140" s="372"/>
      <c r="AP140" s="359"/>
      <c r="AQ140" s="372"/>
      <c r="AR140" s="359"/>
      <c r="AS140" s="372"/>
      <c r="AT140" s="359"/>
      <c r="AU140" s="372"/>
      <c r="AV140" s="359"/>
      <c r="AW140" s="372"/>
      <c r="AX140" s="359"/>
      <c r="AY140" s="372"/>
      <c r="AZ140" s="359"/>
      <c r="BA140" s="372"/>
      <c r="BB140" s="359"/>
      <c r="BC140" s="372"/>
      <c r="BD140" s="359"/>
      <c r="BE140" s="372"/>
      <c r="BF140" s="359"/>
      <c r="BG140" s="372"/>
      <c r="BH140" s="359"/>
      <c r="BI140" s="372"/>
      <c r="BJ140" s="359"/>
      <c r="BK140" s="372"/>
      <c r="BL140" s="359"/>
      <c r="BM140" s="372"/>
      <c r="BN140" s="359"/>
      <c r="BO140" s="372"/>
      <c r="BP140" s="359"/>
      <c r="BQ140" s="372"/>
      <c r="BR140" s="359"/>
      <c r="BS140" s="372"/>
      <c r="BT140" s="359"/>
      <c r="BU140" s="372"/>
      <c r="BV140" s="359"/>
      <c r="BW140" s="372"/>
      <c r="BX140" s="359"/>
      <c r="BY140" s="372"/>
      <c r="BZ140" s="359"/>
      <c r="CA140" s="372"/>
      <c r="CB140" s="359"/>
      <c r="CC140" s="372"/>
      <c r="CD140" s="359"/>
      <c r="CE140" s="372"/>
      <c r="CF140" s="359"/>
      <c r="CG140" s="372"/>
      <c r="CH140" s="359"/>
      <c r="CI140" s="372"/>
      <c r="CJ140" s="359"/>
      <c r="CK140" s="372"/>
      <c r="CL140" s="359"/>
      <c r="CM140" s="372"/>
      <c r="CN140" s="359"/>
      <c r="CO140" s="372"/>
      <c r="CP140" s="359"/>
      <c r="CQ140" s="372"/>
      <c r="CR140" s="359"/>
      <c r="CS140" s="372"/>
      <c r="CT140" s="359"/>
      <c r="CU140" s="372"/>
      <c r="CV140" s="359"/>
      <c r="CW140" s="372"/>
      <c r="CX140" s="359"/>
      <c r="CY140" s="372"/>
      <c r="CZ140" s="359"/>
      <c r="DA140" s="372"/>
      <c r="DB140" s="359"/>
      <c r="DC140" s="372"/>
      <c r="DD140" s="359"/>
      <c r="DE140" s="372"/>
      <c r="DF140" s="359"/>
      <c r="DG140" s="372"/>
      <c r="DH140" s="359"/>
      <c r="DI140" s="372"/>
      <c r="DJ140" s="359"/>
      <c r="DK140" s="372"/>
    </row>
    <row r="141" spans="1:115" outlineLevel="2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G138-G135</f>
        <v>580</v>
      </c>
      <c r="H141" s="229"/>
      <c r="I141" s="230">
        <f>I138-I135</f>
        <v>50</v>
      </c>
      <c r="J141" s="229"/>
      <c r="K141" s="230">
        <f>K138-K135</f>
        <v>50</v>
      </c>
      <c r="L141" s="229"/>
      <c r="M141" s="230">
        <f>M138-M135</f>
        <v>50</v>
      </c>
      <c r="N141" s="1102"/>
      <c r="O141" s="588">
        <f>O136-O135</f>
        <v>54.135068708900008</v>
      </c>
      <c r="P141" s="1102"/>
      <c r="Q141" s="588">
        <f>Q137-Q135</f>
        <v>300</v>
      </c>
      <c r="R141" s="1102"/>
      <c r="S141" s="588">
        <f>S137-S135</f>
        <v>300</v>
      </c>
      <c r="T141" s="1102"/>
      <c r="U141" s="588">
        <f>U136-U135</f>
        <v>49.838073560686325</v>
      </c>
      <c r="V141" s="1102"/>
      <c r="W141" s="588">
        <f>W136-W135</f>
        <v>-25.608039721060095</v>
      </c>
      <c r="X141" s="1102"/>
      <c r="Y141" s="588">
        <f>Y136-Y135</f>
        <v>5.6610184442970422</v>
      </c>
      <c r="Z141" s="1102"/>
      <c r="AA141" s="588">
        <f>AA136-AA135</f>
        <v>-125.93596172753678</v>
      </c>
      <c r="AB141" s="1102"/>
      <c r="AC141" s="588">
        <f>AC136-AC135</f>
        <v>-105.08649279365159</v>
      </c>
      <c r="AD141" s="1102"/>
      <c r="AE141" s="588">
        <f>AE136-AE135</f>
        <v>-57.418295585270243</v>
      </c>
      <c r="AF141" s="1102"/>
      <c r="AG141" s="588">
        <f>AG136-AG135</f>
        <v>-85.196001411088901</v>
      </c>
      <c r="AH141" s="1102"/>
      <c r="AI141" s="588">
        <f>AI136-AI135</f>
        <v>-305.85621317645928</v>
      </c>
      <c r="AJ141" s="1102"/>
      <c r="AK141" s="588">
        <f>AK136-AK135</f>
        <v>-528.02086000099234</v>
      </c>
      <c r="AL141" s="1102"/>
      <c r="AM141" s="588">
        <f>AM136-AM135</f>
        <v>-641.11407263463093</v>
      </c>
      <c r="AN141" s="1102"/>
      <c r="AO141" s="588">
        <f>AO136-AO135</f>
        <v>-741.55989752608536</v>
      </c>
      <c r="AP141" s="1102"/>
      <c r="AQ141" s="588">
        <f>AQ136-AQ135</f>
        <v>-846.51641513267418</v>
      </c>
      <c r="AR141" s="1102"/>
      <c r="AS141" s="588">
        <f>AS136-AS135</f>
        <v>-909.41502747659274</v>
      </c>
      <c r="AT141" s="1102"/>
      <c r="AU141" s="588">
        <f>AU136-AU135</f>
        <v>-914.74559886750774</v>
      </c>
      <c r="AV141" s="1102"/>
      <c r="AW141" s="588">
        <f>AW136-AW135</f>
        <v>-957</v>
      </c>
      <c r="AX141" s="1102"/>
      <c r="AY141" s="588">
        <f>AY136-AY135</f>
        <v>-970</v>
      </c>
      <c r="AZ141" s="1102"/>
      <c r="BA141" s="588">
        <f>BA136-BA135</f>
        <v>-1092</v>
      </c>
      <c r="BB141" s="1102"/>
      <c r="BC141" s="588">
        <f>BC136-BC135</f>
        <v>-1095</v>
      </c>
      <c r="BD141" s="1102"/>
      <c r="BE141" s="588">
        <f>BE136-BE135</f>
        <v>-1095</v>
      </c>
      <c r="BF141" s="1102"/>
      <c r="BG141" s="588">
        <f t="shared" ref="BG141" si="1176">BG136-BG135</f>
        <v>-1107</v>
      </c>
      <c r="BH141" s="1102"/>
      <c r="BI141" s="588">
        <f t="shared" ref="BI141:BK141" si="1177">BI136-BI135</f>
        <v>-1140</v>
      </c>
      <c r="BJ141" s="1102"/>
      <c r="BK141" s="588">
        <f t="shared" si="1177"/>
        <v>-690</v>
      </c>
      <c r="BL141" s="1102"/>
      <c r="BM141" s="588">
        <f t="shared" ref="BM141" si="1178">BM136-BM135</f>
        <v>-695</v>
      </c>
      <c r="BN141" s="1102"/>
      <c r="BO141" s="588">
        <f t="shared" ref="BO141" si="1179">BO136-BO135</f>
        <v>-674</v>
      </c>
      <c r="BP141" s="1102"/>
      <c r="BQ141" s="588">
        <f t="shared" ref="BQ141:BS141" si="1180">BQ136-BQ135</f>
        <v>-701</v>
      </c>
      <c r="BR141" s="1102"/>
      <c r="BS141" s="588">
        <f t="shared" si="1180"/>
        <v>-682</v>
      </c>
      <c r="BT141" s="1102"/>
      <c r="BU141" s="588">
        <f t="shared" ref="BU141:BW141" si="1181">BU136-BU135</f>
        <v>-690</v>
      </c>
      <c r="BV141" s="1102"/>
      <c r="BW141" s="588">
        <f t="shared" si="1181"/>
        <v>-738</v>
      </c>
      <c r="BX141" s="1102"/>
      <c r="BY141" s="588">
        <f t="shared" ref="BY141:CA141" si="1182">BY136-BY135</f>
        <v>-660.3</v>
      </c>
      <c r="BZ141" s="1102"/>
      <c r="CA141" s="588">
        <f t="shared" si="1182"/>
        <v>-454.69527896995709</v>
      </c>
      <c r="CB141" s="1102"/>
      <c r="CC141" s="588">
        <f t="shared" ref="CC141:CE141" si="1183">CC136-CC135</f>
        <v>-538</v>
      </c>
      <c r="CD141" s="1102"/>
      <c r="CE141" s="588">
        <f t="shared" si="1183"/>
        <v>-701</v>
      </c>
      <c r="CF141" s="1102"/>
      <c r="CG141" s="588">
        <f t="shared" ref="CG141:CI141" si="1184">CG136-CG135</f>
        <v>-688.24324324324323</v>
      </c>
      <c r="CH141" s="1102"/>
      <c r="CI141" s="588">
        <f t="shared" si="1184"/>
        <v>-735</v>
      </c>
      <c r="CJ141" s="1102"/>
      <c r="CK141" s="588">
        <f t="shared" ref="CK141:CM141" si="1185">CK136-CK135</f>
        <v>-743</v>
      </c>
      <c r="CL141" s="1102"/>
      <c r="CM141" s="588">
        <f t="shared" si="1185"/>
        <v>-650</v>
      </c>
      <c r="CN141" s="1102"/>
      <c r="CO141" s="588">
        <f t="shared" ref="CO141" si="1186">CO136-CO135</f>
        <v>-650</v>
      </c>
      <c r="CP141" s="1102"/>
      <c r="CQ141" s="588">
        <f t="shared" ref="CQ141" si="1187">CQ136-CQ135</f>
        <v>-450</v>
      </c>
      <c r="CR141" s="1102"/>
      <c r="CS141" s="588">
        <f t="shared" ref="CS141:CU141" si="1188">CS136-CS135</f>
        <v>-715</v>
      </c>
      <c r="CT141" s="1102"/>
      <c r="CU141" s="588">
        <f t="shared" si="1188"/>
        <v>-715</v>
      </c>
      <c r="CV141" s="1102"/>
      <c r="CW141" s="588">
        <f>CW136-CW135</f>
        <v>27.86584308655506</v>
      </c>
      <c r="CX141" s="1102"/>
      <c r="CY141" s="588">
        <f>CY136-CY135</f>
        <v>-75.842432130709994</v>
      </c>
      <c r="CZ141" s="1102"/>
      <c r="DA141" s="588">
        <f>DA136-DA135</f>
        <v>-209.43867171649185</v>
      </c>
      <c r="DB141" s="1102"/>
      <c r="DC141" s="588">
        <f>DC136-DC135</f>
        <v>-600</v>
      </c>
      <c r="DD141" s="1102"/>
      <c r="DE141" s="588">
        <f>DE136-DE135</f>
        <v>-17.461214788033885</v>
      </c>
      <c r="DF141" s="1102"/>
      <c r="DG141" s="588">
        <f>DG136-DG135</f>
        <v>-300</v>
      </c>
      <c r="DH141" s="1102"/>
      <c r="DI141" s="588">
        <f>DI136-DI135</f>
        <v>-300</v>
      </c>
      <c r="DJ141" s="1102"/>
      <c r="DK141" s="588">
        <f>DK136-DK135</f>
        <v>-400</v>
      </c>
    </row>
    <row r="142" spans="1:115" outlineLevel="2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167219.45247933886</v>
      </c>
      <c r="H142" s="229"/>
      <c r="I142" s="230">
        <f>I141*I130</f>
        <v>14415.470041322315</v>
      </c>
      <c r="J142" s="229"/>
      <c r="K142" s="230">
        <f>K141*K130</f>
        <v>14415.470041322315</v>
      </c>
      <c r="L142" s="229"/>
      <c r="M142" s="230">
        <f>M141*M130</f>
        <v>14415.470041322315</v>
      </c>
      <c r="N142" s="229"/>
      <c r="O142" s="588">
        <f>O141*O133</f>
        <v>3627.0496034963007</v>
      </c>
      <c r="P142" s="229"/>
      <c r="Q142" s="588">
        <f>Q141*Q133</f>
        <v>127106.40495867768</v>
      </c>
      <c r="R142" s="229"/>
      <c r="S142" s="588">
        <f>S141*S133</f>
        <v>127106.40495867768</v>
      </c>
      <c r="T142" s="229"/>
      <c r="U142" s="588">
        <f>U141*U133</f>
        <v>1604.2273497510694</v>
      </c>
      <c r="V142" s="229"/>
      <c r="W142" s="588">
        <f>W141*W133</f>
        <v>-1181.5610372846052</v>
      </c>
      <c r="X142" s="229"/>
      <c r="Y142" s="588">
        <f>Y141*Y133</f>
        <v>202.03636797017555</v>
      </c>
      <c r="Z142" s="229"/>
      <c r="AA142" s="588">
        <f>AA141*AA133</f>
        <v>-3942.9144546244388</v>
      </c>
      <c r="AB142" s="229"/>
      <c r="AC142" s="588">
        <f>AC141*AC133</f>
        <v>-4816.6632804908377</v>
      </c>
      <c r="AD142" s="229"/>
      <c r="AE142" s="588">
        <f>AE141*AE133</f>
        <v>-763.16507334719734</v>
      </c>
      <c r="AF142" s="229"/>
      <c r="AG142" s="588">
        <f>AG141*AG133</f>
        <v>-979.75401622752236</v>
      </c>
      <c r="AH142" s="229"/>
      <c r="AI142" s="588">
        <f>AI141*AI133</f>
        <v>-10942.021824745951</v>
      </c>
      <c r="AJ142" s="229"/>
      <c r="AK142" s="588">
        <f>AK141*AK133</f>
        <v>-14455.389256669729</v>
      </c>
      <c r="AL142" s="229"/>
      <c r="AM142" s="588">
        <f>AM141*AM133</f>
        <v>-25606.645776605968</v>
      </c>
      <c r="AN142" s="229"/>
      <c r="AO142" s="588">
        <f>AO141*AO133</f>
        <v>-31145.515696095586</v>
      </c>
      <c r="AP142" s="229"/>
      <c r="AQ142" s="588">
        <f>AQ141*AQ133</f>
        <v>-41622.941036940647</v>
      </c>
      <c r="AR142" s="229"/>
      <c r="AS142" s="588">
        <f>AS141*AS133</f>
        <v>-80030.401374608497</v>
      </c>
      <c r="AT142" s="229"/>
      <c r="AU142" s="588">
        <f>AU141*AU133</f>
        <v>-9389.3721801111114</v>
      </c>
      <c r="AV142" s="229"/>
      <c r="AW142" s="588">
        <f>AW141*AW133</f>
        <v>-9687.400568181818</v>
      </c>
      <c r="AX142" s="229"/>
      <c r="AY142" s="588">
        <f>AY141*AY133</f>
        <v>-38774.948347107435</v>
      </c>
      <c r="AZ142" s="229"/>
      <c r="BA142" s="588">
        <f>BA141*BA133</f>
        <v>-29883.629132231406</v>
      </c>
      <c r="BB142" s="229"/>
      <c r="BC142" s="588">
        <f>BC141*BC133</f>
        <v>-40876.983471074374</v>
      </c>
      <c r="BD142" s="229"/>
      <c r="BE142" s="588">
        <f>BE141*BE133</f>
        <v>-33280.420971074382</v>
      </c>
      <c r="BF142" s="229"/>
      <c r="BG142" s="588">
        <f t="shared" ref="BG142" si="1189">BG141*BG133</f>
        <v>-33573.377324380162</v>
      </c>
      <c r="BH142" s="229"/>
      <c r="BI142" s="588">
        <f t="shared" ref="BI142" si="1190">BI141*BI133</f>
        <v>-40227.985537190085</v>
      </c>
      <c r="BJ142" s="229"/>
      <c r="BK142" s="588">
        <f t="shared" ref="BK142" si="1191">BK141*BK133</f>
        <v>0</v>
      </c>
      <c r="BL142" s="229"/>
      <c r="BM142" s="588">
        <f t="shared" ref="BM142" si="1192">BM141*BM133</f>
        <v>0</v>
      </c>
      <c r="BN142" s="229"/>
      <c r="BO142" s="588">
        <f t="shared" ref="BO142" si="1193">BO141*BO133</f>
        <v>0</v>
      </c>
      <c r="BP142" s="229"/>
      <c r="BQ142" s="588">
        <f t="shared" ref="BQ142:BS142" si="1194">BQ141*BQ133</f>
        <v>0</v>
      </c>
      <c r="BR142" s="229"/>
      <c r="BS142" s="588">
        <f t="shared" si="1194"/>
        <v>0</v>
      </c>
      <c r="BT142" s="229"/>
      <c r="BU142" s="588">
        <f t="shared" ref="BU142:BW142" si="1195">BU141*BU133</f>
        <v>0</v>
      </c>
      <c r="BV142" s="229"/>
      <c r="BW142" s="588">
        <f t="shared" si="1195"/>
        <v>0</v>
      </c>
      <c r="BX142" s="229"/>
      <c r="BY142" s="588">
        <f t="shared" ref="BY142:CA142" si="1196">BY141*BY133</f>
        <v>0</v>
      </c>
      <c r="BZ142" s="229"/>
      <c r="CA142" s="588">
        <f t="shared" si="1196"/>
        <v>0</v>
      </c>
      <c r="CB142" s="229"/>
      <c r="CC142" s="588">
        <f t="shared" ref="CC142:CE142" si="1197">CC141*CC133</f>
        <v>0</v>
      </c>
      <c r="CD142" s="229"/>
      <c r="CE142" s="588">
        <f t="shared" si="1197"/>
        <v>0</v>
      </c>
      <c r="CF142" s="229"/>
      <c r="CG142" s="588">
        <f t="shared" ref="CG142:CI142" si="1198">CG141*CG133</f>
        <v>0</v>
      </c>
      <c r="CH142" s="229"/>
      <c r="CI142" s="588">
        <f t="shared" si="1198"/>
        <v>0</v>
      </c>
      <c r="CJ142" s="229"/>
      <c r="CK142" s="588">
        <f t="shared" ref="CK142:CM142" si="1199">CK141*CK133</f>
        <v>0</v>
      </c>
      <c r="CL142" s="229"/>
      <c r="CM142" s="588">
        <f t="shared" si="1199"/>
        <v>0</v>
      </c>
      <c r="CN142" s="229"/>
      <c r="CO142" s="588">
        <f t="shared" ref="CO142" si="1200">CO141*CO133</f>
        <v>0</v>
      </c>
      <c r="CP142" s="229"/>
      <c r="CQ142" s="588">
        <f t="shared" ref="CQ142" si="1201">CQ141*CQ133</f>
        <v>0</v>
      </c>
      <c r="CR142" s="229"/>
      <c r="CS142" s="588">
        <f t="shared" ref="CS142:CU142" si="1202">CS141*CS133</f>
        <v>0</v>
      </c>
      <c r="CT142" s="229"/>
      <c r="CU142" s="588">
        <f t="shared" si="1202"/>
        <v>0</v>
      </c>
      <c r="CV142" s="229"/>
      <c r="CW142" s="588">
        <f>CW141*CW133</f>
        <v>4049.715915962744</v>
      </c>
      <c r="CX142" s="229"/>
      <c r="CY142" s="588">
        <f>CY141*CY133</f>
        <v>-8557.5413671451151</v>
      </c>
      <c r="CZ142" s="229"/>
      <c r="DA142" s="588">
        <f>DA141*DA133</f>
        <v>-12684.940914320676</v>
      </c>
      <c r="DB142" s="229"/>
      <c r="DC142" s="588">
        <f>DC141*DC133</f>
        <v>-65291.528925619838</v>
      </c>
      <c r="DD142" s="229"/>
      <c r="DE142" s="588">
        <f>DE141*DE133</f>
        <v>-4507.8254511822897</v>
      </c>
      <c r="DF142" s="229"/>
      <c r="DG142" s="588">
        <f>DG141*DG133</f>
        <v>-32645.764462809919</v>
      </c>
      <c r="DH142" s="229"/>
      <c r="DI142" s="588">
        <f>DI141*DI133</f>
        <v>-140494.15289256198</v>
      </c>
      <c r="DJ142" s="229"/>
      <c r="DK142" s="588">
        <f>DK141*DK133</f>
        <v>-187325.53719008266</v>
      </c>
    </row>
    <row r="143" spans="1:115" outlineLevel="1" x14ac:dyDescent="0.4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381"/>
      <c r="O143" s="385"/>
      <c r="P143" s="381"/>
      <c r="Q143" s="385"/>
      <c r="R143" s="381"/>
      <c r="S143" s="385"/>
      <c r="T143" s="381"/>
      <c r="U143" s="385"/>
      <c r="V143" s="381"/>
      <c r="W143" s="385"/>
      <c r="X143" s="381"/>
      <c r="Y143" s="385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  <c r="BP143" s="381"/>
      <c r="BQ143" s="385"/>
      <c r="BR143" s="381"/>
      <c r="BS143" s="385"/>
      <c r="BT143" s="381"/>
      <c r="BU143" s="385"/>
      <c r="BV143" s="381"/>
      <c r="BW143" s="385"/>
      <c r="BX143" s="381"/>
      <c r="BY143" s="385"/>
      <c r="BZ143" s="381"/>
      <c r="CA143" s="385"/>
      <c r="CB143" s="381"/>
      <c r="CC143" s="385"/>
      <c r="CD143" s="381"/>
      <c r="CE143" s="385"/>
      <c r="CF143" s="381"/>
      <c r="CG143" s="385"/>
      <c r="CH143" s="381"/>
      <c r="CI143" s="385"/>
      <c r="CJ143" s="381"/>
      <c r="CK143" s="385"/>
      <c r="CL143" s="381"/>
      <c r="CM143" s="385"/>
      <c r="CN143" s="381"/>
      <c r="CO143" s="385"/>
      <c r="CP143" s="381"/>
      <c r="CQ143" s="385"/>
      <c r="CR143" s="381"/>
      <c r="CS143" s="385"/>
      <c r="CT143" s="381"/>
      <c r="CU143" s="385"/>
      <c r="CV143" s="381"/>
      <c r="CW143" s="385"/>
      <c r="CX143" s="381"/>
      <c r="CY143" s="385"/>
      <c r="CZ143" s="381"/>
      <c r="DA143" s="385"/>
      <c r="DB143" s="381"/>
      <c r="DC143" s="385"/>
      <c r="DD143" s="381"/>
      <c r="DE143" s="385"/>
      <c r="DF143" s="381"/>
      <c r="DG143" s="385"/>
      <c r="DH143" s="381"/>
      <c r="DI143" s="385"/>
      <c r="DJ143" s="381"/>
      <c r="DK143" s="385"/>
    </row>
    <row r="144" spans="1:115" ht="14.65" outlineLevel="1" thickBot="1" x14ac:dyDescent="0.5">
      <c r="A144" s="561"/>
      <c r="B144" s="1188"/>
      <c r="C144" s="301" t="s">
        <v>418</v>
      </c>
      <c r="D144" s="302"/>
      <c r="E144" s="303"/>
      <c r="F144" s="304"/>
      <c r="G144" s="305">
        <f>G98*G129</f>
        <v>175306.35700625466</v>
      </c>
      <c r="H144" s="304"/>
      <c r="I144" s="305">
        <f>I98*I129</f>
        <v>395955.49157733569</v>
      </c>
      <c r="J144" s="304"/>
      <c r="K144" s="305">
        <f>K98*K129</f>
        <v>395955.49157733569</v>
      </c>
      <c r="L144" s="304"/>
      <c r="M144" s="305">
        <f>M98*M129</f>
        <v>395955.49157733569</v>
      </c>
      <c r="N144" s="304"/>
      <c r="O144" s="305">
        <f>O98*O132</f>
        <v>64664.716479686133</v>
      </c>
      <c r="P144" s="304"/>
      <c r="Q144" s="305">
        <f>Q98*Q132</f>
        <v>93609.272325690472</v>
      </c>
      <c r="R144" s="304"/>
      <c r="S144" s="305">
        <f>S98*S132</f>
        <v>93609.272325690472</v>
      </c>
      <c r="T144" s="304"/>
      <c r="U144" s="305">
        <f>U98*U132</f>
        <v>-1973.6001831092431</v>
      </c>
      <c r="V144" s="304"/>
      <c r="W144" s="305">
        <f>W98*W132</f>
        <v>-8180.810685100314</v>
      </c>
      <c r="X144" s="304"/>
      <c r="Y144" s="305">
        <f>Y98*Y132</f>
        <v>-31053.3192188621</v>
      </c>
      <c r="Z144" s="304"/>
      <c r="AA144" s="305">
        <f>AA98*AA132</f>
        <v>7573.893352093578</v>
      </c>
      <c r="AB144" s="304"/>
      <c r="AC144" s="305">
        <f>AC98*AC132</f>
        <v>28179.486227290305</v>
      </c>
      <c r="AD144" s="304"/>
      <c r="AE144" s="305">
        <f>AE98*AE132</f>
        <v>12898.198187365713</v>
      </c>
      <c r="AF144" s="304"/>
      <c r="AG144" s="305">
        <f>AG98*AG132</f>
        <v>14554.33444670571</v>
      </c>
      <c r="AH144" s="304"/>
      <c r="AI144" s="305">
        <f>AI98*AI132</f>
        <v>95499.772800183113</v>
      </c>
      <c r="AJ144" s="304"/>
      <c r="AK144" s="305">
        <f>AK98*AK132</f>
        <v>90531.722395602177</v>
      </c>
      <c r="AL144" s="304"/>
      <c r="AM144" s="305">
        <f>AM98*AM132</f>
        <v>145854.72435788374</v>
      </c>
      <c r="AN144" s="304"/>
      <c r="AO144" s="305">
        <f>AO98*AO132</f>
        <v>103891.65568975477</v>
      </c>
      <c r="AP144" s="304"/>
      <c r="AQ144" s="305">
        <f>AQ98*AQ132</f>
        <v>94466.157829012038</v>
      </c>
      <c r="AR144" s="304"/>
      <c r="AS144" s="305">
        <f>AS98*AS132</f>
        <v>162709.79247029164</v>
      </c>
      <c r="AT144" s="304"/>
      <c r="AU144" s="305">
        <f>AU98*AU132</f>
        <v>24362.116691006475</v>
      </c>
      <c r="AV144" s="304"/>
      <c r="AW144" s="305">
        <f>AW98*AW132</f>
        <v>15134.491667074844</v>
      </c>
      <c r="AX144" s="304"/>
      <c r="AY144" s="305">
        <f>AY98*AY132</f>
        <v>57328.675666641699</v>
      </c>
      <c r="AZ144" s="304"/>
      <c r="BA144" s="305">
        <f>BA98*BA132</f>
        <v>56114.705901337577</v>
      </c>
      <c r="BB144" s="304"/>
      <c r="BC144" s="305">
        <f>BC98*BC132</f>
        <v>88221.148120990954</v>
      </c>
      <c r="BD144" s="304"/>
      <c r="BE144" s="305">
        <f>BE98*BE132</f>
        <v>85694.825102264498</v>
      </c>
      <c r="BF144" s="304"/>
      <c r="BG144" s="305">
        <f t="shared" ref="BG144" si="1203">BG98*BG132</f>
        <v>75683.640588471797</v>
      </c>
      <c r="BH144" s="304"/>
      <c r="BI144" s="305">
        <f t="shared" ref="BI144:BK144" si="1204">BI98*BI132</f>
        <v>39072.833777791719</v>
      </c>
      <c r="BJ144" s="304"/>
      <c r="BK144" s="305">
        <f t="shared" si="1204"/>
        <v>0</v>
      </c>
      <c r="BL144" s="304"/>
      <c r="BM144" s="305">
        <f t="shared" ref="BM144" si="1205">BM98*BM132</f>
        <v>0</v>
      </c>
      <c r="BN144" s="304"/>
      <c r="BO144" s="305">
        <f t="shared" ref="BO144" si="1206">BO98*BO132</f>
        <v>0</v>
      </c>
      <c r="BP144" s="304"/>
      <c r="BQ144" s="305">
        <f t="shared" ref="BQ144:BS144" si="1207">BQ98*BQ132</f>
        <v>0</v>
      </c>
      <c r="BR144" s="304"/>
      <c r="BS144" s="305">
        <f t="shared" si="1207"/>
        <v>0</v>
      </c>
      <c r="BT144" s="304"/>
      <c r="BU144" s="305">
        <f t="shared" ref="BU144:BW144" si="1208">BU98*BU132</f>
        <v>0</v>
      </c>
      <c r="BV144" s="304"/>
      <c r="BW144" s="305">
        <f t="shared" si="1208"/>
        <v>0</v>
      </c>
      <c r="BX144" s="304"/>
      <c r="BY144" s="305">
        <f t="shared" ref="BY144:CA144" si="1209">BY98*BY132</f>
        <v>0</v>
      </c>
      <c r="BZ144" s="304"/>
      <c r="CA144" s="305">
        <f t="shared" si="1209"/>
        <v>0</v>
      </c>
      <c r="CB144" s="304"/>
      <c r="CC144" s="305">
        <f t="shared" ref="CC144:CE144" si="1210">CC98*CC132</f>
        <v>0</v>
      </c>
      <c r="CD144" s="304"/>
      <c r="CE144" s="305">
        <f t="shared" si="1210"/>
        <v>0</v>
      </c>
      <c r="CF144" s="304"/>
      <c r="CG144" s="305">
        <f t="shared" ref="CG144:CI144" si="1211">CG98*CG132</f>
        <v>0</v>
      </c>
      <c r="CH144" s="304"/>
      <c r="CI144" s="305">
        <f t="shared" si="1211"/>
        <v>0</v>
      </c>
      <c r="CJ144" s="304"/>
      <c r="CK144" s="305">
        <f t="shared" ref="CK144:CM144" si="1212">CK98*CK132</f>
        <v>0</v>
      </c>
      <c r="CL144" s="304"/>
      <c r="CM144" s="305">
        <f t="shared" si="1212"/>
        <v>0</v>
      </c>
      <c r="CN144" s="304"/>
      <c r="CO144" s="305">
        <f t="shared" ref="CO144" si="1213">CO98*CO132</f>
        <v>0</v>
      </c>
      <c r="CP144" s="304"/>
      <c r="CQ144" s="305">
        <f t="shared" ref="CQ144" si="1214">CQ98*CQ132</f>
        <v>0</v>
      </c>
      <c r="CR144" s="304"/>
      <c r="CS144" s="305">
        <f t="shared" ref="CS144:CU144" si="1215">CS98*CS132</f>
        <v>0</v>
      </c>
      <c r="CT144" s="304"/>
      <c r="CU144" s="305">
        <f t="shared" si="1215"/>
        <v>0</v>
      </c>
      <c r="CV144" s="304"/>
      <c r="CW144" s="305">
        <f>CW98*CW132</f>
        <v>54459.948685933166</v>
      </c>
      <c r="CX144" s="304"/>
      <c r="CY144" s="305">
        <f>CY98*CY132</f>
        <v>4697.889788000688</v>
      </c>
      <c r="CZ144" s="304"/>
      <c r="DA144" s="305">
        <f>DA98*DA132</f>
        <v>123072.27051163428</v>
      </c>
      <c r="DB144" s="304"/>
      <c r="DC144" s="305">
        <f>DC98*DC132</f>
        <v>98448.267495243868</v>
      </c>
      <c r="DD144" s="304"/>
      <c r="DE144" s="305">
        <f>DE98*DE132</f>
        <v>57787.221432518476</v>
      </c>
      <c r="DF144" s="304"/>
      <c r="DG144" s="305">
        <f>DG98*DG132</f>
        <v>195212.21232588284</v>
      </c>
      <c r="DH144" s="304"/>
      <c r="DI144" s="305">
        <f>DI98*DI132</f>
        <v>459494.55895958759</v>
      </c>
      <c r="DJ144" s="304"/>
      <c r="DK144" s="305">
        <f>DK98*DK132</f>
        <v>505854.95333503088</v>
      </c>
    </row>
    <row r="145" spans="15:116" ht="14.65" outlineLevel="1" thickTop="1" x14ac:dyDescent="0.45"/>
    <row r="146" spans="15:116" outlineLevel="1" x14ac:dyDescent="0.45">
      <c r="O146" s="589"/>
      <c r="Q146" s="589"/>
      <c r="S146" s="589"/>
      <c r="U146" s="589"/>
      <c r="W146" s="589"/>
      <c r="Y146" s="589"/>
      <c r="AA146" s="589"/>
      <c r="AC146" s="589"/>
      <c r="AE146" s="589"/>
      <c r="AG146" s="589"/>
      <c r="AI146" s="589"/>
      <c r="AK146" s="589"/>
      <c r="AM146" s="589"/>
      <c r="AO146" s="589"/>
      <c r="AQ146" s="589"/>
      <c r="AS146" s="589"/>
      <c r="AU146" s="589"/>
      <c r="AW146" s="589"/>
      <c r="AY146" s="589"/>
      <c r="BA146" s="589"/>
      <c r="BC146" s="589"/>
      <c r="BE146" s="589"/>
      <c r="BG146" s="589"/>
      <c r="BI146" s="589"/>
      <c r="BK146" s="589"/>
      <c r="BM146" s="589"/>
      <c r="BO146" s="589"/>
      <c r="BQ146" s="589"/>
      <c r="BS146" s="589"/>
      <c r="BU146" s="589"/>
      <c r="BW146" s="589"/>
      <c r="BY146" s="589"/>
      <c r="CA146" s="589"/>
      <c r="CC146" s="589"/>
      <c r="CE146" s="589"/>
      <c r="CG146" s="589"/>
      <c r="CI146" s="589"/>
      <c r="CK146" s="589"/>
      <c r="CM146" s="589"/>
      <c r="CO146" s="589"/>
      <c r="CQ146" s="589"/>
      <c r="CS146" s="589"/>
      <c r="CU146" s="589"/>
      <c r="CW146" s="589"/>
      <c r="CY146" s="589"/>
      <c r="DA146" s="589"/>
      <c r="DC146" s="589"/>
      <c r="DE146" s="589"/>
      <c r="DG146" s="589"/>
      <c r="DI146" s="589"/>
      <c r="DK146" s="589"/>
    </row>
    <row r="147" spans="15:116" outlineLevel="1" x14ac:dyDescent="0.45">
      <c r="O147" s="589"/>
      <c r="Q147" s="589"/>
      <c r="S147" s="589"/>
      <c r="U147" s="589"/>
      <c r="W147" s="589"/>
      <c r="Y147" s="589"/>
      <c r="AA147" s="589"/>
      <c r="AC147" s="589"/>
      <c r="AE147" s="589"/>
      <c r="AG147" s="589"/>
      <c r="AI147" s="589"/>
      <c r="AK147" s="589"/>
      <c r="AM147" s="589"/>
      <c r="AO147" s="589"/>
      <c r="AQ147" s="589"/>
      <c r="AS147" s="589"/>
      <c r="AU147" s="589"/>
      <c r="AW147" s="589"/>
      <c r="AY147" s="589"/>
      <c r="BA147" s="589"/>
      <c r="BC147" s="589"/>
      <c r="BE147" s="589"/>
      <c r="BG147" s="589"/>
      <c r="BI147" s="589"/>
      <c r="BK147" s="589"/>
      <c r="BM147" s="589"/>
      <c r="BO147" s="589"/>
      <c r="BQ147" s="589"/>
      <c r="BS147" s="589"/>
      <c r="BU147" s="589"/>
      <c r="BW147" s="589"/>
      <c r="BY147" s="589"/>
      <c r="CA147" s="589"/>
      <c r="CC147" s="589"/>
      <c r="CE147" s="589"/>
      <c r="CG147" s="589"/>
      <c r="CI147" s="589"/>
      <c r="CK147" s="589"/>
      <c r="CM147" s="589"/>
      <c r="CO147" s="589"/>
      <c r="CQ147" s="589"/>
      <c r="CS147" s="589"/>
      <c r="CU147" s="589"/>
      <c r="CW147" s="589"/>
      <c r="CY147" s="589"/>
      <c r="DA147" s="589"/>
      <c r="DC147" s="589"/>
      <c r="DE147" s="589"/>
      <c r="DG147" s="589"/>
      <c r="DI147" s="589"/>
      <c r="DK147" s="589"/>
    </row>
    <row r="148" spans="15:116" outlineLevel="1" x14ac:dyDescent="0.45">
      <c r="O148" s="1049">
        <f>(O80-O92-O57)/O67</f>
        <v>6.4842195312755729E-2</v>
      </c>
      <c r="DK148" s="1105">
        <f>DK132*DK67</f>
        <v>10408406.288000001</v>
      </c>
      <c r="DL148" s="1105">
        <f>DK148+'Pricing Structure - IIP'!DE155+'Pricing Structure - IHAG'!DO155</f>
        <v>24064019.1065</v>
      </c>
    </row>
    <row r="149" spans="15:116" hidden="1" outlineLevel="2" x14ac:dyDescent="0.45">
      <c r="O149" s="589"/>
      <c r="Q149" s="589"/>
      <c r="S149" s="589"/>
      <c r="U149" s="589"/>
      <c r="W149" s="589"/>
      <c r="Y149" s="589"/>
      <c r="AA149" s="589"/>
      <c r="AC149" s="589"/>
      <c r="AE149" s="589"/>
      <c r="AG149" s="589"/>
      <c r="AI149" s="589"/>
      <c r="AJ149" t="s">
        <v>253</v>
      </c>
      <c r="AK149" s="334">
        <f>AK78*AK131</f>
        <v>2660420.3203474539</v>
      </c>
      <c r="AL149" t="s">
        <v>253</v>
      </c>
      <c r="AM149" s="334">
        <f>AM78*AM131</f>
        <v>3811877.221366175</v>
      </c>
      <c r="AN149" t="s">
        <v>253</v>
      </c>
      <c r="AO149" s="334">
        <f>AO78*AO131</f>
        <v>3911715.8087349595</v>
      </c>
      <c r="AP149" t="s">
        <v>253</v>
      </c>
      <c r="AQ149" s="334">
        <f>AQ78*AQ131</f>
        <v>4707384.7790697441</v>
      </c>
      <c r="AR149" t="s">
        <v>253</v>
      </c>
      <c r="AS149" s="334">
        <f>AS78*AS131</f>
        <v>8517054.9906348344</v>
      </c>
      <c r="AT149" t="s">
        <v>253</v>
      </c>
      <c r="AU149" s="334">
        <f>AU78*AU131</f>
        <v>956385.03816594975</v>
      </c>
      <c r="AV149" t="s">
        <v>253</v>
      </c>
      <c r="AW149" s="334">
        <f>AW78*AW131</f>
        <v>1005076.1385751653</v>
      </c>
      <c r="AX149" t="s">
        <v>253</v>
      </c>
      <c r="AY149" s="334">
        <f>AY78*AY131</f>
        <v>3992436.7078822046</v>
      </c>
      <c r="AZ149" t="s">
        <v>253</v>
      </c>
      <c r="BA149" s="334">
        <f>BA78*BA131</f>
        <v>2637407.2061657496</v>
      </c>
      <c r="BB149" t="s">
        <v>253</v>
      </c>
      <c r="BC149" s="334">
        <f>BC78*BC131</f>
        <v>3523666.2671758733</v>
      </c>
      <c r="BD149" t="s">
        <v>253</v>
      </c>
      <c r="BE149" s="334">
        <f>BE78*BE131</f>
        <v>2775257.4738850924</v>
      </c>
      <c r="BF149" t="s">
        <v>253</v>
      </c>
      <c r="BG149" s="334">
        <f t="shared" ref="BG149" si="1216">BG78*BG131</f>
        <v>2830693.5736468127</v>
      </c>
      <c r="BH149" t="s">
        <v>253</v>
      </c>
      <c r="BI149" s="334">
        <f t="shared" ref="BI149:BK149" si="1217">BI78*BI131</f>
        <v>3275407.3867595815</v>
      </c>
      <c r="BJ149" t="s">
        <v>253</v>
      </c>
      <c r="BK149" s="334">
        <f t="shared" si="1217"/>
        <v>0</v>
      </c>
      <c r="BL149" t="s">
        <v>253</v>
      </c>
      <c r="BM149" s="334">
        <f t="shared" ref="BM149" si="1218">BM78*BM131</f>
        <v>0</v>
      </c>
      <c r="BN149" t="s">
        <v>253</v>
      </c>
      <c r="BO149" s="334">
        <f t="shared" ref="BO149" si="1219">BO78*BO131</f>
        <v>0</v>
      </c>
      <c r="BP149" t="s">
        <v>253</v>
      </c>
      <c r="BQ149" s="334">
        <f t="shared" ref="BQ149:BS149" si="1220">BQ78*BQ131</f>
        <v>0</v>
      </c>
      <c r="BR149" t="s">
        <v>253</v>
      </c>
      <c r="BS149" s="334">
        <f t="shared" si="1220"/>
        <v>0</v>
      </c>
      <c r="BT149" t="s">
        <v>253</v>
      </c>
      <c r="BU149" s="334">
        <f t="shared" ref="BU149:BW149" si="1221">BU78*BU131</f>
        <v>0</v>
      </c>
      <c r="BV149" t="s">
        <v>253</v>
      </c>
      <c r="BW149" s="334">
        <f t="shared" si="1221"/>
        <v>0</v>
      </c>
      <c r="BX149" t="s">
        <v>253</v>
      </c>
      <c r="BY149" s="334">
        <f t="shared" ref="BY149:CA149" si="1222">BY78*BY131</f>
        <v>0</v>
      </c>
      <c r="BZ149" t="s">
        <v>253</v>
      </c>
      <c r="CA149" s="334">
        <f t="shared" si="1222"/>
        <v>0</v>
      </c>
      <c r="CB149" t="s">
        <v>253</v>
      </c>
      <c r="CC149" s="334">
        <f t="shared" ref="CC149:CE149" si="1223">CC78*CC131</f>
        <v>0</v>
      </c>
      <c r="CD149" t="s">
        <v>253</v>
      </c>
      <c r="CE149" s="334">
        <f t="shared" si="1223"/>
        <v>0</v>
      </c>
      <c r="CF149" t="s">
        <v>253</v>
      </c>
      <c r="CG149" s="334">
        <f t="shared" ref="CG149:CI149" si="1224">CG78*CG131</f>
        <v>0</v>
      </c>
      <c r="CH149" t="s">
        <v>253</v>
      </c>
      <c r="CI149" s="334">
        <f t="shared" si="1224"/>
        <v>0</v>
      </c>
      <c r="CJ149" t="s">
        <v>253</v>
      </c>
      <c r="CK149" s="334">
        <f t="shared" ref="CK149:CM149" si="1225">CK78*CK131</f>
        <v>0</v>
      </c>
      <c r="CL149" t="s">
        <v>253</v>
      </c>
      <c r="CM149" s="334">
        <f t="shared" si="1225"/>
        <v>0</v>
      </c>
      <c r="CN149" t="s">
        <v>253</v>
      </c>
      <c r="CO149" s="334">
        <f t="shared" ref="CO149" si="1226">CO78*CO131</f>
        <v>0</v>
      </c>
      <c r="CP149" t="s">
        <v>253</v>
      </c>
      <c r="CQ149" s="334">
        <f t="shared" ref="CQ149" si="1227">CQ78*CQ131</f>
        <v>0</v>
      </c>
      <c r="CR149" t="s">
        <v>253</v>
      </c>
      <c r="CS149" s="334">
        <f t="shared" ref="CS149:CU149" si="1228">CS78*CS131</f>
        <v>0</v>
      </c>
      <c r="CT149" t="s">
        <v>253</v>
      </c>
      <c r="CU149" s="334">
        <f t="shared" si="1228"/>
        <v>0</v>
      </c>
      <c r="CW149" s="589"/>
      <c r="CY149" s="589"/>
      <c r="DA149" s="589"/>
      <c r="DC149" s="589"/>
      <c r="DE149" s="589"/>
      <c r="DG149" s="589"/>
      <c r="DI149" s="589"/>
      <c r="DK149" s="589"/>
    </row>
    <row r="150" spans="15:116" hidden="1" outlineLevel="2" x14ac:dyDescent="0.45">
      <c r="O150" s="593"/>
      <c r="Q150" s="593"/>
      <c r="S150" s="593"/>
      <c r="U150" s="593"/>
      <c r="W150" s="593"/>
      <c r="Y150" s="593"/>
      <c r="AA150" s="593"/>
      <c r="AC150" s="593"/>
      <c r="AE150" s="593"/>
      <c r="AG150" s="593"/>
      <c r="AI150" s="593"/>
      <c r="AJ150" t="s">
        <v>254</v>
      </c>
      <c r="AK150" s="334">
        <f>'Pricing Structure - IIP'!AK78*'Pricing Structure - IIP'!AK131</f>
        <v>936542.08391939593</v>
      </c>
      <c r="AL150" t="s">
        <v>254</v>
      </c>
      <c r="AM150" s="334">
        <f>'Pricing Structure - IIP'!CQ78*'Pricing Structure - IIP'!CQ131</f>
        <v>0</v>
      </c>
      <c r="AN150" t="s">
        <v>254</v>
      </c>
      <c r="AO150" s="334">
        <f>'Pricing Structure - IIP'!CS78*'Pricing Structure - IIP'!CS131</f>
        <v>0</v>
      </c>
      <c r="AP150" t="s">
        <v>254</v>
      </c>
      <c r="AQ150" s="334">
        <f>'Pricing Structure - IIP'!CU78*'Pricing Structure - IIP'!CU131</f>
        <v>0</v>
      </c>
      <c r="AR150" t="s">
        <v>254</v>
      </c>
      <c r="AS150" s="334">
        <f>'Pricing Structure - IIP'!CW78*'Pricing Structure - IIP'!CW131</f>
        <v>0</v>
      </c>
      <c r="AT150" t="s">
        <v>254</v>
      </c>
      <c r="AU150" s="334">
        <f>'Pricing Structure - IIP'!CY78*'Pricing Structure - IIP'!CY131</f>
        <v>0</v>
      </c>
      <c r="AV150" t="s">
        <v>254</v>
      </c>
      <c r="AW150" s="334">
        <f>'Pricing Structure - IIP'!DA78*'Pricing Structure - IIP'!DA131</f>
        <v>0</v>
      </c>
      <c r="AX150" t="s">
        <v>254</v>
      </c>
      <c r="AY150" s="334">
        <f>'Pricing Structure - IIP'!DC78*'Pricing Structure - IIP'!DC131</f>
        <v>0</v>
      </c>
      <c r="AZ150" t="s">
        <v>254</v>
      </c>
      <c r="BA150" s="334">
        <f>'Pricing Structure - IIP'!DE78*'Pricing Structure - IIP'!DE131</f>
        <v>0</v>
      </c>
      <c r="BB150" t="s">
        <v>254</v>
      </c>
      <c r="BC150" s="334">
        <f>'Pricing Structure - IIP'!DG78*'Pricing Structure - IIP'!DG131</f>
        <v>0</v>
      </c>
      <c r="BD150" t="s">
        <v>254</v>
      </c>
      <c r="BE150" s="334">
        <f>'Pricing Structure - IIP'!DI78*'Pricing Structure - IIP'!DI131</f>
        <v>0</v>
      </c>
      <c r="BF150" t="s">
        <v>254</v>
      </c>
      <c r="BG150" s="334">
        <f>'Pricing Structure - IIP'!DK78*'Pricing Structure - IIP'!DK131</f>
        <v>0</v>
      </c>
      <c r="BH150" t="s">
        <v>254</v>
      </c>
      <c r="BI150" s="334">
        <f>'Pricing Structure - IIP'!DM78*'Pricing Structure - IIP'!DM131</f>
        <v>0</v>
      </c>
      <c r="BJ150" t="s">
        <v>254</v>
      </c>
      <c r="BK150" s="334">
        <f>'Pricing Structure - IIP'!DO78*'Pricing Structure - IIP'!DO131</f>
        <v>0</v>
      </c>
      <c r="BL150" t="s">
        <v>254</v>
      </c>
      <c r="BM150" s="334">
        <f>'Pricing Structure - IIP'!DQ78*'Pricing Structure - IIP'!DQ131</f>
        <v>0</v>
      </c>
      <c r="BN150" t="s">
        <v>254</v>
      </c>
      <c r="BO150" s="334">
        <f>'Pricing Structure - IIP'!DS78*'Pricing Structure - IIP'!DS131</f>
        <v>0</v>
      </c>
      <c r="BP150" t="s">
        <v>254</v>
      </c>
      <c r="BQ150" s="334">
        <f>'Pricing Structure - IIP'!DU78*'Pricing Structure - IIP'!DU131</f>
        <v>0</v>
      </c>
      <c r="BR150" t="s">
        <v>254</v>
      </c>
      <c r="BS150" s="334">
        <f>'Pricing Structure - IIP'!DW78*'Pricing Structure - IIP'!DW131</f>
        <v>0</v>
      </c>
      <c r="BT150" t="s">
        <v>254</v>
      </c>
      <c r="BU150" s="334">
        <f>'Pricing Structure - IIP'!DY78*'Pricing Structure - IIP'!DY131</f>
        <v>0</v>
      </c>
      <c r="BV150" t="s">
        <v>254</v>
      </c>
      <c r="BW150" s="334">
        <f>'Pricing Structure - IIP'!EA78*'Pricing Structure - IIP'!EA131</f>
        <v>0</v>
      </c>
      <c r="BX150" t="s">
        <v>254</v>
      </c>
      <c r="BY150" s="334">
        <f>'Pricing Structure - IIP'!EC78*'Pricing Structure - IIP'!EC131</f>
        <v>0</v>
      </c>
      <c r="BZ150" t="s">
        <v>254</v>
      </c>
      <c r="CA150" s="334">
        <f>'Pricing Structure - IIP'!EE78*'Pricing Structure - IIP'!EE131</f>
        <v>0</v>
      </c>
      <c r="CB150" t="s">
        <v>254</v>
      </c>
      <c r="CC150" s="334">
        <f>'Pricing Structure - IIP'!EG78*'Pricing Structure - IIP'!EG131</f>
        <v>0</v>
      </c>
      <c r="CD150" t="s">
        <v>254</v>
      </c>
      <c r="CE150" s="334">
        <f>'Pricing Structure - IIP'!EI78*'Pricing Structure - IIP'!EI131</f>
        <v>0</v>
      </c>
      <c r="CF150" t="s">
        <v>254</v>
      </c>
      <c r="CG150" s="334">
        <f>'Pricing Structure - IIP'!EK78*'Pricing Structure - IIP'!EK131</f>
        <v>0</v>
      </c>
      <c r="CH150" t="s">
        <v>254</v>
      </c>
      <c r="CI150" s="334">
        <f>'Pricing Structure - IIP'!EM78*'Pricing Structure - IIP'!EM131</f>
        <v>0</v>
      </c>
      <c r="CJ150" t="s">
        <v>254</v>
      </c>
      <c r="CK150" s="334">
        <f>'Pricing Structure - IIP'!EO78*'Pricing Structure - IIP'!EO131</f>
        <v>0</v>
      </c>
      <c r="CL150" t="s">
        <v>254</v>
      </c>
      <c r="CM150" s="334">
        <f>'Pricing Structure - IIP'!EQ78*'Pricing Structure - IIP'!EQ131</f>
        <v>0</v>
      </c>
      <c r="CN150" t="s">
        <v>254</v>
      </c>
      <c r="CO150" s="334">
        <f>'Pricing Structure - IIP'!EC78*'Pricing Structure - IIP'!EC131</f>
        <v>0</v>
      </c>
      <c r="CP150" t="s">
        <v>254</v>
      </c>
      <c r="CQ150" s="334">
        <f>'Pricing Structure - IIP'!EE78*'Pricing Structure - IIP'!EE131</f>
        <v>0</v>
      </c>
      <c r="CR150" t="s">
        <v>254</v>
      </c>
      <c r="CS150" s="334">
        <f>'Pricing Structure - IIP'!DY78*'Pricing Structure - IIP'!DY131</f>
        <v>0</v>
      </c>
      <c r="CT150" t="s">
        <v>254</v>
      </c>
      <c r="CU150" s="334">
        <f>'Pricing Structure - IIP'!EA78*'Pricing Structure - IIP'!EA131</f>
        <v>0</v>
      </c>
      <c r="CW150" s="593"/>
      <c r="CY150" s="593"/>
      <c r="DA150" s="593"/>
      <c r="DC150" s="593"/>
      <c r="DE150" s="593"/>
      <c r="DG150" s="593"/>
      <c r="DI150" s="593"/>
      <c r="DK150" s="1105">
        <f>DK131*DK92/DK10</f>
        <v>1813311.2</v>
      </c>
    </row>
    <row r="151" spans="15:116" hidden="1" outlineLevel="2" x14ac:dyDescent="0.45">
      <c r="AJ151" t="s">
        <v>233</v>
      </c>
      <c r="AK151" s="334">
        <f>'Pricing Structure - IHAG'!AK78*'Pricing Structure - IHAG'!AK131</f>
        <v>2250237.4095192445</v>
      </c>
      <c r="AL151" t="s">
        <v>233</v>
      </c>
      <c r="AM151" s="334">
        <f>'Pricing Structure - IHAG'!CW78*'Pricing Structure - IHAG'!CW131</f>
        <v>0</v>
      </c>
      <c r="AN151" t="s">
        <v>233</v>
      </c>
      <c r="AO151" s="334">
        <f>'Pricing Structure - IHAG'!CY78*'Pricing Structure - IHAG'!CY131</f>
        <v>0</v>
      </c>
      <c r="AP151" t="s">
        <v>233</v>
      </c>
      <c r="AQ151" s="334">
        <f>'Pricing Structure - IHAG'!DA78*'Pricing Structure - IHAG'!DA131</f>
        <v>0</v>
      </c>
      <c r="AR151" t="s">
        <v>233</v>
      </c>
      <c r="AS151" s="334">
        <f>'Pricing Structure - IHAG'!DC78*'Pricing Structure - IHAG'!DC131</f>
        <v>0</v>
      </c>
      <c r="AT151" t="s">
        <v>233</v>
      </c>
      <c r="AU151" s="334">
        <f>'Pricing Structure - IHAG'!DE78*'Pricing Structure - IHAG'!DE131</f>
        <v>0</v>
      </c>
      <c r="AV151" t="s">
        <v>233</v>
      </c>
      <c r="AW151" s="334">
        <f>'Pricing Structure - IHAG'!DG78*'Pricing Structure - IHAG'!DG131</f>
        <v>0</v>
      </c>
      <c r="AX151" t="s">
        <v>233</v>
      </c>
      <c r="AY151" s="334">
        <f>'Pricing Structure - IHAG'!DI78*'Pricing Structure - IHAG'!DI131</f>
        <v>0</v>
      </c>
      <c r="AZ151" t="s">
        <v>233</v>
      </c>
      <c r="BA151" s="334">
        <f>'Pricing Structure - IHAG'!DK78*'Pricing Structure - IHAG'!DK131</f>
        <v>0</v>
      </c>
      <c r="BB151" t="s">
        <v>233</v>
      </c>
      <c r="BC151" s="334">
        <f>'Pricing Structure - IHAG'!DM78*'Pricing Structure - IHAG'!DM131</f>
        <v>0</v>
      </c>
      <c r="BD151" t="s">
        <v>233</v>
      </c>
      <c r="BE151" s="334">
        <f>'Pricing Structure - IHAG'!DO78*'Pricing Structure - IHAG'!DO131</f>
        <v>0</v>
      </c>
      <c r="BF151" t="s">
        <v>233</v>
      </c>
      <c r="BG151" s="334">
        <f>'Pricing Structure - IHAG'!DQ78*'Pricing Structure - IHAG'!DQ131</f>
        <v>0</v>
      </c>
      <c r="BH151" t="s">
        <v>233</v>
      </c>
      <c r="BI151" s="334">
        <f>'Pricing Structure - IHAG'!DS78*'Pricing Structure - IHAG'!DS131</f>
        <v>0</v>
      </c>
      <c r="BJ151" t="s">
        <v>233</v>
      </c>
      <c r="BK151" s="334">
        <f>'Pricing Structure - IHAG'!DU78*'Pricing Structure - IHAG'!DU131</f>
        <v>0</v>
      </c>
      <c r="BL151" t="s">
        <v>233</v>
      </c>
      <c r="BM151" s="334">
        <f>'Pricing Structure - IHAG'!DW78*'Pricing Structure - IHAG'!DW131</f>
        <v>0</v>
      </c>
      <c r="BN151" t="s">
        <v>233</v>
      </c>
      <c r="BO151" s="334">
        <f>'Pricing Structure - IHAG'!DY78*'Pricing Structure - IHAG'!DY131</f>
        <v>0</v>
      </c>
      <c r="BP151" t="s">
        <v>233</v>
      </c>
      <c r="BQ151" s="334">
        <f>'Pricing Structure - IHAG'!EA78*'Pricing Structure - IHAG'!EA131</f>
        <v>0</v>
      </c>
      <c r="BR151" t="s">
        <v>233</v>
      </c>
      <c r="BS151" s="334">
        <f>'Pricing Structure - IHAG'!EC78*'Pricing Structure - IHAG'!EC131</f>
        <v>0</v>
      </c>
      <c r="BT151" t="s">
        <v>233</v>
      </c>
      <c r="BU151" s="334">
        <f>'Pricing Structure - IHAG'!EE78*'Pricing Structure - IHAG'!EE131</f>
        <v>0</v>
      </c>
      <c r="BV151" t="s">
        <v>233</v>
      </c>
      <c r="BW151" s="334">
        <f>'Pricing Structure - IHAG'!EG78*'Pricing Structure - IHAG'!EG131</f>
        <v>0</v>
      </c>
      <c r="BX151" t="s">
        <v>233</v>
      </c>
      <c r="BY151" s="334">
        <f>'Pricing Structure - IHAG'!EI78*'Pricing Structure - IHAG'!EI131</f>
        <v>0</v>
      </c>
      <c r="BZ151" t="s">
        <v>233</v>
      </c>
      <c r="CA151" s="334">
        <f>'Pricing Structure - IHAG'!EK78*'Pricing Structure - IHAG'!EK131</f>
        <v>0</v>
      </c>
      <c r="CB151" t="s">
        <v>233</v>
      </c>
      <c r="CC151" s="334">
        <f>'Pricing Structure - IHAG'!EM78*'Pricing Structure - IHAG'!EM131</f>
        <v>0</v>
      </c>
      <c r="CD151" t="s">
        <v>233</v>
      </c>
      <c r="CE151" s="334">
        <f>'Pricing Structure - IHAG'!EO78*'Pricing Structure - IHAG'!EO131</f>
        <v>0</v>
      </c>
      <c r="CF151" t="s">
        <v>233</v>
      </c>
      <c r="CG151" s="334">
        <f>'Pricing Structure - IHAG'!EQ78*'Pricing Structure - IHAG'!EQ131</f>
        <v>0</v>
      </c>
      <c r="CH151" t="s">
        <v>233</v>
      </c>
      <c r="CI151" s="334">
        <f>'Pricing Structure - IHAG'!ES78*'Pricing Structure - IHAG'!ES131</f>
        <v>0</v>
      </c>
      <c r="CJ151" t="s">
        <v>233</v>
      </c>
      <c r="CK151" s="334">
        <f>'Pricing Structure - IHAG'!EU78*'Pricing Structure - IHAG'!EU131</f>
        <v>0</v>
      </c>
      <c r="CL151" t="s">
        <v>233</v>
      </c>
      <c r="CM151" s="334">
        <f>'Pricing Structure - IHAG'!EW78*'Pricing Structure - IHAG'!EW131</f>
        <v>0</v>
      </c>
      <c r="CN151" t="s">
        <v>233</v>
      </c>
      <c r="CO151" s="334">
        <f>'Pricing Structure - IHAG'!EI78*'Pricing Structure - IHAG'!EI131</f>
        <v>0</v>
      </c>
      <c r="CP151" t="s">
        <v>233</v>
      </c>
      <c r="CQ151" s="334">
        <f>'Pricing Structure - IHAG'!EK78*'Pricing Structure - IHAG'!EK131</f>
        <v>0</v>
      </c>
      <c r="CR151" t="s">
        <v>233</v>
      </c>
      <c r="CS151" s="334">
        <f>'Pricing Structure - IHAG'!EE78*'Pricing Structure - IHAG'!EE131</f>
        <v>0</v>
      </c>
      <c r="CT151" t="s">
        <v>233</v>
      </c>
      <c r="CU151" s="334">
        <f>'Pricing Structure - IHAG'!EG78*'Pricing Structure - IHAG'!EG131</f>
        <v>0</v>
      </c>
    </row>
    <row r="152" spans="15:116" hidden="1" outlineLevel="2" x14ac:dyDescent="0.45">
      <c r="AJ152" t="s">
        <v>419</v>
      </c>
      <c r="AK152" s="334">
        <f>SUM(AK149:AK151)</f>
        <v>5847199.813786095</v>
      </c>
      <c r="AL152" t="s">
        <v>419</v>
      </c>
      <c r="AM152" s="334">
        <f>SUM(AM149:AM151)</f>
        <v>3811877.221366175</v>
      </c>
      <c r="AN152" t="s">
        <v>419</v>
      </c>
      <c r="AO152" s="334">
        <f>SUM(AO149:AO151)</f>
        <v>3911715.8087349595</v>
      </c>
      <c r="AP152" t="s">
        <v>419</v>
      </c>
      <c r="AQ152" s="334">
        <f>SUM(AQ149:AQ151)</f>
        <v>4707384.7790697441</v>
      </c>
      <c r="AR152" t="s">
        <v>419</v>
      </c>
      <c r="AS152" s="334">
        <f>SUM(AS149:AS151)</f>
        <v>8517054.9906348344</v>
      </c>
      <c r="AT152" t="s">
        <v>419</v>
      </c>
      <c r="AU152" s="334">
        <f>SUM(AU149:AU151)</f>
        <v>956385.03816594975</v>
      </c>
      <c r="AV152" t="s">
        <v>419</v>
      </c>
      <c r="AW152" s="334">
        <f>SUM(AW149:AW151)</f>
        <v>1005076.1385751653</v>
      </c>
      <c r="AX152" t="s">
        <v>419</v>
      </c>
      <c r="AY152" s="334">
        <f>SUM(AY149:AY151)</f>
        <v>3992436.7078822046</v>
      </c>
      <c r="AZ152" t="s">
        <v>419</v>
      </c>
      <c r="BA152" s="334">
        <f>SUM(BA149:BA151)</f>
        <v>2637407.2061657496</v>
      </c>
      <c r="BB152" t="s">
        <v>419</v>
      </c>
      <c r="BC152" s="334">
        <f>SUM(BC149:BC151)</f>
        <v>3523666.2671758733</v>
      </c>
      <c r="BD152" t="s">
        <v>419</v>
      </c>
      <c r="BE152" s="334">
        <f>SUM(BE149:BE151)</f>
        <v>2775257.4738850924</v>
      </c>
      <c r="BF152" t="s">
        <v>419</v>
      </c>
      <c r="BG152" s="334">
        <f t="shared" ref="BG152" si="1229">SUM(BG149:BG151)</f>
        <v>2830693.5736468127</v>
      </c>
      <c r="BH152" t="s">
        <v>419</v>
      </c>
      <c r="BI152" s="334">
        <f t="shared" ref="BI152" si="1230">SUM(BI149:BI151)</f>
        <v>3275407.3867595815</v>
      </c>
      <c r="BJ152" t="s">
        <v>419</v>
      </c>
      <c r="BK152" s="334">
        <f t="shared" ref="BK152" si="1231">SUM(BK149:BK151)</f>
        <v>0</v>
      </c>
      <c r="BL152" t="s">
        <v>419</v>
      </c>
      <c r="BM152" s="334">
        <f t="shared" ref="BM152" si="1232">SUM(BM149:BM151)</f>
        <v>0</v>
      </c>
      <c r="BN152" t="s">
        <v>419</v>
      </c>
      <c r="BO152" s="334">
        <f t="shared" ref="BO152" si="1233">SUM(BO149:BO151)</f>
        <v>0</v>
      </c>
      <c r="BP152" t="s">
        <v>419</v>
      </c>
      <c r="BQ152" s="334">
        <f t="shared" ref="BQ152:BS152" si="1234">SUM(BQ149:BQ151)</f>
        <v>0</v>
      </c>
      <c r="BR152" t="s">
        <v>419</v>
      </c>
      <c r="BS152" s="334">
        <f t="shared" si="1234"/>
        <v>0</v>
      </c>
      <c r="BT152" t="s">
        <v>419</v>
      </c>
      <c r="BU152" s="334">
        <f t="shared" ref="BU152:BW152" si="1235">SUM(BU149:BU151)</f>
        <v>0</v>
      </c>
      <c r="BV152" t="s">
        <v>419</v>
      </c>
      <c r="BW152" s="334">
        <f t="shared" si="1235"/>
        <v>0</v>
      </c>
      <c r="BX152" t="s">
        <v>419</v>
      </c>
      <c r="BY152" s="334">
        <f t="shared" ref="BY152:CA152" si="1236">SUM(BY149:BY151)</f>
        <v>0</v>
      </c>
      <c r="BZ152" t="s">
        <v>419</v>
      </c>
      <c r="CA152" s="334">
        <f t="shared" si="1236"/>
        <v>0</v>
      </c>
      <c r="CB152" t="s">
        <v>419</v>
      </c>
      <c r="CC152" s="334">
        <f t="shared" ref="CC152:CE152" si="1237">SUM(CC149:CC151)</f>
        <v>0</v>
      </c>
      <c r="CD152" t="s">
        <v>419</v>
      </c>
      <c r="CE152" s="334">
        <f t="shared" si="1237"/>
        <v>0</v>
      </c>
      <c r="CF152" t="s">
        <v>419</v>
      </c>
      <c r="CG152" s="334">
        <f t="shared" ref="CG152:CI152" si="1238">SUM(CG149:CG151)</f>
        <v>0</v>
      </c>
      <c r="CH152" t="s">
        <v>419</v>
      </c>
      <c r="CI152" s="334">
        <f t="shared" si="1238"/>
        <v>0</v>
      </c>
      <c r="CJ152" t="s">
        <v>419</v>
      </c>
      <c r="CK152" s="334">
        <f t="shared" ref="CK152:CM152" si="1239">SUM(CK149:CK151)</f>
        <v>0</v>
      </c>
      <c r="CL152" t="s">
        <v>419</v>
      </c>
      <c r="CM152" s="334">
        <f t="shared" si="1239"/>
        <v>0</v>
      </c>
      <c r="CN152" t="s">
        <v>419</v>
      </c>
      <c r="CO152" s="334">
        <f t="shared" ref="CO152" si="1240">SUM(CO149:CO151)</f>
        <v>0</v>
      </c>
      <c r="CP152" t="s">
        <v>419</v>
      </c>
      <c r="CQ152" s="334">
        <f t="shared" ref="CQ152" si="1241">SUM(CQ149:CQ151)</f>
        <v>0</v>
      </c>
      <c r="CR152" t="s">
        <v>419</v>
      </c>
      <c r="CS152" s="334">
        <f t="shared" ref="CS152:CU152" si="1242">SUM(CS149:CS151)</f>
        <v>0</v>
      </c>
      <c r="CT152" t="s">
        <v>419</v>
      </c>
      <c r="CU152" s="334">
        <f t="shared" si="1242"/>
        <v>0</v>
      </c>
    </row>
    <row r="153" spans="15:116" hidden="1" outlineLevel="2" x14ac:dyDescent="0.45">
      <c r="AJ153" t="s">
        <v>420</v>
      </c>
      <c r="AK153" s="334">
        <f>Table5[[#Totals],[Oct]]</f>
        <v>8394340</v>
      </c>
      <c r="AL153" t="s">
        <v>420</v>
      </c>
      <c r="AM153" s="334">
        <f>Table5[[#Totals],[Oct]]</f>
        <v>8394340</v>
      </c>
      <c r="AN153" t="s">
        <v>420</v>
      </c>
      <c r="AO153" s="334">
        <f>Table5[[#Totals],[Oct]]</f>
        <v>8394340</v>
      </c>
      <c r="AP153" t="s">
        <v>420</v>
      </c>
      <c r="AQ153" s="334">
        <f>Table5[[#Totals],[Oct]]</f>
        <v>8394340</v>
      </c>
      <c r="AR153" t="s">
        <v>420</v>
      </c>
      <c r="AS153" s="334">
        <f>Table5[[#Totals],[Oct]]</f>
        <v>8394340</v>
      </c>
      <c r="AT153" t="s">
        <v>420</v>
      </c>
      <c r="AU153" s="334">
        <f>Table5[[#Totals],[Oct]]</f>
        <v>8394340</v>
      </c>
      <c r="AV153" t="s">
        <v>420</v>
      </c>
      <c r="AW153" s="334">
        <f>Table5[[#Totals],[Oct]]</f>
        <v>8394340</v>
      </c>
      <c r="AX153" t="s">
        <v>420</v>
      </c>
      <c r="AY153" s="334">
        <f>Table5[[#Totals],[Oct]]</f>
        <v>8394340</v>
      </c>
      <c r="AZ153" t="s">
        <v>420</v>
      </c>
      <c r="BA153" s="334">
        <f>Table5[[#Totals],[Oct]]</f>
        <v>8394340</v>
      </c>
      <c r="BB153" t="s">
        <v>420</v>
      </c>
      <c r="BC153" s="334">
        <f>Table5[[#Totals],[Oct]]</f>
        <v>8394340</v>
      </c>
      <c r="BD153" t="s">
        <v>420</v>
      </c>
      <c r="BE153" s="334">
        <f>Table5[[#Totals],[Oct]]</f>
        <v>8394340</v>
      </c>
      <c r="BF153" t="s">
        <v>420</v>
      </c>
      <c r="BG153" s="334">
        <f>Table5[[#Totals],[Oct]]</f>
        <v>8394340</v>
      </c>
      <c r="BH153" t="s">
        <v>420</v>
      </c>
      <c r="BI153" s="334">
        <f>Table5[[#Totals],[Oct]]</f>
        <v>8394340</v>
      </c>
      <c r="BJ153" t="s">
        <v>420</v>
      </c>
      <c r="BK153" s="334">
        <f>Table5[[#Totals],[Oct]]</f>
        <v>8394340</v>
      </c>
      <c r="BL153" t="s">
        <v>420</v>
      </c>
      <c r="BM153" s="334">
        <f>Table5[[#Totals],[Oct]]</f>
        <v>8394340</v>
      </c>
      <c r="BN153" t="s">
        <v>420</v>
      </c>
      <c r="BO153" s="334">
        <f>Table5[[#Totals],[Oct]]</f>
        <v>8394340</v>
      </c>
      <c r="BP153" t="s">
        <v>420</v>
      </c>
      <c r="BQ153" s="334">
        <f>Table5[[#Totals],[Oct]]</f>
        <v>8394340</v>
      </c>
      <c r="BR153" t="s">
        <v>420</v>
      </c>
      <c r="BS153" s="334">
        <f>Table5[[#Totals],[Oct]]</f>
        <v>8394340</v>
      </c>
      <c r="BT153" t="s">
        <v>420</v>
      </c>
      <c r="BU153" s="334">
        <f>Table5[[#Totals],[Oct]]</f>
        <v>8394340</v>
      </c>
      <c r="BV153" t="s">
        <v>420</v>
      </c>
      <c r="BW153" s="334">
        <f>Table5[[#Totals],[Oct]]</f>
        <v>8394340</v>
      </c>
      <c r="BX153" t="s">
        <v>420</v>
      </c>
      <c r="BY153" s="334">
        <f>Table5[[#Totals],[Oct]]</f>
        <v>8394340</v>
      </c>
      <c r="BZ153" t="s">
        <v>420</v>
      </c>
      <c r="CA153" s="334">
        <f>Table5[[#Totals],[Oct]]</f>
        <v>8394340</v>
      </c>
      <c r="CB153" t="s">
        <v>420</v>
      </c>
      <c r="CC153" s="334">
        <f>Table5[[#Totals],[Oct]]</f>
        <v>8394340</v>
      </c>
      <c r="CD153" t="s">
        <v>420</v>
      </c>
      <c r="CE153" s="334">
        <f>Table5[[#Totals],[Oct]]</f>
        <v>8394340</v>
      </c>
      <c r="CF153" t="s">
        <v>420</v>
      </c>
      <c r="CG153" s="334">
        <f>Table5[[#Totals],[Oct]]</f>
        <v>8394340</v>
      </c>
      <c r="CH153" t="s">
        <v>420</v>
      </c>
      <c r="CI153" s="334">
        <f>Table5[[#Totals],[Oct]]</f>
        <v>8394340</v>
      </c>
      <c r="CJ153" t="s">
        <v>420</v>
      </c>
      <c r="CK153" s="334">
        <f>Table5[[#Totals],[Oct]]</f>
        <v>8394340</v>
      </c>
      <c r="CL153" t="s">
        <v>420</v>
      </c>
      <c r="CM153" s="334">
        <f>Table5[[#Totals],[Oct]]</f>
        <v>8394340</v>
      </c>
      <c r="CN153" t="s">
        <v>420</v>
      </c>
      <c r="CO153" s="334">
        <f>Table5[[#Totals],[Oct]]</f>
        <v>8394340</v>
      </c>
      <c r="CP153" t="s">
        <v>420</v>
      </c>
      <c r="CQ153" s="334">
        <f>Table5[[#Totals],[Oct]]</f>
        <v>8394340</v>
      </c>
      <c r="CR153" t="s">
        <v>420</v>
      </c>
      <c r="CS153" s="334">
        <f>Table5[[#Totals],[Oct]]</f>
        <v>8394340</v>
      </c>
      <c r="CT153" t="s">
        <v>420</v>
      </c>
      <c r="CU153" s="334">
        <f>Table5[[#Totals],[Oct]]</f>
        <v>8394340</v>
      </c>
      <c r="DK153" s="1105">
        <f>DK150+'Pricing Structure - IIP'!DE157</f>
        <v>2124783.3875000002</v>
      </c>
    </row>
    <row r="154" spans="15:116" hidden="1" outlineLevel="2" x14ac:dyDescent="0.45">
      <c r="AK154" s="1049">
        <f>AK152/AK153</f>
        <v>0.69656456776662545</v>
      </c>
      <c r="AM154" s="1049">
        <f>AM152/AM153</f>
        <v>0.45410088480644994</v>
      </c>
      <c r="AO154" s="1049">
        <f>AO152/AO153</f>
        <v>0.46599444491585512</v>
      </c>
      <c r="AQ154" s="1049">
        <f>AQ152/AQ153</f>
        <v>0.5607808093393577</v>
      </c>
      <c r="AS154" s="1049">
        <f>AS152/AS153</f>
        <v>1.0146187777281876</v>
      </c>
      <c r="AU154" s="1049">
        <f>AU152/AU153</f>
        <v>0.11393213024084678</v>
      </c>
      <c r="AW154" s="1049">
        <f>AW152/AW153</f>
        <v>0.119732598223942</v>
      </c>
      <c r="AY154" s="1049">
        <f>AY152/AY153</f>
        <v>0.47561055519340467</v>
      </c>
      <c r="BA154" s="1049">
        <f>BA152/BA153</f>
        <v>0.31418875172625238</v>
      </c>
      <c r="BC154" s="1049">
        <f>BC152/BC153</f>
        <v>0.41976692237577623</v>
      </c>
      <c r="BE154" s="1049">
        <f>BE152/BE153</f>
        <v>0.33061056305618935</v>
      </c>
      <c r="BG154" s="1049">
        <f t="shared" ref="BG154" si="1243">BG152/BG153</f>
        <v>0.33721454857044303</v>
      </c>
      <c r="BI154" s="1049">
        <f t="shared" ref="BI154" si="1244">BI152/BI153</f>
        <v>0.39019236613713304</v>
      </c>
      <c r="BK154" s="1049">
        <f t="shared" ref="BK154" si="1245">BK152/BK153</f>
        <v>0</v>
      </c>
      <c r="BM154" s="1049">
        <f t="shared" ref="BM154" si="1246">BM152/BM153</f>
        <v>0</v>
      </c>
      <c r="BO154" s="1049">
        <f t="shared" ref="BO154" si="1247">BO152/BO153</f>
        <v>0</v>
      </c>
      <c r="BQ154" s="1049">
        <f t="shared" ref="BQ154:BS154" si="1248">BQ152/BQ153</f>
        <v>0</v>
      </c>
      <c r="BS154" s="1049">
        <f t="shared" si="1248"/>
        <v>0</v>
      </c>
      <c r="BU154" s="1049">
        <f t="shared" ref="BU154:BW154" si="1249">BU152/BU153</f>
        <v>0</v>
      </c>
      <c r="BW154" s="1049">
        <f t="shared" si="1249"/>
        <v>0</v>
      </c>
      <c r="BY154" s="1049">
        <f t="shared" ref="BY154:CA154" si="1250">BY152/BY153</f>
        <v>0</v>
      </c>
      <c r="CA154" s="1049">
        <f t="shared" si="1250"/>
        <v>0</v>
      </c>
      <c r="CC154" s="1049">
        <f t="shared" ref="CC154:CE154" si="1251">CC152/CC153</f>
        <v>0</v>
      </c>
      <c r="CE154" s="1049">
        <f t="shared" si="1251"/>
        <v>0</v>
      </c>
      <c r="CG154" s="1049">
        <f t="shared" ref="CG154:CI154" si="1252">CG152/CG153</f>
        <v>0</v>
      </c>
      <c r="CI154" s="1049">
        <f t="shared" si="1252"/>
        <v>0</v>
      </c>
      <c r="CK154" s="1049">
        <f t="shared" ref="CK154:CM154" si="1253">CK152/CK153</f>
        <v>0</v>
      </c>
      <c r="CM154" s="1049">
        <f t="shared" si="1253"/>
        <v>0</v>
      </c>
      <c r="CO154" s="1049">
        <f t="shared" ref="CO154" si="1254">CO152/CO153</f>
        <v>0</v>
      </c>
      <c r="CQ154" s="1049">
        <f t="shared" ref="CQ154" si="1255">CQ152/CQ153</f>
        <v>0</v>
      </c>
      <c r="CS154" s="1049">
        <f t="shared" ref="CS154:CU154" si="1256">CS152/CS153</f>
        <v>0</v>
      </c>
      <c r="CU154" s="1049">
        <f t="shared" si="1256"/>
        <v>0</v>
      </c>
    </row>
    <row r="155" spans="15:116" outlineLevel="1" collapsed="1" x14ac:dyDescent="0.45"/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397">
    <mergeCell ref="CT2:CU2"/>
    <mergeCell ref="CT3:CU3"/>
    <mergeCell ref="CT4:CU5"/>
    <mergeCell ref="CT6:CU6"/>
    <mergeCell ref="CT7:CU7"/>
    <mergeCell ref="CT8:CU8"/>
    <mergeCell ref="CT9:CU9"/>
    <mergeCell ref="CP2:CQ2"/>
    <mergeCell ref="CP3:CQ3"/>
    <mergeCell ref="CP4:CQ5"/>
    <mergeCell ref="CP6:CQ6"/>
    <mergeCell ref="CP7:CQ7"/>
    <mergeCell ref="CP8:CQ8"/>
    <mergeCell ref="CP9:CQ9"/>
    <mergeCell ref="BX2:BY2"/>
    <mergeCell ref="BX3:BY3"/>
    <mergeCell ref="BX4:BY5"/>
    <mergeCell ref="BX6:BY6"/>
    <mergeCell ref="BX7:BY7"/>
    <mergeCell ref="BX8:BY8"/>
    <mergeCell ref="BX9:BY9"/>
    <mergeCell ref="CF4:CG5"/>
    <mergeCell ref="CF6:CG6"/>
    <mergeCell ref="CF7:CG7"/>
    <mergeCell ref="CF8:CG8"/>
    <mergeCell ref="CF9:CG9"/>
    <mergeCell ref="CB9:CC9"/>
    <mergeCell ref="CD2:CE2"/>
    <mergeCell ref="CD3:CE3"/>
    <mergeCell ref="CD4:CE5"/>
    <mergeCell ref="CD6:CE6"/>
    <mergeCell ref="CN6:CO6"/>
    <mergeCell ref="CN7:CO7"/>
    <mergeCell ref="CN8:CO8"/>
    <mergeCell ref="CN9:CO9"/>
    <mergeCell ref="BZ2:CA2"/>
    <mergeCell ref="BZ3:CA3"/>
    <mergeCell ref="BZ4:CA5"/>
    <mergeCell ref="BZ6:CA6"/>
    <mergeCell ref="BZ7:CA7"/>
    <mergeCell ref="BZ8:CA8"/>
    <mergeCell ref="BZ9:CA9"/>
    <mergeCell ref="CB2:CC2"/>
    <mergeCell ref="CB3:CC3"/>
    <mergeCell ref="CB4:CC5"/>
    <mergeCell ref="CB6:CC6"/>
    <mergeCell ref="CB7:CC7"/>
    <mergeCell ref="CB8:CC8"/>
    <mergeCell ref="CD7:CE7"/>
    <mergeCell ref="CD8:CE8"/>
    <mergeCell ref="CD9:CE9"/>
    <mergeCell ref="CF2:CG2"/>
    <mergeCell ref="CF3:CG3"/>
    <mergeCell ref="CH2:CI2"/>
    <mergeCell ref="CH3:CI3"/>
    <mergeCell ref="BT6:BU6"/>
    <mergeCell ref="BT7:BU7"/>
    <mergeCell ref="BT8:BU8"/>
    <mergeCell ref="BT9:BU9"/>
    <mergeCell ref="CR2:CS2"/>
    <mergeCell ref="CR3:CS3"/>
    <mergeCell ref="CR4:CS5"/>
    <mergeCell ref="CR6:CS6"/>
    <mergeCell ref="CR7:CS7"/>
    <mergeCell ref="CR8:CS8"/>
    <mergeCell ref="CR9:CS9"/>
    <mergeCell ref="BT2:BU2"/>
    <mergeCell ref="BT3:BU3"/>
    <mergeCell ref="BT4:BU5"/>
    <mergeCell ref="BV2:BW2"/>
    <mergeCell ref="BV3:BW3"/>
    <mergeCell ref="BV4:BW5"/>
    <mergeCell ref="BV6:BW6"/>
    <mergeCell ref="BV7:BW7"/>
    <mergeCell ref="BV8:BW8"/>
    <mergeCell ref="BV9:BW9"/>
    <mergeCell ref="CN2:CO2"/>
    <mergeCell ref="CN3:CO3"/>
    <mergeCell ref="CN4:CO5"/>
    <mergeCell ref="BP2:BQ2"/>
    <mergeCell ref="BP3:BQ3"/>
    <mergeCell ref="BP4:BQ5"/>
    <mergeCell ref="BP6:BQ6"/>
    <mergeCell ref="BP7:BQ7"/>
    <mergeCell ref="BP8:BQ8"/>
    <mergeCell ref="BP9:BQ9"/>
    <mergeCell ref="BR2:BS2"/>
    <mergeCell ref="BR3:BS3"/>
    <mergeCell ref="BR4:BS5"/>
    <mergeCell ref="BR6:BS6"/>
    <mergeCell ref="BR7:BS7"/>
    <mergeCell ref="BR8:BS8"/>
    <mergeCell ref="BR9:BS9"/>
    <mergeCell ref="BL2:BM2"/>
    <mergeCell ref="BL3:BM3"/>
    <mergeCell ref="BL4:BM5"/>
    <mergeCell ref="BL6:BM6"/>
    <mergeCell ref="BL7:BM7"/>
    <mergeCell ref="BL8:BM8"/>
    <mergeCell ref="BL9:BM9"/>
    <mergeCell ref="BN2:BO2"/>
    <mergeCell ref="BN3:BO3"/>
    <mergeCell ref="BN4:BO5"/>
    <mergeCell ref="BN6:BO6"/>
    <mergeCell ref="BN7:BO7"/>
    <mergeCell ref="BN8:BO8"/>
    <mergeCell ref="BN9:BO9"/>
    <mergeCell ref="BF8:BG8"/>
    <mergeCell ref="BH8:BI8"/>
    <mergeCell ref="BF9:BG9"/>
    <mergeCell ref="BH9:BI9"/>
    <mergeCell ref="BJ2:BK2"/>
    <mergeCell ref="BJ3:BK3"/>
    <mergeCell ref="BJ4:BK5"/>
    <mergeCell ref="BJ6:BK6"/>
    <mergeCell ref="BJ7:BK7"/>
    <mergeCell ref="BJ8:BK8"/>
    <mergeCell ref="BJ9:BK9"/>
    <mergeCell ref="BF2:BG2"/>
    <mergeCell ref="BH2:BI2"/>
    <mergeCell ref="BF3:BG3"/>
    <mergeCell ref="BH3:BI3"/>
    <mergeCell ref="BF4:BG5"/>
    <mergeCell ref="BH4:BI5"/>
    <mergeCell ref="BF6:BG6"/>
    <mergeCell ref="BH6:BI6"/>
    <mergeCell ref="BF7:BG7"/>
    <mergeCell ref="BH7:BI7"/>
    <mergeCell ref="BD8:BE8"/>
    <mergeCell ref="BD9:BE9"/>
    <mergeCell ref="AX8:AY8"/>
    <mergeCell ref="AZ8:BA8"/>
    <mergeCell ref="AX9:AY9"/>
    <mergeCell ref="AZ9:BA9"/>
    <mergeCell ref="BB2:BC2"/>
    <mergeCell ref="BB3:BC3"/>
    <mergeCell ref="BB4:BC5"/>
    <mergeCell ref="BB6:BC6"/>
    <mergeCell ref="BB7:BC7"/>
    <mergeCell ref="BB8:BC8"/>
    <mergeCell ref="BB9:BC9"/>
    <mergeCell ref="AZ3:BA3"/>
    <mergeCell ref="AV6:AW6"/>
    <mergeCell ref="BD2:BE2"/>
    <mergeCell ref="BD3:BE3"/>
    <mergeCell ref="BD4:BE5"/>
    <mergeCell ref="BD6:BE6"/>
    <mergeCell ref="AV7:AW7"/>
    <mergeCell ref="AX7:AY7"/>
    <mergeCell ref="AZ7:BA7"/>
    <mergeCell ref="BD7:BE7"/>
    <mergeCell ref="AV8:AW8"/>
    <mergeCell ref="AV9:AW9"/>
    <mergeCell ref="CV2:CW2"/>
    <mergeCell ref="AP2:AQ2"/>
    <mergeCell ref="AP3:AQ3"/>
    <mergeCell ref="AP4:AQ5"/>
    <mergeCell ref="AP6:AQ6"/>
    <mergeCell ref="AP7:AQ7"/>
    <mergeCell ref="AP8:AQ8"/>
    <mergeCell ref="AT3:AU3"/>
    <mergeCell ref="AT4:AU5"/>
    <mergeCell ref="AT6:AU6"/>
    <mergeCell ref="AT7:AU7"/>
    <mergeCell ref="AT8:AU8"/>
    <mergeCell ref="AR2:AS2"/>
    <mergeCell ref="AT2:AU2"/>
    <mergeCell ref="AV2:AW2"/>
    <mergeCell ref="AX2:AY2"/>
    <mergeCell ref="AZ2:BA2"/>
    <mergeCell ref="AV3:AW3"/>
    <mergeCell ref="AX3:AY3"/>
    <mergeCell ref="AV4:AW5"/>
    <mergeCell ref="AX4:AY5"/>
    <mergeCell ref="AZ4:BA5"/>
    <mergeCell ref="AN9:AO9"/>
    <mergeCell ref="AL2:AM2"/>
    <mergeCell ref="AL3:AM3"/>
    <mergeCell ref="AL4:AM5"/>
    <mergeCell ref="AT9:AU9"/>
    <mergeCell ref="CV8:CW8"/>
    <mergeCell ref="CV7:CW7"/>
    <mergeCell ref="CV6:CW6"/>
    <mergeCell ref="CV4:CW5"/>
    <mergeCell ref="CV3:CW3"/>
    <mergeCell ref="CV9:CW9"/>
    <mergeCell ref="AL6:AM6"/>
    <mergeCell ref="AL7:AM7"/>
    <mergeCell ref="AL8:AM8"/>
    <mergeCell ref="AL9:AM9"/>
    <mergeCell ref="AP9:AQ9"/>
    <mergeCell ref="AR3:AS3"/>
    <mergeCell ref="AR4:AS5"/>
    <mergeCell ref="AR6:AS6"/>
    <mergeCell ref="AR7:AS7"/>
    <mergeCell ref="AR8:AS8"/>
    <mergeCell ref="AR9:AS9"/>
    <mergeCell ref="AX6:AY6"/>
    <mergeCell ref="AZ6:BA6"/>
    <mergeCell ref="F2:G2"/>
    <mergeCell ref="H2:I2"/>
    <mergeCell ref="N2:O2"/>
    <mergeCell ref="P2:Q2"/>
    <mergeCell ref="R2:S2"/>
    <mergeCell ref="AD2:AE2"/>
    <mergeCell ref="J2:K2"/>
    <mergeCell ref="L2:M2"/>
    <mergeCell ref="J3:K3"/>
    <mergeCell ref="AB2:AC2"/>
    <mergeCell ref="F3:G3"/>
    <mergeCell ref="H3:I3"/>
    <mergeCell ref="N3:O3"/>
    <mergeCell ref="P3:Q3"/>
    <mergeCell ref="R3:S3"/>
    <mergeCell ref="AD3:AE3"/>
    <mergeCell ref="L3:M3"/>
    <mergeCell ref="T2:U2"/>
    <mergeCell ref="T3:U3"/>
    <mergeCell ref="Z2:AA2"/>
    <mergeCell ref="Z3:AA3"/>
    <mergeCell ref="X2:Y2"/>
    <mergeCell ref="F4:G5"/>
    <mergeCell ref="H4:I5"/>
    <mergeCell ref="N4:O5"/>
    <mergeCell ref="P4:Q5"/>
    <mergeCell ref="R4:S5"/>
    <mergeCell ref="F7:G7"/>
    <mergeCell ref="H7:I7"/>
    <mergeCell ref="N7:O7"/>
    <mergeCell ref="P7:Q7"/>
    <mergeCell ref="R7:S7"/>
    <mergeCell ref="J4:K5"/>
    <mergeCell ref="J6:K6"/>
    <mergeCell ref="J7:K7"/>
    <mergeCell ref="L4:M5"/>
    <mergeCell ref="L6:M6"/>
    <mergeCell ref="B71:B84"/>
    <mergeCell ref="B100:B113"/>
    <mergeCell ref="B124:B144"/>
    <mergeCell ref="B15:B21"/>
    <mergeCell ref="B22:B27"/>
    <mergeCell ref="B28:B33"/>
    <mergeCell ref="B34:B39"/>
    <mergeCell ref="B40:B46"/>
    <mergeCell ref="B47:B70"/>
    <mergeCell ref="N1:S1"/>
    <mergeCell ref="AF2:AG2"/>
    <mergeCell ref="AF3:AG3"/>
    <mergeCell ref="AF4:AG5"/>
    <mergeCell ref="X4:Y5"/>
    <mergeCell ref="AB3:AC3"/>
    <mergeCell ref="V2:W2"/>
    <mergeCell ref="V3:W3"/>
    <mergeCell ref="V4:W5"/>
    <mergeCell ref="X3:Y3"/>
    <mergeCell ref="AD4:AE5"/>
    <mergeCell ref="T4:U5"/>
    <mergeCell ref="Z6:AA6"/>
    <mergeCell ref="Z7:AA7"/>
    <mergeCell ref="Z8:AA8"/>
    <mergeCell ref="Z9:AA9"/>
    <mergeCell ref="F9:G9"/>
    <mergeCell ref="H9:I9"/>
    <mergeCell ref="N9:O9"/>
    <mergeCell ref="P9:Q9"/>
    <mergeCell ref="R9:S9"/>
    <mergeCell ref="J9:K9"/>
    <mergeCell ref="F8:G8"/>
    <mergeCell ref="H8:I8"/>
    <mergeCell ref="N8:O8"/>
    <mergeCell ref="P8:Q8"/>
    <mergeCell ref="J8:K8"/>
    <mergeCell ref="R8:S8"/>
    <mergeCell ref="X7:Y7"/>
    <mergeCell ref="X8:Y8"/>
    <mergeCell ref="X9:Y9"/>
    <mergeCell ref="T6:U6"/>
    <mergeCell ref="T7:U7"/>
    <mergeCell ref="B6:B13"/>
    <mergeCell ref="F6:G6"/>
    <mergeCell ref="H6:I6"/>
    <mergeCell ref="N6:O6"/>
    <mergeCell ref="P6:Q6"/>
    <mergeCell ref="R6:S6"/>
    <mergeCell ref="T8:U8"/>
    <mergeCell ref="T9:U9"/>
    <mergeCell ref="V6:W6"/>
    <mergeCell ref="D12:E12"/>
    <mergeCell ref="L7:M7"/>
    <mergeCell ref="L8:M8"/>
    <mergeCell ref="L9:M9"/>
    <mergeCell ref="AN2:AO2"/>
    <mergeCell ref="AN3:AO3"/>
    <mergeCell ref="V7:W7"/>
    <mergeCell ref="V8:W8"/>
    <mergeCell ref="V9:W9"/>
    <mergeCell ref="X6:Y6"/>
    <mergeCell ref="Z4:AA5"/>
    <mergeCell ref="AB4:AC5"/>
    <mergeCell ref="AB6:AC6"/>
    <mergeCell ref="AB7:AC7"/>
    <mergeCell ref="AB8:AC8"/>
    <mergeCell ref="AB9:AC9"/>
    <mergeCell ref="AF9:AG9"/>
    <mergeCell ref="AD9:AE9"/>
    <mergeCell ref="AF8:AG8"/>
    <mergeCell ref="AD8:AE8"/>
    <mergeCell ref="AD6:AE6"/>
    <mergeCell ref="AF7:AG7"/>
    <mergeCell ref="AD7:AE7"/>
    <mergeCell ref="AF6:AG6"/>
    <mergeCell ref="AN4:AO5"/>
    <mergeCell ref="AN6:AO6"/>
    <mergeCell ref="AN7:AO7"/>
    <mergeCell ref="AN8:AO8"/>
    <mergeCell ref="AH2:AI2"/>
    <mergeCell ref="AH3:AI3"/>
    <mergeCell ref="AH4:AI5"/>
    <mergeCell ref="AH6:AI6"/>
    <mergeCell ref="AH7:AI7"/>
    <mergeCell ref="AH8:AI8"/>
    <mergeCell ref="AH9:AI9"/>
    <mergeCell ref="AJ2:AK2"/>
    <mergeCell ref="AJ3:AK3"/>
    <mergeCell ref="AJ4:AK5"/>
    <mergeCell ref="AJ6:AK6"/>
    <mergeCell ref="AJ7:AK7"/>
    <mergeCell ref="AJ8:AK8"/>
    <mergeCell ref="AJ9:AK9"/>
    <mergeCell ref="DD2:DE2"/>
    <mergeCell ref="DD3:DE3"/>
    <mergeCell ref="DD4:DE5"/>
    <mergeCell ref="DD6:DE6"/>
    <mergeCell ref="DD7:DE7"/>
    <mergeCell ref="DD8:DE8"/>
    <mergeCell ref="DD9:DE9"/>
    <mergeCell ref="DB2:DC2"/>
    <mergeCell ref="DB3:DC3"/>
    <mergeCell ref="DB4:DC5"/>
    <mergeCell ref="DB6:DC6"/>
    <mergeCell ref="DB7:DC7"/>
    <mergeCell ref="DB8:DC8"/>
    <mergeCell ref="DB9:DC9"/>
    <mergeCell ref="CX2:CY2"/>
    <mergeCell ref="CX3:CY3"/>
    <mergeCell ref="CX4:CY5"/>
    <mergeCell ref="CX6:CY6"/>
    <mergeCell ref="CX7:CY7"/>
    <mergeCell ref="CX8:CY8"/>
    <mergeCell ref="CX9:CY9"/>
    <mergeCell ref="CZ2:DA2"/>
    <mergeCell ref="CZ3:DA3"/>
    <mergeCell ref="CZ4:DA5"/>
    <mergeCell ref="CZ6:DA6"/>
    <mergeCell ref="CZ7:DA7"/>
    <mergeCell ref="CZ8:DA8"/>
    <mergeCell ref="CZ9:DA9"/>
    <mergeCell ref="DJ9:DK9"/>
    <mergeCell ref="DH2:DI2"/>
    <mergeCell ref="DH3:DI3"/>
    <mergeCell ref="DH4:DI5"/>
    <mergeCell ref="DH6:DI6"/>
    <mergeCell ref="DH7:DI7"/>
    <mergeCell ref="DH8:DI8"/>
    <mergeCell ref="DH9:DI9"/>
    <mergeCell ref="DF6:DG6"/>
    <mergeCell ref="DF7:DG7"/>
    <mergeCell ref="DF8:DG8"/>
    <mergeCell ref="DF9:DG9"/>
    <mergeCell ref="DF2:DG2"/>
    <mergeCell ref="DF3:DG3"/>
    <mergeCell ref="DF4:DG5"/>
    <mergeCell ref="DJ2:DK2"/>
    <mergeCell ref="DJ3:DK3"/>
    <mergeCell ref="DJ4:DK5"/>
    <mergeCell ref="DJ6:DK6"/>
    <mergeCell ref="DJ7:DK7"/>
    <mergeCell ref="DJ8:DK8"/>
    <mergeCell ref="CL2:CM2"/>
    <mergeCell ref="CL3:CM3"/>
    <mergeCell ref="CL4:CM5"/>
    <mergeCell ref="CL6:CM6"/>
    <mergeCell ref="CL7:CM7"/>
    <mergeCell ref="CL8:CM8"/>
    <mergeCell ref="CL9:CM9"/>
    <mergeCell ref="CH4:CI5"/>
    <mergeCell ref="CH6:CI6"/>
    <mergeCell ref="CH7:CI7"/>
    <mergeCell ref="CH8:CI8"/>
    <mergeCell ref="CH9:CI9"/>
    <mergeCell ref="CJ2:CK2"/>
    <mergeCell ref="CJ3:CK3"/>
    <mergeCell ref="CJ4:CK5"/>
    <mergeCell ref="CJ6:CK6"/>
    <mergeCell ref="CJ7:CK7"/>
    <mergeCell ref="CJ8:CK8"/>
    <mergeCell ref="CJ9:CK9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6EAB-E257-445F-AEB0-9FAA4785B425}">
  <sheetPr>
    <pageSetUpPr fitToPage="1"/>
  </sheetPr>
  <dimension ref="A1:BX184"/>
  <sheetViews>
    <sheetView showGridLines="0" zoomScale="85" zoomScaleNormal="85" zoomScaleSheetLayoutView="80" workbookViewId="0">
      <pane xSplit="5" ySplit="6" topLeftCell="H83" activePane="bottomRight" state="frozen"/>
      <selection pane="topRight" activeCell="R26" sqref="R26"/>
      <selection pane="bottomLeft" activeCell="R26" sqref="R26"/>
      <selection pane="bottomRight" activeCell="BH99" sqref="BH99"/>
    </sheetView>
  </sheetViews>
  <sheetFormatPr defaultRowHeight="14.25" outlineLevelRow="1" outlineLevelCol="2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1.86328125" customWidth="1"/>
    <col min="7" max="7" width="13" customWidth="1"/>
    <col min="8" max="9" width="11.86328125" customWidth="1"/>
    <col min="10" max="13" width="11.86328125" hidden="1" customWidth="1" outlineLevel="1"/>
    <col min="14" max="14" width="11.59765625" customWidth="1" collapsed="1"/>
    <col min="15" max="15" width="13.73046875" customWidth="1"/>
    <col min="16" max="16" width="11.59765625" hidden="1" customWidth="1" outlineLevel="1"/>
    <col min="17" max="17" width="13.73046875" hidden="1" customWidth="1" outlineLevel="1"/>
    <col min="18" max="18" width="11.59765625" hidden="1" customWidth="1" outlineLevel="1"/>
    <col min="19" max="19" width="13.73046875" hidden="1" customWidth="1" outlineLevel="1"/>
    <col min="20" max="20" width="11.59765625" customWidth="1" collapsed="1"/>
    <col min="21" max="21" width="13.73046875" customWidth="1"/>
    <col min="22" max="22" width="11.59765625" customWidth="1"/>
    <col min="23" max="23" width="13.73046875" customWidth="1"/>
    <col min="24" max="24" width="15.265625" bestFit="1" customWidth="1"/>
    <col min="25" max="25" width="13.73046875" customWidth="1"/>
    <col min="26" max="26" width="11.59765625" hidden="1" customWidth="1" outlineLevel="1"/>
    <col min="27" max="27" width="13.73046875" hidden="1" customWidth="1" outlineLevel="1"/>
    <col min="28" max="28" width="11.59765625" hidden="1" customWidth="1" outlineLevel="1"/>
    <col min="29" max="29" width="13.73046875" hidden="1" customWidth="1" outlineLevel="1"/>
    <col min="30" max="30" width="11.59765625" hidden="1" customWidth="1" outlineLevel="1"/>
    <col min="31" max="31" width="13.73046875" hidden="1" customWidth="1" outlineLevel="1"/>
    <col min="32" max="32" width="17.1328125" hidden="1" customWidth="1" outlineLevel="2"/>
    <col min="33" max="33" width="17.86328125" hidden="1" customWidth="1" outlineLevel="2"/>
    <col min="34" max="34" width="16.86328125" hidden="1" customWidth="1" outlineLevel="2"/>
    <col min="35" max="35" width="5" hidden="1" customWidth="1" outlineLevel="1"/>
    <col min="36" max="36" width="11.59765625" hidden="1" customWidth="1" outlineLevel="1"/>
    <col min="37" max="37" width="13.73046875" hidden="1" customWidth="1" outlineLevel="1"/>
    <col min="38" max="38" width="11.59765625" hidden="1" customWidth="1" outlineLevel="1"/>
    <col min="39" max="39" width="13.73046875" hidden="1" customWidth="1" outlineLevel="1"/>
    <col min="40" max="40" width="11.59765625" hidden="1" customWidth="1" outlineLevel="1"/>
    <col min="41" max="41" width="13.73046875" hidden="1" customWidth="1" outlineLevel="1"/>
    <col min="42" max="42" width="15.86328125" hidden="1" customWidth="1" outlineLevel="2"/>
    <col min="43" max="43" width="18.1328125" hidden="1" customWidth="1" outlineLevel="2"/>
    <col min="44" max="44" width="15.86328125" hidden="1" customWidth="1" outlineLevel="2"/>
    <col min="45" max="45" width="4.86328125" hidden="1" customWidth="1" outlineLevel="1"/>
    <col min="46" max="46" width="11.59765625" hidden="1" customWidth="1" outlineLevel="1" collapsed="1"/>
    <col min="47" max="47" width="13.73046875" hidden="1" customWidth="1" outlineLevel="1"/>
    <col min="48" max="48" width="11.59765625" hidden="1" customWidth="1" outlineLevel="1"/>
    <col min="49" max="49" width="13.73046875" hidden="1" customWidth="1" outlineLevel="1"/>
    <col min="50" max="50" width="11.59765625" hidden="1" customWidth="1" outlineLevel="1"/>
    <col min="51" max="51" width="13.73046875" hidden="1" customWidth="1" outlineLevel="1"/>
    <col min="52" max="52" width="17.1328125" hidden="1" customWidth="1" outlineLevel="1"/>
    <col min="53" max="53" width="17.86328125" hidden="1" customWidth="1" outlineLevel="1"/>
    <col min="54" max="54" width="16.86328125" hidden="1" customWidth="1" outlineLevel="1"/>
    <col min="55" max="55" width="5.59765625" customWidth="1" collapsed="1"/>
    <col min="56" max="56" width="11.59765625" hidden="1" customWidth="1"/>
    <col min="57" max="57" width="13.73046875" hidden="1" customWidth="1"/>
    <col min="58" max="58" width="4.86328125" customWidth="1"/>
    <col min="59" max="59" width="15.265625" bestFit="1" customWidth="1"/>
    <col min="60" max="60" width="13.73046875" customWidth="1"/>
    <col min="61" max="61" width="15.265625" hidden="1" customWidth="1" outlineLevel="1"/>
    <col min="62" max="62" width="13.73046875" hidden="1" customWidth="1" outlineLevel="1"/>
    <col min="63" max="63" width="15.265625" hidden="1" customWidth="1" outlineLevel="1"/>
    <col min="64" max="64" width="13.73046875" hidden="1" customWidth="1" outlineLevel="1"/>
    <col min="65" max="65" width="5.3984375" hidden="1" customWidth="1" collapsed="1"/>
    <col min="66" max="66" width="10.59765625" hidden="1" customWidth="1"/>
    <col min="67" max="67" width="11.59765625" hidden="1" customWidth="1"/>
    <col min="68" max="68" width="0" hidden="1" customWidth="1"/>
    <col min="69" max="74" width="13" customWidth="1"/>
  </cols>
  <sheetData>
    <row r="1" spans="1:74" x14ac:dyDescent="0.45">
      <c r="N1" s="1330" t="s">
        <v>284</v>
      </c>
      <c r="O1" s="1330"/>
      <c r="P1" s="1330"/>
      <c r="Q1" s="1330"/>
      <c r="R1" s="1330"/>
      <c r="S1" s="1330"/>
      <c r="T1" s="708"/>
      <c r="U1" s="708"/>
      <c r="V1" s="708"/>
      <c r="W1" s="708"/>
      <c r="Z1" s="1330" t="s">
        <v>286</v>
      </c>
      <c r="AA1" s="1330"/>
      <c r="AB1" s="1330"/>
      <c r="AC1" s="1330"/>
      <c r="AD1" s="1330"/>
      <c r="AE1" s="1330"/>
      <c r="AJ1" s="1330" t="s">
        <v>287</v>
      </c>
      <c r="AK1" s="1330"/>
      <c r="AL1" s="1330"/>
      <c r="AM1" s="1330"/>
      <c r="AN1" s="1330"/>
      <c r="AO1" s="1330"/>
      <c r="AT1" s="1330" t="s">
        <v>421</v>
      </c>
      <c r="AU1" s="1330"/>
      <c r="AV1" s="1330"/>
      <c r="AW1" s="1330"/>
      <c r="AX1" s="1330"/>
      <c r="AY1" s="1330"/>
    </row>
    <row r="2" spans="1:74" ht="15.75" customHeight="1" thickBot="1" x14ac:dyDescent="0.5">
      <c r="F2" s="1273" t="str">
        <f>F4</f>
        <v>GSS LOKAL 40</v>
      </c>
      <c r="G2" s="1273"/>
      <c r="H2" s="1273" t="str">
        <f>H4</f>
        <v>GSS LOKAL 40</v>
      </c>
      <c r="I2" s="1273"/>
      <c r="J2" s="1273" t="str">
        <f>J4</f>
        <v>GSS LOKAL 40</v>
      </c>
      <c r="K2" s="1273"/>
      <c r="L2" s="1273" t="str">
        <f>L4</f>
        <v>GSS LOKAL 40</v>
      </c>
      <c r="M2" s="1273"/>
      <c r="N2" s="1273" t="str">
        <f>N4</f>
        <v>GSS LOKAL 40</v>
      </c>
      <c r="O2" s="1273"/>
      <c r="P2" s="1273" t="str">
        <f>P4</f>
        <v>GSS LOKAL 40</v>
      </c>
      <c r="Q2" s="1273"/>
      <c r="R2" s="1273" t="str">
        <f>R4</f>
        <v>GSS LOKAL 40</v>
      </c>
      <c r="S2" s="1273"/>
      <c r="T2" s="1273" t="str">
        <f>T4</f>
        <v>GSS LOKAL 40</v>
      </c>
      <c r="U2" s="1273"/>
      <c r="V2" s="1273" t="str">
        <f>V4</f>
        <v>GSS LOKAL 40</v>
      </c>
      <c r="W2" s="1273"/>
      <c r="X2" s="1273" t="str">
        <f>X4</f>
        <v>GSS LOKAL 40</v>
      </c>
      <c r="Y2" s="1273"/>
      <c r="Z2" s="1273" t="str">
        <f>Z4</f>
        <v>GSS LOKAL 40</v>
      </c>
      <c r="AA2" s="1273"/>
      <c r="AB2" s="1273" t="str">
        <f>AB4</f>
        <v>GSS LOKAL 40</v>
      </c>
      <c r="AC2" s="1273"/>
      <c r="AD2" s="1273" t="str">
        <f>AD4</f>
        <v>GSS LOKAL 40</v>
      </c>
      <c r="AE2" s="1273"/>
      <c r="AF2" s="705"/>
      <c r="AG2" s="705"/>
      <c r="AH2" s="705"/>
      <c r="AI2" s="705"/>
      <c r="AJ2" s="707" t="str">
        <f>AJ4</f>
        <v>GSS LOKAL 40</v>
      </c>
      <c r="AK2" s="707"/>
      <c r="AL2" s="707" t="str">
        <f>AL4</f>
        <v>GSS LOKAL 40</v>
      </c>
      <c r="AM2" s="707"/>
      <c r="AN2" s="707" t="str">
        <f>AN4</f>
        <v>GSS LOKAL 40</v>
      </c>
      <c r="AO2" s="707"/>
      <c r="AS2" s="705"/>
      <c r="AT2" s="707" t="str">
        <f>AT4</f>
        <v>GSS LOKAL 40</v>
      </c>
      <c r="AU2" s="707"/>
      <c r="AV2" s="707" t="str">
        <f>AV4</f>
        <v>GSS LOKAL 40</v>
      </c>
      <c r="AW2" s="707"/>
      <c r="AX2" s="707" t="str">
        <f>AX4</f>
        <v>GSS LOKAL 40</v>
      </c>
      <c r="AY2" s="707"/>
      <c r="AZ2" s="705"/>
      <c r="BA2" s="705"/>
      <c r="BB2" s="705"/>
      <c r="BD2" s="1273" t="str">
        <f>BD4</f>
        <v>GSS LOKAL 40</v>
      </c>
      <c r="BE2" s="1273"/>
      <c r="BG2" s="1273" t="str">
        <f>BG4</f>
        <v>GSS LOKAL 40</v>
      </c>
      <c r="BH2" s="1273"/>
      <c r="BI2" s="1273" t="str">
        <f t="shared" ref="BI2" si="0">BI4</f>
        <v>GSS LOKAL 40</v>
      </c>
      <c r="BJ2" s="1273"/>
      <c r="BK2" s="1273" t="str">
        <f t="shared" ref="BK2" si="1">BK4</f>
        <v>GSS LOKAL 40</v>
      </c>
      <c r="BL2" s="1273"/>
      <c r="BN2" s="1273" t="str">
        <f>BN4</f>
        <v>GSS LOKAL 40</v>
      </c>
      <c r="BO2" s="1273"/>
      <c r="BQ2" s="1273" t="str">
        <f>BQ4</f>
        <v>GSS Vietnam 40</v>
      </c>
      <c r="BR2" s="1273"/>
      <c r="BS2" s="1273" t="str">
        <f>BS4</f>
        <v>GSS Vietnam 40</v>
      </c>
      <c r="BT2" s="1273"/>
      <c r="BU2" s="1273" t="str">
        <f>BU4</f>
        <v>GSS Vietnam 40</v>
      </c>
      <c r="BV2" s="1273"/>
    </row>
    <row r="3" spans="1:74" s="4" customFormat="1" ht="3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39" t="s">
        <v>422</v>
      </c>
      <c r="I3" s="1340"/>
      <c r="J3" s="1339" t="s">
        <v>393</v>
      </c>
      <c r="K3" s="1340"/>
      <c r="L3" s="1339" t="s">
        <v>394</v>
      </c>
      <c r="M3" s="1340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406</v>
      </c>
      <c r="W3" s="1264"/>
      <c r="X3" s="1343" t="s">
        <v>423</v>
      </c>
      <c r="Y3" s="1344"/>
      <c r="Z3" s="1323" t="s">
        <v>327</v>
      </c>
      <c r="AA3" s="1324"/>
      <c r="AB3" s="1323" t="s">
        <v>424</v>
      </c>
      <c r="AC3" s="1324"/>
      <c r="AD3" s="1323" t="s">
        <v>425</v>
      </c>
      <c r="AE3" s="1324"/>
      <c r="AF3" s="756" t="s">
        <v>426</v>
      </c>
      <c r="AG3" s="757" t="s">
        <v>427</v>
      </c>
      <c r="AH3" s="758" t="s">
        <v>428</v>
      </c>
      <c r="AI3" s="706"/>
      <c r="AJ3" s="1323" t="s">
        <v>429</v>
      </c>
      <c r="AK3" s="1324"/>
      <c r="AL3" s="1323" t="s">
        <v>430</v>
      </c>
      <c r="AM3" s="1324"/>
      <c r="AN3" s="1323" t="s">
        <v>431</v>
      </c>
      <c r="AO3" s="1324"/>
      <c r="AP3" s="756" t="s">
        <v>426</v>
      </c>
      <c r="AQ3" s="757" t="s">
        <v>427</v>
      </c>
      <c r="AR3" s="758" t="s">
        <v>428</v>
      </c>
      <c r="AS3" s="706"/>
      <c r="AT3" s="1323" t="s">
        <v>432</v>
      </c>
      <c r="AU3" s="1324"/>
      <c r="AV3" s="1323" t="s">
        <v>433</v>
      </c>
      <c r="AW3" s="1324"/>
      <c r="AX3" s="1323" t="s">
        <v>434</v>
      </c>
      <c r="AY3" s="1324"/>
      <c r="AZ3" s="756" t="s">
        <v>426</v>
      </c>
      <c r="BA3" s="757" t="s">
        <v>427</v>
      </c>
      <c r="BB3" s="923" t="s">
        <v>428</v>
      </c>
      <c r="BD3" s="1323" t="s">
        <v>435</v>
      </c>
      <c r="BE3" s="1324"/>
      <c r="BG3" s="1343" t="s">
        <v>436</v>
      </c>
      <c r="BH3" s="1344"/>
      <c r="BI3" s="1343" t="s">
        <v>437</v>
      </c>
      <c r="BJ3" s="1344"/>
      <c r="BK3" s="1343" t="s">
        <v>438</v>
      </c>
      <c r="BL3" s="1344"/>
      <c r="BN3" s="1323" t="s">
        <v>439</v>
      </c>
      <c r="BO3" s="1324"/>
      <c r="BQ3" s="1341" t="s">
        <v>440</v>
      </c>
      <c r="BR3" s="1342"/>
      <c r="BS3" s="1341" t="s">
        <v>441</v>
      </c>
      <c r="BT3" s="1342"/>
      <c r="BU3" s="1341" t="s">
        <v>442</v>
      </c>
      <c r="BV3" s="1342"/>
    </row>
    <row r="4" spans="1:74" s="4" customFormat="1" ht="22.5" customHeight="1" thickTop="1" x14ac:dyDescent="0.45">
      <c r="A4" s="561"/>
      <c r="B4" s="2"/>
      <c r="C4" s="3"/>
      <c r="D4" s="6"/>
      <c r="E4" s="245"/>
      <c r="F4" s="1305" t="s">
        <v>2</v>
      </c>
      <c r="G4" s="1306"/>
      <c r="H4" s="1305" t="s">
        <v>2</v>
      </c>
      <c r="I4" s="1306"/>
      <c r="J4" s="1305" t="s">
        <v>2</v>
      </c>
      <c r="K4" s="1306"/>
      <c r="L4" s="1305" t="s">
        <v>2</v>
      </c>
      <c r="M4" s="1306"/>
      <c r="N4" s="1305" t="s">
        <v>2</v>
      </c>
      <c r="O4" s="1306"/>
      <c r="P4" s="1305" t="s">
        <v>2</v>
      </c>
      <c r="Q4" s="1306"/>
      <c r="R4" s="1305" t="s">
        <v>2</v>
      </c>
      <c r="S4" s="1306"/>
      <c r="T4" s="1305" t="s">
        <v>2</v>
      </c>
      <c r="U4" s="1306"/>
      <c r="V4" s="1305" t="s">
        <v>2</v>
      </c>
      <c r="W4" s="1306"/>
      <c r="X4" s="1345" t="s">
        <v>2</v>
      </c>
      <c r="Y4" s="1346"/>
      <c r="Z4" s="1345" t="s">
        <v>2</v>
      </c>
      <c r="AA4" s="1346"/>
      <c r="AB4" s="1345" t="s">
        <v>2</v>
      </c>
      <c r="AC4" s="1346"/>
      <c r="AD4" s="1345" t="s">
        <v>2</v>
      </c>
      <c r="AE4" s="1346"/>
      <c r="AF4" s="759"/>
      <c r="AG4" s="760"/>
      <c r="AH4" s="761"/>
      <c r="AI4" s="687"/>
      <c r="AJ4" s="1345" t="s">
        <v>2</v>
      </c>
      <c r="AK4" s="1346"/>
      <c r="AL4" s="1345" t="s">
        <v>2</v>
      </c>
      <c r="AM4" s="1346"/>
      <c r="AN4" s="1345" t="s">
        <v>2</v>
      </c>
      <c r="AO4" s="1346"/>
      <c r="AP4" s="759"/>
      <c r="AQ4" s="760"/>
      <c r="AR4" s="761"/>
      <c r="AS4" s="687"/>
      <c r="AT4" s="1345" t="s">
        <v>2</v>
      </c>
      <c r="AU4" s="1346"/>
      <c r="AV4" s="1345" t="s">
        <v>2</v>
      </c>
      <c r="AW4" s="1346"/>
      <c r="AX4" s="1345" t="s">
        <v>2</v>
      </c>
      <c r="AY4" s="1346"/>
      <c r="AZ4" s="759"/>
      <c r="BA4" s="760"/>
      <c r="BB4" s="760"/>
      <c r="BD4" s="1345" t="s">
        <v>2</v>
      </c>
      <c r="BE4" s="1346"/>
      <c r="BG4" s="1345" t="s">
        <v>2</v>
      </c>
      <c r="BH4" s="1346"/>
      <c r="BI4" s="1345" t="s">
        <v>2</v>
      </c>
      <c r="BJ4" s="1346"/>
      <c r="BK4" s="1345" t="s">
        <v>2</v>
      </c>
      <c r="BL4" s="1346"/>
      <c r="BN4" s="1345" t="s">
        <v>2</v>
      </c>
      <c r="BO4" s="1346"/>
      <c r="BQ4" s="1349" t="s">
        <v>443</v>
      </c>
      <c r="BR4" s="1350"/>
      <c r="BS4" s="1349" t="s">
        <v>443</v>
      </c>
      <c r="BT4" s="1350"/>
      <c r="BU4" s="1349" t="s">
        <v>443</v>
      </c>
      <c r="BV4" s="1350"/>
    </row>
    <row r="5" spans="1:74" s="4" customFormat="1" ht="14.65" thickBot="1" x14ac:dyDescent="0.5">
      <c r="A5" s="561"/>
      <c r="B5" s="7"/>
      <c r="E5" s="245"/>
      <c r="F5" s="1307"/>
      <c r="G5" s="1308"/>
      <c r="H5" s="1307"/>
      <c r="I5" s="1308"/>
      <c r="J5" s="1307"/>
      <c r="K5" s="1308"/>
      <c r="L5" s="1307"/>
      <c r="M5" s="1308"/>
      <c r="N5" s="1307"/>
      <c r="O5" s="1308"/>
      <c r="P5" s="1307"/>
      <c r="Q5" s="1308"/>
      <c r="R5" s="1307"/>
      <c r="S5" s="1308"/>
      <c r="T5" s="1307"/>
      <c r="U5" s="1308"/>
      <c r="V5" s="1307"/>
      <c r="W5" s="1308"/>
      <c r="X5" s="1347"/>
      <c r="Y5" s="1348"/>
      <c r="Z5" s="1347"/>
      <c r="AA5" s="1348"/>
      <c r="AB5" s="1347"/>
      <c r="AC5" s="1348"/>
      <c r="AD5" s="1347"/>
      <c r="AE5" s="1348"/>
      <c r="AF5" s="762"/>
      <c r="AG5" s="763"/>
      <c r="AH5" s="764"/>
      <c r="AI5" s="688"/>
      <c r="AJ5" s="1347"/>
      <c r="AK5" s="1348"/>
      <c r="AL5" s="1347"/>
      <c r="AM5" s="1348"/>
      <c r="AN5" s="1347"/>
      <c r="AO5" s="1348"/>
      <c r="AP5" s="762"/>
      <c r="AQ5" s="763"/>
      <c r="AR5" s="764"/>
      <c r="AS5" s="688"/>
      <c r="AT5" s="1347"/>
      <c r="AU5" s="1348"/>
      <c r="AV5" s="1347"/>
      <c r="AW5" s="1348"/>
      <c r="AX5" s="1347"/>
      <c r="AY5" s="1348"/>
      <c r="AZ5" s="762"/>
      <c r="BA5" s="763"/>
      <c r="BB5" s="763"/>
      <c r="BD5" s="1347"/>
      <c r="BE5" s="1348"/>
      <c r="BG5" s="1347"/>
      <c r="BH5" s="1348"/>
      <c r="BI5" s="1347"/>
      <c r="BJ5" s="1348"/>
      <c r="BK5" s="1347"/>
      <c r="BL5" s="1348"/>
      <c r="BN5" s="1347"/>
      <c r="BO5" s="1348"/>
      <c r="BQ5" s="1351"/>
      <c r="BR5" s="1352"/>
      <c r="BS5" s="1351"/>
      <c r="BT5" s="1352"/>
      <c r="BU5" s="1351"/>
      <c r="BV5" s="1352"/>
    </row>
    <row r="6" spans="1:74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65"/>
      <c r="G6" s="1266"/>
      <c r="H6" s="1265"/>
      <c r="I6" s="1266"/>
      <c r="J6" s="1265"/>
      <c r="K6" s="1266"/>
      <c r="L6" s="1265"/>
      <c r="M6" s="1266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765"/>
      <c r="AG6" s="765"/>
      <c r="AH6" s="766"/>
      <c r="AI6" s="623"/>
      <c r="AJ6" s="1234"/>
      <c r="AK6" s="1206"/>
      <c r="AL6" s="1234"/>
      <c r="AM6" s="1206"/>
      <c r="AN6" s="1234"/>
      <c r="AO6" s="1206"/>
      <c r="AP6" s="765"/>
      <c r="AQ6" s="765"/>
      <c r="AR6" s="766"/>
      <c r="AS6" s="623"/>
      <c r="AT6" s="1234"/>
      <c r="AU6" s="1206"/>
      <c r="AV6" s="1234"/>
      <c r="AW6" s="1206"/>
      <c r="AX6" s="1234"/>
      <c r="AY6" s="1206"/>
      <c r="AZ6" s="765"/>
      <c r="BA6" s="765"/>
      <c r="BB6" s="765"/>
      <c r="BD6" s="1234"/>
      <c r="BE6" s="1206"/>
      <c r="BG6" s="1234"/>
      <c r="BH6" s="1206"/>
      <c r="BI6" s="1234"/>
      <c r="BJ6" s="1206"/>
      <c r="BK6" s="1234"/>
      <c r="BL6" s="1206"/>
      <c r="BN6" s="1234"/>
      <c r="BO6" s="1206"/>
      <c r="BQ6" s="1234"/>
      <c r="BR6" s="1206"/>
      <c r="BS6" s="1234"/>
      <c r="BT6" s="1206"/>
      <c r="BU6" s="1234"/>
      <c r="BV6" s="1206"/>
    </row>
    <row r="7" spans="1:74" s="7" customFormat="1" ht="36.75" customHeight="1" x14ac:dyDescent="0.45">
      <c r="A7" s="561"/>
      <c r="B7" s="1203"/>
      <c r="C7" s="10" t="s">
        <v>11</v>
      </c>
      <c r="D7" s="11"/>
      <c r="E7" s="247"/>
      <c r="F7" s="1200">
        <v>100493</v>
      </c>
      <c r="G7" s="1201"/>
      <c r="H7" s="1200">
        <v>100493</v>
      </c>
      <c r="I7" s="1201"/>
      <c r="J7" s="1200">
        <v>100493</v>
      </c>
      <c r="K7" s="1201"/>
      <c r="L7" s="1200">
        <v>100493</v>
      </c>
      <c r="M7" s="1201"/>
      <c r="N7" s="1267">
        <v>100493</v>
      </c>
      <c r="O7" s="1268"/>
      <c r="P7" s="1267">
        <v>100493</v>
      </c>
      <c r="Q7" s="1268"/>
      <c r="R7" s="1267">
        <v>100493</v>
      </c>
      <c r="S7" s="1268"/>
      <c r="T7" s="1267">
        <v>100493</v>
      </c>
      <c r="U7" s="1268"/>
      <c r="V7" s="1267">
        <v>100493</v>
      </c>
      <c r="W7" s="1268"/>
      <c r="X7" s="1267">
        <v>100493</v>
      </c>
      <c r="Y7" s="1268"/>
      <c r="Z7" s="1267">
        <v>100493</v>
      </c>
      <c r="AA7" s="1268"/>
      <c r="AB7" s="1267">
        <v>100493</v>
      </c>
      <c r="AC7" s="1268"/>
      <c r="AD7" s="1267">
        <v>100493</v>
      </c>
      <c r="AE7" s="1268"/>
      <c r="AF7" s="767"/>
      <c r="AG7" s="768"/>
      <c r="AH7" s="769"/>
      <c r="AI7" s="625"/>
      <c r="AJ7" s="1267">
        <v>100493</v>
      </c>
      <c r="AK7" s="1268"/>
      <c r="AL7" s="1267">
        <v>100493</v>
      </c>
      <c r="AM7" s="1268"/>
      <c r="AN7" s="1267">
        <v>100493</v>
      </c>
      <c r="AO7" s="1268"/>
      <c r="AP7" s="767"/>
      <c r="AQ7" s="768"/>
      <c r="AR7" s="769"/>
      <c r="AS7" s="625"/>
      <c r="AT7" s="1267">
        <v>100493</v>
      </c>
      <c r="AU7" s="1268"/>
      <c r="AV7" s="1267">
        <v>100493</v>
      </c>
      <c r="AW7" s="1268"/>
      <c r="AX7" s="1267">
        <v>100493</v>
      </c>
      <c r="AY7" s="1268"/>
      <c r="AZ7" s="767"/>
      <c r="BA7" s="768"/>
      <c r="BB7" s="768"/>
      <c r="BD7" s="1267">
        <v>100493</v>
      </c>
      <c r="BE7" s="1268"/>
      <c r="BG7" s="1267">
        <v>100493</v>
      </c>
      <c r="BH7" s="1268"/>
      <c r="BI7" s="1267">
        <v>100493</v>
      </c>
      <c r="BJ7" s="1268"/>
      <c r="BK7" s="1267">
        <v>100493</v>
      </c>
      <c r="BL7" s="1268"/>
      <c r="BN7" s="1267">
        <v>100493</v>
      </c>
      <c r="BO7" s="1268"/>
      <c r="BQ7" s="1267">
        <v>100493</v>
      </c>
      <c r="BR7" s="1268"/>
      <c r="BS7" s="1267">
        <v>100493</v>
      </c>
      <c r="BT7" s="1268"/>
      <c r="BU7" s="1267">
        <v>100493</v>
      </c>
      <c r="BV7" s="1268"/>
    </row>
    <row r="8" spans="1:74" s="7" customFormat="1" ht="15" customHeight="1" x14ac:dyDescent="0.45">
      <c r="A8" s="561"/>
      <c r="B8" s="1203"/>
      <c r="C8" s="12" t="s">
        <v>12</v>
      </c>
      <c r="D8" s="11"/>
      <c r="E8" s="11"/>
      <c r="F8" s="1232">
        <f>G67</f>
        <v>5.6</v>
      </c>
      <c r="G8" s="1233"/>
      <c r="H8" s="1232">
        <f>I67</f>
        <v>5.6</v>
      </c>
      <c r="I8" s="1233"/>
      <c r="J8" s="1232">
        <f>K67</f>
        <v>5.6</v>
      </c>
      <c r="K8" s="1233"/>
      <c r="L8" s="1232">
        <f>M67</f>
        <v>5.6</v>
      </c>
      <c r="M8" s="1233"/>
      <c r="N8" s="1269">
        <f>O67</f>
        <v>6.0499173553719015</v>
      </c>
      <c r="O8" s="1270"/>
      <c r="P8" s="1269">
        <f>Q67</f>
        <v>6.0499173553719015</v>
      </c>
      <c r="Q8" s="1270"/>
      <c r="R8" s="1269">
        <f>S67</f>
        <v>6.0499173553719015</v>
      </c>
      <c r="S8" s="1270"/>
      <c r="T8" s="1269">
        <f>U67</f>
        <v>6.0499173553719015</v>
      </c>
      <c r="U8" s="1270"/>
      <c r="V8" s="1269">
        <f>W67</f>
        <v>6.0499173553719015</v>
      </c>
      <c r="W8" s="1270"/>
      <c r="X8" s="1269">
        <f>Y67</f>
        <v>6.8998512499999993</v>
      </c>
      <c r="Y8" s="1270"/>
      <c r="Z8" s="1269">
        <f>AA67</f>
        <v>6.2</v>
      </c>
      <c r="AA8" s="1270"/>
      <c r="AB8" s="1269">
        <f>AC67</f>
        <v>6.2</v>
      </c>
      <c r="AC8" s="1270"/>
      <c r="AD8" s="1269">
        <f>AE67</f>
        <v>6.2</v>
      </c>
      <c r="AE8" s="1270"/>
      <c r="AF8" s="770"/>
      <c r="AG8" s="771"/>
      <c r="AH8" s="772"/>
      <c r="AI8" s="626"/>
      <c r="AJ8" s="1269">
        <f>AK67</f>
        <v>6.2</v>
      </c>
      <c r="AK8" s="1270"/>
      <c r="AL8" s="1269">
        <f>AM67</f>
        <v>6.2</v>
      </c>
      <c r="AM8" s="1270"/>
      <c r="AN8" s="1269">
        <f>AO67</f>
        <v>6.2</v>
      </c>
      <c r="AO8" s="1270"/>
      <c r="AP8" s="770"/>
      <c r="AQ8" s="771"/>
      <c r="AR8" s="772"/>
      <c r="AS8" s="626"/>
      <c r="AT8" s="1269">
        <f>AU67</f>
        <v>6.2</v>
      </c>
      <c r="AU8" s="1270"/>
      <c r="AV8" s="1269">
        <f>AW67</f>
        <v>6.2</v>
      </c>
      <c r="AW8" s="1270"/>
      <c r="AX8" s="1269">
        <f>AY67</f>
        <v>6.2</v>
      </c>
      <c r="AY8" s="1270"/>
      <c r="AZ8" s="770"/>
      <c r="BA8" s="771"/>
      <c r="BB8" s="771"/>
      <c r="BD8" s="1269">
        <f>BE67</f>
        <v>6.2</v>
      </c>
      <c r="BE8" s="1270"/>
      <c r="BG8" s="1269">
        <f>BH67</f>
        <v>6.8998512500000002</v>
      </c>
      <c r="BH8" s="1270"/>
      <c r="BI8" s="1269">
        <f t="shared" ref="BI8" si="2">BJ67</f>
        <v>6.8998512500000002</v>
      </c>
      <c r="BJ8" s="1270"/>
      <c r="BK8" s="1269">
        <f t="shared" ref="BK8" si="3">BL67</f>
        <v>6.8998512500000002</v>
      </c>
      <c r="BL8" s="1270"/>
      <c r="BN8" s="1269">
        <f>BO67</f>
        <v>6.9001699999999992</v>
      </c>
      <c r="BO8" s="1270"/>
      <c r="BQ8" s="1269">
        <f>BR67</f>
        <v>5.6019549999999994</v>
      </c>
      <c r="BR8" s="1270"/>
      <c r="BS8" s="1269">
        <f>BT67</f>
        <v>6.1018699999999999</v>
      </c>
      <c r="BT8" s="1270"/>
      <c r="BU8" s="1269">
        <f>BV67</f>
        <v>6.7018699999999995</v>
      </c>
      <c r="BV8" s="1270"/>
    </row>
    <row r="9" spans="1:74" s="7" customFormat="1" ht="39" customHeight="1" x14ac:dyDescent="0.45">
      <c r="A9" s="561"/>
      <c r="B9" s="1203"/>
      <c r="C9" s="13" t="s">
        <v>14</v>
      </c>
      <c r="D9" s="14"/>
      <c r="E9" s="14"/>
      <c r="F9" s="1190" t="str">
        <f>CONCATENATE("TP $",TEXT(G64,"#,##0.00"),"/ctn")</f>
        <v>TP $0.50/ctn</v>
      </c>
      <c r="G9" s="1191"/>
      <c r="H9" s="1190" t="str">
        <f>CONCATENATE("TP $",TEXT(I64,"#,##0.00"),"/ctn")</f>
        <v>TP $0.40/ctn</v>
      </c>
      <c r="I9" s="1191"/>
      <c r="J9" s="1190" t="str">
        <f>CONCATENATE("TP $",TEXT(K64,"#,##0.00"),"/ctn")</f>
        <v>TP $0.40/ctn</v>
      </c>
      <c r="K9" s="1191"/>
      <c r="L9" s="1190" t="str">
        <f>CONCATENATE("TP $",TEXT(M64,"#,##0.00"),"/ctn")</f>
        <v>TP $0.40/ctn</v>
      </c>
      <c r="M9" s="1191"/>
      <c r="N9" s="1271" t="str">
        <f>CONCATENATE("TP $",TEXT(O64,"#,##0.00"),"/ctn")</f>
        <v>TP $0.80/ctn</v>
      </c>
      <c r="O9" s="1272"/>
      <c r="P9" s="1271" t="str">
        <f>CONCATENATE("TP $",TEXT(Q64,"#,##0.00"),"/ctn")</f>
        <v>TP $0.80/ctn</v>
      </c>
      <c r="Q9" s="1272"/>
      <c r="R9" s="1271" t="str">
        <f>CONCATENATE("TP $",TEXT(S64,"#,##0.00"),"/ctn")</f>
        <v>TP $0.80/ctn</v>
      </c>
      <c r="S9" s="1272"/>
      <c r="T9" s="1271" t="str">
        <f>CONCATENATE("TP $",TEXT(U64,"#,##0.00"),"/ctn")</f>
        <v>TP $0.80/ctn</v>
      </c>
      <c r="U9" s="1272"/>
      <c r="V9" s="1271" t="str">
        <f>CONCATENATE("TP $",TEXT(W64,"#,##0.00"),"/ctn")</f>
        <v>TP $0.80/ctn</v>
      </c>
      <c r="W9" s="1272"/>
      <c r="X9" s="1271" t="str">
        <f>CONCATENATE("TP $",TEXT(Y64,"#,##0.00"),"/ctn")</f>
        <v>TP $1.05/ctn</v>
      </c>
      <c r="Y9" s="1272"/>
      <c r="Z9" s="1271" t="str">
        <f>CONCATENATE("TP $",TEXT(AA64,"#,##0.00"),"/ctn")</f>
        <v>TP $0.70/ctn</v>
      </c>
      <c r="AA9" s="1272"/>
      <c r="AB9" s="1271" t="str">
        <f>CONCATENATE("TP $",TEXT(AC64,"#,##0.00"),"/ctn")</f>
        <v>TP $0.70/ctn</v>
      </c>
      <c r="AC9" s="1272"/>
      <c r="AD9" s="1271" t="str">
        <f>CONCATENATE("TP $",TEXT(AE64,"#,##0.00"),"/ctn")</f>
        <v>TP $0.70/ctn</v>
      </c>
      <c r="AE9" s="1272"/>
      <c r="AF9" s="773"/>
      <c r="AG9" s="774"/>
      <c r="AH9" s="775"/>
      <c r="AI9" s="627"/>
      <c r="AJ9" s="1271" t="str">
        <f>CONCATENATE("TP $",TEXT(AK64,"#,##0.00"),"/ctn")</f>
        <v>TP $0.70/ctn</v>
      </c>
      <c r="AK9" s="1272"/>
      <c r="AL9" s="1271" t="str">
        <f>CONCATENATE("TP $",TEXT(AM64,"#,##0.00"),"/ctn")</f>
        <v>TP $0.70/ctn</v>
      </c>
      <c r="AM9" s="1272"/>
      <c r="AN9" s="1271" t="str">
        <f>CONCATENATE("TP $",TEXT(AO64,"#,##0.00"),"/ctn")</f>
        <v>TP $0.70/ctn</v>
      </c>
      <c r="AO9" s="1272"/>
      <c r="AP9" s="773"/>
      <c r="AQ9" s="774"/>
      <c r="AR9" s="775"/>
      <c r="AS9" s="627"/>
      <c r="AT9" s="1271" t="str">
        <f>CONCATENATE("TP $",TEXT(AU64,"#,##0.00"),"/ctn")</f>
        <v>TP $0.70/ctn</v>
      </c>
      <c r="AU9" s="1272"/>
      <c r="AV9" s="1271" t="str">
        <f>CONCATENATE("TP $",TEXT(AW64,"#,##0.00"),"/ctn")</f>
        <v>TP $0.70/ctn</v>
      </c>
      <c r="AW9" s="1272"/>
      <c r="AX9" s="1271" t="str">
        <f>CONCATENATE("TP $",TEXT(AY64,"#,##0.00"),"/ctn")</f>
        <v>TP $0.70/ctn</v>
      </c>
      <c r="AY9" s="1272"/>
      <c r="AZ9" s="773"/>
      <c r="BA9" s="774"/>
      <c r="BB9" s="774"/>
      <c r="BD9" s="1271" t="str">
        <f>CONCATENATE("TP $",TEXT(BE64,"#,##0.00"),"/ctn")</f>
        <v>TP $0.70/ctn</v>
      </c>
      <c r="BE9" s="1272"/>
      <c r="BG9" s="1271" t="str">
        <f>CONCATENATE("TP $",TEXT(BH64,"#,##0.00"),"/ctn")</f>
        <v>TP $1.05/ctn</v>
      </c>
      <c r="BH9" s="1272"/>
      <c r="BI9" s="1271" t="str">
        <f t="shared" ref="BI9" si="4">CONCATENATE("TP $",TEXT(BJ64,"#,##0.00"),"/ctn")</f>
        <v>TP $1.05/ctn</v>
      </c>
      <c r="BJ9" s="1272"/>
      <c r="BK9" s="1271" t="str">
        <f t="shared" ref="BK9" si="5">CONCATENATE("TP $",TEXT(BL64,"#,##0.00"),"/ctn")</f>
        <v>TP $1.05/ctn</v>
      </c>
      <c r="BL9" s="1272"/>
      <c r="BN9" s="1271" t="str">
        <f>CONCATENATE("TP $",TEXT(BO64,"#,##0.00"),"/ctn")</f>
        <v>TP $0.30/ctn</v>
      </c>
      <c r="BO9" s="1272"/>
      <c r="BQ9" s="1271" t="str">
        <f>CONCATENATE("TP $",TEXT(BR64,"#,##0.00"),"/ctn")</f>
        <v>TP $1.60/ctn</v>
      </c>
      <c r="BR9" s="1272"/>
      <c r="BS9" s="1271" t="str">
        <f>CONCATENATE("TP $",TEXT(BT64,"#,##0.00"),"/ctn")</f>
        <v>TP $1.80/ctn</v>
      </c>
      <c r="BT9" s="1272"/>
      <c r="BU9" s="1271" t="str">
        <f>CONCATENATE("TP $",TEXT(BV64,"#,##0.00"),"/ctn")</f>
        <v>TP $1.80/ctn</v>
      </c>
      <c r="BV9" s="1272"/>
    </row>
    <row r="10" spans="1:74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>RIGHT(J2,2)</f>
        <v>40</v>
      </c>
      <c r="K10" s="253" t="str">
        <f>+J10</f>
        <v>40</v>
      </c>
      <c r="L10" s="252" t="str">
        <f>RIGHT(L2,2)</f>
        <v>40</v>
      </c>
      <c r="M10" s="253" t="str">
        <f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776"/>
      <c r="AG10" s="728"/>
      <c r="AH10" s="777"/>
      <c r="AI10" s="628"/>
      <c r="AJ10" s="348" t="str">
        <f>RIGHT(AJ2,2)</f>
        <v>40</v>
      </c>
      <c r="AK10" s="349" t="str">
        <f>+AJ10</f>
        <v>40</v>
      </c>
      <c r="AL10" s="348" t="str">
        <f>RIGHT(AL2,2)</f>
        <v>40</v>
      </c>
      <c r="AM10" s="349" t="str">
        <f>+AL10</f>
        <v>40</v>
      </c>
      <c r="AN10" s="348" t="str">
        <f>RIGHT(AN2,2)</f>
        <v>40</v>
      </c>
      <c r="AO10" s="349" t="str">
        <f>+AN10</f>
        <v>40</v>
      </c>
      <c r="AP10" s="776"/>
      <c r="AQ10" s="728"/>
      <c r="AR10" s="777"/>
      <c r="AS10" s="628"/>
      <c r="AT10" s="348" t="str">
        <f>RIGHT(AT2,2)</f>
        <v>40</v>
      </c>
      <c r="AU10" s="349" t="str">
        <f>+AT10</f>
        <v>40</v>
      </c>
      <c r="AV10" s="348" t="str">
        <f>RIGHT(AV2,2)</f>
        <v>40</v>
      </c>
      <c r="AW10" s="349" t="str">
        <f>+AV10</f>
        <v>40</v>
      </c>
      <c r="AX10" s="348" t="str">
        <f>RIGHT(AX2,2)</f>
        <v>40</v>
      </c>
      <c r="AY10" s="349" t="str">
        <f>+AX10</f>
        <v>40</v>
      </c>
      <c r="AZ10" s="776"/>
      <c r="BA10" s="728"/>
      <c r="BB10" s="728"/>
      <c r="BD10" s="348" t="str">
        <f>RIGHT(BD2,2)</f>
        <v>40</v>
      </c>
      <c r="BE10" s="349" t="str">
        <f>+BD10</f>
        <v>40</v>
      </c>
      <c r="BG10" s="348" t="str">
        <f>RIGHT(BG2,2)</f>
        <v>40</v>
      </c>
      <c r="BH10" s="349" t="str">
        <f>+BG10</f>
        <v>40</v>
      </c>
      <c r="BI10" s="348" t="str">
        <f t="shared" ref="BI10" si="6">RIGHT(BI2,2)</f>
        <v>40</v>
      </c>
      <c r="BJ10" s="349" t="str">
        <f t="shared" ref="BJ10" si="7">+BI10</f>
        <v>40</v>
      </c>
      <c r="BK10" s="348" t="str">
        <f t="shared" ref="BK10" si="8">RIGHT(BK2,2)</f>
        <v>40</v>
      </c>
      <c r="BL10" s="349" t="str">
        <f t="shared" ref="BL10" si="9">+BK10</f>
        <v>40</v>
      </c>
      <c r="BN10" s="348" t="str">
        <f>RIGHT(BN2,2)</f>
        <v>40</v>
      </c>
      <c r="BO10" s="349" t="str">
        <f>+BN10</f>
        <v>40</v>
      </c>
      <c r="BQ10" s="348" t="str">
        <f>RIGHT(BQ2,2)</f>
        <v>40</v>
      </c>
      <c r="BR10" s="349" t="str">
        <f>+BQ10</f>
        <v>40</v>
      </c>
      <c r="BS10" s="348" t="str">
        <f>RIGHT(BS2,2)</f>
        <v>40</v>
      </c>
      <c r="BT10" s="349" t="str">
        <f>+BS10</f>
        <v>40</v>
      </c>
      <c r="BU10" s="348" t="str">
        <f>RIGHT(BU2,2)</f>
        <v>40</v>
      </c>
      <c r="BV10" s="349" t="str">
        <f>+BU10</f>
        <v>40</v>
      </c>
    </row>
    <row r="11" spans="1:74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778"/>
      <c r="AG11" s="779"/>
      <c r="AH11" s="780"/>
      <c r="AI11" s="689"/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778"/>
      <c r="AQ11" s="779"/>
      <c r="AR11" s="780"/>
      <c r="AS11" s="689"/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778"/>
      <c r="BA11" s="779"/>
      <c r="BB11" s="779"/>
      <c r="BD11" s="21" t="s">
        <v>25</v>
      </c>
      <c r="BE11" s="22" t="s">
        <v>26</v>
      </c>
      <c r="BG11" s="21" t="s">
        <v>25</v>
      </c>
      <c r="BH11" s="22" t="s">
        <v>26</v>
      </c>
      <c r="BI11" s="21" t="s">
        <v>25</v>
      </c>
      <c r="BJ11" s="22" t="s">
        <v>26</v>
      </c>
      <c r="BK11" s="21" t="s">
        <v>25</v>
      </c>
      <c r="BL11" s="22" t="s">
        <v>26</v>
      </c>
      <c r="BN11" s="21" t="s">
        <v>25</v>
      </c>
      <c r="BO11" s="22" t="s">
        <v>26</v>
      </c>
      <c r="BQ11" s="21" t="s">
        <v>25</v>
      </c>
      <c r="BR11" s="22" t="s">
        <v>26</v>
      </c>
      <c r="BS11" s="21" t="s">
        <v>25</v>
      </c>
      <c r="BT11" s="22" t="s">
        <v>26</v>
      </c>
      <c r="BU11" s="21" t="s">
        <v>25</v>
      </c>
      <c r="BV11" s="22" t="s">
        <v>26</v>
      </c>
    </row>
    <row r="12" spans="1:74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745"/>
      <c r="AG12" s="725"/>
      <c r="AH12" s="746"/>
      <c r="AI12" s="630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745"/>
      <c r="AQ12" s="725"/>
      <c r="AR12" s="746"/>
      <c r="AS12" s="630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745"/>
      <c r="BA12" s="725"/>
      <c r="BB12" s="725"/>
      <c r="BD12" s="350">
        <v>4068.66</v>
      </c>
      <c r="BE12" s="351"/>
      <c r="BG12" s="350">
        <v>4068.66</v>
      </c>
      <c r="BH12" s="351"/>
      <c r="BI12" s="350">
        <v>4068.66</v>
      </c>
      <c r="BJ12" s="351"/>
      <c r="BK12" s="350">
        <v>4068.66</v>
      </c>
      <c r="BL12" s="351"/>
      <c r="BN12" s="350">
        <v>4068.66</v>
      </c>
      <c r="BO12" s="351"/>
      <c r="BQ12" s="350">
        <v>22800</v>
      </c>
      <c r="BR12" s="351"/>
      <c r="BS12" s="350">
        <v>22800</v>
      </c>
      <c r="BT12" s="351"/>
      <c r="BU12" s="350">
        <v>22800</v>
      </c>
      <c r="BV12" s="351"/>
    </row>
    <row r="13" spans="1:74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751"/>
      <c r="AG13" s="752"/>
      <c r="AH13" s="753"/>
      <c r="AI13" s="631"/>
      <c r="AJ13" s="352"/>
      <c r="AK13" s="353"/>
      <c r="AL13" s="352"/>
      <c r="AM13" s="353"/>
      <c r="AN13" s="352"/>
      <c r="AO13" s="353"/>
      <c r="AP13" s="751"/>
      <c r="AQ13" s="752"/>
      <c r="AR13" s="753"/>
      <c r="AS13" s="631"/>
      <c r="AT13" s="352"/>
      <c r="AU13" s="353"/>
      <c r="AV13" s="352"/>
      <c r="AW13" s="353"/>
      <c r="AX13" s="352"/>
      <c r="AY13" s="353"/>
      <c r="AZ13" s="751"/>
      <c r="BA13" s="752"/>
      <c r="BB13" s="752"/>
      <c r="BD13" s="352"/>
      <c r="BE13" s="353"/>
      <c r="BG13" s="352"/>
      <c r="BH13" s="353"/>
      <c r="BI13" s="352"/>
      <c r="BJ13" s="353"/>
      <c r="BK13" s="352"/>
      <c r="BL13" s="353"/>
      <c r="BN13" s="352"/>
      <c r="BO13" s="353"/>
      <c r="BQ13" s="352"/>
      <c r="BR13" s="353"/>
      <c r="BS13" s="352"/>
      <c r="BT13" s="353"/>
      <c r="BU13" s="352"/>
      <c r="BV13" s="353"/>
    </row>
    <row r="14" spans="1:74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745"/>
      <c r="AG14" s="725"/>
      <c r="AH14" s="746"/>
      <c r="AI14" s="632"/>
      <c r="AJ14" s="354"/>
      <c r="AK14" s="355"/>
      <c r="AL14" s="354"/>
      <c r="AM14" s="355"/>
      <c r="AN14" s="354"/>
      <c r="AO14" s="355"/>
      <c r="AP14" s="745"/>
      <c r="AQ14" s="725"/>
      <c r="AR14" s="746"/>
      <c r="AS14" s="632"/>
      <c r="AT14" s="354"/>
      <c r="AU14" s="355"/>
      <c r="AV14" s="354"/>
      <c r="AW14" s="355"/>
      <c r="AX14" s="354"/>
      <c r="AY14" s="355"/>
      <c r="AZ14" s="745"/>
      <c r="BA14" s="725"/>
      <c r="BB14" s="725"/>
      <c r="BD14" s="354"/>
      <c r="BE14" s="355"/>
      <c r="BG14" s="354"/>
      <c r="BH14" s="355"/>
      <c r="BI14" s="354"/>
      <c r="BJ14" s="355"/>
      <c r="BK14" s="354"/>
      <c r="BL14" s="355"/>
      <c r="BN14" s="354"/>
      <c r="BO14" s="355"/>
      <c r="BQ14" s="354"/>
      <c r="BR14" s="355"/>
      <c r="BS14" s="354"/>
      <c r="BT14" s="355"/>
      <c r="BU14" s="354"/>
      <c r="BV14" s="355"/>
    </row>
    <row r="15" spans="1:74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>+J15/J12</f>
        <v>0.24578116628079025</v>
      </c>
      <c r="L15" s="31">
        <v>1000</v>
      </c>
      <c r="M15" s="32">
        <f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1100</v>
      </c>
      <c r="Y15" s="32">
        <f>+X15/X12</f>
        <v>0.27035928290886929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781"/>
      <c r="AG15" s="726"/>
      <c r="AH15" s="782"/>
      <c r="AI15" s="630"/>
      <c r="AJ15" s="31">
        <v>1000</v>
      </c>
      <c r="AK15" s="32">
        <f>+AJ15/AJ12</f>
        <v>0.24578116628079025</v>
      </c>
      <c r="AL15" s="31">
        <v>1000</v>
      </c>
      <c r="AM15" s="32">
        <f>+AL15/AL12</f>
        <v>0.24578116628079025</v>
      </c>
      <c r="AN15" s="31">
        <v>1000</v>
      </c>
      <c r="AO15" s="32">
        <f>+AN15/AN12</f>
        <v>0.24578116628079025</v>
      </c>
      <c r="AP15" s="781"/>
      <c r="AQ15" s="726"/>
      <c r="AR15" s="782"/>
      <c r="AS15" s="630"/>
      <c r="AT15" s="31">
        <v>1000</v>
      </c>
      <c r="AU15" s="32">
        <f>+AT15/AT12</f>
        <v>0.24578116628079025</v>
      </c>
      <c r="AV15" s="31">
        <v>1000</v>
      </c>
      <c r="AW15" s="32">
        <f>+AV15/AV12</f>
        <v>0.24578116628079025</v>
      </c>
      <c r="AX15" s="31">
        <v>1000</v>
      </c>
      <c r="AY15" s="32">
        <f>+AX15/AX12</f>
        <v>0.24578116628079025</v>
      </c>
      <c r="AZ15" s="781"/>
      <c r="BA15" s="726"/>
      <c r="BB15" s="724"/>
      <c r="BD15" s="31">
        <v>1000</v>
      </c>
      <c r="BE15" s="32">
        <f>+BD15/BD12</f>
        <v>0.24578116628079025</v>
      </c>
      <c r="BG15" s="31">
        <v>1100</v>
      </c>
      <c r="BH15" s="32">
        <f>+BG15/BG12</f>
        <v>0.27035928290886929</v>
      </c>
      <c r="BI15" s="31">
        <v>1100</v>
      </c>
      <c r="BJ15" s="32">
        <f t="shared" ref="BJ15" si="10">+BI15/BI12</f>
        <v>0.27035928290886929</v>
      </c>
      <c r="BK15" s="31">
        <v>1100</v>
      </c>
      <c r="BL15" s="32">
        <f t="shared" ref="BL15" si="11">+BK15/BK12</f>
        <v>0.27035928290886929</v>
      </c>
      <c r="BN15" s="31">
        <v>1200</v>
      </c>
      <c r="BO15" s="32">
        <f>+BN15/BN12</f>
        <v>0.29493739953694831</v>
      </c>
      <c r="BQ15" s="31">
        <v>5000</v>
      </c>
      <c r="BR15" s="32">
        <f>+BQ15/BQ12</f>
        <v>0.21929824561403508</v>
      </c>
      <c r="BS15" s="31">
        <v>5400</v>
      </c>
      <c r="BT15" s="32">
        <f>+BS15/BS12</f>
        <v>0.23684210526315788</v>
      </c>
      <c r="BU15" s="31">
        <v>6100</v>
      </c>
      <c r="BV15" s="32">
        <f>+BU15/BU12</f>
        <v>0.26754385964912281</v>
      </c>
    </row>
    <row r="16" spans="1:74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AE16" si="12">+F15*F10</f>
        <v>40000</v>
      </c>
      <c r="G16" s="32">
        <f t="shared" si="12"/>
        <v>9.8312466512316092</v>
      </c>
      <c r="H16" s="31">
        <f t="shared" si="12"/>
        <v>40000</v>
      </c>
      <c r="I16" s="32">
        <f t="shared" si="12"/>
        <v>9.8312466512316092</v>
      </c>
      <c r="J16" s="31">
        <f t="shared" si="12"/>
        <v>40000</v>
      </c>
      <c r="K16" s="32">
        <f t="shared" si="12"/>
        <v>9.8312466512316092</v>
      </c>
      <c r="L16" s="31">
        <f t="shared" si="12"/>
        <v>40000</v>
      </c>
      <c r="M16" s="32">
        <f t="shared" si="12"/>
        <v>9.8312466512316092</v>
      </c>
      <c r="N16" s="31">
        <f t="shared" si="12"/>
        <v>40000</v>
      </c>
      <c r="O16" s="32">
        <f t="shared" si="12"/>
        <v>9.8312466512316092</v>
      </c>
      <c r="P16" s="31">
        <f t="shared" si="12"/>
        <v>40000</v>
      </c>
      <c r="Q16" s="32">
        <f t="shared" si="12"/>
        <v>9.8312466512316092</v>
      </c>
      <c r="R16" s="31">
        <f t="shared" si="12"/>
        <v>40000</v>
      </c>
      <c r="S16" s="32">
        <f t="shared" si="12"/>
        <v>9.8312466512316092</v>
      </c>
      <c r="T16" s="31">
        <f t="shared" si="12"/>
        <v>40000</v>
      </c>
      <c r="U16" s="32">
        <f t="shared" si="12"/>
        <v>9.8312466512316092</v>
      </c>
      <c r="V16" s="31">
        <f t="shared" si="12"/>
        <v>40000</v>
      </c>
      <c r="W16" s="32">
        <f t="shared" si="12"/>
        <v>9.8312466512316092</v>
      </c>
      <c r="X16" s="31">
        <f t="shared" si="12"/>
        <v>44000</v>
      </c>
      <c r="Y16" s="32">
        <f t="shared" si="12"/>
        <v>10.814371316354771</v>
      </c>
      <c r="Z16" s="31">
        <f t="shared" si="12"/>
        <v>40000</v>
      </c>
      <c r="AA16" s="32">
        <f t="shared" si="12"/>
        <v>9.8312466512316092</v>
      </c>
      <c r="AB16" s="31">
        <f t="shared" si="12"/>
        <v>40000</v>
      </c>
      <c r="AC16" s="32">
        <f t="shared" si="12"/>
        <v>9.8312466512316092</v>
      </c>
      <c r="AD16" s="31">
        <f t="shared" si="12"/>
        <v>40000</v>
      </c>
      <c r="AE16" s="32">
        <f t="shared" si="12"/>
        <v>9.8312466512316092</v>
      </c>
      <c r="AF16" s="781"/>
      <c r="AG16" s="726"/>
      <c r="AH16" s="782"/>
      <c r="AI16" s="630"/>
      <c r="AJ16" s="31">
        <f t="shared" ref="AJ16:AK16" si="13">+AJ15*AJ10</f>
        <v>40000</v>
      </c>
      <c r="AK16" s="32">
        <f t="shared" si="13"/>
        <v>9.8312466512316092</v>
      </c>
      <c r="AL16" s="31">
        <f>+AL15*AL10</f>
        <v>40000</v>
      </c>
      <c r="AM16" s="32">
        <f>+AM15*AM10</f>
        <v>9.8312466512316092</v>
      </c>
      <c r="AN16" s="31">
        <f t="shared" ref="AN16:AO16" si="14">+AN15*AN10</f>
        <v>40000</v>
      </c>
      <c r="AO16" s="32">
        <f t="shared" si="14"/>
        <v>9.8312466512316092</v>
      </c>
      <c r="AP16" s="781"/>
      <c r="AQ16" s="726"/>
      <c r="AR16" s="782"/>
      <c r="AS16" s="630"/>
      <c r="AT16" s="31">
        <f t="shared" ref="AT16:AU16" si="15">+AT15*AT10</f>
        <v>40000</v>
      </c>
      <c r="AU16" s="32">
        <f t="shared" si="15"/>
        <v>9.8312466512316092</v>
      </c>
      <c r="AV16" s="31">
        <f>+AV15*AV10</f>
        <v>40000</v>
      </c>
      <c r="AW16" s="32">
        <f>+AW15*AW10</f>
        <v>9.8312466512316092</v>
      </c>
      <c r="AX16" s="31">
        <f>+AX15*AX10</f>
        <v>40000</v>
      </c>
      <c r="AY16" s="32">
        <f>+AY15*AY10</f>
        <v>9.8312466512316092</v>
      </c>
      <c r="AZ16" s="781"/>
      <c r="BA16" s="726"/>
      <c r="BB16" s="724"/>
      <c r="BD16" s="31">
        <f t="shared" ref="BD16:BE16" si="16">+BD15*BD10</f>
        <v>40000</v>
      </c>
      <c r="BE16" s="32">
        <f t="shared" si="16"/>
        <v>9.8312466512316092</v>
      </c>
      <c r="BG16" s="31">
        <f t="shared" ref="BG16:BL16" si="17">+BG15*BG10</f>
        <v>44000</v>
      </c>
      <c r="BH16" s="32">
        <f t="shared" si="17"/>
        <v>10.814371316354771</v>
      </c>
      <c r="BI16" s="31">
        <f t="shared" si="17"/>
        <v>44000</v>
      </c>
      <c r="BJ16" s="32">
        <f t="shared" si="17"/>
        <v>10.814371316354771</v>
      </c>
      <c r="BK16" s="31">
        <f t="shared" si="17"/>
        <v>44000</v>
      </c>
      <c r="BL16" s="32">
        <f t="shared" si="17"/>
        <v>10.814371316354771</v>
      </c>
      <c r="BN16" s="31">
        <f t="shared" ref="BN16:BO16" si="18">+BN15*BN10</f>
        <v>48000</v>
      </c>
      <c r="BO16" s="32">
        <f t="shared" si="18"/>
        <v>11.797495981477933</v>
      </c>
      <c r="BQ16" s="31">
        <f t="shared" ref="BQ16:BV16" si="19">+BQ15*BQ10</f>
        <v>200000</v>
      </c>
      <c r="BR16" s="32">
        <f t="shared" si="19"/>
        <v>8.7719298245614024</v>
      </c>
      <c r="BS16" s="31">
        <f t="shared" si="19"/>
        <v>216000</v>
      </c>
      <c r="BT16" s="32">
        <f t="shared" si="19"/>
        <v>9.473684210526315</v>
      </c>
      <c r="BU16" s="31">
        <f t="shared" si="19"/>
        <v>244000</v>
      </c>
      <c r="BV16" s="32">
        <f t="shared" si="19"/>
        <v>10.701754385964913</v>
      </c>
    </row>
    <row r="17" spans="1:74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745"/>
      <c r="AG17" s="725"/>
      <c r="AH17" s="746"/>
      <c r="AI17" s="630"/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745"/>
      <c r="AQ17" s="725"/>
      <c r="AR17" s="746"/>
      <c r="AS17" s="630"/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745"/>
      <c r="BA17" s="725"/>
      <c r="BB17" s="725"/>
      <c r="BD17" s="350">
        <v>0</v>
      </c>
      <c r="BE17" s="351">
        <v>0</v>
      </c>
      <c r="BG17" s="350">
        <v>0</v>
      </c>
      <c r="BH17" s="351">
        <v>0</v>
      </c>
      <c r="BI17" s="350">
        <v>0</v>
      </c>
      <c r="BJ17" s="351">
        <v>0</v>
      </c>
      <c r="BK17" s="350">
        <v>0</v>
      </c>
      <c r="BL17" s="351">
        <v>0</v>
      </c>
      <c r="BN17" s="350">
        <v>0</v>
      </c>
      <c r="BO17" s="351">
        <v>0</v>
      </c>
      <c r="BQ17" s="350">
        <f>BQ15-BQ15/1.1</f>
        <v>454.54545454545496</v>
      </c>
      <c r="BR17" s="351">
        <f t="shared" ref="BR17" si="20">BR15-BR15/1.1</f>
        <v>1.9936204146730474E-2</v>
      </c>
      <c r="BS17" s="350">
        <f>BS15-BS15/1.1</f>
        <v>490.90909090909099</v>
      </c>
      <c r="BT17" s="351">
        <f t="shared" ref="BT17:BV17" si="21">BT15-BT15/1.1</f>
        <v>2.1531100478468929E-2</v>
      </c>
      <c r="BU17" s="350">
        <f>BU15-BU15/1.1</f>
        <v>554.54545454545496</v>
      </c>
      <c r="BV17" s="351">
        <f t="shared" si="21"/>
        <v>2.4322169059011189E-2</v>
      </c>
    </row>
    <row r="18" spans="1:74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745"/>
      <c r="AG18" s="725"/>
      <c r="AH18" s="746"/>
      <c r="AI18" s="633"/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745"/>
      <c r="AQ18" s="725"/>
      <c r="AR18" s="746"/>
      <c r="AS18" s="633"/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745"/>
      <c r="BA18" s="725"/>
      <c r="BB18" s="725"/>
      <c r="BD18" s="356">
        <v>0</v>
      </c>
      <c r="BE18" s="357">
        <v>0</v>
      </c>
      <c r="BG18" s="356">
        <v>0</v>
      </c>
      <c r="BH18" s="357">
        <v>0</v>
      </c>
      <c r="BI18" s="356">
        <v>0</v>
      </c>
      <c r="BJ18" s="357">
        <v>0</v>
      </c>
      <c r="BK18" s="356">
        <v>0</v>
      </c>
      <c r="BL18" s="357">
        <v>0</v>
      </c>
      <c r="BN18" s="356">
        <v>0</v>
      </c>
      <c r="BO18" s="357">
        <v>0</v>
      </c>
      <c r="BQ18" s="356">
        <v>0.1</v>
      </c>
      <c r="BR18" s="357">
        <v>0.1</v>
      </c>
      <c r="BS18" s="356">
        <v>0.1</v>
      </c>
      <c r="BT18" s="357">
        <v>0.1</v>
      </c>
      <c r="BU18" s="356">
        <v>0.1</v>
      </c>
      <c r="BV18" s="357">
        <v>0.1</v>
      </c>
    </row>
    <row r="19" spans="1:74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AE19" si="22">F15-F17</f>
        <v>1000</v>
      </c>
      <c r="G19" s="32">
        <f t="shared" si="22"/>
        <v>0.24578116628079025</v>
      </c>
      <c r="H19" s="38">
        <f t="shared" si="22"/>
        <v>1000</v>
      </c>
      <c r="I19" s="32">
        <f t="shared" si="22"/>
        <v>0.24578116628079025</v>
      </c>
      <c r="J19" s="38">
        <f t="shared" si="22"/>
        <v>1000</v>
      </c>
      <c r="K19" s="32">
        <f t="shared" si="22"/>
        <v>0.24578116628079025</v>
      </c>
      <c r="L19" s="38">
        <f t="shared" si="22"/>
        <v>1000</v>
      </c>
      <c r="M19" s="32">
        <f t="shared" si="22"/>
        <v>0.24578116628079025</v>
      </c>
      <c r="N19" s="38">
        <f t="shared" si="22"/>
        <v>1000</v>
      </c>
      <c r="O19" s="32">
        <f t="shared" si="22"/>
        <v>0.24578116628079025</v>
      </c>
      <c r="P19" s="38">
        <f t="shared" si="22"/>
        <v>1000</v>
      </c>
      <c r="Q19" s="32">
        <f t="shared" si="22"/>
        <v>0.24578116628079025</v>
      </c>
      <c r="R19" s="38">
        <f t="shared" si="22"/>
        <v>1000</v>
      </c>
      <c r="S19" s="32">
        <f t="shared" si="22"/>
        <v>0.24578116628079025</v>
      </c>
      <c r="T19" s="38">
        <f t="shared" si="22"/>
        <v>1000</v>
      </c>
      <c r="U19" s="32">
        <f t="shared" si="22"/>
        <v>0.24578116628079025</v>
      </c>
      <c r="V19" s="38">
        <f t="shared" si="22"/>
        <v>1000</v>
      </c>
      <c r="W19" s="32">
        <f t="shared" si="22"/>
        <v>0.24578116628079025</v>
      </c>
      <c r="X19" s="38">
        <f t="shared" si="22"/>
        <v>1100</v>
      </c>
      <c r="Y19" s="32">
        <f t="shared" si="22"/>
        <v>0.27035928290886929</v>
      </c>
      <c r="Z19" s="38">
        <f t="shared" si="22"/>
        <v>1000</v>
      </c>
      <c r="AA19" s="32">
        <f t="shared" si="22"/>
        <v>0.24578116628079025</v>
      </c>
      <c r="AB19" s="38">
        <f t="shared" si="22"/>
        <v>1000</v>
      </c>
      <c r="AC19" s="32">
        <f t="shared" si="22"/>
        <v>0.24578116628079025</v>
      </c>
      <c r="AD19" s="38">
        <f t="shared" si="22"/>
        <v>1000</v>
      </c>
      <c r="AE19" s="32">
        <f t="shared" si="22"/>
        <v>0.24578116628079025</v>
      </c>
      <c r="AF19" s="783"/>
      <c r="AG19" s="724"/>
      <c r="AH19" s="782"/>
      <c r="AI19" s="630"/>
      <c r="AJ19" s="38">
        <f t="shared" ref="AJ19:AK19" si="23">AJ15-AJ17</f>
        <v>1000</v>
      </c>
      <c r="AK19" s="32">
        <f t="shared" si="23"/>
        <v>0.24578116628079025</v>
      </c>
      <c r="AL19" s="38">
        <f>AL15-AL17</f>
        <v>1000</v>
      </c>
      <c r="AM19" s="32">
        <f>AM15-AM17</f>
        <v>0.24578116628079025</v>
      </c>
      <c r="AN19" s="38">
        <f t="shared" ref="AN19:AO19" si="24">AN15-AN17</f>
        <v>1000</v>
      </c>
      <c r="AO19" s="32">
        <f t="shared" si="24"/>
        <v>0.24578116628079025</v>
      </c>
      <c r="AP19" s="783"/>
      <c r="AQ19" s="724"/>
      <c r="AR19" s="782"/>
      <c r="AS19" s="630"/>
      <c r="AT19" s="38">
        <f t="shared" ref="AT19:AU19" si="25">AT15-AT17</f>
        <v>1000</v>
      </c>
      <c r="AU19" s="32">
        <f t="shared" si="25"/>
        <v>0.24578116628079025</v>
      </c>
      <c r="AV19" s="38">
        <f>AV15-AV17</f>
        <v>1000</v>
      </c>
      <c r="AW19" s="32">
        <f>AW15-AW17</f>
        <v>0.24578116628079025</v>
      </c>
      <c r="AX19" s="38">
        <f>AX15-AX17</f>
        <v>1000</v>
      </c>
      <c r="AY19" s="32">
        <f>AY15-AY17</f>
        <v>0.24578116628079025</v>
      </c>
      <c r="AZ19" s="783"/>
      <c r="BA19" s="724"/>
      <c r="BB19" s="724"/>
      <c r="BD19" s="38">
        <f t="shared" ref="BD19:BE19" si="26">BD15-BD17</f>
        <v>1000</v>
      </c>
      <c r="BE19" s="32">
        <f t="shared" si="26"/>
        <v>0.24578116628079025</v>
      </c>
      <c r="BG19" s="38">
        <f t="shared" ref="BG19:BL19" si="27">BG15-BG17</f>
        <v>1100</v>
      </c>
      <c r="BH19" s="32">
        <f t="shared" si="27"/>
        <v>0.27035928290886929</v>
      </c>
      <c r="BI19" s="38">
        <f t="shared" si="27"/>
        <v>1100</v>
      </c>
      <c r="BJ19" s="32">
        <f t="shared" si="27"/>
        <v>0.27035928290886929</v>
      </c>
      <c r="BK19" s="38">
        <f t="shared" si="27"/>
        <v>1100</v>
      </c>
      <c r="BL19" s="32">
        <f t="shared" si="27"/>
        <v>0.27035928290886929</v>
      </c>
      <c r="BN19" s="38">
        <f t="shared" ref="BN19:BO19" si="28">BN15-BN17</f>
        <v>1200</v>
      </c>
      <c r="BO19" s="32">
        <f t="shared" si="28"/>
        <v>0.29493739953694831</v>
      </c>
      <c r="BQ19" s="38">
        <f t="shared" ref="BQ19:BV19" si="29">BQ15-BQ17</f>
        <v>4545.454545454545</v>
      </c>
      <c r="BR19" s="32">
        <f t="shared" si="29"/>
        <v>0.1993620414673046</v>
      </c>
      <c r="BS19" s="38">
        <f t="shared" si="29"/>
        <v>4909.090909090909</v>
      </c>
      <c r="BT19" s="32">
        <f t="shared" si="29"/>
        <v>0.21531100478468895</v>
      </c>
      <c r="BU19" s="38">
        <f t="shared" si="29"/>
        <v>5545.454545454545</v>
      </c>
      <c r="BV19" s="32">
        <f t="shared" si="29"/>
        <v>0.24322169059011162</v>
      </c>
    </row>
    <row r="20" spans="1:74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AE20" si="30">1/(1+F18)*F16</f>
        <v>40000</v>
      </c>
      <c r="G20" s="40">
        <f t="shared" si="30"/>
        <v>9.8312466512316092</v>
      </c>
      <c r="H20" s="39">
        <f t="shared" si="30"/>
        <v>40000</v>
      </c>
      <c r="I20" s="40">
        <f t="shared" si="30"/>
        <v>9.8312466512316092</v>
      </c>
      <c r="J20" s="39">
        <f t="shared" si="30"/>
        <v>40000</v>
      </c>
      <c r="K20" s="40">
        <f t="shared" si="30"/>
        <v>9.8312466512316092</v>
      </c>
      <c r="L20" s="39">
        <f t="shared" si="30"/>
        <v>40000</v>
      </c>
      <c r="M20" s="40">
        <f t="shared" si="30"/>
        <v>9.8312466512316092</v>
      </c>
      <c r="N20" s="39">
        <f t="shared" si="30"/>
        <v>40000</v>
      </c>
      <c r="O20" s="40">
        <f t="shared" si="30"/>
        <v>9.8312466512316092</v>
      </c>
      <c r="P20" s="39">
        <f t="shared" si="30"/>
        <v>40000</v>
      </c>
      <c r="Q20" s="40">
        <f t="shared" si="30"/>
        <v>9.8312466512316092</v>
      </c>
      <c r="R20" s="39">
        <f t="shared" si="30"/>
        <v>40000</v>
      </c>
      <c r="S20" s="40">
        <f t="shared" si="30"/>
        <v>9.8312466512316092</v>
      </c>
      <c r="T20" s="39">
        <f t="shared" si="30"/>
        <v>40000</v>
      </c>
      <c r="U20" s="40">
        <f t="shared" si="30"/>
        <v>9.8312466512316092</v>
      </c>
      <c r="V20" s="39">
        <f t="shared" si="30"/>
        <v>40000</v>
      </c>
      <c r="W20" s="40">
        <f t="shared" si="30"/>
        <v>9.8312466512316092</v>
      </c>
      <c r="X20" s="39">
        <f t="shared" si="30"/>
        <v>44000</v>
      </c>
      <c r="Y20" s="40">
        <f t="shared" si="30"/>
        <v>10.814371316354771</v>
      </c>
      <c r="Z20" s="39">
        <f t="shared" si="30"/>
        <v>40000</v>
      </c>
      <c r="AA20" s="40">
        <f t="shared" si="30"/>
        <v>9.8312466512316092</v>
      </c>
      <c r="AB20" s="39">
        <f t="shared" si="30"/>
        <v>40000</v>
      </c>
      <c r="AC20" s="40">
        <f t="shared" si="30"/>
        <v>9.8312466512316092</v>
      </c>
      <c r="AD20" s="39">
        <f t="shared" si="30"/>
        <v>40000</v>
      </c>
      <c r="AE20" s="40">
        <f t="shared" si="30"/>
        <v>9.8312466512316092</v>
      </c>
      <c r="AF20" s="784"/>
      <c r="AG20" s="785"/>
      <c r="AH20" s="786"/>
      <c r="AI20" s="690"/>
      <c r="AJ20" s="39">
        <f t="shared" ref="AJ20:AK20" si="31">1/(1+AJ18)*AJ16</f>
        <v>40000</v>
      </c>
      <c r="AK20" s="40">
        <f t="shared" si="31"/>
        <v>9.8312466512316092</v>
      </c>
      <c r="AL20" s="39">
        <f>1/(1+AL18)*AL16</f>
        <v>40000</v>
      </c>
      <c r="AM20" s="40">
        <f>1/(1+AM18)*AM16</f>
        <v>9.8312466512316092</v>
      </c>
      <c r="AN20" s="39">
        <f t="shared" ref="AN20:AO20" si="32">1/(1+AN18)*AN16</f>
        <v>40000</v>
      </c>
      <c r="AO20" s="40">
        <f t="shared" si="32"/>
        <v>9.8312466512316092</v>
      </c>
      <c r="AP20" s="784"/>
      <c r="AQ20" s="785"/>
      <c r="AR20" s="786"/>
      <c r="AS20" s="690"/>
      <c r="AT20" s="39">
        <f t="shared" ref="AT20:AU20" si="33">1/(1+AT18)*AT16</f>
        <v>40000</v>
      </c>
      <c r="AU20" s="40">
        <f t="shared" si="33"/>
        <v>9.8312466512316092</v>
      </c>
      <c r="AV20" s="39">
        <f>1/(1+AV18)*AV16</f>
        <v>40000</v>
      </c>
      <c r="AW20" s="40">
        <f>1/(1+AW18)*AW16</f>
        <v>9.8312466512316092</v>
      </c>
      <c r="AX20" s="39">
        <f>1/(1+AX18)*AX16</f>
        <v>40000</v>
      </c>
      <c r="AY20" s="40">
        <f>1/(1+AY18)*AY16</f>
        <v>9.8312466512316092</v>
      </c>
      <c r="AZ20" s="784"/>
      <c r="BA20" s="785"/>
      <c r="BB20" s="785"/>
      <c r="BD20" s="39">
        <f t="shared" ref="BD20:BE20" si="34">1/(1+BD18)*BD16</f>
        <v>40000</v>
      </c>
      <c r="BE20" s="40">
        <f t="shared" si="34"/>
        <v>9.8312466512316092</v>
      </c>
      <c r="BG20" s="39">
        <f t="shared" ref="BG20:BL20" si="35">1/(1+BG18)*BG16</f>
        <v>44000</v>
      </c>
      <c r="BH20" s="40">
        <f t="shared" si="35"/>
        <v>10.814371316354771</v>
      </c>
      <c r="BI20" s="39">
        <f t="shared" si="35"/>
        <v>44000</v>
      </c>
      <c r="BJ20" s="40">
        <f t="shared" si="35"/>
        <v>10.814371316354771</v>
      </c>
      <c r="BK20" s="39">
        <f t="shared" si="35"/>
        <v>44000</v>
      </c>
      <c r="BL20" s="40">
        <f t="shared" si="35"/>
        <v>10.814371316354771</v>
      </c>
      <c r="BN20" s="39">
        <f t="shared" ref="BN20:BO20" si="36">1/(1+BN18)*BN16</f>
        <v>48000</v>
      </c>
      <c r="BO20" s="40">
        <f t="shared" si="36"/>
        <v>11.797495981477933</v>
      </c>
      <c r="BQ20" s="39">
        <f t="shared" ref="BQ20:BV20" si="37">1/(1+BQ18)*BQ16</f>
        <v>181818.18181818182</v>
      </c>
      <c r="BR20" s="40">
        <f t="shared" si="37"/>
        <v>7.9744816586921834</v>
      </c>
      <c r="BS20" s="39">
        <f t="shared" si="37"/>
        <v>196363.63636363635</v>
      </c>
      <c r="BT20" s="40">
        <f t="shared" si="37"/>
        <v>8.6124401913875595</v>
      </c>
      <c r="BU20" s="39">
        <f t="shared" si="37"/>
        <v>221818.18181818182</v>
      </c>
      <c r="BV20" s="40">
        <f t="shared" si="37"/>
        <v>9.7288676236044651</v>
      </c>
    </row>
    <row r="21" spans="1:74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751"/>
      <c r="AG21" s="752"/>
      <c r="AH21" s="753"/>
      <c r="AI21" s="634"/>
      <c r="AJ21" s="352"/>
      <c r="AK21" s="358"/>
      <c r="AL21" s="352"/>
      <c r="AM21" s="358"/>
      <c r="AN21" s="352"/>
      <c r="AO21" s="358"/>
      <c r="AP21" s="751"/>
      <c r="AQ21" s="752"/>
      <c r="AR21" s="753"/>
      <c r="AS21" s="634"/>
      <c r="AT21" s="352"/>
      <c r="AU21" s="358"/>
      <c r="AV21" s="352"/>
      <c r="AW21" s="358"/>
      <c r="AX21" s="352"/>
      <c r="AY21" s="358"/>
      <c r="AZ21" s="751"/>
      <c r="BA21" s="752"/>
      <c r="BB21" s="752"/>
      <c r="BD21" s="352"/>
      <c r="BE21" s="358"/>
      <c r="BG21" s="352"/>
      <c r="BH21" s="358"/>
      <c r="BI21" s="352"/>
      <c r="BJ21" s="358"/>
      <c r="BK21" s="352"/>
      <c r="BL21" s="358"/>
      <c r="BN21" s="352"/>
      <c r="BO21" s="358"/>
      <c r="BQ21" s="352"/>
      <c r="BR21" s="358"/>
      <c r="BS21" s="352"/>
      <c r="BT21" s="358"/>
      <c r="BU21" s="352"/>
      <c r="BV21" s="358"/>
    </row>
    <row r="22" spans="1:74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745"/>
      <c r="AG22" s="725"/>
      <c r="AH22" s="749"/>
      <c r="AI22" s="632"/>
      <c r="AJ22" s="359"/>
      <c r="AK22" s="360"/>
      <c r="AL22" s="359"/>
      <c r="AM22" s="360"/>
      <c r="AN22" s="359"/>
      <c r="AO22" s="360"/>
      <c r="AP22" s="745"/>
      <c r="AQ22" s="725"/>
      <c r="AR22" s="749"/>
      <c r="AS22" s="632"/>
      <c r="AT22" s="359"/>
      <c r="AU22" s="360"/>
      <c r="AV22" s="359"/>
      <c r="AW22" s="360"/>
      <c r="AX22" s="359"/>
      <c r="AY22" s="360"/>
      <c r="AZ22" s="745"/>
      <c r="BA22" s="725"/>
      <c r="BB22" s="748"/>
      <c r="BD22" s="359"/>
      <c r="BE22" s="360"/>
      <c r="BG22" s="359"/>
      <c r="BH22" s="360"/>
      <c r="BI22" s="359"/>
      <c r="BJ22" s="360"/>
      <c r="BK22" s="359"/>
      <c r="BL22" s="360"/>
      <c r="BN22" s="359"/>
      <c r="BO22" s="360"/>
      <c r="BQ22" s="359"/>
      <c r="BR22" s="360"/>
      <c r="BS22" s="359"/>
      <c r="BT22" s="360"/>
      <c r="BU22" s="359"/>
      <c r="BV22" s="360"/>
    </row>
    <row r="23" spans="1:74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AE23" si="38">F24/F20</f>
        <v>0.20152547500000009</v>
      </c>
      <c r="G23" s="48">
        <f t="shared" si="38"/>
        <v>0.20152547500000001</v>
      </c>
      <c r="H23" s="47">
        <f t="shared" si="38"/>
        <v>0.19589147499999998</v>
      </c>
      <c r="I23" s="48">
        <f t="shared" si="38"/>
        <v>0.19589147499999993</v>
      </c>
      <c r="J23" s="47">
        <f t="shared" si="38"/>
        <v>0.21678294999999997</v>
      </c>
      <c r="K23" s="48">
        <f t="shared" si="38"/>
        <v>0.21678294999999997</v>
      </c>
      <c r="L23" s="47">
        <f t="shared" si="38"/>
        <v>0.17499999999999999</v>
      </c>
      <c r="M23" s="48">
        <f t="shared" si="38"/>
        <v>0.17499999999999996</v>
      </c>
      <c r="N23" s="361">
        <f t="shared" si="38"/>
        <v>0.19589147499999998</v>
      </c>
      <c r="O23" s="362">
        <f t="shared" si="38"/>
        <v>0.19589147499999993</v>
      </c>
      <c r="P23" s="361">
        <f t="shared" si="38"/>
        <v>0.21678294999999997</v>
      </c>
      <c r="Q23" s="362">
        <f t="shared" si="38"/>
        <v>0.21678294999999997</v>
      </c>
      <c r="R23" s="361">
        <f t="shared" si="38"/>
        <v>0.17499999999999999</v>
      </c>
      <c r="S23" s="362">
        <f t="shared" si="38"/>
        <v>0.17499999999999996</v>
      </c>
      <c r="T23" s="361">
        <f t="shared" si="38"/>
        <v>0.19589147499999998</v>
      </c>
      <c r="U23" s="362">
        <f t="shared" si="38"/>
        <v>0.19589147499999993</v>
      </c>
      <c r="V23" s="361">
        <f t="shared" si="38"/>
        <v>0.19589147499999998</v>
      </c>
      <c r="W23" s="362">
        <f t="shared" si="38"/>
        <v>0.19589147499999993</v>
      </c>
      <c r="X23" s="361">
        <f t="shared" si="38"/>
        <v>0.20022526136363641</v>
      </c>
      <c r="Y23" s="362">
        <f t="shared" si="38"/>
        <v>0.20022526136363644</v>
      </c>
      <c r="Z23" s="361">
        <f t="shared" si="38"/>
        <v>0.18983139750000008</v>
      </c>
      <c r="AA23" s="362">
        <f t="shared" si="38"/>
        <v>0.18983139750000003</v>
      </c>
      <c r="AB23" s="361">
        <f t="shared" si="38"/>
        <v>0.2096627950000001</v>
      </c>
      <c r="AC23" s="362">
        <f t="shared" si="38"/>
        <v>0.20966279500000004</v>
      </c>
      <c r="AD23" s="361">
        <f t="shared" si="38"/>
        <v>0.17</v>
      </c>
      <c r="AE23" s="362">
        <f t="shared" si="38"/>
        <v>0.17</v>
      </c>
      <c r="AF23" s="745"/>
      <c r="AG23" s="725"/>
      <c r="AH23" s="746"/>
      <c r="AI23" s="635"/>
      <c r="AJ23" s="361">
        <f t="shared" ref="AJ23:AK23" si="39">AJ24/AJ20</f>
        <v>0.18220266000000002</v>
      </c>
      <c r="AK23" s="362">
        <f t="shared" si="39"/>
        <v>0.18220266000000002</v>
      </c>
      <c r="AL23" s="361">
        <f>AL24/AL20</f>
        <v>0.19440532000000002</v>
      </c>
      <c r="AM23" s="362">
        <f>AM24/AM20</f>
        <v>0.19440531999999999</v>
      </c>
      <c r="AN23" s="361">
        <f t="shared" ref="AN23:AO23" si="40">AN24/AN20</f>
        <v>0.17</v>
      </c>
      <c r="AO23" s="362">
        <f t="shared" si="40"/>
        <v>0.17</v>
      </c>
      <c r="AP23" s="745"/>
      <c r="AQ23" s="725"/>
      <c r="AR23" s="746"/>
      <c r="AS23" s="635"/>
      <c r="AT23" s="361">
        <f t="shared" ref="AT23:AU23" si="41">AT24/AT20</f>
        <v>0.17266833000000006</v>
      </c>
      <c r="AU23" s="362">
        <f t="shared" si="41"/>
        <v>0.17266833000000004</v>
      </c>
      <c r="AV23" s="361">
        <f>AV24/AV20</f>
        <v>0.19033666000000002</v>
      </c>
      <c r="AW23" s="362">
        <f>AW24/AW20</f>
        <v>0.19033665999999999</v>
      </c>
      <c r="AX23" s="361">
        <f>AX24/AX20</f>
        <v>0.155</v>
      </c>
      <c r="AY23" s="362">
        <f>AY24/AY20</f>
        <v>0.15500000000000003</v>
      </c>
      <c r="AZ23" s="745"/>
      <c r="BA23" s="725"/>
      <c r="BB23" s="725"/>
      <c r="BC23" s="924"/>
      <c r="BD23" s="361">
        <f t="shared" ref="BD23:BE23" si="42">BD24/BD20</f>
        <v>0.17266833000000006</v>
      </c>
      <c r="BE23" s="362">
        <f t="shared" si="42"/>
        <v>0.17266833000000004</v>
      </c>
      <c r="BF23" s="924"/>
      <c r="BG23" s="361">
        <f t="shared" ref="BG23:BL23" si="43">BG24/BG20</f>
        <v>0.20022526136363641</v>
      </c>
      <c r="BH23" s="362">
        <f t="shared" si="43"/>
        <v>0.20022526136363644</v>
      </c>
      <c r="BI23" s="361">
        <f t="shared" si="43"/>
        <v>0.21863234090909101</v>
      </c>
      <c r="BJ23" s="362">
        <f t="shared" si="43"/>
        <v>0.21863234090909103</v>
      </c>
      <c r="BK23" s="361">
        <f t="shared" si="43"/>
        <v>0.18181818181818182</v>
      </c>
      <c r="BL23" s="362">
        <f t="shared" si="43"/>
        <v>0.18181818181818182</v>
      </c>
      <c r="BM23" s="924"/>
      <c r="BN23" s="361">
        <f t="shared" ref="BN23:BO23" si="44">BN24/BN20</f>
        <v>0.18202981249999994</v>
      </c>
      <c r="BO23" s="362">
        <f t="shared" si="44"/>
        <v>0.18202981250000011</v>
      </c>
      <c r="BQ23" s="361">
        <f t="shared" ref="BQ23:BV23" si="45">BQ24/BQ16</f>
        <v>0.14000000000000001</v>
      </c>
      <c r="BR23" s="362">
        <f t="shared" si="45"/>
        <v>0.13999999999999985</v>
      </c>
      <c r="BS23" s="361">
        <f t="shared" si="45"/>
        <v>0.14120370370370369</v>
      </c>
      <c r="BT23" s="362">
        <f t="shared" si="45"/>
        <v>0.14120370370370361</v>
      </c>
      <c r="BU23" s="361">
        <f t="shared" si="45"/>
        <v>0.14754098360655737</v>
      </c>
      <c r="BV23" s="362">
        <f t="shared" si="45"/>
        <v>0.1475409836065574</v>
      </c>
    </row>
    <row r="24" spans="1:74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AE24" si="46">F20-F26</f>
        <v>8061.0190000000039</v>
      </c>
      <c r="G24" s="24">
        <f t="shared" si="46"/>
        <v>1.9812466512316096</v>
      </c>
      <c r="H24" s="50">
        <f t="shared" si="46"/>
        <v>7835.6589999999997</v>
      </c>
      <c r="I24" s="24">
        <f t="shared" si="46"/>
        <v>1.9258574075985697</v>
      </c>
      <c r="J24" s="50">
        <f t="shared" si="46"/>
        <v>8671.3179999999993</v>
      </c>
      <c r="K24" s="24">
        <f t="shared" si="46"/>
        <v>2.1312466512316091</v>
      </c>
      <c r="L24" s="50">
        <f t="shared" si="46"/>
        <v>7000</v>
      </c>
      <c r="M24" s="24">
        <f t="shared" si="46"/>
        <v>1.7204681639655313</v>
      </c>
      <c r="N24" s="363">
        <f t="shared" si="46"/>
        <v>7835.6589999999997</v>
      </c>
      <c r="O24" s="351">
        <f t="shared" si="46"/>
        <v>1.9258574075985697</v>
      </c>
      <c r="P24" s="363">
        <f t="shared" si="46"/>
        <v>8671.3179999999993</v>
      </c>
      <c r="Q24" s="351">
        <f t="shared" si="46"/>
        <v>2.1312466512316091</v>
      </c>
      <c r="R24" s="363">
        <f t="shared" si="46"/>
        <v>7000</v>
      </c>
      <c r="S24" s="351">
        <f t="shared" si="46"/>
        <v>1.7204681639655313</v>
      </c>
      <c r="T24" s="363">
        <f t="shared" si="46"/>
        <v>7835.6589999999997</v>
      </c>
      <c r="U24" s="351">
        <f t="shared" si="46"/>
        <v>1.9258574075985697</v>
      </c>
      <c r="V24" s="363">
        <f t="shared" si="46"/>
        <v>7835.6589999999997</v>
      </c>
      <c r="W24" s="351">
        <f t="shared" si="46"/>
        <v>1.9258574075985697</v>
      </c>
      <c r="X24" s="363">
        <f t="shared" si="46"/>
        <v>8809.911500000002</v>
      </c>
      <c r="Y24" s="351">
        <f t="shared" si="46"/>
        <v>2.1653103233005471</v>
      </c>
      <c r="Z24" s="363">
        <f t="shared" si="46"/>
        <v>7593.2559000000037</v>
      </c>
      <c r="AA24" s="351">
        <f t="shared" si="46"/>
        <v>1.8662792909704917</v>
      </c>
      <c r="AB24" s="363">
        <f t="shared" si="46"/>
        <v>8386.5118000000039</v>
      </c>
      <c r="AC24" s="351">
        <f t="shared" si="46"/>
        <v>2.0612466512316097</v>
      </c>
      <c r="AD24" s="363">
        <f t="shared" si="46"/>
        <v>6800</v>
      </c>
      <c r="AE24" s="351">
        <f t="shared" si="46"/>
        <v>1.6713119307093738</v>
      </c>
      <c r="AF24" s="745">
        <f>AA24/$O24-1</f>
        <v>-3.0935891926894166E-2</v>
      </c>
      <c r="AG24" s="725">
        <f>AC24/$Q24-1</f>
        <v>-3.2844626387822151E-2</v>
      </c>
      <c r="AH24" s="746">
        <f>AE24/$S24-1</f>
        <v>-2.8571428571428248E-2</v>
      </c>
      <c r="AI24" s="630"/>
      <c r="AJ24" s="363">
        <f t="shared" ref="AJ24:AK24" si="47">AJ20-AJ26</f>
        <v>7288.1064000000006</v>
      </c>
      <c r="AK24" s="351">
        <f t="shared" si="47"/>
        <v>1.7912792909704915</v>
      </c>
      <c r="AL24" s="363">
        <f>AL20-AL26</f>
        <v>7776.2128000000012</v>
      </c>
      <c r="AM24" s="351">
        <f>AM20-AM26</f>
        <v>1.9112466512316093</v>
      </c>
      <c r="AN24" s="363">
        <f t="shared" ref="AN24:AO24" si="48">AN20-AN26</f>
        <v>6800</v>
      </c>
      <c r="AO24" s="351">
        <f t="shared" si="48"/>
        <v>1.6713119307093738</v>
      </c>
      <c r="AP24" s="745">
        <f>AK24/$O24-1</f>
        <v>-6.987958511211334E-2</v>
      </c>
      <c r="AQ24" s="725">
        <f>AM24/$Q24-1</f>
        <v>-0.10322596864744193</v>
      </c>
      <c r="AR24" s="746">
        <f>AO24/$S24-1</f>
        <v>-2.8571428571428248E-2</v>
      </c>
      <c r="AS24" s="630"/>
      <c r="AT24" s="363">
        <f t="shared" ref="AT24:AU24" si="49">AT20-AT26</f>
        <v>6906.7332000000024</v>
      </c>
      <c r="AU24" s="351">
        <f t="shared" si="49"/>
        <v>1.6975449410862549</v>
      </c>
      <c r="AV24" s="363">
        <f>AV20-AV26</f>
        <v>7613.4664000000012</v>
      </c>
      <c r="AW24" s="351">
        <f>AW20-AW26</f>
        <v>1.8712466512316093</v>
      </c>
      <c r="AX24" s="363">
        <f>AX20-AX26</f>
        <v>6200</v>
      </c>
      <c r="AY24" s="351">
        <f>AY20-AY26</f>
        <v>1.5238432309408996</v>
      </c>
      <c r="AZ24" s="745">
        <f>AU24/$O24-1</f>
        <v>-0.11855107528288245</v>
      </c>
      <c r="BA24" s="725">
        <f>AW24/$Q24-1</f>
        <v>-0.12199432658334053</v>
      </c>
      <c r="BB24" s="725">
        <f>AY24/$S24-1</f>
        <v>-0.11428571428571399</v>
      </c>
      <c r="BD24" s="363">
        <f t="shared" ref="BD24:BE24" si="50">BD20-BD26</f>
        <v>6906.7332000000024</v>
      </c>
      <c r="BE24" s="351">
        <f t="shared" si="50"/>
        <v>1.6975449410862549</v>
      </c>
      <c r="BG24" s="363">
        <f t="shared" ref="BG24:BL24" si="51">BG20-BG26</f>
        <v>8809.911500000002</v>
      </c>
      <c r="BH24" s="351">
        <f t="shared" si="51"/>
        <v>2.1653103233005471</v>
      </c>
      <c r="BI24" s="363">
        <f t="shared" si="51"/>
        <v>9619.823000000004</v>
      </c>
      <c r="BJ24" s="351">
        <f t="shared" si="51"/>
        <v>2.3643713163547719</v>
      </c>
      <c r="BK24" s="363">
        <f t="shared" si="51"/>
        <v>8000</v>
      </c>
      <c r="BL24" s="351">
        <f t="shared" si="51"/>
        <v>1.9662493302463222</v>
      </c>
      <c r="BN24" s="363">
        <f t="shared" ref="BN24:BO24" si="52">BN20-BN26</f>
        <v>8737.4309999999969</v>
      </c>
      <c r="BO24" s="351">
        <f t="shared" si="52"/>
        <v>2.1474959814779329</v>
      </c>
      <c r="BQ24" s="363">
        <f t="shared" ref="BQ24:BV24" si="53">BQ16-BQ25</f>
        <v>28000</v>
      </c>
      <c r="BR24" s="351">
        <f t="shared" si="53"/>
        <v>1.228070175438595</v>
      </c>
      <c r="BS24" s="363">
        <f t="shared" si="53"/>
        <v>30500</v>
      </c>
      <c r="BT24" s="351">
        <f t="shared" si="53"/>
        <v>1.337719298245613</v>
      </c>
      <c r="BU24" s="363">
        <f t="shared" si="53"/>
        <v>36000</v>
      </c>
      <c r="BV24" s="351">
        <f t="shared" si="53"/>
        <v>1.5789473684210531</v>
      </c>
    </row>
    <row r="25" spans="1:74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AO25" si="54">F26</f>
        <v>31938.980999999996</v>
      </c>
      <c r="G25" s="55">
        <f t="shared" si="54"/>
        <v>7.85</v>
      </c>
      <c r="H25" s="54">
        <f t="shared" si="54"/>
        <v>32164.341</v>
      </c>
      <c r="I25" s="55">
        <f t="shared" si="54"/>
        <v>7.9053892436330395</v>
      </c>
      <c r="J25" s="54">
        <f t="shared" si="54"/>
        <v>31328.682000000001</v>
      </c>
      <c r="K25" s="55">
        <f t="shared" si="54"/>
        <v>7.7</v>
      </c>
      <c r="L25" s="54">
        <f t="shared" si="54"/>
        <v>33000</v>
      </c>
      <c r="M25" s="55">
        <f t="shared" si="54"/>
        <v>8.110778487266078</v>
      </c>
      <c r="N25" s="54">
        <f t="shared" si="54"/>
        <v>32164.341</v>
      </c>
      <c r="O25" s="55">
        <f t="shared" si="54"/>
        <v>7.9053892436330395</v>
      </c>
      <c r="P25" s="54">
        <f t="shared" si="54"/>
        <v>31328.682000000001</v>
      </c>
      <c r="Q25" s="55">
        <f t="shared" si="54"/>
        <v>7.7</v>
      </c>
      <c r="R25" s="54">
        <f t="shared" si="54"/>
        <v>33000</v>
      </c>
      <c r="S25" s="55">
        <f t="shared" si="54"/>
        <v>8.110778487266078</v>
      </c>
      <c r="T25" s="54">
        <f t="shared" si="54"/>
        <v>32164.341</v>
      </c>
      <c r="U25" s="55">
        <f t="shared" si="54"/>
        <v>7.9053892436330395</v>
      </c>
      <c r="V25" s="54">
        <f t="shared" si="54"/>
        <v>32164.341</v>
      </c>
      <c r="W25" s="55">
        <f t="shared" si="54"/>
        <v>7.9053892436330395</v>
      </c>
      <c r="X25" s="54">
        <f t="shared" si="54"/>
        <v>35190.088499999998</v>
      </c>
      <c r="Y25" s="55">
        <f t="shared" si="54"/>
        <v>8.6490609930542242</v>
      </c>
      <c r="Z25" s="54">
        <f t="shared" si="54"/>
        <v>32406.744099999996</v>
      </c>
      <c r="AA25" s="55">
        <f t="shared" si="54"/>
        <v>7.9649673602611175</v>
      </c>
      <c r="AB25" s="54">
        <f t="shared" si="54"/>
        <v>31613.488199999996</v>
      </c>
      <c r="AC25" s="55">
        <f t="shared" si="54"/>
        <v>7.77</v>
      </c>
      <c r="AD25" s="54">
        <f t="shared" si="54"/>
        <v>33200</v>
      </c>
      <c r="AE25" s="55">
        <f t="shared" si="54"/>
        <v>8.1599347205222355</v>
      </c>
      <c r="AF25" s="742"/>
      <c r="AG25" s="743"/>
      <c r="AH25" s="750"/>
      <c r="AI25" s="630"/>
      <c r="AJ25" s="54">
        <f t="shared" si="54"/>
        <v>32711.893599999999</v>
      </c>
      <c r="AK25" s="55">
        <f t="shared" si="54"/>
        <v>8.0399673602611177</v>
      </c>
      <c r="AL25" s="54">
        <f>AL26</f>
        <v>32223.787199999999</v>
      </c>
      <c r="AM25" s="55">
        <f>AM26</f>
        <v>7.92</v>
      </c>
      <c r="AN25" s="54">
        <f t="shared" si="54"/>
        <v>33200</v>
      </c>
      <c r="AO25" s="55">
        <f t="shared" si="54"/>
        <v>8.1599347205222355</v>
      </c>
      <c r="AP25" s="742"/>
      <c r="AQ25" s="743"/>
      <c r="AR25" s="750"/>
      <c r="AS25" s="630"/>
      <c r="AT25" s="54">
        <f t="shared" ref="AT25:AY25" si="55">AT26</f>
        <v>33093.266799999998</v>
      </c>
      <c r="AU25" s="55">
        <f t="shared" si="55"/>
        <v>8.1337017101453544</v>
      </c>
      <c r="AV25" s="54">
        <f t="shared" si="55"/>
        <v>32386.533599999999</v>
      </c>
      <c r="AW25" s="55">
        <f t="shared" si="55"/>
        <v>7.96</v>
      </c>
      <c r="AX25" s="54">
        <f t="shared" si="55"/>
        <v>33800</v>
      </c>
      <c r="AY25" s="55">
        <f t="shared" si="55"/>
        <v>8.3074034202907097</v>
      </c>
      <c r="AZ25" s="742"/>
      <c r="BA25" s="743"/>
      <c r="BB25" s="743"/>
      <c r="BD25" s="54">
        <f t="shared" ref="BD25:BL25" si="56">BD26</f>
        <v>33093.266799999998</v>
      </c>
      <c r="BE25" s="55">
        <f t="shared" si="56"/>
        <v>8.1337017101453544</v>
      </c>
      <c r="BG25" s="54">
        <f t="shared" si="56"/>
        <v>35190.088499999998</v>
      </c>
      <c r="BH25" s="55">
        <f t="shared" si="56"/>
        <v>8.6490609930542242</v>
      </c>
      <c r="BI25" s="54">
        <f t="shared" si="56"/>
        <v>34380.176999999996</v>
      </c>
      <c r="BJ25" s="55">
        <f t="shared" si="56"/>
        <v>8.4499999999999993</v>
      </c>
      <c r="BK25" s="54">
        <f t="shared" si="56"/>
        <v>36000</v>
      </c>
      <c r="BL25" s="55">
        <f t="shared" si="56"/>
        <v>8.848121986108449</v>
      </c>
      <c r="BN25" s="54">
        <f t="shared" ref="BN25:BO25" si="57">BN26</f>
        <v>39262.569000000003</v>
      </c>
      <c r="BO25" s="55">
        <f t="shared" si="57"/>
        <v>9.65</v>
      </c>
      <c r="BQ25" s="54">
        <v>172000</v>
      </c>
      <c r="BR25" s="55">
        <f>BQ25/$BQ$12</f>
        <v>7.5438596491228074</v>
      </c>
      <c r="BS25" s="54">
        <v>185500</v>
      </c>
      <c r="BT25" s="55">
        <f>BS25/$BQ$12</f>
        <v>8.1359649122807021</v>
      </c>
      <c r="BU25" s="54">
        <v>208000</v>
      </c>
      <c r="BV25" s="55">
        <f>BU25/$BQ$12</f>
        <v>9.1228070175438596</v>
      </c>
    </row>
    <row r="26" spans="1:74" s="4" customFormat="1" ht="18" customHeight="1" x14ac:dyDescent="0.45">
      <c r="A26" s="561"/>
      <c r="B26" s="1187"/>
      <c r="C26" s="56" t="s">
        <v>40</v>
      </c>
      <c r="D26" s="52"/>
      <c r="E26" s="53"/>
      <c r="F26" s="54">
        <f>7.85*F12</f>
        <v>31938.980999999996</v>
      </c>
      <c r="G26" s="57">
        <f>+F26/F12</f>
        <v>7.85</v>
      </c>
      <c r="H26" s="54">
        <f>AVERAGE(J26,L26)</f>
        <v>32164.341</v>
      </c>
      <c r="I26" s="57">
        <f>+H26/H12</f>
        <v>7.9053892436330395</v>
      </c>
      <c r="J26" s="54">
        <f>J12*7.7</f>
        <v>31328.682000000001</v>
      </c>
      <c r="K26" s="57">
        <f>+J26/J12</f>
        <v>7.7</v>
      </c>
      <c r="L26" s="54">
        <v>33000</v>
      </c>
      <c r="M26" s="57">
        <f>+L26/L12</f>
        <v>8.110778487266078</v>
      </c>
      <c r="N26" s="54">
        <f>AVERAGE(P26,R26)</f>
        <v>32164.341</v>
      </c>
      <c r="O26" s="57">
        <f>+N26/N12</f>
        <v>7.9053892436330395</v>
      </c>
      <c r="P26" s="54">
        <f>P12*7.7</f>
        <v>31328.682000000001</v>
      </c>
      <c r="Q26" s="57">
        <f>+P26/P12</f>
        <v>7.7</v>
      </c>
      <c r="R26" s="54">
        <v>33000</v>
      </c>
      <c r="S26" s="57">
        <f>+R26/R12</f>
        <v>8.110778487266078</v>
      </c>
      <c r="T26" s="54">
        <f>N26</f>
        <v>32164.341</v>
      </c>
      <c r="U26" s="57">
        <f>O26</f>
        <v>7.9053892436330395</v>
      </c>
      <c r="V26" s="54">
        <f>T26</f>
        <v>32164.341</v>
      </c>
      <c r="W26" s="57">
        <f>+V26/V12</f>
        <v>7.9053892436330395</v>
      </c>
      <c r="X26" s="54">
        <f>Y26*X12</f>
        <v>35190.088499999998</v>
      </c>
      <c r="Y26" s="57">
        <f>BH26</f>
        <v>8.6490609930542242</v>
      </c>
      <c r="Z26" s="54">
        <f>AVERAGE(AB26,AD26)</f>
        <v>32406.744099999996</v>
      </c>
      <c r="AA26" s="57">
        <f>+Z26/Z12</f>
        <v>7.9649673602611175</v>
      </c>
      <c r="AB26" s="54">
        <f>AB12*7.77</f>
        <v>31613.488199999996</v>
      </c>
      <c r="AC26" s="57">
        <f>+AB26/AB12</f>
        <v>7.77</v>
      </c>
      <c r="AD26" s="54">
        <v>33200</v>
      </c>
      <c r="AE26" s="57">
        <f>+AD26/AD12</f>
        <v>8.1599347205222355</v>
      </c>
      <c r="AF26" s="742">
        <f>AA26/$O26-1</f>
        <v>7.5363925534801535E-3</v>
      </c>
      <c r="AG26" s="743">
        <f>AC26/$Q26-1</f>
        <v>9.0909090909090384E-3</v>
      </c>
      <c r="AH26" s="744">
        <f>AE26/$S26-1</f>
        <v>6.0606060606060996E-3</v>
      </c>
      <c r="AI26" s="630"/>
      <c r="AJ26" s="54">
        <f>AVERAGE(AL26,AN26)</f>
        <v>32711.893599999999</v>
      </c>
      <c r="AK26" s="57">
        <f>+AJ26/AJ12</f>
        <v>8.0399673602611177</v>
      </c>
      <c r="AL26" s="54">
        <f>AL12*7.92</f>
        <v>32223.787199999999</v>
      </c>
      <c r="AM26" s="57">
        <f>+AL26/AL12</f>
        <v>7.92</v>
      </c>
      <c r="AN26" s="54">
        <v>33200</v>
      </c>
      <c r="AO26" s="57">
        <f>+AN26/AN12</f>
        <v>8.1599347205222355</v>
      </c>
      <c r="AP26" s="742">
        <f>AK26/$O26-1</f>
        <v>1.702359143624288E-2</v>
      </c>
      <c r="AQ26" s="743">
        <f>AM26/$Q26-1</f>
        <v>2.857142857142847E-2</v>
      </c>
      <c r="AR26" s="744">
        <f>AO26/$S26-1</f>
        <v>6.0606060606060996E-3</v>
      </c>
      <c r="AS26" s="630"/>
      <c r="AT26" s="54">
        <f>AVERAGE(AV26,AX26)</f>
        <v>33093.266799999998</v>
      </c>
      <c r="AU26" s="57">
        <f>+AT26/AT12</f>
        <v>8.1337017101453544</v>
      </c>
      <c r="AV26" s="54">
        <f>AV12*7.96</f>
        <v>32386.533599999999</v>
      </c>
      <c r="AW26" s="57">
        <f>+AV26/AV12</f>
        <v>7.96</v>
      </c>
      <c r="AX26" s="54">
        <v>33800</v>
      </c>
      <c r="AY26" s="57">
        <f>+AX26/AX12</f>
        <v>8.3074034202907097</v>
      </c>
      <c r="AZ26" s="742">
        <f>AU26/$O26-1</f>
        <v>2.8880610362885806E-2</v>
      </c>
      <c r="BA26" s="743">
        <f>AW26/$Q26-1</f>
        <v>3.3766233766233666E-2</v>
      </c>
      <c r="BB26" s="852">
        <f>AY26/$S26-1</f>
        <v>2.4242424242424176E-2</v>
      </c>
      <c r="BD26" s="54">
        <f>BE26*BD12</f>
        <v>33093.266799999998</v>
      </c>
      <c r="BE26" s="57">
        <f>AU26</f>
        <v>8.1337017101453544</v>
      </c>
      <c r="BG26" s="54">
        <f>BH26*BG12</f>
        <v>35190.088499999998</v>
      </c>
      <c r="BH26" s="57">
        <f>AVERAGE(BJ26,BL26)</f>
        <v>8.6490609930542242</v>
      </c>
      <c r="BI26" s="54">
        <f t="shared" ref="BI26" si="58">BJ26*BI12</f>
        <v>34380.176999999996</v>
      </c>
      <c r="BJ26" s="57">
        <v>8.4499999999999993</v>
      </c>
      <c r="BK26" s="54">
        <v>36000</v>
      </c>
      <c r="BL26" s="57">
        <f>BK26/BK12</f>
        <v>8.848121986108449</v>
      </c>
      <c r="BN26" s="54">
        <f>BO26*BN12</f>
        <v>39262.569000000003</v>
      </c>
      <c r="BO26" s="57">
        <v>9.65</v>
      </c>
      <c r="BQ26" s="54">
        <f>BQ25/1.1</f>
        <v>156363.63636363635</v>
      </c>
      <c r="BR26" s="57">
        <f>BQ26/$BQ$12</f>
        <v>6.8580542264752786</v>
      </c>
      <c r="BS26" s="54">
        <f>BS25/1.8</f>
        <v>103055.55555555555</v>
      </c>
      <c r="BT26" s="57">
        <f>BS26/$BQ$12</f>
        <v>4.5199805068226118</v>
      </c>
      <c r="BU26" s="54">
        <f>BU25/1.8</f>
        <v>115555.55555555555</v>
      </c>
      <c r="BV26" s="57">
        <f>BU26/$BQ$12</f>
        <v>5.0682261208576991</v>
      </c>
    </row>
    <row r="27" spans="1:74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745"/>
      <c r="AG27" s="725"/>
      <c r="AH27" s="746"/>
      <c r="AI27" s="632"/>
      <c r="AJ27" s="359"/>
      <c r="AK27" s="355"/>
      <c r="AL27" s="359"/>
      <c r="AM27" s="355"/>
      <c r="AN27" s="359"/>
      <c r="AO27" s="355"/>
      <c r="AP27" s="745"/>
      <c r="AQ27" s="725"/>
      <c r="AR27" s="746"/>
      <c r="AS27" s="632"/>
      <c r="AT27" s="359"/>
      <c r="AU27" s="355"/>
      <c r="AV27" s="359"/>
      <c r="AW27" s="355"/>
      <c r="AX27" s="359"/>
      <c r="AY27" s="355"/>
      <c r="AZ27" s="745"/>
      <c r="BA27" s="725"/>
      <c r="BB27" s="725"/>
      <c r="BD27" s="359"/>
      <c r="BE27" s="355"/>
      <c r="BG27" s="359"/>
      <c r="BH27" s="355"/>
      <c r="BI27" s="359"/>
      <c r="BJ27" s="355"/>
      <c r="BK27" s="745">
        <f>3000/R26</f>
        <v>9.0909090909090912E-2</v>
      </c>
      <c r="BL27" s="355"/>
      <c r="BN27" s="359"/>
      <c r="BO27" s="355"/>
      <c r="BQ27" s="359"/>
      <c r="BR27" s="355"/>
      <c r="BS27" s="359"/>
      <c r="BT27" s="355"/>
      <c r="BU27" s="359"/>
      <c r="BV27" s="355"/>
    </row>
    <row r="28" spans="1:74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747"/>
      <c r="AG28" s="748"/>
      <c r="AH28" s="749"/>
      <c r="AI28" s="637"/>
      <c r="AJ28" s="364"/>
      <c r="AK28" s="360"/>
      <c r="AL28" s="364"/>
      <c r="AM28" s="360"/>
      <c r="AN28" s="364"/>
      <c r="AO28" s="360"/>
      <c r="AP28" s="747"/>
      <c r="AQ28" s="748"/>
      <c r="AR28" s="749"/>
      <c r="AS28" s="637"/>
      <c r="AT28" s="364"/>
      <c r="AU28" s="360"/>
      <c r="AV28" s="364"/>
      <c r="AW28" s="360"/>
      <c r="AX28" s="364"/>
      <c r="AY28" s="360"/>
      <c r="AZ28" s="747"/>
      <c r="BA28" s="748"/>
      <c r="BB28" s="748"/>
      <c r="BD28" s="364"/>
      <c r="BE28" s="360"/>
      <c r="BG28" s="364"/>
      <c r="BH28" s="360"/>
      <c r="BI28" s="364"/>
      <c r="BJ28" s="360"/>
      <c r="BK28" s="364"/>
      <c r="BL28" s="360"/>
      <c r="BN28" s="364"/>
      <c r="BO28" s="360"/>
      <c r="BQ28" s="364"/>
      <c r="BR28" s="360"/>
      <c r="BS28" s="364"/>
      <c r="BT28" s="360"/>
      <c r="BU28" s="364"/>
      <c r="BV28" s="360"/>
    </row>
    <row r="29" spans="1:74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AE29" si="59">F30/F26</f>
        <v>6.2420382165605012E-2</v>
      </c>
      <c r="G29" s="48">
        <f t="shared" si="59"/>
        <v>6.2420382165605012E-2</v>
      </c>
      <c r="H29" s="47">
        <f t="shared" si="59"/>
        <v>6.8989549638215852E-2</v>
      </c>
      <c r="I29" s="48">
        <f t="shared" si="59"/>
        <v>6.9096713226456719E-2</v>
      </c>
      <c r="J29" s="47">
        <f t="shared" si="59"/>
        <v>1.8751973189192712E-2</v>
      </c>
      <c r="K29" s="48">
        <f t="shared" si="59"/>
        <v>1.8751973189192663E-2</v>
      </c>
      <c r="L29" s="47">
        <f t="shared" si="59"/>
        <v>3.7715299334811624E-2</v>
      </c>
      <c r="M29" s="48">
        <f t="shared" si="59"/>
        <v>3.7715299334811575E-2</v>
      </c>
      <c r="N29" s="361">
        <f t="shared" si="59"/>
        <v>7.1804444407090329E-2</v>
      </c>
      <c r="O29" s="362">
        <f t="shared" si="59"/>
        <v>7.180444440709037E-2</v>
      </c>
      <c r="P29" s="361">
        <f t="shared" si="59"/>
        <v>1.5362131322047558E-2</v>
      </c>
      <c r="Q29" s="362">
        <f t="shared" si="59"/>
        <v>1.536213132204747E-2</v>
      </c>
      <c r="R29" s="361">
        <f t="shared" si="59"/>
        <v>3.7715299334811624E-2</v>
      </c>
      <c r="S29" s="362">
        <f t="shared" si="59"/>
        <v>3.7715299334811575E-2</v>
      </c>
      <c r="T29" s="361">
        <f t="shared" si="59"/>
        <v>7.1804444407090329E-2</v>
      </c>
      <c r="U29" s="362">
        <f t="shared" si="59"/>
        <v>7.180444440709037E-2</v>
      </c>
      <c r="V29" s="361">
        <f t="shared" si="59"/>
        <v>7.1804444407090329E-2</v>
      </c>
      <c r="W29" s="362">
        <f t="shared" si="59"/>
        <v>7.180444440709037E-2</v>
      </c>
      <c r="X29" s="361">
        <f t="shared" si="59"/>
        <v>7.5297210441780241E-2</v>
      </c>
      <c r="Y29" s="362">
        <f t="shared" si="59"/>
        <v>7.5297210441780268E-2</v>
      </c>
      <c r="Z29" s="361">
        <f t="shared" si="59"/>
        <v>7.2459480812788329E-2</v>
      </c>
      <c r="AA29" s="362">
        <f t="shared" si="59"/>
        <v>7.2459480812788385E-2</v>
      </c>
      <c r="AB29" s="361">
        <f t="shared" si="59"/>
        <v>1.5642657049331744E-2</v>
      </c>
      <c r="AC29" s="362">
        <f t="shared" si="59"/>
        <v>1.5642657049331786E-2</v>
      </c>
      <c r="AD29" s="361">
        <f t="shared" si="59"/>
        <v>3.8823529411764791E-2</v>
      </c>
      <c r="AE29" s="362">
        <f t="shared" si="59"/>
        <v>3.8823529411764701E-2</v>
      </c>
      <c r="AF29" s="745"/>
      <c r="AG29" s="725"/>
      <c r="AH29" s="746"/>
      <c r="AI29" s="635"/>
      <c r="AJ29" s="361">
        <f t="shared" ref="AJ29:AK29" si="60">AJ30/AJ26</f>
        <v>7.1886779431197492E-2</v>
      </c>
      <c r="AK29" s="362">
        <f t="shared" si="60"/>
        <v>7.1886779431197478E-2</v>
      </c>
      <c r="AL29" s="361">
        <f>AL30/AL26</f>
        <v>1.5151515151515152E-2</v>
      </c>
      <c r="AM29" s="362">
        <f>AM30/AM26</f>
        <v>1.5151515151515166E-2</v>
      </c>
      <c r="AN29" s="361">
        <f t="shared" ref="AN29:AO29" si="61">AN30/AN26</f>
        <v>3.8823529411764791E-2</v>
      </c>
      <c r="AO29" s="362">
        <f t="shared" si="61"/>
        <v>3.8823529411764701E-2</v>
      </c>
      <c r="AP29" s="745"/>
      <c r="AQ29" s="725"/>
      <c r="AR29" s="746"/>
      <c r="AS29" s="635"/>
      <c r="AT29" s="361">
        <f t="shared" ref="AT29:AU29" si="62">AT30/AT26</f>
        <v>7.078411255771816E-2</v>
      </c>
      <c r="AU29" s="362">
        <f t="shared" si="62"/>
        <v>7.0784112557718118E-2</v>
      </c>
      <c r="AV29" s="361">
        <f>AV30/AV26</f>
        <v>1.4657144063963609E-2</v>
      </c>
      <c r="AW29" s="362">
        <f>AW30/AW26</f>
        <v>1.4657144063963659E-2</v>
      </c>
      <c r="AX29" s="361">
        <f>AX30/AX26</f>
        <v>3.7003550295858022E-2</v>
      </c>
      <c r="AY29" s="362">
        <f>AY30/AY26</f>
        <v>3.7003550295857952E-2</v>
      </c>
      <c r="AZ29" s="745"/>
      <c r="BA29" s="725"/>
      <c r="BB29" s="725"/>
      <c r="BC29" s="924"/>
      <c r="BD29" s="361">
        <f t="shared" ref="BD29:BE29" si="63">BD30/BD26</f>
        <v>7.078411255771816E-2</v>
      </c>
      <c r="BE29" s="362">
        <f t="shared" si="63"/>
        <v>7.0784112557718118E-2</v>
      </c>
      <c r="BF29" s="924"/>
      <c r="BG29" s="361">
        <f t="shared" ref="BG29:BL29" si="64">BG30/BG26</f>
        <v>7.5297210441780241E-2</v>
      </c>
      <c r="BH29" s="362">
        <f t="shared" si="64"/>
        <v>7.5297210441780268E-2</v>
      </c>
      <c r="BI29" s="361">
        <f t="shared" si="64"/>
        <v>2.2211935820503625E-2</v>
      </c>
      <c r="BJ29" s="362">
        <f t="shared" si="64"/>
        <v>2.2211935820503657E-2</v>
      </c>
      <c r="BK29" s="361">
        <f t="shared" si="64"/>
        <v>3.9344166666666652E-2</v>
      </c>
      <c r="BL29" s="362">
        <f t="shared" si="64"/>
        <v>3.9344166666666729E-2</v>
      </c>
      <c r="BM29" s="924"/>
      <c r="BN29" s="361">
        <f t="shared" ref="BN29:BO29" si="65">BN30/BN26</f>
        <v>6.632124352331624E-2</v>
      </c>
      <c r="BO29" s="362">
        <f t="shared" si="65"/>
        <v>6.6321243523316115E-2</v>
      </c>
      <c r="BQ29" s="361">
        <f t="shared" ref="BQ29:BV29" si="66">BQ30/BQ25</f>
        <v>8.1395348837209308E-2</v>
      </c>
      <c r="BR29" s="362">
        <f t="shared" si="66"/>
        <v>8.1395348837209378E-2</v>
      </c>
      <c r="BS29" s="361">
        <f t="shared" si="66"/>
        <v>7.5471698113207544E-2</v>
      </c>
      <c r="BT29" s="362">
        <f t="shared" si="66"/>
        <v>7.5471698113207614E-2</v>
      </c>
      <c r="BU29" s="361">
        <f t="shared" si="66"/>
        <v>7.6923076923076927E-2</v>
      </c>
      <c r="BV29" s="362">
        <f t="shared" si="66"/>
        <v>7.6923076923076969E-2</v>
      </c>
    </row>
    <row r="30" spans="1:74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AE30" si="67">F26-F32</f>
        <v>1993.6433999999972</v>
      </c>
      <c r="G30" s="24">
        <f t="shared" si="67"/>
        <v>0.48999999999999932</v>
      </c>
      <c r="H30" s="50">
        <f t="shared" si="67"/>
        <v>2219.0034000000014</v>
      </c>
      <c r="I30" s="24">
        <f t="shared" si="67"/>
        <v>0.54623641351082775</v>
      </c>
      <c r="J30" s="50">
        <f t="shared" si="67"/>
        <v>587.47460491674428</v>
      </c>
      <c r="K30" s="24">
        <f t="shared" si="67"/>
        <v>0.14439019355678351</v>
      </c>
      <c r="L30" s="50">
        <f t="shared" si="67"/>
        <v>1244.6048780487836</v>
      </c>
      <c r="M30" s="24">
        <f t="shared" si="67"/>
        <v>0.30590043848559034</v>
      </c>
      <c r="N30" s="363">
        <f t="shared" si="67"/>
        <v>2309.5426352251961</v>
      </c>
      <c r="O30" s="351">
        <f t="shared" si="67"/>
        <v>0.56764208246085879</v>
      </c>
      <c r="P30" s="363">
        <f t="shared" si="67"/>
        <v>481.27532703066754</v>
      </c>
      <c r="Q30" s="351">
        <f t="shared" si="67"/>
        <v>0.11828841117976552</v>
      </c>
      <c r="R30" s="363">
        <f t="shared" si="67"/>
        <v>1244.6048780487836</v>
      </c>
      <c r="S30" s="351">
        <f t="shared" si="67"/>
        <v>0.30590043848559034</v>
      </c>
      <c r="T30" s="363">
        <f t="shared" si="67"/>
        <v>2309.5426352251961</v>
      </c>
      <c r="U30" s="351">
        <f t="shared" si="67"/>
        <v>0.56764208246085879</v>
      </c>
      <c r="V30" s="363">
        <f t="shared" si="67"/>
        <v>2309.5426352251961</v>
      </c>
      <c r="W30" s="351">
        <f t="shared" si="67"/>
        <v>0.56764208246085879</v>
      </c>
      <c r="X30" s="363">
        <f t="shared" si="67"/>
        <v>2649.7154992493706</v>
      </c>
      <c r="Y30" s="351">
        <f t="shared" si="67"/>
        <v>0.65125016571779692</v>
      </c>
      <c r="Z30" s="363">
        <f t="shared" si="67"/>
        <v>2348.175852318891</v>
      </c>
      <c r="AA30" s="351">
        <f t="shared" si="67"/>
        <v>0.57713739961532617</v>
      </c>
      <c r="AB30" s="363">
        <f t="shared" si="67"/>
        <v>494.51895404569586</v>
      </c>
      <c r="AC30" s="351">
        <f t="shared" si="67"/>
        <v>0.12154344527330796</v>
      </c>
      <c r="AD30" s="363">
        <f t="shared" si="67"/>
        <v>1288.941176470591</v>
      </c>
      <c r="AE30" s="351">
        <f t="shared" si="67"/>
        <v>0.316797465620275</v>
      </c>
      <c r="AF30" s="745">
        <f>AA30/$O30-1</f>
        <v>1.6727648368322079E-2</v>
      </c>
      <c r="AG30" s="725">
        <f>AC30/$Q30-1</f>
        <v>2.7517776771857072E-2</v>
      </c>
      <c r="AH30" s="746">
        <f>AE30/$S30-1</f>
        <v>3.5622790175235286E-2</v>
      </c>
      <c r="AI30" s="630"/>
      <c r="AJ30" s="363">
        <f t="shared" ref="AJ30:AK30" si="68">AJ26-AJ32</f>
        <v>2351.5526800000007</v>
      </c>
      <c r="AK30" s="351">
        <f t="shared" si="68"/>
        <v>0.57796736026111795</v>
      </c>
      <c r="AL30" s="363">
        <f>AL26-AL32</f>
        <v>488.23919999999998</v>
      </c>
      <c r="AM30" s="351">
        <f>AM26-AM32</f>
        <v>0.12000000000000011</v>
      </c>
      <c r="AN30" s="363">
        <f t="shared" ref="AN30:AO30" si="69">AN26-AN32</f>
        <v>1288.941176470591</v>
      </c>
      <c r="AO30" s="351">
        <f t="shared" si="69"/>
        <v>0.316797465620275</v>
      </c>
      <c r="AP30" s="745">
        <f>AK30/$O30-1</f>
        <v>1.8189768023358477E-2</v>
      </c>
      <c r="AQ30" s="725">
        <f>AM30/$Q30-1</f>
        <v>1.4469623889304284E-2</v>
      </c>
      <c r="AR30" s="746">
        <f>AO30/$S30-1</f>
        <v>3.5622790175235286E-2</v>
      </c>
      <c r="AS30" s="630"/>
      <c r="AT30" s="363">
        <f t="shared" ref="AT30:AU30" si="70">AT26-AT32</f>
        <v>2342.4775220737974</v>
      </c>
      <c r="AU30" s="351">
        <f t="shared" si="70"/>
        <v>0.57573685736183311</v>
      </c>
      <c r="AV30" s="363">
        <f>AV26-AV32</f>
        <v>474.69408870759798</v>
      </c>
      <c r="AW30" s="351">
        <f>AW26-AW32</f>
        <v>0.11667086674915073</v>
      </c>
      <c r="AX30" s="363">
        <f>AX26-AX32</f>
        <v>1250.7200000000012</v>
      </c>
      <c r="AY30" s="351">
        <f>AY26-AY32</f>
        <v>0.30740342029070966</v>
      </c>
      <c r="AZ30" s="745">
        <f>AU30/$O30-1</f>
        <v>1.4260350229640562E-2</v>
      </c>
      <c r="BA30" s="725">
        <f>AW30/$Q30-1</f>
        <v>-1.3674580751250165E-2</v>
      </c>
      <c r="BB30" s="725">
        <f>AY30/$S30-1</f>
        <v>4.9133038597788392E-3</v>
      </c>
      <c r="BD30" s="363">
        <f t="shared" ref="BD30:BE30" si="71">BD26-BD32</f>
        <v>2342.4775220737974</v>
      </c>
      <c r="BE30" s="351">
        <f t="shared" si="71"/>
        <v>0.57573685736183311</v>
      </c>
      <c r="BG30" s="363">
        <f t="shared" ref="BG30:BL30" si="72">BG26-BG32</f>
        <v>2649.7154992493706</v>
      </c>
      <c r="BH30" s="351">
        <f t="shared" si="72"/>
        <v>0.65125016571779692</v>
      </c>
      <c r="BI30" s="363">
        <f t="shared" si="72"/>
        <v>763.65028502155474</v>
      </c>
      <c r="BJ30" s="351">
        <f t="shared" si="72"/>
        <v>0.18769085768325589</v>
      </c>
      <c r="BK30" s="363">
        <f t="shared" si="72"/>
        <v>1416.3899999999994</v>
      </c>
      <c r="BL30" s="351">
        <f t="shared" si="72"/>
        <v>0.34812198610844902</v>
      </c>
      <c r="BN30" s="363">
        <f t="shared" ref="BN30:BO30" si="73">BN26-BN32</f>
        <v>2603.9424000000072</v>
      </c>
      <c r="BO30" s="351">
        <f t="shared" si="73"/>
        <v>0.64000000000000057</v>
      </c>
      <c r="BQ30" s="363">
        <f t="shared" ref="BQ30:BV30" si="74">BQ25-BQ31</f>
        <v>14000</v>
      </c>
      <c r="BR30" s="351">
        <f t="shared" si="74"/>
        <v>0.61403508771929882</v>
      </c>
      <c r="BS30" s="363">
        <f t="shared" si="74"/>
        <v>14000</v>
      </c>
      <c r="BT30" s="351">
        <f t="shared" si="74"/>
        <v>0.61403508771929882</v>
      </c>
      <c r="BU30" s="363">
        <f t="shared" si="74"/>
        <v>16000</v>
      </c>
      <c r="BV30" s="351">
        <f t="shared" si="74"/>
        <v>0.70175438596491269</v>
      </c>
    </row>
    <row r="31" spans="1:74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7.3591528301222118</v>
      </c>
      <c r="J31" s="54">
        <f>+J32</f>
        <v>30741.207395083256</v>
      </c>
      <c r="K31" s="55">
        <f>K32</f>
        <v>7.5556098064432167</v>
      </c>
      <c r="L31" s="54">
        <f>+L32</f>
        <v>31755.395121951216</v>
      </c>
      <c r="M31" s="55">
        <f>M32</f>
        <v>7.8048780487804876</v>
      </c>
      <c r="N31" s="54">
        <f>+N32</f>
        <v>29854.798364774804</v>
      </c>
      <c r="O31" s="55">
        <f>O32</f>
        <v>7.3377471611721807</v>
      </c>
      <c r="P31" s="54">
        <f>+P32</f>
        <v>30847.406672969333</v>
      </c>
      <c r="Q31" s="55">
        <f>Q32</f>
        <v>7.5817115888202347</v>
      </c>
      <c r="R31" s="54">
        <f>+R32</f>
        <v>31755.395121951216</v>
      </c>
      <c r="S31" s="55">
        <f>S32</f>
        <v>7.8048780487804876</v>
      </c>
      <c r="T31" s="54">
        <f>+T32</f>
        <v>29854.798364774804</v>
      </c>
      <c r="U31" s="55">
        <f>U32</f>
        <v>7.3377471611721807</v>
      </c>
      <c r="V31" s="54">
        <f>+V32</f>
        <v>29854.798364774804</v>
      </c>
      <c r="W31" s="55">
        <f>W32</f>
        <v>7.3377471611721807</v>
      </c>
      <c r="X31" s="54">
        <f>+X32</f>
        <v>32540.373000750627</v>
      </c>
      <c r="Y31" s="55">
        <f>Y32</f>
        <v>7.9978108273364272</v>
      </c>
      <c r="Z31" s="54">
        <f>+Z32</f>
        <v>30058.568247681105</v>
      </c>
      <c r="AA31" s="55">
        <f>AA32</f>
        <v>7.3878299606457913</v>
      </c>
      <c r="AB31" s="54">
        <f>+AB32</f>
        <v>31118.9692459543</v>
      </c>
      <c r="AC31" s="55">
        <f>AC32</f>
        <v>7.6484565547266916</v>
      </c>
      <c r="AD31" s="54">
        <f>+AD32</f>
        <v>31911.058823529409</v>
      </c>
      <c r="AE31" s="55">
        <f>AE32</f>
        <v>7.8431372549019605</v>
      </c>
      <c r="AF31" s="742"/>
      <c r="AG31" s="743"/>
      <c r="AH31" s="750"/>
      <c r="AI31" s="630"/>
      <c r="AJ31" s="54">
        <f>+AJ32</f>
        <v>30360.340919999999</v>
      </c>
      <c r="AK31" s="55">
        <f>AK32</f>
        <v>7.4619999999999997</v>
      </c>
      <c r="AL31" s="54">
        <f>+AL32</f>
        <v>31735.547999999999</v>
      </c>
      <c r="AM31" s="55">
        <f>AM32</f>
        <v>7.8</v>
      </c>
      <c r="AN31" s="54">
        <f>+AN32</f>
        <v>31911.058823529409</v>
      </c>
      <c r="AO31" s="55">
        <f>AO32</f>
        <v>7.8431372549019605</v>
      </c>
      <c r="AP31" s="742"/>
      <c r="AQ31" s="743"/>
      <c r="AR31" s="750"/>
      <c r="AS31" s="630"/>
      <c r="AT31" s="54">
        <f>+AT32</f>
        <v>30750.7892779262</v>
      </c>
      <c r="AU31" s="55">
        <f>AU32</f>
        <v>7.5579648527835213</v>
      </c>
      <c r="AV31" s="54">
        <f>+AV32</f>
        <v>31911.839511292401</v>
      </c>
      <c r="AW31" s="55">
        <f>AW32</f>
        <v>7.8433291332508492</v>
      </c>
      <c r="AX31" s="54">
        <f>+AX32</f>
        <v>32549.279999999999</v>
      </c>
      <c r="AY31" s="55">
        <f>AY32</f>
        <v>8</v>
      </c>
      <c r="AZ31" s="742"/>
      <c r="BA31" s="743"/>
      <c r="BB31" s="743"/>
      <c r="BD31" s="54">
        <f>+BD32</f>
        <v>30750.7892779262</v>
      </c>
      <c r="BE31" s="55">
        <f>BE32</f>
        <v>7.5579648527835213</v>
      </c>
      <c r="BG31" s="54">
        <f>+BG32</f>
        <v>32540.373000750627</v>
      </c>
      <c r="BH31" s="55">
        <f>BH32</f>
        <v>7.9978108273364272</v>
      </c>
      <c r="BI31" s="54">
        <f t="shared" ref="BI31" si="75">+BI32</f>
        <v>33616.526714978441</v>
      </c>
      <c r="BJ31" s="55">
        <f t="shared" ref="BJ31" si="76">BJ32</f>
        <v>8.2623091423167434</v>
      </c>
      <c r="BK31" s="54">
        <f t="shared" ref="BK31" si="77">+BK32</f>
        <v>34583.61</v>
      </c>
      <c r="BL31" s="55">
        <f t="shared" ref="BL31" si="78">BL32</f>
        <v>8.5</v>
      </c>
      <c r="BN31" s="54">
        <f>+BN32</f>
        <v>36658.626599999996</v>
      </c>
      <c r="BO31" s="55">
        <f>BO32</f>
        <v>9.01</v>
      </c>
      <c r="BQ31" s="54">
        <v>158000</v>
      </c>
      <c r="BR31" s="55">
        <f>BQ31/$BQ$12</f>
        <v>6.9298245614035086</v>
      </c>
      <c r="BS31" s="54">
        <v>171500</v>
      </c>
      <c r="BT31" s="55">
        <f>BS31/$BQ$12</f>
        <v>7.5219298245614032</v>
      </c>
      <c r="BU31" s="54">
        <v>192000</v>
      </c>
      <c r="BV31" s="55">
        <f>BU31/$BQ$12</f>
        <v>8.4210526315789469</v>
      </c>
    </row>
    <row r="32" spans="1:74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v>7.3591528301222118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>+L32/L12</f>
        <v>7.8048780487804876</v>
      </c>
      <c r="N32" s="54">
        <f>O32*N12</f>
        <v>29854.798364774804</v>
      </c>
      <c r="O32" s="55">
        <v>7.3377471611721807</v>
      </c>
      <c r="P32" s="54">
        <f>Q32*P12</f>
        <v>30847.406672969333</v>
      </c>
      <c r="Q32" s="55">
        <v>7.5817115888202347</v>
      </c>
      <c r="R32" s="54">
        <f>S32*R12</f>
        <v>31755.395121951216</v>
      </c>
      <c r="S32" s="55">
        <f>8*40/41</f>
        <v>7.8048780487804876</v>
      </c>
      <c r="T32" s="54">
        <f>U32*T12</f>
        <v>29854.798364774804</v>
      </c>
      <c r="U32" s="55">
        <v>7.3377471611721807</v>
      </c>
      <c r="V32" s="54">
        <f>W32*V12</f>
        <v>29854.798364774804</v>
      </c>
      <c r="W32" s="55">
        <v>7.3377471611721807</v>
      </c>
      <c r="X32" s="54">
        <f>Y32*X12</f>
        <v>32540.373000750627</v>
      </c>
      <c r="Y32" s="55">
        <f>BH32</f>
        <v>7.9978108273364272</v>
      </c>
      <c r="Z32" s="54">
        <f>AA32*Z12</f>
        <v>30058.568247681105</v>
      </c>
      <c r="AA32" s="55">
        <v>7.3878299606457913</v>
      </c>
      <c r="AB32" s="54">
        <f>AC32*AB12</f>
        <v>31118.9692459543</v>
      </c>
      <c r="AC32" s="55">
        <v>7.6484565547266916</v>
      </c>
      <c r="AD32" s="54">
        <f>AE32*AD12</f>
        <v>31911.058823529409</v>
      </c>
      <c r="AE32" s="55">
        <f>8*50/51</f>
        <v>7.8431372549019605</v>
      </c>
      <c r="AF32" s="742">
        <f>AA32/$O32-1</f>
        <v>6.82536456674665E-3</v>
      </c>
      <c r="AG32" s="743">
        <f>AC32/$Q32-1</f>
        <v>8.8034166328454511E-3</v>
      </c>
      <c r="AH32" s="750">
        <f>AE32/$S32-1</f>
        <v>4.9019607843137081E-3</v>
      </c>
      <c r="AI32" s="630"/>
      <c r="AJ32" s="54">
        <f>AK32*AJ12</f>
        <v>30360.340919999999</v>
      </c>
      <c r="AK32" s="55">
        <f>AM32*0.48+AO38*0.52</f>
        <v>7.4619999999999997</v>
      </c>
      <c r="AL32" s="54">
        <f>AM32*AL12</f>
        <v>31735.547999999999</v>
      </c>
      <c r="AM32" s="55">
        <v>7.8</v>
      </c>
      <c r="AN32" s="54">
        <f>AO32*AN12</f>
        <v>31911.058823529409</v>
      </c>
      <c r="AO32" s="55">
        <f>8*50/51</f>
        <v>7.8431372549019605</v>
      </c>
      <c r="AP32" s="742">
        <f>AK32/$O32-1</f>
        <v>1.693337697506192E-2</v>
      </c>
      <c r="AQ32" s="743">
        <f>AM32/$Q32-1</f>
        <v>2.8791442225479358E-2</v>
      </c>
      <c r="AR32" s="750">
        <f>AO32/$S32-1</f>
        <v>4.9019607843137081E-3</v>
      </c>
      <c r="AS32" s="630"/>
      <c r="AT32" s="54">
        <f>AU32*AT12</f>
        <v>30750.7892779262</v>
      </c>
      <c r="AU32" s="55">
        <v>7.5579648527835213</v>
      </c>
      <c r="AV32" s="54">
        <f>AW32*AV12</f>
        <v>31911.839511292401</v>
      </c>
      <c r="AW32" s="55">
        <v>7.8433291332508492</v>
      </c>
      <c r="AX32" s="54">
        <f>AY32*AX12</f>
        <v>32549.279999999999</v>
      </c>
      <c r="AY32" s="55">
        <f>8.2*40/41</f>
        <v>8</v>
      </c>
      <c r="AZ32" s="742">
        <f>AU32/$O32-1</f>
        <v>3.0011621656388821E-2</v>
      </c>
      <c r="BA32" s="743">
        <f>AW32/$Q32-1</f>
        <v>3.4506396262341088E-2</v>
      </c>
      <c r="BB32" s="743">
        <f>AY32/$S32-1</f>
        <v>2.5000000000000133E-2</v>
      </c>
      <c r="BD32" s="54">
        <f>BE32*BD12</f>
        <v>30750.7892779262</v>
      </c>
      <c r="BE32" s="55">
        <f>AU32</f>
        <v>7.5579648527835213</v>
      </c>
      <c r="BG32" s="54">
        <f>BH32*BG12</f>
        <v>32540.373000750627</v>
      </c>
      <c r="BH32" s="55">
        <f>0.48*BJ32+0.52*BL38</f>
        <v>7.9978108273364272</v>
      </c>
      <c r="BI32" s="54">
        <f t="shared" ref="BI32" si="79">BJ32*BI12</f>
        <v>33616.526714978441</v>
      </c>
      <c r="BJ32" s="55">
        <v>8.2623091423167434</v>
      </c>
      <c r="BK32" s="54">
        <f t="shared" ref="BK32" si="80">BL32*BK12</f>
        <v>34583.61</v>
      </c>
      <c r="BL32" s="55">
        <v>8.5</v>
      </c>
      <c r="BN32" s="54">
        <f>BO32*BN12</f>
        <v>36658.626599999996</v>
      </c>
      <c r="BO32" s="55">
        <v>9.01</v>
      </c>
      <c r="BQ32" s="54">
        <f>BQ31/1.1</f>
        <v>143636.36363636362</v>
      </c>
      <c r="BR32" s="55">
        <f>BQ32/$BQ$12</f>
        <v>6.2998405103668249</v>
      </c>
      <c r="BS32" s="54">
        <f>BS31/1.08</f>
        <v>158796.29629629629</v>
      </c>
      <c r="BT32" s="55">
        <f>BS32/$BQ$12</f>
        <v>6.9647498375568553</v>
      </c>
      <c r="BU32" s="54">
        <f>BU31/1.08</f>
        <v>177777.77777777775</v>
      </c>
      <c r="BV32" s="55">
        <f>BU32/$BQ$12</f>
        <v>7.7972709551656907</v>
      </c>
    </row>
    <row r="33" spans="1:74" s="4" customFormat="1" ht="18" customHeight="1" x14ac:dyDescent="0.45">
      <c r="A33" s="561"/>
      <c r="B33" s="1195"/>
      <c r="C33" s="25"/>
      <c r="D33" s="26"/>
      <c r="E33" s="26"/>
      <c r="F33" s="61"/>
      <c r="G33" s="41"/>
      <c r="H33" s="347"/>
      <c r="I33" s="346"/>
      <c r="J33" s="347"/>
      <c r="K33" s="346"/>
      <c r="L33" s="347"/>
      <c r="M33" s="346"/>
      <c r="N33" s="365"/>
      <c r="O33" s="358"/>
      <c r="P33" s="365"/>
      <c r="Q33" s="358"/>
      <c r="R33" s="365"/>
      <c r="S33" s="358"/>
      <c r="T33" s="365"/>
      <c r="U33" s="358"/>
      <c r="V33" s="365"/>
      <c r="W33" s="358"/>
      <c r="X33" s="365"/>
      <c r="Y33" s="358"/>
      <c r="Z33" s="365"/>
      <c r="AA33" s="358"/>
      <c r="AB33" s="365"/>
      <c r="AC33" s="358"/>
      <c r="AD33" s="365"/>
      <c r="AE33" s="358"/>
      <c r="AF33" s="751"/>
      <c r="AG33" s="752"/>
      <c r="AH33" s="753"/>
      <c r="AI33" s="634"/>
      <c r="AJ33" s="365"/>
      <c r="AK33" s="358"/>
      <c r="AL33" s="365"/>
      <c r="AM33" s="358"/>
      <c r="AN33" s="365"/>
      <c r="AO33" s="358"/>
      <c r="AP33" s="751"/>
      <c r="AQ33" s="752"/>
      <c r="AR33" s="753"/>
      <c r="AS33" s="634"/>
      <c r="AT33" s="365"/>
      <c r="AU33" s="358"/>
      <c r="AV33" s="365"/>
      <c r="AW33" s="358"/>
      <c r="AX33" s="365"/>
      <c r="AY33" s="358"/>
      <c r="AZ33" s="751"/>
      <c r="BA33" s="752"/>
      <c r="BB33" s="752"/>
      <c r="BD33" s="365"/>
      <c r="BE33" s="358"/>
      <c r="BG33" s="365"/>
      <c r="BH33" s="358"/>
      <c r="BI33" s="365"/>
      <c r="BJ33" s="358"/>
      <c r="BK33" s="365"/>
      <c r="BL33" s="358"/>
      <c r="BN33" s="365"/>
      <c r="BO33" s="358"/>
      <c r="BQ33" s="365"/>
      <c r="BR33" s="358"/>
      <c r="BS33" s="365"/>
      <c r="BT33" s="358"/>
      <c r="BU33" s="365"/>
      <c r="BV33" s="358"/>
    </row>
    <row r="34" spans="1:74" s="4" customFormat="1" ht="18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973"/>
      <c r="Z34" s="364"/>
      <c r="AA34" s="360"/>
      <c r="AB34" s="364"/>
      <c r="AC34" s="360"/>
      <c r="AD34" s="364"/>
      <c r="AE34" s="360"/>
      <c r="AF34" s="747"/>
      <c r="AG34" s="748"/>
      <c r="AH34" s="749"/>
      <c r="AI34" s="637"/>
      <c r="AJ34" s="364"/>
      <c r="AK34" s="360"/>
      <c r="AL34" s="364"/>
      <c r="AM34" s="360"/>
      <c r="AN34" s="364"/>
      <c r="AO34" s="360"/>
      <c r="AP34" s="747"/>
      <c r="AQ34" s="748"/>
      <c r="AR34" s="749"/>
      <c r="AS34" s="637"/>
      <c r="AT34" s="364"/>
      <c r="AU34" s="360"/>
      <c r="AV34" s="364"/>
      <c r="AW34" s="360"/>
      <c r="AX34" s="364"/>
      <c r="AY34" s="360"/>
      <c r="AZ34" s="747"/>
      <c r="BA34" s="748"/>
      <c r="BB34" s="748"/>
      <c r="BD34" s="364"/>
      <c r="BE34" s="360"/>
      <c r="BG34" s="364"/>
      <c r="BH34" s="973"/>
      <c r="BI34" s="364"/>
      <c r="BJ34" s="973"/>
      <c r="BK34" s="364"/>
      <c r="BL34" s="973"/>
      <c r="BN34" s="364"/>
      <c r="BO34" s="360"/>
      <c r="BQ34" s="364"/>
      <c r="BR34" s="973"/>
      <c r="BS34" s="364"/>
      <c r="BT34" s="973"/>
      <c r="BU34" s="364"/>
      <c r="BV34" s="973"/>
    </row>
    <row r="35" spans="1:74" s="49" customFormat="1" ht="18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81">L36/L32</f>
        <v>8.8374999999999884E-2</v>
      </c>
      <c r="M35" s="362">
        <f t="shared" si="81"/>
        <v>8.8374999999999967E-2</v>
      </c>
      <c r="N35" s="361"/>
      <c r="O35" s="362"/>
      <c r="P35" s="361"/>
      <c r="Q35" s="362"/>
      <c r="R35" s="361">
        <f t="shared" ref="R35:S35" si="82">R36/R32</f>
        <v>8.8374999999999884E-2</v>
      </c>
      <c r="S35" s="362">
        <f t="shared" si="82"/>
        <v>8.8374999999999967E-2</v>
      </c>
      <c r="T35" s="361"/>
      <c r="U35" s="362"/>
      <c r="V35" s="361"/>
      <c r="W35" s="362"/>
      <c r="X35" s="361"/>
      <c r="Y35" s="975"/>
      <c r="Z35" s="361"/>
      <c r="AA35" s="362"/>
      <c r="AB35" s="361"/>
      <c r="AC35" s="362"/>
      <c r="AD35" s="361">
        <f t="shared" ref="AD35:AE35" si="83">AD36/AD32</f>
        <v>8.8374999999999981E-2</v>
      </c>
      <c r="AE35" s="362">
        <f t="shared" si="83"/>
        <v>8.8375000000000023E-2</v>
      </c>
      <c r="AF35" s="745"/>
      <c r="AG35" s="725"/>
      <c r="AH35" s="746"/>
      <c r="AI35" s="635"/>
      <c r="AJ35" s="361"/>
      <c r="AK35" s="362"/>
      <c r="AL35" s="361"/>
      <c r="AM35" s="362"/>
      <c r="AN35" s="361">
        <f t="shared" ref="AN35:AO35" si="84">AN36/AN32</f>
        <v>8.837499999999987E-2</v>
      </c>
      <c r="AO35" s="362">
        <f t="shared" si="84"/>
        <v>8.8374999999999912E-2</v>
      </c>
      <c r="AP35" s="745"/>
      <c r="AQ35" s="725"/>
      <c r="AR35" s="746"/>
      <c r="AS35" s="635"/>
      <c r="AT35" s="361"/>
      <c r="AU35" s="362"/>
      <c r="AV35" s="361"/>
      <c r="AW35" s="362"/>
      <c r="AX35" s="361">
        <f t="shared" ref="AX35:AY35" si="85">AX36/AX32</f>
        <v>8.7804878048780455E-2</v>
      </c>
      <c r="AY35" s="362">
        <f t="shared" si="85"/>
        <v>8.7804878048780455E-2</v>
      </c>
      <c r="AZ35" s="745"/>
      <c r="BA35" s="725"/>
      <c r="BB35" s="725"/>
      <c r="BC35" s="924"/>
      <c r="BD35" s="361"/>
      <c r="BE35" s="362"/>
      <c r="BF35" s="924"/>
      <c r="BG35" s="361"/>
      <c r="BH35" s="975"/>
      <c r="BI35" s="549">
        <f>8.5/7.8-1</f>
        <v>8.9743589743589869E-2</v>
      </c>
      <c r="BJ35" s="974"/>
      <c r="BK35" s="361">
        <f t="shared" ref="BK35:BL35" si="86">BK36/BK32</f>
        <v>8.7804878048780469E-2</v>
      </c>
      <c r="BL35" s="362">
        <f t="shared" si="86"/>
        <v>8.7804878048780455E-2</v>
      </c>
      <c r="BM35" s="924"/>
      <c r="BN35" s="361"/>
      <c r="BO35" s="362"/>
      <c r="BQ35" s="361"/>
      <c r="BR35" s="975"/>
      <c r="BS35" s="361"/>
      <c r="BT35" s="975"/>
      <c r="BU35" s="361"/>
      <c r="BV35" s="975"/>
    </row>
    <row r="36" spans="1:74" s="4" customFormat="1" ht="18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87">L32-L38</f>
        <v>2806.383043902435</v>
      </c>
      <c r="M36" s="351">
        <f t="shared" si="87"/>
        <v>0.68975609756097533</v>
      </c>
      <c r="N36" s="363"/>
      <c r="O36" s="351"/>
      <c r="P36" s="363"/>
      <c r="Q36" s="351"/>
      <c r="R36" s="363">
        <f t="shared" ref="R36:S36" si="88">R32-R38</f>
        <v>2806.383043902435</v>
      </c>
      <c r="S36" s="351">
        <f t="shared" si="88"/>
        <v>0.68975609756097533</v>
      </c>
      <c r="T36" s="363"/>
      <c r="U36" s="351"/>
      <c r="V36" s="363"/>
      <c r="W36" s="351"/>
      <c r="X36" s="363"/>
      <c r="Y36" s="351"/>
      <c r="Z36" s="363"/>
      <c r="AA36" s="351"/>
      <c r="AB36" s="363"/>
      <c r="AC36" s="351"/>
      <c r="AD36" s="363">
        <f t="shared" ref="AD36:AE36" si="89">AD32-AD38</f>
        <v>2820.1398235294109</v>
      </c>
      <c r="AE36" s="351">
        <f t="shared" si="89"/>
        <v>0.69313725490196099</v>
      </c>
      <c r="AF36" s="745">
        <f>IFERROR(AA36/$O36-1,0)</f>
        <v>0</v>
      </c>
      <c r="AG36" s="725">
        <f t="shared" ref="AG36:AH36" si="90">IFERROR(AB36/$O36-1,0)</f>
        <v>0</v>
      </c>
      <c r="AH36" s="746">
        <f t="shared" si="90"/>
        <v>0</v>
      </c>
      <c r="AI36" s="630"/>
      <c r="AJ36" s="363"/>
      <c r="AK36" s="351"/>
      <c r="AL36" s="363"/>
      <c r="AM36" s="351"/>
      <c r="AN36" s="363">
        <f t="shared" ref="AN36:AO36" si="91">AN32-AN38</f>
        <v>2820.1398235294073</v>
      </c>
      <c r="AO36" s="351">
        <f t="shared" si="91"/>
        <v>0.6931372549019601</v>
      </c>
      <c r="AP36" s="745">
        <f>IFERROR(AK36/$O36-1,0)</f>
        <v>0</v>
      </c>
      <c r="AQ36" s="725">
        <f t="shared" ref="AQ36:AR36" si="92">IFERROR(AL36/$O36-1,0)</f>
        <v>0</v>
      </c>
      <c r="AR36" s="746">
        <f t="shared" si="92"/>
        <v>0</v>
      </c>
      <c r="AS36" s="630"/>
      <c r="AT36" s="363"/>
      <c r="AU36" s="351"/>
      <c r="AV36" s="363"/>
      <c r="AW36" s="351"/>
      <c r="AX36" s="363">
        <f t="shared" ref="AX36:AY36" si="93">AX32-AX38</f>
        <v>2857.9855609756087</v>
      </c>
      <c r="AY36" s="351">
        <f t="shared" si="93"/>
        <v>0.70243902439024364</v>
      </c>
      <c r="AZ36" s="745">
        <f>IFERROR(AU36/$O36-1,0)</f>
        <v>0</v>
      </c>
      <c r="BA36" s="725">
        <f>IFERROR(AV36/$O36-1,0)</f>
        <v>0</v>
      </c>
      <c r="BB36" s="725">
        <f>IFERROR(AW36/$O36-1,0)</f>
        <v>0</v>
      </c>
      <c r="BD36" s="363"/>
      <c r="BE36" s="351"/>
      <c r="BG36" s="363"/>
      <c r="BH36" s="351"/>
      <c r="BI36" s="363"/>
      <c r="BJ36" s="351"/>
      <c r="BK36" s="363">
        <f t="shared" ref="BK36:BL36" si="94">BK32-BK38</f>
        <v>3036.6096585365849</v>
      </c>
      <c r="BL36" s="351">
        <f t="shared" si="94"/>
        <v>0.74634146341463392</v>
      </c>
      <c r="BN36" s="363"/>
      <c r="BO36" s="351"/>
      <c r="BQ36" s="363"/>
      <c r="BR36" s="351"/>
      <c r="BS36" s="363"/>
      <c r="BT36" s="351"/>
      <c r="BU36" s="363"/>
      <c r="BV36" s="351"/>
    </row>
    <row r="37" spans="1:74" s="4" customFormat="1" ht="18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28949.012078048781</v>
      </c>
      <c r="S37" s="55">
        <f>S38</f>
        <v>7.1151219512195123</v>
      </c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>
        <f>+AD38</f>
        <v>29090.918999999998</v>
      </c>
      <c r="AE37" s="55">
        <f>AE38</f>
        <v>7.1499999999999995</v>
      </c>
      <c r="AF37" s="742"/>
      <c r="AG37" s="743"/>
      <c r="AH37" s="750"/>
      <c r="AI37" s="630"/>
      <c r="AJ37" s="54"/>
      <c r="AK37" s="55"/>
      <c r="AL37" s="54"/>
      <c r="AM37" s="55"/>
      <c r="AN37" s="54">
        <f>+AN38</f>
        <v>29090.919000000002</v>
      </c>
      <c r="AO37" s="55">
        <f>AO38</f>
        <v>7.15</v>
      </c>
      <c r="AP37" s="742"/>
      <c r="AQ37" s="743"/>
      <c r="AR37" s="750"/>
      <c r="AS37" s="630"/>
      <c r="AT37" s="54"/>
      <c r="AU37" s="55"/>
      <c r="AV37" s="54"/>
      <c r="AW37" s="55"/>
      <c r="AX37" s="54">
        <f>+AX38</f>
        <v>29691.29443902439</v>
      </c>
      <c r="AY37" s="55">
        <f>AY38</f>
        <v>7.2975609756097564</v>
      </c>
      <c r="AZ37" s="742"/>
      <c r="BA37" s="743"/>
      <c r="BB37" s="743"/>
      <c r="BD37" s="54"/>
      <c r="BE37" s="55"/>
      <c r="BG37" s="54"/>
      <c r="BH37" s="55"/>
      <c r="BI37" s="54"/>
      <c r="BJ37" s="55"/>
      <c r="BK37" s="54">
        <f>+BK38</f>
        <v>31547.000341463416</v>
      </c>
      <c r="BL37" s="55">
        <f>BL38</f>
        <v>7.7536585365853661</v>
      </c>
      <c r="BN37" s="54"/>
      <c r="BO37" s="55"/>
      <c r="BQ37" s="54"/>
      <c r="BR37" s="55"/>
      <c r="BS37" s="54"/>
      <c r="BT37" s="55"/>
      <c r="BU37" s="54"/>
      <c r="BV37" s="55"/>
    </row>
    <row r="38" spans="1:74" s="4" customFormat="1" ht="18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28949.012078048781</v>
      </c>
      <c r="S38" s="55">
        <v>7.1151219512195123</v>
      </c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>
        <f>AE38*AD12</f>
        <v>29090.918999999998</v>
      </c>
      <c r="AE38" s="55">
        <v>7.1499999999999995</v>
      </c>
      <c r="AF38" s="742"/>
      <c r="AG38" s="743"/>
      <c r="AH38" s="750"/>
      <c r="AI38" s="630"/>
      <c r="AJ38" s="54"/>
      <c r="AK38" s="55"/>
      <c r="AL38" s="54"/>
      <c r="AM38" s="55"/>
      <c r="AN38" s="54">
        <f>AO38*AN12</f>
        <v>29090.919000000002</v>
      </c>
      <c r="AO38" s="55">
        <f>7.8*(50/51)*93.5%</f>
        <v>7.15</v>
      </c>
      <c r="AP38" s="742"/>
      <c r="AQ38" s="743"/>
      <c r="AR38" s="750"/>
      <c r="AS38" s="630"/>
      <c r="AT38" s="54"/>
      <c r="AU38" s="55"/>
      <c r="AV38" s="54"/>
      <c r="AW38" s="55"/>
      <c r="AX38" s="54">
        <f>AY38*AX12</f>
        <v>29691.29443902439</v>
      </c>
      <c r="AY38" s="55">
        <v>7.2975609756097564</v>
      </c>
      <c r="AZ38" s="742"/>
      <c r="BA38" s="743"/>
      <c r="BB38" s="743"/>
      <c r="BD38" s="54"/>
      <c r="BE38" s="55"/>
      <c r="BG38" s="54"/>
      <c r="BH38" s="55"/>
      <c r="BI38" s="54"/>
      <c r="BJ38" s="55"/>
      <c r="BK38" s="54">
        <f>BL38*BK12</f>
        <v>31547.000341463416</v>
      </c>
      <c r="BL38" s="55">
        <v>7.7536585365853661</v>
      </c>
      <c r="BN38" s="54"/>
      <c r="BO38" s="55"/>
      <c r="BQ38" s="54"/>
      <c r="BR38" s="55"/>
      <c r="BS38" s="54"/>
      <c r="BT38" s="55"/>
      <c r="BU38" s="54"/>
      <c r="BV38" s="55"/>
    </row>
    <row r="39" spans="1:74" s="4" customFormat="1" ht="18" customHeight="1" x14ac:dyDescent="0.45">
      <c r="A39" s="561"/>
      <c r="B39" s="1195"/>
      <c r="C39" s="25"/>
      <c r="D39" s="26"/>
      <c r="E39" s="26"/>
      <c r="F39" s="61"/>
      <c r="G39" s="41"/>
      <c r="H39" s="347"/>
      <c r="I39" s="346"/>
      <c r="J39" s="347"/>
      <c r="K39" s="346"/>
      <c r="L39" s="347"/>
      <c r="M39" s="346"/>
      <c r="N39" s="858"/>
      <c r="O39" s="859">
        <f>500/(7.34*3850)</f>
        <v>1.7693478183941399E-2</v>
      </c>
      <c r="P39" s="365"/>
      <c r="Q39" s="358"/>
      <c r="R39" s="365"/>
      <c r="S39" s="358"/>
      <c r="T39" s="858"/>
      <c r="U39" s="859">
        <f>500/(7.34*3850)</f>
        <v>1.7693478183941399E-2</v>
      </c>
      <c r="V39" s="858"/>
      <c r="W39" s="859">
        <f>500/(7.34*3850)</f>
        <v>1.7693478183941399E-2</v>
      </c>
      <c r="X39" s="365"/>
      <c r="Y39" s="358"/>
      <c r="Z39" s="365"/>
      <c r="AA39" s="358"/>
      <c r="AB39" s="365"/>
      <c r="AC39" s="358"/>
      <c r="AD39" s="365"/>
      <c r="AE39" s="358"/>
      <c r="AF39" s="751"/>
      <c r="AG39" s="752"/>
      <c r="AH39" s="753"/>
      <c r="AI39" s="634"/>
      <c r="AJ39" s="365"/>
      <c r="AK39" s="358"/>
      <c r="AL39" s="365"/>
      <c r="AM39" s="358"/>
      <c r="AN39" s="365"/>
      <c r="AO39" s="358"/>
      <c r="AP39" s="751"/>
      <c r="AQ39" s="752"/>
      <c r="AR39" s="753"/>
      <c r="AS39" s="634"/>
      <c r="AT39" s="365"/>
      <c r="AU39" s="358"/>
      <c r="AV39" s="365"/>
      <c r="AW39" s="358"/>
      <c r="AX39" s="365"/>
      <c r="AY39" s="358"/>
      <c r="AZ39" s="751"/>
      <c r="BA39" s="752"/>
      <c r="BB39" s="752"/>
      <c r="BD39" s="365"/>
      <c r="BE39" s="358"/>
      <c r="BG39" s="365"/>
      <c r="BH39" s="358"/>
      <c r="BI39" s="365"/>
      <c r="BJ39" s="358"/>
      <c r="BK39" s="365"/>
      <c r="BL39" s="358"/>
      <c r="BN39" s="365"/>
      <c r="BO39" s="358"/>
      <c r="BQ39" s="365"/>
      <c r="BR39" s="358"/>
      <c r="BS39" s="365"/>
      <c r="BT39" s="358"/>
      <c r="BU39" s="365"/>
      <c r="BV39" s="358"/>
    </row>
    <row r="40" spans="1:74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747"/>
      <c r="AG40" s="748"/>
      <c r="AH40" s="749"/>
      <c r="AI40" s="637"/>
      <c r="AJ40" s="364"/>
      <c r="AK40" s="360"/>
      <c r="AL40" s="364"/>
      <c r="AM40" s="360"/>
      <c r="AN40" s="364"/>
      <c r="AO40" s="360"/>
      <c r="AP40" s="747"/>
      <c r="AQ40" s="748"/>
      <c r="AR40" s="749"/>
      <c r="AS40" s="637"/>
      <c r="AT40" s="364"/>
      <c r="AU40" s="360"/>
      <c r="AV40" s="364"/>
      <c r="AW40" s="360"/>
      <c r="AX40" s="364"/>
      <c r="AY40" s="360"/>
      <c r="AZ40" s="747"/>
      <c r="BA40" s="748"/>
      <c r="BB40" s="748"/>
      <c r="BD40" s="364"/>
      <c r="BE40" s="360"/>
      <c r="BG40" s="364"/>
      <c r="BH40" s="360"/>
      <c r="BI40" s="364"/>
      <c r="BJ40" s="360"/>
      <c r="BK40" s="364"/>
      <c r="BL40" s="360"/>
      <c r="BN40" s="364"/>
      <c r="BO40" s="360"/>
      <c r="BQ40" s="42"/>
      <c r="BR40" s="360"/>
      <c r="BS40" s="42"/>
      <c r="BT40" s="360"/>
      <c r="BU40" s="42"/>
      <c r="BV40" s="360"/>
    </row>
    <row r="41" spans="1:74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F42-G61*F12</f>
        <v>543.53598818182218</v>
      </c>
      <c r="G41" s="24">
        <f>G42-G61</f>
        <v>0.13359090909090987</v>
      </c>
      <c r="H41" s="430">
        <f>H42-I61*H12</f>
        <v>500.81505818182222</v>
      </c>
      <c r="I41" s="24">
        <f>I42-I61</f>
        <v>0.12301389364747484</v>
      </c>
      <c r="J41" s="430">
        <f>J42-K61*J12</f>
        <v>573.16685773484232</v>
      </c>
      <c r="K41" s="24">
        <f>K42-K61</f>
        <v>0.14087361876756554</v>
      </c>
      <c r="L41" s="430">
        <f>L42-M61*L12</f>
        <v>410.24001073171121</v>
      </c>
      <c r="M41" s="24">
        <f>M42-M61</f>
        <v>0.10082926829268357</v>
      </c>
      <c r="N41" s="430">
        <f>N42-O61*N12</f>
        <v>471.25906016961335</v>
      </c>
      <c r="O41" s="24">
        <f>O42-O61</f>
        <v>0.11582660142887635</v>
      </c>
      <c r="P41" s="430">
        <f>P42-Q61*P12</f>
        <v>561.49617909638937</v>
      </c>
      <c r="Q41" s="24">
        <f>Q42-Q61</f>
        <v>0.13800518576051746</v>
      </c>
      <c r="R41" s="430">
        <f>R42-S61*R12</f>
        <v>388.91485228542979</v>
      </c>
      <c r="S41" s="24">
        <f>S42-S61</f>
        <v>9.5587945978633848E-2</v>
      </c>
      <c r="T41" s="430">
        <f>T42-U61*T12</f>
        <v>471.25906016961335</v>
      </c>
      <c r="U41" s="24">
        <f>U42-U61</f>
        <v>0.11582660142887635</v>
      </c>
      <c r="V41" s="430">
        <f>V42-W61*V12</f>
        <v>471.25906016961335</v>
      </c>
      <c r="W41" s="24">
        <f>W42-W61</f>
        <v>0.11582660142887635</v>
      </c>
      <c r="X41" s="430">
        <f>X42-Y61*X12</f>
        <v>459.10486972434364</v>
      </c>
      <c r="Y41" s="24">
        <f>Y42-Y61</f>
        <v>0.11283933032603977</v>
      </c>
      <c r="Z41" s="430">
        <f>Z42-AA61*Z12</f>
        <v>382.94596342555587</v>
      </c>
      <c r="AA41" s="24">
        <f>AA42-AA61</f>
        <v>9.4120905513254471E-2</v>
      </c>
      <c r="AB41" s="430">
        <f>AB42-AC61*AB12</f>
        <v>479.34605417766716</v>
      </c>
      <c r="AC41" s="24">
        <f>AC42-AC61</f>
        <v>0.11781423224788201</v>
      </c>
      <c r="AD41" s="430">
        <f>AD42-AE61*AD12</f>
        <v>294.97785000000067</v>
      </c>
      <c r="AE41" s="24">
        <f>AE42-AE61</f>
        <v>7.2500000000000342E-2</v>
      </c>
      <c r="AF41" s="754"/>
      <c r="AG41" s="723"/>
      <c r="AH41" s="755"/>
      <c r="AI41" s="630"/>
      <c r="AJ41" s="430">
        <f>AJ42-AK61*AJ12</f>
        <v>410.37984272727545</v>
      </c>
      <c r="AK41" s="24">
        <f>AK42-AK61</f>
        <v>0.10086363636363649</v>
      </c>
      <c r="AL41" s="430">
        <f>AL42-AM61*AL12</f>
        <v>535.3986681818219</v>
      </c>
      <c r="AM41" s="24">
        <f>AM42-AM61</f>
        <v>0.13159090909090987</v>
      </c>
      <c r="AN41" s="430">
        <f>AN42-AO61*AN12</f>
        <v>294.97785000000067</v>
      </c>
      <c r="AO41" s="24">
        <f>AO42-AO61</f>
        <v>7.2500000000000342E-2</v>
      </c>
      <c r="AP41" s="754"/>
      <c r="AQ41" s="723"/>
      <c r="AR41" s="755"/>
      <c r="AS41" s="630"/>
      <c r="AT41" s="430">
        <f>AT42-AU61*AT12</f>
        <v>445.8751479932921</v>
      </c>
      <c r="AU41" s="24">
        <f>AU42-AU61</f>
        <v>0.10958771388941158</v>
      </c>
      <c r="AV41" s="430">
        <f>AV42-AW61*AV12</f>
        <v>551.42516920840126</v>
      </c>
      <c r="AW41" s="24">
        <f>AW42-AW61</f>
        <v>0.13552992120462337</v>
      </c>
      <c r="AX41" s="430">
        <f>AX42-AY61*AX12</f>
        <v>349.55743536585715</v>
      </c>
      <c r="AY41" s="24">
        <f>AY42-AY61</f>
        <v>8.5914634146342039E-2</v>
      </c>
      <c r="AZ41" s="754"/>
      <c r="BA41" s="723"/>
      <c r="BB41" s="723"/>
      <c r="BD41" s="430">
        <f>BD42-BE61*BD12</f>
        <v>445.8751479932921</v>
      </c>
      <c r="BE41" s="24">
        <f>BE42-BE61</f>
        <v>0.10958771388941158</v>
      </c>
      <c r="BG41" s="430">
        <f>BG42-BH61*BG12</f>
        <v>459.10486972434319</v>
      </c>
      <c r="BH41" s="24">
        <f>BH42-BH61</f>
        <v>0.11283933032603966</v>
      </c>
      <c r="BI41" s="430">
        <f>BI42-BJ61*BI12</f>
        <v>556.93702556323569</v>
      </c>
      <c r="BJ41" s="24">
        <f>BJ42-BJ61</f>
        <v>0.13688463168788634</v>
      </c>
      <c r="BK41" s="430">
        <f>BK42-BL61*BK12</f>
        <v>368.79826433459766</v>
      </c>
      <c r="BL41" s="24">
        <f>BL42-BL61</f>
        <v>9.0643667530487915E-2</v>
      </c>
      <c r="BN41" s="430">
        <f>BN42-BO61*BN12</f>
        <v>512.94841260082148</v>
      </c>
      <c r="BO41" s="24">
        <f>BO42-BO61</f>
        <v>0.12607305909091027</v>
      </c>
      <c r="BQ41" s="710">
        <v>0</v>
      </c>
      <c r="BR41" s="24">
        <v>0</v>
      </c>
      <c r="BS41" s="710">
        <v>0</v>
      </c>
      <c r="BT41" s="24">
        <v>0</v>
      </c>
      <c r="BU41" s="710">
        <v>0</v>
      </c>
      <c r="BV41" s="24">
        <v>0</v>
      </c>
    </row>
    <row r="42" spans="1:74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K42" si="95">F32-F32/1.1</f>
        <v>2722.3034181818221</v>
      </c>
      <c r="G42" s="24">
        <f t="shared" si="95"/>
        <v>0.66909090909090985</v>
      </c>
      <c r="H42" s="42">
        <f t="shared" si="95"/>
        <v>2722.3034181818221</v>
      </c>
      <c r="I42" s="24">
        <f t="shared" si="95"/>
        <v>0.66901389364747477</v>
      </c>
      <c r="J42" s="42">
        <f t="shared" si="95"/>
        <v>2794.6552177348422</v>
      </c>
      <c r="K42" s="24">
        <f t="shared" si="95"/>
        <v>0.68687361876756547</v>
      </c>
      <c r="L42" s="42">
        <f>L38-L38/1.1</f>
        <v>2631.728370731711</v>
      </c>
      <c r="M42" s="24">
        <f>M38-M38/1.1</f>
        <v>0.6468292682926835</v>
      </c>
      <c r="N42" s="42">
        <f>N32-N32/1.1</f>
        <v>2714.0725786158946</v>
      </c>
      <c r="O42" s="24">
        <f>O32-O32/1.1</f>
        <v>0.66706792374292601</v>
      </c>
      <c r="P42" s="42">
        <f>P32-P32/1.1</f>
        <v>2804.3096975426706</v>
      </c>
      <c r="Q42" s="24">
        <f>Q32-Q32/1.1</f>
        <v>0.68924650807456711</v>
      </c>
      <c r="R42" s="42">
        <f>R38-R38/1.1</f>
        <v>2631.728370731711</v>
      </c>
      <c r="S42" s="24">
        <f>S38-S38/1.1</f>
        <v>0.6468292682926835</v>
      </c>
      <c r="T42" s="42">
        <f t="shared" ref="T42:AC42" si="96">T32-T32/1.1</f>
        <v>2714.0725786158946</v>
      </c>
      <c r="U42" s="24">
        <f t="shared" si="96"/>
        <v>0.66706792374292601</v>
      </c>
      <c r="V42" s="42">
        <f t="shared" si="96"/>
        <v>2714.0725786158946</v>
      </c>
      <c r="W42" s="24">
        <f t="shared" si="96"/>
        <v>0.66706792374292601</v>
      </c>
      <c r="X42" s="42">
        <f t="shared" si="96"/>
        <v>2958.2157273409684</v>
      </c>
      <c r="Y42" s="24">
        <f t="shared" si="96"/>
        <v>0.72707371157603973</v>
      </c>
      <c r="Z42" s="42">
        <f t="shared" si="96"/>
        <v>2732.597113425556</v>
      </c>
      <c r="AA42" s="24">
        <f t="shared" si="96"/>
        <v>0.67162090551325448</v>
      </c>
      <c r="AB42" s="42">
        <f t="shared" si="96"/>
        <v>2828.9972041776673</v>
      </c>
      <c r="AC42" s="24">
        <f t="shared" si="96"/>
        <v>0.69531423224788202</v>
      </c>
      <c r="AD42" s="42">
        <f>AD38-AD38/1.1</f>
        <v>2644.6290000000008</v>
      </c>
      <c r="AE42" s="24">
        <f>AE38-AE38/1.1</f>
        <v>0.65000000000000036</v>
      </c>
      <c r="AF42" s="754"/>
      <c r="AG42" s="723"/>
      <c r="AH42" s="755"/>
      <c r="AI42" s="630"/>
      <c r="AJ42" s="42">
        <f>AJ32-AJ32/1.1</f>
        <v>2760.0309927272756</v>
      </c>
      <c r="AK42" s="24">
        <f>AK32-AK32/1.1</f>
        <v>0.6783636363636365</v>
      </c>
      <c r="AL42" s="42">
        <f>AL32-AL32/1.1</f>
        <v>2885.049818181822</v>
      </c>
      <c r="AM42" s="24">
        <f>AM32-AM32/1.1</f>
        <v>0.70909090909090988</v>
      </c>
      <c r="AN42" s="42">
        <f>AN38-AN38/1.1</f>
        <v>2644.6290000000008</v>
      </c>
      <c r="AO42" s="24">
        <f>AO38-AO38/1.1</f>
        <v>0.65000000000000036</v>
      </c>
      <c r="AP42" s="754"/>
      <c r="AQ42" s="723"/>
      <c r="AR42" s="755"/>
      <c r="AS42" s="630"/>
      <c r="AT42" s="42">
        <f>AT32-AT32/1.1</f>
        <v>2795.5262979932922</v>
      </c>
      <c r="AU42" s="24">
        <f>AU32-AU32/1.1</f>
        <v>0.68708771388941159</v>
      </c>
      <c r="AV42" s="42">
        <f>AV32-AV32/1.1</f>
        <v>2901.0763192084014</v>
      </c>
      <c r="AW42" s="24">
        <f>AW32-AW32/1.1</f>
        <v>0.71302992120462338</v>
      </c>
      <c r="AX42" s="42">
        <f>AX38-AX38/1.1</f>
        <v>2699.2085853658573</v>
      </c>
      <c r="AY42" s="24">
        <f>AY38-AY38/1.1</f>
        <v>0.66341463414634205</v>
      </c>
      <c r="AZ42" s="754"/>
      <c r="BA42" s="723"/>
      <c r="BB42" s="723"/>
      <c r="BD42" s="42">
        <f>BD32-BD32/1.1</f>
        <v>2795.5262979932922</v>
      </c>
      <c r="BE42" s="24">
        <f>BE32-BE32/1.1</f>
        <v>0.68708771388941159</v>
      </c>
      <c r="BG42" s="42">
        <f>BG32-BG32/1.1</f>
        <v>2958.2157273409684</v>
      </c>
      <c r="BH42" s="24">
        <f>BH32-BH32/1.1</f>
        <v>0.72707371157603973</v>
      </c>
      <c r="BI42" s="42">
        <f>BI32-BI32/1.1</f>
        <v>3056.0478831798609</v>
      </c>
      <c r="BJ42" s="24">
        <f>BJ32-BJ32/1.1</f>
        <v>0.75111901293788641</v>
      </c>
      <c r="BK42" s="42">
        <f>BK38-BK38/1.1</f>
        <v>2867.9091219512229</v>
      </c>
      <c r="BL42" s="24">
        <f>BL38-BL38/1.1</f>
        <v>0.70487804878048799</v>
      </c>
      <c r="BN42" s="42">
        <f>BN32-BN32/1.1</f>
        <v>3332.6024181818211</v>
      </c>
      <c r="BO42" s="24">
        <f>BO32-BO32/1.1</f>
        <v>0.8190909090909102</v>
      </c>
      <c r="BQ42" s="42">
        <v>0</v>
      </c>
      <c r="BR42" s="24">
        <v>0</v>
      </c>
      <c r="BS42" s="42">
        <v>0</v>
      </c>
      <c r="BT42" s="24">
        <v>0</v>
      </c>
      <c r="BU42" s="42">
        <v>0</v>
      </c>
      <c r="BV42" s="24">
        <v>0</v>
      </c>
    </row>
    <row r="43" spans="1:74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K43" si="97">+F44/F32</f>
        <v>0.11834688286022271</v>
      </c>
      <c r="G43" s="48">
        <f t="shared" si="97"/>
        <v>0.11834688286022284</v>
      </c>
      <c r="H43" s="47">
        <f t="shared" si="97"/>
        <v>0.10408057851239656</v>
      </c>
      <c r="I43" s="48">
        <f t="shared" si="97"/>
        <v>0.10398790745105062</v>
      </c>
      <c r="J43" s="47">
        <f t="shared" si="97"/>
        <v>0.12492177055158434</v>
      </c>
      <c r="K43" s="48">
        <f t="shared" si="97"/>
        <v>0.12492177055158432</v>
      </c>
      <c r="L43" s="361">
        <f>+L44/L38</f>
        <v>7.6374889087577405E-2</v>
      </c>
      <c r="M43" s="362">
        <f>+M44/M38</f>
        <v>7.6374889087577391E-2</v>
      </c>
      <c r="N43" s="361">
        <f>+N44/N32</f>
        <v>9.4496303293195028E-2</v>
      </c>
      <c r="O43" s="362">
        <f>+O44/O32</f>
        <v>9.4496303293195041E-2</v>
      </c>
      <c r="P43" s="361">
        <f>+P44/P32</f>
        <v>0.12070834056742678</v>
      </c>
      <c r="Q43" s="362">
        <f>+Q44/Q32</f>
        <v>0.12070834056742689</v>
      </c>
      <c r="R43" s="361">
        <f>+R44/R38</f>
        <v>6.9008434443534022E-2</v>
      </c>
      <c r="S43" s="362">
        <f>+S44/S38</f>
        <v>6.9008434443533995E-2</v>
      </c>
      <c r="T43" s="361">
        <f t="shared" ref="T43:AC43" si="98">+T44/T32</f>
        <v>9.4496303293195028E-2</v>
      </c>
      <c r="U43" s="362">
        <f t="shared" si="98"/>
        <v>9.4496303293195041E-2</v>
      </c>
      <c r="V43" s="361">
        <f t="shared" si="98"/>
        <v>9.4496303293195028E-2</v>
      </c>
      <c r="W43" s="362">
        <f t="shared" si="98"/>
        <v>9.4496303293195041E-2</v>
      </c>
      <c r="X43" s="361">
        <f t="shared" si="98"/>
        <v>8.2962361141956723E-2</v>
      </c>
      <c r="Y43" s="362">
        <f t="shared" si="98"/>
        <v>8.2962361141956709E-2</v>
      </c>
      <c r="Z43" s="361">
        <f t="shared" si="98"/>
        <v>6.4475363484550102E-2</v>
      </c>
      <c r="AA43" s="362">
        <f t="shared" si="98"/>
        <v>6.4475363484549963E-2</v>
      </c>
      <c r="AB43" s="361">
        <f t="shared" si="98"/>
        <v>9.3256238604135844E-2</v>
      </c>
      <c r="AC43" s="362">
        <f t="shared" si="98"/>
        <v>9.3256238604135774E-2</v>
      </c>
      <c r="AD43" s="361">
        <f>+AD44/AD38</f>
        <v>3.6380974397503346E-2</v>
      </c>
      <c r="AE43" s="362">
        <f>+AE44/AE38</f>
        <v>3.6380974397503235E-2</v>
      </c>
      <c r="AF43" s="745"/>
      <c r="AG43" s="725"/>
      <c r="AH43" s="746"/>
      <c r="AI43" s="635"/>
      <c r="AJ43" s="361">
        <f>+AJ44/AJ32</f>
        <v>7.2870588391652669E-2</v>
      </c>
      <c r="AK43" s="362">
        <f>+AK44/AK32</f>
        <v>7.2870588391652683E-2</v>
      </c>
      <c r="AL43" s="361">
        <f>+AL44/AL32</f>
        <v>0.10910680228862042</v>
      </c>
      <c r="AM43" s="362">
        <f>+AM44/AM32</f>
        <v>0.10910680228862038</v>
      </c>
      <c r="AN43" s="361">
        <f>+AN44/AN38</f>
        <v>3.6380974397503464E-2</v>
      </c>
      <c r="AO43" s="362">
        <f>+AO44/AO38</f>
        <v>3.6380974397503353E-2</v>
      </c>
      <c r="AP43" s="745"/>
      <c r="AQ43" s="725"/>
      <c r="AR43" s="746"/>
      <c r="AS43" s="635"/>
      <c r="AT43" s="361">
        <f>+AT44/AT32</f>
        <v>8.348822971885983E-2</v>
      </c>
      <c r="AU43" s="362">
        <f>+AU44/AU32</f>
        <v>8.3488229718859761E-2</v>
      </c>
      <c r="AV43" s="361">
        <f>+AV44/AV32</f>
        <v>0.11352617796103114</v>
      </c>
      <c r="AW43" s="362">
        <f>+AW44/AW32</f>
        <v>0.113526177961031</v>
      </c>
      <c r="AX43" s="361">
        <f>+AX44/AX38</f>
        <v>5.4027682635789089E-2</v>
      </c>
      <c r="AY43" s="362">
        <f>+AY44/AY38</f>
        <v>5.4027682635789089E-2</v>
      </c>
      <c r="AZ43" s="745"/>
      <c r="BA43" s="725"/>
      <c r="BB43" s="725"/>
      <c r="BC43" s="283"/>
      <c r="BD43" s="361">
        <f>+BD44/BD32</f>
        <v>8.348822971885983E-2</v>
      </c>
      <c r="BE43" s="362">
        <f>+BE44/BE32</f>
        <v>8.3488229718859761E-2</v>
      </c>
      <c r="BF43" s="283"/>
      <c r="BG43" s="361">
        <f>+BG44/BG32</f>
        <v>8.2962361141956625E-2</v>
      </c>
      <c r="BH43" s="362">
        <f>+BH44/BH32</f>
        <v>8.2962361141956611E-2</v>
      </c>
      <c r="BI43" s="361">
        <f>+BI44/BI32</f>
        <v>0.10940891562519439</v>
      </c>
      <c r="BJ43" s="362">
        <f>+BJ44/BJ32</f>
        <v>0.10940891562519441</v>
      </c>
      <c r="BK43" s="361">
        <f>+BK44/BK38</f>
        <v>5.6948683020220311E-2</v>
      </c>
      <c r="BL43" s="362">
        <f>+BL44/BL38</f>
        <v>5.6948683020220409E-2</v>
      </c>
      <c r="BM43" s="283"/>
      <c r="BN43" s="361">
        <f>+BN44/BN32</f>
        <v>8.8330139606130759E-2</v>
      </c>
      <c r="BO43" s="362">
        <f>+BO44/BO32</f>
        <v>8.8330139606130842E-2</v>
      </c>
      <c r="BQ43" s="361">
        <f t="shared" ref="BQ43:BV43" si="99">+BQ44/BQ31</f>
        <v>0.17721518987341772</v>
      </c>
      <c r="BR43" s="362">
        <f t="shared" si="99"/>
        <v>0.17721518987341764</v>
      </c>
      <c r="BS43" s="361">
        <f t="shared" si="99"/>
        <v>0.17491778425655974</v>
      </c>
      <c r="BT43" s="362">
        <f t="shared" si="99"/>
        <v>0.17491778425655971</v>
      </c>
      <c r="BU43" s="361">
        <f t="shared" si="99"/>
        <v>0.16666666666666666</v>
      </c>
      <c r="BV43" s="362">
        <f t="shared" si="99"/>
        <v>0.16666666666666666</v>
      </c>
    </row>
    <row r="44" spans="1:74" s="4" customFormat="1" ht="18" customHeight="1" x14ac:dyDescent="0.45">
      <c r="A44" s="561"/>
      <c r="B44" s="1194"/>
      <c r="C44" s="15" t="s">
        <v>48</v>
      </c>
      <c r="D44" s="16"/>
      <c r="E44" s="35"/>
      <c r="F44" s="42">
        <f t="shared" ref="F44:K44" si="100">+F32-F45-F41</f>
        <v>3543.9373611570227</v>
      </c>
      <c r="G44" s="24">
        <f t="shared" si="100"/>
        <v>0.87103305785124008</v>
      </c>
      <c r="H44" s="42">
        <f t="shared" si="100"/>
        <v>3116.7280611570209</v>
      </c>
      <c r="I44" s="24">
        <f t="shared" si="100"/>
        <v>0.76526290341688574</v>
      </c>
      <c r="J44" s="42">
        <f t="shared" si="100"/>
        <v>3840.2460566872583</v>
      </c>
      <c r="K44" s="24">
        <f t="shared" si="100"/>
        <v>0.94386015461779993</v>
      </c>
      <c r="L44" s="42">
        <f>+L38-L45-L41</f>
        <v>2210.9775866559144</v>
      </c>
      <c r="M44" s="24">
        <f>+M38-M45-M41</f>
        <v>0.54341664986897753</v>
      </c>
      <c r="N44" s="42">
        <f>+N32-N45-N41</f>
        <v>2821.168081034943</v>
      </c>
      <c r="O44" s="24">
        <f>+O32-O45-O41</f>
        <v>0.69338998123090734</v>
      </c>
      <c r="P44" s="42">
        <f>+P32-P45-P41</f>
        <v>3723.539270302696</v>
      </c>
      <c r="Q44" s="24">
        <f>+Q32-Q45-Q41</f>
        <v>0.91517582454732016</v>
      </c>
      <c r="R44" s="42">
        <f>+R38-R45-R41</f>
        <v>1997.7260021931038</v>
      </c>
      <c r="S44" s="24">
        <f>+S38-S45-S41</f>
        <v>0.49100342672848141</v>
      </c>
      <c r="T44" s="42">
        <f t="shared" ref="T44:AC44" si="101">+T32-T45-T41</f>
        <v>2821.168081034943</v>
      </c>
      <c r="U44" s="24">
        <f t="shared" si="101"/>
        <v>0.69338998123090734</v>
      </c>
      <c r="V44" s="42">
        <f t="shared" si="101"/>
        <v>2821.168081034943</v>
      </c>
      <c r="W44" s="24">
        <f t="shared" si="101"/>
        <v>0.69338998123090734</v>
      </c>
      <c r="X44" s="42">
        <f t="shared" si="101"/>
        <v>2699.6261765822514</v>
      </c>
      <c r="Y44" s="24">
        <f t="shared" si="101"/>
        <v>0.66351727020253626</v>
      </c>
      <c r="Z44" s="42">
        <f t="shared" si="101"/>
        <v>1938.0371135943956</v>
      </c>
      <c r="AA44" s="24">
        <f t="shared" si="101"/>
        <v>0.47633302207468586</v>
      </c>
      <c r="AB44" s="42">
        <f t="shared" si="101"/>
        <v>2902.0380211154793</v>
      </c>
      <c r="AC44" s="24">
        <f t="shared" si="101"/>
        <v>0.7132662894209586</v>
      </c>
      <c r="AD44" s="42">
        <f>+AD38-AD45-AD41</f>
        <v>1058.3559793388436</v>
      </c>
      <c r="AE44" s="24">
        <f>+AE38-AE45-AE41</f>
        <v>0.26012396694214812</v>
      </c>
      <c r="AF44" s="754">
        <f>AA44/$O44-1</f>
        <v>-0.31303734555105844</v>
      </c>
      <c r="AG44" s="723">
        <f>AC44/$Q44-1</f>
        <v>-0.22062376399227268</v>
      </c>
      <c r="AH44" s="755">
        <f>AE44/$S44-1</f>
        <v>-0.47021965065430527</v>
      </c>
      <c r="AI44" s="65"/>
      <c r="AJ44" s="42">
        <f>+AJ32-AJ45-AJ41</f>
        <v>2212.3759066115695</v>
      </c>
      <c r="AK44" s="24">
        <f>+AK32-AK45-AK41</f>
        <v>0.54376033057851225</v>
      </c>
      <c r="AL44" s="42">
        <f>+AL32-AL45-AL41</f>
        <v>3462.5641611570231</v>
      </c>
      <c r="AM44" s="24">
        <f>+AM32-AM45-AM41</f>
        <v>0.85103305785123895</v>
      </c>
      <c r="AN44" s="42">
        <f>+AN38-AN45-AN41</f>
        <v>1058.3559793388472</v>
      </c>
      <c r="AO44" s="24">
        <f>+AO38-AO45-AO41</f>
        <v>0.26012396694214901</v>
      </c>
      <c r="AP44" s="754">
        <f>AK44/$O44-1</f>
        <v>-0.21579436493554782</v>
      </c>
      <c r="AQ44" s="723">
        <f>AM44/$Q44-1</f>
        <v>-7.0087916415196627E-2</v>
      </c>
      <c r="AR44" s="755">
        <f>AO44/$S44-1</f>
        <v>-0.47021965065430338</v>
      </c>
      <c r="AS44" s="65"/>
      <c r="AT44" s="42">
        <f>+AT32-AT45-AT41</f>
        <v>2567.3289592717542</v>
      </c>
      <c r="AU44" s="24">
        <f>+AU32-AU45-AU41</f>
        <v>0.63100110583625868</v>
      </c>
      <c r="AV44" s="42">
        <f>+AV32-AV45-AV41</f>
        <v>3622.8291714228458</v>
      </c>
      <c r="AW44" s="24">
        <f>+AW32-AW45-AW41</f>
        <v>0.89042317898837486</v>
      </c>
      <c r="AX44" s="42">
        <f>+AX38-AX45-AX41</f>
        <v>1604.1518329973792</v>
      </c>
      <c r="AY44" s="24">
        <f>+AY38-AY45-AY41</f>
        <v>0.39427030840556332</v>
      </c>
      <c r="AZ44" s="754">
        <f>AU44/$O44-1</f>
        <v>-8.9976603474852368E-2</v>
      </c>
      <c r="BA44" s="723">
        <f>AW44/$Q44-1</f>
        <v>-2.7046874376504548E-2</v>
      </c>
      <c r="BB44" s="723">
        <f>AY44/$S44-1</f>
        <v>-0.19701108598659589</v>
      </c>
      <c r="BC44" s="283"/>
      <c r="BD44" s="42">
        <f>+BD32-BD45-BD41</f>
        <v>2567.3289592717542</v>
      </c>
      <c r="BE44" s="24">
        <f>+BE32-BE45-BE41</f>
        <v>0.63100110583625868</v>
      </c>
      <c r="BF44" s="283"/>
      <c r="BG44" s="42">
        <f>+BG32-BG45-BG41</f>
        <v>2699.6261765822483</v>
      </c>
      <c r="BH44" s="24">
        <f>+BH32-BH45-BH41</f>
        <v>0.66351727020253548</v>
      </c>
      <c r="BI44" s="42">
        <f>+BI32-BI45-BI41</f>
        <v>3677.9477349711697</v>
      </c>
      <c r="BJ44" s="24">
        <f>+BJ32-BJ45-BJ41</f>
        <v>0.90397028382100497</v>
      </c>
      <c r="BK44" s="42">
        <f>+BK38-BK45-BK41</f>
        <v>1796.5601226847821</v>
      </c>
      <c r="BL44" s="24">
        <f>+BL38-BL45-BL41</f>
        <v>0.44156064224702607</v>
      </c>
      <c r="BM44" s="283"/>
      <c r="BN44" s="42">
        <f>+BN32-BN45-BN41</f>
        <v>3238.061605347018</v>
      </c>
      <c r="BO44" s="24">
        <f>+BO32-BO45-BO41</f>
        <v>0.79585455785123882</v>
      </c>
      <c r="BQ44" s="42">
        <f t="shared" ref="BQ44:BV44" si="102">+BQ31-BQ45-BQ41</f>
        <v>28000</v>
      </c>
      <c r="BR44" s="24">
        <f t="shared" si="102"/>
        <v>1.2280701754385959</v>
      </c>
      <c r="BS44" s="42">
        <f t="shared" si="102"/>
        <v>29998.399999999994</v>
      </c>
      <c r="BT44" s="24">
        <f t="shared" si="102"/>
        <v>1.3157192982456136</v>
      </c>
      <c r="BU44" s="42">
        <f t="shared" si="102"/>
        <v>32000</v>
      </c>
      <c r="BV44" s="24">
        <f t="shared" si="102"/>
        <v>1.4035087719298245</v>
      </c>
    </row>
    <row r="45" spans="1:74" s="4" customFormat="1" ht="18" customHeight="1" x14ac:dyDescent="0.45">
      <c r="A45" s="561"/>
      <c r="B45" s="1194"/>
      <c r="C45" s="19" t="s">
        <v>49</v>
      </c>
      <c r="D45" s="20"/>
      <c r="E45" s="30"/>
      <c r="F45" s="66">
        <f>+G56*F12</f>
        <v>25857.864250661154</v>
      </c>
      <c r="G45" s="32">
        <f>+G56</f>
        <v>6.3553760330578504</v>
      </c>
      <c r="H45" s="66">
        <f>+I56*H12</f>
        <v>26327.794480661156</v>
      </c>
      <c r="I45" s="32">
        <f>+I56</f>
        <v>6.4708760330578512</v>
      </c>
      <c r="J45" s="66">
        <f>+K56*J12</f>
        <v>26327.794480661156</v>
      </c>
      <c r="K45" s="32">
        <f>+K56</f>
        <v>6.4708760330578512</v>
      </c>
      <c r="L45" s="66">
        <f>+M56*L12</f>
        <v>26327.794480661156</v>
      </c>
      <c r="M45" s="32">
        <f>+M56</f>
        <v>6.4708760330578512</v>
      </c>
      <c r="N45" s="66">
        <f>+O56*N12</f>
        <v>26562.371223570248</v>
      </c>
      <c r="O45" s="32">
        <f>+O56</f>
        <v>6.528530578512397</v>
      </c>
      <c r="P45" s="66">
        <f>+Q56*P12</f>
        <v>26562.371223570248</v>
      </c>
      <c r="Q45" s="32">
        <f>+Q56</f>
        <v>6.528530578512397</v>
      </c>
      <c r="R45" s="66">
        <f>+S56*R12</f>
        <v>26562.371223570248</v>
      </c>
      <c r="S45" s="32">
        <f>+S56</f>
        <v>6.528530578512397</v>
      </c>
      <c r="T45" s="66">
        <f>+U56*T12</f>
        <v>26562.371223570248</v>
      </c>
      <c r="U45" s="32">
        <f>+U56</f>
        <v>6.528530578512397</v>
      </c>
      <c r="V45" s="66">
        <f>+W56*V12</f>
        <v>26562.371223570248</v>
      </c>
      <c r="W45" s="32">
        <f>+W56</f>
        <v>6.528530578512397</v>
      </c>
      <c r="X45" s="66">
        <f>+Y56*X12</f>
        <v>29381.641954444032</v>
      </c>
      <c r="Y45" s="32">
        <f>+Y56</f>
        <v>7.2214542268078512</v>
      </c>
      <c r="Z45" s="66">
        <f>+AA56*Z12</f>
        <v>27737.585170661154</v>
      </c>
      <c r="AA45" s="32">
        <f>+AA56</f>
        <v>6.817376033057851</v>
      </c>
      <c r="AB45" s="66">
        <f>+AC56*AB12</f>
        <v>27737.585170661154</v>
      </c>
      <c r="AC45" s="32">
        <f>+AC56</f>
        <v>6.817376033057851</v>
      </c>
      <c r="AD45" s="66">
        <f>+AE56*AD12</f>
        <v>27737.585170661154</v>
      </c>
      <c r="AE45" s="32">
        <f>+AE56</f>
        <v>6.817376033057851</v>
      </c>
      <c r="AF45" s="783"/>
      <c r="AG45" s="724"/>
      <c r="AH45" s="782"/>
      <c r="AI45" s="630"/>
      <c r="AJ45" s="66">
        <f>+AK56*AJ12</f>
        <v>27737.585170661154</v>
      </c>
      <c r="AK45" s="32">
        <f>+AK56</f>
        <v>6.817376033057851</v>
      </c>
      <c r="AL45" s="66">
        <f>+AM56*AL12</f>
        <v>27737.585170661154</v>
      </c>
      <c r="AM45" s="32">
        <f>+AM56</f>
        <v>6.817376033057851</v>
      </c>
      <c r="AN45" s="66">
        <f>+AO56*AN12</f>
        <v>27737.585170661154</v>
      </c>
      <c r="AO45" s="32">
        <f>+AO56</f>
        <v>6.817376033057851</v>
      </c>
      <c r="AP45" s="783"/>
      <c r="AQ45" s="724"/>
      <c r="AR45" s="782"/>
      <c r="AS45" s="630"/>
      <c r="AT45" s="66">
        <f>+AU56*AT12</f>
        <v>27737.585170661154</v>
      </c>
      <c r="AU45" s="32">
        <f>+AU56</f>
        <v>6.817376033057851</v>
      </c>
      <c r="AV45" s="66">
        <f>+AW56*AV12</f>
        <v>27737.585170661154</v>
      </c>
      <c r="AW45" s="32">
        <f>+AW56</f>
        <v>6.817376033057851</v>
      </c>
      <c r="AX45" s="66">
        <f>+AY56*AX12</f>
        <v>27737.585170661154</v>
      </c>
      <c r="AY45" s="32">
        <f>+AY56</f>
        <v>6.817376033057851</v>
      </c>
      <c r="AZ45" s="783"/>
      <c r="BA45" s="724"/>
      <c r="BB45" s="724"/>
      <c r="BC45" s="630"/>
      <c r="BD45" s="66">
        <f>+BE56*BD12</f>
        <v>27737.585170661154</v>
      </c>
      <c r="BE45" s="32">
        <f>+BE56</f>
        <v>6.817376033057851</v>
      </c>
      <c r="BF45" s="630"/>
      <c r="BG45" s="66">
        <f>+BH56*BG12</f>
        <v>29381.641954444036</v>
      </c>
      <c r="BH45" s="32">
        <f>+BH56</f>
        <v>7.2214542268078521</v>
      </c>
      <c r="BI45" s="66">
        <f>+BJ56*BI12</f>
        <v>29381.641954444036</v>
      </c>
      <c r="BJ45" s="32">
        <f t="shared" ref="BJ45" si="103">+BJ56</f>
        <v>7.2214542268078521</v>
      </c>
      <c r="BK45" s="66">
        <f>+BL56*BK12</f>
        <v>29381.641954444036</v>
      </c>
      <c r="BL45" s="32">
        <f t="shared" ref="BL45" si="104">+BL56</f>
        <v>7.2214542268078521</v>
      </c>
      <c r="BM45" s="630"/>
      <c r="BN45" s="66">
        <f>+BO56*BN12</f>
        <v>32907.616582052156</v>
      </c>
      <c r="BO45" s="32">
        <f>+BO56</f>
        <v>8.0880723830578507</v>
      </c>
      <c r="BQ45" s="66">
        <v>130000</v>
      </c>
      <c r="BR45" s="32">
        <f>BQ45/BQ12</f>
        <v>5.7017543859649127</v>
      </c>
      <c r="BS45" s="66">
        <v>141501.6</v>
      </c>
      <c r="BT45" s="32">
        <f>BS45/BS12</f>
        <v>6.2062105263157896</v>
      </c>
      <c r="BU45" s="66">
        <v>160000</v>
      </c>
      <c r="BV45" s="32">
        <f>BU45/BU12</f>
        <v>7.0175438596491224</v>
      </c>
    </row>
    <row r="46" spans="1:74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704">
        <f>Q44/AC44-1</f>
        <v>0.28307735570999015</v>
      </c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751"/>
      <c r="AG46" s="752"/>
      <c r="AH46" s="753"/>
      <c r="AI46" s="634"/>
      <c r="AJ46" s="352">
        <v>0</v>
      </c>
      <c r="AK46" s="358"/>
      <c r="AL46" s="352">
        <v>0</v>
      </c>
      <c r="AM46" s="358"/>
      <c r="AN46" s="352">
        <v>0</v>
      </c>
      <c r="AO46" s="358"/>
      <c r="AP46" s="751"/>
      <c r="AQ46" s="752"/>
      <c r="AR46" s="753"/>
      <c r="AS46" s="634"/>
      <c r="AT46" s="352">
        <v>0</v>
      </c>
      <c r="AU46" s="358"/>
      <c r="AV46" s="352">
        <v>0</v>
      </c>
      <c r="AW46" s="358"/>
      <c r="AX46" s="352">
        <v>0</v>
      </c>
      <c r="AY46" s="358"/>
      <c r="AZ46" s="751"/>
      <c r="BA46" s="752"/>
      <c r="BB46" s="752"/>
      <c r="BC46" s="632"/>
      <c r="BD46" s="352">
        <v>0</v>
      </c>
      <c r="BE46" s="358"/>
      <c r="BF46" s="632"/>
      <c r="BG46" s="352">
        <v>0</v>
      </c>
      <c r="BH46" s="358"/>
      <c r="BI46" s="352">
        <v>0</v>
      </c>
      <c r="BJ46" s="358"/>
      <c r="BK46" s="352">
        <v>0</v>
      </c>
      <c r="BL46" s="358"/>
      <c r="BM46" s="632"/>
      <c r="BN46" s="352">
        <v>0</v>
      </c>
      <c r="BO46" s="358"/>
      <c r="BQ46" s="352">
        <v>0</v>
      </c>
      <c r="BR46" s="358"/>
      <c r="BS46" s="352">
        <v>0</v>
      </c>
      <c r="BT46" s="358"/>
      <c r="BU46" s="352">
        <v>0</v>
      </c>
      <c r="BV46" s="358"/>
    </row>
    <row r="47" spans="1:74" s="4" customFormat="1" ht="18" customHeight="1" x14ac:dyDescent="0.45">
      <c r="A47" s="561"/>
      <c r="B47" s="1197" t="s">
        <v>413</v>
      </c>
      <c r="C47" s="58"/>
      <c r="D47" s="59"/>
      <c r="E47" s="59"/>
      <c r="F47" s="60"/>
      <c r="G47" s="43"/>
      <c r="H47" s="60"/>
      <c r="I47" s="43"/>
      <c r="J47" s="60"/>
      <c r="K47" s="43"/>
      <c r="L47" s="60"/>
      <c r="M47" s="43"/>
      <c r="N47" s="364"/>
      <c r="O47" s="360"/>
      <c r="P47" s="364"/>
      <c r="Q47" s="360"/>
      <c r="R47" s="364"/>
      <c r="S47" s="360"/>
      <c r="T47" s="364"/>
      <c r="U47" s="360"/>
      <c r="V47" s="364"/>
      <c r="W47" s="360"/>
      <c r="X47" s="364"/>
      <c r="Y47" s="360"/>
      <c r="Z47" s="364"/>
      <c r="AA47" s="360"/>
      <c r="AB47" s="364"/>
      <c r="AC47" s="360"/>
      <c r="AD47" s="364"/>
      <c r="AE47" s="360"/>
      <c r="AF47" s="747"/>
      <c r="AG47" s="748"/>
      <c r="AH47" s="749"/>
      <c r="AI47" s="637"/>
      <c r="AJ47" s="364"/>
      <c r="AK47" s="360"/>
      <c r="AL47" s="364"/>
      <c r="AM47" s="360"/>
      <c r="AN47" s="364"/>
      <c r="AO47" s="360"/>
      <c r="AP47" s="747"/>
      <c r="AQ47" s="748"/>
      <c r="AR47" s="749"/>
      <c r="AS47" s="637"/>
      <c r="AT47" s="364"/>
      <c r="AU47" s="360"/>
      <c r="AV47" s="364"/>
      <c r="AW47" s="360"/>
      <c r="AX47" s="364"/>
      <c r="AY47" s="360"/>
      <c r="AZ47" s="747"/>
      <c r="BA47" s="748"/>
      <c r="BB47" s="748"/>
      <c r="BD47" s="364"/>
      <c r="BE47" s="360"/>
      <c r="BG47" s="364"/>
      <c r="BH47" s="360"/>
      <c r="BI47" s="364"/>
      <c r="BJ47" s="360"/>
      <c r="BK47" s="364"/>
      <c r="BL47" s="360"/>
      <c r="BN47" s="364"/>
      <c r="BO47" s="360"/>
      <c r="BQ47" s="364"/>
      <c r="BR47" s="360"/>
      <c r="BS47" s="364"/>
      <c r="BT47" s="360"/>
      <c r="BU47" s="364"/>
      <c r="BV47" s="360"/>
    </row>
    <row r="48" spans="1:74" s="4" customFormat="1" ht="18" customHeight="1" x14ac:dyDescent="0.45">
      <c r="A48" s="561"/>
      <c r="B48" s="1194"/>
      <c r="C48" s="71" t="s">
        <v>177</v>
      </c>
      <c r="D48" s="16"/>
      <c r="E48" s="16"/>
      <c r="F48" s="430"/>
      <c r="G48" s="24"/>
      <c r="H48" s="430"/>
      <c r="I48" s="24"/>
      <c r="J48" s="430"/>
      <c r="K48" s="24"/>
      <c r="L48" s="430"/>
      <c r="M48" s="24"/>
      <c r="N48" s="430"/>
      <c r="O48" s="24"/>
      <c r="P48" s="430"/>
      <c r="Q48" s="24"/>
      <c r="R48" s="430"/>
      <c r="S48" s="24"/>
      <c r="T48" s="430"/>
      <c r="U48" s="24"/>
      <c r="V48" s="430"/>
      <c r="W48" s="24"/>
      <c r="X48" s="430"/>
      <c r="Y48" s="24"/>
      <c r="Z48" s="430">
        <f>Z49-AA68*Z19</f>
        <v>0</v>
      </c>
      <c r="AA48" s="24">
        <f>AA49-AA68</f>
        <v>0</v>
      </c>
      <c r="AB48" s="430">
        <f>AB49-AC68*AB19</f>
        <v>0</v>
      </c>
      <c r="AC48" s="24">
        <f>AC49-AC68</f>
        <v>0</v>
      </c>
      <c r="AD48" s="430">
        <f>AD49-AE68*AD19</f>
        <v>2521.5986518782884</v>
      </c>
      <c r="AE48" s="24">
        <f>AE49-AE68</f>
        <v>0.61976145755071421</v>
      </c>
      <c r="AF48" s="754"/>
      <c r="AG48" s="723"/>
      <c r="AH48" s="755"/>
      <c r="AI48" s="630"/>
      <c r="AJ48" s="430">
        <f>AJ49-AK68*AJ19</f>
        <v>0</v>
      </c>
      <c r="AK48" s="24">
        <f>AK49-AK68</f>
        <v>0</v>
      </c>
      <c r="AL48" s="430">
        <f>AL49-AM68*AL19</f>
        <v>0</v>
      </c>
      <c r="AM48" s="24">
        <f>AM49-AM68</f>
        <v>0</v>
      </c>
      <c r="AN48" s="430">
        <f>AN49-AO68*AN19</f>
        <v>2521.5986518782884</v>
      </c>
      <c r="AO48" s="24">
        <f>AO49-AO68</f>
        <v>0.61976145755071421</v>
      </c>
      <c r="AP48" s="754"/>
      <c r="AQ48" s="723"/>
      <c r="AR48" s="755"/>
      <c r="AS48" s="630"/>
      <c r="AT48" s="430">
        <f>AT49-AU68*AT19</f>
        <v>0</v>
      </c>
      <c r="AU48" s="24">
        <f>AU49-AU68</f>
        <v>0</v>
      </c>
      <c r="AV48" s="430">
        <f>AV49-AW68*AV19</f>
        <v>0</v>
      </c>
      <c r="AW48" s="24">
        <f>AW49-AW68</f>
        <v>0</v>
      </c>
      <c r="AX48" s="430">
        <f>AX49-AY68*AX19</f>
        <v>2521.5986518782884</v>
      </c>
      <c r="AY48" s="24">
        <f>AY49-AY68</f>
        <v>0.61976145755071421</v>
      </c>
      <c r="AZ48" s="754"/>
      <c r="BA48" s="723"/>
      <c r="BB48" s="723"/>
      <c r="BD48" s="430"/>
      <c r="BE48" s="24"/>
      <c r="BG48" s="430"/>
      <c r="BH48" s="24"/>
      <c r="BI48" s="430"/>
      <c r="BJ48" s="24"/>
      <c r="BK48" s="430"/>
      <c r="BL48" s="24"/>
      <c r="BN48" s="430"/>
      <c r="BO48" s="24"/>
      <c r="BQ48" s="430">
        <f>BQ49-BR68*BQ19</f>
        <v>0</v>
      </c>
      <c r="BR48" s="24">
        <f>BR49-BR68</f>
        <v>0</v>
      </c>
      <c r="BS48" s="430">
        <f>BS49-BT68*BS19</f>
        <v>0</v>
      </c>
      <c r="BT48" s="24">
        <f>BT49-BT68</f>
        <v>0</v>
      </c>
      <c r="BU48" s="430">
        <f>BU49-BV68*BU19</f>
        <v>0</v>
      </c>
      <c r="BV48" s="24">
        <f>BV49-BV68</f>
        <v>0</v>
      </c>
    </row>
    <row r="49" spans="1:74" s="4" customFormat="1" ht="18" customHeight="1" x14ac:dyDescent="0.45">
      <c r="A49" s="561"/>
      <c r="B49" s="1194"/>
      <c r="C49" s="71" t="s">
        <v>378</v>
      </c>
      <c r="D49" s="16"/>
      <c r="E49" s="16"/>
      <c r="F49" s="42"/>
      <c r="G49" s="24"/>
      <c r="H49" s="42"/>
      <c r="I49" s="24"/>
      <c r="J49" s="42"/>
      <c r="K49" s="24"/>
      <c r="L49" s="42"/>
      <c r="M49" s="24"/>
      <c r="N49" s="42"/>
      <c r="O49" s="24"/>
      <c r="P49" s="42"/>
      <c r="Q49" s="24"/>
      <c r="R49" s="42"/>
      <c r="S49" s="24"/>
      <c r="T49" s="42"/>
      <c r="U49" s="24"/>
      <c r="V49" s="42"/>
      <c r="W49" s="24"/>
      <c r="X49" s="42"/>
      <c r="Y49" s="24"/>
      <c r="Z49" s="42">
        <f>Z39-Z39/1.1</f>
        <v>0</v>
      </c>
      <c r="AA49" s="24">
        <f>AA39-AA39/1.1</f>
        <v>0</v>
      </c>
      <c r="AB49" s="42">
        <f>AB39-AB39/1.1</f>
        <v>0</v>
      </c>
      <c r="AC49" s="24">
        <f>AC39-AC39/1.1</f>
        <v>0</v>
      </c>
      <c r="AD49" s="42">
        <f>AD45-AD45/1.1</f>
        <v>2521.5986518782884</v>
      </c>
      <c r="AE49" s="24">
        <f>AE45-AE45/1.1</f>
        <v>0.61976145755071421</v>
      </c>
      <c r="AF49" s="754"/>
      <c r="AG49" s="723"/>
      <c r="AH49" s="755"/>
      <c r="AI49" s="630"/>
      <c r="AJ49" s="42">
        <f>AJ39-AJ39/1.1</f>
        <v>0</v>
      </c>
      <c r="AK49" s="24">
        <f>AK39-AK39/1.1</f>
        <v>0</v>
      </c>
      <c r="AL49" s="42">
        <f>AL39-AL39/1.1</f>
        <v>0</v>
      </c>
      <c r="AM49" s="24">
        <f>AM39-AM39/1.1</f>
        <v>0</v>
      </c>
      <c r="AN49" s="42">
        <f>AN45-AN45/1.1</f>
        <v>2521.5986518782884</v>
      </c>
      <c r="AO49" s="24">
        <f>AO45-AO45/1.1</f>
        <v>0.61976145755071421</v>
      </c>
      <c r="AP49" s="754"/>
      <c r="AQ49" s="723"/>
      <c r="AR49" s="755"/>
      <c r="AS49" s="630"/>
      <c r="AT49" s="42">
        <f>AT39-AT39/1.1</f>
        <v>0</v>
      </c>
      <c r="AU49" s="24">
        <f>AU39-AU39/1.1</f>
        <v>0</v>
      </c>
      <c r="AV49" s="42">
        <f>AV39-AV39/1.1</f>
        <v>0</v>
      </c>
      <c r="AW49" s="24">
        <f>AW39-AW39/1.1</f>
        <v>0</v>
      </c>
      <c r="AX49" s="42">
        <f>AX45-AX45/1.1</f>
        <v>2521.5986518782884</v>
      </c>
      <c r="AY49" s="24">
        <f>AY45-AY45/1.1</f>
        <v>0.61976145755071421</v>
      </c>
      <c r="AZ49" s="754"/>
      <c r="BA49" s="723"/>
      <c r="BB49" s="723"/>
      <c r="BD49" s="42"/>
      <c r="BE49" s="24"/>
      <c r="BG49" s="42"/>
      <c r="BH49" s="24"/>
      <c r="BI49" s="42"/>
      <c r="BJ49" s="24"/>
      <c r="BK49" s="42"/>
      <c r="BL49" s="24"/>
      <c r="BN49" s="42"/>
      <c r="BO49" s="24"/>
      <c r="BQ49" s="42">
        <v>0</v>
      </c>
      <c r="BR49" s="24">
        <v>0</v>
      </c>
      <c r="BS49" s="42">
        <v>0</v>
      </c>
      <c r="BT49" s="24">
        <v>0</v>
      </c>
      <c r="BU49" s="42">
        <v>0</v>
      </c>
      <c r="BV49" s="24">
        <v>0</v>
      </c>
    </row>
    <row r="50" spans="1:74" s="65" customFormat="1" ht="18" customHeight="1" x14ac:dyDescent="0.45">
      <c r="A50" s="561"/>
      <c r="B50" s="1194"/>
      <c r="C50" s="62" t="s">
        <v>414</v>
      </c>
      <c r="D50" s="63"/>
      <c r="E50" s="64"/>
      <c r="F50" s="47"/>
      <c r="G50" s="48"/>
      <c r="H50" s="47"/>
      <c r="I50" s="48"/>
      <c r="J50" s="47"/>
      <c r="K50" s="48"/>
      <c r="L50" s="361"/>
      <c r="M50" s="362"/>
      <c r="N50" s="361"/>
      <c r="O50" s="362"/>
      <c r="P50" s="361"/>
      <c r="Q50" s="362"/>
      <c r="R50" s="361"/>
      <c r="S50" s="362"/>
      <c r="T50" s="361"/>
      <c r="U50" s="362"/>
      <c r="V50" s="361"/>
      <c r="W50" s="362"/>
      <c r="X50" s="361"/>
      <c r="Y50" s="362"/>
      <c r="Z50" s="361" t="e">
        <f>+Z51/Z39</f>
        <v>#DIV/0!</v>
      </c>
      <c r="AA50" s="362" t="e">
        <f>+AA51/AA39</f>
        <v>#DIV/0!</v>
      </c>
      <c r="AB50" s="361" t="e">
        <f>+AB51/AB39</f>
        <v>#DIV/0!</v>
      </c>
      <c r="AC50" s="362" t="e">
        <f>+AC51/AC39</f>
        <v>#DIV/0!</v>
      </c>
      <c r="AD50" s="361">
        <f>+AD51/AD45</f>
        <v>0.71080400105042429</v>
      </c>
      <c r="AE50" s="362">
        <f>+AE51/AE45</f>
        <v>0.10232889782291066</v>
      </c>
      <c r="AF50" s="1020"/>
      <c r="AG50" s="1022"/>
      <c r="AH50" s="1023"/>
      <c r="AI50" s="635"/>
      <c r="AJ50" s="361" t="e">
        <f>+AJ51/AJ39</f>
        <v>#DIV/0!</v>
      </c>
      <c r="AK50" s="362" t="e">
        <f>+AK51/AK39</f>
        <v>#DIV/0!</v>
      </c>
      <c r="AL50" s="361" t="e">
        <f>+AL51/AL39</f>
        <v>#DIV/0!</v>
      </c>
      <c r="AM50" s="362" t="e">
        <f>+AM51/AM39</f>
        <v>#DIV/0!</v>
      </c>
      <c r="AN50" s="361">
        <f>+AN51/AN45</f>
        <v>0.71080400105042429</v>
      </c>
      <c r="AO50" s="362">
        <f>+AO51/AO45</f>
        <v>0.10232889782291066</v>
      </c>
      <c r="AP50" s="1020"/>
      <c r="AQ50" s="1022"/>
      <c r="AR50" s="1023"/>
      <c r="AS50" s="635"/>
      <c r="AT50" s="361" t="e">
        <f>+AT51/AT39</f>
        <v>#DIV/0!</v>
      </c>
      <c r="AU50" s="362" t="e">
        <f>+AU51/AU39</f>
        <v>#DIV/0!</v>
      </c>
      <c r="AV50" s="361" t="e">
        <f>+AV51/AV39</f>
        <v>#DIV/0!</v>
      </c>
      <c r="AW50" s="362" t="e">
        <f>+AW51/AW39</f>
        <v>#DIV/0!</v>
      </c>
      <c r="AX50" s="361">
        <f>+AX51/AX45</f>
        <v>0.71080400105042429</v>
      </c>
      <c r="AY50" s="362">
        <f>+AY51/AY45</f>
        <v>0.10232889782291066</v>
      </c>
      <c r="AZ50" s="1020"/>
      <c r="BA50" s="1022"/>
      <c r="BB50" s="1022"/>
      <c r="BC50" s="283"/>
      <c r="BD50" s="361"/>
      <c r="BE50" s="362"/>
      <c r="BF50" s="283"/>
      <c r="BG50" s="361"/>
      <c r="BH50" s="362"/>
      <c r="BI50" s="361"/>
      <c r="BJ50" s="362"/>
      <c r="BK50" s="361"/>
      <c r="BL50" s="362"/>
      <c r="BM50" s="283"/>
      <c r="BN50" s="361"/>
      <c r="BO50" s="362"/>
      <c r="BQ50" s="1020">
        <f t="shared" ref="BQ50:BV50" si="105">+BQ51/BQ45</f>
        <v>0.14120283538461562</v>
      </c>
      <c r="BR50" s="1021">
        <f t="shared" si="105"/>
        <v>0.14120283538461564</v>
      </c>
      <c r="BS50" s="1020">
        <f t="shared" si="105"/>
        <v>0.17268040163503459</v>
      </c>
      <c r="BT50" s="1021">
        <f t="shared" si="105"/>
        <v>0.17268040163503454</v>
      </c>
      <c r="BU50" s="1020">
        <f t="shared" si="105"/>
        <v>0.17599095699999998</v>
      </c>
      <c r="BV50" s="1021">
        <f t="shared" si="105"/>
        <v>0.175990957</v>
      </c>
    </row>
    <row r="51" spans="1:74" s="4" customFormat="1" ht="18" customHeight="1" x14ac:dyDescent="0.45">
      <c r="A51" s="561"/>
      <c r="B51" s="1194"/>
      <c r="C51" s="15" t="s">
        <v>415</v>
      </c>
      <c r="D51" s="16"/>
      <c r="E51" s="35"/>
      <c r="F51" s="42"/>
      <c r="G51" s="24"/>
      <c r="H51" s="42"/>
      <c r="I51" s="24"/>
      <c r="J51" s="42"/>
      <c r="K51" s="24"/>
      <c r="L51" s="42"/>
      <c r="M51" s="24"/>
      <c r="N51" s="42"/>
      <c r="O51" s="24"/>
      <c r="P51" s="42"/>
      <c r="Q51" s="24"/>
      <c r="R51" s="42"/>
      <c r="S51" s="24"/>
      <c r="T51" s="42"/>
      <c r="U51" s="24"/>
      <c r="V51" s="42"/>
      <c r="W51" s="24"/>
      <c r="X51" s="42"/>
      <c r="Y51" s="24"/>
      <c r="Z51" s="42">
        <f>+Z39-Z52-Z48</f>
        <v>-5500</v>
      </c>
      <c r="AA51" s="24">
        <f>+AA39-AA52-AA48</f>
        <v>-5.5</v>
      </c>
      <c r="AB51" s="42">
        <f>+AB39-AB52-AB48</f>
        <v>-5500</v>
      </c>
      <c r="AC51" s="24">
        <f>+AC39-AC52-AC48</f>
        <v>-5.5</v>
      </c>
      <c r="AD51" s="42">
        <f>+AD45-AD52-AD48</f>
        <v>19715.986518782865</v>
      </c>
      <c r="AE51" s="24">
        <f>+AE45-AE52-AE48</f>
        <v>0.69761457550713679</v>
      </c>
      <c r="AF51" s="754" t="e">
        <f>AA51/$O51-1</f>
        <v>#DIV/0!</v>
      </c>
      <c r="AG51" s="723" t="e">
        <f>AC51/$Q51-1</f>
        <v>#DIV/0!</v>
      </c>
      <c r="AH51" s="755" t="e">
        <f>AE51/$S51-1</f>
        <v>#DIV/0!</v>
      </c>
      <c r="AI51" s="65"/>
      <c r="AJ51" s="42">
        <f>+AJ39-AJ52-AJ48</f>
        <v>-5500</v>
      </c>
      <c r="AK51" s="24">
        <f>+AK39-AK52-AK48</f>
        <v>-5.5</v>
      </c>
      <c r="AL51" s="42">
        <f>+AL39-AL52-AL48</f>
        <v>-5500</v>
      </c>
      <c r="AM51" s="24">
        <f>+AM39-AM52-AM48</f>
        <v>-5.5</v>
      </c>
      <c r="AN51" s="42">
        <f>+AN45-AN52-AN48</f>
        <v>19715.986518782865</v>
      </c>
      <c r="AO51" s="24">
        <f>+AO45-AO52-AO48</f>
        <v>0.69761457550713679</v>
      </c>
      <c r="AP51" s="754" t="e">
        <f>AK51/$O51-1</f>
        <v>#DIV/0!</v>
      </c>
      <c r="AQ51" s="723" t="e">
        <f>AM51/$Q51-1</f>
        <v>#DIV/0!</v>
      </c>
      <c r="AR51" s="755" t="e">
        <f>AO51/$S51-1</f>
        <v>#DIV/0!</v>
      </c>
      <c r="AS51" s="65"/>
      <c r="AT51" s="42">
        <f>+AT39-AT52-AT48</f>
        <v>-5500</v>
      </c>
      <c r="AU51" s="24">
        <f>+AU39-AU52-AU48</f>
        <v>-5.5</v>
      </c>
      <c r="AV51" s="42">
        <f>+AV39-AV52-AV48</f>
        <v>-5500</v>
      </c>
      <c r="AW51" s="24">
        <f>+AW39-AW52-AW48</f>
        <v>-5.5</v>
      </c>
      <c r="AX51" s="42">
        <f>+AX45-AX52-AX48</f>
        <v>19715.986518782865</v>
      </c>
      <c r="AY51" s="24">
        <f>+AY45-AY52-AY48</f>
        <v>0.69761457550713679</v>
      </c>
      <c r="AZ51" s="754" t="e">
        <f>AU51/$O51-1</f>
        <v>#DIV/0!</v>
      </c>
      <c r="BA51" s="723" t="e">
        <f>AW51/$Q51-1</f>
        <v>#DIV/0!</v>
      </c>
      <c r="BB51" s="723" t="e">
        <f>AY51/$S51-1</f>
        <v>#DIV/0!</v>
      </c>
      <c r="BC51" s="283"/>
      <c r="BD51" s="42"/>
      <c r="BE51" s="24"/>
      <c r="BF51" s="283"/>
      <c r="BG51" s="42"/>
      <c r="BH51" s="24"/>
      <c r="BI51" s="42"/>
      <c r="BJ51" s="24"/>
      <c r="BK51" s="42"/>
      <c r="BL51" s="24"/>
      <c r="BM51" s="283"/>
      <c r="BN51" s="42"/>
      <c r="BO51" s="24"/>
      <c r="BQ51" s="42">
        <f t="shared" ref="BQ51:BV51" si="106">+BQ45-BQ52-BQ48</f>
        <v>18356.368600000031</v>
      </c>
      <c r="BR51" s="24">
        <f t="shared" si="106"/>
        <v>0.80510388596491378</v>
      </c>
      <c r="BS51" s="42">
        <f t="shared" si="106"/>
        <v>24434.553120000011</v>
      </c>
      <c r="BT51" s="24">
        <f t="shared" si="106"/>
        <v>1.0716909263157897</v>
      </c>
      <c r="BU51" s="42">
        <f t="shared" si="106"/>
        <v>28158.553119999997</v>
      </c>
      <c r="BV51" s="24">
        <f t="shared" si="106"/>
        <v>1.2350242596491228</v>
      </c>
    </row>
    <row r="52" spans="1:74" s="4" customFormat="1" ht="18" customHeight="1" x14ac:dyDescent="0.45">
      <c r="A52" s="561"/>
      <c r="B52" s="1194"/>
      <c r="C52" s="19" t="s">
        <v>416</v>
      </c>
      <c r="D52" s="20"/>
      <c r="E52" s="30"/>
      <c r="F52" s="66"/>
      <c r="G52" s="32"/>
      <c r="H52" s="66"/>
      <c r="I52" s="32"/>
      <c r="J52" s="66"/>
      <c r="K52" s="32"/>
      <c r="L52" s="66"/>
      <c r="M52" s="32"/>
      <c r="N52" s="66"/>
      <c r="O52" s="32"/>
      <c r="P52" s="66"/>
      <c r="Q52" s="32"/>
      <c r="R52" s="66"/>
      <c r="S52" s="32"/>
      <c r="T52" s="66"/>
      <c r="U52" s="32"/>
      <c r="V52" s="66"/>
      <c r="W52" s="32"/>
      <c r="X52" s="66"/>
      <c r="Y52" s="32"/>
      <c r="Z52" s="66">
        <f>+AA63*Z19</f>
        <v>5500</v>
      </c>
      <c r="AA52" s="32">
        <f>+AA63</f>
        <v>5.5</v>
      </c>
      <c r="AB52" s="66">
        <f>+AC63*AB19</f>
        <v>5500</v>
      </c>
      <c r="AC52" s="32">
        <f>+AC63</f>
        <v>5.5</v>
      </c>
      <c r="AD52" s="66">
        <f>+AE63*AD19</f>
        <v>5500</v>
      </c>
      <c r="AE52" s="32">
        <f>+AE63</f>
        <v>5.5</v>
      </c>
      <c r="AF52" s="783"/>
      <c r="AG52" s="724"/>
      <c r="AH52" s="782"/>
      <c r="AI52" s="630"/>
      <c r="AJ52" s="66">
        <f>+AK63*AJ19</f>
        <v>5500</v>
      </c>
      <c r="AK52" s="32">
        <f>+AK63</f>
        <v>5.5</v>
      </c>
      <c r="AL52" s="66">
        <f>+AM63*AL19</f>
        <v>5500</v>
      </c>
      <c r="AM52" s="32">
        <f>+AM63</f>
        <v>5.5</v>
      </c>
      <c r="AN52" s="66">
        <f>+AO63*AN19</f>
        <v>5500</v>
      </c>
      <c r="AO52" s="32">
        <f>+AO63</f>
        <v>5.5</v>
      </c>
      <c r="AP52" s="783"/>
      <c r="AQ52" s="724"/>
      <c r="AR52" s="782"/>
      <c r="AS52" s="630"/>
      <c r="AT52" s="66">
        <f>+AU63*AT19</f>
        <v>5500</v>
      </c>
      <c r="AU52" s="32">
        <f>+AU63</f>
        <v>5.5</v>
      </c>
      <c r="AV52" s="66">
        <f>+AW63*AV19</f>
        <v>5500</v>
      </c>
      <c r="AW52" s="32">
        <f>+AW63</f>
        <v>5.5</v>
      </c>
      <c r="AX52" s="66">
        <f>+AY63*AX19</f>
        <v>5500</v>
      </c>
      <c r="AY52" s="32">
        <f>+AY63</f>
        <v>5.5</v>
      </c>
      <c r="AZ52" s="783"/>
      <c r="BA52" s="724"/>
      <c r="BB52" s="724"/>
      <c r="BC52" s="630"/>
      <c r="BD52" s="66"/>
      <c r="BE52" s="32"/>
      <c r="BF52" s="630"/>
      <c r="BG52" s="66"/>
      <c r="BH52" s="32"/>
      <c r="BI52" s="66"/>
      <c r="BJ52" s="32"/>
      <c r="BK52" s="66"/>
      <c r="BL52" s="32"/>
      <c r="BM52" s="630"/>
      <c r="BN52" s="66"/>
      <c r="BO52" s="32"/>
      <c r="BQ52" s="66">
        <f>+BR56*BQ12</f>
        <v>111643.63139999997</v>
      </c>
      <c r="BR52" s="32">
        <f>+BR56</f>
        <v>4.8966504999999989</v>
      </c>
      <c r="BS52" s="66">
        <f>+BT56*BS12</f>
        <v>117067.04687999999</v>
      </c>
      <c r="BT52" s="32">
        <f>+BT56</f>
        <v>5.1345196</v>
      </c>
      <c r="BU52" s="66">
        <f>+BV56*BU12</f>
        <v>131841.44688</v>
      </c>
      <c r="BV52" s="32">
        <f>+BV56</f>
        <v>5.7825195999999996</v>
      </c>
    </row>
    <row r="53" spans="1:74" s="4" customFormat="1" ht="18" customHeight="1" x14ac:dyDescent="0.45">
      <c r="A53" s="561"/>
      <c r="B53" s="1195"/>
      <c r="C53" s="67" t="s">
        <v>50</v>
      </c>
      <c r="D53" s="26"/>
      <c r="E53" s="26"/>
      <c r="F53" s="27"/>
      <c r="G53" s="41"/>
      <c r="H53" s="27"/>
      <c r="I53" s="41"/>
      <c r="J53" s="27"/>
      <c r="K53" s="41"/>
      <c r="L53" s="27"/>
      <c r="M53" s="41"/>
      <c r="N53" s="352"/>
      <c r="O53" s="358"/>
      <c r="P53" s="352"/>
      <c r="Q53" s="704"/>
      <c r="R53" s="352"/>
      <c r="S53" s="358"/>
      <c r="T53" s="352"/>
      <c r="U53" s="358"/>
      <c r="V53" s="352"/>
      <c r="W53" s="358"/>
      <c r="X53" s="352"/>
      <c r="Y53" s="358"/>
      <c r="Z53" s="352">
        <v>0</v>
      </c>
      <c r="AA53" s="358"/>
      <c r="AB53" s="352">
        <v>0</v>
      </c>
      <c r="AC53" s="358"/>
      <c r="AD53" s="352">
        <v>0</v>
      </c>
      <c r="AE53" s="358"/>
      <c r="AF53" s="751"/>
      <c r="AG53" s="752"/>
      <c r="AH53" s="753"/>
      <c r="AI53" s="634"/>
      <c r="AJ53" s="352">
        <v>0</v>
      </c>
      <c r="AK53" s="358"/>
      <c r="AL53" s="352">
        <v>0</v>
      </c>
      <c r="AM53" s="358"/>
      <c r="AN53" s="352">
        <v>0</v>
      </c>
      <c r="AO53" s="358"/>
      <c r="AP53" s="751"/>
      <c r="AQ53" s="752"/>
      <c r="AR53" s="753"/>
      <c r="AS53" s="634"/>
      <c r="AT53" s="352">
        <v>0</v>
      </c>
      <c r="AU53" s="358"/>
      <c r="AV53" s="352">
        <v>0</v>
      </c>
      <c r="AW53" s="358"/>
      <c r="AX53" s="352">
        <v>0</v>
      </c>
      <c r="AY53" s="358"/>
      <c r="AZ53" s="751"/>
      <c r="BA53" s="752"/>
      <c r="BB53" s="752"/>
      <c r="BC53" s="632"/>
      <c r="BD53" s="352"/>
      <c r="BE53" s="358"/>
      <c r="BF53" s="632"/>
      <c r="BG53" s="352"/>
      <c r="BH53" s="358"/>
      <c r="BI53" s="352"/>
      <c r="BJ53" s="358"/>
      <c r="BK53" s="352"/>
      <c r="BL53" s="358"/>
      <c r="BM53" s="632"/>
      <c r="BN53" s="352"/>
      <c r="BO53" s="358"/>
      <c r="BQ53" s="352">
        <v>0</v>
      </c>
      <c r="BR53" s="358"/>
      <c r="BS53" s="352">
        <v>0</v>
      </c>
      <c r="BT53" s="358"/>
      <c r="BU53" s="352">
        <v>0</v>
      </c>
      <c r="BV53" s="358"/>
    </row>
    <row r="54" spans="1:74" s="4" customFormat="1" ht="18" customHeight="1" x14ac:dyDescent="0.45">
      <c r="A54" s="561"/>
      <c r="B54" s="1183" t="s">
        <v>51</v>
      </c>
      <c r="C54" s="554" t="s">
        <v>380</v>
      </c>
      <c r="D54" s="555"/>
      <c r="E54" s="555"/>
      <c r="F54" s="556"/>
      <c r="G54" s="557">
        <f>55000000/40*G44</f>
        <v>1197670.4545454551</v>
      </c>
      <c r="H54" s="556"/>
      <c r="I54" s="557">
        <f>90000000/40*I44</f>
        <v>1721841.532687993</v>
      </c>
      <c r="J54" s="556"/>
      <c r="K54" s="557">
        <f>90000000/40*K44</f>
        <v>2123685.3478900497</v>
      </c>
      <c r="L54" s="556"/>
      <c r="M54" s="557">
        <f>90000000/40*M44</f>
        <v>1222687.4622051995</v>
      </c>
      <c r="N54" s="558"/>
      <c r="O54" s="557">
        <f>120000000/40*O44</f>
        <v>2080169.9436927221</v>
      </c>
      <c r="P54" s="558"/>
      <c r="Q54" s="557">
        <f>120000000/40*Q44</f>
        <v>2745527.4736419604</v>
      </c>
      <c r="R54" s="558"/>
      <c r="S54" s="557">
        <f>120000000/40*S44</f>
        <v>1473010.2801854443</v>
      </c>
      <c r="T54" s="558"/>
      <c r="U54" s="557">
        <f>120000000/40*U44</f>
        <v>2080169.9436927221</v>
      </c>
      <c r="V54" s="558"/>
      <c r="W54" s="557">
        <f>120000000/40*W44</f>
        <v>2080169.9436927221</v>
      </c>
      <c r="X54" s="558"/>
      <c r="Y54" s="709"/>
      <c r="Z54" s="558"/>
      <c r="AA54" s="709">
        <f>AA44-$O$44</f>
        <v>-0.21705695915622147</v>
      </c>
      <c r="AB54" s="558"/>
      <c r="AC54" s="709">
        <f>AC44-$Q$44</f>
        <v>-0.20190953512636156</v>
      </c>
      <c r="AD54" s="558"/>
      <c r="AE54" s="709">
        <f>AE44-$S$44</f>
        <v>-0.23087945978633329</v>
      </c>
      <c r="AF54" s="787"/>
      <c r="AG54" s="788"/>
      <c r="AH54" s="789"/>
      <c r="AI54" s="638"/>
      <c r="AJ54" s="558"/>
      <c r="AK54" s="709">
        <f>AK44-$O$44</f>
        <v>-0.14962965065239509</v>
      </c>
      <c r="AL54" s="558"/>
      <c r="AM54" s="709">
        <f>AM44-$Q$44</f>
        <v>-6.414276669608121E-2</v>
      </c>
      <c r="AN54" s="558"/>
      <c r="AO54" s="709">
        <f>AO44-$S$44</f>
        <v>-0.2308794597863324</v>
      </c>
      <c r="AP54" s="787"/>
      <c r="AQ54" s="788"/>
      <c r="AR54" s="789"/>
      <c r="AS54" s="638"/>
      <c r="AT54" s="558"/>
      <c r="AU54" s="709">
        <f>AU44-$O$44</f>
        <v>-6.2388875394648657E-2</v>
      </c>
      <c r="AV54" s="558"/>
      <c r="AW54" s="709">
        <f>AW44-$Q$44</f>
        <v>-2.4752645558945297E-2</v>
      </c>
      <c r="AX54" s="558"/>
      <c r="AY54" s="709">
        <f>AY44-$S$44</f>
        <v>-9.6733118322918088E-2</v>
      </c>
      <c r="AZ54" s="787"/>
      <c r="BA54" s="788"/>
      <c r="BB54" s="853"/>
      <c r="BC54" s="925"/>
      <c r="BD54" s="558"/>
      <c r="BE54" s="709"/>
      <c r="BF54" s="925"/>
      <c r="BG54" s="558"/>
      <c r="BH54" s="709"/>
      <c r="BI54" s="558"/>
      <c r="BJ54" s="709"/>
      <c r="BK54" s="558"/>
      <c r="BL54" s="709"/>
      <c r="BM54" s="925"/>
      <c r="BN54" s="558"/>
      <c r="BO54" s="709"/>
      <c r="BQ54" s="558"/>
      <c r="BR54" s="709"/>
      <c r="BS54" s="558"/>
      <c r="BT54" s="709"/>
      <c r="BU54" s="558"/>
      <c r="BV54" s="709"/>
    </row>
    <row r="55" spans="1:74" s="4" customFormat="1" ht="18" customHeight="1" x14ac:dyDescent="0.45">
      <c r="A55" s="561"/>
      <c r="B55" s="1184"/>
      <c r="C55" s="19" t="s">
        <v>52</v>
      </c>
      <c r="D55" s="20"/>
      <c r="E55" s="30" t="s">
        <v>53</v>
      </c>
      <c r="F55" s="69">
        <f t="shared" ref="F55:AE55" si="107">+F56/F10</f>
        <v>646.44660626652887</v>
      </c>
      <c r="G55" s="70">
        <f t="shared" si="107"/>
        <v>0.15888440082644625</v>
      </c>
      <c r="H55" s="69">
        <f t="shared" si="107"/>
        <v>658.19486201652887</v>
      </c>
      <c r="I55" s="70">
        <f t="shared" si="107"/>
        <v>0.16177190082644627</v>
      </c>
      <c r="J55" s="69">
        <f t="shared" si="107"/>
        <v>658.19486201652887</v>
      </c>
      <c r="K55" s="70">
        <f t="shared" si="107"/>
        <v>0.16177190082644627</v>
      </c>
      <c r="L55" s="69">
        <f t="shared" si="107"/>
        <v>658.19486201652887</v>
      </c>
      <c r="M55" s="70">
        <f t="shared" si="107"/>
        <v>0.16177190082644627</v>
      </c>
      <c r="N55" s="69">
        <f t="shared" si="107"/>
        <v>664.05928058925622</v>
      </c>
      <c r="O55" s="70">
        <f t="shared" si="107"/>
        <v>0.16321326446280993</v>
      </c>
      <c r="P55" s="69">
        <f t="shared" si="107"/>
        <v>664.05928058925622</v>
      </c>
      <c r="Q55" s="70">
        <f t="shared" si="107"/>
        <v>0.16321326446280993</v>
      </c>
      <c r="R55" s="69">
        <f t="shared" si="107"/>
        <v>664.05928058925622</v>
      </c>
      <c r="S55" s="70">
        <f t="shared" si="107"/>
        <v>0.16321326446280993</v>
      </c>
      <c r="T55" s="69">
        <f t="shared" si="107"/>
        <v>664.05928058925622</v>
      </c>
      <c r="U55" s="70">
        <f t="shared" si="107"/>
        <v>0.16321326446280993</v>
      </c>
      <c r="V55" s="69">
        <f t="shared" si="107"/>
        <v>664.05928058925622</v>
      </c>
      <c r="W55" s="70">
        <f t="shared" si="107"/>
        <v>0.16321326446280993</v>
      </c>
      <c r="X55" s="69">
        <f t="shared" si="107"/>
        <v>734.54104886110076</v>
      </c>
      <c r="Y55" s="70">
        <f t="shared" si="107"/>
        <v>0.18053635567019627</v>
      </c>
      <c r="Z55" s="69">
        <f t="shared" si="107"/>
        <v>693.43962926652887</v>
      </c>
      <c r="AA55" s="70">
        <f t="shared" si="107"/>
        <v>0.17043440082644629</v>
      </c>
      <c r="AB55" s="69">
        <f t="shared" si="107"/>
        <v>693.43962926652887</v>
      </c>
      <c r="AC55" s="70">
        <f t="shared" si="107"/>
        <v>0.17043440082644629</v>
      </c>
      <c r="AD55" s="69">
        <f t="shared" si="107"/>
        <v>693.43962926652887</v>
      </c>
      <c r="AE55" s="70">
        <f t="shared" si="107"/>
        <v>0.17043440082644629</v>
      </c>
      <c r="AF55" s="784"/>
      <c r="AG55" s="785"/>
      <c r="AH55" s="782"/>
      <c r="AI55" s="630"/>
      <c r="AJ55" s="69">
        <f t="shared" ref="AJ55:AO55" si="108">+AJ56/AJ10</f>
        <v>693.43962926652887</v>
      </c>
      <c r="AK55" s="70">
        <f t="shared" si="108"/>
        <v>0.17043440082644629</v>
      </c>
      <c r="AL55" s="69">
        <f t="shared" si="108"/>
        <v>693.43962926652887</v>
      </c>
      <c r="AM55" s="70">
        <f t="shared" si="108"/>
        <v>0.17043440082644629</v>
      </c>
      <c r="AN55" s="69">
        <f t="shared" si="108"/>
        <v>693.43962926652887</v>
      </c>
      <c r="AO55" s="70">
        <f t="shared" si="108"/>
        <v>0.17043440082644629</v>
      </c>
      <c r="AP55" s="784"/>
      <c r="AQ55" s="785"/>
      <c r="AR55" s="782"/>
      <c r="AS55" s="630"/>
      <c r="AT55" s="69">
        <f t="shared" ref="AT55:AY55" si="109">+AT56/AT10</f>
        <v>693.43962926652887</v>
      </c>
      <c r="AU55" s="70">
        <f t="shared" si="109"/>
        <v>0.17043440082644629</v>
      </c>
      <c r="AV55" s="69">
        <f t="shared" si="109"/>
        <v>693.43962926652887</v>
      </c>
      <c r="AW55" s="70">
        <f t="shared" si="109"/>
        <v>0.17043440082644629</v>
      </c>
      <c r="AX55" s="69">
        <f t="shared" si="109"/>
        <v>693.43962926652887</v>
      </c>
      <c r="AY55" s="70">
        <f t="shared" si="109"/>
        <v>0.17043440082644629</v>
      </c>
      <c r="AZ55" s="784"/>
      <c r="BA55" s="785"/>
      <c r="BB55" s="724"/>
      <c r="BC55" s="630"/>
      <c r="BD55" s="69">
        <f>+BD56/BD10</f>
        <v>693.43962926652887</v>
      </c>
      <c r="BE55" s="70">
        <f>+BE56/BE10</f>
        <v>0.17043440082644629</v>
      </c>
      <c r="BF55" s="630"/>
      <c r="BG55" s="69">
        <f t="shared" ref="BG55:BL55" si="110">+BG56/BG10</f>
        <v>734.54104886110088</v>
      </c>
      <c r="BH55" s="70">
        <f t="shared" si="110"/>
        <v>0.1805363556701963</v>
      </c>
      <c r="BI55" s="69">
        <f t="shared" si="110"/>
        <v>734.54104886110088</v>
      </c>
      <c r="BJ55" s="70">
        <f t="shared" si="110"/>
        <v>0.1805363556701963</v>
      </c>
      <c r="BK55" s="69">
        <f t="shared" si="110"/>
        <v>734.54104886110088</v>
      </c>
      <c r="BL55" s="70">
        <f t="shared" si="110"/>
        <v>0.1805363556701963</v>
      </c>
      <c r="BM55" s="630"/>
      <c r="BN55" s="69">
        <f>+BN56/BN10</f>
        <v>822.69041455130389</v>
      </c>
      <c r="BO55" s="70">
        <f>+BO56/BO10</f>
        <v>0.20220180957644626</v>
      </c>
      <c r="BQ55" s="69">
        <f t="shared" ref="BQ55:BV55" si="111">+BQ56/BQ10</f>
        <v>2791.0907849999994</v>
      </c>
      <c r="BR55" s="70">
        <f t="shared" si="111"/>
        <v>0.12241626249999997</v>
      </c>
      <c r="BS55" s="69">
        <f t="shared" si="111"/>
        <v>2926.676172</v>
      </c>
      <c r="BT55" s="70">
        <f t="shared" si="111"/>
        <v>0.12836299000000001</v>
      </c>
      <c r="BU55" s="69">
        <f t="shared" si="111"/>
        <v>3296.0361720000001</v>
      </c>
      <c r="BV55" s="70">
        <f t="shared" si="111"/>
        <v>0.14456299</v>
      </c>
    </row>
    <row r="56" spans="1:74" s="4" customFormat="1" ht="18" customHeight="1" x14ac:dyDescent="0.45">
      <c r="A56" s="561"/>
      <c r="B56" s="1184"/>
      <c r="C56" s="19" t="s">
        <v>54</v>
      </c>
      <c r="D56" s="20"/>
      <c r="E56" s="30" t="s">
        <v>53</v>
      </c>
      <c r="F56" s="69">
        <f>+G56*F12</f>
        <v>25857.864250661154</v>
      </c>
      <c r="G56" s="70">
        <f>+G57+G59+G63+G61</f>
        <v>6.3553760330578504</v>
      </c>
      <c r="H56" s="69">
        <f>+I56*H12</f>
        <v>26327.794480661156</v>
      </c>
      <c r="I56" s="70">
        <f>+I57+I59+I63+I61</f>
        <v>6.4708760330578512</v>
      </c>
      <c r="J56" s="69">
        <f>+K56*J12</f>
        <v>26327.794480661156</v>
      </c>
      <c r="K56" s="70">
        <f>+K57+K59+K63+K61</f>
        <v>6.4708760330578512</v>
      </c>
      <c r="L56" s="69">
        <f>+M56*L12</f>
        <v>26327.794480661156</v>
      </c>
      <c r="M56" s="70">
        <f>+M57+M59+M63+M61</f>
        <v>6.4708760330578512</v>
      </c>
      <c r="N56" s="69">
        <f>+O56*N12</f>
        <v>26562.371223570248</v>
      </c>
      <c r="O56" s="70">
        <f>+O57+O59+O63+O61</f>
        <v>6.528530578512397</v>
      </c>
      <c r="P56" s="69">
        <f>+Q56*P12</f>
        <v>26562.371223570248</v>
      </c>
      <c r="Q56" s="70">
        <f>+Q57+Q59+Q63+Q61</f>
        <v>6.528530578512397</v>
      </c>
      <c r="R56" s="69">
        <f>+S56*R12</f>
        <v>26562.371223570248</v>
      </c>
      <c r="S56" s="70">
        <f>+S57+S59+S63+S61</f>
        <v>6.528530578512397</v>
      </c>
      <c r="T56" s="69">
        <f>+U56*T12</f>
        <v>26562.371223570248</v>
      </c>
      <c r="U56" s="70">
        <f>+U57+U59+U63+U61</f>
        <v>6.528530578512397</v>
      </c>
      <c r="V56" s="69">
        <f>+W56*V12</f>
        <v>26562.371223570248</v>
      </c>
      <c r="W56" s="70">
        <f>+W57+W59+W63+W61</f>
        <v>6.528530578512397</v>
      </c>
      <c r="X56" s="69">
        <f>+Y56*X12</f>
        <v>29381.641954444032</v>
      </c>
      <c r="Y56" s="70">
        <f>+Y57+Y59+Y63+Y61</f>
        <v>7.2214542268078512</v>
      </c>
      <c r="Z56" s="69">
        <f>+AA56*Z12</f>
        <v>27737.585170661154</v>
      </c>
      <c r="AA56" s="70">
        <f>+AA57+AA59+AA63+AA61</f>
        <v>6.817376033057851</v>
      </c>
      <c r="AB56" s="69">
        <f>+AC56*AB12</f>
        <v>27737.585170661154</v>
      </c>
      <c r="AC56" s="70">
        <f>+AC57+AC59+AC63+AC61</f>
        <v>6.817376033057851</v>
      </c>
      <c r="AD56" s="69">
        <f>+AE56*AD12</f>
        <v>27737.585170661154</v>
      </c>
      <c r="AE56" s="70">
        <f>+AE57+AE59+AE63+AE61</f>
        <v>6.817376033057851</v>
      </c>
      <c r="AF56" s="784"/>
      <c r="AG56" s="785"/>
      <c r="AH56" s="782"/>
      <c r="AI56" s="630"/>
      <c r="AJ56" s="69">
        <f>+AK56*AJ12</f>
        <v>27737.585170661154</v>
      </c>
      <c r="AK56" s="70">
        <f>+AK57+AK59+AK63+AK61</f>
        <v>6.817376033057851</v>
      </c>
      <c r="AL56" s="69">
        <f>+AM56*AL12</f>
        <v>27737.585170661154</v>
      </c>
      <c r="AM56" s="70">
        <f>+AM57+AM59+AM63+AM61</f>
        <v>6.817376033057851</v>
      </c>
      <c r="AN56" s="69">
        <f>+AO56*AN12</f>
        <v>27737.585170661154</v>
      </c>
      <c r="AO56" s="70">
        <f>+AO57+AO59+AO63+AO61</f>
        <v>6.817376033057851</v>
      </c>
      <c r="AP56" s="784"/>
      <c r="AQ56" s="785"/>
      <c r="AR56" s="782"/>
      <c r="AS56" s="630"/>
      <c r="AT56" s="69">
        <f>+AU56*AT12</f>
        <v>27737.585170661154</v>
      </c>
      <c r="AU56" s="70">
        <f>+AU57+AU59+AU63+AU61</f>
        <v>6.817376033057851</v>
      </c>
      <c r="AV56" s="69">
        <f>+AW56*AV12</f>
        <v>27737.585170661154</v>
      </c>
      <c r="AW56" s="70">
        <f>+AW57+AW59+AW63+AW61</f>
        <v>6.817376033057851</v>
      </c>
      <c r="AX56" s="69">
        <f>+AY56*AX12</f>
        <v>27737.585170661154</v>
      </c>
      <c r="AY56" s="70">
        <f>+AY57+AY59+AY63+AY61</f>
        <v>6.817376033057851</v>
      </c>
      <c r="AZ56" s="784"/>
      <c r="BA56" s="785"/>
      <c r="BB56" s="724"/>
      <c r="BC56" s="630"/>
      <c r="BD56" s="69">
        <f>+BE56*BD12</f>
        <v>27737.585170661154</v>
      </c>
      <c r="BE56" s="70">
        <f>+BE57+BE59+BE63+BE61</f>
        <v>6.817376033057851</v>
      </c>
      <c r="BF56" s="630"/>
      <c r="BG56" s="69">
        <f>+BH56*BG12</f>
        <v>29381.641954444036</v>
      </c>
      <c r="BH56" s="70">
        <f>+BH57+BH59+BH63+BH61</f>
        <v>7.2214542268078521</v>
      </c>
      <c r="BI56" s="69">
        <f>+BJ56*BI12</f>
        <v>29381.641954444036</v>
      </c>
      <c r="BJ56" s="70">
        <f t="shared" ref="BJ56" si="112">+BJ57+BJ59+BJ63+BJ61</f>
        <v>7.2214542268078521</v>
      </c>
      <c r="BK56" s="69">
        <f>+BL56*BK12</f>
        <v>29381.641954444036</v>
      </c>
      <c r="BL56" s="70">
        <f t="shared" ref="BL56" si="113">+BL57+BL59+BL63+BL61</f>
        <v>7.2214542268078521</v>
      </c>
      <c r="BM56" s="630"/>
      <c r="BN56" s="69">
        <f>+BO56*BN12</f>
        <v>32907.616582052156</v>
      </c>
      <c r="BO56" s="70">
        <f>+BO57+BO59+BO63+BO61</f>
        <v>8.0880723830578507</v>
      </c>
      <c r="BQ56" s="69">
        <f>+BR56*BQ12</f>
        <v>111643.63139999997</v>
      </c>
      <c r="BR56" s="70">
        <f>+BR57+BR59+BR63+BR61</f>
        <v>4.8966504999999989</v>
      </c>
      <c r="BS56" s="69">
        <f>+BT56*BS12</f>
        <v>117067.04687999999</v>
      </c>
      <c r="BT56" s="70">
        <f>+BT57+BT59+BT63+BT61</f>
        <v>5.1345196</v>
      </c>
      <c r="BU56" s="69">
        <f>+BV56*BU12</f>
        <v>131841.44688</v>
      </c>
      <c r="BV56" s="70">
        <f>+BV57+BV59+BV63+BV61</f>
        <v>5.7825195999999996</v>
      </c>
    </row>
    <row r="57" spans="1:74" s="4" customFormat="1" ht="18" customHeight="1" x14ac:dyDescent="0.45">
      <c r="A57" s="561"/>
      <c r="B57" s="1184"/>
      <c r="C57" s="71" t="s">
        <v>55</v>
      </c>
      <c r="D57" s="16"/>
      <c r="E57" s="35" t="s">
        <v>53</v>
      </c>
      <c r="F57" s="50"/>
      <c r="G57" s="72">
        <f>+G58*G63</f>
        <v>0.255</v>
      </c>
      <c r="H57" s="50"/>
      <c r="I57" s="72">
        <f>+I58*I63</f>
        <v>0.25999999999999995</v>
      </c>
      <c r="J57" s="50"/>
      <c r="K57" s="72">
        <f>+K58*K63</f>
        <v>0.25999999999999995</v>
      </c>
      <c r="L57" s="50"/>
      <c r="M57" s="72">
        <f>+M58*M63</f>
        <v>0.25999999999999995</v>
      </c>
      <c r="N57" s="367"/>
      <c r="O57" s="368">
        <f>+O58*O63</f>
        <v>0.26249586776859507</v>
      </c>
      <c r="P57" s="367"/>
      <c r="Q57" s="368">
        <f>+Q58*Q63</f>
        <v>0.26249586776859507</v>
      </c>
      <c r="R57" s="367"/>
      <c r="S57" s="368">
        <f>+S58*S63</f>
        <v>0.26249586776859507</v>
      </c>
      <c r="T57" s="367"/>
      <c r="U57" s="368">
        <f>+U58*U63</f>
        <v>0.26249586776859507</v>
      </c>
      <c r="V57" s="367"/>
      <c r="W57" s="368">
        <f>+W58*W63</f>
        <v>0.26249586776859507</v>
      </c>
      <c r="X57" s="367"/>
      <c r="Y57" s="368">
        <f>+Y58*Y63</f>
        <v>0.2924925625</v>
      </c>
      <c r="Z57" s="367"/>
      <c r="AA57" s="368">
        <f>+AA58*AA63</f>
        <v>0.27500000000000002</v>
      </c>
      <c r="AB57" s="367"/>
      <c r="AC57" s="368">
        <f>+AC58*AC63</f>
        <v>0.27500000000000002</v>
      </c>
      <c r="AD57" s="367"/>
      <c r="AE57" s="368">
        <f>+AE58*AE63</f>
        <v>0.27500000000000002</v>
      </c>
      <c r="AF57" s="745"/>
      <c r="AG57" s="725"/>
      <c r="AH57" s="746"/>
      <c r="AI57" s="630"/>
      <c r="AJ57" s="367"/>
      <c r="AK57" s="368">
        <f>+AK58*AK63</f>
        <v>0.27500000000000002</v>
      </c>
      <c r="AL57" s="367"/>
      <c r="AM57" s="368">
        <f>+AM58*AM63</f>
        <v>0.27500000000000002</v>
      </c>
      <c r="AN57" s="367"/>
      <c r="AO57" s="368">
        <f>+AO58*AO63</f>
        <v>0.27500000000000002</v>
      </c>
      <c r="AP57" s="745"/>
      <c r="AQ57" s="725"/>
      <c r="AR57" s="746"/>
      <c r="AS57" s="630"/>
      <c r="AT57" s="367"/>
      <c r="AU57" s="368">
        <f>+AU58*AU63</f>
        <v>0.27500000000000002</v>
      </c>
      <c r="AV57" s="367"/>
      <c r="AW57" s="368">
        <f>+AW58*AW63</f>
        <v>0.27500000000000002</v>
      </c>
      <c r="AX57" s="367"/>
      <c r="AY57" s="368">
        <f>+AY58*AY63</f>
        <v>0.27500000000000002</v>
      </c>
      <c r="AZ57" s="745"/>
      <c r="BA57" s="725"/>
      <c r="BB57" s="725"/>
      <c r="BC57" s="630"/>
      <c r="BD57" s="367"/>
      <c r="BE57" s="368">
        <f>+BE58*BE63</f>
        <v>0.27500000000000002</v>
      </c>
      <c r="BF57" s="630"/>
      <c r="BG57" s="367"/>
      <c r="BH57" s="368">
        <f>+BH58*BH63</f>
        <v>0.29249256250000005</v>
      </c>
      <c r="BI57" s="367"/>
      <c r="BJ57" s="368">
        <f t="shared" ref="BJ57" si="114">+BJ58*BJ63</f>
        <v>0.29249256250000005</v>
      </c>
      <c r="BK57" s="367"/>
      <c r="BL57" s="368">
        <f t="shared" ref="BL57" si="115">+BL58*BL63</f>
        <v>0.29249256250000005</v>
      </c>
      <c r="BM57" s="630"/>
      <c r="BN57" s="367"/>
      <c r="BO57" s="368">
        <f>+BO58*BO63</f>
        <v>0.33000849999999998</v>
      </c>
      <c r="BQ57" s="367"/>
      <c r="BR57" s="368">
        <f>+BR58*BR63</f>
        <v>0</v>
      </c>
      <c r="BS57" s="367"/>
      <c r="BT57" s="368">
        <f>+BT58*BT63</f>
        <v>0</v>
      </c>
      <c r="BU57" s="367"/>
      <c r="BV57" s="368">
        <f>+BV58*BV63</f>
        <v>0</v>
      </c>
    </row>
    <row r="58" spans="1:74" s="4" customFormat="1" ht="18" customHeight="1" x14ac:dyDescent="0.45">
      <c r="A58" s="561"/>
      <c r="B58" s="1184"/>
      <c r="C58" s="15" t="s">
        <v>56</v>
      </c>
      <c r="D58" s="16"/>
      <c r="E58" s="16"/>
      <c r="F58" s="73"/>
      <c r="G58" s="74">
        <v>0.05</v>
      </c>
      <c r="H58" s="73"/>
      <c r="I58" s="74">
        <v>0.05</v>
      </c>
      <c r="J58" s="73"/>
      <c r="K58" s="74">
        <v>0.05</v>
      </c>
      <c r="L58" s="73"/>
      <c r="M58" s="74">
        <v>0.05</v>
      </c>
      <c r="N58" s="369"/>
      <c r="O58" s="370">
        <v>0.05</v>
      </c>
      <c r="P58" s="369"/>
      <c r="Q58" s="370">
        <v>0.05</v>
      </c>
      <c r="R58" s="369"/>
      <c r="S58" s="370">
        <v>0.05</v>
      </c>
      <c r="T58" s="369"/>
      <c r="U58" s="370">
        <v>0.05</v>
      </c>
      <c r="V58" s="369"/>
      <c r="W58" s="370">
        <v>0.05</v>
      </c>
      <c r="X58" s="369"/>
      <c r="Y58" s="370">
        <v>0.05</v>
      </c>
      <c r="Z58" s="369"/>
      <c r="AA58" s="370">
        <v>0.05</v>
      </c>
      <c r="AB58" s="369"/>
      <c r="AC58" s="370">
        <v>0.05</v>
      </c>
      <c r="AD58" s="369"/>
      <c r="AE58" s="370">
        <v>0.05</v>
      </c>
      <c r="AF58" s="745"/>
      <c r="AG58" s="725"/>
      <c r="AH58" s="746"/>
      <c r="AI58" s="633"/>
      <c r="AJ58" s="369"/>
      <c r="AK58" s="370">
        <v>0.05</v>
      </c>
      <c r="AL58" s="369"/>
      <c r="AM58" s="370">
        <v>0.05</v>
      </c>
      <c r="AN58" s="369"/>
      <c r="AO58" s="370">
        <v>0.05</v>
      </c>
      <c r="AP58" s="745"/>
      <c r="AQ58" s="725"/>
      <c r="AR58" s="746"/>
      <c r="AS58" s="633"/>
      <c r="AT58" s="369"/>
      <c r="AU58" s="370">
        <v>0.05</v>
      </c>
      <c r="AV58" s="369"/>
      <c r="AW58" s="370">
        <v>0.05</v>
      </c>
      <c r="AX58" s="369"/>
      <c r="AY58" s="370">
        <v>0.05</v>
      </c>
      <c r="AZ58" s="745"/>
      <c r="BA58" s="725"/>
      <c r="BB58" s="725"/>
      <c r="BC58" s="633"/>
      <c r="BD58" s="369"/>
      <c r="BE58" s="370">
        <v>0.05</v>
      </c>
      <c r="BF58" s="633"/>
      <c r="BG58" s="369"/>
      <c r="BH58" s="370">
        <v>0.05</v>
      </c>
      <c r="BI58" s="369"/>
      <c r="BJ58" s="370">
        <v>0.05</v>
      </c>
      <c r="BK58" s="369"/>
      <c r="BL58" s="370">
        <v>0.05</v>
      </c>
      <c r="BM58" s="633"/>
      <c r="BN58" s="369"/>
      <c r="BO58" s="370">
        <v>0.05</v>
      </c>
      <c r="BQ58" s="369"/>
      <c r="BR58" s="370">
        <v>0</v>
      </c>
      <c r="BS58" s="369"/>
      <c r="BT58" s="370">
        <v>0</v>
      </c>
      <c r="BU58" s="369"/>
      <c r="BV58" s="370">
        <v>0</v>
      </c>
    </row>
    <row r="59" spans="1:74" s="4" customFormat="1" ht="18" customHeight="1" x14ac:dyDescent="0.45">
      <c r="A59" s="561"/>
      <c r="B59" s="1184"/>
      <c r="C59" s="71" t="s">
        <v>57</v>
      </c>
      <c r="D59" s="526">
        <v>651</v>
      </c>
      <c r="E59" s="35" t="s">
        <v>53</v>
      </c>
      <c r="F59" s="50"/>
      <c r="G59" s="72">
        <f>$D$60/G73</f>
        <v>0.46487603305785125</v>
      </c>
      <c r="H59" s="50"/>
      <c r="I59" s="72">
        <f>$D$60/I73</f>
        <v>0.46487603305785125</v>
      </c>
      <c r="J59" s="50"/>
      <c r="K59" s="72">
        <f>$D$60/K73</f>
        <v>0.46487603305785125</v>
      </c>
      <c r="L59" s="50"/>
      <c r="M59" s="72">
        <f>$D$60/M73</f>
        <v>0.46487603305785125</v>
      </c>
      <c r="N59" s="367"/>
      <c r="O59" s="368">
        <f>$D$60/O73</f>
        <v>0.46487603305785125</v>
      </c>
      <c r="P59" s="367"/>
      <c r="Q59" s="368">
        <f>$D$60/Q73</f>
        <v>0.46487603305785125</v>
      </c>
      <c r="R59" s="367"/>
      <c r="S59" s="368">
        <f>$D$60/S73</f>
        <v>0.46487603305785125</v>
      </c>
      <c r="T59" s="367"/>
      <c r="U59" s="368">
        <f>$D$60/U73</f>
        <v>0.46487603305785125</v>
      </c>
      <c r="V59" s="367"/>
      <c r="W59" s="368">
        <f>$D$60/W73</f>
        <v>0.46487603305785125</v>
      </c>
      <c r="X59" s="367"/>
      <c r="Y59" s="368">
        <f>$D$60/Y73</f>
        <v>0.46487603305785125</v>
      </c>
      <c r="Z59" s="367"/>
      <c r="AA59" s="368">
        <f>$D$60/AA73</f>
        <v>0.46487603305785125</v>
      </c>
      <c r="AB59" s="367"/>
      <c r="AC59" s="368">
        <f>$D$60/AC73</f>
        <v>0.46487603305785125</v>
      </c>
      <c r="AD59" s="367"/>
      <c r="AE59" s="368">
        <f>$D$60/AE73</f>
        <v>0.46487603305785125</v>
      </c>
      <c r="AF59" s="745"/>
      <c r="AG59" s="725"/>
      <c r="AH59" s="746"/>
      <c r="AI59" s="630"/>
      <c r="AJ59" s="367"/>
      <c r="AK59" s="368">
        <f>$D$60/AK73</f>
        <v>0.46487603305785125</v>
      </c>
      <c r="AL59" s="367"/>
      <c r="AM59" s="368">
        <f>$D$60/AM73</f>
        <v>0.46487603305785125</v>
      </c>
      <c r="AN59" s="367"/>
      <c r="AO59" s="368">
        <f>$D$60/AO73</f>
        <v>0.46487603305785125</v>
      </c>
      <c r="AP59" s="745"/>
      <c r="AQ59" s="725"/>
      <c r="AR59" s="746"/>
      <c r="AS59" s="630"/>
      <c r="AT59" s="367"/>
      <c r="AU59" s="368">
        <f>$D$60/AU73</f>
        <v>0.46487603305785125</v>
      </c>
      <c r="AV59" s="367"/>
      <c r="AW59" s="368">
        <f>$D$60/AW73</f>
        <v>0.46487603305785125</v>
      </c>
      <c r="AX59" s="367"/>
      <c r="AY59" s="368">
        <f>$D$60/AY73</f>
        <v>0.46487603305785125</v>
      </c>
      <c r="AZ59" s="745"/>
      <c r="BA59" s="725"/>
      <c r="BB59" s="725"/>
      <c r="BC59" s="630"/>
      <c r="BD59" s="367"/>
      <c r="BE59" s="368">
        <f>$D$60/BE73</f>
        <v>0.46487603305785125</v>
      </c>
      <c r="BF59" s="630"/>
      <c r="BG59" s="367"/>
      <c r="BH59" s="368">
        <f>$D$60/BH73</f>
        <v>0.46487603305785125</v>
      </c>
      <c r="BI59" s="367"/>
      <c r="BJ59" s="368">
        <f t="shared" ref="BJ59" si="116">$D$60/BJ73</f>
        <v>0.46487603305785125</v>
      </c>
      <c r="BK59" s="367"/>
      <c r="BL59" s="368">
        <f t="shared" ref="BL59" si="117">$D$60/BL73</f>
        <v>0.46487603305785125</v>
      </c>
      <c r="BM59" s="630"/>
      <c r="BN59" s="367"/>
      <c r="BO59" s="368">
        <f>$D$60/BO73</f>
        <v>0.46487603305785125</v>
      </c>
      <c r="BQ59" s="367"/>
      <c r="BR59" s="368">
        <f>(658)/BR73</f>
        <v>0.16450000000000001</v>
      </c>
      <c r="BS59" s="367"/>
      <c r="BT59" s="368">
        <f>(658)/BT73</f>
        <v>0.16450000000000001</v>
      </c>
      <c r="BU59" s="367"/>
      <c r="BV59" s="368">
        <f>(658)/BV73</f>
        <v>0.16450000000000001</v>
      </c>
    </row>
    <row r="60" spans="1:74" s="4" customFormat="1" ht="18" customHeight="1" x14ac:dyDescent="0.45">
      <c r="A60" s="561"/>
      <c r="B60" s="1184"/>
      <c r="C60" s="71" t="s">
        <v>58</v>
      </c>
      <c r="D60" s="76">
        <v>1800</v>
      </c>
      <c r="E60" s="16"/>
      <c r="F60" s="73"/>
      <c r="G60" s="74">
        <f>G59/G63</f>
        <v>9.1152163344676726E-2</v>
      </c>
      <c r="H60" s="73"/>
      <c r="I60" s="74">
        <f>I59/I63</f>
        <v>8.9399237126509865E-2</v>
      </c>
      <c r="J60" s="73"/>
      <c r="K60" s="74">
        <f>K59/K63</f>
        <v>8.9399237126509865E-2</v>
      </c>
      <c r="L60" s="73"/>
      <c r="M60" s="74">
        <f>M59/M63</f>
        <v>8.9399237126509865E-2</v>
      </c>
      <c r="N60" s="369"/>
      <c r="O60" s="370">
        <f>O59/O63</f>
        <v>8.8549209747496999E-2</v>
      </c>
      <c r="P60" s="369"/>
      <c r="Q60" s="370">
        <f>Q59/Q63</f>
        <v>8.8549209747496999E-2</v>
      </c>
      <c r="R60" s="369"/>
      <c r="S60" s="370">
        <f>S59/S63</f>
        <v>8.8549209747496999E-2</v>
      </c>
      <c r="T60" s="369"/>
      <c r="U60" s="370">
        <f>U59/U63</f>
        <v>8.8549209747496999E-2</v>
      </c>
      <c r="V60" s="369"/>
      <c r="W60" s="370">
        <f>W59/W63</f>
        <v>8.8549209747496999E-2</v>
      </c>
      <c r="X60" s="369"/>
      <c r="Y60" s="370">
        <f>Y59/Y63</f>
        <v>7.9468009217815799E-2</v>
      </c>
      <c r="Z60" s="369"/>
      <c r="AA60" s="370">
        <f>AA59/AA63</f>
        <v>8.4522915101427495E-2</v>
      </c>
      <c r="AB60" s="369"/>
      <c r="AC60" s="370">
        <f>AC59/AC63</f>
        <v>8.4522915101427495E-2</v>
      </c>
      <c r="AD60" s="369"/>
      <c r="AE60" s="370">
        <f>AE59/AE63</f>
        <v>8.4522915101427495E-2</v>
      </c>
      <c r="AF60" s="745"/>
      <c r="AG60" s="725"/>
      <c r="AH60" s="746"/>
      <c r="AI60" s="633"/>
      <c r="AJ60" s="369"/>
      <c r="AK60" s="370">
        <f>AK59/AK63</f>
        <v>8.4522915101427495E-2</v>
      </c>
      <c r="AL60" s="369"/>
      <c r="AM60" s="370">
        <f>AM59/AM63</f>
        <v>8.4522915101427495E-2</v>
      </c>
      <c r="AN60" s="369"/>
      <c r="AO60" s="370">
        <f>AO59/AO63</f>
        <v>8.4522915101427495E-2</v>
      </c>
      <c r="AP60" s="745"/>
      <c r="AQ60" s="725"/>
      <c r="AR60" s="746"/>
      <c r="AS60" s="633"/>
      <c r="AT60" s="369"/>
      <c r="AU60" s="370">
        <f>AU59/AU63</f>
        <v>8.4522915101427495E-2</v>
      </c>
      <c r="AV60" s="369"/>
      <c r="AW60" s="370">
        <f>AW59/AW63</f>
        <v>8.4522915101427495E-2</v>
      </c>
      <c r="AX60" s="369"/>
      <c r="AY60" s="370">
        <f>AY59/AY63</f>
        <v>8.4522915101427495E-2</v>
      </c>
      <c r="AZ60" s="745"/>
      <c r="BA60" s="725"/>
      <c r="BB60" s="725"/>
      <c r="BC60" s="633"/>
      <c r="BD60" s="369"/>
      <c r="BE60" s="370">
        <f>BE59/BE63</f>
        <v>8.4522915101427495E-2</v>
      </c>
      <c r="BF60" s="633"/>
      <c r="BG60" s="369"/>
      <c r="BH60" s="370">
        <f>BH59/BH63</f>
        <v>7.9468009217815785E-2</v>
      </c>
      <c r="BI60" s="369"/>
      <c r="BJ60" s="370">
        <f t="shared" ref="BJ60" si="118">BJ59/BJ63</f>
        <v>7.9468009217815785E-2</v>
      </c>
      <c r="BK60" s="369"/>
      <c r="BL60" s="370">
        <f t="shared" ref="BL60" si="119">BL59/BL63</f>
        <v>7.9468009217815785E-2</v>
      </c>
      <c r="BM60" s="633"/>
      <c r="BN60" s="369"/>
      <c r="BO60" s="370">
        <f>BO59/BO63</f>
        <v>7.0433948376761701E-2</v>
      </c>
      <c r="BQ60" s="369"/>
      <c r="BR60" s="370">
        <f>BR59/BR63</f>
        <v>3.823842880736783E-2</v>
      </c>
      <c r="BS60" s="369"/>
      <c r="BT60" s="370">
        <f>BT59/BT63</f>
        <v>3.5746337901766026E-2</v>
      </c>
      <c r="BU60" s="369"/>
      <c r="BV60" s="370">
        <f>BV59/BV63</f>
        <v>3.1623243179856479E-2</v>
      </c>
    </row>
    <row r="61" spans="1:74" s="4" customFormat="1" ht="18" customHeight="1" x14ac:dyDescent="0.45">
      <c r="A61" s="561"/>
      <c r="B61" s="1184"/>
      <c r="C61" s="77" t="s">
        <v>59</v>
      </c>
      <c r="D61" s="76"/>
      <c r="E61" s="16"/>
      <c r="F61" s="73"/>
      <c r="G61" s="72">
        <f>(G62*(G63+G57))</f>
        <v>0.53549999999999998</v>
      </c>
      <c r="H61" s="73"/>
      <c r="I61" s="72">
        <f>(I62*(I63+I57))</f>
        <v>0.54599999999999993</v>
      </c>
      <c r="J61" s="73"/>
      <c r="K61" s="72">
        <f>(K62*(K63+K57))</f>
        <v>0.54599999999999993</v>
      </c>
      <c r="L61" s="73"/>
      <c r="M61" s="72">
        <f>(M62*(M63+M57))</f>
        <v>0.54599999999999993</v>
      </c>
      <c r="N61" s="371"/>
      <c r="O61" s="368">
        <f>(O62*(O63+O57))</f>
        <v>0.55124132231404965</v>
      </c>
      <c r="P61" s="371"/>
      <c r="Q61" s="368">
        <f>(Q62*(Q63+Q57))</f>
        <v>0.55124132231404965</v>
      </c>
      <c r="R61" s="371"/>
      <c r="S61" s="368">
        <f>(S62*(S63+S57))</f>
        <v>0.55124132231404965</v>
      </c>
      <c r="T61" s="371"/>
      <c r="U61" s="368">
        <f>(U62*(U63+U57))</f>
        <v>0.55124132231404965</v>
      </c>
      <c r="V61" s="371"/>
      <c r="W61" s="368">
        <f>(W62*(W63+W57))</f>
        <v>0.55124132231404965</v>
      </c>
      <c r="X61" s="371"/>
      <c r="Y61" s="368">
        <f>(Y62*(Y63+Y57))</f>
        <v>0.61423438124999996</v>
      </c>
      <c r="Z61" s="371"/>
      <c r="AA61" s="368">
        <f>(AA62*(AA63+AA57))</f>
        <v>0.57750000000000001</v>
      </c>
      <c r="AB61" s="371"/>
      <c r="AC61" s="368">
        <f>(AC62*(AC63+AC57))</f>
        <v>0.57750000000000001</v>
      </c>
      <c r="AD61" s="371"/>
      <c r="AE61" s="368">
        <f>(AE62*(AE63+AE57))</f>
        <v>0.57750000000000001</v>
      </c>
      <c r="AF61" s="745"/>
      <c r="AG61" s="725"/>
      <c r="AH61" s="746"/>
      <c r="AI61" s="630"/>
      <c r="AJ61" s="371"/>
      <c r="AK61" s="368">
        <f>(AK62*(AK63+AK57))</f>
        <v>0.57750000000000001</v>
      </c>
      <c r="AL61" s="371"/>
      <c r="AM61" s="368">
        <f>(AM62*(AM63+AM57))</f>
        <v>0.57750000000000001</v>
      </c>
      <c r="AN61" s="371"/>
      <c r="AO61" s="368">
        <f>(AO62*(AO63+AO57))</f>
        <v>0.57750000000000001</v>
      </c>
      <c r="AP61" s="745"/>
      <c r="AQ61" s="725"/>
      <c r="AR61" s="746"/>
      <c r="AS61" s="630"/>
      <c r="AT61" s="371"/>
      <c r="AU61" s="368">
        <f>(AU62*(AU63+AU57))</f>
        <v>0.57750000000000001</v>
      </c>
      <c r="AV61" s="371"/>
      <c r="AW61" s="368">
        <f>(AW62*(AW63+AW57))</f>
        <v>0.57750000000000001</v>
      </c>
      <c r="AX61" s="371"/>
      <c r="AY61" s="368">
        <f>(AY62*(AY63+AY57))</f>
        <v>0.57750000000000001</v>
      </c>
      <c r="AZ61" s="745"/>
      <c r="BA61" s="725"/>
      <c r="BB61" s="725"/>
      <c r="BC61" s="630"/>
      <c r="BD61" s="371"/>
      <c r="BE61" s="368">
        <f>(BE62*(BE63+BE57))</f>
        <v>0.57750000000000001</v>
      </c>
      <c r="BF61" s="630"/>
      <c r="BG61" s="371"/>
      <c r="BH61" s="368">
        <f>(BH62*(BH63+BH57))</f>
        <v>0.61423438125000007</v>
      </c>
      <c r="BI61" s="371"/>
      <c r="BJ61" s="368">
        <f t="shared" ref="BJ61" si="120">(BJ62*(BJ63+BJ57))</f>
        <v>0.61423438125000007</v>
      </c>
      <c r="BK61" s="371"/>
      <c r="BL61" s="368">
        <f t="shared" ref="BL61" si="121">(BL62*(BL63+BL57))</f>
        <v>0.61423438125000007</v>
      </c>
      <c r="BM61" s="630"/>
      <c r="BN61" s="371"/>
      <c r="BO61" s="368">
        <f>(BO62*(BO63+BO57))</f>
        <v>0.69301784999999994</v>
      </c>
      <c r="BQ61" s="371"/>
      <c r="BR61" s="368">
        <f>(BR62*(BR63+BR57))</f>
        <v>0.4301954999999999</v>
      </c>
      <c r="BS61" s="371"/>
      <c r="BT61" s="368">
        <f>(BT62*(BT63+BT57))</f>
        <v>0.36814960000000002</v>
      </c>
      <c r="BU61" s="371"/>
      <c r="BV61" s="368">
        <f>(BV62*(BV63+BV57))</f>
        <v>0.41614959999999995</v>
      </c>
    </row>
    <row r="62" spans="1:74" s="4" customFormat="1" ht="18" customHeight="1" x14ac:dyDescent="0.45">
      <c r="A62" s="561"/>
      <c r="B62" s="1184"/>
      <c r="C62" s="77" t="s">
        <v>60</v>
      </c>
      <c r="D62" s="76"/>
      <c r="E62" s="16"/>
      <c r="F62" s="73"/>
      <c r="G62" s="74">
        <v>0.1</v>
      </c>
      <c r="H62" s="347"/>
      <c r="I62" s="74">
        <v>0.1</v>
      </c>
      <c r="J62" s="347"/>
      <c r="K62" s="74">
        <v>0.1</v>
      </c>
      <c r="L62" s="347"/>
      <c r="M62" s="74">
        <v>0.1</v>
      </c>
      <c r="N62" s="369"/>
      <c r="O62" s="370">
        <v>0.1</v>
      </c>
      <c r="P62" s="369"/>
      <c r="Q62" s="370">
        <v>0.1</v>
      </c>
      <c r="R62" s="369"/>
      <c r="S62" s="370">
        <v>0.1</v>
      </c>
      <c r="T62" s="369"/>
      <c r="U62" s="370">
        <v>0.1</v>
      </c>
      <c r="V62" s="369"/>
      <c r="W62" s="370">
        <v>0.1</v>
      </c>
      <c r="X62" s="369"/>
      <c r="Y62" s="370">
        <v>0.1</v>
      </c>
      <c r="Z62" s="369"/>
      <c r="AA62" s="370">
        <v>0.1</v>
      </c>
      <c r="AB62" s="369"/>
      <c r="AC62" s="370">
        <v>0.1</v>
      </c>
      <c r="AD62" s="369"/>
      <c r="AE62" s="370">
        <v>0.1</v>
      </c>
      <c r="AF62" s="745"/>
      <c r="AG62" s="725"/>
      <c r="AH62" s="746"/>
      <c r="AI62" s="633"/>
      <c r="AJ62" s="369"/>
      <c r="AK62" s="370">
        <v>0.1</v>
      </c>
      <c r="AL62" s="369"/>
      <c r="AM62" s="370">
        <v>0.1</v>
      </c>
      <c r="AN62" s="369"/>
      <c r="AO62" s="370">
        <v>0.1</v>
      </c>
      <c r="AP62" s="745"/>
      <c r="AQ62" s="725"/>
      <c r="AR62" s="746"/>
      <c r="AS62" s="633"/>
      <c r="AT62" s="369"/>
      <c r="AU62" s="370">
        <v>0.1</v>
      </c>
      <c r="AV62" s="369"/>
      <c r="AW62" s="370">
        <v>0.1</v>
      </c>
      <c r="AX62" s="369"/>
      <c r="AY62" s="370">
        <v>0.1</v>
      </c>
      <c r="AZ62" s="745"/>
      <c r="BA62" s="725"/>
      <c r="BB62" s="725"/>
      <c r="BC62" s="633"/>
      <c r="BD62" s="369"/>
      <c r="BE62" s="370">
        <v>0.1</v>
      </c>
      <c r="BF62" s="633"/>
      <c r="BG62" s="369"/>
      <c r="BH62" s="370">
        <v>0.1</v>
      </c>
      <c r="BI62" s="369"/>
      <c r="BJ62" s="370">
        <v>0.1</v>
      </c>
      <c r="BK62" s="369"/>
      <c r="BL62" s="370">
        <v>0.1</v>
      </c>
      <c r="BM62" s="633"/>
      <c r="BN62" s="369"/>
      <c r="BO62" s="370">
        <v>0.1</v>
      </c>
      <c r="BQ62" s="369"/>
      <c r="BR62" s="370">
        <v>0.1</v>
      </c>
      <c r="BS62" s="369"/>
      <c r="BT62" s="370">
        <v>0.08</v>
      </c>
      <c r="BU62" s="369"/>
      <c r="BV62" s="370">
        <v>0.08</v>
      </c>
    </row>
    <row r="63" spans="1:74" s="4" customFormat="1" ht="18" customHeight="1" x14ac:dyDescent="0.45">
      <c r="A63" s="561"/>
      <c r="B63" s="1184"/>
      <c r="C63" s="78" t="s">
        <v>61</v>
      </c>
      <c r="D63" s="79"/>
      <c r="E63" s="80" t="s">
        <v>53</v>
      </c>
      <c r="F63" s="81"/>
      <c r="G63" s="82">
        <f>G67-G64+G65</f>
        <v>5.0999999999999996</v>
      </c>
      <c r="H63" s="81"/>
      <c r="I63" s="82">
        <f>I67-I64+I65</f>
        <v>5.1999999999999993</v>
      </c>
      <c r="J63" s="81"/>
      <c r="K63" s="82">
        <f>K67-K64+K65</f>
        <v>5.1999999999999993</v>
      </c>
      <c r="L63" s="81"/>
      <c r="M63" s="82">
        <f>M67-M64+M65</f>
        <v>5.1999999999999993</v>
      </c>
      <c r="N63" s="550"/>
      <c r="O63" s="82">
        <f>O67-O64+O65</f>
        <v>5.2499173553719016</v>
      </c>
      <c r="P63" s="550"/>
      <c r="Q63" s="82">
        <f>Q67-Q64+Q65</f>
        <v>5.2499173553719016</v>
      </c>
      <c r="R63" s="550"/>
      <c r="S63" s="82">
        <f>S67-S64+S65</f>
        <v>5.2499173553719016</v>
      </c>
      <c r="T63" s="550"/>
      <c r="U63" s="82">
        <f>U67-U64+U65</f>
        <v>5.2499173553719016</v>
      </c>
      <c r="V63" s="550"/>
      <c r="W63" s="82">
        <f>W67-W64+W65</f>
        <v>5.2499173553719016</v>
      </c>
      <c r="X63" s="550"/>
      <c r="Y63" s="82">
        <f>Y67-Y64+Y65</f>
        <v>5.8498512499999995</v>
      </c>
      <c r="Z63" s="550"/>
      <c r="AA63" s="82">
        <f>AA67-AA64+AA65</f>
        <v>5.5</v>
      </c>
      <c r="AB63" s="550"/>
      <c r="AC63" s="82">
        <f>AC67-AC64+AC65</f>
        <v>5.5</v>
      </c>
      <c r="AD63" s="550"/>
      <c r="AE63" s="82">
        <f>AE67-AE64+AE65</f>
        <v>5.5</v>
      </c>
      <c r="AF63" s="781">
        <f>AA63/$O63-1</f>
        <v>4.763553932372E-2</v>
      </c>
      <c r="AG63" s="726">
        <f>AC63/$Q63-1</f>
        <v>4.763553932372E-2</v>
      </c>
      <c r="AH63" s="790">
        <f>AE63/$S63-1</f>
        <v>4.763553932372E-2</v>
      </c>
      <c r="AI63" s="65"/>
      <c r="AJ63" s="550"/>
      <c r="AK63" s="82">
        <f>AK67-AK64+AK65</f>
        <v>5.5</v>
      </c>
      <c r="AL63" s="550"/>
      <c r="AM63" s="82">
        <f>AM67-AM64+AM65</f>
        <v>5.5</v>
      </c>
      <c r="AN63" s="550"/>
      <c r="AO63" s="82">
        <f>AO67-AO64+AO65</f>
        <v>5.5</v>
      </c>
      <c r="AP63" s="781">
        <f>AK63/$O63-1</f>
        <v>4.763553932372E-2</v>
      </c>
      <c r="AQ63" s="726">
        <f>AM63/$Q63-1</f>
        <v>4.763553932372E-2</v>
      </c>
      <c r="AR63" s="790">
        <f>AO63/$S63-1</f>
        <v>4.763553932372E-2</v>
      </c>
      <c r="AS63" s="65"/>
      <c r="AT63" s="550"/>
      <c r="AU63" s="82">
        <f>AU67-AU64+AU65</f>
        <v>5.5</v>
      </c>
      <c r="AV63" s="550"/>
      <c r="AW63" s="82">
        <f>AW67-AW64+AW65</f>
        <v>5.5</v>
      </c>
      <c r="AX63" s="550"/>
      <c r="AY63" s="82">
        <f>AY67-AY64+AY65</f>
        <v>5.5</v>
      </c>
      <c r="AZ63" s="781">
        <f>AU63/$O63-1</f>
        <v>4.763553932372E-2</v>
      </c>
      <c r="BA63" s="726">
        <f>AW63/$Q63-1</f>
        <v>4.763553932372E-2</v>
      </c>
      <c r="BB63" s="726">
        <f>AY63/$S63-1</f>
        <v>4.763553932372E-2</v>
      </c>
      <c r="BC63" s="283"/>
      <c r="BD63" s="550"/>
      <c r="BE63" s="82">
        <f>BE67-BE64+BE65</f>
        <v>5.5</v>
      </c>
      <c r="BF63" s="283"/>
      <c r="BG63" s="550">
        <f>BH63/O63-1</f>
        <v>0.11427492168314335</v>
      </c>
      <c r="BH63" s="82">
        <f>BH67-BH64+BH65</f>
        <v>5.8498512500000004</v>
      </c>
      <c r="BI63" s="550"/>
      <c r="BJ63" s="82">
        <f t="shared" ref="BJ63" si="122">BJ67-BJ64+BJ65</f>
        <v>5.8498512500000004</v>
      </c>
      <c r="BK63" s="550"/>
      <c r="BL63" s="82">
        <f t="shared" ref="BL63" si="123">BL67-BL64+BL65</f>
        <v>5.8498512500000004</v>
      </c>
      <c r="BM63" s="283"/>
      <c r="BN63" s="550"/>
      <c r="BO63" s="82">
        <f>BO67-BO64+BO65</f>
        <v>6.6001699999999994</v>
      </c>
      <c r="BQ63" s="550"/>
      <c r="BR63" s="82">
        <f>BR67-BR64+BR65</f>
        <v>4.3019549999999986</v>
      </c>
      <c r="BS63" s="550"/>
      <c r="BT63" s="82">
        <f>BT67-BT64+BT65</f>
        <v>4.6018699999999999</v>
      </c>
      <c r="BU63" s="550"/>
      <c r="BV63" s="82">
        <f>BV67-BV64+BV65</f>
        <v>5.2018699999999995</v>
      </c>
    </row>
    <row r="64" spans="1:74" s="4" customFormat="1" ht="18" customHeight="1" x14ac:dyDescent="0.45">
      <c r="A64" s="561"/>
      <c r="B64" s="1184"/>
      <c r="C64" s="83" t="s">
        <v>62</v>
      </c>
      <c r="D64" s="83"/>
      <c r="E64" s="84" t="str">
        <f>+E63</f>
        <v xml:space="preserve">USD </v>
      </c>
      <c r="F64" s="85"/>
      <c r="G64" s="86">
        <v>0.5</v>
      </c>
      <c r="H64" s="85"/>
      <c r="I64" s="86">
        <v>0.4</v>
      </c>
      <c r="J64" s="85"/>
      <c r="K64" s="86">
        <v>0.4</v>
      </c>
      <c r="L64" s="85"/>
      <c r="M64" s="86">
        <v>0.4</v>
      </c>
      <c r="N64" s="551"/>
      <c r="O64" s="86">
        <f>0.5+0.35-0.05</f>
        <v>0.79999999999999993</v>
      </c>
      <c r="P64" s="551"/>
      <c r="Q64" s="86">
        <f>0.5+0.35-0.05</f>
        <v>0.79999999999999993</v>
      </c>
      <c r="R64" s="551"/>
      <c r="S64" s="86">
        <f>0.5+0.35-0.05</f>
        <v>0.79999999999999993</v>
      </c>
      <c r="T64" s="551"/>
      <c r="U64" s="86">
        <f>0.5+0.35-0.05</f>
        <v>0.79999999999999993</v>
      </c>
      <c r="V64" s="551"/>
      <c r="W64" s="86">
        <f>0.5+0.35-0.05</f>
        <v>0.79999999999999993</v>
      </c>
      <c r="X64" s="551"/>
      <c r="Y64" s="86">
        <v>1.05</v>
      </c>
      <c r="Z64" s="551"/>
      <c r="AA64" s="86">
        <f>0.5+0.35-0.15</f>
        <v>0.7</v>
      </c>
      <c r="AB64" s="551"/>
      <c r="AC64" s="86">
        <f>0.5+0.35-0.15</f>
        <v>0.7</v>
      </c>
      <c r="AD64" s="551"/>
      <c r="AE64" s="86">
        <f>0.5+0.35-0.15</f>
        <v>0.7</v>
      </c>
      <c r="AF64" s="791"/>
      <c r="AG64" s="727"/>
      <c r="AH64" s="792"/>
      <c r="AI64" s="691"/>
      <c r="AJ64" s="551"/>
      <c r="AK64" s="86">
        <f>0.5+0.35-0.15</f>
        <v>0.7</v>
      </c>
      <c r="AL64" s="551"/>
      <c r="AM64" s="86">
        <f>0.5+0.35-0.15</f>
        <v>0.7</v>
      </c>
      <c r="AN64" s="551"/>
      <c r="AO64" s="86">
        <f>0.5+0.35-0.15</f>
        <v>0.7</v>
      </c>
      <c r="AP64" s="791"/>
      <c r="AQ64" s="727"/>
      <c r="AR64" s="792"/>
      <c r="AS64" s="691"/>
      <c r="AT64" s="551"/>
      <c r="AU64" s="86">
        <f>0.5+0.35-0.15</f>
        <v>0.7</v>
      </c>
      <c r="AV64" s="551"/>
      <c r="AW64" s="86">
        <f>0.5+0.35-0.15</f>
        <v>0.7</v>
      </c>
      <c r="AX64" s="551"/>
      <c r="AY64" s="86">
        <f>0.5+0.35-0.15</f>
        <v>0.7</v>
      </c>
      <c r="AZ64" s="791"/>
      <c r="BA64" s="727"/>
      <c r="BB64" s="727"/>
      <c r="BC64" s="691"/>
      <c r="BD64" s="551"/>
      <c r="BE64" s="86">
        <v>0.7</v>
      </c>
      <c r="BF64" s="691"/>
      <c r="BG64" s="551"/>
      <c r="BH64" s="86">
        <v>1.05</v>
      </c>
      <c r="BI64" s="551"/>
      <c r="BJ64" s="86">
        <f>BH64</f>
        <v>1.05</v>
      </c>
      <c r="BK64" s="551"/>
      <c r="BL64" s="86">
        <f>BJ64</f>
        <v>1.05</v>
      </c>
      <c r="BM64" s="691"/>
      <c r="BN64" s="551"/>
      <c r="BO64" s="86">
        <v>0.3</v>
      </c>
      <c r="BQ64" s="551"/>
      <c r="BR64" s="86">
        <f>0.4+1.2</f>
        <v>1.6</v>
      </c>
      <c r="BS64" s="551"/>
      <c r="BT64" s="86">
        <f>0.41+1.39</f>
        <v>1.7999999999999998</v>
      </c>
      <c r="BU64" s="551"/>
      <c r="BV64" s="86">
        <f>0.41+1.39</f>
        <v>1.7999999999999998</v>
      </c>
    </row>
    <row r="65" spans="1:74" s="4" customFormat="1" ht="18" customHeight="1" x14ac:dyDescent="0.45">
      <c r="A65" s="561"/>
      <c r="B65" s="1184"/>
      <c r="C65" s="87" t="s">
        <v>63</v>
      </c>
      <c r="D65" s="83"/>
      <c r="E65" s="84" t="str">
        <f>+E64</f>
        <v xml:space="preserve">USD </v>
      </c>
      <c r="F65" s="85"/>
      <c r="G65" s="86">
        <v>0</v>
      </c>
      <c r="H65" s="85"/>
      <c r="I65" s="86">
        <v>0</v>
      </c>
      <c r="J65" s="85"/>
      <c r="K65" s="86">
        <v>0</v>
      </c>
      <c r="L65" s="85"/>
      <c r="M65" s="86">
        <v>0</v>
      </c>
      <c r="N65" s="85"/>
      <c r="O65" s="86">
        <v>0</v>
      </c>
      <c r="P65" s="85"/>
      <c r="Q65" s="86">
        <v>0</v>
      </c>
      <c r="R65" s="85"/>
      <c r="S65" s="86">
        <v>0</v>
      </c>
      <c r="T65" s="85"/>
      <c r="U65" s="86">
        <v>0</v>
      </c>
      <c r="V65" s="85"/>
      <c r="W65" s="86">
        <v>0</v>
      </c>
      <c r="X65" s="85"/>
      <c r="Y65" s="86">
        <v>0</v>
      </c>
      <c r="Z65" s="85"/>
      <c r="AA65" s="86">
        <v>0</v>
      </c>
      <c r="AB65" s="85"/>
      <c r="AC65" s="86">
        <v>0</v>
      </c>
      <c r="AD65" s="85"/>
      <c r="AE65" s="86">
        <v>0</v>
      </c>
      <c r="AF65" s="791"/>
      <c r="AG65" s="727"/>
      <c r="AH65" s="792"/>
      <c r="AI65" s="691"/>
      <c r="AJ65" s="85"/>
      <c r="AK65" s="86">
        <v>0</v>
      </c>
      <c r="AL65" s="85"/>
      <c r="AM65" s="86">
        <v>0</v>
      </c>
      <c r="AN65" s="85"/>
      <c r="AO65" s="86">
        <v>0</v>
      </c>
      <c r="AP65" s="791"/>
      <c r="AQ65" s="727"/>
      <c r="AR65" s="792"/>
      <c r="AS65" s="691"/>
      <c r="AT65" s="85"/>
      <c r="AU65" s="86">
        <v>0</v>
      </c>
      <c r="AV65" s="85"/>
      <c r="AW65" s="86">
        <v>0</v>
      </c>
      <c r="AX65" s="85"/>
      <c r="AY65" s="86">
        <v>0</v>
      </c>
      <c r="AZ65" s="791"/>
      <c r="BA65" s="727"/>
      <c r="BB65" s="727"/>
      <c r="BC65" s="691"/>
      <c r="BD65" s="85"/>
      <c r="BE65" s="86">
        <v>0</v>
      </c>
      <c r="BF65" s="691"/>
      <c r="BG65" s="85"/>
      <c r="BH65" s="86">
        <v>0</v>
      </c>
      <c r="BI65" s="85"/>
      <c r="BJ65" s="86">
        <v>0</v>
      </c>
      <c r="BK65" s="85"/>
      <c r="BL65" s="86">
        <v>0</v>
      </c>
      <c r="BM65" s="691"/>
      <c r="BN65" s="85"/>
      <c r="BO65" s="86">
        <v>0</v>
      </c>
      <c r="BQ65" s="85"/>
      <c r="BR65" s="86">
        <v>0.3</v>
      </c>
      <c r="BS65" s="85"/>
      <c r="BT65" s="86">
        <v>0.3</v>
      </c>
      <c r="BU65" s="85"/>
      <c r="BV65" s="86">
        <v>0.3</v>
      </c>
    </row>
    <row r="66" spans="1:74" s="4" customFormat="1" ht="18" hidden="1" customHeight="1" x14ac:dyDescent="0.45">
      <c r="A66" s="561"/>
      <c r="B66" s="1184"/>
      <c r="C66" s="87" t="s">
        <v>64</v>
      </c>
      <c r="D66" s="83"/>
      <c r="E66" s="84" t="s">
        <v>53</v>
      </c>
      <c r="F66" s="85"/>
      <c r="G66" s="86">
        <f>+G69+G72+G74</f>
        <v>5.6030799999999994</v>
      </c>
      <c r="H66" s="85"/>
      <c r="I66" s="86">
        <f>+I69+I72+I74</f>
        <v>5.6030800000000003</v>
      </c>
      <c r="J66" s="85"/>
      <c r="K66" s="86">
        <f>+K69+K72+K74</f>
        <v>5.6030800000000003</v>
      </c>
      <c r="L66" s="85"/>
      <c r="M66" s="86">
        <f>+M69+M72+M74</f>
        <v>5.6030800000000003</v>
      </c>
      <c r="N66" s="85"/>
      <c r="O66" s="86">
        <f>+O69+O72+O74</f>
        <v>6.0499173553719015</v>
      </c>
      <c r="P66" s="85"/>
      <c r="Q66" s="86">
        <f>+Q69+Q72+Q74</f>
        <v>6.0499173553719015</v>
      </c>
      <c r="R66" s="85"/>
      <c r="S66" s="86">
        <f>+S69+S72+S74</f>
        <v>6.0499173553719015</v>
      </c>
      <c r="T66" s="85"/>
      <c r="U66" s="86">
        <f>+U69+U72+U74</f>
        <v>6.0499173553719015</v>
      </c>
      <c r="V66" s="85"/>
      <c r="W66" s="86">
        <f>+W69+W72+W74</f>
        <v>6.0499173553719015</v>
      </c>
      <c r="X66" s="85"/>
      <c r="Y66" s="86">
        <f>+Y69+Y72+Y74</f>
        <v>6.8976624999999991</v>
      </c>
      <c r="Z66" s="85"/>
      <c r="AA66" s="86">
        <f>+AA69+AA72+AA74</f>
        <v>6.1976624999999999</v>
      </c>
      <c r="AB66" s="85"/>
      <c r="AC66" s="86">
        <f>+AC69+AC72+AC74</f>
        <v>6.1976624999999999</v>
      </c>
      <c r="AD66" s="85"/>
      <c r="AE66" s="86">
        <f>+AE69+AE72+AE74</f>
        <v>6.1976624999999999</v>
      </c>
      <c r="AF66" s="791"/>
      <c r="AG66" s="727"/>
      <c r="AH66" s="792"/>
      <c r="AI66" s="691"/>
      <c r="AJ66" s="85"/>
      <c r="AK66" s="86">
        <f>+AK69+AK72+AK74</f>
        <v>6.1976624999999999</v>
      </c>
      <c r="AL66" s="85"/>
      <c r="AM66" s="86">
        <f>+AM69+AM72+AM74</f>
        <v>6.1976624999999999</v>
      </c>
      <c r="AN66" s="85"/>
      <c r="AO66" s="86">
        <f>+AO69+AO72+AO74</f>
        <v>6.1976624999999999</v>
      </c>
      <c r="AP66" s="791"/>
      <c r="AQ66" s="727"/>
      <c r="AR66" s="792"/>
      <c r="AS66" s="691"/>
      <c r="AT66" s="85"/>
      <c r="AU66" s="86">
        <f>+AU69+AU72+AU74</f>
        <v>6.1976624999999999</v>
      </c>
      <c r="AV66" s="85"/>
      <c r="AW66" s="86">
        <f>+AW69+AW72+AW74</f>
        <v>6.1976624999999999</v>
      </c>
      <c r="AX66" s="85"/>
      <c r="AY66" s="86">
        <f>+AY69+AY72+AY74</f>
        <v>6.1976624999999999</v>
      </c>
      <c r="AZ66" s="791"/>
      <c r="BA66" s="727"/>
      <c r="BB66" s="727"/>
      <c r="BC66" s="691"/>
      <c r="BD66" s="85"/>
      <c r="BE66" s="86">
        <f>+BE69+BE72+BE74</f>
        <v>6.1976624999999999</v>
      </c>
      <c r="BF66" s="691"/>
      <c r="BG66" s="85"/>
      <c r="BH66" s="86">
        <f>+BH69+BH72+BH74</f>
        <v>6.8976625</v>
      </c>
      <c r="BI66" s="85"/>
      <c r="BJ66" s="86">
        <f t="shared" ref="BJ66" si="124">+BJ69+BJ72+BJ74</f>
        <v>6.8976625</v>
      </c>
      <c r="BK66" s="85"/>
      <c r="BL66" s="86">
        <f t="shared" ref="BL66" si="125">+BL69+BL72+BL74</f>
        <v>6.8976625</v>
      </c>
      <c r="BM66" s="691"/>
      <c r="BN66" s="85"/>
      <c r="BO66" s="86">
        <f>+BO69+BO72+BO74</f>
        <v>6.8976624999999991</v>
      </c>
      <c r="BQ66" s="85"/>
      <c r="BR66" s="86">
        <f>+BR69+BR72+BR74</f>
        <v>5.6</v>
      </c>
      <c r="BS66" s="85"/>
      <c r="BT66" s="86">
        <f>+BT69+BT72+BT74</f>
        <v>6.1</v>
      </c>
      <c r="BU66" s="85"/>
      <c r="BV66" s="86">
        <f>+BV69+BV72+BV74</f>
        <v>6.6999999999999993</v>
      </c>
    </row>
    <row r="67" spans="1:74" s="4" customFormat="1" ht="18" customHeight="1" x14ac:dyDescent="0.45">
      <c r="A67" s="561"/>
      <c r="B67" s="1184"/>
      <c r="C67" s="78" t="s">
        <v>65</v>
      </c>
      <c r="D67" s="79"/>
      <c r="E67" s="80" t="s">
        <v>53</v>
      </c>
      <c r="F67" s="81"/>
      <c r="G67" s="82">
        <v>5.6</v>
      </c>
      <c r="H67" s="81"/>
      <c r="I67" s="82">
        <v>5.6</v>
      </c>
      <c r="J67" s="81"/>
      <c r="K67" s="82">
        <v>5.6</v>
      </c>
      <c r="L67" s="81"/>
      <c r="M67" s="82">
        <v>5.6</v>
      </c>
      <c r="N67" s="550"/>
      <c r="O67" s="82">
        <f>O72+O74</f>
        <v>6.0499173553719015</v>
      </c>
      <c r="P67" s="550"/>
      <c r="Q67" s="82">
        <f>Q72+Q74</f>
        <v>6.0499173553719015</v>
      </c>
      <c r="R67" s="550"/>
      <c r="S67" s="82">
        <f>S72+S74</f>
        <v>6.0499173553719015</v>
      </c>
      <c r="T67" s="550"/>
      <c r="U67" s="82">
        <f>U72+U74</f>
        <v>6.0499173553719015</v>
      </c>
      <c r="V67" s="550"/>
      <c r="W67" s="82">
        <f>W72+W74</f>
        <v>6.0499173553719015</v>
      </c>
      <c r="X67" s="550"/>
      <c r="Y67" s="82">
        <f>Y72+Y74+Y70+Y69</f>
        <v>6.8998512499999993</v>
      </c>
      <c r="Z67" s="550"/>
      <c r="AA67" s="82">
        <f>AA72+AA74+AA70+AA69</f>
        <v>6.2</v>
      </c>
      <c r="AB67" s="550"/>
      <c r="AC67" s="82">
        <f>AC72+AC74+AC70+AC69</f>
        <v>6.2</v>
      </c>
      <c r="AD67" s="550"/>
      <c r="AE67" s="82">
        <f>AE72+AE74+AE70+AE69</f>
        <v>6.2</v>
      </c>
      <c r="AF67" s="781"/>
      <c r="AG67" s="726"/>
      <c r="AH67" s="790"/>
      <c r="AI67" s="691"/>
      <c r="AJ67" s="550"/>
      <c r="AK67" s="82">
        <f>AK72+AK74+AK70+AK69</f>
        <v>6.2</v>
      </c>
      <c r="AL67" s="550"/>
      <c r="AM67" s="82">
        <f>AM72+AM74+AM70+AM69</f>
        <v>6.2</v>
      </c>
      <c r="AN67" s="550"/>
      <c r="AO67" s="82">
        <f>AO72+AO74+AO70+AO69</f>
        <v>6.2</v>
      </c>
      <c r="AP67" s="781"/>
      <c r="AQ67" s="726"/>
      <c r="AR67" s="790"/>
      <c r="AS67" s="691"/>
      <c r="AT67" s="550"/>
      <c r="AU67" s="82">
        <f>AU72+AU74+AU70+AU69</f>
        <v>6.2</v>
      </c>
      <c r="AV67" s="550"/>
      <c r="AW67" s="82">
        <f>AW72+AW74+AW70+AW69</f>
        <v>6.2</v>
      </c>
      <c r="AX67" s="550"/>
      <c r="AY67" s="82">
        <f>AY72+AY74+AY70+AY69</f>
        <v>6.2</v>
      </c>
      <c r="AZ67" s="781"/>
      <c r="BA67" s="726"/>
      <c r="BB67" s="726"/>
      <c r="BC67" s="691"/>
      <c r="BD67" s="550"/>
      <c r="BE67" s="82">
        <f>BE72+BE74+BE70+BE69</f>
        <v>6.2</v>
      </c>
      <c r="BF67" s="691"/>
      <c r="BG67" s="550">
        <f>BH67/O67-1</f>
        <v>0.14048686034916114</v>
      </c>
      <c r="BH67" s="82">
        <f>BH72+BH74+BH70+BH69</f>
        <v>6.8998512500000002</v>
      </c>
      <c r="BI67" s="550"/>
      <c r="BJ67" s="82">
        <f t="shared" ref="BJ67" si="126">BJ72+BJ74+BJ70+BJ69</f>
        <v>6.8998512500000002</v>
      </c>
      <c r="BK67" s="550"/>
      <c r="BL67" s="82">
        <f t="shared" ref="BL67" si="127">BL72+BL74+BL70+BL69</f>
        <v>6.8998512500000002</v>
      </c>
      <c r="BM67" s="691"/>
      <c r="BN67" s="550"/>
      <c r="BO67" s="82">
        <f>BO72+BO74+BO70+BO69</f>
        <v>6.9001699999999992</v>
      </c>
      <c r="BQ67" s="550"/>
      <c r="BR67" s="82">
        <f>BR72+BR74+BR70+BR69</f>
        <v>5.6019549999999994</v>
      </c>
      <c r="BS67" s="550"/>
      <c r="BT67" s="82">
        <f>BT72+BT74+BT70+BT69</f>
        <v>6.1018699999999999</v>
      </c>
      <c r="BU67" s="550"/>
      <c r="BV67" s="82">
        <f>BV72+BV74+BV70+BV69</f>
        <v>6.7018699999999995</v>
      </c>
    </row>
    <row r="68" spans="1:74" s="4" customFormat="1" ht="18" customHeight="1" x14ac:dyDescent="0.45">
      <c r="A68" s="561"/>
      <c r="B68" s="1184"/>
      <c r="C68" s="12" t="s">
        <v>66</v>
      </c>
      <c r="D68" s="11"/>
      <c r="E68" s="16"/>
      <c r="F68" s="42"/>
      <c r="G68" s="88"/>
      <c r="H68" s="42"/>
      <c r="I68" s="88"/>
      <c r="J68" s="42"/>
      <c r="K68" s="88"/>
      <c r="L68" s="976">
        <f>M64/M74</f>
        <v>7.5429061227670319E-2</v>
      </c>
      <c r="M68" s="88"/>
      <c r="N68" s="976">
        <f>O64/O74</f>
        <v>0.13937282229965156</v>
      </c>
      <c r="O68" s="368"/>
      <c r="P68" s="549"/>
      <c r="Q68" s="368"/>
      <c r="R68" s="549"/>
      <c r="S68" s="368"/>
      <c r="T68" s="976">
        <f>U64/U74</f>
        <v>0.13937282229965156</v>
      </c>
      <c r="U68" s="368"/>
      <c r="V68" s="976">
        <f>W64/W74</f>
        <v>0.13937282229965156</v>
      </c>
      <c r="W68" s="368"/>
      <c r="X68" s="549"/>
      <c r="Y68" s="368"/>
      <c r="Z68" s="549"/>
      <c r="AA68" s="368"/>
      <c r="AB68" s="549"/>
      <c r="AC68" s="368"/>
      <c r="AD68" s="549"/>
      <c r="AE68" s="368"/>
      <c r="AF68" s="745"/>
      <c r="AG68" s="725"/>
      <c r="AH68" s="746"/>
      <c r="AI68" s="630"/>
      <c r="AJ68" s="549"/>
      <c r="AK68" s="368"/>
      <c r="AL68" s="549"/>
      <c r="AM68" s="368"/>
      <c r="AN68" s="549"/>
      <c r="AO68" s="368"/>
      <c r="AP68" s="745"/>
      <c r="AQ68" s="725"/>
      <c r="AR68" s="746"/>
      <c r="AS68" s="630"/>
      <c r="AT68" s="549"/>
      <c r="AU68" s="368"/>
      <c r="AV68" s="549"/>
      <c r="AW68" s="368"/>
      <c r="AX68" s="549"/>
      <c r="AY68" s="368"/>
      <c r="AZ68" s="745"/>
      <c r="BA68" s="725"/>
      <c r="BB68" s="725"/>
      <c r="BC68" s="630"/>
      <c r="BD68" s="549"/>
      <c r="BE68" s="368"/>
      <c r="BF68" s="630"/>
      <c r="BG68" s="549"/>
      <c r="BH68" s="368"/>
      <c r="BI68" s="549"/>
      <c r="BJ68" s="368"/>
      <c r="BK68" s="549"/>
      <c r="BL68" s="368"/>
      <c r="BM68" s="630"/>
      <c r="BN68" s="549"/>
      <c r="BO68" s="368"/>
      <c r="BQ68" s="549"/>
      <c r="BR68" s="368"/>
      <c r="BS68" s="549"/>
      <c r="BT68" s="368"/>
      <c r="BU68" s="549"/>
      <c r="BV68" s="368"/>
    </row>
    <row r="69" spans="1:74" s="4" customFormat="1" ht="18" customHeight="1" x14ac:dyDescent="0.45">
      <c r="A69" s="561"/>
      <c r="B69" s="1184"/>
      <c r="C69" s="71" t="s">
        <v>385</v>
      </c>
      <c r="D69" s="16"/>
      <c r="E69" s="35" t="s">
        <v>68</v>
      </c>
      <c r="F69" s="89"/>
      <c r="G69" s="90">
        <f>0.055/100*(G74+(G71/G73))</f>
        <v>3.0799999999999998E-3</v>
      </c>
      <c r="H69" s="89"/>
      <c r="I69" s="90">
        <f>0.055/100*(I74+(I71/I73))</f>
        <v>3.0799999999999998E-3</v>
      </c>
      <c r="J69" s="89"/>
      <c r="K69" s="90">
        <f>0.055/100*(K74+(K71/K73))</f>
        <v>3.0799999999999998E-3</v>
      </c>
      <c r="L69" s="89"/>
      <c r="M69" s="90">
        <f>0.055/100*(M74+(M71/M73))</f>
        <v>3.0799999999999998E-3</v>
      </c>
      <c r="N69" s="373"/>
      <c r="O69" s="374"/>
      <c r="P69" s="373"/>
      <c r="Q69" s="374"/>
      <c r="R69" s="373"/>
      <c r="S69" s="374"/>
      <c r="T69" s="373"/>
      <c r="U69" s="374"/>
      <c r="V69" s="373"/>
      <c r="W69" s="374"/>
      <c r="X69" s="373"/>
      <c r="Y69" s="374">
        <f>BH69</f>
        <v>1.0265805785123483E-2</v>
      </c>
      <c r="Z69" s="373">
        <f>6.2-AA67</f>
        <v>0</v>
      </c>
      <c r="AA69" s="374">
        <v>1.0265805785123483E-2</v>
      </c>
      <c r="AB69" s="373"/>
      <c r="AC69" s="374">
        <f>AA69</f>
        <v>1.0265805785123483E-2</v>
      </c>
      <c r="AD69" s="373"/>
      <c r="AE69" s="374">
        <f>AC69</f>
        <v>1.0265805785123483E-2</v>
      </c>
      <c r="AF69" s="776"/>
      <c r="AG69" s="728"/>
      <c r="AH69" s="777"/>
      <c r="AI69" s="639"/>
      <c r="AJ69" s="373"/>
      <c r="AK69" s="374">
        <f>AE69</f>
        <v>1.0265805785123483E-2</v>
      </c>
      <c r="AL69" s="373"/>
      <c r="AM69" s="374">
        <f>AK69</f>
        <v>1.0265805785123483E-2</v>
      </c>
      <c r="AN69" s="373"/>
      <c r="AO69" s="374">
        <f>AM69</f>
        <v>1.0265805785123483E-2</v>
      </c>
      <c r="AP69" s="776"/>
      <c r="AQ69" s="728"/>
      <c r="AR69" s="777"/>
      <c r="AS69" s="639"/>
      <c r="AT69" s="373"/>
      <c r="AU69" s="374">
        <f>AO69</f>
        <v>1.0265805785123483E-2</v>
      </c>
      <c r="AV69" s="373"/>
      <c r="AW69" s="374">
        <f>AU69</f>
        <v>1.0265805785123483E-2</v>
      </c>
      <c r="AX69" s="373"/>
      <c r="AY69" s="374">
        <f>AW69</f>
        <v>1.0265805785123483E-2</v>
      </c>
      <c r="AZ69" s="776"/>
      <c r="BA69" s="728"/>
      <c r="BB69" s="728"/>
      <c r="BC69" s="639"/>
      <c r="BD69" s="373"/>
      <c r="BE69" s="374">
        <f>AU69</f>
        <v>1.0265805785123483E-2</v>
      </c>
      <c r="BF69" s="639"/>
      <c r="BG69" s="373"/>
      <c r="BH69" s="374">
        <f>BE69</f>
        <v>1.0265805785123483E-2</v>
      </c>
      <c r="BI69" s="373"/>
      <c r="BJ69" s="374">
        <f>BH69</f>
        <v>1.0265805785123483E-2</v>
      </c>
      <c r="BK69" s="373"/>
      <c r="BL69" s="374">
        <f>BJ69</f>
        <v>1.0265805785123483E-2</v>
      </c>
      <c r="BM69" s="639"/>
      <c r="BN69" s="373"/>
      <c r="BO69" s="374">
        <f>AY69</f>
        <v>1.0265805785123483E-2</v>
      </c>
      <c r="BQ69" s="373"/>
      <c r="BR69" s="374">
        <v>0</v>
      </c>
      <c r="BS69" s="373"/>
      <c r="BT69" s="374">
        <v>0</v>
      </c>
      <c r="BU69" s="373"/>
      <c r="BV69" s="374">
        <v>0</v>
      </c>
    </row>
    <row r="70" spans="1:74" s="4" customFormat="1" ht="18" customHeight="1" x14ac:dyDescent="0.45">
      <c r="A70" s="561"/>
      <c r="B70" s="1184"/>
      <c r="C70" s="15" t="s">
        <v>67</v>
      </c>
      <c r="D70" s="16"/>
      <c r="E70" s="35" t="s">
        <v>68</v>
      </c>
      <c r="F70" s="89"/>
      <c r="G70" s="90">
        <f>0.055/100*(G75+(G72/G74))</f>
        <v>2.7331211911166046E-3</v>
      </c>
      <c r="H70" s="89"/>
      <c r="I70" s="90">
        <f>0.055/100*(I75+(I72/I74))</f>
        <v>2.7274514987257886E-3</v>
      </c>
      <c r="J70" s="89"/>
      <c r="K70" s="90">
        <f>0.055/100*(K75+(K72/K74))</f>
        <v>2.7274514987257886E-3</v>
      </c>
      <c r="L70" s="89"/>
      <c r="M70" s="90">
        <f>0.055/100*(M75+(M72/M74))</f>
        <v>2.7274514987257886E-3</v>
      </c>
      <c r="N70" s="373"/>
      <c r="O70" s="374">
        <f>0.0425/100*(6.05-O64)</f>
        <v>2.2312500000000002E-3</v>
      </c>
      <c r="P70" s="373"/>
      <c r="Q70" s="374">
        <f>0.0425/100*(6.05-Q64)</f>
        <v>2.2312500000000002E-3</v>
      </c>
      <c r="R70" s="373"/>
      <c r="S70" s="374">
        <f>0.0425/100*(6.05-S64)</f>
        <v>2.2312500000000002E-3</v>
      </c>
      <c r="T70" s="373"/>
      <c r="U70" s="374">
        <f>0.0425/100*(6.05-U64)</f>
        <v>2.2312500000000002E-3</v>
      </c>
      <c r="V70" s="373"/>
      <c r="W70" s="374">
        <f>0.0425/100*(6.05-W64)</f>
        <v>2.2312500000000002E-3</v>
      </c>
      <c r="X70" s="373"/>
      <c r="Y70" s="374">
        <f>0.0425/100*(6.2-Y64)</f>
        <v>2.1887500000000002E-3</v>
      </c>
      <c r="Z70" s="373"/>
      <c r="AA70" s="374">
        <f>0.0425/100*(6.2-AA64)</f>
        <v>2.3375000000000002E-3</v>
      </c>
      <c r="AB70" s="373"/>
      <c r="AC70" s="374">
        <f>0.0425/100*(6.2-AC64)</f>
        <v>2.3375000000000002E-3</v>
      </c>
      <c r="AD70" s="373"/>
      <c r="AE70" s="374">
        <f>0.0425/100*(6.2-AE64)</f>
        <v>2.3375000000000002E-3</v>
      </c>
      <c r="AF70" s="776"/>
      <c r="AG70" s="728"/>
      <c r="AH70" s="777"/>
      <c r="AI70" s="639"/>
      <c r="AJ70" s="373"/>
      <c r="AK70" s="374">
        <f>0.0425/100*(6.2-AK64)</f>
        <v>2.3375000000000002E-3</v>
      </c>
      <c r="AL70" s="373"/>
      <c r="AM70" s="374">
        <f>0.0425/100*(6.2-AM64)</f>
        <v>2.3375000000000002E-3</v>
      </c>
      <c r="AN70" s="373"/>
      <c r="AO70" s="374">
        <f>0.0425/100*(6.2-AO64)</f>
        <v>2.3375000000000002E-3</v>
      </c>
      <c r="AP70" s="776"/>
      <c r="AQ70" s="728"/>
      <c r="AR70" s="777"/>
      <c r="AS70" s="639"/>
      <c r="AT70" s="373"/>
      <c r="AU70" s="374">
        <f>0.0425/100*(6.2-AU64)</f>
        <v>2.3375000000000002E-3</v>
      </c>
      <c r="AV70" s="373"/>
      <c r="AW70" s="374">
        <f>0.0425/100*(6.2-AW64)</f>
        <v>2.3375000000000002E-3</v>
      </c>
      <c r="AX70" s="373"/>
      <c r="AY70" s="374">
        <f>0.0425/100*(6.2-AY64)</f>
        <v>2.3375000000000002E-3</v>
      </c>
      <c r="AZ70" s="776"/>
      <c r="BA70" s="728"/>
      <c r="BB70" s="728"/>
      <c r="BC70" s="639"/>
      <c r="BD70" s="373"/>
      <c r="BE70" s="374">
        <f>0.0425/100*(6.2-BE64)</f>
        <v>2.3375000000000002E-3</v>
      </c>
      <c r="BF70" s="639"/>
      <c r="BG70" s="373"/>
      <c r="BH70" s="374">
        <f>0.0425/100*(6.2-BH64)</f>
        <v>2.1887500000000002E-3</v>
      </c>
      <c r="BI70" s="373"/>
      <c r="BJ70" s="374">
        <f t="shared" ref="BJ70" si="128">0.0425/100*(6.2-BJ64)</f>
        <v>2.1887500000000002E-3</v>
      </c>
      <c r="BK70" s="373"/>
      <c r="BL70" s="374">
        <f t="shared" ref="BL70" si="129">0.0425/100*(6.2-BL64)</f>
        <v>2.1887500000000002E-3</v>
      </c>
      <c r="BM70" s="639"/>
      <c r="BN70" s="373"/>
      <c r="BO70" s="374">
        <f>0.0425/100*(6.2-BO64)</f>
        <v>2.5075000000000002E-3</v>
      </c>
      <c r="BQ70" s="373"/>
      <c r="BR70" s="374">
        <f>0.0425/100*(6.2-BR64)</f>
        <v>1.9550000000000001E-3</v>
      </c>
      <c r="BS70" s="373"/>
      <c r="BT70" s="374">
        <f>0.0425/100*(6.2-BT64)</f>
        <v>1.8700000000000004E-3</v>
      </c>
      <c r="BU70" s="373"/>
      <c r="BV70" s="374">
        <f>0.0425/100*(6.2-BV64)</f>
        <v>1.8700000000000004E-3</v>
      </c>
    </row>
    <row r="71" spans="1:74" s="4" customFormat="1" ht="18" customHeight="1" x14ac:dyDescent="0.45">
      <c r="A71" s="561"/>
      <c r="B71" s="1184"/>
      <c r="C71" s="15" t="s">
        <v>69</v>
      </c>
      <c r="D71" s="34" t="s">
        <v>70</v>
      </c>
      <c r="E71" s="16"/>
      <c r="F71" s="42"/>
      <c r="G71" s="91">
        <v>620</v>
      </c>
      <c r="H71" s="42"/>
      <c r="I71" s="91">
        <v>1150</v>
      </c>
      <c r="J71" s="42"/>
      <c r="K71" s="91">
        <v>1150</v>
      </c>
      <c r="L71" s="42"/>
      <c r="M71" s="91">
        <v>1150</v>
      </c>
      <c r="N71" s="359"/>
      <c r="O71" s="594">
        <v>1200</v>
      </c>
      <c r="P71" s="359"/>
      <c r="Q71" s="594">
        <v>1200</v>
      </c>
      <c r="R71" s="359"/>
      <c r="S71" s="594">
        <v>1200</v>
      </c>
      <c r="T71" s="359"/>
      <c r="U71" s="594">
        <v>1200</v>
      </c>
      <c r="V71" s="359"/>
      <c r="W71" s="594">
        <v>1200</v>
      </c>
      <c r="X71" s="359"/>
      <c r="Y71" s="594">
        <v>1500</v>
      </c>
      <c r="Z71" s="359"/>
      <c r="AA71" s="594">
        <v>1500</v>
      </c>
      <c r="AB71" s="359"/>
      <c r="AC71" s="594">
        <v>1500</v>
      </c>
      <c r="AD71" s="359"/>
      <c r="AE71" s="594">
        <v>1500</v>
      </c>
      <c r="AF71" s="745"/>
      <c r="AG71" s="725"/>
      <c r="AH71" s="793"/>
      <c r="AI71" s="630"/>
      <c r="AJ71" s="359"/>
      <c r="AK71" s="594">
        <v>1500</v>
      </c>
      <c r="AL71" s="359"/>
      <c r="AM71" s="594">
        <v>1500</v>
      </c>
      <c r="AN71" s="359"/>
      <c r="AO71" s="594">
        <v>1500</v>
      </c>
      <c r="AP71" s="745"/>
      <c r="AQ71" s="725"/>
      <c r="AR71" s="793"/>
      <c r="AS71" s="630"/>
      <c r="AT71" s="359"/>
      <c r="AU71" s="594">
        <v>1500</v>
      </c>
      <c r="AV71" s="359"/>
      <c r="AW71" s="594">
        <v>1500</v>
      </c>
      <c r="AX71" s="359"/>
      <c r="AY71" s="594">
        <v>1500</v>
      </c>
      <c r="AZ71" s="745"/>
      <c r="BA71" s="725"/>
      <c r="BB71" s="729"/>
      <c r="BC71" s="630"/>
      <c r="BD71" s="359"/>
      <c r="BE71" s="594">
        <v>1500</v>
      </c>
      <c r="BF71" s="630"/>
      <c r="BG71" s="359"/>
      <c r="BH71" s="594">
        <v>1500</v>
      </c>
      <c r="BI71" s="359"/>
      <c r="BJ71" s="594">
        <v>1500</v>
      </c>
      <c r="BK71" s="359"/>
      <c r="BL71" s="594">
        <v>1500</v>
      </c>
      <c r="BM71" s="630"/>
      <c r="BN71" s="359"/>
      <c r="BO71" s="594">
        <v>1500</v>
      </c>
      <c r="BQ71" s="359"/>
      <c r="BR71" s="594">
        <v>400</v>
      </c>
      <c r="BS71" s="359"/>
      <c r="BT71" s="594">
        <v>400</v>
      </c>
      <c r="BU71" s="359"/>
      <c r="BV71" s="594">
        <v>400</v>
      </c>
    </row>
    <row r="72" spans="1:74" s="97" customFormat="1" ht="18" customHeight="1" x14ac:dyDescent="0.45">
      <c r="A72" s="561"/>
      <c r="B72" s="1184"/>
      <c r="C72" s="92" t="str">
        <f>+C71</f>
        <v>Freight cost</v>
      </c>
      <c r="D72" s="93"/>
      <c r="E72" s="94" t="str">
        <f>+E69</f>
        <v xml:space="preserve">per carton USD </v>
      </c>
      <c r="F72" s="95"/>
      <c r="G72" s="96">
        <f>+G71/G73</f>
        <v>0.16012396694214875</v>
      </c>
      <c r="H72" s="95"/>
      <c r="I72" s="96">
        <f>+I71/I73</f>
        <v>0.29700413223140498</v>
      </c>
      <c r="J72" s="95"/>
      <c r="K72" s="96">
        <f>+K71/K73</f>
        <v>0.29700413223140498</v>
      </c>
      <c r="L72" s="95"/>
      <c r="M72" s="96">
        <f>+M71/M73</f>
        <v>0.29700413223140498</v>
      </c>
      <c r="N72" s="375"/>
      <c r="O72" s="368">
        <f>+O71/O73</f>
        <v>0.30991735537190085</v>
      </c>
      <c r="P72" s="375"/>
      <c r="Q72" s="368">
        <f>+Q71/Q73</f>
        <v>0.30991735537190085</v>
      </c>
      <c r="R72" s="375"/>
      <c r="S72" s="368">
        <f>+S71/S73</f>
        <v>0.30991735537190085</v>
      </c>
      <c r="T72" s="375"/>
      <c r="U72" s="368">
        <f>+U71/U73</f>
        <v>0.30991735537190085</v>
      </c>
      <c r="V72" s="375"/>
      <c r="W72" s="368">
        <f>+W71/W73</f>
        <v>0.30991735537190085</v>
      </c>
      <c r="X72" s="375"/>
      <c r="Y72" s="368">
        <f>+Y71/Y73</f>
        <v>0.38739669421487605</v>
      </c>
      <c r="Z72" s="375"/>
      <c r="AA72" s="368">
        <f>+AA71/AA73</f>
        <v>0.38739669421487605</v>
      </c>
      <c r="AB72" s="375"/>
      <c r="AC72" s="368">
        <f>+AC71/AC73</f>
        <v>0.38739669421487605</v>
      </c>
      <c r="AD72" s="375"/>
      <c r="AE72" s="368">
        <f>+AE71/AE73</f>
        <v>0.38739669421487605</v>
      </c>
      <c r="AF72" s="745"/>
      <c r="AG72" s="725"/>
      <c r="AH72" s="746"/>
      <c r="AI72" s="630"/>
      <c r="AJ72" s="375"/>
      <c r="AK72" s="368">
        <f>+AK71/AK73</f>
        <v>0.38739669421487605</v>
      </c>
      <c r="AL72" s="375"/>
      <c r="AM72" s="368">
        <f>+AM71/AM73</f>
        <v>0.38739669421487605</v>
      </c>
      <c r="AN72" s="375"/>
      <c r="AO72" s="368">
        <f>+AO71/AO73</f>
        <v>0.38739669421487605</v>
      </c>
      <c r="AP72" s="745"/>
      <c r="AQ72" s="725"/>
      <c r="AR72" s="746"/>
      <c r="AS72" s="630"/>
      <c r="AT72" s="375"/>
      <c r="AU72" s="368">
        <f>+AU71/AU73</f>
        <v>0.38739669421487605</v>
      </c>
      <c r="AV72" s="375"/>
      <c r="AW72" s="368">
        <f>+AW71/AW73</f>
        <v>0.38739669421487605</v>
      </c>
      <c r="AX72" s="375"/>
      <c r="AY72" s="368">
        <f>+AY71/AY73</f>
        <v>0.38739669421487605</v>
      </c>
      <c r="AZ72" s="745"/>
      <c r="BA72" s="725"/>
      <c r="BB72" s="725"/>
      <c r="BC72" s="630"/>
      <c r="BD72" s="375"/>
      <c r="BE72" s="368">
        <f>+BE71/BE73</f>
        <v>0.38739669421487605</v>
      </c>
      <c r="BF72" s="630"/>
      <c r="BG72" s="375"/>
      <c r="BH72" s="368">
        <f>+BH71/BH73</f>
        <v>0.38739669421487605</v>
      </c>
      <c r="BI72" s="375"/>
      <c r="BJ72" s="368">
        <f t="shared" ref="BJ72" si="130">+BJ71/BJ73</f>
        <v>0.38739669421487605</v>
      </c>
      <c r="BK72" s="375"/>
      <c r="BL72" s="368">
        <f t="shared" ref="BL72" si="131">+BL71/BL73</f>
        <v>0.38739669421487605</v>
      </c>
      <c r="BM72" s="630"/>
      <c r="BN72" s="375"/>
      <c r="BO72" s="368">
        <f>+BO71/BO73</f>
        <v>0.38739669421487605</v>
      </c>
      <c r="BQ72" s="375"/>
      <c r="BR72" s="368">
        <f>+BR71/BR73</f>
        <v>0.1</v>
      </c>
      <c r="BS72" s="375"/>
      <c r="BT72" s="368">
        <f>+BT71/BT73</f>
        <v>0.1</v>
      </c>
      <c r="BU72" s="375"/>
      <c r="BV72" s="368">
        <f>+BV71/BV73</f>
        <v>0.1</v>
      </c>
    </row>
    <row r="73" spans="1:74" s="4" customFormat="1" ht="18" customHeight="1" x14ac:dyDescent="0.45">
      <c r="A73" s="561"/>
      <c r="B73" s="1184"/>
      <c r="C73" s="15" t="s">
        <v>71</v>
      </c>
      <c r="D73" s="16"/>
      <c r="E73" s="35" t="s">
        <v>68</v>
      </c>
      <c r="F73" s="42"/>
      <c r="G73" s="88">
        <v>3872</v>
      </c>
      <c r="H73" s="42"/>
      <c r="I73" s="88">
        <v>3872</v>
      </c>
      <c r="J73" s="42"/>
      <c r="K73" s="88">
        <v>3872</v>
      </c>
      <c r="L73" s="42"/>
      <c r="M73" s="88">
        <v>3872</v>
      </c>
      <c r="N73" s="359"/>
      <c r="O73" s="372">
        <v>3872</v>
      </c>
      <c r="P73" s="359"/>
      <c r="Q73" s="372">
        <v>3872</v>
      </c>
      <c r="R73" s="359"/>
      <c r="S73" s="372">
        <v>3872</v>
      </c>
      <c r="T73" s="359"/>
      <c r="U73" s="372">
        <v>3872</v>
      </c>
      <c r="V73" s="359"/>
      <c r="W73" s="372">
        <v>3872</v>
      </c>
      <c r="X73" s="359"/>
      <c r="Y73" s="372">
        <v>3872</v>
      </c>
      <c r="Z73" s="359"/>
      <c r="AA73" s="372">
        <v>3872</v>
      </c>
      <c r="AB73" s="359"/>
      <c r="AC73" s="372">
        <v>3872</v>
      </c>
      <c r="AD73" s="359"/>
      <c r="AE73" s="372">
        <v>3872</v>
      </c>
      <c r="AF73" s="745"/>
      <c r="AG73" s="725"/>
      <c r="AH73" s="746"/>
      <c r="AI73" s="632"/>
      <c r="AJ73" s="359"/>
      <c r="AK73" s="372">
        <v>3872</v>
      </c>
      <c r="AL73" s="359"/>
      <c r="AM73" s="372">
        <v>3872</v>
      </c>
      <c r="AN73" s="359"/>
      <c r="AO73" s="372">
        <v>3872</v>
      </c>
      <c r="AP73" s="745"/>
      <c r="AQ73" s="725"/>
      <c r="AR73" s="746"/>
      <c r="AS73" s="632"/>
      <c r="AT73" s="359"/>
      <c r="AU73" s="372">
        <v>3872</v>
      </c>
      <c r="AV73" s="359"/>
      <c r="AW73" s="372">
        <v>3872</v>
      </c>
      <c r="AX73" s="359"/>
      <c r="AY73" s="372">
        <v>3872</v>
      </c>
      <c r="AZ73" s="745"/>
      <c r="BA73" s="725"/>
      <c r="BB73" s="725"/>
      <c r="BC73" s="632"/>
      <c r="BD73" s="359"/>
      <c r="BE73" s="372">
        <v>3872</v>
      </c>
      <c r="BF73" s="632"/>
      <c r="BG73" s="359"/>
      <c r="BH73" s="372">
        <v>3872</v>
      </c>
      <c r="BI73" s="359"/>
      <c r="BJ73" s="372">
        <v>3872</v>
      </c>
      <c r="BK73" s="359"/>
      <c r="BL73" s="372">
        <v>3872</v>
      </c>
      <c r="BM73" s="632"/>
      <c r="BN73" s="359"/>
      <c r="BO73" s="372">
        <v>3872</v>
      </c>
      <c r="BQ73" s="359"/>
      <c r="BR73" s="372">
        <v>4000</v>
      </c>
      <c r="BS73" s="359"/>
      <c r="BT73" s="372">
        <v>4000</v>
      </c>
      <c r="BU73" s="359"/>
      <c r="BV73" s="372">
        <v>4000</v>
      </c>
    </row>
    <row r="74" spans="1:74" s="7" customFormat="1" ht="18" customHeight="1" x14ac:dyDescent="0.45">
      <c r="A74" s="561"/>
      <c r="B74" s="1184"/>
      <c r="C74" s="78" t="s">
        <v>72</v>
      </c>
      <c r="D74" s="79"/>
      <c r="E74" s="80" t="s">
        <v>68</v>
      </c>
      <c r="F74" s="81"/>
      <c r="G74" s="82">
        <f>G67-G72</f>
        <v>5.4398760330578506</v>
      </c>
      <c r="H74" s="81"/>
      <c r="I74" s="82">
        <f>I67-I72</f>
        <v>5.3029958677685949</v>
      </c>
      <c r="J74" s="81"/>
      <c r="K74" s="82">
        <f>K67-K72</f>
        <v>5.3029958677685949</v>
      </c>
      <c r="L74" s="81"/>
      <c r="M74" s="82">
        <f>M67-M72</f>
        <v>5.3029958677685949</v>
      </c>
      <c r="N74" s="935">
        <f>O74/M74-1</f>
        <v>8.2407028617069056E-2</v>
      </c>
      <c r="O74" s="82">
        <f>5.44+0.3</f>
        <v>5.74</v>
      </c>
      <c r="P74" s="81"/>
      <c r="Q74" s="82">
        <f>5.44+0.3</f>
        <v>5.74</v>
      </c>
      <c r="R74" s="81"/>
      <c r="S74" s="82">
        <f>5.44+0.3</f>
        <v>5.74</v>
      </c>
      <c r="T74" s="935">
        <f>U74/S74-1</f>
        <v>0</v>
      </c>
      <c r="U74" s="82">
        <f>5.44+0.3</f>
        <v>5.74</v>
      </c>
      <c r="V74" s="935">
        <f>W74/U74-1</f>
        <v>0</v>
      </c>
      <c r="W74" s="82">
        <f>5.44+0.3</f>
        <v>5.74</v>
      </c>
      <c r="X74" s="550"/>
      <c r="Y74" s="82">
        <v>6.5</v>
      </c>
      <c r="Z74" s="81"/>
      <c r="AA74" s="82">
        <f>5.44+0.3+0.07-0.01</f>
        <v>5.8000000000000007</v>
      </c>
      <c r="AB74" s="81"/>
      <c r="AC74" s="82">
        <f>AA74</f>
        <v>5.8000000000000007</v>
      </c>
      <c r="AD74" s="81"/>
      <c r="AE74" s="82">
        <f>AC74</f>
        <v>5.8000000000000007</v>
      </c>
      <c r="AF74" s="781"/>
      <c r="AG74" s="726"/>
      <c r="AH74" s="790"/>
      <c r="AI74" s="691"/>
      <c r="AJ74" s="81"/>
      <c r="AK74" s="82">
        <f>AE74</f>
        <v>5.8000000000000007</v>
      </c>
      <c r="AL74" s="81"/>
      <c r="AM74" s="82">
        <f>AK74</f>
        <v>5.8000000000000007</v>
      </c>
      <c r="AN74" s="81"/>
      <c r="AO74" s="82">
        <f>AM74</f>
        <v>5.8000000000000007</v>
      </c>
      <c r="AP74" s="781"/>
      <c r="AQ74" s="726"/>
      <c r="AR74" s="790"/>
      <c r="AS74" s="691"/>
      <c r="AT74" s="81"/>
      <c r="AU74" s="82">
        <f>AO74</f>
        <v>5.8000000000000007</v>
      </c>
      <c r="AV74" s="81"/>
      <c r="AW74" s="82">
        <f>AU74</f>
        <v>5.8000000000000007</v>
      </c>
      <c r="AX74" s="81"/>
      <c r="AY74" s="82">
        <f>AW74</f>
        <v>5.8000000000000007</v>
      </c>
      <c r="AZ74" s="781"/>
      <c r="BA74" s="726"/>
      <c r="BB74" s="726"/>
      <c r="BC74" s="691"/>
      <c r="BD74" s="81"/>
      <c r="BE74" s="82">
        <f>AU74</f>
        <v>5.8000000000000007</v>
      </c>
      <c r="BF74" s="691"/>
      <c r="BG74" s="550">
        <f>BH74/O74-1</f>
        <v>0.13240418118466901</v>
      </c>
      <c r="BH74" s="82">
        <f>AY74+0.7-0.5+0.3+0.2</f>
        <v>6.5000000000000009</v>
      </c>
      <c r="BI74" s="81"/>
      <c r="BJ74" s="82">
        <f>BH74</f>
        <v>6.5000000000000009</v>
      </c>
      <c r="BK74" s="81"/>
      <c r="BL74" s="82">
        <f>BJ74</f>
        <v>6.5000000000000009</v>
      </c>
      <c r="BM74" s="691"/>
      <c r="BN74" s="81"/>
      <c r="BO74" s="82">
        <f>6.2+0.3</f>
        <v>6.5</v>
      </c>
      <c r="BQ74" s="550"/>
      <c r="BR74" s="82">
        <v>5.5</v>
      </c>
      <c r="BS74" s="550"/>
      <c r="BT74" s="82">
        <v>6</v>
      </c>
      <c r="BU74" s="550"/>
      <c r="BV74" s="82">
        <v>6.6</v>
      </c>
    </row>
    <row r="75" spans="1:74" s="7" customFormat="1" ht="18" customHeight="1" x14ac:dyDescent="0.45">
      <c r="A75" s="561"/>
      <c r="B75" s="1184"/>
      <c r="C75" s="78" t="s">
        <v>73</v>
      </c>
      <c r="D75" s="79"/>
      <c r="E75" s="80" t="s">
        <v>68</v>
      </c>
      <c r="F75" s="81"/>
      <c r="G75" s="82">
        <f>G63-G72</f>
        <v>4.9398760330578506</v>
      </c>
      <c r="H75" s="81"/>
      <c r="I75" s="82">
        <f>I63-I72</f>
        <v>4.9029958677685945</v>
      </c>
      <c r="J75" s="81"/>
      <c r="K75" s="82">
        <f>K63-K72</f>
        <v>4.9029958677685945</v>
      </c>
      <c r="L75" s="81"/>
      <c r="M75" s="82">
        <f>M63-M72</f>
        <v>4.9029958677685945</v>
      </c>
      <c r="N75" s="81"/>
      <c r="O75" s="82">
        <f>O63-O72</f>
        <v>4.9400000000000004</v>
      </c>
      <c r="P75" s="81"/>
      <c r="Q75" s="82">
        <f>Q63-Q72</f>
        <v>4.9400000000000004</v>
      </c>
      <c r="R75" s="81"/>
      <c r="S75" s="82">
        <f>S63-S72</f>
        <v>4.9400000000000004</v>
      </c>
      <c r="T75" s="81"/>
      <c r="U75" s="82">
        <f>U63-U72</f>
        <v>4.9400000000000004</v>
      </c>
      <c r="V75" s="81"/>
      <c r="W75" s="82">
        <f>W63-W72</f>
        <v>4.9400000000000004</v>
      </c>
      <c r="X75" s="81"/>
      <c r="Y75" s="82">
        <f>Y63-Y72</f>
        <v>5.4624545557851238</v>
      </c>
      <c r="Z75" s="81"/>
      <c r="AA75" s="82">
        <f>AA63-AA72</f>
        <v>5.1126033057851243</v>
      </c>
      <c r="AB75" s="81"/>
      <c r="AC75" s="82">
        <f>AC63-AC72</f>
        <v>5.1126033057851243</v>
      </c>
      <c r="AD75" s="81"/>
      <c r="AE75" s="82">
        <f>AE63-AE72</f>
        <v>5.1126033057851243</v>
      </c>
      <c r="AF75" s="781"/>
      <c r="AG75" s="726"/>
      <c r="AH75" s="790"/>
      <c r="AI75" s="691"/>
      <c r="AJ75" s="81"/>
      <c r="AK75" s="82">
        <f>AK63-AK72</f>
        <v>5.1126033057851243</v>
      </c>
      <c r="AL75" s="81"/>
      <c r="AM75" s="82">
        <f>AM63-AM72</f>
        <v>5.1126033057851243</v>
      </c>
      <c r="AN75" s="81"/>
      <c r="AO75" s="82">
        <f>AO63-AO72</f>
        <v>5.1126033057851243</v>
      </c>
      <c r="AP75" s="781"/>
      <c r="AQ75" s="726"/>
      <c r="AR75" s="790"/>
      <c r="AS75" s="691"/>
      <c r="AT75" s="81"/>
      <c r="AU75" s="82">
        <f>AU63-AU72</f>
        <v>5.1126033057851243</v>
      </c>
      <c r="AV75" s="81"/>
      <c r="AW75" s="82">
        <f>AW63-AW72</f>
        <v>5.1126033057851243</v>
      </c>
      <c r="AX75" s="81"/>
      <c r="AY75" s="82">
        <f>AY63-AY72</f>
        <v>5.1126033057851243</v>
      </c>
      <c r="AZ75" s="781"/>
      <c r="BA75" s="726"/>
      <c r="BB75" s="726"/>
      <c r="BC75" s="691"/>
      <c r="BD75" s="81"/>
      <c r="BE75" s="82">
        <f>BE63-BE72</f>
        <v>5.1126033057851243</v>
      </c>
      <c r="BF75" s="691"/>
      <c r="BG75" s="81"/>
      <c r="BH75" s="82">
        <f>BH63-BH72</f>
        <v>5.4624545557851247</v>
      </c>
      <c r="BI75" s="81"/>
      <c r="BJ75" s="82">
        <f t="shared" ref="BJ75" si="132">BJ63-BJ72</f>
        <v>5.4624545557851247</v>
      </c>
      <c r="BK75" s="81"/>
      <c r="BL75" s="82">
        <f t="shared" ref="BL75" si="133">BL63-BL72</f>
        <v>5.4624545557851247</v>
      </c>
      <c r="BM75" s="691"/>
      <c r="BN75" s="81"/>
      <c r="BO75" s="82">
        <f>BO63-BO72</f>
        <v>6.2127733057851238</v>
      </c>
      <c r="BQ75" s="81"/>
      <c r="BR75" s="82">
        <f>BR63-BR72</f>
        <v>4.201954999999999</v>
      </c>
      <c r="BS75" s="81"/>
      <c r="BT75" s="82">
        <f>BT63-BT72</f>
        <v>4.5018700000000003</v>
      </c>
      <c r="BU75" s="81"/>
      <c r="BV75" s="82">
        <f>BV63-BV72</f>
        <v>5.1018699999999999</v>
      </c>
    </row>
    <row r="76" spans="1:74" s="103" customFormat="1" ht="18" customHeight="1" x14ac:dyDescent="0.45">
      <c r="A76" s="561"/>
      <c r="B76" s="1184"/>
      <c r="C76" s="98"/>
      <c r="D76" s="99"/>
      <c r="E76" s="100" t="s">
        <v>74</v>
      </c>
      <c r="F76" s="101"/>
      <c r="G76" s="102">
        <f>+G74/G10</f>
        <v>0.13599690082644628</v>
      </c>
      <c r="H76" s="101"/>
      <c r="I76" s="102">
        <f>+I74/I10</f>
        <v>0.13257489669421488</v>
      </c>
      <c r="J76" s="101"/>
      <c r="K76" s="102">
        <f>+K74/K10</f>
        <v>0.13257489669421488</v>
      </c>
      <c r="L76" s="101"/>
      <c r="M76" s="102">
        <f>+M74/M10</f>
        <v>0.13257489669421488</v>
      </c>
      <c r="N76" s="101"/>
      <c r="O76" s="82">
        <f>+O74/O10</f>
        <v>0.14350000000000002</v>
      </c>
      <c r="P76" s="101"/>
      <c r="Q76" s="82">
        <f>+Q74/Q10</f>
        <v>0.14350000000000002</v>
      </c>
      <c r="R76" s="101"/>
      <c r="S76" s="82">
        <f>+S74/S10</f>
        <v>0.14350000000000002</v>
      </c>
      <c r="T76" s="101"/>
      <c r="U76" s="82">
        <f>+U74/U10</f>
        <v>0.14350000000000002</v>
      </c>
      <c r="V76" s="101"/>
      <c r="W76" s="82">
        <f>+W74/W10</f>
        <v>0.14350000000000002</v>
      </c>
      <c r="X76" s="101"/>
      <c r="Y76" s="82">
        <f>+Y74/Y10</f>
        <v>0.16250000000000001</v>
      </c>
      <c r="Z76" s="101"/>
      <c r="AA76" s="82">
        <f>+AA74/AA10</f>
        <v>0.14500000000000002</v>
      </c>
      <c r="AB76" s="101"/>
      <c r="AC76" s="82">
        <f>+AC74/AC10</f>
        <v>0.14500000000000002</v>
      </c>
      <c r="AD76" s="101"/>
      <c r="AE76" s="82">
        <f>+AE74/AE10</f>
        <v>0.14500000000000002</v>
      </c>
      <c r="AF76" s="781"/>
      <c r="AG76" s="726"/>
      <c r="AH76" s="790"/>
      <c r="AI76" s="691"/>
      <c r="AJ76" s="101"/>
      <c r="AK76" s="82">
        <f>+AK74/AK10</f>
        <v>0.14500000000000002</v>
      </c>
      <c r="AL76" s="101"/>
      <c r="AM76" s="82">
        <f>+AM74/AM10</f>
        <v>0.14500000000000002</v>
      </c>
      <c r="AN76" s="101"/>
      <c r="AO76" s="82">
        <f>+AO74/AO10</f>
        <v>0.14500000000000002</v>
      </c>
      <c r="AP76" s="781"/>
      <c r="AQ76" s="726"/>
      <c r="AR76" s="790"/>
      <c r="AS76" s="691"/>
      <c r="AT76" s="101"/>
      <c r="AU76" s="82">
        <f>+AU74/AU10</f>
        <v>0.14500000000000002</v>
      </c>
      <c r="AV76" s="101"/>
      <c r="AW76" s="82">
        <f>+AW74/AW10</f>
        <v>0.14500000000000002</v>
      </c>
      <c r="AX76" s="101"/>
      <c r="AY76" s="82">
        <f>+AY74/AY10</f>
        <v>0.14500000000000002</v>
      </c>
      <c r="AZ76" s="781"/>
      <c r="BA76" s="726"/>
      <c r="BB76" s="726"/>
      <c r="BC76" s="691"/>
      <c r="BD76" s="101"/>
      <c r="BE76" s="82">
        <f>+BE74/BE10</f>
        <v>0.14500000000000002</v>
      </c>
      <c r="BF76" s="691"/>
      <c r="BG76" s="101"/>
      <c r="BH76" s="82">
        <f>+BH74/BH10</f>
        <v>0.16250000000000003</v>
      </c>
      <c r="BI76" s="101"/>
      <c r="BJ76" s="82">
        <f>+BJ74/BJ10</f>
        <v>0.16250000000000003</v>
      </c>
      <c r="BK76" s="101"/>
      <c r="BL76" s="82">
        <f>+BL74/BL10</f>
        <v>0.16250000000000003</v>
      </c>
      <c r="BM76" s="691"/>
      <c r="BN76" s="101"/>
      <c r="BO76" s="82">
        <f>+BO74/BO10</f>
        <v>0.16250000000000001</v>
      </c>
      <c r="BQ76" s="101"/>
      <c r="BR76" s="82">
        <f>+BR74/BR10</f>
        <v>0.13750000000000001</v>
      </c>
      <c r="BS76" s="101"/>
      <c r="BT76" s="82">
        <f>+BT74/BT10</f>
        <v>0.15</v>
      </c>
      <c r="BU76" s="101"/>
      <c r="BV76" s="82">
        <f>+BV74/BV10</f>
        <v>0.16499999999999998</v>
      </c>
    </row>
    <row r="77" spans="1:74" s="4" customFormat="1" ht="18" customHeight="1" thickBot="1" x14ac:dyDescent="0.5">
      <c r="A77" s="561"/>
      <c r="B77" s="1184"/>
      <c r="C77" s="104"/>
      <c r="D77" s="105"/>
      <c r="E77" s="105"/>
      <c r="F77" s="106"/>
      <c r="G77" s="107"/>
      <c r="H77" s="106"/>
      <c r="I77" s="107"/>
      <c r="J77" s="106"/>
      <c r="K77" s="107"/>
      <c r="L77" s="106"/>
      <c r="M77" s="107"/>
      <c r="N77" s="377"/>
      <c r="O77" s="595"/>
      <c r="P77" s="377"/>
      <c r="Q77" s="595"/>
      <c r="R77" s="377"/>
      <c r="S77" s="595"/>
      <c r="T77" s="377"/>
      <c r="U77" s="595"/>
      <c r="V77" s="377"/>
      <c r="W77" s="595"/>
      <c r="X77" s="377"/>
      <c r="Y77" s="595"/>
      <c r="Z77" s="377"/>
      <c r="AA77" s="595"/>
      <c r="AB77" s="377"/>
      <c r="AC77" s="595"/>
      <c r="AD77" s="377"/>
      <c r="AE77" s="595"/>
      <c r="AF77" s="794"/>
      <c r="AG77" s="795"/>
      <c r="AH77" s="796"/>
      <c r="AI77" s="641"/>
      <c r="AJ77" s="377"/>
      <c r="AK77" s="595"/>
      <c r="AL77" s="377"/>
      <c r="AM77" s="595"/>
      <c r="AN77" s="377"/>
      <c r="AO77" s="595"/>
      <c r="AP77" s="794"/>
      <c r="AQ77" s="795"/>
      <c r="AR77" s="796"/>
      <c r="AS77" s="641"/>
      <c r="AT77" s="377"/>
      <c r="AU77" s="595"/>
      <c r="AV77" s="377"/>
      <c r="AW77" s="595"/>
      <c r="AX77" s="377"/>
      <c r="AY77" s="595"/>
      <c r="AZ77" s="794"/>
      <c r="BA77" s="795"/>
      <c r="BB77" s="795"/>
      <c r="BC77" s="630"/>
      <c r="BD77" s="377"/>
      <c r="BE77" s="595"/>
      <c r="BF77" s="630"/>
      <c r="BG77" s="377"/>
      <c r="BH77" s="595"/>
      <c r="BI77" s="377"/>
      <c r="BJ77" s="595"/>
      <c r="BK77" s="377"/>
      <c r="BL77" s="595"/>
      <c r="BM77" s="630"/>
      <c r="BN77" s="377"/>
      <c r="BO77" s="595"/>
      <c r="BQ77" s="377"/>
      <c r="BR77" s="595"/>
      <c r="BS77" s="377"/>
      <c r="BT77" s="595"/>
      <c r="BU77" s="377"/>
      <c r="BV77" s="595"/>
    </row>
    <row r="78" spans="1:74" s="4" customFormat="1" ht="18" customHeight="1" thickTop="1" x14ac:dyDescent="0.45">
      <c r="A78" s="561"/>
      <c r="B78" s="1240" t="s">
        <v>75</v>
      </c>
      <c r="C78" s="110" t="s">
        <v>76</v>
      </c>
      <c r="D78" s="109"/>
      <c r="E78" s="110" t="s">
        <v>77</v>
      </c>
      <c r="F78" s="111"/>
      <c r="G78" s="112">
        <f>G81+G79</f>
        <v>3.5330450940327975</v>
      </c>
      <c r="H78" s="111"/>
      <c r="I78" s="112">
        <f>I81+I79</f>
        <v>3.6553899705920707</v>
      </c>
      <c r="J78" s="111"/>
      <c r="K78" s="112">
        <f>K81+K79</f>
        <v>3.6553899705920707</v>
      </c>
      <c r="L78" s="111"/>
      <c r="M78" s="112">
        <f>M81+M79</f>
        <v>3.6553899705920707</v>
      </c>
      <c r="N78" s="111"/>
      <c r="O78" s="112">
        <f>O81+O79</f>
        <v>4.1111849338088797</v>
      </c>
      <c r="P78" s="111"/>
      <c r="Q78" s="112">
        <f>Q81+Q79</f>
        <v>3.8054599289954605</v>
      </c>
      <c r="R78" s="111"/>
      <c r="S78" s="112">
        <f>S81+S79</f>
        <v>3.8054599289954605</v>
      </c>
      <c r="T78" s="111"/>
      <c r="U78" s="112">
        <f>U81+U79</f>
        <v>4.2610272522375858</v>
      </c>
      <c r="V78" s="111"/>
      <c r="W78" s="112">
        <f>W81+W79</f>
        <v>4.551938802234897</v>
      </c>
      <c r="X78" s="111"/>
      <c r="Y78" s="112">
        <f>Y81+Y79</f>
        <v>4.551938802234897</v>
      </c>
      <c r="Z78" s="111"/>
      <c r="AA78" s="112">
        <f>AA81+AA79</f>
        <v>4.0702486613898268</v>
      </c>
      <c r="AB78" s="111"/>
      <c r="AC78" s="112">
        <f>AC81+AC79</f>
        <v>4.0702486613898268</v>
      </c>
      <c r="AD78" s="111"/>
      <c r="AE78" s="112">
        <f>AE81+AE79</f>
        <v>4.0702486613898268</v>
      </c>
      <c r="AF78" s="797"/>
      <c r="AG78" s="730"/>
      <c r="AH78" s="798"/>
      <c r="AI78" s="630"/>
      <c r="AJ78" s="111"/>
      <c r="AK78" s="112">
        <f>AK81+AK79</f>
        <v>4.0702486613898268</v>
      </c>
      <c r="AL78" s="111"/>
      <c r="AM78" s="112">
        <f>AM81+AM79</f>
        <v>4.0702486613898268</v>
      </c>
      <c r="AN78" s="111"/>
      <c r="AO78" s="112">
        <f>AO81+AO79</f>
        <v>4.0702486613898268</v>
      </c>
      <c r="AP78" s="797"/>
      <c r="AQ78" s="730"/>
      <c r="AR78" s="798"/>
      <c r="AS78" s="630"/>
      <c r="AT78" s="111"/>
      <c r="AU78" s="112">
        <f>AU81+AU79</f>
        <v>4.0702486613898268</v>
      </c>
      <c r="AV78" s="111"/>
      <c r="AW78" s="112">
        <f>AW81+AW79</f>
        <v>4.0702486613898268</v>
      </c>
      <c r="AX78" s="111"/>
      <c r="AY78" s="112">
        <f>AY81+AY79</f>
        <v>4.0702486613898268</v>
      </c>
      <c r="AZ78" s="797"/>
      <c r="BA78" s="730"/>
      <c r="BB78" s="730"/>
      <c r="BC78" s="630"/>
      <c r="BD78" s="111"/>
      <c r="BE78" s="112">
        <f>BE81+BE79</f>
        <v>4.6630655627982769</v>
      </c>
      <c r="BF78" s="630"/>
      <c r="BG78" s="111"/>
      <c r="BH78" s="112">
        <f>BH81+BH79</f>
        <v>5.4308120416715164</v>
      </c>
      <c r="BI78" s="111"/>
      <c r="BJ78" s="112">
        <f t="shared" ref="BJ78" si="134">BJ81+BJ79</f>
        <v>5.4308120416715164</v>
      </c>
      <c r="BK78" s="111"/>
      <c r="BL78" s="112">
        <f t="shared" ref="BL78" si="135">BL81+BL79</f>
        <v>5.4308120416715164</v>
      </c>
      <c r="BM78" s="630"/>
      <c r="BN78" s="111"/>
      <c r="BO78" s="112">
        <f>BO81+BO79</f>
        <v>4.6630655627982769</v>
      </c>
      <c r="BQ78" s="111"/>
      <c r="BR78" s="112">
        <f>BR81+BR79</f>
        <v>3.7755681818181817</v>
      </c>
      <c r="BS78" s="111"/>
      <c r="BT78" s="112">
        <f>BT81+BT79</f>
        <v>4.0972465034965033</v>
      </c>
      <c r="BU78" s="111"/>
      <c r="BV78" s="112">
        <f>BV81+BV79</f>
        <v>4.3247989510489511</v>
      </c>
    </row>
    <row r="79" spans="1:74" s="4" customFormat="1" ht="18" customHeight="1" x14ac:dyDescent="0.45">
      <c r="A79" s="561"/>
      <c r="B79" s="1241"/>
      <c r="C79" s="115" t="s">
        <v>78</v>
      </c>
      <c r="D79" s="114"/>
      <c r="E79" s="115" t="s">
        <v>77</v>
      </c>
      <c r="F79" s="116"/>
      <c r="G79" s="117">
        <f>G122</f>
        <v>0.11798732756232323</v>
      </c>
      <c r="H79" s="116"/>
      <c r="I79" s="117">
        <f>I122</f>
        <v>0.11798732756232323</v>
      </c>
      <c r="J79" s="116"/>
      <c r="K79" s="117">
        <f>K122</f>
        <v>0.11798732756232323</v>
      </c>
      <c r="L79" s="116"/>
      <c r="M79" s="117">
        <f>M122</f>
        <v>0.11798732756232323</v>
      </c>
      <c r="N79" s="1024">
        <f>O79/O74</f>
        <v>2.0581182113848174E-2</v>
      </c>
      <c r="O79" s="596">
        <f>O122</f>
        <v>0.11813598533348853</v>
      </c>
      <c r="P79" s="116"/>
      <c r="Q79" s="596">
        <f>Q122</f>
        <v>0.11813598533348853</v>
      </c>
      <c r="R79" s="116"/>
      <c r="S79" s="596">
        <f>S122</f>
        <v>0.11813598533348853</v>
      </c>
      <c r="T79" s="1024">
        <f>U79/U74</f>
        <v>2.0581182113848174E-2</v>
      </c>
      <c r="U79" s="596">
        <f>U122</f>
        <v>0.11813598533348853</v>
      </c>
      <c r="V79" s="1024">
        <f>W79/W74</f>
        <v>2.0581182113848174E-2</v>
      </c>
      <c r="W79" s="596">
        <f>W122</f>
        <v>0.11813598533348853</v>
      </c>
      <c r="X79" s="1024">
        <f>Y79/Y74</f>
        <v>1.8174766974382851E-2</v>
      </c>
      <c r="Y79" s="596">
        <f>Y122</f>
        <v>0.11813598533348853</v>
      </c>
      <c r="Z79" s="116"/>
      <c r="AA79" s="596">
        <f>AA122</f>
        <v>0.11813598533348853</v>
      </c>
      <c r="AB79" s="116"/>
      <c r="AC79" s="596">
        <f>AC122</f>
        <v>0.11813598533348853</v>
      </c>
      <c r="AD79" s="116"/>
      <c r="AE79" s="596">
        <f>AE122</f>
        <v>0.11813598533348853</v>
      </c>
      <c r="AF79" s="799"/>
      <c r="AG79" s="731"/>
      <c r="AH79" s="800"/>
      <c r="AI79" s="630"/>
      <c r="AJ79" s="116"/>
      <c r="AK79" s="596">
        <f>AK122</f>
        <v>0.11813598533348853</v>
      </c>
      <c r="AL79" s="116"/>
      <c r="AM79" s="596">
        <f>AM122</f>
        <v>0.11813598533348853</v>
      </c>
      <c r="AN79" s="116"/>
      <c r="AO79" s="596">
        <f>AO122</f>
        <v>0.11813598533348853</v>
      </c>
      <c r="AP79" s="799"/>
      <c r="AQ79" s="731"/>
      <c r="AR79" s="800"/>
      <c r="AS79" s="630"/>
      <c r="AT79" s="116"/>
      <c r="AU79" s="596">
        <f>AU122</f>
        <v>0.11813598533348853</v>
      </c>
      <c r="AV79" s="116"/>
      <c r="AW79" s="596">
        <f>AW122</f>
        <v>0.11813598533348853</v>
      </c>
      <c r="AX79" s="116"/>
      <c r="AY79" s="596">
        <f>AY122</f>
        <v>0.11813598533348853</v>
      </c>
      <c r="AZ79" s="799"/>
      <c r="BA79" s="731"/>
      <c r="BB79" s="731"/>
      <c r="BC79" s="630"/>
      <c r="BD79" s="116"/>
      <c r="BE79" s="596">
        <f>BE122</f>
        <v>0.11813598533348853</v>
      </c>
      <c r="BF79" s="630"/>
      <c r="BG79" s="116"/>
      <c r="BH79" s="596">
        <f>BH122</f>
        <v>0.11813598533348853</v>
      </c>
      <c r="BI79" s="116"/>
      <c r="BJ79" s="596">
        <f t="shared" ref="BJ79" si="136">BJ122</f>
        <v>0.11813598533348853</v>
      </c>
      <c r="BK79" s="116"/>
      <c r="BL79" s="596">
        <f t="shared" ref="BL79" si="137">BL122</f>
        <v>0.11813598533348853</v>
      </c>
      <c r="BM79" s="630"/>
      <c r="BN79" s="116"/>
      <c r="BO79" s="596">
        <f>BO122</f>
        <v>0.11813598533348853</v>
      </c>
      <c r="BQ79" s="116"/>
      <c r="BR79" s="596">
        <f>BR122</f>
        <v>0.11402972027972028</v>
      </c>
      <c r="BS79" s="116"/>
      <c r="BT79" s="596">
        <f>BT122</f>
        <v>0.11402972027972028</v>
      </c>
      <c r="BU79" s="116"/>
      <c r="BV79" s="596">
        <f>BV122</f>
        <v>0.11402972027972028</v>
      </c>
    </row>
    <row r="80" spans="1:74" s="4" customFormat="1" ht="18" customHeight="1" x14ac:dyDescent="0.45">
      <c r="A80" s="561"/>
      <c r="B80" s="1241"/>
      <c r="C80" s="16"/>
      <c r="D80" s="16"/>
      <c r="E80" s="16"/>
      <c r="F80" s="42"/>
      <c r="G80" s="118"/>
      <c r="H80" s="42"/>
      <c r="I80" s="118"/>
      <c r="J80" s="42"/>
      <c r="K80" s="118"/>
      <c r="L80" s="42"/>
      <c r="M80" s="118"/>
      <c r="N80" s="359"/>
      <c r="O80" s="597"/>
      <c r="P80" s="359"/>
      <c r="Q80" s="597"/>
      <c r="R80" s="359"/>
      <c r="S80" s="597"/>
      <c r="T80" s="359"/>
      <c r="U80" s="597"/>
      <c r="V80" s="359"/>
      <c r="W80" s="597"/>
      <c r="X80" s="745"/>
      <c r="Y80" s="682" t="e">
        <f>Y81-#REF!</f>
        <v>#REF!</v>
      </c>
      <c r="Z80" s="359"/>
      <c r="AA80" s="682">
        <f>AA81-O81</f>
        <v>-4.0936272419052955E-2</v>
      </c>
      <c r="AB80" s="359"/>
      <c r="AC80" s="682">
        <f>AC81-O81</f>
        <v>-4.0936272419052955E-2</v>
      </c>
      <c r="AD80" s="359"/>
      <c r="AE80" s="597"/>
      <c r="AF80" s="745"/>
      <c r="AG80" s="725"/>
      <c r="AH80" s="746"/>
      <c r="AI80" s="644"/>
      <c r="AJ80" s="359"/>
      <c r="AK80" s="682">
        <f>AK81-AU81</f>
        <v>0</v>
      </c>
      <c r="AL80" s="359"/>
      <c r="AM80" s="682">
        <f>AM81-AC81</f>
        <v>0</v>
      </c>
      <c r="AN80" s="359"/>
      <c r="AO80" s="597"/>
      <c r="AP80" s="745"/>
      <c r="AQ80" s="725"/>
      <c r="AR80" s="746"/>
      <c r="AS80" s="644"/>
      <c r="AT80" s="359"/>
      <c r="AU80" s="682">
        <f>AU81-AA81</f>
        <v>0</v>
      </c>
      <c r="AV80" s="359"/>
      <c r="AW80" s="682">
        <f>AW81-Q81</f>
        <v>0.26478873239436629</v>
      </c>
      <c r="AX80" s="359"/>
      <c r="AY80" s="597"/>
      <c r="AZ80" s="745"/>
      <c r="BA80" s="725"/>
      <c r="BB80" s="725"/>
      <c r="BC80" s="644"/>
      <c r="BD80" s="359"/>
      <c r="BE80" s="682">
        <f>BE81-AR81</f>
        <v>4.4731190350660111</v>
      </c>
      <c r="BF80" s="644"/>
      <c r="BG80" s="745">
        <f>BH80/BH81</f>
        <v>0.24839216505367773</v>
      </c>
      <c r="BH80" s="682">
        <f>BH81-O81</f>
        <v>1.3196271078626371</v>
      </c>
      <c r="BI80" s="359"/>
      <c r="BJ80" s="682">
        <f>BJ81-Q81</f>
        <v>1.6253521126760564</v>
      </c>
      <c r="BK80" s="359"/>
      <c r="BL80" s="682">
        <f>BL81-S81</f>
        <v>1.6253521126760564</v>
      </c>
      <c r="BM80" s="644"/>
      <c r="BN80" s="359"/>
      <c r="BO80" s="682">
        <f>BO81-AU81</f>
        <v>0.59281690140845056</v>
      </c>
      <c r="BQ80" s="745"/>
      <c r="BR80" s="682">
        <f>BR81-AD81</f>
        <v>3.6615384615384614</v>
      </c>
      <c r="BS80" s="745"/>
      <c r="BT80" s="682">
        <f>BT81-BZ81</f>
        <v>3.9832167832167831</v>
      </c>
      <c r="BU80" s="745"/>
      <c r="BV80" s="682">
        <f>BV81-CB81</f>
        <v>4.2107692307692304</v>
      </c>
    </row>
    <row r="81" spans="1:76" s="4" customFormat="1" ht="18" customHeight="1" x14ac:dyDescent="0.45">
      <c r="A81" s="561"/>
      <c r="B81" s="1241"/>
      <c r="C81" s="20" t="s">
        <v>79</v>
      </c>
      <c r="D81" s="20"/>
      <c r="E81" s="30" t="str">
        <f>+E74</f>
        <v xml:space="preserve">per carton USD </v>
      </c>
      <c r="F81" s="66"/>
      <c r="G81" s="70">
        <v>3.4150577664704742</v>
      </c>
      <c r="H81" s="66"/>
      <c r="I81" s="70">
        <v>3.5374026430297474</v>
      </c>
      <c r="J81" s="66"/>
      <c r="K81" s="70">
        <v>3.5374026430297474</v>
      </c>
      <c r="L81" s="66"/>
      <c r="M81" s="70">
        <v>3.5374026430297474</v>
      </c>
      <c r="N81" s="552"/>
      <c r="O81" s="70">
        <f>O83/O86</f>
        <v>3.993048948475391</v>
      </c>
      <c r="P81" s="552"/>
      <c r="Q81" s="70">
        <f>Q83/Q86</f>
        <v>3.6873239436619718</v>
      </c>
      <c r="R81" s="552"/>
      <c r="S81" s="70">
        <f>S83/S86</f>
        <v>3.6873239436619718</v>
      </c>
      <c r="T81" s="552"/>
      <c r="U81" s="70">
        <f>U83/U86</f>
        <v>4.1428912669040976</v>
      </c>
      <c r="V81" s="552"/>
      <c r="W81" s="70">
        <f>W83/W86</f>
        <v>4.4338028169014088</v>
      </c>
      <c r="X81" s="552"/>
      <c r="Y81" s="70">
        <f>Y83/Y86</f>
        <v>4.4338028169014088</v>
      </c>
      <c r="Z81" s="552"/>
      <c r="AA81" s="70">
        <f>AA83/AA86</f>
        <v>3.9521126760563381</v>
      </c>
      <c r="AB81" s="552"/>
      <c r="AC81" s="70">
        <f>AC83/AC86</f>
        <v>3.9521126760563381</v>
      </c>
      <c r="AD81" s="552"/>
      <c r="AE81" s="70">
        <f>AE83/AE86</f>
        <v>3.9521126760563381</v>
      </c>
      <c r="AF81" s="783">
        <f>AA81/$O81-1</f>
        <v>-1.0251883447279786E-2</v>
      </c>
      <c r="AG81" s="724">
        <f>AC81/$Q81-1</f>
        <v>7.1810542398777821E-2</v>
      </c>
      <c r="AH81" s="782">
        <f>AE81/$S81-1</f>
        <v>7.1810542398777821E-2</v>
      </c>
      <c r="AI81" s="65"/>
      <c r="AJ81" s="552"/>
      <c r="AK81" s="70">
        <f>AK83/AK86</f>
        <v>3.9521126760563381</v>
      </c>
      <c r="AL81" s="552"/>
      <c r="AM81" s="70">
        <f>AM83/AM86</f>
        <v>3.9521126760563381</v>
      </c>
      <c r="AN81" s="552"/>
      <c r="AO81" s="70">
        <f>AO83/AO86</f>
        <v>3.9521126760563381</v>
      </c>
      <c r="AP81" s="783">
        <f>AK81/$O81-1</f>
        <v>-1.0251883447279786E-2</v>
      </c>
      <c r="AQ81" s="724">
        <f>AM81/$Q81-1</f>
        <v>7.1810542398777821E-2</v>
      </c>
      <c r="AR81" s="782">
        <f>AO81/$S81-1</f>
        <v>7.1810542398777821E-2</v>
      </c>
      <c r="AS81" s="65"/>
      <c r="AT81" s="552"/>
      <c r="AU81" s="70">
        <f>AU83/AU86</f>
        <v>3.9521126760563381</v>
      </c>
      <c r="AV81" s="552"/>
      <c r="AW81" s="70">
        <f>AW83/AW86</f>
        <v>3.9521126760563381</v>
      </c>
      <c r="AX81" s="552"/>
      <c r="AY81" s="70">
        <f>AY83/AY86</f>
        <v>3.9521126760563381</v>
      </c>
      <c r="AZ81" s="783">
        <f>AU81/$O81-1</f>
        <v>-1.0251883447279786E-2</v>
      </c>
      <c r="BA81" s="724">
        <f>AW81/$Q81-1</f>
        <v>7.1810542398777821E-2</v>
      </c>
      <c r="BB81" s="724">
        <f>AY81/$S81-1</f>
        <v>7.1810542398777821E-2</v>
      </c>
      <c r="BC81" s="283"/>
      <c r="BD81" s="552"/>
      <c r="BE81" s="70">
        <f>BE83/BE86</f>
        <v>4.5449295774647887</v>
      </c>
      <c r="BF81" s="283"/>
      <c r="BG81" s="552">
        <f>BH81/O81-1</f>
        <v>0.33048107471021404</v>
      </c>
      <c r="BH81" s="70">
        <f>BH83/BH86</f>
        <v>5.3126760563380282</v>
      </c>
      <c r="BI81" s="552"/>
      <c r="BJ81" s="70">
        <f t="shared" ref="BJ81" si="138">BJ83/BJ86</f>
        <v>5.3126760563380282</v>
      </c>
      <c r="BK81" s="552"/>
      <c r="BL81" s="70">
        <f t="shared" ref="BL81" si="139">BL83/BL86</f>
        <v>5.3126760563380282</v>
      </c>
      <c r="BM81" s="283"/>
      <c r="BN81" s="552"/>
      <c r="BO81" s="70">
        <f>BO83/BO86</f>
        <v>4.5449295774647887</v>
      </c>
      <c r="BQ81" s="552"/>
      <c r="BR81" s="70">
        <f>BR83/BR86</f>
        <v>3.6615384615384614</v>
      </c>
      <c r="BS81" s="552"/>
      <c r="BT81" s="70">
        <f>BT83/BT86</f>
        <v>3.9832167832167831</v>
      </c>
      <c r="BU81" s="552"/>
      <c r="BV81" s="70">
        <f>BV83/BV86</f>
        <v>4.2107692307692304</v>
      </c>
    </row>
    <row r="82" spans="1:76" s="97" customFormat="1" ht="18" customHeight="1" x14ac:dyDescent="0.45">
      <c r="A82" s="561"/>
      <c r="B82" s="1241"/>
      <c r="C82" s="122"/>
      <c r="D82" s="122"/>
      <c r="E82" s="123" t="str">
        <f>+E76</f>
        <v xml:space="preserve">per pack USD </v>
      </c>
      <c r="F82" s="124"/>
      <c r="G82" s="125">
        <f>+G81/G10</f>
        <v>8.537644416176185E-2</v>
      </c>
      <c r="H82" s="124"/>
      <c r="I82" s="125">
        <f>+I81/I10</f>
        <v>8.8435066075743682E-2</v>
      </c>
      <c r="J82" s="124"/>
      <c r="K82" s="125">
        <f>+K81/K10</f>
        <v>8.8435066075743682E-2</v>
      </c>
      <c r="L82" s="124"/>
      <c r="M82" s="125">
        <f>+M81/M10</f>
        <v>8.8435066075743682E-2</v>
      </c>
      <c r="N82" s="124"/>
      <c r="O82" s="70">
        <f>+O81/O10</f>
        <v>9.9826223711884779E-2</v>
      </c>
      <c r="P82" s="124"/>
      <c r="Q82" s="70">
        <f>+Q81/Q10</f>
        <v>9.2183098591549301E-2</v>
      </c>
      <c r="R82" s="124"/>
      <c r="S82" s="70">
        <f>+S81/S10</f>
        <v>9.2183098591549301E-2</v>
      </c>
      <c r="T82" s="124"/>
      <c r="U82" s="70">
        <f>+U81/U10</f>
        <v>0.10357228167260243</v>
      </c>
      <c r="V82" s="124"/>
      <c r="W82" s="70">
        <f>+W81/W10</f>
        <v>0.11084507042253522</v>
      </c>
      <c r="X82" s="124"/>
      <c r="Y82" s="70">
        <f>+Y81/Y10</f>
        <v>0.11084507042253522</v>
      </c>
      <c r="Z82" s="124"/>
      <c r="AA82" s="70">
        <f>+AA81/AA10</f>
        <v>9.880281690140845E-2</v>
      </c>
      <c r="AB82" s="124"/>
      <c r="AC82" s="70">
        <f>+AC81/AC10</f>
        <v>9.880281690140845E-2</v>
      </c>
      <c r="AD82" s="124"/>
      <c r="AE82" s="70">
        <f>+AE81/AE10</f>
        <v>9.880281690140845E-2</v>
      </c>
      <c r="AF82" s="783"/>
      <c r="AG82" s="724"/>
      <c r="AH82" s="782"/>
      <c r="AJ82" s="124"/>
      <c r="AK82" s="70">
        <f>+AK81/AK10</f>
        <v>9.880281690140845E-2</v>
      </c>
      <c r="AL82" s="124"/>
      <c r="AM82" s="70">
        <f>+AM81/AM10</f>
        <v>9.880281690140845E-2</v>
      </c>
      <c r="AN82" s="124"/>
      <c r="AO82" s="70">
        <f>+AO81/AO10</f>
        <v>9.880281690140845E-2</v>
      </c>
      <c r="AP82" s="783"/>
      <c r="AQ82" s="724"/>
      <c r="AR82" s="782"/>
      <c r="AT82" s="124"/>
      <c r="AU82" s="70">
        <f>+AU81/AU10</f>
        <v>9.880281690140845E-2</v>
      </c>
      <c r="AV82" s="124"/>
      <c r="AW82" s="70">
        <f>+AW81/AW10</f>
        <v>9.880281690140845E-2</v>
      </c>
      <c r="AX82" s="124"/>
      <c r="AY82" s="70">
        <f>+AY81/AY10</f>
        <v>9.880281690140845E-2</v>
      </c>
      <c r="AZ82" s="783"/>
      <c r="BA82" s="724"/>
      <c r="BB82" s="724"/>
      <c r="BC82" s="926"/>
      <c r="BD82" s="124"/>
      <c r="BE82" s="70">
        <f>+BE81/BE10</f>
        <v>0.11362323943661971</v>
      </c>
      <c r="BF82" s="926"/>
      <c r="BG82" s="124"/>
      <c r="BH82" s="70">
        <f>+BH81/BH10</f>
        <v>0.1328169014084507</v>
      </c>
      <c r="BI82" s="124"/>
      <c r="BJ82" s="70">
        <f>+BJ81/BJ10</f>
        <v>0.1328169014084507</v>
      </c>
      <c r="BK82" s="124"/>
      <c r="BL82" s="70">
        <f>+BL81/BL10</f>
        <v>0.1328169014084507</v>
      </c>
      <c r="BM82" s="926"/>
      <c r="BN82" s="124"/>
      <c r="BO82" s="70">
        <f>+BO81/BO10</f>
        <v>0.11362323943661971</v>
      </c>
      <c r="BQ82" s="124"/>
      <c r="BR82" s="70">
        <f>+BR81/BR10</f>
        <v>9.1538461538461541E-2</v>
      </c>
      <c r="BS82" s="124"/>
      <c r="BT82" s="70">
        <f>+BT81/BT10</f>
        <v>9.9580419580419577E-2</v>
      </c>
      <c r="BU82" s="124"/>
      <c r="BV82" s="70">
        <f>+BV81/BV10</f>
        <v>0.10526923076923075</v>
      </c>
    </row>
    <row r="83" spans="1:76" s="4" customFormat="1" ht="18" customHeight="1" x14ac:dyDescent="0.45">
      <c r="A83" s="561"/>
      <c r="B83" s="1241"/>
      <c r="C83" s="258" t="s">
        <v>141</v>
      </c>
      <c r="D83" s="16"/>
      <c r="E83" s="126" t="s">
        <v>81</v>
      </c>
      <c r="F83" s="127"/>
      <c r="G83" s="90">
        <f>G81*G86</f>
        <v>48592.85695910838</v>
      </c>
      <c r="H83" s="127"/>
      <c r="I83" s="90">
        <f>I81*I86</f>
        <v>50333.702207670278</v>
      </c>
      <c r="J83" s="127"/>
      <c r="K83" s="90">
        <f>K81*K86</f>
        <v>50333.702207670278</v>
      </c>
      <c r="L83" s="127"/>
      <c r="M83" s="90">
        <f>M81*M86</f>
        <v>50333.702207670278</v>
      </c>
      <c r="N83" s="380"/>
      <c r="O83" s="374">
        <f>O84*O10</f>
        <v>56701.295068350555</v>
      </c>
      <c r="P83" s="380"/>
      <c r="Q83" s="374">
        <f>Q84*Q10</f>
        <v>52360</v>
      </c>
      <c r="R83" s="380"/>
      <c r="S83" s="374">
        <f>S84*S10</f>
        <v>52360</v>
      </c>
      <c r="T83" s="380"/>
      <c r="U83" s="374">
        <f>U84*U10</f>
        <v>58829.055990038185</v>
      </c>
      <c r="V83" s="380"/>
      <c r="W83" s="374">
        <f>W84*W10</f>
        <v>62960</v>
      </c>
      <c r="X83" s="380"/>
      <c r="Y83" s="374">
        <f>Y84*Y10</f>
        <v>62960</v>
      </c>
      <c r="Z83" s="380"/>
      <c r="AA83" s="374">
        <f>AA84*AA10</f>
        <v>56120</v>
      </c>
      <c r="AB83" s="380"/>
      <c r="AC83" s="374">
        <f>AC84*AC10</f>
        <v>56120</v>
      </c>
      <c r="AD83" s="380"/>
      <c r="AE83" s="374">
        <f>AE84*AE10</f>
        <v>56120</v>
      </c>
      <c r="AF83" s="776"/>
      <c r="AG83" s="728"/>
      <c r="AH83" s="777"/>
      <c r="AJ83" s="380"/>
      <c r="AK83" s="374">
        <f>AK84*AK10</f>
        <v>56120</v>
      </c>
      <c r="AL83" s="380"/>
      <c r="AM83" s="374">
        <f>AM84*AM10</f>
        <v>56120</v>
      </c>
      <c r="AN83" s="380"/>
      <c r="AO83" s="374">
        <f>AO84*AO10</f>
        <v>56120</v>
      </c>
      <c r="AP83" s="776"/>
      <c r="AQ83" s="728"/>
      <c r="AR83" s="777"/>
      <c r="AT83" s="380"/>
      <c r="AU83" s="374">
        <f>AU84*AU10</f>
        <v>56120</v>
      </c>
      <c r="AV83" s="380"/>
      <c r="AW83" s="374">
        <f>AW84*AW10</f>
        <v>56120</v>
      </c>
      <c r="AX83" s="380"/>
      <c r="AY83" s="374">
        <f>AY84*AY10</f>
        <v>56120</v>
      </c>
      <c r="AZ83" s="776"/>
      <c r="BA83" s="728"/>
      <c r="BB83" s="728"/>
      <c r="BD83" s="380"/>
      <c r="BE83" s="374">
        <f>BE84*BE10</f>
        <v>64537.999999999993</v>
      </c>
      <c r="BG83" s="380"/>
      <c r="BH83" s="374">
        <f>BH84*BH10</f>
        <v>75440</v>
      </c>
      <c r="BI83" s="380"/>
      <c r="BJ83" s="374">
        <f>BJ84*BJ10</f>
        <v>75440</v>
      </c>
      <c r="BK83" s="380"/>
      <c r="BL83" s="374">
        <f>BL84*BL10</f>
        <v>75440</v>
      </c>
      <c r="BN83" s="380"/>
      <c r="BO83" s="374">
        <f>BO84*BO10</f>
        <v>64537.999999999993</v>
      </c>
      <c r="BQ83" s="380"/>
      <c r="BR83" s="374">
        <f>BR84*BR10</f>
        <v>52360</v>
      </c>
      <c r="BS83" s="380"/>
      <c r="BT83" s="374">
        <f>BT84*BT10</f>
        <v>56960</v>
      </c>
      <c r="BU83" s="380"/>
      <c r="BV83" s="374">
        <f>BV84*BV10</f>
        <v>60214</v>
      </c>
    </row>
    <row r="84" spans="1:76" s="4" customFormat="1" ht="18" customHeight="1" x14ac:dyDescent="0.45">
      <c r="A84" s="561"/>
      <c r="B84" s="1241"/>
      <c r="C84" s="16" t="s">
        <v>80</v>
      </c>
      <c r="D84" s="16"/>
      <c r="E84" s="126" t="s">
        <v>81</v>
      </c>
      <c r="F84" s="127"/>
      <c r="G84" s="90">
        <f>G83/G10</f>
        <v>1214.8214239777094</v>
      </c>
      <c r="H84" s="127"/>
      <c r="I84" s="90">
        <f>I83/I10</f>
        <v>1258.3425551917569</v>
      </c>
      <c r="J84" s="127"/>
      <c r="K84" s="90">
        <f>K83/K10</f>
        <v>1258.3425551917569</v>
      </c>
      <c r="L84" s="127"/>
      <c r="M84" s="90">
        <f>M83/M10</f>
        <v>1258.3425551917569</v>
      </c>
      <c r="N84" s="684">
        <f>O84/M84-1</f>
        <v>0.12650754030387867</v>
      </c>
      <c r="O84" s="622">
        <v>1417.5323767087639</v>
      </c>
      <c r="P84" s="380"/>
      <c r="Q84" s="622">
        <v>1309</v>
      </c>
      <c r="R84" s="380"/>
      <c r="S84" s="622">
        <v>1309</v>
      </c>
      <c r="T84" s="684">
        <f>U84/O84-1</f>
        <v>3.7525790533050829E-2</v>
      </c>
      <c r="U84" s="622">
        <v>1470.7263997509547</v>
      </c>
      <c r="V84" s="684">
        <f>W84/O84-1</f>
        <v>0.1103802818631372</v>
      </c>
      <c r="W84" s="622">
        <v>1574</v>
      </c>
      <c r="X84" s="684"/>
      <c r="Y84" s="622">
        <v>1574</v>
      </c>
      <c r="Z84" s="684">
        <f>AA84/I84-1</f>
        <v>0.11495871629820154</v>
      </c>
      <c r="AA84" s="622">
        <v>1403</v>
      </c>
      <c r="AB84" s="684">
        <f>AC84/O84-1</f>
        <v>-1.0251883447279897E-2</v>
      </c>
      <c r="AC84" s="622">
        <v>1403</v>
      </c>
      <c r="AD84" s="380"/>
      <c r="AE84" s="622">
        <v>1403</v>
      </c>
      <c r="AF84" s="776">
        <f>AA84/$O84-1</f>
        <v>-1.0251883447279897E-2</v>
      </c>
      <c r="AG84" s="728">
        <f>AC84/$Q84-1</f>
        <v>7.1810542398777599E-2</v>
      </c>
      <c r="AH84" s="801">
        <f>AE84/$S84-1</f>
        <v>7.1810542398777599E-2</v>
      </c>
      <c r="AI84" s="65"/>
      <c r="AJ84" s="684">
        <f>AK84/AB84-1</f>
        <v>-136853.901929182</v>
      </c>
      <c r="AK84" s="622">
        <v>1403</v>
      </c>
      <c r="AL84" s="684">
        <f>AM84/AC84-1</f>
        <v>0</v>
      </c>
      <c r="AM84" s="622">
        <v>1403</v>
      </c>
      <c r="AN84" s="380"/>
      <c r="AO84" s="622">
        <v>1403</v>
      </c>
      <c r="AP84" s="776">
        <f>AK84/$O84-1</f>
        <v>-1.0251883447279897E-2</v>
      </c>
      <c r="AQ84" s="728">
        <f>AM84/$Q84-1</f>
        <v>7.1810542398777599E-2</v>
      </c>
      <c r="AR84" s="801">
        <f>AO84/$S84-1</f>
        <v>7.1810542398777599E-2</v>
      </c>
      <c r="AS84" s="65"/>
      <c r="AT84" s="684" t="e">
        <f>AU84/P84-1</f>
        <v>#DIV/0!</v>
      </c>
      <c r="AU84" s="622">
        <v>1403</v>
      </c>
      <c r="AV84" s="684">
        <f>AW84/Q84-1</f>
        <v>7.1810542398777599E-2</v>
      </c>
      <c r="AW84" s="622">
        <v>1403</v>
      </c>
      <c r="AX84" s="380"/>
      <c r="AY84" s="622">
        <v>1403</v>
      </c>
      <c r="AZ84" s="776">
        <f>AU84/$O84-1</f>
        <v>-1.0251883447279897E-2</v>
      </c>
      <c r="BA84" s="728">
        <f>AW84/$Q84-1</f>
        <v>7.1810542398777599E-2</v>
      </c>
      <c r="BB84" s="732">
        <f>AY84/$S84-1</f>
        <v>7.1810542398777599E-2</v>
      </c>
      <c r="BC84" s="283"/>
      <c r="BD84" s="684"/>
      <c r="BE84" s="622">
        <f>AU84*1.15</f>
        <v>1613.4499999999998</v>
      </c>
      <c r="BF84" s="283"/>
      <c r="BG84" s="684">
        <f>BH84/O84-1</f>
        <v>0.33048107471021404</v>
      </c>
      <c r="BH84" s="622">
        <v>1886</v>
      </c>
      <c r="BI84" s="684"/>
      <c r="BJ84" s="622">
        <f>BH84</f>
        <v>1886</v>
      </c>
      <c r="BK84" s="684"/>
      <c r="BL84" s="622">
        <f>BJ84</f>
        <v>1886</v>
      </c>
      <c r="BM84" s="283"/>
      <c r="BN84" s="684">
        <f>BO84/S84-1</f>
        <v>0.23258212375859411</v>
      </c>
      <c r="BO84" s="622">
        <f>AU84*1.15</f>
        <v>1613.4499999999998</v>
      </c>
      <c r="BQ84" s="684"/>
      <c r="BR84" s="622">
        <v>1309</v>
      </c>
      <c r="BS84" s="684">
        <f>BT84/BR84-1</f>
        <v>8.7853323147440765E-2</v>
      </c>
      <c r="BT84" s="622">
        <v>1424</v>
      </c>
      <c r="BU84" s="684">
        <f>BV84/BR84-1</f>
        <v>0.14999999999999991</v>
      </c>
      <c r="BV84" s="622">
        <v>1505.35</v>
      </c>
      <c r="BW84" s="1019">
        <f>BX84/BR84-1</f>
        <v>0.37509549274255161</v>
      </c>
      <c r="BX84" s="4">
        <v>1800</v>
      </c>
    </row>
    <row r="85" spans="1:76" s="4" customFormat="1" ht="18" customHeight="1" x14ac:dyDescent="0.45">
      <c r="A85" s="561"/>
      <c r="B85" s="1241"/>
      <c r="C85" s="259"/>
      <c r="D85" s="16"/>
      <c r="E85" s="126"/>
      <c r="F85" s="127"/>
      <c r="G85" s="90"/>
      <c r="H85" s="127"/>
      <c r="I85" s="90"/>
      <c r="J85" s="127"/>
      <c r="K85" s="90"/>
      <c r="L85" s="127"/>
      <c r="M85" s="90"/>
      <c r="N85" s="380"/>
      <c r="O85" s="374"/>
      <c r="P85" s="380"/>
      <c r="Q85" s="374"/>
      <c r="R85" s="380"/>
      <c r="S85" s="374"/>
      <c r="T85" s="380"/>
      <c r="U85" s="374"/>
      <c r="V85" s="380"/>
      <c r="W85" s="374"/>
      <c r="X85" s="380"/>
      <c r="Y85" s="374"/>
      <c r="Z85" s="380"/>
      <c r="AA85" s="374"/>
      <c r="AB85" s="380"/>
      <c r="AC85" s="374"/>
      <c r="AD85" s="380"/>
      <c r="AE85" s="374"/>
      <c r="AF85" s="776"/>
      <c r="AG85" s="728"/>
      <c r="AH85" s="777"/>
      <c r="AJ85" s="380"/>
      <c r="AK85" s="374"/>
      <c r="AL85" s="380"/>
      <c r="AM85" s="374"/>
      <c r="AN85" s="380"/>
      <c r="AO85" s="374"/>
      <c r="AP85" s="776"/>
      <c r="AQ85" s="728"/>
      <c r="AR85" s="777"/>
      <c r="AT85" s="380"/>
      <c r="AU85" s="374"/>
      <c r="AV85" s="380"/>
      <c r="AW85" s="374"/>
      <c r="AX85" s="380"/>
      <c r="AY85" s="374"/>
      <c r="AZ85" s="776"/>
      <c r="BA85" s="728"/>
      <c r="BB85" s="728"/>
      <c r="BD85" s="380"/>
      <c r="BE85" s="374"/>
      <c r="BG85" s="380"/>
      <c r="BH85" s="374"/>
      <c r="BI85" s="380"/>
      <c r="BJ85" s="374"/>
      <c r="BK85" s="380"/>
      <c r="BL85" s="374"/>
      <c r="BN85" s="380"/>
      <c r="BO85" s="374"/>
      <c r="BQ85" s="380"/>
      <c r="BR85" s="374"/>
      <c r="BS85" s="380"/>
      <c r="BT85" s="374"/>
      <c r="BU85" s="380"/>
      <c r="BV85" s="374"/>
    </row>
    <row r="86" spans="1:76" s="4" customFormat="1" ht="18" customHeight="1" x14ac:dyDescent="0.45">
      <c r="A86" s="561"/>
      <c r="B86" s="1241"/>
      <c r="C86" s="16" t="s">
        <v>82</v>
      </c>
      <c r="D86" s="16"/>
      <c r="E86" s="35" t="s">
        <v>83</v>
      </c>
      <c r="F86" s="42"/>
      <c r="G86" s="88">
        <v>14229</v>
      </c>
      <c r="H86" s="42"/>
      <c r="I86" s="88">
        <v>14229</v>
      </c>
      <c r="J86" s="42"/>
      <c r="K86" s="88">
        <v>14229</v>
      </c>
      <c r="L86" s="42"/>
      <c r="M86" s="88">
        <v>14229</v>
      </c>
      <c r="N86" s="359"/>
      <c r="O86" s="372">
        <v>14200</v>
      </c>
      <c r="P86" s="359"/>
      <c r="Q86" s="372">
        <v>14200</v>
      </c>
      <c r="R86" s="359"/>
      <c r="S86" s="372">
        <v>14200</v>
      </c>
      <c r="T86" s="359"/>
      <c r="U86" s="372">
        <v>14200</v>
      </c>
      <c r="V86" s="359"/>
      <c r="W86" s="372">
        <v>14200</v>
      </c>
      <c r="X86" s="359"/>
      <c r="Y86" s="372">
        <v>14200</v>
      </c>
      <c r="Z86" s="359"/>
      <c r="AA86" s="372">
        <v>14200</v>
      </c>
      <c r="AB86" s="359"/>
      <c r="AC86" s="372">
        <v>14200</v>
      </c>
      <c r="AD86" s="359"/>
      <c r="AE86" s="372">
        <v>14200</v>
      </c>
      <c r="AF86" s="745"/>
      <c r="AG86" s="725"/>
      <c r="AH86" s="746"/>
      <c r="AJ86" s="359"/>
      <c r="AK86" s="372">
        <v>14200</v>
      </c>
      <c r="AL86" s="359"/>
      <c r="AM86" s="372">
        <v>14200</v>
      </c>
      <c r="AN86" s="359"/>
      <c r="AO86" s="372">
        <v>14200</v>
      </c>
      <c r="AP86" s="745"/>
      <c r="AQ86" s="725"/>
      <c r="AR86" s="746"/>
      <c r="AT86" s="359"/>
      <c r="AU86" s="372">
        <v>14200</v>
      </c>
      <c r="AV86" s="359"/>
      <c r="AW86" s="372">
        <v>14200</v>
      </c>
      <c r="AX86" s="359"/>
      <c r="AY86" s="372">
        <v>14200</v>
      </c>
      <c r="AZ86" s="745"/>
      <c r="BA86" s="725"/>
      <c r="BB86" s="725"/>
      <c r="BD86" s="359"/>
      <c r="BE86" s="372">
        <v>14200</v>
      </c>
      <c r="BG86" s="359"/>
      <c r="BH86" s="372">
        <v>14200</v>
      </c>
      <c r="BI86" s="359"/>
      <c r="BJ86" s="372">
        <v>14200</v>
      </c>
      <c r="BK86" s="359"/>
      <c r="BL86" s="372">
        <v>14200</v>
      </c>
      <c r="BN86" s="359"/>
      <c r="BO86" s="372">
        <v>14200</v>
      </c>
      <c r="BQ86" s="359"/>
      <c r="BR86" s="372">
        <v>14300</v>
      </c>
      <c r="BS86" s="359"/>
      <c r="BT86" s="372">
        <v>14300</v>
      </c>
      <c r="BU86" s="359"/>
      <c r="BV86" s="372">
        <v>14300</v>
      </c>
    </row>
    <row r="87" spans="1:76" s="4" customFormat="1" ht="18" customHeight="1" x14ac:dyDescent="0.45">
      <c r="A87" s="561"/>
      <c r="B87" s="1241"/>
      <c r="C87" s="16" t="s">
        <v>84</v>
      </c>
      <c r="D87" s="16"/>
      <c r="E87" s="35" t="str">
        <f>+E81</f>
        <v xml:space="preserve">per carton USD </v>
      </c>
      <c r="F87" s="50"/>
      <c r="G87" s="368">
        <f>+G74-G81</f>
        <v>2.0248182665873764</v>
      </c>
      <c r="H87" s="50"/>
      <c r="I87" s="72">
        <f>+I74-I81</f>
        <v>1.7655932247388475</v>
      </c>
      <c r="J87" s="50"/>
      <c r="K87" s="72">
        <f>+K74-K81</f>
        <v>1.7655932247388475</v>
      </c>
      <c r="L87" s="50"/>
      <c r="M87" s="72">
        <f>+M74-M81</f>
        <v>1.7655932247388475</v>
      </c>
      <c r="N87" s="363"/>
      <c r="O87" s="368">
        <f>+O74-O81</f>
        <v>1.7469510515246092</v>
      </c>
      <c r="P87" s="363"/>
      <c r="Q87" s="368">
        <f>+Q74-Q81</f>
        <v>2.0526760563380284</v>
      </c>
      <c r="R87" s="363"/>
      <c r="S87" s="368">
        <f>+S74-S81</f>
        <v>2.0526760563380284</v>
      </c>
      <c r="T87" s="363"/>
      <c r="U87" s="368">
        <f>+U74-U81</f>
        <v>1.5971087330959026</v>
      </c>
      <c r="V87" s="363"/>
      <c r="W87" s="368">
        <f>+W74-W81</f>
        <v>1.3061971830985915</v>
      </c>
      <c r="X87" s="363"/>
      <c r="Y87" s="368">
        <f>+Y74-Y81</f>
        <v>2.0661971830985912</v>
      </c>
      <c r="Z87" s="363"/>
      <c r="AA87" s="368">
        <f>+AA74-AA81</f>
        <v>1.8478873239436626</v>
      </c>
      <c r="AB87" s="363"/>
      <c r="AC87" s="368">
        <f>+AC74-AC81</f>
        <v>1.8478873239436626</v>
      </c>
      <c r="AD87" s="363"/>
      <c r="AE87" s="368">
        <f>+AE74-AE81</f>
        <v>1.8478873239436626</v>
      </c>
      <c r="AF87" s="745">
        <f>AA87/$O87-1</f>
        <v>5.7778534968660811E-2</v>
      </c>
      <c r="AG87" s="725">
        <f>AC87/$Q87-1</f>
        <v>-9.9766707835871937E-2</v>
      </c>
      <c r="AH87" s="746">
        <f>AE87/$S87-1</f>
        <v>-9.9766707835871937E-2</v>
      </c>
      <c r="AI87" s="65"/>
      <c r="AJ87" s="363"/>
      <c r="AK87" s="368">
        <f>+AK74-AK81</f>
        <v>1.8478873239436626</v>
      </c>
      <c r="AL87" s="363"/>
      <c r="AM87" s="368">
        <f>+AM74-AM81</f>
        <v>1.8478873239436626</v>
      </c>
      <c r="AN87" s="363"/>
      <c r="AO87" s="368">
        <f>+AO74-AO81</f>
        <v>1.8478873239436626</v>
      </c>
      <c r="AP87" s="745">
        <f>AK87/$O87-1</f>
        <v>5.7778534968660811E-2</v>
      </c>
      <c r="AQ87" s="725">
        <f>AM87/$Q87-1</f>
        <v>-9.9766707835871937E-2</v>
      </c>
      <c r="AR87" s="746">
        <f>AO87/$S87-1</f>
        <v>-9.9766707835871937E-2</v>
      </c>
      <c r="AS87" s="65"/>
      <c r="AT87" s="363"/>
      <c r="AU87" s="368">
        <f>+AU74-AU81</f>
        <v>1.8478873239436626</v>
      </c>
      <c r="AV87" s="363"/>
      <c r="AW87" s="368">
        <f>+AW74-AW81</f>
        <v>1.8478873239436626</v>
      </c>
      <c r="AX87" s="363"/>
      <c r="AY87" s="368">
        <f>+AY74-AY81</f>
        <v>1.8478873239436626</v>
      </c>
      <c r="AZ87" s="745">
        <f>AU87/$O87-1</f>
        <v>5.7778534968660811E-2</v>
      </c>
      <c r="BA87" s="725">
        <f>AW87/$Q87-1</f>
        <v>-9.9766707835871937E-2</v>
      </c>
      <c r="BB87" s="725">
        <f>AY87/$S87-1</f>
        <v>-9.9766707835871937E-2</v>
      </c>
      <c r="BC87" s="283"/>
      <c r="BD87" s="363"/>
      <c r="BE87" s="368">
        <f>+BE74-BE81</f>
        <v>1.2550704225352121</v>
      </c>
      <c r="BF87" s="283"/>
      <c r="BG87" s="363"/>
      <c r="BH87" s="368">
        <f>+BH74-BH81</f>
        <v>1.1873239436619727</v>
      </c>
      <c r="BI87" s="363"/>
      <c r="BJ87" s="368">
        <f t="shared" ref="BJ87" si="140">+BJ74-BJ81</f>
        <v>1.1873239436619727</v>
      </c>
      <c r="BK87" s="363"/>
      <c r="BL87" s="368">
        <f t="shared" ref="BL87" si="141">+BL74-BL81</f>
        <v>1.1873239436619727</v>
      </c>
      <c r="BM87" s="283"/>
      <c r="BN87" s="363"/>
      <c r="BO87" s="368">
        <f>+BO74-BO81</f>
        <v>1.9550704225352113</v>
      </c>
      <c r="BQ87" s="363"/>
      <c r="BR87" s="368">
        <f>+BR74-BR81</f>
        <v>1.8384615384615386</v>
      </c>
      <c r="BS87" s="363"/>
      <c r="BT87" s="368">
        <f>+BT74-BT81</f>
        <v>2.0167832167832169</v>
      </c>
      <c r="BU87" s="363"/>
      <c r="BV87" s="368">
        <f>+BV74-BV81</f>
        <v>2.3892307692307693</v>
      </c>
    </row>
    <row r="88" spans="1:76" s="4" customFormat="1" ht="18" customHeight="1" x14ac:dyDescent="0.45">
      <c r="A88" s="561"/>
      <c r="B88" s="1241"/>
      <c r="C88" s="16"/>
      <c r="D88" s="16"/>
      <c r="E88" s="35" t="str">
        <f>+E82</f>
        <v xml:space="preserve">per pack USD </v>
      </c>
      <c r="F88" s="50"/>
      <c r="G88" s="72">
        <f>+G87/G10</f>
        <v>5.0620456664684413E-2</v>
      </c>
      <c r="H88" s="50"/>
      <c r="I88" s="72">
        <f>+I87/I10</f>
        <v>4.4139830618471189E-2</v>
      </c>
      <c r="J88" s="50"/>
      <c r="K88" s="72">
        <f>+K87/K10</f>
        <v>4.4139830618471189E-2</v>
      </c>
      <c r="L88" s="50"/>
      <c r="M88" s="72">
        <f>+M87/M10</f>
        <v>4.4139830618471189E-2</v>
      </c>
      <c r="N88" s="363"/>
      <c r="O88" s="368">
        <f>+O87/O10</f>
        <v>4.3673776288115231E-2</v>
      </c>
      <c r="P88" s="363"/>
      <c r="Q88" s="368">
        <f>+Q87/Q10</f>
        <v>5.1316901408450709E-2</v>
      </c>
      <c r="R88" s="363"/>
      <c r="S88" s="368">
        <f>+S87/S10</f>
        <v>5.1316901408450709E-2</v>
      </c>
      <c r="T88" s="363"/>
      <c r="U88" s="368">
        <f>+U87/U10</f>
        <v>3.9927718327397568E-2</v>
      </c>
      <c r="V88" s="363"/>
      <c r="W88" s="368">
        <f>+W87/W10</f>
        <v>3.2654929577464784E-2</v>
      </c>
      <c r="X88" s="363"/>
      <c r="Y88" s="368">
        <f>+Y87/Y10</f>
        <v>5.165492957746478E-2</v>
      </c>
      <c r="Z88" s="363"/>
      <c r="AA88" s="368">
        <f>+AA87/AA10</f>
        <v>4.6197183098591568E-2</v>
      </c>
      <c r="AB88" s="363"/>
      <c r="AC88" s="368">
        <f>+AC87/AC10</f>
        <v>4.6197183098591568E-2</v>
      </c>
      <c r="AD88" s="363"/>
      <c r="AE88" s="368">
        <f>+AE87/AE10</f>
        <v>4.6197183098591568E-2</v>
      </c>
      <c r="AF88" s="745"/>
      <c r="AG88" s="725"/>
      <c r="AH88" s="746"/>
      <c r="AJ88" s="363"/>
      <c r="AK88" s="368">
        <f>+AK87/AK10</f>
        <v>4.6197183098591568E-2</v>
      </c>
      <c r="AL88" s="363"/>
      <c r="AM88" s="368">
        <f>+AM87/AM10</f>
        <v>4.6197183098591568E-2</v>
      </c>
      <c r="AN88" s="363"/>
      <c r="AO88" s="368">
        <f>+AO87/AO10</f>
        <v>4.6197183098591568E-2</v>
      </c>
      <c r="AP88" s="745"/>
      <c r="AQ88" s="725"/>
      <c r="AR88" s="746"/>
      <c r="AT88" s="363"/>
      <c r="AU88" s="368">
        <f>+AU87/AU10</f>
        <v>4.6197183098591568E-2</v>
      </c>
      <c r="AV88" s="363"/>
      <c r="AW88" s="368">
        <f>+AW87/AW10</f>
        <v>4.6197183098591568E-2</v>
      </c>
      <c r="AX88" s="363"/>
      <c r="AY88" s="368">
        <f>+AY87/AY10</f>
        <v>4.6197183098591568E-2</v>
      </c>
      <c r="AZ88" s="745"/>
      <c r="BA88" s="725"/>
      <c r="BB88" s="725"/>
      <c r="BD88" s="363"/>
      <c r="BE88" s="368">
        <f>+BE87/BE10</f>
        <v>3.1376760563380304E-2</v>
      </c>
      <c r="BG88" s="363"/>
      <c r="BH88" s="368">
        <f>+BH87/BH10</f>
        <v>2.9683098591549318E-2</v>
      </c>
      <c r="BI88" s="363"/>
      <c r="BJ88" s="368">
        <f>+BJ87/BJ10</f>
        <v>2.9683098591549318E-2</v>
      </c>
      <c r="BK88" s="363"/>
      <c r="BL88" s="368">
        <f>+BL87/BL10</f>
        <v>2.9683098591549318E-2</v>
      </c>
      <c r="BN88" s="363"/>
      <c r="BO88" s="368">
        <f>+BO87/BO10</f>
        <v>4.8876760563380285E-2</v>
      </c>
      <c r="BQ88" s="363"/>
      <c r="BR88" s="368">
        <f>+BR87/BR10</f>
        <v>4.5961538461538463E-2</v>
      </c>
      <c r="BS88" s="363"/>
      <c r="BT88" s="368">
        <f>+BT87/BT10</f>
        <v>5.0419580419580425E-2</v>
      </c>
      <c r="BU88" s="363"/>
      <c r="BV88" s="368">
        <f>+BV87/BV10</f>
        <v>5.9730769230769233E-2</v>
      </c>
    </row>
    <row r="89" spans="1:76" s="65" customFormat="1" ht="18" customHeight="1" x14ac:dyDescent="0.45">
      <c r="A89" s="561"/>
      <c r="B89" s="1241"/>
      <c r="C89" s="131" t="s">
        <v>85</v>
      </c>
      <c r="D89" s="131"/>
      <c r="E89" s="131"/>
      <c r="F89" s="132"/>
      <c r="G89" s="382">
        <f>+G87/G74</f>
        <v>0.37221772229415867</v>
      </c>
      <c r="H89" s="132"/>
      <c r="I89" s="133">
        <f>+I87/I74</f>
        <v>0.332942598629966</v>
      </c>
      <c r="J89" s="132"/>
      <c r="K89" s="133">
        <f>+K87/K74</f>
        <v>0.332942598629966</v>
      </c>
      <c r="L89" s="132"/>
      <c r="M89" s="133">
        <f>+M87/M74</f>
        <v>0.332942598629966</v>
      </c>
      <c r="N89" s="381"/>
      <c r="O89" s="611">
        <f>+O87/O74</f>
        <v>0.30434687308791097</v>
      </c>
      <c r="P89" s="381"/>
      <c r="Q89" s="611">
        <f>+Q87/Q74</f>
        <v>0.35760906904843698</v>
      </c>
      <c r="R89" s="381"/>
      <c r="S89" s="611">
        <f>+S87/S74</f>
        <v>0.35760906904843698</v>
      </c>
      <c r="T89" s="381"/>
      <c r="U89" s="611">
        <f>+U87/U74</f>
        <v>0.2782419395637461</v>
      </c>
      <c r="V89" s="381"/>
      <c r="W89" s="611">
        <f>+W87/W74</f>
        <v>0.22756048486038177</v>
      </c>
      <c r="X89" s="381"/>
      <c r="Y89" s="611">
        <f>+Y87/Y74</f>
        <v>0.31787648970747556</v>
      </c>
      <c r="Z89" s="381"/>
      <c r="AA89" s="611">
        <f>+AA87/AA74</f>
        <v>0.31860126274890732</v>
      </c>
      <c r="AB89" s="381"/>
      <c r="AC89" s="611">
        <f>+AC87/AC74</f>
        <v>0.31860126274890732</v>
      </c>
      <c r="AD89" s="381"/>
      <c r="AE89" s="611">
        <f>+AE87/AE74</f>
        <v>0.31860126274890732</v>
      </c>
      <c r="AF89" s="548"/>
      <c r="AG89" s="645"/>
      <c r="AH89" s="547"/>
      <c r="AJ89" s="381"/>
      <c r="AK89" s="611">
        <f>+AK87/AK74</f>
        <v>0.31860126274890732</v>
      </c>
      <c r="AL89" s="381"/>
      <c r="AM89" s="611">
        <f>+AM87/AM74</f>
        <v>0.31860126274890732</v>
      </c>
      <c r="AN89" s="381"/>
      <c r="AO89" s="611">
        <f>+AO87/AO74</f>
        <v>0.31860126274890732</v>
      </c>
      <c r="AP89" s="548"/>
      <c r="AQ89" s="645"/>
      <c r="AR89" s="547"/>
      <c r="AT89" s="381"/>
      <c r="AU89" s="611">
        <f>+AU87/AU74</f>
        <v>0.31860126274890732</v>
      </c>
      <c r="AV89" s="381"/>
      <c r="AW89" s="611">
        <f>+AW87/AW74</f>
        <v>0.31860126274890732</v>
      </c>
      <c r="AX89" s="381"/>
      <c r="AY89" s="611">
        <f>+AY87/AY74</f>
        <v>0.31860126274890732</v>
      </c>
      <c r="AZ89" s="548"/>
      <c r="BA89" s="645"/>
      <c r="BB89" s="645"/>
      <c r="BC89" s="283"/>
      <c r="BD89" s="381"/>
      <c r="BE89" s="611">
        <f>+BE87/BE74</f>
        <v>0.21639145216124342</v>
      </c>
      <c r="BF89" s="283"/>
      <c r="BG89" s="381"/>
      <c r="BH89" s="611">
        <f>+BH87/BH74</f>
        <v>0.18266522210184194</v>
      </c>
      <c r="BI89" s="381"/>
      <c r="BJ89" s="611">
        <f t="shared" ref="BJ89" si="142">+BJ87/BJ74</f>
        <v>0.18266522210184194</v>
      </c>
      <c r="BK89" s="381"/>
      <c r="BL89" s="611">
        <f t="shared" ref="BL89" si="143">+BL87/BL74</f>
        <v>0.18266522210184194</v>
      </c>
      <c r="BM89" s="283"/>
      <c r="BN89" s="381"/>
      <c r="BO89" s="611">
        <f>+BO87/BO74</f>
        <v>0.30078006500541715</v>
      </c>
      <c r="BQ89" s="381"/>
      <c r="BR89" s="611">
        <f>+BR87/BR74</f>
        <v>0.3342657342657343</v>
      </c>
      <c r="BS89" s="381"/>
      <c r="BT89" s="611">
        <f>+BT87/BT74</f>
        <v>0.33613053613053617</v>
      </c>
      <c r="BU89" s="381"/>
      <c r="BV89" s="611">
        <f>+BV87/BV74</f>
        <v>0.36200466200466203</v>
      </c>
    </row>
    <row r="90" spans="1:76" s="65" customFormat="1" ht="18" customHeight="1" x14ac:dyDescent="0.45">
      <c r="A90" s="561"/>
      <c r="B90" s="1241"/>
      <c r="C90" s="260" t="s">
        <v>86</v>
      </c>
      <c r="D90" s="135"/>
      <c r="E90" s="136" t="str">
        <f>E87</f>
        <v xml:space="preserve">per carton USD </v>
      </c>
      <c r="F90" s="137"/>
      <c r="G90" s="138">
        <f>G87-G64</f>
        <v>1.5248182665873764</v>
      </c>
      <c r="H90" s="137"/>
      <c r="I90" s="138">
        <f>I87-I64</f>
        <v>1.3655932247388476</v>
      </c>
      <c r="J90" s="137"/>
      <c r="K90" s="138">
        <f>K87-K64</f>
        <v>1.3655932247388476</v>
      </c>
      <c r="L90" s="137"/>
      <c r="M90" s="138">
        <f>M87-M64</f>
        <v>1.3655932247388476</v>
      </c>
      <c r="N90" s="137"/>
      <c r="O90" s="138">
        <f>O87-O64</f>
        <v>0.94695105152460923</v>
      </c>
      <c r="P90" s="137"/>
      <c r="Q90" s="138">
        <f>Q87-Q64</f>
        <v>1.2526760563380286</v>
      </c>
      <c r="R90" s="137"/>
      <c r="S90" s="138">
        <f>S87-S64</f>
        <v>1.2526760563380286</v>
      </c>
      <c r="T90" s="137"/>
      <c r="U90" s="138">
        <f>U87-U64</f>
        <v>0.79710873309590269</v>
      </c>
      <c r="V90" s="137"/>
      <c r="W90" s="138">
        <f>W87-W64</f>
        <v>0.50619718309859152</v>
      </c>
      <c r="X90" s="137"/>
      <c r="Y90" s="138">
        <f>Y87-Y64</f>
        <v>1.0161971830985912</v>
      </c>
      <c r="Z90" s="137"/>
      <c r="AA90" s="138">
        <f>AA87-AA64</f>
        <v>1.1478873239436627</v>
      </c>
      <c r="AB90" s="137"/>
      <c r="AC90" s="138">
        <f>AC87-AC64</f>
        <v>1.1478873239436627</v>
      </c>
      <c r="AD90" s="137"/>
      <c r="AE90" s="138">
        <f>AE87-AE64</f>
        <v>1.1478873239436627</v>
      </c>
      <c r="AF90" s="802">
        <f>AA90/$O90-1</f>
        <v>0.21219288166536399</v>
      </c>
      <c r="AG90" s="733">
        <f>AC90/$Q90-1</f>
        <v>-8.3651900157409198E-2</v>
      </c>
      <c r="AH90" s="803">
        <f>AE90/$S90-1</f>
        <v>-8.3651900157409198E-2</v>
      </c>
      <c r="AJ90" s="137"/>
      <c r="AK90" s="138">
        <f>AK87-AK64</f>
        <v>1.1478873239436627</v>
      </c>
      <c r="AL90" s="137"/>
      <c r="AM90" s="138">
        <f>AM87-AM64</f>
        <v>1.1478873239436627</v>
      </c>
      <c r="AN90" s="137"/>
      <c r="AO90" s="138">
        <f>AO87-AO64</f>
        <v>1.1478873239436627</v>
      </c>
      <c r="AP90" s="802">
        <f>AK90/$O90-1</f>
        <v>0.21219288166536399</v>
      </c>
      <c r="AQ90" s="733">
        <f>AM90/$Q90-1</f>
        <v>-8.3651900157409198E-2</v>
      </c>
      <c r="AR90" s="803">
        <f>AO90/$S90-1</f>
        <v>-8.3651900157409198E-2</v>
      </c>
      <c r="AT90" s="137"/>
      <c r="AU90" s="138">
        <f>AU87-AU64</f>
        <v>1.1478873239436627</v>
      </c>
      <c r="AV90" s="137"/>
      <c r="AW90" s="138">
        <f>AW87-AW64</f>
        <v>1.1478873239436627</v>
      </c>
      <c r="AX90" s="137"/>
      <c r="AY90" s="138">
        <f>AY87-AY64</f>
        <v>1.1478873239436627</v>
      </c>
      <c r="AZ90" s="802">
        <f>AU90/$O90-1</f>
        <v>0.21219288166536399</v>
      </c>
      <c r="BA90" s="733">
        <f>AW90/$Q90-1</f>
        <v>-8.3651900157409198E-2</v>
      </c>
      <c r="BB90" s="733">
        <f>AY90/$S90-1</f>
        <v>-8.3651900157409198E-2</v>
      </c>
      <c r="BC90" s="283"/>
      <c r="BD90" s="137"/>
      <c r="BE90" s="138">
        <f>BE87-BE64</f>
        <v>0.5550704225352121</v>
      </c>
      <c r="BF90" s="283"/>
      <c r="BG90" s="137"/>
      <c r="BH90" s="138">
        <f>BH87-BH64</f>
        <v>0.13732394366197265</v>
      </c>
      <c r="BI90" s="137"/>
      <c r="BJ90" s="138">
        <f t="shared" ref="BJ90" si="144">BJ87-BJ64</f>
        <v>0.13732394366197265</v>
      </c>
      <c r="BK90" s="137"/>
      <c r="BL90" s="138">
        <f t="shared" ref="BL90" si="145">BL87-BL64</f>
        <v>0.13732394366197265</v>
      </c>
      <c r="BM90" s="283"/>
      <c r="BN90" s="137"/>
      <c r="BO90" s="138">
        <f>BO87-BO64</f>
        <v>1.6550704225352113</v>
      </c>
      <c r="BQ90" s="137"/>
      <c r="BR90" s="138">
        <f>BR87-BR64</f>
        <v>0.2384615384615385</v>
      </c>
      <c r="BS90" s="137"/>
      <c r="BT90" s="138">
        <f>BT87-BT64</f>
        <v>0.2167832167832171</v>
      </c>
      <c r="BU90" s="137"/>
      <c r="BV90" s="138">
        <f>BV87-BV64</f>
        <v>0.58923076923076945</v>
      </c>
    </row>
    <row r="91" spans="1:76" s="65" customFormat="1" ht="18" customHeight="1" x14ac:dyDescent="0.45">
      <c r="A91" s="561"/>
      <c r="B91" s="1241"/>
      <c r="C91" s="131" t="s">
        <v>87</v>
      </c>
      <c r="D91" s="131"/>
      <c r="E91" s="131"/>
      <c r="F91" s="132"/>
      <c r="G91" s="133">
        <f>G90/G74</f>
        <v>0.28030386305149846</v>
      </c>
      <c r="H91" s="132"/>
      <c r="I91" s="133">
        <f>I90/I74</f>
        <v>0.25751353740229571</v>
      </c>
      <c r="J91" s="132"/>
      <c r="K91" s="133">
        <f>K90/K74</f>
        <v>0.25751353740229571</v>
      </c>
      <c r="L91" s="132"/>
      <c r="M91" s="133">
        <f>M90/M74</f>
        <v>0.25751353740229571</v>
      </c>
      <c r="N91" s="381"/>
      <c r="O91" s="611">
        <f>O90/O74</f>
        <v>0.16497405078825944</v>
      </c>
      <c r="P91" s="381"/>
      <c r="Q91" s="611">
        <f>Q90/Q74</f>
        <v>0.21823624674878547</v>
      </c>
      <c r="R91" s="381"/>
      <c r="S91" s="611">
        <f>S90/S74</f>
        <v>0.21823624674878547</v>
      </c>
      <c r="T91" s="381"/>
      <c r="U91" s="611">
        <f>U90/U74</f>
        <v>0.13886911726409454</v>
      </c>
      <c r="V91" s="381"/>
      <c r="W91" s="611">
        <f>W90/W74</f>
        <v>8.8187662560730226E-2</v>
      </c>
      <c r="X91" s="381"/>
      <c r="Y91" s="611">
        <f>Y90/Y74</f>
        <v>0.15633802816901404</v>
      </c>
      <c r="Z91" s="381"/>
      <c r="AA91" s="611">
        <f>AA90/AA74</f>
        <v>0.19791160757649354</v>
      </c>
      <c r="AB91" s="381"/>
      <c r="AC91" s="611">
        <f>AC90/AC74</f>
        <v>0.19791160757649354</v>
      </c>
      <c r="AD91" s="381"/>
      <c r="AE91" s="611">
        <f>AE90/AE74</f>
        <v>0.19791160757649354</v>
      </c>
      <c r="AF91" s="548"/>
      <c r="AG91" s="645"/>
      <c r="AH91" s="547"/>
      <c r="AJ91" s="381"/>
      <c r="AK91" s="611">
        <f>AK90/AK74</f>
        <v>0.19791160757649354</v>
      </c>
      <c r="AL91" s="381"/>
      <c r="AM91" s="611">
        <f>AM90/AM74</f>
        <v>0.19791160757649354</v>
      </c>
      <c r="AN91" s="381"/>
      <c r="AO91" s="611">
        <f>AO90/AO74</f>
        <v>0.19791160757649354</v>
      </c>
      <c r="AP91" s="548"/>
      <c r="AQ91" s="645"/>
      <c r="AR91" s="547"/>
      <c r="AT91" s="381"/>
      <c r="AU91" s="611">
        <f>AU90/AU74</f>
        <v>0.19791160757649354</v>
      </c>
      <c r="AV91" s="381"/>
      <c r="AW91" s="611">
        <f>AW90/AW74</f>
        <v>0.19791160757649354</v>
      </c>
      <c r="AX91" s="381"/>
      <c r="AY91" s="611">
        <f>AY90/AY74</f>
        <v>0.19791160757649354</v>
      </c>
      <c r="AZ91" s="548"/>
      <c r="BA91" s="645"/>
      <c r="BB91" s="645"/>
      <c r="BC91" s="283"/>
      <c r="BD91" s="381"/>
      <c r="BE91" s="611">
        <f>BE90/BE74</f>
        <v>9.5701796988829663E-2</v>
      </c>
      <c r="BF91" s="283"/>
      <c r="BG91" s="381"/>
      <c r="BH91" s="611">
        <f>BH90/BH74</f>
        <v>2.1126760563380403E-2</v>
      </c>
      <c r="BI91" s="381"/>
      <c r="BJ91" s="611">
        <f t="shared" ref="BJ91" si="146">BJ90/BJ74</f>
        <v>2.1126760563380403E-2</v>
      </c>
      <c r="BK91" s="381"/>
      <c r="BL91" s="611">
        <f t="shared" ref="BL91" si="147">BL90/BL74</f>
        <v>2.1126760563380403E-2</v>
      </c>
      <c r="BM91" s="283"/>
      <c r="BN91" s="381"/>
      <c r="BO91" s="611">
        <f>BO90/BO74</f>
        <v>0.254626218851571</v>
      </c>
      <c r="BQ91" s="381"/>
      <c r="BR91" s="611">
        <f>BR90/BR74</f>
        <v>4.3356643356643361E-2</v>
      </c>
      <c r="BS91" s="381"/>
      <c r="BT91" s="611">
        <f>BT90/BT74</f>
        <v>3.6130536130536184E-2</v>
      </c>
      <c r="BU91" s="381"/>
      <c r="BV91" s="611">
        <f>BV90/BV74</f>
        <v>8.9277389277389319E-2</v>
      </c>
    </row>
    <row r="92" spans="1:76" s="65" customFormat="1" ht="6.75" customHeight="1" x14ac:dyDescent="0.45">
      <c r="A92" s="561"/>
      <c r="B92" s="266"/>
      <c r="C92" s="131"/>
      <c r="D92" s="131"/>
      <c r="E92" s="131"/>
      <c r="F92" s="132"/>
      <c r="G92" s="133"/>
      <c r="H92" s="132"/>
      <c r="I92" s="133"/>
      <c r="J92" s="132"/>
      <c r="K92" s="133"/>
      <c r="L92" s="132"/>
      <c r="M92" s="133"/>
      <c r="N92" s="381"/>
      <c r="O92" s="383"/>
      <c r="P92" s="381"/>
      <c r="Q92" s="383"/>
      <c r="R92" s="381"/>
      <c r="S92" s="383"/>
      <c r="T92" s="381"/>
      <c r="U92" s="383"/>
      <c r="V92" s="381"/>
      <c r="W92" s="383"/>
      <c r="X92" s="381"/>
      <c r="Y92" s="383"/>
      <c r="Z92" s="381"/>
      <c r="AA92" s="383"/>
      <c r="AB92" s="381"/>
      <c r="AC92" s="383"/>
      <c r="AD92" s="381"/>
      <c r="AE92" s="383"/>
      <c r="AF92" s="548"/>
      <c r="AG92" s="645"/>
      <c r="AH92" s="547"/>
      <c r="AJ92" s="381"/>
      <c r="AK92" s="383"/>
      <c r="AL92" s="381"/>
      <c r="AM92" s="383"/>
      <c r="AN92" s="381"/>
      <c r="AO92" s="383"/>
      <c r="AP92" s="548"/>
      <c r="AQ92" s="645"/>
      <c r="AR92" s="547"/>
      <c r="AT92" s="381"/>
      <c r="AU92" s="383"/>
      <c r="AV92" s="381"/>
      <c r="AW92" s="383"/>
      <c r="AX92" s="381"/>
      <c r="AY92" s="383"/>
      <c r="AZ92" s="548"/>
      <c r="BA92" s="645"/>
      <c r="BB92" s="645"/>
      <c r="BC92" s="283"/>
      <c r="BD92" s="381"/>
      <c r="BE92" s="383"/>
      <c r="BF92" s="283"/>
      <c r="BG92" s="381"/>
      <c r="BH92" s="383"/>
      <c r="BI92" s="381"/>
      <c r="BJ92" s="383"/>
      <c r="BK92" s="381"/>
      <c r="BL92" s="383"/>
      <c r="BM92" s="283"/>
      <c r="BN92" s="381"/>
      <c r="BO92" s="383"/>
      <c r="BQ92" s="381"/>
      <c r="BR92" s="383"/>
      <c r="BS92" s="381"/>
      <c r="BT92" s="383"/>
      <c r="BU92" s="381"/>
      <c r="BV92" s="383"/>
    </row>
    <row r="93" spans="1:76" s="65" customFormat="1" ht="18" customHeight="1" x14ac:dyDescent="0.45">
      <c r="A93" s="561"/>
      <c r="B93" s="266"/>
      <c r="C93" s="261" t="s">
        <v>88</v>
      </c>
      <c r="D93" s="140"/>
      <c r="E93" s="136" t="str">
        <f>E90</f>
        <v xml:space="preserve">per carton USD </v>
      </c>
      <c r="F93" s="141"/>
      <c r="G93" s="142">
        <f>G90-G79</f>
        <v>1.4068309390250531</v>
      </c>
      <c r="H93" s="141"/>
      <c r="I93" s="142">
        <f>I90-I79</f>
        <v>1.2476058971765243</v>
      </c>
      <c r="J93" s="141"/>
      <c r="K93" s="142">
        <f>K90-K79</f>
        <v>1.2476058971765243</v>
      </c>
      <c r="L93" s="141"/>
      <c r="M93" s="142">
        <f>M90-M79</f>
        <v>1.2476058971765243</v>
      </c>
      <c r="N93" s="141"/>
      <c r="O93" s="599">
        <f>O90-O79</f>
        <v>0.82881506619112066</v>
      </c>
      <c r="P93" s="141"/>
      <c r="Q93" s="599">
        <f>Q90-Q79</f>
        <v>1.1345400710045401</v>
      </c>
      <c r="R93" s="141"/>
      <c r="S93" s="599">
        <f>S90-S79</f>
        <v>1.1345400710045401</v>
      </c>
      <c r="T93" s="141"/>
      <c r="U93" s="599">
        <f>U90-U79</f>
        <v>0.67897274776241412</v>
      </c>
      <c r="V93" s="141"/>
      <c r="W93" s="599">
        <f>W90-W79</f>
        <v>0.38806119776510301</v>
      </c>
      <c r="X93" s="141"/>
      <c r="Y93" s="599">
        <f>Y90-Y79</f>
        <v>0.89806119776510263</v>
      </c>
      <c r="Z93" s="141"/>
      <c r="AA93" s="599">
        <f>AA90-AA79</f>
        <v>1.0297513386101742</v>
      </c>
      <c r="AB93" s="141"/>
      <c r="AC93" s="599">
        <f>AC90-AC79</f>
        <v>1.0297513386101742</v>
      </c>
      <c r="AD93" s="141"/>
      <c r="AE93" s="599">
        <f>AE90-AE79</f>
        <v>1.0297513386101742</v>
      </c>
      <c r="AF93" s="804"/>
      <c r="AG93" s="805"/>
      <c r="AH93" s="806"/>
      <c r="AJ93" s="141"/>
      <c r="AK93" s="599">
        <f>AK90-AK79</f>
        <v>1.0297513386101742</v>
      </c>
      <c r="AL93" s="141"/>
      <c r="AM93" s="599">
        <f>AM90-AM79</f>
        <v>1.0297513386101742</v>
      </c>
      <c r="AN93" s="141"/>
      <c r="AO93" s="599">
        <f>AO90-AO79</f>
        <v>1.0297513386101742</v>
      </c>
      <c r="AP93" s="804"/>
      <c r="AQ93" s="805"/>
      <c r="AR93" s="806"/>
      <c r="AT93" s="141"/>
      <c r="AU93" s="599">
        <f>AU90-AU79</f>
        <v>1.0297513386101742</v>
      </c>
      <c r="AV93" s="141"/>
      <c r="AW93" s="599">
        <f>AW90-AW79</f>
        <v>1.0297513386101742</v>
      </c>
      <c r="AX93" s="141"/>
      <c r="AY93" s="599">
        <f>AY90-AY79</f>
        <v>1.0297513386101742</v>
      </c>
      <c r="AZ93" s="804"/>
      <c r="BA93" s="805"/>
      <c r="BB93" s="734"/>
      <c r="BC93" s="283"/>
      <c r="BD93" s="141"/>
      <c r="BE93" s="599">
        <f>BE90-BE79</f>
        <v>0.43693443720172359</v>
      </c>
      <c r="BF93" s="283"/>
      <c r="BG93" s="141"/>
      <c r="BH93" s="599">
        <f>BH90-BH79</f>
        <v>1.918795832848412E-2</v>
      </c>
      <c r="BI93" s="141"/>
      <c r="BJ93" s="599">
        <f t="shared" ref="BJ93" si="148">BJ90-BJ79</f>
        <v>1.918795832848412E-2</v>
      </c>
      <c r="BK93" s="141"/>
      <c r="BL93" s="599">
        <f t="shared" ref="BL93" si="149">BL90-BL79</f>
        <v>1.918795832848412E-2</v>
      </c>
      <c r="BM93" s="283"/>
      <c r="BN93" s="141"/>
      <c r="BO93" s="599">
        <f>BO90-BO79</f>
        <v>1.5369344372017228</v>
      </c>
      <c r="BQ93" s="141"/>
      <c r="BR93" s="599">
        <f>BR90-BR79</f>
        <v>0.12443181818181823</v>
      </c>
      <c r="BS93" s="141"/>
      <c r="BT93" s="599">
        <f>BT90-BT79</f>
        <v>0.10275349650349683</v>
      </c>
      <c r="BU93" s="141"/>
      <c r="BV93" s="599">
        <f>BV90-BV79</f>
        <v>0.4752010489510492</v>
      </c>
    </row>
    <row r="94" spans="1:76" s="65" customFormat="1" ht="18" customHeight="1" x14ac:dyDescent="0.45">
      <c r="A94" s="561"/>
      <c r="B94" s="266"/>
      <c r="C94" s="131" t="s">
        <v>89</v>
      </c>
      <c r="D94" s="131"/>
      <c r="E94" s="131"/>
      <c r="F94" s="132"/>
      <c r="G94" s="133">
        <f>G93/G74</f>
        <v>0.2586145218155364</v>
      </c>
      <c r="H94" s="132"/>
      <c r="I94" s="133">
        <f>I93/I74</f>
        <v>0.2352643540153265</v>
      </c>
      <c r="J94" s="132"/>
      <c r="K94" s="133">
        <f>K93/K74</f>
        <v>0.2352643540153265</v>
      </c>
      <c r="L94" s="132"/>
      <c r="M94" s="133">
        <f>M93/M74</f>
        <v>0.2352643540153265</v>
      </c>
      <c r="N94" s="381"/>
      <c r="O94" s="611">
        <f>O93/O74</f>
        <v>0.14439286867441126</v>
      </c>
      <c r="P94" s="381"/>
      <c r="Q94" s="611">
        <f>Q93/Q74</f>
        <v>0.19765506463493729</v>
      </c>
      <c r="R94" s="381"/>
      <c r="S94" s="611">
        <f>S93/S74</f>
        <v>0.19765506463493729</v>
      </c>
      <c r="T94" s="381"/>
      <c r="U94" s="611">
        <f>U93/U74</f>
        <v>0.11828793515024635</v>
      </c>
      <c r="V94" s="381"/>
      <c r="W94" s="611">
        <f>W93/W74</f>
        <v>6.7606480446882056E-2</v>
      </c>
      <c r="X94" s="381"/>
      <c r="Y94" s="611">
        <f>Y93/Y74</f>
        <v>0.13816326119463118</v>
      </c>
      <c r="Z94" s="381"/>
      <c r="AA94" s="611">
        <f>AA93/AA74</f>
        <v>0.17754333424313345</v>
      </c>
      <c r="AB94" s="381"/>
      <c r="AC94" s="611">
        <f>AC93/AC74</f>
        <v>0.17754333424313345</v>
      </c>
      <c r="AD94" s="381"/>
      <c r="AE94" s="611">
        <f>AE93/AE74</f>
        <v>0.17754333424313345</v>
      </c>
      <c r="AF94" s="548"/>
      <c r="AG94" s="645"/>
      <c r="AH94" s="547"/>
      <c r="AJ94" s="381"/>
      <c r="AK94" s="611">
        <f>AK93/AK74</f>
        <v>0.17754333424313345</v>
      </c>
      <c r="AL94" s="381"/>
      <c r="AM94" s="611">
        <f>AM93/AM74</f>
        <v>0.17754333424313345</v>
      </c>
      <c r="AN94" s="381"/>
      <c r="AO94" s="611">
        <f>AO93/AO74</f>
        <v>0.17754333424313345</v>
      </c>
      <c r="AP94" s="548"/>
      <c r="AQ94" s="645"/>
      <c r="AR94" s="547"/>
      <c r="AT94" s="381"/>
      <c r="AU94" s="611">
        <f>AU93/AU74</f>
        <v>0.17754333424313345</v>
      </c>
      <c r="AV94" s="381"/>
      <c r="AW94" s="611">
        <f>AW93/AW74</f>
        <v>0.17754333424313345</v>
      </c>
      <c r="AX94" s="381"/>
      <c r="AY94" s="611">
        <f>AY93/AY74</f>
        <v>0.17754333424313345</v>
      </c>
      <c r="AZ94" s="548"/>
      <c r="BA94" s="645"/>
      <c r="BB94" s="645"/>
      <c r="BC94" s="283"/>
      <c r="BD94" s="381"/>
      <c r="BE94" s="611">
        <f>BE93/BE74</f>
        <v>7.5333523655469581E-2</v>
      </c>
      <c r="BF94" s="283"/>
      <c r="BG94" s="381"/>
      <c r="BH94" s="611">
        <f>BH93/BH74</f>
        <v>2.9519935889975564E-3</v>
      </c>
      <c r="BI94" s="381"/>
      <c r="BJ94" s="611">
        <f t="shared" ref="BJ94" si="150">BJ93/BJ74</f>
        <v>2.9519935889975564E-3</v>
      </c>
      <c r="BK94" s="381"/>
      <c r="BL94" s="611">
        <f t="shared" ref="BL94" si="151">BL93/BL74</f>
        <v>2.9519935889975564E-3</v>
      </c>
      <c r="BM94" s="283"/>
      <c r="BN94" s="381"/>
      <c r="BO94" s="611">
        <f>BO93/BO74</f>
        <v>0.23645145187718813</v>
      </c>
      <c r="BQ94" s="381"/>
      <c r="BR94" s="611">
        <f>BR93/BR74</f>
        <v>2.2623966942148768E-2</v>
      </c>
      <c r="BS94" s="381"/>
      <c r="BT94" s="611">
        <f>BT93/BT74</f>
        <v>1.7125582750582805E-2</v>
      </c>
      <c r="BU94" s="381"/>
      <c r="BV94" s="611">
        <f>BV93/BV74</f>
        <v>7.2000158931977157E-2</v>
      </c>
    </row>
    <row r="95" spans="1:76" s="65" customFormat="1" ht="6.75" customHeight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3"/>
      <c r="P95" s="381"/>
      <c r="Q95" s="383"/>
      <c r="R95" s="381"/>
      <c r="S95" s="383"/>
      <c r="T95" s="381"/>
      <c r="U95" s="383"/>
      <c r="V95" s="381"/>
      <c r="W95" s="383"/>
      <c r="X95" s="381"/>
      <c r="Y95" s="383"/>
      <c r="Z95" s="381"/>
      <c r="AA95" s="383"/>
      <c r="AB95" s="381"/>
      <c r="AC95" s="383"/>
      <c r="AD95" s="381"/>
      <c r="AE95" s="383"/>
      <c r="AF95" s="548"/>
      <c r="AG95" s="645"/>
      <c r="AH95" s="547"/>
      <c r="AJ95" s="381"/>
      <c r="AK95" s="383"/>
      <c r="AL95" s="381"/>
      <c r="AM95" s="383"/>
      <c r="AN95" s="381"/>
      <c r="AO95" s="383"/>
      <c r="AP95" s="548"/>
      <c r="AQ95" s="645"/>
      <c r="AR95" s="547"/>
      <c r="AT95" s="381"/>
      <c r="AU95" s="383"/>
      <c r="AV95" s="381"/>
      <c r="AW95" s="383"/>
      <c r="AX95" s="381"/>
      <c r="AY95" s="383"/>
      <c r="AZ95" s="548"/>
      <c r="BA95" s="645"/>
      <c r="BB95" s="645"/>
      <c r="BC95" s="283"/>
      <c r="BD95" s="381"/>
      <c r="BE95" s="383"/>
      <c r="BF95" s="283"/>
      <c r="BG95" s="381"/>
      <c r="BH95" s="383"/>
      <c r="BI95" s="381"/>
      <c r="BJ95" s="383"/>
      <c r="BK95" s="381"/>
      <c r="BL95" s="383"/>
      <c r="BM95" s="283"/>
      <c r="BN95" s="381"/>
      <c r="BO95" s="383"/>
      <c r="BQ95" s="381"/>
      <c r="BR95" s="383"/>
      <c r="BS95" s="381"/>
      <c r="BT95" s="383"/>
      <c r="BU95" s="381"/>
      <c r="BV95" s="383"/>
    </row>
    <row r="96" spans="1:76" s="65" customFormat="1" ht="18" customHeight="1" x14ac:dyDescent="0.45">
      <c r="A96" s="561"/>
      <c r="B96" s="266"/>
      <c r="C96" s="148" t="s">
        <v>90</v>
      </c>
      <c r="D96" s="144"/>
      <c r="E96" s="145" t="str">
        <f>E93</f>
        <v xml:space="preserve">per carton USD </v>
      </c>
      <c r="F96" s="146"/>
      <c r="G96" s="147">
        <f>G93</f>
        <v>1.4068309390250531</v>
      </c>
      <c r="H96" s="146"/>
      <c r="I96" s="147">
        <f>I93</f>
        <v>1.2476058971765243</v>
      </c>
      <c r="J96" s="146"/>
      <c r="K96" s="147">
        <f>K93</f>
        <v>1.2476058971765243</v>
      </c>
      <c r="L96" s="146"/>
      <c r="M96" s="147">
        <f>M93</f>
        <v>1.2476058971765243</v>
      </c>
      <c r="N96" s="424"/>
      <c r="O96" s="601">
        <f>O93</f>
        <v>0.82881506619112066</v>
      </c>
      <c r="P96" s="424"/>
      <c r="Q96" s="601">
        <f>Q93</f>
        <v>1.1345400710045401</v>
      </c>
      <c r="R96" s="424"/>
      <c r="S96" s="601">
        <f>S93</f>
        <v>1.1345400710045401</v>
      </c>
      <c r="T96" s="424"/>
      <c r="U96" s="601">
        <f>U93</f>
        <v>0.67897274776241412</v>
      </c>
      <c r="V96" s="424"/>
      <c r="W96" s="601">
        <f>W93</f>
        <v>0.38806119776510301</v>
      </c>
      <c r="X96" s="424"/>
      <c r="Y96" s="601">
        <f>Y93</f>
        <v>0.89806119776510263</v>
      </c>
      <c r="Z96" s="424"/>
      <c r="AA96" s="601">
        <f>AA93</f>
        <v>1.0297513386101742</v>
      </c>
      <c r="AB96" s="424"/>
      <c r="AC96" s="601">
        <f>AC93</f>
        <v>1.0297513386101742</v>
      </c>
      <c r="AD96" s="424"/>
      <c r="AE96" s="601">
        <f>AE93</f>
        <v>1.0297513386101742</v>
      </c>
      <c r="AF96" s="807"/>
      <c r="AG96" s="808"/>
      <c r="AH96" s="809"/>
      <c r="AJ96" s="424"/>
      <c r="AK96" s="601">
        <f>AK93</f>
        <v>1.0297513386101742</v>
      </c>
      <c r="AL96" s="424"/>
      <c r="AM96" s="601">
        <f>AM93</f>
        <v>1.0297513386101742</v>
      </c>
      <c r="AN96" s="424"/>
      <c r="AO96" s="601">
        <f>AO93</f>
        <v>1.0297513386101742</v>
      </c>
      <c r="AP96" s="807"/>
      <c r="AQ96" s="808"/>
      <c r="AR96" s="809"/>
      <c r="AT96" s="424"/>
      <c r="AU96" s="601">
        <f>AU93</f>
        <v>1.0297513386101742</v>
      </c>
      <c r="AV96" s="424"/>
      <c r="AW96" s="601">
        <f>AW93</f>
        <v>1.0297513386101742</v>
      </c>
      <c r="AX96" s="424"/>
      <c r="AY96" s="601">
        <f>AY93</f>
        <v>1.0297513386101742</v>
      </c>
      <c r="AZ96" s="807"/>
      <c r="BA96" s="808"/>
      <c r="BB96" s="735"/>
      <c r="BC96" s="283"/>
      <c r="BD96" s="424"/>
      <c r="BE96" s="601">
        <f>BE93</f>
        <v>0.43693443720172359</v>
      </c>
      <c r="BF96" s="283"/>
      <c r="BG96" s="424"/>
      <c r="BH96" s="601">
        <f>BH93</f>
        <v>1.918795832848412E-2</v>
      </c>
      <c r="BI96" s="424"/>
      <c r="BJ96" s="601">
        <f t="shared" ref="BJ96" si="152">BJ93</f>
        <v>1.918795832848412E-2</v>
      </c>
      <c r="BK96" s="424"/>
      <c r="BL96" s="601">
        <f t="shared" ref="BL96" si="153">BL93</f>
        <v>1.918795832848412E-2</v>
      </c>
      <c r="BM96" s="283"/>
      <c r="BN96" s="424"/>
      <c r="BO96" s="601">
        <f>BO93</f>
        <v>1.5369344372017228</v>
      </c>
      <c r="BQ96" s="424"/>
      <c r="BR96" s="601">
        <f>BR93</f>
        <v>0.12443181818181823</v>
      </c>
      <c r="BS96" s="424"/>
      <c r="BT96" s="601">
        <f>BT93</f>
        <v>0.10275349650349683</v>
      </c>
      <c r="BU96" s="424"/>
      <c r="BV96" s="601">
        <f>BV93</f>
        <v>0.4752010489510492</v>
      </c>
    </row>
    <row r="97" spans="1:74" s="283" customFormat="1" ht="18" customHeight="1" x14ac:dyDescent="0.45">
      <c r="A97" s="561"/>
      <c r="B97" s="266"/>
      <c r="C97" s="132" t="s">
        <v>91</v>
      </c>
      <c r="D97" s="131"/>
      <c r="E97" s="131"/>
      <c r="F97" s="132"/>
      <c r="G97" s="133">
        <f>G96/G74</f>
        <v>0.2586145218155364</v>
      </c>
      <c r="H97" s="132"/>
      <c r="I97" s="133">
        <f>I96/I74</f>
        <v>0.2352643540153265</v>
      </c>
      <c r="J97" s="132"/>
      <c r="K97" s="133">
        <f>K96/K74</f>
        <v>0.2352643540153265</v>
      </c>
      <c r="L97" s="132"/>
      <c r="M97" s="133">
        <f>M96/M74</f>
        <v>0.2352643540153265</v>
      </c>
      <c r="N97" s="381"/>
      <c r="O97" s="611">
        <f>O96/O74</f>
        <v>0.14439286867441126</v>
      </c>
      <c r="P97" s="381"/>
      <c r="Q97" s="611">
        <f>Q96/Q74</f>
        <v>0.19765506463493729</v>
      </c>
      <c r="R97" s="381"/>
      <c r="S97" s="611">
        <f>S96/S74</f>
        <v>0.19765506463493729</v>
      </c>
      <c r="T97" s="381"/>
      <c r="U97" s="611">
        <f>U96/U74</f>
        <v>0.11828793515024635</v>
      </c>
      <c r="V97" s="381"/>
      <c r="W97" s="611">
        <f>W96/W74</f>
        <v>6.7606480446882056E-2</v>
      </c>
      <c r="X97" s="381"/>
      <c r="Y97" s="611">
        <f>Y96/Y74</f>
        <v>0.13816326119463118</v>
      </c>
      <c r="Z97" s="381"/>
      <c r="AA97" s="611">
        <f>AA96/AA74</f>
        <v>0.17754333424313345</v>
      </c>
      <c r="AB97" s="381"/>
      <c r="AC97" s="611">
        <f>AC96/AC74</f>
        <v>0.17754333424313345</v>
      </c>
      <c r="AD97" s="381"/>
      <c r="AE97" s="611">
        <f>AE96/AE74</f>
        <v>0.17754333424313345</v>
      </c>
      <c r="AF97" s="548"/>
      <c r="AG97" s="645"/>
      <c r="AH97" s="547"/>
      <c r="AJ97" s="381"/>
      <c r="AK97" s="611">
        <f>AK96/AK74</f>
        <v>0.17754333424313345</v>
      </c>
      <c r="AL97" s="381"/>
      <c r="AM97" s="611">
        <f>AM96/AM74</f>
        <v>0.17754333424313345</v>
      </c>
      <c r="AN97" s="381"/>
      <c r="AO97" s="611">
        <f>AO96/AO74</f>
        <v>0.17754333424313345</v>
      </c>
      <c r="AP97" s="548"/>
      <c r="AQ97" s="645"/>
      <c r="AR97" s="547"/>
      <c r="AT97" s="381"/>
      <c r="AU97" s="611">
        <f>AU96/AU74</f>
        <v>0.17754333424313345</v>
      </c>
      <c r="AV97" s="381"/>
      <c r="AW97" s="611">
        <f>AW96/AW74</f>
        <v>0.17754333424313345</v>
      </c>
      <c r="AX97" s="381"/>
      <c r="AY97" s="611">
        <f>AY96/AY74</f>
        <v>0.17754333424313345</v>
      </c>
      <c r="AZ97" s="548"/>
      <c r="BA97" s="645"/>
      <c r="BB97" s="645"/>
      <c r="BD97" s="381"/>
      <c r="BE97" s="611">
        <f>BE96/BE74</f>
        <v>7.5333523655469581E-2</v>
      </c>
      <c r="BG97" s="381"/>
      <c r="BH97" s="611">
        <f>BH96/BH74</f>
        <v>2.9519935889975564E-3</v>
      </c>
      <c r="BI97" s="381"/>
      <c r="BJ97" s="611">
        <f t="shared" ref="BJ97" si="154">BJ96/BJ74</f>
        <v>2.9519935889975564E-3</v>
      </c>
      <c r="BK97" s="381"/>
      <c r="BL97" s="611">
        <f t="shared" ref="BL97" si="155">BL96/BL74</f>
        <v>2.9519935889975564E-3</v>
      </c>
      <c r="BN97" s="381"/>
      <c r="BO97" s="611">
        <f>BO96/BO74</f>
        <v>0.23645145187718813</v>
      </c>
      <c r="BQ97" s="381"/>
      <c r="BR97" s="611">
        <f>BR96/BR74</f>
        <v>2.2623966942148768E-2</v>
      </c>
      <c r="BS97" s="381"/>
      <c r="BT97" s="611">
        <f>BT96/BT74</f>
        <v>1.7125582750582805E-2</v>
      </c>
      <c r="BU97" s="381"/>
      <c r="BV97" s="611">
        <f>BV96/BV74</f>
        <v>7.2000158931977157E-2</v>
      </c>
    </row>
    <row r="98" spans="1:74" s="283" customFormat="1" ht="6.75" customHeight="1" x14ac:dyDescent="0.45">
      <c r="A98" s="561"/>
      <c r="B98" s="266"/>
      <c r="C98" s="131"/>
      <c r="D98" s="131"/>
      <c r="E98" s="131"/>
      <c r="F98" s="132"/>
      <c r="G98" s="133"/>
      <c r="H98" s="132"/>
      <c r="I98" s="133"/>
      <c r="J98" s="132"/>
      <c r="K98" s="133"/>
      <c r="L98" s="132"/>
      <c r="M98" s="133"/>
      <c r="N98" s="381"/>
      <c r="O98" s="383"/>
      <c r="P98" s="381"/>
      <c r="Q98" s="383"/>
      <c r="R98" s="381"/>
      <c r="S98" s="383"/>
      <c r="T98" s="381"/>
      <c r="U98" s="383"/>
      <c r="V98" s="381"/>
      <c r="W98" s="383"/>
      <c r="X98" s="381"/>
      <c r="Y98" s="383"/>
      <c r="Z98" s="381"/>
      <c r="AA98" s="383"/>
      <c r="AB98" s="381"/>
      <c r="AC98" s="383"/>
      <c r="AD98" s="381"/>
      <c r="AE98" s="383"/>
      <c r="AF98" s="548"/>
      <c r="AG98" s="645"/>
      <c r="AH98" s="547"/>
      <c r="AJ98" s="381"/>
      <c r="AK98" s="383"/>
      <c r="AL98" s="381"/>
      <c r="AM98" s="383"/>
      <c r="AN98" s="381"/>
      <c r="AO98" s="383"/>
      <c r="AP98" s="548"/>
      <c r="AQ98" s="645"/>
      <c r="AR98" s="547"/>
      <c r="AT98" s="381"/>
      <c r="AU98" s="383"/>
      <c r="AV98" s="381"/>
      <c r="AW98" s="383"/>
      <c r="AX98" s="381"/>
      <c r="AY98" s="383"/>
      <c r="AZ98" s="548"/>
      <c r="BA98" s="645"/>
      <c r="BB98" s="645"/>
      <c r="BD98" s="381"/>
      <c r="BE98" s="383"/>
      <c r="BG98" s="381"/>
      <c r="BH98" s="383"/>
      <c r="BI98" s="381"/>
      <c r="BJ98" s="383"/>
      <c r="BK98" s="381"/>
      <c r="BL98" s="383"/>
      <c r="BN98" s="381"/>
      <c r="BO98" s="383"/>
      <c r="BQ98" s="381"/>
      <c r="BR98" s="383"/>
      <c r="BS98" s="381"/>
      <c r="BT98" s="383"/>
      <c r="BU98" s="381"/>
      <c r="BV98" s="383"/>
    </row>
    <row r="99" spans="1:74" s="65" customFormat="1" ht="18" customHeight="1" x14ac:dyDescent="0.45">
      <c r="A99" s="561"/>
      <c r="B99" s="266"/>
      <c r="C99" s="255" t="s">
        <v>142</v>
      </c>
      <c r="D99" s="254"/>
      <c r="E99" s="255" t="s">
        <v>77</v>
      </c>
      <c r="F99" s="256"/>
      <c r="G99" s="257">
        <v>1.1000000000000001</v>
      </c>
      <c r="H99" s="256"/>
      <c r="I99" s="257">
        <v>0.88</v>
      </c>
      <c r="J99" s="256"/>
      <c r="K99" s="257">
        <v>0.88</v>
      </c>
      <c r="L99" s="256"/>
      <c r="M99" s="257">
        <v>0.88</v>
      </c>
      <c r="N99" s="256"/>
      <c r="O99" s="604">
        <v>0.5</v>
      </c>
      <c r="P99" s="256"/>
      <c r="Q99" s="604">
        <v>1</v>
      </c>
      <c r="R99" s="256"/>
      <c r="S99" s="604">
        <v>1</v>
      </c>
      <c r="T99" s="256"/>
      <c r="U99" s="604">
        <v>0.5</v>
      </c>
      <c r="V99" s="256"/>
      <c r="W99" s="604">
        <v>0.15</v>
      </c>
      <c r="X99" s="256"/>
      <c r="Y99" s="604">
        <v>0.5</v>
      </c>
      <c r="Z99" s="256"/>
      <c r="AA99" s="604">
        <v>0.9</v>
      </c>
      <c r="AB99" s="256"/>
      <c r="AC99" s="604">
        <v>0.9</v>
      </c>
      <c r="AD99" s="256"/>
      <c r="AE99" s="604">
        <v>0.9</v>
      </c>
      <c r="AF99" s="810">
        <f>AA99/$O99-1</f>
        <v>0.8</v>
      </c>
      <c r="AG99" s="811">
        <f>AC99/$Q99-1</f>
        <v>-9.9999999999999978E-2</v>
      </c>
      <c r="AH99" s="812">
        <f>AE99/$S99-1</f>
        <v>-9.9999999999999978E-2</v>
      </c>
      <c r="AJ99" s="256"/>
      <c r="AK99" s="604">
        <v>0.9</v>
      </c>
      <c r="AL99" s="256"/>
      <c r="AM99" s="604">
        <v>0.9</v>
      </c>
      <c r="AN99" s="256"/>
      <c r="AO99" s="604">
        <v>0.9</v>
      </c>
      <c r="AP99" s="810">
        <f>AK99/$O99-1</f>
        <v>0.8</v>
      </c>
      <c r="AQ99" s="811">
        <f>AM99/$Q99-1</f>
        <v>-9.9999999999999978E-2</v>
      </c>
      <c r="AR99" s="812">
        <f>AO99/$S99-1</f>
        <v>-9.9999999999999978E-2</v>
      </c>
      <c r="AT99" s="256"/>
      <c r="AU99" s="604">
        <v>0.9</v>
      </c>
      <c r="AV99" s="256"/>
      <c r="AW99" s="604">
        <v>0.9</v>
      </c>
      <c r="AX99" s="256"/>
      <c r="AY99" s="604">
        <v>0.9</v>
      </c>
      <c r="AZ99" s="810">
        <f>AU99/$O99-1</f>
        <v>0.8</v>
      </c>
      <c r="BA99" s="811">
        <f>AW99/$Q99-1</f>
        <v>-9.9999999999999978E-2</v>
      </c>
      <c r="BB99" s="736">
        <f>AY99/$S99-1</f>
        <v>-9.9999999999999978E-2</v>
      </c>
      <c r="BC99" s="283"/>
      <c r="BD99" s="256"/>
      <c r="BE99" s="604">
        <v>0.3</v>
      </c>
      <c r="BF99" s="283"/>
      <c r="BG99" s="256"/>
      <c r="BH99" s="604">
        <v>0</v>
      </c>
      <c r="BI99" s="256"/>
      <c r="BJ99" s="604">
        <f>BH99</f>
        <v>0</v>
      </c>
      <c r="BK99" s="256"/>
      <c r="BL99" s="604">
        <f>BJ99</f>
        <v>0</v>
      </c>
      <c r="BM99" s="283"/>
      <c r="BN99" s="256"/>
      <c r="BO99" s="604">
        <v>1.3</v>
      </c>
      <c r="BQ99" s="256"/>
      <c r="BR99" s="604">
        <v>0</v>
      </c>
      <c r="BS99" s="256"/>
      <c r="BT99" s="604">
        <v>0</v>
      </c>
      <c r="BU99" s="256"/>
      <c r="BV99" s="604">
        <v>0</v>
      </c>
    </row>
    <row r="100" spans="1:74" s="65" customFormat="1" ht="18" customHeight="1" x14ac:dyDescent="0.45">
      <c r="A100" s="561"/>
      <c r="B100" s="266"/>
      <c r="C100" s="148" t="s">
        <v>92</v>
      </c>
      <c r="D100" s="144"/>
      <c r="E100" s="148" t="s">
        <v>77</v>
      </c>
      <c r="F100" s="146"/>
      <c r="G100" s="147">
        <f>G96-G99</f>
        <v>0.30683093902505298</v>
      </c>
      <c r="H100" s="146"/>
      <c r="I100" s="147">
        <f>I96-I99</f>
        <v>0.36760589717652425</v>
      </c>
      <c r="J100" s="146"/>
      <c r="K100" s="147">
        <f>K96-K99</f>
        <v>0.36760589717652425</v>
      </c>
      <c r="L100" s="146"/>
      <c r="M100" s="147">
        <f>M96-M99</f>
        <v>0.36760589717652425</v>
      </c>
      <c r="N100" s="146"/>
      <c r="O100" s="601">
        <f>O96-O99</f>
        <v>0.32881506619112066</v>
      </c>
      <c r="P100" s="146"/>
      <c r="Q100" s="601">
        <f>Q96-Q99</f>
        <v>0.13454007100454013</v>
      </c>
      <c r="R100" s="146"/>
      <c r="S100" s="601">
        <f>S96-S99</f>
        <v>0.13454007100454013</v>
      </c>
      <c r="T100" s="146"/>
      <c r="U100" s="601">
        <f>U96-U99</f>
        <v>0.17897274776241412</v>
      </c>
      <c r="V100" s="146"/>
      <c r="W100" s="601">
        <f>W96-W99</f>
        <v>0.23806119776510301</v>
      </c>
      <c r="X100" s="146"/>
      <c r="Y100" s="601">
        <f>Y96-Y99</f>
        <v>0.39806119776510263</v>
      </c>
      <c r="Z100" s="146"/>
      <c r="AA100" s="601">
        <f>AA96-AA99</f>
        <v>0.12975133861017418</v>
      </c>
      <c r="AB100" s="146"/>
      <c r="AC100" s="601">
        <f>AC96-AC99</f>
        <v>0.12975133861017418</v>
      </c>
      <c r="AD100" s="146"/>
      <c r="AE100" s="601">
        <f>AE96-AE99</f>
        <v>0.12975133861017418</v>
      </c>
      <c r="AF100" s="807"/>
      <c r="AG100" s="808"/>
      <c r="AH100" s="809"/>
      <c r="AJ100" s="146"/>
      <c r="AK100" s="601">
        <f>AK96-AK99</f>
        <v>0.12975133861017418</v>
      </c>
      <c r="AL100" s="146"/>
      <c r="AM100" s="601">
        <f>AM96-AM99</f>
        <v>0.12975133861017418</v>
      </c>
      <c r="AN100" s="146"/>
      <c r="AO100" s="601">
        <f>AO96-AO99</f>
        <v>0.12975133861017418</v>
      </c>
      <c r="AP100" s="807"/>
      <c r="AQ100" s="808"/>
      <c r="AR100" s="809"/>
      <c r="AT100" s="146"/>
      <c r="AU100" s="601">
        <f>AU96-AU99</f>
        <v>0.12975133861017418</v>
      </c>
      <c r="AV100" s="146"/>
      <c r="AW100" s="601">
        <f>AW96-AW99</f>
        <v>0.12975133861017418</v>
      </c>
      <c r="AX100" s="146"/>
      <c r="AY100" s="601">
        <f>AY96-AY99</f>
        <v>0.12975133861017418</v>
      </c>
      <c r="AZ100" s="807"/>
      <c r="BA100" s="808"/>
      <c r="BB100" s="735"/>
      <c r="BC100" s="283"/>
      <c r="BD100" s="146"/>
      <c r="BE100" s="601">
        <f>BE96-BE99</f>
        <v>0.1369344372017236</v>
      </c>
      <c r="BF100" s="283"/>
      <c r="BG100" s="146"/>
      <c r="BH100" s="601">
        <f>BH96-BH99</f>
        <v>1.918795832848412E-2</v>
      </c>
      <c r="BI100" s="146"/>
      <c r="BJ100" s="601">
        <f t="shared" ref="BJ100" si="156">BJ96-BJ99</f>
        <v>1.918795832848412E-2</v>
      </c>
      <c r="BK100" s="146"/>
      <c r="BL100" s="601">
        <f t="shared" ref="BL100" si="157">BL96-BL99</f>
        <v>1.918795832848412E-2</v>
      </c>
      <c r="BM100" s="283"/>
      <c r="BN100" s="146"/>
      <c r="BO100" s="601">
        <f>BO96-BO99</f>
        <v>0.2369344372017228</v>
      </c>
      <c r="BQ100" s="146"/>
      <c r="BR100" s="601">
        <f>BR96-BR99</f>
        <v>0.12443181818181823</v>
      </c>
      <c r="BS100" s="146"/>
      <c r="BT100" s="601">
        <f>BT96-BT99</f>
        <v>0.10275349650349683</v>
      </c>
      <c r="BU100" s="146"/>
      <c r="BV100" s="601">
        <f>BV96-BV99</f>
        <v>0.4752010489510492</v>
      </c>
    </row>
    <row r="101" spans="1:74" s="65" customFormat="1" ht="18" customHeight="1" x14ac:dyDescent="0.45">
      <c r="A101" s="561"/>
      <c r="B101" s="266"/>
      <c r="C101" s="131" t="s">
        <v>93</v>
      </c>
      <c r="D101" s="131"/>
      <c r="E101" s="149"/>
      <c r="F101" s="132"/>
      <c r="G101" s="133">
        <f>G100/G74</f>
        <v>5.6404031481683943E-2</v>
      </c>
      <c r="H101" s="132"/>
      <c r="I101" s="133">
        <f>I100/I74</f>
        <v>6.9320419314451806E-2</v>
      </c>
      <c r="J101" s="132"/>
      <c r="K101" s="133">
        <f>K100/K74</f>
        <v>6.9320419314451806E-2</v>
      </c>
      <c r="L101" s="132"/>
      <c r="M101" s="133">
        <f>M100/M74</f>
        <v>6.9320419314451806E-2</v>
      </c>
      <c r="N101" s="381"/>
      <c r="O101" s="611">
        <f>O100/O74</f>
        <v>5.7284854737129035E-2</v>
      </c>
      <c r="P101" s="381"/>
      <c r="Q101" s="611">
        <f>Q100/Q74</f>
        <v>2.3439036760372844E-2</v>
      </c>
      <c r="R101" s="381"/>
      <c r="S101" s="611">
        <f>S100/S74</f>
        <v>2.3439036760372844E-2</v>
      </c>
      <c r="T101" s="381"/>
      <c r="U101" s="611">
        <f>U100/U74</f>
        <v>3.1179921212964132E-2</v>
      </c>
      <c r="V101" s="381"/>
      <c r="W101" s="611">
        <f>W100/W74</f>
        <v>4.1474076265697386E-2</v>
      </c>
      <c r="X101" s="381"/>
      <c r="Y101" s="611">
        <f>Y100/Y74</f>
        <v>6.1240184271554247E-2</v>
      </c>
      <c r="Z101" s="381"/>
      <c r="AA101" s="611">
        <f>AA100/AA74</f>
        <v>2.237092045003003E-2</v>
      </c>
      <c r="AB101" s="381"/>
      <c r="AC101" s="611">
        <f>AC100/AC74</f>
        <v>2.237092045003003E-2</v>
      </c>
      <c r="AD101" s="381"/>
      <c r="AE101" s="611">
        <f>AE100/AE74</f>
        <v>2.237092045003003E-2</v>
      </c>
      <c r="AF101" s="548"/>
      <c r="AG101" s="645"/>
      <c r="AH101" s="547"/>
      <c r="AJ101" s="381"/>
      <c r="AK101" s="611">
        <f>AK100/AK74</f>
        <v>2.237092045003003E-2</v>
      </c>
      <c r="AL101" s="381"/>
      <c r="AM101" s="611">
        <f>AM100/AM74</f>
        <v>2.237092045003003E-2</v>
      </c>
      <c r="AN101" s="381"/>
      <c r="AO101" s="611">
        <f>AO100/AO74</f>
        <v>2.237092045003003E-2</v>
      </c>
      <c r="AP101" s="548"/>
      <c r="AQ101" s="645"/>
      <c r="AR101" s="547"/>
      <c r="AT101" s="381"/>
      <c r="AU101" s="611">
        <f>AU100/AU74</f>
        <v>2.237092045003003E-2</v>
      </c>
      <c r="AV101" s="381"/>
      <c r="AW101" s="611">
        <f>AW100/AW74</f>
        <v>2.237092045003003E-2</v>
      </c>
      <c r="AX101" s="381"/>
      <c r="AY101" s="611">
        <f>AY100/AY74</f>
        <v>2.237092045003003E-2</v>
      </c>
      <c r="AZ101" s="548"/>
      <c r="BA101" s="645"/>
      <c r="BB101" s="645"/>
      <c r="BC101" s="283"/>
      <c r="BD101" s="381"/>
      <c r="BE101" s="611">
        <f>BE100/BE74</f>
        <v>2.3609385724435102E-2</v>
      </c>
      <c r="BF101" s="283"/>
      <c r="BG101" s="381"/>
      <c r="BH101" s="611">
        <f>BH100/BH74</f>
        <v>2.9519935889975564E-3</v>
      </c>
      <c r="BI101" s="381"/>
      <c r="BJ101" s="611">
        <f t="shared" ref="BJ101" si="158">BJ100/BJ74</f>
        <v>2.9519935889975564E-3</v>
      </c>
      <c r="BK101" s="381"/>
      <c r="BL101" s="611">
        <f t="shared" ref="BL101" si="159">BL100/BL74</f>
        <v>2.9519935889975564E-3</v>
      </c>
      <c r="BM101" s="283"/>
      <c r="BN101" s="381"/>
      <c r="BO101" s="611">
        <f>BO100/BO74</f>
        <v>3.6451451877188124E-2</v>
      </c>
      <c r="BQ101" s="381"/>
      <c r="BR101" s="611">
        <f>BR100/BR74</f>
        <v>2.2623966942148768E-2</v>
      </c>
      <c r="BS101" s="381"/>
      <c r="BT101" s="611">
        <f>BT100/BT74</f>
        <v>1.7125582750582805E-2</v>
      </c>
      <c r="BU101" s="381"/>
      <c r="BV101" s="611">
        <f>BV100/BV74</f>
        <v>7.2000158931977157E-2</v>
      </c>
    </row>
    <row r="102" spans="1:74" s="65" customFormat="1" ht="6.75" customHeight="1" x14ac:dyDescent="0.45">
      <c r="A102" s="561"/>
      <c r="B102" s="266"/>
      <c r="C102" s="131"/>
      <c r="D102" s="131"/>
      <c r="E102" s="131"/>
      <c r="F102" s="132"/>
      <c r="G102" s="133"/>
      <c r="H102" s="132"/>
      <c r="I102" s="133"/>
      <c r="J102" s="132"/>
      <c r="K102" s="133"/>
      <c r="L102" s="132"/>
      <c r="M102" s="133"/>
      <c r="N102" s="381"/>
      <c r="O102" s="383"/>
      <c r="P102" s="381"/>
      <c r="Q102" s="383"/>
      <c r="R102" s="381"/>
      <c r="S102" s="383"/>
      <c r="T102" s="381"/>
      <c r="U102" s="383"/>
      <c r="V102" s="381"/>
      <c r="W102" s="383"/>
      <c r="X102" s="381"/>
      <c r="Y102" s="383"/>
      <c r="Z102" s="381"/>
      <c r="AA102" s="383"/>
      <c r="AB102" s="381"/>
      <c r="AC102" s="383"/>
      <c r="AD102" s="381"/>
      <c r="AE102" s="383"/>
      <c r="AF102" s="548"/>
      <c r="AG102" s="645"/>
      <c r="AH102" s="547"/>
      <c r="AJ102" s="381"/>
      <c r="AK102" s="383"/>
      <c r="AL102" s="381"/>
      <c r="AM102" s="383"/>
      <c r="AN102" s="381"/>
      <c r="AO102" s="383"/>
      <c r="AP102" s="548"/>
      <c r="AQ102" s="645"/>
      <c r="AR102" s="547"/>
      <c r="AT102" s="381"/>
      <c r="AU102" s="383"/>
      <c r="AV102" s="381"/>
      <c r="AW102" s="383"/>
      <c r="AX102" s="381"/>
      <c r="AY102" s="383"/>
      <c r="AZ102" s="548"/>
      <c r="BA102" s="645"/>
      <c r="BB102" s="645"/>
      <c r="BC102" s="283"/>
      <c r="BD102" s="381"/>
      <c r="BE102" s="383"/>
      <c r="BF102" s="283"/>
      <c r="BG102" s="381"/>
      <c r="BH102" s="383"/>
      <c r="BI102" s="381"/>
      <c r="BJ102" s="383"/>
      <c r="BK102" s="381"/>
      <c r="BL102" s="383"/>
      <c r="BM102" s="283"/>
      <c r="BN102" s="381"/>
      <c r="BO102" s="383"/>
      <c r="BQ102" s="381"/>
      <c r="BR102" s="383"/>
      <c r="BS102" s="381"/>
      <c r="BT102" s="383"/>
      <c r="BU102" s="381"/>
      <c r="BV102" s="383"/>
    </row>
    <row r="103" spans="1:74" s="65" customFormat="1" ht="18" customHeight="1" x14ac:dyDescent="0.45">
      <c r="A103" s="561"/>
      <c r="B103" s="266"/>
      <c r="C103" s="262" t="s">
        <v>94</v>
      </c>
      <c r="D103" s="131"/>
      <c r="E103" s="131"/>
      <c r="F103" s="132"/>
      <c r="G103" s="383">
        <f>(G143-G142)/G73-G65</f>
        <v>0.14979338842975207</v>
      </c>
      <c r="H103" s="132"/>
      <c r="I103" s="383">
        <f>(I143-I142)/I73-I65</f>
        <v>1.2913223140495868E-2</v>
      </c>
      <c r="J103" s="132"/>
      <c r="K103" s="151">
        <f>(K144-K142)/K73</f>
        <v>1.2913223140495868E-2</v>
      </c>
      <c r="L103" s="132"/>
      <c r="M103" s="151">
        <f>(M144-M142)/M73</f>
        <v>1.2913223140495868E-2</v>
      </c>
      <c r="N103" s="381"/>
      <c r="O103" s="383">
        <f>(O143-O142)/O73-O65</f>
        <v>7.7479338842975212E-2</v>
      </c>
      <c r="P103" s="381"/>
      <c r="Q103" s="383">
        <f>(Q143-Q142)/Q73</f>
        <v>7.7479338842975212E-2</v>
      </c>
      <c r="R103" s="381"/>
      <c r="S103" s="383">
        <f>(S143-S142)/S73</f>
        <v>7.7479338842975212E-2</v>
      </c>
      <c r="T103" s="381"/>
      <c r="U103" s="383">
        <f>(U143-U142)/U73-U65</f>
        <v>7.7479338842975212E-2</v>
      </c>
      <c r="V103" s="381"/>
      <c r="W103" s="383">
        <f>(W143-W142)/W73-W65</f>
        <v>7.7479338842975212E-2</v>
      </c>
      <c r="X103" s="381"/>
      <c r="Y103" s="383">
        <f>(Y143-Y142)/Y73-Y65</f>
        <v>0</v>
      </c>
      <c r="Z103" s="381"/>
      <c r="AA103" s="383">
        <f>(AA143-AA142)/AA73</f>
        <v>0</v>
      </c>
      <c r="AB103" s="381"/>
      <c r="AC103" s="383">
        <f>(AC143-AC142)/AC73</f>
        <v>0</v>
      </c>
      <c r="AD103" s="381"/>
      <c r="AE103" s="383">
        <f>(AE143-AE142)/AE73</f>
        <v>0</v>
      </c>
      <c r="AF103" s="548"/>
      <c r="AG103" s="645"/>
      <c r="AH103" s="547"/>
      <c r="AJ103" s="381"/>
      <c r="AK103" s="383">
        <f>(AK143-AK142)/AK73</f>
        <v>0</v>
      </c>
      <c r="AL103" s="381"/>
      <c r="AM103" s="383">
        <f>(AM143-AM142)/AM73</f>
        <v>0</v>
      </c>
      <c r="AN103" s="381"/>
      <c r="AO103" s="383">
        <f>(AO143-AO142)/AO73</f>
        <v>0</v>
      </c>
      <c r="AP103" s="548"/>
      <c r="AQ103" s="645"/>
      <c r="AR103" s="547"/>
      <c r="AT103" s="381"/>
      <c r="AU103" s="383">
        <f>(AU143-AU142)/AU73</f>
        <v>0</v>
      </c>
      <c r="AV103" s="381"/>
      <c r="AW103" s="383">
        <f>(AW143-AW142)/AW73</f>
        <v>0</v>
      </c>
      <c r="AX103" s="381"/>
      <c r="AY103" s="383">
        <f>(AY143-AY142)/AY73</f>
        <v>0</v>
      </c>
      <c r="AZ103" s="548"/>
      <c r="BA103" s="645"/>
      <c r="BB103" s="645"/>
      <c r="BC103" s="283"/>
      <c r="BD103" s="381"/>
      <c r="BE103" s="383">
        <f>(BE143-BE142)/BE73-BE65</f>
        <v>0</v>
      </c>
      <c r="BF103" s="283"/>
      <c r="BG103" s="381"/>
      <c r="BH103" s="383">
        <f>(BH143-BH142)/BH73-BH65</f>
        <v>0</v>
      </c>
      <c r="BI103" s="381"/>
      <c r="BJ103" s="383">
        <f>(BJ143-BJ142)/BJ73-BJ65</f>
        <v>0</v>
      </c>
      <c r="BK103" s="381"/>
      <c r="BL103" s="383">
        <f>(BL143-BL142)/BL73-BL65</f>
        <v>0</v>
      </c>
      <c r="BM103" s="283"/>
      <c r="BN103" s="381"/>
      <c r="BO103" s="383">
        <f>(BO143-BO142)/BO73-BO65</f>
        <v>0</v>
      </c>
      <c r="BQ103" s="381"/>
      <c r="BR103" s="383">
        <f>(BR143-BR142)/BR73-BR65</f>
        <v>-2.4999999999999967E-2</v>
      </c>
      <c r="BS103" s="381"/>
      <c r="BT103" s="383">
        <f>(BT143-BT142)/BT73-BT65</f>
        <v>-2.4999999999999967E-2</v>
      </c>
      <c r="BU103" s="381"/>
      <c r="BV103" s="383">
        <f>(BV143-BV142)/BV73-BV65</f>
        <v>-2.4999999999999967E-2</v>
      </c>
    </row>
    <row r="104" spans="1:74" s="65" customFormat="1" ht="6.75" customHeight="1" x14ac:dyDescent="0.45">
      <c r="A104" s="561"/>
      <c r="B104" s="266"/>
      <c r="C104" s="131"/>
      <c r="D104" s="131"/>
      <c r="E104" s="131"/>
      <c r="F104" s="132"/>
      <c r="G104" s="133"/>
      <c r="H104" s="132"/>
      <c r="I104" s="133"/>
      <c r="J104" s="132"/>
      <c r="K104" s="133"/>
      <c r="L104" s="132"/>
      <c r="M104" s="133"/>
      <c r="N104" s="381"/>
      <c r="O104" s="383"/>
      <c r="P104" s="381"/>
      <c r="Q104" s="383"/>
      <c r="R104" s="381"/>
      <c r="S104" s="383"/>
      <c r="T104" s="381"/>
      <c r="U104" s="383"/>
      <c r="V104" s="381"/>
      <c r="W104" s="383"/>
      <c r="X104" s="381"/>
      <c r="Y104" s="383"/>
      <c r="Z104" s="381"/>
      <c r="AA104" s="383"/>
      <c r="AB104" s="381"/>
      <c r="AC104" s="383"/>
      <c r="AD104" s="381"/>
      <c r="AE104" s="383"/>
      <c r="AF104" s="548"/>
      <c r="AG104" s="645"/>
      <c r="AH104" s="547"/>
      <c r="AJ104" s="381"/>
      <c r="AK104" s="383"/>
      <c r="AL104" s="381"/>
      <c r="AM104" s="383"/>
      <c r="AN104" s="381"/>
      <c r="AO104" s="383"/>
      <c r="AP104" s="548"/>
      <c r="AQ104" s="645"/>
      <c r="AR104" s="547"/>
      <c r="AT104" s="381"/>
      <c r="AU104" s="383"/>
      <c r="AV104" s="381"/>
      <c r="AW104" s="383"/>
      <c r="AX104" s="381"/>
      <c r="AY104" s="383"/>
      <c r="AZ104" s="548"/>
      <c r="BA104" s="645"/>
      <c r="BB104" s="645"/>
      <c r="BC104" s="283"/>
      <c r="BD104" s="381"/>
      <c r="BE104" s="383"/>
      <c r="BF104" s="283"/>
      <c r="BG104" s="381"/>
      <c r="BH104" s="383"/>
      <c r="BI104" s="381"/>
      <c r="BJ104" s="383"/>
      <c r="BK104" s="381"/>
      <c r="BL104" s="383"/>
      <c r="BM104" s="283"/>
      <c r="BN104" s="381"/>
      <c r="BO104" s="383"/>
      <c r="BQ104" s="381"/>
      <c r="BR104" s="383"/>
      <c r="BS104" s="381"/>
      <c r="BT104" s="383"/>
      <c r="BU104" s="381"/>
      <c r="BV104" s="383"/>
    </row>
    <row r="105" spans="1:74" s="65" customFormat="1" ht="18" customHeight="1" x14ac:dyDescent="0.45">
      <c r="A105" s="561"/>
      <c r="B105" s="266"/>
      <c r="C105" s="154" t="s">
        <v>95</v>
      </c>
      <c r="D105" s="154"/>
      <c r="E105" s="154" t="s">
        <v>77</v>
      </c>
      <c r="F105" s="155"/>
      <c r="G105" s="156">
        <f>G100-G103</f>
        <v>0.15703755059530092</v>
      </c>
      <c r="H105" s="155"/>
      <c r="I105" s="156">
        <f>I100-I103</f>
        <v>0.35469267403602839</v>
      </c>
      <c r="J105" s="155"/>
      <c r="K105" s="156">
        <f>K100-K103</f>
        <v>0.35469267403602839</v>
      </c>
      <c r="L105" s="155"/>
      <c r="M105" s="156">
        <f>M100-M103</f>
        <v>0.35469267403602839</v>
      </c>
      <c r="N105" s="155"/>
      <c r="O105" s="590">
        <f>O100-O103</f>
        <v>0.25133572734814547</v>
      </c>
      <c r="P105" s="155"/>
      <c r="Q105" s="590">
        <f>Q100-Q103</f>
        <v>5.7060732161564917E-2</v>
      </c>
      <c r="R105" s="155"/>
      <c r="S105" s="590">
        <f>S100-S103</f>
        <v>5.7060732161564917E-2</v>
      </c>
      <c r="T105" s="155"/>
      <c r="U105" s="590">
        <f>U100-U103</f>
        <v>0.10149340891943891</v>
      </c>
      <c r="V105" s="155"/>
      <c r="W105" s="590">
        <f>W100-W103</f>
        <v>0.16058185892212778</v>
      </c>
      <c r="X105" s="683"/>
      <c r="Y105" s="590">
        <f>Y100-Y103</f>
        <v>0.39806119776510263</v>
      </c>
      <c r="Z105" s="683"/>
      <c r="AA105" s="590">
        <f>AA100-AA103</f>
        <v>0.12975133861017418</v>
      </c>
      <c r="AB105" s="683"/>
      <c r="AC105" s="590">
        <f>AC100-AC103</f>
        <v>0.12975133861017418</v>
      </c>
      <c r="AD105" s="683"/>
      <c r="AE105" s="590">
        <f>AE100-AE103</f>
        <v>0.12975133861017418</v>
      </c>
      <c r="AF105" s="813">
        <f>AA105/$O105-1</f>
        <v>-0.48375290700137874</v>
      </c>
      <c r="AG105" s="737">
        <f>AC105/$Q105-1</f>
        <v>1.2739164692592633</v>
      </c>
      <c r="AH105" s="814">
        <f>AE105/$S105-1</f>
        <v>1.2739164692592633</v>
      </c>
      <c r="AJ105" s="683"/>
      <c r="AK105" s="590">
        <f>AK100-AK103</f>
        <v>0.12975133861017418</v>
      </c>
      <c r="AL105" s="683"/>
      <c r="AM105" s="590">
        <f>AM100-AM103</f>
        <v>0.12975133861017418</v>
      </c>
      <c r="AN105" s="683"/>
      <c r="AO105" s="590">
        <f>AO100-AO103</f>
        <v>0.12975133861017418</v>
      </c>
      <c r="AP105" s="813">
        <f>AK105/$O105-1</f>
        <v>-0.48375290700137874</v>
      </c>
      <c r="AQ105" s="737">
        <f>AM105/$Q105-1</f>
        <v>1.2739164692592633</v>
      </c>
      <c r="AR105" s="814">
        <f>AO105/$S105-1</f>
        <v>1.2739164692592633</v>
      </c>
      <c r="AT105" s="683"/>
      <c r="AU105" s="590">
        <f>AU100-AU103</f>
        <v>0.12975133861017418</v>
      </c>
      <c r="AV105" s="683"/>
      <c r="AW105" s="590">
        <f>AW100-AW103</f>
        <v>0.12975133861017418</v>
      </c>
      <c r="AX105" s="683"/>
      <c r="AY105" s="590">
        <f>AY100-AY103</f>
        <v>0.12975133861017418</v>
      </c>
      <c r="AZ105" s="813">
        <f>AU105/$O105-1</f>
        <v>-0.48375290700137874</v>
      </c>
      <c r="BA105" s="737">
        <f>AW105/$Q105-1</f>
        <v>1.2739164692592633</v>
      </c>
      <c r="BB105" s="737">
        <f>AY105/$S105-1</f>
        <v>1.2739164692592633</v>
      </c>
      <c r="BC105" s="283"/>
      <c r="BD105" s="683"/>
      <c r="BE105" s="590">
        <f>BE100-BE103</f>
        <v>0.1369344372017236</v>
      </c>
      <c r="BF105" s="283"/>
      <c r="BG105" s="683"/>
      <c r="BH105" s="590">
        <f>BH100-BH103</f>
        <v>1.918795832848412E-2</v>
      </c>
      <c r="BI105" s="683"/>
      <c r="BJ105" s="590">
        <f t="shared" ref="BJ105" si="160">BJ100-BJ103</f>
        <v>1.918795832848412E-2</v>
      </c>
      <c r="BK105" s="683"/>
      <c r="BL105" s="590">
        <f t="shared" ref="BL105" si="161">BL100-BL103</f>
        <v>1.918795832848412E-2</v>
      </c>
      <c r="BM105" s="283"/>
      <c r="BN105" s="683"/>
      <c r="BO105" s="590">
        <f>BO100-BO103</f>
        <v>0.2369344372017228</v>
      </c>
      <c r="BQ105" s="683"/>
      <c r="BR105" s="590">
        <f>BR100-BR103</f>
        <v>0.14943181818181819</v>
      </c>
      <c r="BS105" s="683"/>
      <c r="BT105" s="590">
        <f>BT100-BT103</f>
        <v>0.12775349650349679</v>
      </c>
      <c r="BU105" s="683"/>
      <c r="BV105" s="590">
        <f>BV100-BV103</f>
        <v>0.50020104895104911</v>
      </c>
    </row>
    <row r="106" spans="1:74" s="65" customFormat="1" ht="18" customHeight="1" thickBot="1" x14ac:dyDescent="0.5">
      <c r="A106" s="561"/>
      <c r="B106" s="267"/>
      <c r="C106" s="158" t="s">
        <v>96</v>
      </c>
      <c r="D106" s="158"/>
      <c r="E106" s="158"/>
      <c r="F106" s="159"/>
      <c r="G106" s="160">
        <f>G105/G74</f>
        <v>2.8867854642457235E-2</v>
      </c>
      <c r="H106" s="159"/>
      <c r="I106" s="160">
        <f>I105/I74</f>
        <v>6.6885338567174227E-2</v>
      </c>
      <c r="J106" s="159"/>
      <c r="K106" s="160">
        <f>K105/K74</f>
        <v>6.6885338567174227E-2</v>
      </c>
      <c r="L106" s="159"/>
      <c r="M106" s="160">
        <f>M105/M74</f>
        <v>6.6885338567174227E-2</v>
      </c>
      <c r="N106" s="159"/>
      <c r="O106" s="609">
        <f>O105/O74</f>
        <v>4.3786712081558439E-2</v>
      </c>
      <c r="P106" s="159"/>
      <c r="Q106" s="609">
        <f>Q105/Q74</f>
        <v>9.9408941048022507E-3</v>
      </c>
      <c r="R106" s="159"/>
      <c r="S106" s="609">
        <f>S105/S74</f>
        <v>9.9408941048022507E-3</v>
      </c>
      <c r="T106" s="159"/>
      <c r="U106" s="609">
        <f>U105/U74</f>
        <v>1.7681778557393536E-2</v>
      </c>
      <c r="V106" s="159"/>
      <c r="W106" s="609">
        <f>W105/W74</f>
        <v>2.7975933610126791E-2</v>
      </c>
      <c r="X106" s="159"/>
      <c r="Y106" s="609">
        <f>Y105/Y74</f>
        <v>6.1240184271554247E-2</v>
      </c>
      <c r="Z106" s="159"/>
      <c r="AA106" s="609">
        <f>AA105/AA74</f>
        <v>2.237092045003003E-2</v>
      </c>
      <c r="AB106" s="159"/>
      <c r="AC106" s="609">
        <f>AC105/AC74</f>
        <v>2.237092045003003E-2</v>
      </c>
      <c r="AD106" s="159"/>
      <c r="AE106" s="609">
        <f>AE105/AE74</f>
        <v>2.237092045003003E-2</v>
      </c>
      <c r="AF106" s="815"/>
      <c r="AG106" s="816"/>
      <c r="AH106" s="605"/>
      <c r="AJ106" s="159"/>
      <c r="AK106" s="609">
        <f>AK105/AK74</f>
        <v>2.237092045003003E-2</v>
      </c>
      <c r="AL106" s="159"/>
      <c r="AM106" s="609">
        <f>AM105/AM74</f>
        <v>2.237092045003003E-2</v>
      </c>
      <c r="AN106" s="159"/>
      <c r="AO106" s="609">
        <f>AO105/AO74</f>
        <v>2.237092045003003E-2</v>
      </c>
      <c r="AP106" s="815"/>
      <c r="AQ106" s="816"/>
      <c r="AR106" s="605"/>
      <c r="AT106" s="159"/>
      <c r="AU106" s="609">
        <f>AU105/AU74</f>
        <v>2.237092045003003E-2</v>
      </c>
      <c r="AV106" s="159"/>
      <c r="AW106" s="609">
        <f>AW105/AW74</f>
        <v>2.237092045003003E-2</v>
      </c>
      <c r="AX106" s="159"/>
      <c r="AY106" s="609">
        <f>AY105/AY74</f>
        <v>2.237092045003003E-2</v>
      </c>
      <c r="AZ106" s="815"/>
      <c r="BA106" s="816"/>
      <c r="BB106" s="651"/>
      <c r="BC106" s="283"/>
      <c r="BD106" s="159"/>
      <c r="BE106" s="609">
        <f>BE105/BE74</f>
        <v>2.3609385724435102E-2</v>
      </c>
      <c r="BF106" s="283"/>
      <c r="BG106" s="159"/>
      <c r="BH106" s="609">
        <f>BH105/BH74</f>
        <v>2.9519935889975564E-3</v>
      </c>
      <c r="BI106" s="159"/>
      <c r="BJ106" s="609">
        <f t="shared" ref="BJ106" si="162">BJ105/BJ74</f>
        <v>2.9519935889975564E-3</v>
      </c>
      <c r="BK106" s="159"/>
      <c r="BL106" s="609">
        <f t="shared" ref="BL106" si="163">BL105/BL74</f>
        <v>2.9519935889975564E-3</v>
      </c>
      <c r="BM106" s="283"/>
      <c r="BN106" s="159"/>
      <c r="BO106" s="609">
        <f>BO105/BO74</f>
        <v>3.6451451877188124E-2</v>
      </c>
      <c r="BQ106" s="159"/>
      <c r="BR106" s="609">
        <f>BR105/BR74</f>
        <v>2.7169421487603308E-2</v>
      </c>
      <c r="BS106" s="159"/>
      <c r="BT106" s="609">
        <f>BT105/BT74</f>
        <v>2.1292249417249467E-2</v>
      </c>
      <c r="BU106" s="159"/>
      <c r="BV106" s="609">
        <f>BV105/BV74</f>
        <v>7.5788037719855927E-2</v>
      </c>
    </row>
    <row r="107" spans="1:74" s="4" customFormat="1" ht="18" hidden="1" customHeight="1" thickTop="1" x14ac:dyDescent="0.45">
      <c r="A107" s="561"/>
      <c r="B107" s="1235" t="s">
        <v>97</v>
      </c>
      <c r="C107" s="248" t="s">
        <v>98</v>
      </c>
      <c r="D107" s="249"/>
      <c r="E107" s="250" t="s">
        <v>99</v>
      </c>
      <c r="F107" s="251"/>
      <c r="G107" s="167">
        <f>G71</f>
        <v>620</v>
      </c>
      <c r="H107" s="251"/>
      <c r="I107" s="167">
        <f>I71</f>
        <v>1150</v>
      </c>
      <c r="J107" s="251"/>
      <c r="K107" s="167">
        <f>K71</f>
        <v>1150</v>
      </c>
      <c r="L107" s="251"/>
      <c r="M107" s="167">
        <f>M71</f>
        <v>1150</v>
      </c>
      <c r="N107" s="251"/>
      <c r="O107" s="167">
        <f>O71</f>
        <v>1200</v>
      </c>
      <c r="P107" s="251"/>
      <c r="Q107" s="167">
        <f>Q71</f>
        <v>1200</v>
      </c>
      <c r="R107" s="251"/>
      <c r="S107" s="167">
        <f>S71</f>
        <v>1200</v>
      </c>
      <c r="T107" s="251"/>
      <c r="U107" s="167">
        <f>U71</f>
        <v>1200</v>
      </c>
      <c r="V107" s="251"/>
      <c r="W107" s="167">
        <f>W71</f>
        <v>1200</v>
      </c>
      <c r="X107" s="251"/>
      <c r="Y107" s="167">
        <f>Y71</f>
        <v>1500</v>
      </c>
      <c r="Z107" s="251"/>
      <c r="AA107" s="167">
        <f>AA71</f>
        <v>1500</v>
      </c>
      <c r="AB107" s="251"/>
      <c r="AC107" s="167">
        <f>AC71</f>
        <v>1500</v>
      </c>
      <c r="AD107" s="251"/>
      <c r="AE107" s="167">
        <f>AE71</f>
        <v>1500</v>
      </c>
      <c r="AF107" s="817"/>
      <c r="AG107" s="818"/>
      <c r="AH107" s="819"/>
      <c r="AJ107" s="251"/>
      <c r="AK107" s="167">
        <f>AK71</f>
        <v>1500</v>
      </c>
      <c r="AL107" s="251"/>
      <c r="AM107" s="167">
        <f>AM71</f>
        <v>1500</v>
      </c>
      <c r="AN107" s="251"/>
      <c r="AO107" s="167">
        <f>AO71</f>
        <v>1500</v>
      </c>
      <c r="AP107" s="817"/>
      <c r="AQ107" s="818"/>
      <c r="AR107" s="819"/>
      <c r="AT107" s="251"/>
      <c r="AU107" s="167">
        <f>AU71</f>
        <v>1500</v>
      </c>
      <c r="AV107" s="251"/>
      <c r="AW107" s="167">
        <f>AW71</f>
        <v>1500</v>
      </c>
      <c r="AX107" s="251"/>
      <c r="AY107" s="167">
        <f>AY71</f>
        <v>1500</v>
      </c>
      <c r="AZ107" s="817"/>
      <c r="BA107" s="818"/>
      <c r="BB107" s="818"/>
      <c r="BD107" s="251"/>
      <c r="BE107" s="167">
        <f>BE71</f>
        <v>1500</v>
      </c>
      <c r="BG107" s="251"/>
      <c r="BH107" s="167">
        <f>BH71</f>
        <v>1500</v>
      </c>
      <c r="BI107" s="251"/>
      <c r="BJ107" s="167">
        <f t="shared" ref="BJ107" si="164">BJ71</f>
        <v>1500</v>
      </c>
      <c r="BK107" s="251"/>
      <c r="BL107" s="167">
        <f t="shared" ref="BL107" si="165">BL71</f>
        <v>1500</v>
      </c>
      <c r="BN107" s="251"/>
      <c r="BO107" s="167">
        <f>BO71</f>
        <v>1500</v>
      </c>
      <c r="BQ107" s="251"/>
      <c r="BR107" s="167">
        <f>BR71</f>
        <v>400</v>
      </c>
      <c r="BS107" s="251"/>
      <c r="BT107" s="167">
        <f>BT71</f>
        <v>400</v>
      </c>
      <c r="BU107" s="251"/>
      <c r="BV107" s="167">
        <f>BV71</f>
        <v>400</v>
      </c>
    </row>
    <row r="108" spans="1:74" s="4" customFormat="1" ht="18" hidden="1" customHeight="1" x14ac:dyDescent="0.45">
      <c r="A108" s="561"/>
      <c r="B108" s="1187"/>
      <c r="C108" s="161" t="s">
        <v>143</v>
      </c>
      <c r="D108" s="162"/>
      <c r="E108" s="163" t="s">
        <v>99</v>
      </c>
      <c r="F108" s="164"/>
      <c r="G108" s="168">
        <v>1150</v>
      </c>
      <c r="H108" s="164"/>
      <c r="I108" s="168">
        <v>1150</v>
      </c>
      <c r="J108" s="164"/>
      <c r="K108" s="168">
        <v>1150</v>
      </c>
      <c r="L108" s="164"/>
      <c r="M108" s="168">
        <v>1150</v>
      </c>
      <c r="N108" s="164"/>
      <c r="O108" s="168">
        <v>1150</v>
      </c>
      <c r="P108" s="164"/>
      <c r="Q108" s="168">
        <v>1150</v>
      </c>
      <c r="R108" s="164"/>
      <c r="S108" s="168">
        <v>1150</v>
      </c>
      <c r="T108" s="164"/>
      <c r="U108" s="168">
        <v>1150</v>
      </c>
      <c r="V108" s="164"/>
      <c r="W108" s="168">
        <v>1150</v>
      </c>
      <c r="X108" s="164"/>
      <c r="Y108" s="168">
        <v>1150</v>
      </c>
      <c r="Z108" s="164"/>
      <c r="AA108" s="168">
        <v>1150</v>
      </c>
      <c r="AB108" s="164"/>
      <c r="AC108" s="168">
        <v>1150</v>
      </c>
      <c r="AD108" s="164"/>
      <c r="AE108" s="168">
        <v>1150</v>
      </c>
      <c r="AF108" s="820"/>
      <c r="AG108" s="821"/>
      <c r="AH108" s="822"/>
      <c r="AJ108" s="164"/>
      <c r="AK108" s="168">
        <v>1150</v>
      </c>
      <c r="AL108" s="164"/>
      <c r="AM108" s="168">
        <v>1150</v>
      </c>
      <c r="AN108" s="164"/>
      <c r="AO108" s="168">
        <v>1150</v>
      </c>
      <c r="AP108" s="820"/>
      <c r="AQ108" s="821"/>
      <c r="AR108" s="822"/>
      <c r="AT108" s="164"/>
      <c r="AU108" s="168">
        <v>1150</v>
      </c>
      <c r="AV108" s="164"/>
      <c r="AW108" s="168">
        <v>1150</v>
      </c>
      <c r="AX108" s="164"/>
      <c r="AY108" s="168">
        <v>1150</v>
      </c>
      <c r="AZ108" s="820"/>
      <c r="BA108" s="821"/>
      <c r="BB108" s="821"/>
      <c r="BD108" s="164"/>
      <c r="BE108" s="168">
        <v>1150</v>
      </c>
      <c r="BG108" s="164"/>
      <c r="BH108" s="168">
        <v>1150</v>
      </c>
      <c r="BI108" s="164"/>
      <c r="BJ108" s="168">
        <v>1150</v>
      </c>
      <c r="BK108" s="164"/>
      <c r="BL108" s="168">
        <v>1150</v>
      </c>
      <c r="BN108" s="164"/>
      <c r="BO108" s="168">
        <v>1150</v>
      </c>
      <c r="BQ108" s="164"/>
      <c r="BR108" s="168">
        <v>1150</v>
      </c>
      <c r="BS108" s="164"/>
      <c r="BT108" s="168">
        <v>1150</v>
      </c>
      <c r="BU108" s="164"/>
      <c r="BV108" s="168">
        <v>1150</v>
      </c>
    </row>
    <row r="109" spans="1:74" s="4" customFormat="1" ht="18" hidden="1" customHeight="1" x14ac:dyDescent="0.45">
      <c r="A109" s="561"/>
      <c r="B109" s="1187"/>
      <c r="C109" s="161" t="s">
        <v>101</v>
      </c>
      <c r="D109" s="162"/>
      <c r="E109" s="163" t="s">
        <v>99</v>
      </c>
      <c r="F109" s="164"/>
      <c r="G109" s="168">
        <v>750</v>
      </c>
      <c r="H109" s="164"/>
      <c r="I109" s="168">
        <v>750</v>
      </c>
      <c r="J109" s="164"/>
      <c r="K109" s="168">
        <v>750</v>
      </c>
      <c r="L109" s="164"/>
      <c r="M109" s="168">
        <v>750</v>
      </c>
      <c r="N109" s="164"/>
      <c r="O109" s="168">
        <v>750</v>
      </c>
      <c r="P109" s="164"/>
      <c r="Q109" s="168">
        <v>750</v>
      </c>
      <c r="R109" s="164"/>
      <c r="S109" s="168">
        <v>750</v>
      </c>
      <c r="T109" s="164"/>
      <c r="U109" s="168">
        <v>750</v>
      </c>
      <c r="V109" s="164"/>
      <c r="W109" s="168">
        <v>750</v>
      </c>
      <c r="X109" s="164"/>
      <c r="Y109" s="168">
        <v>750</v>
      </c>
      <c r="Z109" s="164"/>
      <c r="AA109" s="168">
        <v>750</v>
      </c>
      <c r="AB109" s="164"/>
      <c r="AC109" s="168">
        <v>750</v>
      </c>
      <c r="AD109" s="164"/>
      <c r="AE109" s="168">
        <v>750</v>
      </c>
      <c r="AF109" s="820"/>
      <c r="AG109" s="821"/>
      <c r="AH109" s="822"/>
      <c r="AJ109" s="164"/>
      <c r="AK109" s="168">
        <v>750</v>
      </c>
      <c r="AL109" s="164"/>
      <c r="AM109" s="168">
        <v>750</v>
      </c>
      <c r="AN109" s="164"/>
      <c r="AO109" s="168">
        <v>750</v>
      </c>
      <c r="AP109" s="820"/>
      <c r="AQ109" s="821"/>
      <c r="AR109" s="822"/>
      <c r="AT109" s="164"/>
      <c r="AU109" s="168">
        <v>750</v>
      </c>
      <c r="AV109" s="164"/>
      <c r="AW109" s="168">
        <v>750</v>
      </c>
      <c r="AX109" s="164"/>
      <c r="AY109" s="168">
        <v>750</v>
      </c>
      <c r="AZ109" s="820"/>
      <c r="BA109" s="821"/>
      <c r="BB109" s="821"/>
      <c r="BD109" s="164"/>
      <c r="BE109" s="168">
        <v>750</v>
      </c>
      <c r="BG109" s="164"/>
      <c r="BH109" s="168">
        <v>750</v>
      </c>
      <c r="BI109" s="164"/>
      <c r="BJ109" s="168">
        <v>750</v>
      </c>
      <c r="BK109" s="164"/>
      <c r="BL109" s="168">
        <v>750</v>
      </c>
      <c r="BN109" s="164"/>
      <c r="BO109" s="168">
        <v>750</v>
      </c>
      <c r="BQ109" s="164"/>
      <c r="BR109" s="168">
        <v>750</v>
      </c>
      <c r="BS109" s="164"/>
      <c r="BT109" s="168">
        <v>750</v>
      </c>
      <c r="BU109" s="164"/>
      <c r="BV109" s="168">
        <v>750</v>
      </c>
    </row>
    <row r="110" spans="1:74" s="4" customFormat="1" ht="18" hidden="1" customHeight="1" x14ac:dyDescent="0.45">
      <c r="A110" s="561"/>
      <c r="B110" s="1187"/>
      <c r="C110" s="170"/>
      <c r="D110" s="162"/>
      <c r="E110" s="162"/>
      <c r="F110" s="164"/>
      <c r="G110" s="171"/>
      <c r="H110" s="164"/>
      <c r="I110" s="171"/>
      <c r="J110" s="164"/>
      <c r="K110" s="171"/>
      <c r="L110" s="164"/>
      <c r="M110" s="171"/>
      <c r="N110" s="164"/>
      <c r="O110" s="171"/>
      <c r="P110" s="164"/>
      <c r="Q110" s="171"/>
      <c r="R110" s="164"/>
      <c r="S110" s="171"/>
      <c r="T110" s="164"/>
      <c r="U110" s="171"/>
      <c r="V110" s="164"/>
      <c r="W110" s="171"/>
      <c r="X110" s="164"/>
      <c r="Y110" s="171"/>
      <c r="Z110" s="164"/>
      <c r="AA110" s="171"/>
      <c r="AB110" s="164"/>
      <c r="AC110" s="171"/>
      <c r="AD110" s="164"/>
      <c r="AE110" s="171"/>
      <c r="AF110" s="820"/>
      <c r="AG110" s="821"/>
      <c r="AH110" s="822"/>
      <c r="AJ110" s="164"/>
      <c r="AK110" s="171"/>
      <c r="AL110" s="164"/>
      <c r="AM110" s="171"/>
      <c r="AN110" s="164"/>
      <c r="AO110" s="171"/>
      <c r="AP110" s="820"/>
      <c r="AQ110" s="821"/>
      <c r="AR110" s="822"/>
      <c r="AT110" s="164"/>
      <c r="AU110" s="171"/>
      <c r="AV110" s="164"/>
      <c r="AW110" s="171"/>
      <c r="AX110" s="164"/>
      <c r="AY110" s="171"/>
      <c r="AZ110" s="820"/>
      <c r="BA110" s="821"/>
      <c r="BB110" s="821"/>
      <c r="BD110" s="164"/>
      <c r="BE110" s="171"/>
      <c r="BG110" s="164"/>
      <c r="BH110" s="171"/>
      <c r="BI110" s="164"/>
      <c r="BJ110" s="171"/>
      <c r="BK110" s="164"/>
      <c r="BL110" s="171"/>
      <c r="BN110" s="164"/>
      <c r="BO110" s="171"/>
      <c r="BQ110" s="164"/>
      <c r="BR110" s="171"/>
      <c r="BS110" s="164"/>
      <c r="BT110" s="171"/>
      <c r="BU110" s="164"/>
      <c r="BV110" s="171"/>
    </row>
    <row r="111" spans="1:74" s="4" customFormat="1" ht="18" hidden="1" customHeight="1" x14ac:dyDescent="0.45">
      <c r="A111" s="561"/>
      <c r="B111" s="1187"/>
      <c r="C111" s="161" t="s">
        <v>102</v>
      </c>
      <c r="D111" s="162"/>
      <c r="E111" s="163" t="s">
        <v>99</v>
      </c>
      <c r="F111" s="173"/>
      <c r="G111" s="165">
        <f>G108-G107</f>
        <v>530</v>
      </c>
      <c r="H111" s="173"/>
      <c r="I111" s="165">
        <f>I108-I107</f>
        <v>0</v>
      </c>
      <c r="J111" s="173"/>
      <c r="K111" s="165">
        <f>K108-K107</f>
        <v>0</v>
      </c>
      <c r="L111" s="173"/>
      <c r="M111" s="165">
        <f>M108-M107</f>
        <v>0</v>
      </c>
      <c r="N111" s="173"/>
      <c r="O111" s="165">
        <f>O108-O107</f>
        <v>-50</v>
      </c>
      <c r="P111" s="173"/>
      <c r="Q111" s="165">
        <f>Q108-Q107</f>
        <v>-50</v>
      </c>
      <c r="R111" s="173"/>
      <c r="S111" s="165">
        <f>S108-S107</f>
        <v>-50</v>
      </c>
      <c r="T111" s="173"/>
      <c r="U111" s="165">
        <f>U108-U107</f>
        <v>-50</v>
      </c>
      <c r="V111" s="173"/>
      <c r="W111" s="165">
        <f>W108-W107</f>
        <v>-50</v>
      </c>
      <c r="X111" s="173"/>
      <c r="Y111" s="165">
        <f>Y108-Y107</f>
        <v>-350</v>
      </c>
      <c r="Z111" s="173"/>
      <c r="AA111" s="165">
        <f>AA108-AA107</f>
        <v>-350</v>
      </c>
      <c r="AB111" s="173"/>
      <c r="AC111" s="165">
        <f>AC108-AC107</f>
        <v>-350</v>
      </c>
      <c r="AD111" s="173"/>
      <c r="AE111" s="165">
        <f>AE108-AE107</f>
        <v>-350</v>
      </c>
      <c r="AF111" s="820"/>
      <c r="AG111" s="821"/>
      <c r="AH111" s="822"/>
      <c r="AJ111" s="173"/>
      <c r="AK111" s="165">
        <f>AK108-AK107</f>
        <v>-350</v>
      </c>
      <c r="AL111" s="173"/>
      <c r="AM111" s="165">
        <f>AM108-AM107</f>
        <v>-350</v>
      </c>
      <c r="AN111" s="173"/>
      <c r="AO111" s="165">
        <f>AO108-AO107</f>
        <v>-350</v>
      </c>
      <c r="AP111" s="820"/>
      <c r="AQ111" s="821"/>
      <c r="AR111" s="822"/>
      <c r="AT111" s="173"/>
      <c r="AU111" s="165">
        <f>AU108-AU107</f>
        <v>-350</v>
      </c>
      <c r="AV111" s="173"/>
      <c r="AW111" s="165">
        <f>AW108-AW107</f>
        <v>-350</v>
      </c>
      <c r="AX111" s="173"/>
      <c r="AY111" s="165">
        <f>AY108-AY107</f>
        <v>-350</v>
      </c>
      <c r="AZ111" s="820"/>
      <c r="BA111" s="821"/>
      <c r="BB111" s="821"/>
      <c r="BD111" s="173"/>
      <c r="BE111" s="165">
        <f>BE108-BE107</f>
        <v>-350</v>
      </c>
      <c r="BG111" s="173"/>
      <c r="BH111" s="165">
        <f>BH108-BH107</f>
        <v>-350</v>
      </c>
      <c r="BI111" s="173"/>
      <c r="BJ111" s="165">
        <f t="shared" ref="BJ111" si="166">BJ108-BJ107</f>
        <v>-350</v>
      </c>
      <c r="BK111" s="173"/>
      <c r="BL111" s="165">
        <f t="shared" ref="BL111" si="167">BL108-BL107</f>
        <v>-350</v>
      </c>
      <c r="BN111" s="173"/>
      <c r="BO111" s="165">
        <f>BO108-BO107</f>
        <v>-350</v>
      </c>
      <c r="BQ111" s="173"/>
      <c r="BR111" s="165">
        <f>BR108-BR107</f>
        <v>750</v>
      </c>
      <c r="BS111" s="173"/>
      <c r="BT111" s="165">
        <f>BT108-BT107</f>
        <v>750</v>
      </c>
      <c r="BU111" s="173"/>
      <c r="BV111" s="165">
        <f>BV108-BV107</f>
        <v>750</v>
      </c>
    </row>
    <row r="112" spans="1:74" s="97" customFormat="1" ht="18" hidden="1" customHeight="1" x14ac:dyDescent="0.45">
      <c r="A112" s="561"/>
      <c r="B112" s="1187"/>
      <c r="C112" s="174" t="s">
        <v>103</v>
      </c>
      <c r="D112" s="175"/>
      <c r="E112" s="176" t="s">
        <v>104</v>
      </c>
      <c r="F112" s="177"/>
      <c r="G112" s="165">
        <f>G111/G73</f>
        <v>0.1368801652892562</v>
      </c>
      <c r="H112" s="177"/>
      <c r="I112" s="178">
        <f>I111/I73</f>
        <v>0</v>
      </c>
      <c r="J112" s="177"/>
      <c r="K112" s="178">
        <f>K111/K73</f>
        <v>0</v>
      </c>
      <c r="L112" s="177"/>
      <c r="M112" s="178">
        <f>M111/M73</f>
        <v>0</v>
      </c>
      <c r="N112" s="177"/>
      <c r="O112" s="178">
        <f>O111/O73</f>
        <v>-1.2913223140495868E-2</v>
      </c>
      <c r="P112" s="177"/>
      <c r="Q112" s="178">
        <f>Q111/Q73</f>
        <v>-1.2913223140495868E-2</v>
      </c>
      <c r="R112" s="177"/>
      <c r="S112" s="178">
        <f>S111/S73</f>
        <v>-1.2913223140495868E-2</v>
      </c>
      <c r="T112" s="177"/>
      <c r="U112" s="178">
        <f>U111/U73</f>
        <v>-1.2913223140495868E-2</v>
      </c>
      <c r="V112" s="177"/>
      <c r="W112" s="178">
        <f>W111/W73</f>
        <v>-1.2913223140495868E-2</v>
      </c>
      <c r="X112" s="177"/>
      <c r="Y112" s="178">
        <f>Y111/Y73</f>
        <v>-9.0392561983471079E-2</v>
      </c>
      <c r="Z112" s="177"/>
      <c r="AA112" s="178">
        <f>AA111/AA73</f>
        <v>-9.0392561983471079E-2</v>
      </c>
      <c r="AB112" s="177"/>
      <c r="AC112" s="178">
        <f>AC111/AC73</f>
        <v>-9.0392561983471079E-2</v>
      </c>
      <c r="AD112" s="177"/>
      <c r="AE112" s="178">
        <f>AE111/AE73</f>
        <v>-9.0392561983471079E-2</v>
      </c>
      <c r="AF112" s="820"/>
      <c r="AG112" s="821"/>
      <c r="AH112" s="822"/>
      <c r="AJ112" s="177"/>
      <c r="AK112" s="178">
        <f>AK111/AK73</f>
        <v>-9.0392561983471079E-2</v>
      </c>
      <c r="AL112" s="177"/>
      <c r="AM112" s="178">
        <f>AM111/AM73</f>
        <v>-9.0392561983471079E-2</v>
      </c>
      <c r="AN112" s="177"/>
      <c r="AO112" s="178">
        <f>AO111/AO73</f>
        <v>-9.0392561983471079E-2</v>
      </c>
      <c r="AP112" s="820"/>
      <c r="AQ112" s="821"/>
      <c r="AR112" s="822"/>
      <c r="AT112" s="177"/>
      <c r="AU112" s="178">
        <f>AU111/AU73</f>
        <v>-9.0392561983471079E-2</v>
      </c>
      <c r="AV112" s="177"/>
      <c r="AW112" s="178">
        <f>AW111/AW73</f>
        <v>-9.0392561983471079E-2</v>
      </c>
      <c r="AX112" s="177"/>
      <c r="AY112" s="178">
        <f>AY111/AY73</f>
        <v>-9.0392561983471079E-2</v>
      </c>
      <c r="AZ112" s="820"/>
      <c r="BA112" s="821"/>
      <c r="BB112" s="821"/>
      <c r="BC112" s="926"/>
      <c r="BD112" s="177"/>
      <c r="BE112" s="178">
        <f>BE111/BE73</f>
        <v>-9.0392561983471079E-2</v>
      </c>
      <c r="BF112" s="926"/>
      <c r="BG112" s="177"/>
      <c r="BH112" s="178">
        <f>BH111/BH73</f>
        <v>-9.0392561983471079E-2</v>
      </c>
      <c r="BI112" s="177"/>
      <c r="BJ112" s="178">
        <f t="shared" ref="BJ112" si="168">BJ111/BJ73</f>
        <v>-9.0392561983471079E-2</v>
      </c>
      <c r="BK112" s="177"/>
      <c r="BL112" s="178">
        <f t="shared" ref="BL112" si="169">BL111/BL73</f>
        <v>-9.0392561983471079E-2</v>
      </c>
      <c r="BM112" s="926"/>
      <c r="BN112" s="177"/>
      <c r="BO112" s="178">
        <f>BO111/BO73</f>
        <v>-9.0392561983471079E-2</v>
      </c>
      <c r="BQ112" s="177"/>
      <c r="BR112" s="178">
        <f>BR111/BR73</f>
        <v>0.1875</v>
      </c>
      <c r="BS112" s="177"/>
      <c r="BT112" s="178">
        <f>BT111/BT73</f>
        <v>0.1875</v>
      </c>
      <c r="BU112" s="177"/>
      <c r="BV112" s="178">
        <f>BV111/BV73</f>
        <v>0.1875</v>
      </c>
    </row>
    <row r="113" spans="1:74" s="97" customFormat="1" ht="18" hidden="1" customHeight="1" x14ac:dyDescent="0.45">
      <c r="A113" s="561"/>
      <c r="B113" s="1187"/>
      <c r="C113" s="174" t="s">
        <v>105</v>
      </c>
      <c r="D113" s="175"/>
      <c r="E113" s="176" t="s">
        <v>104</v>
      </c>
      <c r="F113" s="177"/>
      <c r="G113" s="178">
        <f>(G108-G109)/G73</f>
        <v>0.10330578512396695</v>
      </c>
      <c r="H113" s="177"/>
      <c r="I113" s="178">
        <f>(I108-I109)/I73</f>
        <v>0.10330578512396695</v>
      </c>
      <c r="J113" s="177"/>
      <c r="K113" s="178">
        <f>(K108-K109)/K73</f>
        <v>0.10330578512396695</v>
      </c>
      <c r="L113" s="177"/>
      <c r="M113" s="178">
        <f>(M108-M109)/M73</f>
        <v>0.10330578512396695</v>
      </c>
      <c r="N113" s="177"/>
      <c r="O113" s="178">
        <f>(O108-O109)/O73</f>
        <v>0.10330578512396695</v>
      </c>
      <c r="P113" s="177"/>
      <c r="Q113" s="178">
        <f>(Q108-Q109)/Q73</f>
        <v>0.10330578512396695</v>
      </c>
      <c r="R113" s="177"/>
      <c r="S113" s="178">
        <f>(S108-S109)/S73</f>
        <v>0.10330578512396695</v>
      </c>
      <c r="T113" s="177"/>
      <c r="U113" s="178">
        <f>(U108-U109)/U73</f>
        <v>0.10330578512396695</v>
      </c>
      <c r="V113" s="177"/>
      <c r="W113" s="178">
        <f>(W108-W109)/W73</f>
        <v>0.10330578512396695</v>
      </c>
      <c r="X113" s="177"/>
      <c r="Y113" s="178">
        <f>(Y108-Y109)/Y73</f>
        <v>0.10330578512396695</v>
      </c>
      <c r="Z113" s="177"/>
      <c r="AA113" s="178">
        <f>(AA108-AA109)/AA73</f>
        <v>0.10330578512396695</v>
      </c>
      <c r="AB113" s="177"/>
      <c r="AC113" s="178">
        <f>(AC108-AC109)/AC73</f>
        <v>0.10330578512396695</v>
      </c>
      <c r="AD113" s="177"/>
      <c r="AE113" s="178">
        <f>(AE108-AE109)/AE73</f>
        <v>0.10330578512396695</v>
      </c>
      <c r="AF113" s="820"/>
      <c r="AG113" s="821"/>
      <c r="AH113" s="822"/>
      <c r="AJ113" s="177"/>
      <c r="AK113" s="178">
        <f>(AK108-AK109)/AK73</f>
        <v>0.10330578512396695</v>
      </c>
      <c r="AL113" s="177"/>
      <c r="AM113" s="178">
        <f>(AM108-AM109)/AM73</f>
        <v>0.10330578512396695</v>
      </c>
      <c r="AN113" s="177"/>
      <c r="AO113" s="178">
        <f>(AO108-AO109)/AO73</f>
        <v>0.10330578512396695</v>
      </c>
      <c r="AP113" s="820"/>
      <c r="AQ113" s="821"/>
      <c r="AR113" s="822"/>
      <c r="AT113" s="177"/>
      <c r="AU113" s="178">
        <f>(AU108-AU109)/AU73</f>
        <v>0.10330578512396695</v>
      </c>
      <c r="AV113" s="177"/>
      <c r="AW113" s="178">
        <f>(AW108-AW109)/AW73</f>
        <v>0.10330578512396695</v>
      </c>
      <c r="AX113" s="177"/>
      <c r="AY113" s="178">
        <f>(AY108-AY109)/AY73</f>
        <v>0.10330578512396695</v>
      </c>
      <c r="AZ113" s="820"/>
      <c r="BA113" s="821"/>
      <c r="BB113" s="821"/>
      <c r="BC113" s="926"/>
      <c r="BD113" s="177"/>
      <c r="BE113" s="178">
        <f>(BE108-BE109)/BE73</f>
        <v>0.10330578512396695</v>
      </c>
      <c r="BF113" s="926"/>
      <c r="BG113" s="177"/>
      <c r="BH113" s="178">
        <f>(BH108-BH109)/BH73</f>
        <v>0.10330578512396695</v>
      </c>
      <c r="BI113" s="177"/>
      <c r="BJ113" s="178">
        <f t="shared" ref="BJ113" si="170">(BJ108-BJ109)/BJ73</f>
        <v>0.10330578512396695</v>
      </c>
      <c r="BK113" s="177"/>
      <c r="BL113" s="178">
        <f t="shared" ref="BL113" si="171">(BL108-BL109)/BL73</f>
        <v>0.10330578512396695</v>
      </c>
      <c r="BM113" s="926"/>
      <c r="BN113" s="177"/>
      <c r="BO113" s="178">
        <f>(BO108-BO109)/BO73</f>
        <v>0.10330578512396695</v>
      </c>
      <c r="BQ113" s="177"/>
      <c r="BR113" s="178">
        <f>(BR108-BR109)/BR73</f>
        <v>0.1</v>
      </c>
      <c r="BS113" s="177"/>
      <c r="BT113" s="178">
        <f>(BT108-BT109)/BT73</f>
        <v>0.1</v>
      </c>
      <c r="BU113" s="177"/>
      <c r="BV113" s="178">
        <f>(BV108-BV109)/BV73</f>
        <v>0.1</v>
      </c>
    </row>
    <row r="114" spans="1:74" s="4" customFormat="1" ht="18" hidden="1" customHeight="1" x14ac:dyDescent="0.45">
      <c r="A114" s="561"/>
      <c r="B114" s="1187"/>
      <c r="C114" s="170"/>
      <c r="D114" s="162"/>
      <c r="E114" s="179"/>
      <c r="F114" s="180"/>
      <c r="G114" s="181"/>
      <c r="H114" s="180"/>
      <c r="I114" s="181"/>
      <c r="J114" s="180"/>
      <c r="K114" s="181"/>
      <c r="L114" s="180"/>
      <c r="M114" s="181"/>
      <c r="N114" s="180"/>
      <c r="O114" s="181"/>
      <c r="P114" s="180"/>
      <c r="Q114" s="181"/>
      <c r="R114" s="180"/>
      <c r="S114" s="181"/>
      <c r="T114" s="180"/>
      <c r="U114" s="181"/>
      <c r="V114" s="180"/>
      <c r="W114" s="181"/>
      <c r="X114" s="180"/>
      <c r="Y114" s="181"/>
      <c r="Z114" s="180"/>
      <c r="AA114" s="181"/>
      <c r="AB114" s="180"/>
      <c r="AC114" s="181"/>
      <c r="AD114" s="180"/>
      <c r="AE114" s="181"/>
      <c r="AF114" s="823"/>
      <c r="AG114" s="824"/>
      <c r="AH114" s="825"/>
      <c r="AJ114" s="180"/>
      <c r="AK114" s="181"/>
      <c r="AL114" s="180"/>
      <c r="AM114" s="181"/>
      <c r="AN114" s="180"/>
      <c r="AO114" s="181"/>
      <c r="AP114" s="823"/>
      <c r="AQ114" s="824"/>
      <c r="AR114" s="825"/>
      <c r="AT114" s="180"/>
      <c r="AU114" s="181"/>
      <c r="AV114" s="180"/>
      <c r="AW114" s="181"/>
      <c r="AX114" s="180"/>
      <c r="AY114" s="181"/>
      <c r="AZ114" s="823"/>
      <c r="BA114" s="824"/>
      <c r="BB114" s="824"/>
      <c r="BD114" s="180"/>
      <c r="BE114" s="181"/>
      <c r="BG114" s="180"/>
      <c r="BH114" s="181"/>
      <c r="BI114" s="180"/>
      <c r="BJ114" s="181"/>
      <c r="BK114" s="180"/>
      <c r="BL114" s="181"/>
      <c r="BN114" s="180"/>
      <c r="BO114" s="181"/>
      <c r="BQ114" s="180"/>
      <c r="BR114" s="181"/>
      <c r="BS114" s="180"/>
      <c r="BT114" s="181"/>
      <c r="BU114" s="180"/>
      <c r="BV114" s="181"/>
    </row>
    <row r="115" spans="1:74" s="4" customFormat="1" ht="18" hidden="1" customHeight="1" x14ac:dyDescent="0.45">
      <c r="A115" s="561"/>
      <c r="B115" s="1187"/>
      <c r="C115" s="183" t="s">
        <v>106</v>
      </c>
      <c r="D115" s="184"/>
      <c r="E115" s="185"/>
      <c r="F115" s="186"/>
      <c r="G115" s="187">
        <f>G67-(G108/G73)-G81</f>
        <v>1.8879381012981207</v>
      </c>
      <c r="H115" s="186"/>
      <c r="I115" s="187">
        <f>I67-(I108/I73)-I81</f>
        <v>1.7655932247388475</v>
      </c>
      <c r="J115" s="186"/>
      <c r="K115" s="187">
        <f>K67-(K108/K73)-K81</f>
        <v>1.7655932247388475</v>
      </c>
      <c r="L115" s="186"/>
      <c r="M115" s="187">
        <f>M67-(M108/M73)-M81</f>
        <v>1.7655932247388475</v>
      </c>
      <c r="N115" s="186"/>
      <c r="O115" s="187">
        <f>O67-(O108/O73)-O81</f>
        <v>1.7598642746651056</v>
      </c>
      <c r="P115" s="186"/>
      <c r="Q115" s="187">
        <f>Q67-(Q108/Q73)-Q81</f>
        <v>2.0655892794785249</v>
      </c>
      <c r="R115" s="186"/>
      <c r="S115" s="187">
        <f>S67-(S108/S73)-S81</f>
        <v>2.0655892794785249</v>
      </c>
      <c r="T115" s="186"/>
      <c r="U115" s="187">
        <f>U67-(U108/U73)-U81</f>
        <v>1.6100219562363991</v>
      </c>
      <c r="V115" s="186"/>
      <c r="W115" s="187">
        <f>W67-(W108/W73)-W81</f>
        <v>1.3191104062390879</v>
      </c>
      <c r="X115" s="186"/>
      <c r="Y115" s="187">
        <f>Y67-(Y108/Y73)-Y81</f>
        <v>2.1690443008671858</v>
      </c>
      <c r="Z115" s="186"/>
      <c r="AA115" s="187">
        <f>AA67-(AA108/AA73)-AA81</f>
        <v>1.9508831917122573</v>
      </c>
      <c r="AB115" s="186"/>
      <c r="AC115" s="187">
        <f>AC67-(AC108/AC73)-AC81</f>
        <v>1.9508831917122573</v>
      </c>
      <c r="AD115" s="186"/>
      <c r="AE115" s="187">
        <f>AE67-(AE108/AE73)-AE81</f>
        <v>1.9508831917122573</v>
      </c>
      <c r="AF115" s="826"/>
      <c r="AG115" s="827"/>
      <c r="AH115" s="828"/>
      <c r="AJ115" s="186"/>
      <c r="AK115" s="187">
        <f>AK67-(AK108/AK73)-AK81</f>
        <v>1.9508831917122573</v>
      </c>
      <c r="AL115" s="186"/>
      <c r="AM115" s="187">
        <f>AM67-(AM108/AM73)-AM81</f>
        <v>1.9508831917122573</v>
      </c>
      <c r="AN115" s="186"/>
      <c r="AO115" s="187">
        <f>AO67-(AO108/AO73)-AO81</f>
        <v>1.9508831917122573</v>
      </c>
      <c r="AP115" s="826"/>
      <c r="AQ115" s="827"/>
      <c r="AR115" s="828"/>
      <c r="AT115" s="186"/>
      <c r="AU115" s="187">
        <f>AU67-(AU108/AU73)-AU81</f>
        <v>1.9508831917122573</v>
      </c>
      <c r="AV115" s="186"/>
      <c r="AW115" s="187">
        <f>AW67-(AW108/AW73)-AW81</f>
        <v>1.9508831917122573</v>
      </c>
      <c r="AX115" s="186"/>
      <c r="AY115" s="187">
        <f>AY67-(AY108/AY73)-AY81</f>
        <v>1.9508831917122573</v>
      </c>
      <c r="AZ115" s="826"/>
      <c r="BA115" s="827"/>
      <c r="BB115" s="854"/>
      <c r="BD115" s="186"/>
      <c r="BE115" s="187">
        <f>BE67-(BE108/BE73)-BE81</f>
        <v>1.3580662903038068</v>
      </c>
      <c r="BG115" s="186"/>
      <c r="BH115" s="187">
        <f>BH67-(BH108/BH73)-BH81</f>
        <v>1.2901710614305673</v>
      </c>
      <c r="BI115" s="186"/>
      <c r="BJ115" s="187">
        <f t="shared" ref="BJ115" si="172">BJ67-(BJ108/BJ73)-BJ81</f>
        <v>1.2901710614305673</v>
      </c>
      <c r="BK115" s="186"/>
      <c r="BL115" s="187">
        <f t="shared" ref="BL115" si="173">BL67-(BL108/BL73)-BL81</f>
        <v>1.2901710614305673</v>
      </c>
      <c r="BN115" s="186"/>
      <c r="BO115" s="187">
        <f>BO67-(BO108/BO73)-BO81</f>
        <v>2.0582362903038058</v>
      </c>
      <c r="BQ115" s="186"/>
      <c r="BR115" s="187">
        <f>BR67-(BR108/BR73)-BR81</f>
        <v>1.6529165384615383</v>
      </c>
      <c r="BS115" s="186"/>
      <c r="BT115" s="187">
        <f>BT67-(BT108/BT73)-BT81</f>
        <v>1.8311532167832172</v>
      </c>
      <c r="BU115" s="186"/>
      <c r="BV115" s="187">
        <f>BV67-(BV108/BV73)-BV81</f>
        <v>2.2036007692307695</v>
      </c>
    </row>
    <row r="116" spans="1:74" s="4" customFormat="1" ht="18" hidden="1" customHeight="1" x14ac:dyDescent="0.45">
      <c r="A116" s="561"/>
      <c r="B116" s="1187"/>
      <c r="C116" s="190" t="s">
        <v>107</v>
      </c>
      <c r="D116" s="184"/>
      <c r="E116" s="191"/>
      <c r="F116" s="192"/>
      <c r="G116" s="193">
        <f>G115/G74</f>
        <v>0.34705535380314123</v>
      </c>
      <c r="H116" s="192"/>
      <c r="I116" s="193">
        <f>I115/I74</f>
        <v>0.332942598629966</v>
      </c>
      <c r="J116" s="192"/>
      <c r="K116" s="193">
        <f>K115/K74</f>
        <v>0.332942598629966</v>
      </c>
      <c r="L116" s="192"/>
      <c r="M116" s="193">
        <f>M115/M74</f>
        <v>0.332942598629966</v>
      </c>
      <c r="N116" s="192"/>
      <c r="O116" s="193">
        <f>O115/O74</f>
        <v>0.30659656353050618</v>
      </c>
      <c r="P116" s="192"/>
      <c r="Q116" s="193">
        <f>Q115/Q74</f>
        <v>0.35985875949103219</v>
      </c>
      <c r="R116" s="192"/>
      <c r="S116" s="193">
        <f>S115/S74</f>
        <v>0.35985875949103219</v>
      </c>
      <c r="T116" s="192"/>
      <c r="U116" s="193">
        <f>U115/U74</f>
        <v>0.28049163000634131</v>
      </c>
      <c r="V116" s="192"/>
      <c r="W116" s="193">
        <f>W115/W74</f>
        <v>0.22981017530297698</v>
      </c>
      <c r="X116" s="192"/>
      <c r="Y116" s="193">
        <f>Y115/Y74</f>
        <v>0.33369912321033629</v>
      </c>
      <c r="Z116" s="192"/>
      <c r="AA116" s="193">
        <f>AA115/AA74</f>
        <v>0.33635917098487189</v>
      </c>
      <c r="AB116" s="192"/>
      <c r="AC116" s="193">
        <f>AC115/AC74</f>
        <v>0.33635917098487189</v>
      </c>
      <c r="AD116" s="192"/>
      <c r="AE116" s="193">
        <f>AE115/AE74</f>
        <v>0.33635917098487189</v>
      </c>
      <c r="AF116" s="829"/>
      <c r="AG116" s="830"/>
      <c r="AH116" s="193"/>
      <c r="AJ116" s="192"/>
      <c r="AK116" s="193">
        <f>AK115/AK74</f>
        <v>0.33635917098487189</v>
      </c>
      <c r="AL116" s="192"/>
      <c r="AM116" s="193">
        <f>AM115/AM74</f>
        <v>0.33635917098487189</v>
      </c>
      <c r="AN116" s="192"/>
      <c r="AO116" s="193">
        <f>AO115/AO74</f>
        <v>0.33635917098487189</v>
      </c>
      <c r="AP116" s="829"/>
      <c r="AQ116" s="830"/>
      <c r="AR116" s="193"/>
      <c r="AT116" s="192"/>
      <c r="AU116" s="193">
        <f>AU115/AU74</f>
        <v>0.33635917098487189</v>
      </c>
      <c r="AV116" s="192"/>
      <c r="AW116" s="193">
        <f>AW115/AW74</f>
        <v>0.33635917098487189</v>
      </c>
      <c r="AX116" s="192"/>
      <c r="AY116" s="193">
        <f>AY115/AY74</f>
        <v>0.33635917098487189</v>
      </c>
      <c r="AZ116" s="829"/>
      <c r="BA116" s="830"/>
      <c r="BB116" s="654"/>
      <c r="BD116" s="192"/>
      <c r="BE116" s="193">
        <f>BE115/BE74</f>
        <v>0.23414936039720805</v>
      </c>
      <c r="BG116" s="192"/>
      <c r="BH116" s="193">
        <f>BH115/BH74</f>
        <v>0.19848785560470264</v>
      </c>
      <c r="BI116" s="192"/>
      <c r="BJ116" s="193">
        <f t="shared" ref="BJ116" si="174">BJ115/BJ74</f>
        <v>0.19848785560470264</v>
      </c>
      <c r="BK116" s="192"/>
      <c r="BL116" s="193">
        <f t="shared" ref="BL116" si="175">BL115/BL74</f>
        <v>0.19848785560470264</v>
      </c>
      <c r="BN116" s="192"/>
      <c r="BO116" s="193">
        <f>BO115/BO74</f>
        <v>0.3166517369698163</v>
      </c>
      <c r="BQ116" s="192"/>
      <c r="BR116" s="193">
        <f>BR115/BR74</f>
        <v>0.30053027972027968</v>
      </c>
      <c r="BS116" s="192"/>
      <c r="BT116" s="193">
        <f>BT115/BT74</f>
        <v>0.30519220279720288</v>
      </c>
      <c r="BU116" s="192"/>
      <c r="BV116" s="193">
        <f>BV115/BV74</f>
        <v>0.3338789044289045</v>
      </c>
    </row>
    <row r="117" spans="1:74" s="162" customFormat="1" ht="18" hidden="1" customHeight="1" x14ac:dyDescent="0.45">
      <c r="A117" s="561"/>
      <c r="B117" s="1187"/>
      <c r="C117" s="196"/>
      <c r="E117" s="197"/>
      <c r="F117" s="164"/>
      <c r="G117" s="198"/>
      <c r="H117" s="164"/>
      <c r="I117" s="198"/>
      <c r="J117" s="164"/>
      <c r="K117" s="198"/>
      <c r="L117" s="164"/>
      <c r="M117" s="198"/>
      <c r="N117" s="164"/>
      <c r="O117" s="198"/>
      <c r="P117" s="164"/>
      <c r="Q117" s="198"/>
      <c r="R117" s="164"/>
      <c r="S117" s="198"/>
      <c r="T117" s="164"/>
      <c r="U117" s="198"/>
      <c r="V117" s="164"/>
      <c r="W117" s="198"/>
      <c r="X117" s="164"/>
      <c r="Y117" s="198"/>
      <c r="Z117" s="164"/>
      <c r="AA117" s="198"/>
      <c r="AB117" s="164"/>
      <c r="AC117" s="198"/>
      <c r="AD117" s="164"/>
      <c r="AE117" s="198"/>
      <c r="AF117" s="820"/>
      <c r="AG117" s="821"/>
      <c r="AH117" s="198"/>
      <c r="AJ117" s="164"/>
      <c r="AK117" s="198"/>
      <c r="AL117" s="164"/>
      <c r="AM117" s="198"/>
      <c r="AN117" s="164"/>
      <c r="AO117" s="198"/>
      <c r="AP117" s="820"/>
      <c r="AQ117" s="821"/>
      <c r="AR117" s="198"/>
      <c r="AT117" s="164"/>
      <c r="AU117" s="198"/>
      <c r="AV117" s="164"/>
      <c r="AW117" s="198"/>
      <c r="AX117" s="164"/>
      <c r="AY117" s="198"/>
      <c r="AZ117" s="820"/>
      <c r="BA117" s="821"/>
      <c r="BB117" s="655"/>
      <c r="BD117" s="164"/>
      <c r="BE117" s="198"/>
      <c r="BG117" s="164"/>
      <c r="BH117" s="198"/>
      <c r="BI117" s="164"/>
      <c r="BJ117" s="198"/>
      <c r="BK117" s="164"/>
      <c r="BL117" s="198"/>
      <c r="BN117" s="164"/>
      <c r="BO117" s="198"/>
      <c r="BQ117" s="164"/>
      <c r="BR117" s="198"/>
      <c r="BS117" s="164"/>
      <c r="BT117" s="198"/>
      <c r="BU117" s="164"/>
      <c r="BV117" s="198"/>
    </row>
    <row r="118" spans="1:74" s="4" customFormat="1" ht="18" hidden="1" customHeight="1" x14ac:dyDescent="0.45">
      <c r="A118" s="561"/>
      <c r="B118" s="1187"/>
      <c r="C118" s="183" t="s">
        <v>108</v>
      </c>
      <c r="D118" s="184"/>
      <c r="E118" s="185"/>
      <c r="F118" s="186"/>
      <c r="G118" s="187">
        <f>G67-(G109/G73)-G81</f>
        <v>1.9912438864220872</v>
      </c>
      <c r="H118" s="186"/>
      <c r="I118" s="187">
        <f>I67-(I109/I73)-I81</f>
        <v>1.868899009862814</v>
      </c>
      <c r="J118" s="186"/>
      <c r="K118" s="187">
        <f>K67-(K109/K73)-K81</f>
        <v>1.868899009862814</v>
      </c>
      <c r="L118" s="186"/>
      <c r="M118" s="187">
        <f>M67-(M109/M73)-M81</f>
        <v>1.868899009862814</v>
      </c>
      <c r="N118" s="186"/>
      <c r="O118" s="187">
        <f>O67-(O109/O73)-O81</f>
        <v>1.8631700597890721</v>
      </c>
      <c r="P118" s="186"/>
      <c r="Q118" s="187">
        <f>Q67-(Q109/Q73)-Q81</f>
        <v>2.1688950646024914</v>
      </c>
      <c r="R118" s="186"/>
      <c r="S118" s="187">
        <f>S67-(S109/S73)-S81</f>
        <v>2.1688950646024914</v>
      </c>
      <c r="T118" s="186"/>
      <c r="U118" s="187">
        <f>U67-(U109/U73)-U81</f>
        <v>1.7133277413603656</v>
      </c>
      <c r="V118" s="186"/>
      <c r="W118" s="187">
        <f>W67-(W109/W73)-W81</f>
        <v>1.4224161913630544</v>
      </c>
      <c r="X118" s="186"/>
      <c r="Y118" s="187">
        <f>Y67-(Y109/Y73)-Y81</f>
        <v>2.2723500859911523</v>
      </c>
      <c r="Z118" s="186"/>
      <c r="AA118" s="187">
        <f>AA67-(AA109/AA73)-AA81</f>
        <v>2.0541889768362238</v>
      </c>
      <c r="AB118" s="186"/>
      <c r="AC118" s="187">
        <f>AC67-(AC109/AC73)-AC81</f>
        <v>2.0541889768362238</v>
      </c>
      <c r="AD118" s="186"/>
      <c r="AE118" s="187">
        <f>AE67-(AE109/AE73)-AE81</f>
        <v>2.0541889768362238</v>
      </c>
      <c r="AF118" s="826"/>
      <c r="AG118" s="827"/>
      <c r="AH118" s="828"/>
      <c r="AJ118" s="186"/>
      <c r="AK118" s="187">
        <f>AK67-(AK109/AK73)-AK81</f>
        <v>2.0541889768362238</v>
      </c>
      <c r="AL118" s="186"/>
      <c r="AM118" s="187">
        <f>AM67-(AM109/AM73)-AM81</f>
        <v>2.0541889768362238</v>
      </c>
      <c r="AN118" s="186"/>
      <c r="AO118" s="187">
        <f>AO67-(AO109/AO73)-AO81</f>
        <v>2.0541889768362238</v>
      </c>
      <c r="AP118" s="826"/>
      <c r="AQ118" s="827"/>
      <c r="AR118" s="828"/>
      <c r="AT118" s="186"/>
      <c r="AU118" s="187">
        <f>AU67-(AU109/AU73)-AU81</f>
        <v>2.0541889768362238</v>
      </c>
      <c r="AV118" s="186"/>
      <c r="AW118" s="187">
        <f>AW67-(AW109/AW73)-AW81</f>
        <v>2.0541889768362238</v>
      </c>
      <c r="AX118" s="186"/>
      <c r="AY118" s="187">
        <f>AY67-(AY109/AY73)-AY81</f>
        <v>2.0541889768362238</v>
      </c>
      <c r="AZ118" s="826"/>
      <c r="BA118" s="827"/>
      <c r="BB118" s="854"/>
      <c r="BD118" s="186"/>
      <c r="BE118" s="187">
        <f>BE67-(BE109/BE73)-BE81</f>
        <v>1.4613720754277733</v>
      </c>
      <c r="BG118" s="186"/>
      <c r="BH118" s="187">
        <f>BH67-(BH109/BH73)-BH81</f>
        <v>1.3934768465545337</v>
      </c>
      <c r="BI118" s="186"/>
      <c r="BJ118" s="187">
        <f t="shared" ref="BJ118" si="176">BJ67-(BJ109/BJ73)-BJ81</f>
        <v>1.3934768465545337</v>
      </c>
      <c r="BK118" s="186"/>
      <c r="BL118" s="187">
        <f t="shared" ref="BL118" si="177">BL67-(BL109/BL73)-BL81</f>
        <v>1.3934768465545337</v>
      </c>
      <c r="BN118" s="186"/>
      <c r="BO118" s="187">
        <f>BO67-(BO109/BO73)-BO81</f>
        <v>2.1615420754277723</v>
      </c>
      <c r="BQ118" s="186"/>
      <c r="BR118" s="187">
        <f>BR67-(BR109/BR73)-BR81</f>
        <v>1.7529165384615379</v>
      </c>
      <c r="BS118" s="186"/>
      <c r="BT118" s="187">
        <f>BT67-(BT109/BT73)-BT81</f>
        <v>1.9311532167832168</v>
      </c>
      <c r="BU118" s="186"/>
      <c r="BV118" s="187">
        <f>BV67-(BV109/BV73)-BV81</f>
        <v>2.3036007692307692</v>
      </c>
    </row>
    <row r="119" spans="1:74" s="4" customFormat="1" ht="18" hidden="1" customHeight="1" x14ac:dyDescent="0.45">
      <c r="A119" s="561"/>
      <c r="B119" s="1187"/>
      <c r="C119" s="190" t="s">
        <v>109</v>
      </c>
      <c r="D119" s="184"/>
      <c r="E119" s="191"/>
      <c r="F119" s="192"/>
      <c r="G119" s="193">
        <f>G118/G74</f>
        <v>0.36604582058881474</v>
      </c>
      <c r="H119" s="192"/>
      <c r="I119" s="193">
        <f>I118/I74</f>
        <v>0.35242324460818653</v>
      </c>
      <c r="J119" s="192"/>
      <c r="K119" s="193">
        <f>K118/K74</f>
        <v>0.35242324460818653</v>
      </c>
      <c r="L119" s="192"/>
      <c r="M119" s="193">
        <f>M118/M74</f>
        <v>0.35242324460818653</v>
      </c>
      <c r="N119" s="192"/>
      <c r="O119" s="193">
        <f>O118/O74</f>
        <v>0.32459408707126691</v>
      </c>
      <c r="P119" s="192"/>
      <c r="Q119" s="193">
        <f>Q118/Q74</f>
        <v>0.37785628303179292</v>
      </c>
      <c r="R119" s="192"/>
      <c r="S119" s="193">
        <f>S118/S74</f>
        <v>0.37785628303179292</v>
      </c>
      <c r="T119" s="192"/>
      <c r="U119" s="193">
        <f>U118/U74</f>
        <v>0.29848915354710198</v>
      </c>
      <c r="V119" s="192"/>
      <c r="W119" s="193">
        <f>W118/W74</f>
        <v>0.24780769884373768</v>
      </c>
      <c r="X119" s="192"/>
      <c r="Y119" s="193">
        <f>Y118/Y74</f>
        <v>0.34959232092171572</v>
      </c>
      <c r="Z119" s="192"/>
      <c r="AA119" s="193">
        <f>AA118/AA74</f>
        <v>0.35417051324762477</v>
      </c>
      <c r="AB119" s="192"/>
      <c r="AC119" s="193">
        <f>AC118/AC74</f>
        <v>0.35417051324762477</v>
      </c>
      <c r="AD119" s="192"/>
      <c r="AE119" s="193">
        <f>AE118/AE74</f>
        <v>0.35417051324762477</v>
      </c>
      <c r="AF119" s="829"/>
      <c r="AG119" s="830"/>
      <c r="AH119" s="193"/>
      <c r="AJ119" s="192"/>
      <c r="AK119" s="193">
        <f>AK118/AK74</f>
        <v>0.35417051324762477</v>
      </c>
      <c r="AL119" s="192"/>
      <c r="AM119" s="193">
        <f>AM118/AM74</f>
        <v>0.35417051324762477</v>
      </c>
      <c r="AN119" s="192"/>
      <c r="AO119" s="193">
        <f>AO118/AO74</f>
        <v>0.35417051324762477</v>
      </c>
      <c r="AP119" s="829"/>
      <c r="AQ119" s="830"/>
      <c r="AR119" s="193"/>
      <c r="AT119" s="192"/>
      <c r="AU119" s="193">
        <f>AU118/AU74</f>
        <v>0.35417051324762477</v>
      </c>
      <c r="AV119" s="192"/>
      <c r="AW119" s="193">
        <f>AW118/AW74</f>
        <v>0.35417051324762477</v>
      </c>
      <c r="AX119" s="192"/>
      <c r="AY119" s="193">
        <f>AY118/AY74</f>
        <v>0.35417051324762477</v>
      </c>
      <c r="AZ119" s="829"/>
      <c r="BA119" s="830"/>
      <c r="BB119" s="654"/>
      <c r="BD119" s="192"/>
      <c r="BE119" s="193">
        <f>BE118/BE74</f>
        <v>0.2519607026599609</v>
      </c>
      <c r="BG119" s="192"/>
      <c r="BH119" s="193">
        <f>BH118/BH74</f>
        <v>0.21438105331608209</v>
      </c>
      <c r="BI119" s="192"/>
      <c r="BJ119" s="193">
        <f t="shared" ref="BJ119" si="178">BJ118/BJ74</f>
        <v>0.21438105331608209</v>
      </c>
      <c r="BK119" s="192"/>
      <c r="BL119" s="193">
        <f t="shared" ref="BL119" si="179">BL118/BL74</f>
        <v>0.21438105331608209</v>
      </c>
      <c r="BN119" s="192"/>
      <c r="BO119" s="193">
        <f>BO118/BO74</f>
        <v>0.33254493468119573</v>
      </c>
      <c r="BQ119" s="192"/>
      <c r="BR119" s="193">
        <f>BR118/BR74</f>
        <v>0.31871209790209781</v>
      </c>
      <c r="BS119" s="192"/>
      <c r="BT119" s="193">
        <f>BT118/BT74</f>
        <v>0.32185886946386949</v>
      </c>
      <c r="BU119" s="192"/>
      <c r="BV119" s="193">
        <f>BV118/BV74</f>
        <v>0.34903041958041958</v>
      </c>
    </row>
    <row r="120" spans="1:74" s="4" customFormat="1" ht="18" hidden="1" customHeight="1" x14ac:dyDescent="0.45">
      <c r="A120" s="561"/>
      <c r="B120" s="1187"/>
      <c r="C120" s="170"/>
      <c r="D120" s="162"/>
      <c r="E120" s="197"/>
      <c r="F120" s="173"/>
      <c r="G120" s="165"/>
      <c r="H120" s="173"/>
      <c r="I120" s="165"/>
      <c r="J120" s="173"/>
      <c r="K120" s="165"/>
      <c r="L120" s="173"/>
      <c r="M120" s="165"/>
      <c r="N120" s="173"/>
      <c r="O120" s="165"/>
      <c r="P120" s="173"/>
      <c r="Q120" s="165"/>
      <c r="R120" s="173"/>
      <c r="S120" s="165"/>
      <c r="T120" s="173"/>
      <c r="U120" s="165"/>
      <c r="V120" s="173"/>
      <c r="W120" s="165"/>
      <c r="X120" s="173"/>
      <c r="Y120" s="165"/>
      <c r="Z120" s="173"/>
      <c r="AA120" s="165"/>
      <c r="AB120" s="173"/>
      <c r="AC120" s="165"/>
      <c r="AD120" s="173"/>
      <c r="AE120" s="165"/>
      <c r="AF120" s="820"/>
      <c r="AG120" s="821"/>
      <c r="AH120" s="822"/>
      <c r="AJ120" s="173"/>
      <c r="AK120" s="165"/>
      <c r="AL120" s="173"/>
      <c r="AM120" s="165"/>
      <c r="AN120" s="173"/>
      <c r="AO120" s="165"/>
      <c r="AP120" s="820"/>
      <c r="AQ120" s="821"/>
      <c r="AR120" s="822"/>
      <c r="AT120" s="173"/>
      <c r="AU120" s="165"/>
      <c r="AV120" s="173"/>
      <c r="AW120" s="165"/>
      <c r="AX120" s="173"/>
      <c r="AY120" s="165"/>
      <c r="AZ120" s="820"/>
      <c r="BA120" s="821"/>
      <c r="BB120" s="821"/>
      <c r="BD120" s="173"/>
      <c r="BE120" s="165"/>
      <c r="BG120" s="173"/>
      <c r="BH120" s="165"/>
      <c r="BI120" s="173"/>
      <c r="BJ120" s="165"/>
      <c r="BK120" s="173"/>
      <c r="BL120" s="165"/>
      <c r="BN120" s="173"/>
      <c r="BO120" s="165"/>
      <c r="BQ120" s="173"/>
      <c r="BR120" s="165"/>
      <c r="BS120" s="173"/>
      <c r="BT120" s="165"/>
      <c r="BU120" s="173"/>
      <c r="BV120" s="165"/>
    </row>
    <row r="121" spans="1:74" s="65" customFormat="1" ht="18" hidden="1" customHeight="1" outlineLevel="1" thickTop="1" x14ac:dyDescent="0.45">
      <c r="A121" s="561"/>
      <c r="B121" s="199"/>
      <c r="C121" s="200" t="s">
        <v>110</v>
      </c>
      <c r="D121" s="201"/>
      <c r="E121" s="201"/>
      <c r="F121" s="202" t="s">
        <v>111</v>
      </c>
      <c r="G121" s="203">
        <f>G123/G86</f>
        <v>456.84693232131553</v>
      </c>
      <c r="H121" s="202" t="s">
        <v>111</v>
      </c>
      <c r="I121" s="203">
        <f>I123/I86</f>
        <v>456.84693232131553</v>
      </c>
      <c r="J121" s="202" t="s">
        <v>111</v>
      </c>
      <c r="K121" s="203">
        <f>K123/K86</f>
        <v>456.84693232131553</v>
      </c>
      <c r="L121" s="202" t="s">
        <v>111</v>
      </c>
      <c r="M121" s="203">
        <f>M123/M86</f>
        <v>456.84693232131553</v>
      </c>
      <c r="N121" s="202" t="s">
        <v>111</v>
      </c>
      <c r="O121" s="203">
        <f>O123/O86</f>
        <v>457.42253521126759</v>
      </c>
      <c r="P121" s="202" t="s">
        <v>111</v>
      </c>
      <c r="Q121" s="203">
        <f>Q123/Q86</f>
        <v>457.42253521126759</v>
      </c>
      <c r="R121" s="202" t="s">
        <v>111</v>
      </c>
      <c r="S121" s="203">
        <f>S123/S86</f>
        <v>457.42253521126759</v>
      </c>
      <c r="T121" s="202" t="s">
        <v>111</v>
      </c>
      <c r="U121" s="203">
        <f>U123/U86</f>
        <v>457.42253521126759</v>
      </c>
      <c r="V121" s="202" t="s">
        <v>111</v>
      </c>
      <c r="W121" s="203">
        <f>W123/W86</f>
        <v>457.42253521126759</v>
      </c>
      <c r="X121" s="202" t="s">
        <v>111</v>
      </c>
      <c r="Y121" s="203">
        <f>Y123/Y86</f>
        <v>457.42253521126759</v>
      </c>
      <c r="Z121" s="202" t="s">
        <v>111</v>
      </c>
      <c r="AA121" s="203">
        <f>AA123/AA86</f>
        <v>457.42253521126759</v>
      </c>
      <c r="AB121" s="202" t="s">
        <v>111</v>
      </c>
      <c r="AC121" s="203">
        <f>AC123/AC86</f>
        <v>457.42253521126759</v>
      </c>
      <c r="AD121" s="202" t="s">
        <v>111</v>
      </c>
      <c r="AE121" s="203">
        <f>AE123/AE86</f>
        <v>457.42253521126759</v>
      </c>
      <c r="AF121" s="831"/>
      <c r="AG121" s="832"/>
      <c r="AH121" s="833"/>
      <c r="AJ121" s="202" t="s">
        <v>111</v>
      </c>
      <c r="AK121" s="203">
        <f>AK123/AK86</f>
        <v>457.42253521126759</v>
      </c>
      <c r="AL121" s="202" t="s">
        <v>111</v>
      </c>
      <c r="AM121" s="203">
        <f>AM123/AM86</f>
        <v>457.42253521126759</v>
      </c>
      <c r="AN121" s="202" t="s">
        <v>111</v>
      </c>
      <c r="AO121" s="203">
        <f>AO123/AO86</f>
        <v>457.42253521126759</v>
      </c>
      <c r="AP121" s="831"/>
      <c r="AQ121" s="832"/>
      <c r="AR121" s="833"/>
      <c r="AT121" s="202" t="s">
        <v>111</v>
      </c>
      <c r="AU121" s="203">
        <f>AU123/AU86</f>
        <v>457.42253521126759</v>
      </c>
      <c r="AV121" s="202" t="s">
        <v>111</v>
      </c>
      <c r="AW121" s="203">
        <f>AW123/AW86</f>
        <v>457.42253521126759</v>
      </c>
      <c r="AX121" s="202" t="s">
        <v>111</v>
      </c>
      <c r="AY121" s="203">
        <f>AY123/AY86</f>
        <v>457.42253521126759</v>
      </c>
      <c r="AZ121" s="831"/>
      <c r="BA121" s="832"/>
      <c r="BB121" s="832"/>
      <c r="BC121" s="283"/>
      <c r="BD121" s="202" t="s">
        <v>111</v>
      </c>
      <c r="BE121" s="203">
        <f>BE123/BE86</f>
        <v>457.42253521126759</v>
      </c>
      <c r="BF121" s="283"/>
      <c r="BG121" s="202" t="s">
        <v>111</v>
      </c>
      <c r="BH121" s="203">
        <f>BH123/BH86</f>
        <v>457.42253521126759</v>
      </c>
      <c r="BI121" s="202" t="s">
        <v>111</v>
      </c>
      <c r="BJ121" s="203">
        <f t="shared" ref="BJ121" si="180">BJ123/BJ86</f>
        <v>457.42253521126759</v>
      </c>
      <c r="BK121" s="202" t="s">
        <v>111</v>
      </c>
      <c r="BL121" s="203">
        <f t="shared" ref="BL121" si="181">BL123/BL86</f>
        <v>457.42253521126759</v>
      </c>
      <c r="BM121" s="283"/>
      <c r="BN121" s="202" t="s">
        <v>111</v>
      </c>
      <c r="BO121" s="203">
        <f>BO123/BO86</f>
        <v>457.42253521126759</v>
      </c>
      <c r="BQ121" s="202" t="s">
        <v>111</v>
      </c>
      <c r="BR121" s="203">
        <f>BR123/BR86</f>
        <v>456.11888111888112</v>
      </c>
      <c r="BS121" s="202" t="s">
        <v>111</v>
      </c>
      <c r="BT121" s="203">
        <f>BT123/BT86</f>
        <v>456.11888111888112</v>
      </c>
      <c r="BU121" s="202" t="s">
        <v>111</v>
      </c>
      <c r="BV121" s="203">
        <f>BV123/BV86</f>
        <v>456.11888111888112</v>
      </c>
    </row>
    <row r="122" spans="1:74" s="65" customFormat="1" ht="18" hidden="1" customHeight="1" outlineLevel="1" x14ac:dyDescent="0.45">
      <c r="A122" s="561"/>
      <c r="B122" s="199"/>
      <c r="C122" s="200" t="s">
        <v>112</v>
      </c>
      <c r="D122" s="201"/>
      <c r="E122" s="201"/>
      <c r="F122" s="202" t="s">
        <v>111</v>
      </c>
      <c r="G122" s="203">
        <f>G121/G73</f>
        <v>0.11798732756232323</v>
      </c>
      <c r="H122" s="202" t="s">
        <v>111</v>
      </c>
      <c r="I122" s="203">
        <f>I121/I73</f>
        <v>0.11798732756232323</v>
      </c>
      <c r="J122" s="202" t="s">
        <v>111</v>
      </c>
      <c r="K122" s="203">
        <f>K121/K73</f>
        <v>0.11798732756232323</v>
      </c>
      <c r="L122" s="202" t="s">
        <v>111</v>
      </c>
      <c r="M122" s="203">
        <f>M121/M73</f>
        <v>0.11798732756232323</v>
      </c>
      <c r="N122" s="202" t="s">
        <v>111</v>
      </c>
      <c r="O122" s="203">
        <f>O121/O73</f>
        <v>0.11813598533348853</v>
      </c>
      <c r="P122" s="202" t="s">
        <v>111</v>
      </c>
      <c r="Q122" s="203">
        <f>Q121/Q73</f>
        <v>0.11813598533348853</v>
      </c>
      <c r="R122" s="202" t="s">
        <v>111</v>
      </c>
      <c r="S122" s="203">
        <f>S121/S73</f>
        <v>0.11813598533348853</v>
      </c>
      <c r="T122" s="202" t="s">
        <v>111</v>
      </c>
      <c r="U122" s="203">
        <f>U121/U73</f>
        <v>0.11813598533348853</v>
      </c>
      <c r="V122" s="202" t="s">
        <v>111</v>
      </c>
      <c r="W122" s="203">
        <f>W121/W73</f>
        <v>0.11813598533348853</v>
      </c>
      <c r="X122" s="202" t="s">
        <v>111</v>
      </c>
      <c r="Y122" s="203">
        <f>Y121/Y73</f>
        <v>0.11813598533348853</v>
      </c>
      <c r="Z122" s="202" t="s">
        <v>111</v>
      </c>
      <c r="AA122" s="203">
        <f>AA121/AA73</f>
        <v>0.11813598533348853</v>
      </c>
      <c r="AB122" s="202" t="s">
        <v>111</v>
      </c>
      <c r="AC122" s="203">
        <f>AC121/AC73</f>
        <v>0.11813598533348853</v>
      </c>
      <c r="AD122" s="202" t="s">
        <v>111</v>
      </c>
      <c r="AE122" s="203">
        <f>AE121/AE73</f>
        <v>0.11813598533348853</v>
      </c>
      <c r="AF122" s="831"/>
      <c r="AG122" s="832"/>
      <c r="AH122" s="833"/>
      <c r="AJ122" s="202" t="s">
        <v>111</v>
      </c>
      <c r="AK122" s="203">
        <f>AK121/AK73</f>
        <v>0.11813598533348853</v>
      </c>
      <c r="AL122" s="202" t="s">
        <v>111</v>
      </c>
      <c r="AM122" s="203">
        <f>AM121/AM73</f>
        <v>0.11813598533348853</v>
      </c>
      <c r="AN122" s="202" t="s">
        <v>111</v>
      </c>
      <c r="AO122" s="203">
        <f>AO121/AO73</f>
        <v>0.11813598533348853</v>
      </c>
      <c r="AP122" s="831"/>
      <c r="AQ122" s="832"/>
      <c r="AR122" s="833"/>
      <c r="AT122" s="202" t="s">
        <v>111</v>
      </c>
      <c r="AU122" s="203">
        <f>AU121/AU73</f>
        <v>0.11813598533348853</v>
      </c>
      <c r="AV122" s="202" t="s">
        <v>111</v>
      </c>
      <c r="AW122" s="203">
        <f>AW121/AW73</f>
        <v>0.11813598533348853</v>
      </c>
      <c r="AX122" s="202" t="s">
        <v>111</v>
      </c>
      <c r="AY122" s="203">
        <f>AY121/AY73</f>
        <v>0.11813598533348853</v>
      </c>
      <c r="AZ122" s="831"/>
      <c r="BA122" s="832"/>
      <c r="BB122" s="832"/>
      <c r="BC122" s="283"/>
      <c r="BD122" s="202" t="s">
        <v>111</v>
      </c>
      <c r="BE122" s="203">
        <f>BE121/BE73</f>
        <v>0.11813598533348853</v>
      </c>
      <c r="BF122" s="283"/>
      <c r="BG122" s="202" t="s">
        <v>111</v>
      </c>
      <c r="BH122" s="203">
        <f>BH121/BH73</f>
        <v>0.11813598533348853</v>
      </c>
      <c r="BI122" s="202" t="s">
        <v>111</v>
      </c>
      <c r="BJ122" s="203">
        <f t="shared" ref="BJ122" si="182">BJ121/BJ73</f>
        <v>0.11813598533348853</v>
      </c>
      <c r="BK122" s="202" t="s">
        <v>111</v>
      </c>
      <c r="BL122" s="203">
        <f t="shared" ref="BL122" si="183">BL121/BL73</f>
        <v>0.11813598533348853</v>
      </c>
      <c r="BM122" s="283"/>
      <c r="BN122" s="202" t="s">
        <v>111</v>
      </c>
      <c r="BO122" s="203">
        <f>BO121/BO73</f>
        <v>0.11813598533348853</v>
      </c>
      <c r="BQ122" s="202" t="s">
        <v>111</v>
      </c>
      <c r="BR122" s="203">
        <f>BR121/BR73</f>
        <v>0.11402972027972028</v>
      </c>
      <c r="BS122" s="202" t="s">
        <v>111</v>
      </c>
      <c r="BT122" s="203">
        <f>BT121/BT73</f>
        <v>0.11402972027972028</v>
      </c>
      <c r="BU122" s="202" t="s">
        <v>111</v>
      </c>
      <c r="BV122" s="203">
        <f>BV121/BV73</f>
        <v>0.11402972027972028</v>
      </c>
    </row>
    <row r="123" spans="1:74" s="65" customFormat="1" ht="18" hidden="1" customHeight="1" outlineLevel="1" x14ac:dyDescent="0.45">
      <c r="A123" s="561"/>
      <c r="B123" s="199"/>
      <c r="C123" s="200" t="s">
        <v>113</v>
      </c>
      <c r="D123" s="201"/>
      <c r="E123" s="201"/>
      <c r="F123" s="202" t="s">
        <v>114</v>
      </c>
      <c r="G123" s="204">
        <f>G124*G73</f>
        <v>6500474.9999999991</v>
      </c>
      <c r="H123" s="202" t="s">
        <v>114</v>
      </c>
      <c r="I123" s="204">
        <f>I124*I73</f>
        <v>6500474.9999999991</v>
      </c>
      <c r="J123" s="202" t="s">
        <v>114</v>
      </c>
      <c r="K123" s="204">
        <f>K124*K73</f>
        <v>6500474.9999999991</v>
      </c>
      <c r="L123" s="202" t="s">
        <v>114</v>
      </c>
      <c r="M123" s="204">
        <f>M124*M73</f>
        <v>6500474.9999999991</v>
      </c>
      <c r="N123" s="202" t="s">
        <v>114</v>
      </c>
      <c r="O123" s="204">
        <f>O124*O73</f>
        <v>6495400</v>
      </c>
      <c r="P123" s="202" t="s">
        <v>114</v>
      </c>
      <c r="Q123" s="204">
        <f>Q124*Q73</f>
        <v>6495400</v>
      </c>
      <c r="R123" s="202" t="s">
        <v>114</v>
      </c>
      <c r="S123" s="204">
        <f>S124*S73</f>
        <v>6495400</v>
      </c>
      <c r="T123" s="202" t="s">
        <v>114</v>
      </c>
      <c r="U123" s="204">
        <f>U124*U73</f>
        <v>6495400</v>
      </c>
      <c r="V123" s="202" t="s">
        <v>114</v>
      </c>
      <c r="W123" s="204">
        <f>W124*W73</f>
        <v>6495400</v>
      </c>
      <c r="X123" s="202" t="s">
        <v>114</v>
      </c>
      <c r="Y123" s="204">
        <f>Y124*Y73</f>
        <v>6495400</v>
      </c>
      <c r="Z123" s="202" t="s">
        <v>114</v>
      </c>
      <c r="AA123" s="204">
        <f>AA124*AA73</f>
        <v>6495400</v>
      </c>
      <c r="AB123" s="202" t="s">
        <v>114</v>
      </c>
      <c r="AC123" s="204">
        <f>AC124*AC73</f>
        <v>6495400</v>
      </c>
      <c r="AD123" s="202" t="s">
        <v>114</v>
      </c>
      <c r="AE123" s="204">
        <f>AE124*AE73</f>
        <v>6495400</v>
      </c>
      <c r="AF123" s="831"/>
      <c r="AG123" s="832"/>
      <c r="AH123" s="833"/>
      <c r="AJ123" s="202" t="s">
        <v>114</v>
      </c>
      <c r="AK123" s="204">
        <f>AK124*AK73</f>
        <v>6495400</v>
      </c>
      <c r="AL123" s="202" t="s">
        <v>114</v>
      </c>
      <c r="AM123" s="204">
        <f>AM124*AM73</f>
        <v>6495400</v>
      </c>
      <c r="AN123" s="202" t="s">
        <v>114</v>
      </c>
      <c r="AO123" s="204">
        <f>AO124*AO73</f>
        <v>6495400</v>
      </c>
      <c r="AP123" s="831"/>
      <c r="AQ123" s="832"/>
      <c r="AR123" s="833"/>
      <c r="AT123" s="202" t="s">
        <v>114</v>
      </c>
      <c r="AU123" s="204">
        <f>AU124*AU73</f>
        <v>6495400</v>
      </c>
      <c r="AV123" s="202" t="s">
        <v>114</v>
      </c>
      <c r="AW123" s="204">
        <f>AW124*AW73</f>
        <v>6495400</v>
      </c>
      <c r="AX123" s="202" t="s">
        <v>114</v>
      </c>
      <c r="AY123" s="204">
        <f>AY124*AY73</f>
        <v>6495400</v>
      </c>
      <c r="AZ123" s="831"/>
      <c r="BA123" s="832"/>
      <c r="BB123" s="832"/>
      <c r="BC123" s="283"/>
      <c r="BD123" s="202" t="s">
        <v>114</v>
      </c>
      <c r="BE123" s="204">
        <f>BE124*BE73</f>
        <v>6495400</v>
      </c>
      <c r="BF123" s="283"/>
      <c r="BG123" s="202" t="s">
        <v>114</v>
      </c>
      <c r="BH123" s="204">
        <f>BH124*BH73</f>
        <v>6495400</v>
      </c>
      <c r="BI123" s="202" t="s">
        <v>114</v>
      </c>
      <c r="BJ123" s="204">
        <f t="shared" ref="BJ123" si="184">BJ124*BJ73</f>
        <v>6495400</v>
      </c>
      <c r="BK123" s="202" t="s">
        <v>114</v>
      </c>
      <c r="BL123" s="204">
        <f t="shared" ref="BL123" si="185">BL124*BL73</f>
        <v>6495400</v>
      </c>
      <c r="BM123" s="283"/>
      <c r="BN123" s="202" t="s">
        <v>114</v>
      </c>
      <c r="BO123" s="204">
        <f>BO124*BO73</f>
        <v>6495400</v>
      </c>
      <c r="BQ123" s="202" t="s">
        <v>114</v>
      </c>
      <c r="BR123" s="204">
        <f>BR124*BR73</f>
        <v>6522500</v>
      </c>
      <c r="BS123" s="202" t="s">
        <v>114</v>
      </c>
      <c r="BT123" s="204">
        <f>BT124*BT73</f>
        <v>6522500</v>
      </c>
      <c r="BU123" s="202" t="s">
        <v>114</v>
      </c>
      <c r="BV123" s="204">
        <f>BV124*BV73</f>
        <v>6522500</v>
      </c>
    </row>
    <row r="124" spans="1:74" s="65" customFormat="1" ht="18" hidden="1" customHeight="1" outlineLevel="1" x14ac:dyDescent="0.45">
      <c r="A124" s="561"/>
      <c r="B124" s="199"/>
      <c r="C124" s="200" t="s">
        <v>115</v>
      </c>
      <c r="D124" s="201"/>
      <c r="E124" s="201"/>
      <c r="F124" s="202" t="s">
        <v>114</v>
      </c>
      <c r="G124" s="204">
        <f>SUM(G125:G130)</f>
        <v>1678.8416838842973</v>
      </c>
      <c r="H124" s="202" t="s">
        <v>114</v>
      </c>
      <c r="I124" s="204">
        <f>SUM(I125:I130)</f>
        <v>1678.8416838842973</v>
      </c>
      <c r="J124" s="202" t="s">
        <v>114</v>
      </c>
      <c r="K124" s="204">
        <f>SUM(K125:K130)</f>
        <v>1678.8416838842973</v>
      </c>
      <c r="L124" s="202" t="s">
        <v>114</v>
      </c>
      <c r="M124" s="204">
        <f>SUM(M125:M130)</f>
        <v>1678.8416838842973</v>
      </c>
      <c r="N124" s="202" t="s">
        <v>114</v>
      </c>
      <c r="O124" s="204">
        <f>SUM(O125:O130)</f>
        <v>1677.5309917355371</v>
      </c>
      <c r="P124" s="202" t="s">
        <v>114</v>
      </c>
      <c r="Q124" s="204">
        <f>SUM(Q125:Q130)</f>
        <v>1677.5309917355371</v>
      </c>
      <c r="R124" s="202" t="s">
        <v>114</v>
      </c>
      <c r="S124" s="204">
        <f>SUM(S125:S130)</f>
        <v>1677.5309917355371</v>
      </c>
      <c r="T124" s="202" t="s">
        <v>114</v>
      </c>
      <c r="U124" s="204">
        <f>SUM(U125:U130)</f>
        <v>1677.5309917355371</v>
      </c>
      <c r="V124" s="202" t="s">
        <v>114</v>
      </c>
      <c r="W124" s="204">
        <f>SUM(W125:W130)</f>
        <v>1677.5309917355371</v>
      </c>
      <c r="X124" s="202" t="s">
        <v>114</v>
      </c>
      <c r="Y124" s="204">
        <f>SUM(Y125:Y130)</f>
        <v>1677.5309917355371</v>
      </c>
      <c r="Z124" s="202" t="s">
        <v>114</v>
      </c>
      <c r="AA124" s="204">
        <f>SUM(AA125:AA130)</f>
        <v>1677.5309917355371</v>
      </c>
      <c r="AB124" s="202" t="s">
        <v>114</v>
      </c>
      <c r="AC124" s="204">
        <f>SUM(AC125:AC130)</f>
        <v>1677.5309917355371</v>
      </c>
      <c r="AD124" s="202" t="s">
        <v>114</v>
      </c>
      <c r="AE124" s="204">
        <f>SUM(AE125:AE130)</f>
        <v>1677.5309917355371</v>
      </c>
      <c r="AF124" s="831"/>
      <c r="AG124" s="832"/>
      <c r="AH124" s="833"/>
      <c r="AJ124" s="202" t="s">
        <v>114</v>
      </c>
      <c r="AK124" s="204">
        <f>SUM(AK125:AK130)</f>
        <v>1677.5309917355371</v>
      </c>
      <c r="AL124" s="202" t="s">
        <v>114</v>
      </c>
      <c r="AM124" s="204">
        <f>SUM(AM125:AM130)</f>
        <v>1677.5309917355371</v>
      </c>
      <c r="AN124" s="202" t="s">
        <v>114</v>
      </c>
      <c r="AO124" s="204">
        <f>SUM(AO125:AO130)</f>
        <v>1677.5309917355371</v>
      </c>
      <c r="AP124" s="831"/>
      <c r="AQ124" s="832"/>
      <c r="AR124" s="833"/>
      <c r="AT124" s="202" t="s">
        <v>114</v>
      </c>
      <c r="AU124" s="204">
        <f>SUM(AU125:AU130)</f>
        <v>1677.5309917355371</v>
      </c>
      <c r="AV124" s="202" t="s">
        <v>114</v>
      </c>
      <c r="AW124" s="204">
        <f>SUM(AW125:AW130)</f>
        <v>1677.5309917355371</v>
      </c>
      <c r="AX124" s="202" t="s">
        <v>114</v>
      </c>
      <c r="AY124" s="204">
        <f>SUM(AY125:AY130)</f>
        <v>1677.5309917355371</v>
      </c>
      <c r="AZ124" s="831"/>
      <c r="BA124" s="832"/>
      <c r="BB124" s="832"/>
      <c r="BC124" s="283"/>
      <c r="BD124" s="202" t="s">
        <v>114</v>
      </c>
      <c r="BE124" s="204">
        <f>SUM(BE125:BE130)</f>
        <v>1677.5309917355371</v>
      </c>
      <c r="BF124" s="283"/>
      <c r="BG124" s="202" t="s">
        <v>114</v>
      </c>
      <c r="BH124" s="204">
        <f>SUM(BH125:BH130)</f>
        <v>1677.5309917355371</v>
      </c>
      <c r="BI124" s="202" t="s">
        <v>114</v>
      </c>
      <c r="BJ124" s="204">
        <f t="shared" ref="BJ124" si="186">SUM(BJ125:BJ130)</f>
        <v>1677.5309917355371</v>
      </c>
      <c r="BK124" s="202" t="s">
        <v>114</v>
      </c>
      <c r="BL124" s="204">
        <f t="shared" ref="BL124" si="187">SUM(BL125:BL130)</f>
        <v>1677.5309917355371</v>
      </c>
      <c r="BM124" s="283"/>
      <c r="BN124" s="202" t="s">
        <v>114</v>
      </c>
      <c r="BO124" s="204">
        <f>SUM(BO125:BO130)</f>
        <v>1677.5309917355371</v>
      </c>
      <c r="BQ124" s="202" t="s">
        <v>114</v>
      </c>
      <c r="BR124" s="204">
        <f>SUM(BR125:BR130)</f>
        <v>1630.625</v>
      </c>
      <c r="BS124" s="202" t="s">
        <v>114</v>
      </c>
      <c r="BT124" s="204">
        <f>SUM(BT125:BT130)</f>
        <v>1630.625</v>
      </c>
      <c r="BU124" s="202" t="s">
        <v>114</v>
      </c>
      <c r="BV124" s="204">
        <f>SUM(BV125:BV130)</f>
        <v>1630.625</v>
      </c>
    </row>
    <row r="125" spans="1:74" s="65" customFormat="1" ht="18" hidden="1" customHeight="1" outlineLevel="1" x14ac:dyDescent="0.45">
      <c r="A125" s="561"/>
      <c r="B125" s="199"/>
      <c r="C125" s="200" t="s">
        <v>116</v>
      </c>
      <c r="D125" s="201"/>
      <c r="E125" s="201"/>
      <c r="F125" s="202" t="s">
        <v>114</v>
      </c>
      <c r="G125" s="204">
        <v>75</v>
      </c>
      <c r="H125" s="202" t="s">
        <v>114</v>
      </c>
      <c r="I125" s="204">
        <v>75</v>
      </c>
      <c r="J125" s="202" t="s">
        <v>114</v>
      </c>
      <c r="K125" s="204">
        <v>75</v>
      </c>
      <c r="L125" s="202" t="s">
        <v>114</v>
      </c>
      <c r="M125" s="204">
        <v>75</v>
      </c>
      <c r="N125" s="202" t="s">
        <v>114</v>
      </c>
      <c r="O125" s="204">
        <v>75</v>
      </c>
      <c r="P125" s="202" t="s">
        <v>114</v>
      </c>
      <c r="Q125" s="204">
        <v>75</v>
      </c>
      <c r="R125" s="202" t="s">
        <v>114</v>
      </c>
      <c r="S125" s="204">
        <v>75</v>
      </c>
      <c r="T125" s="202" t="s">
        <v>114</v>
      </c>
      <c r="U125" s="204">
        <v>75</v>
      </c>
      <c r="V125" s="202" t="s">
        <v>114</v>
      </c>
      <c r="W125" s="204">
        <v>75</v>
      </c>
      <c r="X125" s="202" t="s">
        <v>114</v>
      </c>
      <c r="Y125" s="204">
        <v>75</v>
      </c>
      <c r="Z125" s="202" t="s">
        <v>114</v>
      </c>
      <c r="AA125" s="204">
        <v>75</v>
      </c>
      <c r="AB125" s="202" t="s">
        <v>114</v>
      </c>
      <c r="AC125" s="204">
        <v>75</v>
      </c>
      <c r="AD125" s="202" t="s">
        <v>114</v>
      </c>
      <c r="AE125" s="204">
        <v>75</v>
      </c>
      <c r="AF125" s="831"/>
      <c r="AG125" s="832"/>
      <c r="AH125" s="833"/>
      <c r="AJ125" s="202" t="s">
        <v>114</v>
      </c>
      <c r="AK125" s="204">
        <v>75</v>
      </c>
      <c r="AL125" s="202" t="s">
        <v>114</v>
      </c>
      <c r="AM125" s="204">
        <v>75</v>
      </c>
      <c r="AN125" s="202" t="s">
        <v>114</v>
      </c>
      <c r="AO125" s="204">
        <v>75</v>
      </c>
      <c r="AP125" s="831"/>
      <c r="AQ125" s="832"/>
      <c r="AR125" s="833"/>
      <c r="AT125" s="202" t="s">
        <v>114</v>
      </c>
      <c r="AU125" s="204">
        <v>75</v>
      </c>
      <c r="AV125" s="202" t="s">
        <v>114</v>
      </c>
      <c r="AW125" s="204">
        <v>75</v>
      </c>
      <c r="AX125" s="202" t="s">
        <v>114</v>
      </c>
      <c r="AY125" s="204">
        <v>75</v>
      </c>
      <c r="AZ125" s="831"/>
      <c r="BA125" s="832"/>
      <c r="BB125" s="832"/>
      <c r="BC125" s="283"/>
      <c r="BD125" s="202" t="s">
        <v>114</v>
      </c>
      <c r="BE125" s="204">
        <v>75</v>
      </c>
      <c r="BF125" s="283"/>
      <c r="BG125" s="202" t="s">
        <v>114</v>
      </c>
      <c r="BH125" s="204">
        <v>75</v>
      </c>
      <c r="BI125" s="202" t="s">
        <v>114</v>
      </c>
      <c r="BJ125" s="204">
        <v>75</v>
      </c>
      <c r="BK125" s="202" t="s">
        <v>114</v>
      </c>
      <c r="BL125" s="204">
        <v>75</v>
      </c>
      <c r="BM125" s="283"/>
      <c r="BN125" s="202" t="s">
        <v>114</v>
      </c>
      <c r="BO125" s="204">
        <v>75</v>
      </c>
      <c r="BQ125" s="202" t="s">
        <v>114</v>
      </c>
      <c r="BR125" s="204">
        <v>75</v>
      </c>
      <c r="BS125" s="202" t="s">
        <v>114</v>
      </c>
      <c r="BT125" s="204">
        <v>75</v>
      </c>
      <c r="BU125" s="202" t="s">
        <v>114</v>
      </c>
      <c r="BV125" s="204">
        <v>75</v>
      </c>
    </row>
    <row r="126" spans="1:74" s="65" customFormat="1" ht="18" hidden="1" customHeight="1" outlineLevel="1" x14ac:dyDescent="0.45">
      <c r="A126" s="561"/>
      <c r="B126" s="199"/>
      <c r="C126" s="200" t="s">
        <v>117</v>
      </c>
      <c r="D126" s="201"/>
      <c r="E126" s="201"/>
      <c r="F126" s="202" t="s">
        <v>114</v>
      </c>
      <c r="G126" s="204">
        <f>1940000/G73</f>
        <v>501.03305785123968</v>
      </c>
      <c r="H126" s="202" t="s">
        <v>114</v>
      </c>
      <c r="I126" s="204">
        <f>1940000/I73</f>
        <v>501.03305785123968</v>
      </c>
      <c r="J126" s="202" t="s">
        <v>114</v>
      </c>
      <c r="K126" s="204">
        <f>1940000/K73</f>
        <v>501.03305785123968</v>
      </c>
      <c r="L126" s="202" t="s">
        <v>114</v>
      </c>
      <c r="M126" s="204">
        <f>1940000/M73</f>
        <v>501.03305785123968</v>
      </c>
      <c r="N126" s="202" t="s">
        <v>114</v>
      </c>
      <c r="O126" s="204">
        <f>1940000/O73</f>
        <v>501.03305785123968</v>
      </c>
      <c r="P126" s="202" t="s">
        <v>114</v>
      </c>
      <c r="Q126" s="204">
        <f>1940000/Q73</f>
        <v>501.03305785123968</v>
      </c>
      <c r="R126" s="202" t="s">
        <v>114</v>
      </c>
      <c r="S126" s="204">
        <f>1940000/S73</f>
        <v>501.03305785123968</v>
      </c>
      <c r="T126" s="202" t="s">
        <v>114</v>
      </c>
      <c r="U126" s="204">
        <f>1940000/U73</f>
        <v>501.03305785123968</v>
      </c>
      <c r="V126" s="202" t="s">
        <v>114</v>
      </c>
      <c r="W126" s="204">
        <f>1940000/W73</f>
        <v>501.03305785123968</v>
      </c>
      <c r="X126" s="202" t="s">
        <v>114</v>
      </c>
      <c r="Y126" s="204">
        <f>1940000/Y73</f>
        <v>501.03305785123968</v>
      </c>
      <c r="Z126" s="202" t="s">
        <v>114</v>
      </c>
      <c r="AA126" s="204">
        <f>1940000/AA73</f>
        <v>501.03305785123968</v>
      </c>
      <c r="AB126" s="202" t="s">
        <v>114</v>
      </c>
      <c r="AC126" s="204">
        <f>1940000/AC73</f>
        <v>501.03305785123968</v>
      </c>
      <c r="AD126" s="202" t="s">
        <v>114</v>
      </c>
      <c r="AE126" s="204">
        <f>1940000/AE73</f>
        <v>501.03305785123968</v>
      </c>
      <c r="AF126" s="831"/>
      <c r="AG126" s="832"/>
      <c r="AH126" s="833"/>
      <c r="AJ126" s="202" t="s">
        <v>114</v>
      </c>
      <c r="AK126" s="204">
        <f>1940000/AK73</f>
        <v>501.03305785123968</v>
      </c>
      <c r="AL126" s="202" t="s">
        <v>114</v>
      </c>
      <c r="AM126" s="204">
        <f>1940000/AM73</f>
        <v>501.03305785123968</v>
      </c>
      <c r="AN126" s="202" t="s">
        <v>114</v>
      </c>
      <c r="AO126" s="204">
        <f>1940000/AO73</f>
        <v>501.03305785123968</v>
      </c>
      <c r="AP126" s="831"/>
      <c r="AQ126" s="832"/>
      <c r="AR126" s="833"/>
      <c r="AT126" s="202" t="s">
        <v>114</v>
      </c>
      <c r="AU126" s="204">
        <f>1940000/AU73</f>
        <v>501.03305785123968</v>
      </c>
      <c r="AV126" s="202" t="s">
        <v>114</v>
      </c>
      <c r="AW126" s="204">
        <f>1940000/AW73</f>
        <v>501.03305785123968</v>
      </c>
      <c r="AX126" s="202" t="s">
        <v>114</v>
      </c>
      <c r="AY126" s="204">
        <f>1940000/AY73</f>
        <v>501.03305785123968</v>
      </c>
      <c r="AZ126" s="831"/>
      <c r="BA126" s="832"/>
      <c r="BB126" s="832"/>
      <c r="BC126" s="283"/>
      <c r="BD126" s="202" t="s">
        <v>114</v>
      </c>
      <c r="BE126" s="204">
        <f>1940000/BE73</f>
        <v>501.03305785123968</v>
      </c>
      <c r="BF126" s="283"/>
      <c r="BG126" s="202" t="s">
        <v>114</v>
      </c>
      <c r="BH126" s="204">
        <f>1940000/BH73</f>
        <v>501.03305785123968</v>
      </c>
      <c r="BI126" s="202" t="s">
        <v>114</v>
      </c>
      <c r="BJ126" s="204">
        <f t="shared" ref="BJ126" si="188">1940000/BJ73</f>
        <v>501.03305785123968</v>
      </c>
      <c r="BK126" s="202" t="s">
        <v>114</v>
      </c>
      <c r="BL126" s="204">
        <f t="shared" ref="BL126" si="189">1940000/BL73</f>
        <v>501.03305785123968</v>
      </c>
      <c r="BM126" s="283"/>
      <c r="BN126" s="202" t="s">
        <v>114</v>
      </c>
      <c r="BO126" s="204">
        <f>1940000/BO73</f>
        <v>501.03305785123968</v>
      </c>
      <c r="BQ126" s="202" t="s">
        <v>114</v>
      </c>
      <c r="BR126" s="204">
        <f>1940000/BR73</f>
        <v>485</v>
      </c>
      <c r="BS126" s="202" t="s">
        <v>114</v>
      </c>
      <c r="BT126" s="204">
        <f>1940000/BT73</f>
        <v>485</v>
      </c>
      <c r="BU126" s="202" t="s">
        <v>114</v>
      </c>
      <c r="BV126" s="204">
        <f>1940000/BV73</f>
        <v>485</v>
      </c>
    </row>
    <row r="127" spans="1:74" s="65" customFormat="1" ht="18" hidden="1" customHeight="1" outlineLevel="1" x14ac:dyDescent="0.45">
      <c r="A127" s="561"/>
      <c r="B127" s="199"/>
      <c r="C127" s="200" t="s">
        <v>118</v>
      </c>
      <c r="D127" s="201"/>
      <c r="E127" s="201"/>
      <c r="F127" s="202" t="s">
        <v>114</v>
      </c>
      <c r="G127" s="204">
        <f>275000/G73</f>
        <v>71.022727272727266</v>
      </c>
      <c r="H127" s="202" t="s">
        <v>114</v>
      </c>
      <c r="I127" s="204">
        <f>275000/I73</f>
        <v>71.022727272727266</v>
      </c>
      <c r="J127" s="202" t="s">
        <v>114</v>
      </c>
      <c r="K127" s="204">
        <f>275000/K73</f>
        <v>71.022727272727266</v>
      </c>
      <c r="L127" s="202" t="s">
        <v>114</v>
      </c>
      <c r="M127" s="204">
        <f>275000/M73</f>
        <v>71.022727272727266</v>
      </c>
      <c r="N127" s="202" t="s">
        <v>114</v>
      </c>
      <c r="O127" s="204">
        <f>275000/O73</f>
        <v>71.022727272727266</v>
      </c>
      <c r="P127" s="202" t="s">
        <v>114</v>
      </c>
      <c r="Q127" s="204">
        <f>275000/Q73</f>
        <v>71.022727272727266</v>
      </c>
      <c r="R127" s="202" t="s">
        <v>114</v>
      </c>
      <c r="S127" s="204">
        <f>275000/S73</f>
        <v>71.022727272727266</v>
      </c>
      <c r="T127" s="202" t="s">
        <v>114</v>
      </c>
      <c r="U127" s="204">
        <f>275000/U73</f>
        <v>71.022727272727266</v>
      </c>
      <c r="V127" s="202" t="s">
        <v>114</v>
      </c>
      <c r="W127" s="204">
        <f>275000/W73</f>
        <v>71.022727272727266</v>
      </c>
      <c r="X127" s="202" t="s">
        <v>114</v>
      </c>
      <c r="Y127" s="204">
        <f>275000/Y73</f>
        <v>71.022727272727266</v>
      </c>
      <c r="Z127" s="202" t="s">
        <v>114</v>
      </c>
      <c r="AA127" s="204">
        <f>275000/AA73</f>
        <v>71.022727272727266</v>
      </c>
      <c r="AB127" s="202" t="s">
        <v>114</v>
      </c>
      <c r="AC127" s="204">
        <f>275000/AC73</f>
        <v>71.022727272727266</v>
      </c>
      <c r="AD127" s="202" t="s">
        <v>114</v>
      </c>
      <c r="AE127" s="204">
        <f>275000/AE73</f>
        <v>71.022727272727266</v>
      </c>
      <c r="AF127" s="831"/>
      <c r="AG127" s="832"/>
      <c r="AH127" s="833"/>
      <c r="AJ127" s="202" t="s">
        <v>114</v>
      </c>
      <c r="AK127" s="204">
        <f>275000/AK73</f>
        <v>71.022727272727266</v>
      </c>
      <c r="AL127" s="202" t="s">
        <v>114</v>
      </c>
      <c r="AM127" s="204">
        <f>275000/AM73</f>
        <v>71.022727272727266</v>
      </c>
      <c r="AN127" s="202" t="s">
        <v>114</v>
      </c>
      <c r="AO127" s="204">
        <f>275000/AO73</f>
        <v>71.022727272727266</v>
      </c>
      <c r="AP127" s="831"/>
      <c r="AQ127" s="832"/>
      <c r="AR127" s="833"/>
      <c r="AT127" s="202" t="s">
        <v>114</v>
      </c>
      <c r="AU127" s="204">
        <f>275000/AU73</f>
        <v>71.022727272727266</v>
      </c>
      <c r="AV127" s="202" t="s">
        <v>114</v>
      </c>
      <c r="AW127" s="204">
        <f>275000/AW73</f>
        <v>71.022727272727266</v>
      </c>
      <c r="AX127" s="202" t="s">
        <v>114</v>
      </c>
      <c r="AY127" s="204">
        <f>275000/AY73</f>
        <v>71.022727272727266</v>
      </c>
      <c r="AZ127" s="831"/>
      <c r="BA127" s="832"/>
      <c r="BB127" s="832"/>
      <c r="BC127" s="283"/>
      <c r="BD127" s="202" t="s">
        <v>114</v>
      </c>
      <c r="BE127" s="204">
        <f>275000/BE73</f>
        <v>71.022727272727266</v>
      </c>
      <c r="BF127" s="283"/>
      <c r="BG127" s="202" t="s">
        <v>114</v>
      </c>
      <c r="BH127" s="204">
        <f>275000/BH73</f>
        <v>71.022727272727266</v>
      </c>
      <c r="BI127" s="202" t="s">
        <v>114</v>
      </c>
      <c r="BJ127" s="204">
        <f t="shared" ref="BJ127" si="190">275000/BJ73</f>
        <v>71.022727272727266</v>
      </c>
      <c r="BK127" s="202" t="s">
        <v>114</v>
      </c>
      <c r="BL127" s="204">
        <f t="shared" ref="BL127" si="191">275000/BL73</f>
        <v>71.022727272727266</v>
      </c>
      <c r="BM127" s="283"/>
      <c r="BN127" s="202" t="s">
        <v>114</v>
      </c>
      <c r="BO127" s="204">
        <f>275000/BO73</f>
        <v>71.022727272727266</v>
      </c>
      <c r="BQ127" s="202" t="s">
        <v>114</v>
      </c>
      <c r="BR127" s="204">
        <f>275000/BR73</f>
        <v>68.75</v>
      </c>
      <c r="BS127" s="202" t="s">
        <v>114</v>
      </c>
      <c r="BT127" s="204">
        <f>275000/BT73</f>
        <v>68.75</v>
      </c>
      <c r="BU127" s="202" t="s">
        <v>114</v>
      </c>
      <c r="BV127" s="204">
        <f>275000/BV73</f>
        <v>68.75</v>
      </c>
    </row>
    <row r="128" spans="1:74" s="65" customFormat="1" ht="18" hidden="1" customHeight="1" outlineLevel="1" x14ac:dyDescent="0.45">
      <c r="A128" s="561"/>
      <c r="B128" s="199"/>
      <c r="C128" s="200" t="s">
        <v>119</v>
      </c>
      <c r="D128" s="201"/>
      <c r="E128" s="201"/>
      <c r="F128" s="202" t="s">
        <v>114</v>
      </c>
      <c r="G128" s="204">
        <f>1280000/G73</f>
        <v>330.57851239669424</v>
      </c>
      <c r="H128" s="202" t="s">
        <v>114</v>
      </c>
      <c r="I128" s="204">
        <f>1280000/I73</f>
        <v>330.57851239669424</v>
      </c>
      <c r="J128" s="202" t="s">
        <v>114</v>
      </c>
      <c r="K128" s="204">
        <f>1280000/K73</f>
        <v>330.57851239669424</v>
      </c>
      <c r="L128" s="202" t="s">
        <v>114</v>
      </c>
      <c r="M128" s="204">
        <f>1280000/M73</f>
        <v>330.57851239669424</v>
      </c>
      <c r="N128" s="202" t="s">
        <v>114</v>
      </c>
      <c r="O128" s="204">
        <f>1280000/O73</f>
        <v>330.57851239669424</v>
      </c>
      <c r="P128" s="202" t="s">
        <v>114</v>
      </c>
      <c r="Q128" s="204">
        <f>1280000/Q73</f>
        <v>330.57851239669424</v>
      </c>
      <c r="R128" s="202" t="s">
        <v>114</v>
      </c>
      <c r="S128" s="204">
        <f>1280000/S73</f>
        <v>330.57851239669424</v>
      </c>
      <c r="T128" s="202" t="s">
        <v>114</v>
      </c>
      <c r="U128" s="204">
        <f>1280000/U73</f>
        <v>330.57851239669424</v>
      </c>
      <c r="V128" s="202" t="s">
        <v>114</v>
      </c>
      <c r="W128" s="204">
        <f>1280000/W73</f>
        <v>330.57851239669424</v>
      </c>
      <c r="X128" s="202" t="s">
        <v>114</v>
      </c>
      <c r="Y128" s="204">
        <f>1280000/Y73</f>
        <v>330.57851239669424</v>
      </c>
      <c r="Z128" s="202" t="s">
        <v>114</v>
      </c>
      <c r="AA128" s="204">
        <f>1280000/AA73</f>
        <v>330.57851239669424</v>
      </c>
      <c r="AB128" s="202" t="s">
        <v>114</v>
      </c>
      <c r="AC128" s="204">
        <f>1280000/AC73</f>
        <v>330.57851239669424</v>
      </c>
      <c r="AD128" s="202" t="s">
        <v>114</v>
      </c>
      <c r="AE128" s="204">
        <f>1280000/AE73</f>
        <v>330.57851239669424</v>
      </c>
      <c r="AF128" s="831"/>
      <c r="AG128" s="832"/>
      <c r="AH128" s="833"/>
      <c r="AJ128" s="202" t="s">
        <v>114</v>
      </c>
      <c r="AK128" s="204">
        <f>1280000/AK73</f>
        <v>330.57851239669424</v>
      </c>
      <c r="AL128" s="202" t="s">
        <v>114</v>
      </c>
      <c r="AM128" s="204">
        <f>1280000/AM73</f>
        <v>330.57851239669424</v>
      </c>
      <c r="AN128" s="202" t="s">
        <v>114</v>
      </c>
      <c r="AO128" s="204">
        <f>1280000/AO73</f>
        <v>330.57851239669424</v>
      </c>
      <c r="AP128" s="831"/>
      <c r="AQ128" s="832"/>
      <c r="AR128" s="833"/>
      <c r="AT128" s="202" t="s">
        <v>114</v>
      </c>
      <c r="AU128" s="204">
        <f>1280000/AU73</f>
        <v>330.57851239669424</v>
      </c>
      <c r="AV128" s="202" t="s">
        <v>114</v>
      </c>
      <c r="AW128" s="204">
        <f>1280000/AW73</f>
        <v>330.57851239669424</v>
      </c>
      <c r="AX128" s="202" t="s">
        <v>114</v>
      </c>
      <c r="AY128" s="204">
        <f>1280000/AY73</f>
        <v>330.57851239669424</v>
      </c>
      <c r="AZ128" s="831"/>
      <c r="BA128" s="832"/>
      <c r="BB128" s="832"/>
      <c r="BC128" s="283"/>
      <c r="BD128" s="202" t="s">
        <v>114</v>
      </c>
      <c r="BE128" s="204">
        <f>1280000/BE73</f>
        <v>330.57851239669424</v>
      </c>
      <c r="BF128" s="283"/>
      <c r="BG128" s="202" t="s">
        <v>114</v>
      </c>
      <c r="BH128" s="204">
        <f>1280000/BH73</f>
        <v>330.57851239669424</v>
      </c>
      <c r="BI128" s="202" t="s">
        <v>114</v>
      </c>
      <c r="BJ128" s="204">
        <f t="shared" ref="BJ128" si="192">1280000/BJ73</f>
        <v>330.57851239669424</v>
      </c>
      <c r="BK128" s="202" t="s">
        <v>114</v>
      </c>
      <c r="BL128" s="204">
        <f t="shared" ref="BL128" si="193">1280000/BL73</f>
        <v>330.57851239669424</v>
      </c>
      <c r="BM128" s="283"/>
      <c r="BN128" s="202" t="s">
        <v>114</v>
      </c>
      <c r="BO128" s="204">
        <f>1280000/BO73</f>
        <v>330.57851239669424</v>
      </c>
      <c r="BQ128" s="202" t="s">
        <v>114</v>
      </c>
      <c r="BR128" s="204">
        <f>1280000/BR73</f>
        <v>320</v>
      </c>
      <c r="BS128" s="202" t="s">
        <v>114</v>
      </c>
      <c r="BT128" s="204">
        <f>1280000/BT73</f>
        <v>320</v>
      </c>
      <c r="BU128" s="202" t="s">
        <v>114</v>
      </c>
      <c r="BV128" s="204">
        <f>1280000/BV73</f>
        <v>320</v>
      </c>
    </row>
    <row r="129" spans="1:74" s="65" customFormat="1" ht="18" hidden="1" customHeight="1" outlineLevel="1" x14ac:dyDescent="0.45">
      <c r="A129" s="561"/>
      <c r="B129" s="199"/>
      <c r="C129" s="200" t="s">
        <v>120</v>
      </c>
      <c r="D129" s="201"/>
      <c r="E129" s="201"/>
      <c r="F129" s="202" t="s">
        <v>114</v>
      </c>
      <c r="G129" s="204">
        <f>225000/G73</f>
        <v>58.109504132231407</v>
      </c>
      <c r="H129" s="202" t="s">
        <v>114</v>
      </c>
      <c r="I129" s="204">
        <f>225000/I73</f>
        <v>58.109504132231407</v>
      </c>
      <c r="J129" s="202" t="s">
        <v>114</v>
      </c>
      <c r="K129" s="204">
        <f>225000/K73</f>
        <v>58.109504132231407</v>
      </c>
      <c r="L129" s="202" t="s">
        <v>114</v>
      </c>
      <c r="M129" s="204">
        <f>225000/M73</f>
        <v>58.109504132231407</v>
      </c>
      <c r="N129" s="202" t="s">
        <v>114</v>
      </c>
      <c r="O129" s="204">
        <f>225000/O73</f>
        <v>58.109504132231407</v>
      </c>
      <c r="P129" s="202" t="s">
        <v>114</v>
      </c>
      <c r="Q129" s="204">
        <f>225000/Q73</f>
        <v>58.109504132231407</v>
      </c>
      <c r="R129" s="202" t="s">
        <v>114</v>
      </c>
      <c r="S129" s="204">
        <f>225000/S73</f>
        <v>58.109504132231407</v>
      </c>
      <c r="T129" s="202" t="s">
        <v>114</v>
      </c>
      <c r="U129" s="204">
        <f>225000/U73</f>
        <v>58.109504132231407</v>
      </c>
      <c r="V129" s="202" t="s">
        <v>114</v>
      </c>
      <c r="W129" s="204">
        <f>225000/W73</f>
        <v>58.109504132231407</v>
      </c>
      <c r="X129" s="202" t="s">
        <v>114</v>
      </c>
      <c r="Y129" s="204">
        <f>225000/Y73</f>
        <v>58.109504132231407</v>
      </c>
      <c r="Z129" s="202" t="s">
        <v>114</v>
      </c>
      <c r="AA129" s="204">
        <f>225000/AA73</f>
        <v>58.109504132231407</v>
      </c>
      <c r="AB129" s="202" t="s">
        <v>114</v>
      </c>
      <c r="AC129" s="204">
        <f>225000/AC73</f>
        <v>58.109504132231407</v>
      </c>
      <c r="AD129" s="202" t="s">
        <v>114</v>
      </c>
      <c r="AE129" s="204">
        <f>225000/AE73</f>
        <v>58.109504132231407</v>
      </c>
      <c r="AF129" s="831"/>
      <c r="AG129" s="832"/>
      <c r="AH129" s="833"/>
      <c r="AJ129" s="202" t="s">
        <v>114</v>
      </c>
      <c r="AK129" s="204">
        <f>225000/AK73</f>
        <v>58.109504132231407</v>
      </c>
      <c r="AL129" s="202" t="s">
        <v>114</v>
      </c>
      <c r="AM129" s="204">
        <f>225000/AM73</f>
        <v>58.109504132231407</v>
      </c>
      <c r="AN129" s="202" t="s">
        <v>114</v>
      </c>
      <c r="AO129" s="204">
        <f>225000/AO73</f>
        <v>58.109504132231407</v>
      </c>
      <c r="AP129" s="831"/>
      <c r="AQ129" s="832"/>
      <c r="AR129" s="833"/>
      <c r="AT129" s="202" t="s">
        <v>114</v>
      </c>
      <c r="AU129" s="204">
        <f>225000/AU73</f>
        <v>58.109504132231407</v>
      </c>
      <c r="AV129" s="202" t="s">
        <v>114</v>
      </c>
      <c r="AW129" s="204">
        <f>225000/AW73</f>
        <v>58.109504132231407</v>
      </c>
      <c r="AX129" s="202" t="s">
        <v>114</v>
      </c>
      <c r="AY129" s="204">
        <f>225000/AY73</f>
        <v>58.109504132231407</v>
      </c>
      <c r="AZ129" s="831"/>
      <c r="BA129" s="832"/>
      <c r="BB129" s="832"/>
      <c r="BC129" s="283"/>
      <c r="BD129" s="202" t="s">
        <v>114</v>
      </c>
      <c r="BE129" s="204">
        <f>225000/BE73</f>
        <v>58.109504132231407</v>
      </c>
      <c r="BF129" s="283"/>
      <c r="BG129" s="202" t="s">
        <v>114</v>
      </c>
      <c r="BH129" s="204">
        <f>225000/BH73</f>
        <v>58.109504132231407</v>
      </c>
      <c r="BI129" s="202" t="s">
        <v>114</v>
      </c>
      <c r="BJ129" s="204">
        <f t="shared" ref="BJ129" si="194">225000/BJ73</f>
        <v>58.109504132231407</v>
      </c>
      <c r="BK129" s="202" t="s">
        <v>114</v>
      </c>
      <c r="BL129" s="204">
        <f t="shared" ref="BL129" si="195">225000/BL73</f>
        <v>58.109504132231407</v>
      </c>
      <c r="BM129" s="283"/>
      <c r="BN129" s="202" t="s">
        <v>114</v>
      </c>
      <c r="BO129" s="204">
        <f>225000/BO73</f>
        <v>58.109504132231407</v>
      </c>
      <c r="BQ129" s="202" t="s">
        <v>114</v>
      </c>
      <c r="BR129" s="204">
        <f>225000/BR73</f>
        <v>56.25</v>
      </c>
      <c r="BS129" s="202" t="s">
        <v>114</v>
      </c>
      <c r="BT129" s="204">
        <f>225000/BT73</f>
        <v>56.25</v>
      </c>
      <c r="BU129" s="202" t="s">
        <v>114</v>
      </c>
      <c r="BV129" s="204">
        <f>225000/BV73</f>
        <v>56.25</v>
      </c>
    </row>
    <row r="130" spans="1:74" s="4" customFormat="1" ht="18" hidden="1" customHeight="1" outlineLevel="1" thickBot="1" x14ac:dyDescent="0.5">
      <c r="A130" s="561"/>
      <c r="B130" s="205"/>
      <c r="C130" s="206" t="s">
        <v>121</v>
      </c>
      <c r="D130" s="207"/>
      <c r="E130" s="207"/>
      <c r="F130" s="208" t="s">
        <v>114</v>
      </c>
      <c r="G130" s="209">
        <f>(175*G86)/G73</f>
        <v>643.09788223140492</v>
      </c>
      <c r="H130" s="208" t="s">
        <v>114</v>
      </c>
      <c r="I130" s="209">
        <f>(175*I86)/I73</f>
        <v>643.09788223140492</v>
      </c>
      <c r="J130" s="208" t="s">
        <v>114</v>
      </c>
      <c r="K130" s="209">
        <f>(175*K86)/K73</f>
        <v>643.09788223140492</v>
      </c>
      <c r="L130" s="208" t="s">
        <v>114</v>
      </c>
      <c r="M130" s="209">
        <f>(175*M86)/M73</f>
        <v>643.09788223140492</v>
      </c>
      <c r="N130" s="208" t="s">
        <v>114</v>
      </c>
      <c r="O130" s="209">
        <f>(175*O86)/O73</f>
        <v>641.78719008264466</v>
      </c>
      <c r="P130" s="208" t="s">
        <v>114</v>
      </c>
      <c r="Q130" s="209">
        <f>(175*Q86)/Q73</f>
        <v>641.78719008264466</v>
      </c>
      <c r="R130" s="208" t="s">
        <v>114</v>
      </c>
      <c r="S130" s="209">
        <f>(175*S86)/S73</f>
        <v>641.78719008264466</v>
      </c>
      <c r="T130" s="208" t="s">
        <v>114</v>
      </c>
      <c r="U130" s="209">
        <f>(175*U86)/U73</f>
        <v>641.78719008264466</v>
      </c>
      <c r="V130" s="208" t="s">
        <v>114</v>
      </c>
      <c r="W130" s="209">
        <f>(175*W86)/W73</f>
        <v>641.78719008264466</v>
      </c>
      <c r="X130" s="208" t="s">
        <v>114</v>
      </c>
      <c r="Y130" s="209">
        <f>(175*Y86)/Y73</f>
        <v>641.78719008264466</v>
      </c>
      <c r="Z130" s="208" t="s">
        <v>114</v>
      </c>
      <c r="AA130" s="209">
        <f>(175*AA86)/AA73</f>
        <v>641.78719008264466</v>
      </c>
      <c r="AB130" s="208" t="s">
        <v>114</v>
      </c>
      <c r="AC130" s="209">
        <f>(175*AC86)/AC73</f>
        <v>641.78719008264466</v>
      </c>
      <c r="AD130" s="208" t="s">
        <v>114</v>
      </c>
      <c r="AE130" s="209">
        <f>(175*AE86)/AE73</f>
        <v>641.78719008264466</v>
      </c>
      <c r="AF130" s="834"/>
      <c r="AG130" s="835"/>
      <c r="AH130" s="836"/>
      <c r="AJ130" s="208" t="s">
        <v>114</v>
      </c>
      <c r="AK130" s="209">
        <f>(175*AK86)/AK73</f>
        <v>641.78719008264466</v>
      </c>
      <c r="AL130" s="208" t="s">
        <v>114</v>
      </c>
      <c r="AM130" s="209">
        <f>(175*AM86)/AM73</f>
        <v>641.78719008264466</v>
      </c>
      <c r="AN130" s="208" t="s">
        <v>114</v>
      </c>
      <c r="AO130" s="209">
        <f>(175*AO86)/AO73</f>
        <v>641.78719008264466</v>
      </c>
      <c r="AP130" s="834"/>
      <c r="AQ130" s="835"/>
      <c r="AR130" s="836"/>
      <c r="AT130" s="208" t="s">
        <v>114</v>
      </c>
      <c r="AU130" s="209">
        <f>(175*AU86)/AU73</f>
        <v>641.78719008264466</v>
      </c>
      <c r="AV130" s="208" t="s">
        <v>114</v>
      </c>
      <c r="AW130" s="209">
        <f>(175*AW86)/AW73</f>
        <v>641.78719008264466</v>
      </c>
      <c r="AX130" s="208" t="s">
        <v>114</v>
      </c>
      <c r="AY130" s="209">
        <f>(175*AY86)/AY73</f>
        <v>641.78719008264466</v>
      </c>
      <c r="AZ130" s="834"/>
      <c r="BA130" s="835"/>
      <c r="BB130" s="855"/>
      <c r="BD130" s="208" t="s">
        <v>114</v>
      </c>
      <c r="BE130" s="209">
        <f>(175*BE86)/BE73</f>
        <v>641.78719008264466</v>
      </c>
      <c r="BG130" s="208" t="s">
        <v>114</v>
      </c>
      <c r="BH130" s="209">
        <f>(175*BH86)/BH73</f>
        <v>641.78719008264466</v>
      </c>
      <c r="BI130" s="208" t="s">
        <v>114</v>
      </c>
      <c r="BJ130" s="209">
        <f t="shared" ref="BJ130" si="196">(175*BJ86)/BJ73</f>
        <v>641.78719008264466</v>
      </c>
      <c r="BK130" s="208" t="s">
        <v>114</v>
      </c>
      <c r="BL130" s="209">
        <f t="shared" ref="BL130" si="197">(175*BL86)/BL73</f>
        <v>641.78719008264466</v>
      </c>
      <c r="BN130" s="208" t="s">
        <v>114</v>
      </c>
      <c r="BO130" s="209">
        <f>(175*BO86)/BO73</f>
        <v>641.78719008264466</v>
      </c>
      <c r="BQ130" s="208" t="s">
        <v>114</v>
      </c>
      <c r="BR130" s="209">
        <f>(175*BR86)/BR73</f>
        <v>625.625</v>
      </c>
      <c r="BS130" s="208" t="s">
        <v>114</v>
      </c>
      <c r="BT130" s="209">
        <f>(175*BT86)/BT73</f>
        <v>625.625</v>
      </c>
      <c r="BU130" s="208" t="s">
        <v>114</v>
      </c>
      <c r="BV130" s="209">
        <f>(175*BV86)/BV73</f>
        <v>625.625</v>
      </c>
    </row>
    <row r="131" spans="1:74" ht="15" customHeight="1" collapsed="1" thickTop="1" x14ac:dyDescent="0.45">
      <c r="A131" s="561"/>
      <c r="B131" s="1187"/>
      <c r="C131" s="161"/>
      <c r="D131" s="162"/>
      <c r="E131" s="210"/>
      <c r="F131" s="164"/>
      <c r="G131" s="165"/>
      <c r="H131" s="164"/>
      <c r="I131" s="165"/>
      <c r="J131" s="164"/>
      <c r="K131" s="165"/>
      <c r="L131" s="164"/>
      <c r="M131" s="165"/>
      <c r="N131" s="359"/>
      <c r="O131" s="368"/>
      <c r="P131" s="359"/>
      <c r="Q131" s="368"/>
      <c r="R131" s="359"/>
      <c r="S131" s="368"/>
      <c r="T131" s="359"/>
      <c r="U131" s="368"/>
      <c r="V131" s="359"/>
      <c r="W131" s="368"/>
      <c r="X131" s="359"/>
      <c r="Y131" s="368"/>
      <c r="Z131" s="359"/>
      <c r="AA131" s="368"/>
      <c r="AB131" s="359"/>
      <c r="AC131" s="368"/>
      <c r="AD131" s="359"/>
      <c r="AE131" s="368"/>
      <c r="AF131" s="745"/>
      <c r="AG131" s="725"/>
      <c r="AH131" s="746"/>
      <c r="AJ131" s="359"/>
      <c r="AK131" s="368"/>
      <c r="AL131" s="359"/>
      <c r="AM131" s="368"/>
      <c r="AN131" s="359"/>
      <c r="AO131" s="368"/>
      <c r="AP131" s="745"/>
      <c r="AQ131" s="725"/>
      <c r="AR131" s="746"/>
      <c r="AT131" s="359"/>
      <c r="AU131" s="368"/>
      <c r="AV131" s="359"/>
      <c r="AW131" s="368"/>
      <c r="AX131" s="359"/>
      <c r="AY131" s="368"/>
      <c r="AZ131" s="745"/>
      <c r="BA131" s="725"/>
      <c r="BB131" s="725"/>
      <c r="BD131" s="359"/>
      <c r="BE131" s="368"/>
      <c r="BG131" s="359"/>
      <c r="BH131" s="368"/>
      <c r="BI131" s="359"/>
      <c r="BJ131" s="368"/>
      <c r="BK131" s="359"/>
      <c r="BL131" s="368"/>
      <c r="BN131" s="359"/>
      <c r="BO131" s="368"/>
      <c r="BQ131" s="359"/>
      <c r="BR131" s="368"/>
      <c r="BS131" s="359"/>
      <c r="BT131" s="368"/>
      <c r="BU131" s="359"/>
      <c r="BV131" s="368"/>
    </row>
    <row r="132" spans="1:74" ht="15" customHeight="1" x14ac:dyDescent="0.45">
      <c r="A132" s="561"/>
      <c r="B132" s="1187"/>
      <c r="C132" s="211" t="s">
        <v>122</v>
      </c>
      <c r="D132" s="212"/>
      <c r="E132" s="213" t="s">
        <v>123</v>
      </c>
      <c r="F132" s="214"/>
      <c r="G132" s="215">
        <v>33580560</v>
      </c>
      <c r="H132" s="214"/>
      <c r="I132" s="215">
        <v>33580560</v>
      </c>
      <c r="J132" s="214"/>
      <c r="K132" s="215">
        <v>33580560</v>
      </c>
      <c r="L132" s="214"/>
      <c r="M132" s="215">
        <v>33580560</v>
      </c>
      <c r="N132" s="214"/>
      <c r="O132" s="215">
        <v>33580560</v>
      </c>
      <c r="P132" s="214"/>
      <c r="Q132" s="215">
        <v>33580560</v>
      </c>
      <c r="R132" s="214"/>
      <c r="S132" s="215">
        <v>33580560</v>
      </c>
      <c r="T132" s="214"/>
      <c r="U132" s="215">
        <v>33580560</v>
      </c>
      <c r="V132" s="214"/>
      <c r="W132" s="215">
        <v>33580560</v>
      </c>
      <c r="X132" s="214"/>
      <c r="Y132" s="215">
        <v>33580560</v>
      </c>
      <c r="Z132" s="214"/>
      <c r="AA132" s="215">
        <v>33580560</v>
      </c>
      <c r="AB132" s="214"/>
      <c r="AC132" s="215">
        <v>33580560</v>
      </c>
      <c r="AD132" s="214"/>
      <c r="AE132" s="215">
        <v>33580560</v>
      </c>
      <c r="AF132" s="837"/>
      <c r="AG132" s="838"/>
      <c r="AH132" s="839"/>
      <c r="AI132" s="699"/>
      <c r="AJ132" s="214"/>
      <c r="AK132" s="215">
        <v>33580560</v>
      </c>
      <c r="AL132" s="214"/>
      <c r="AM132" s="215">
        <v>33580560</v>
      </c>
      <c r="AN132" s="214"/>
      <c r="AO132" s="215">
        <v>33580560</v>
      </c>
      <c r="AP132" s="837"/>
      <c r="AQ132" s="838"/>
      <c r="AR132" s="839"/>
      <c r="AS132" s="699"/>
      <c r="AT132" s="214"/>
      <c r="AU132" s="215">
        <v>33580560</v>
      </c>
      <c r="AV132" s="214"/>
      <c r="AW132" s="215">
        <v>33580560</v>
      </c>
      <c r="AX132" s="214"/>
      <c r="AY132" s="215">
        <v>33580560</v>
      </c>
      <c r="AZ132" s="837"/>
      <c r="BA132" s="838"/>
      <c r="BB132" s="838"/>
      <c r="BD132" s="214"/>
      <c r="BE132" s="215">
        <v>33580560</v>
      </c>
      <c r="BG132" s="214"/>
      <c r="BH132" s="215">
        <v>33580560</v>
      </c>
      <c r="BI132" s="214"/>
      <c r="BJ132" s="215">
        <v>33580560</v>
      </c>
      <c r="BK132" s="214"/>
      <c r="BL132" s="215">
        <v>33580560</v>
      </c>
      <c r="BN132" s="214"/>
      <c r="BO132" s="215">
        <v>33580560</v>
      </c>
      <c r="BQ132" s="214"/>
      <c r="BR132" s="215">
        <v>33580560</v>
      </c>
      <c r="BS132" s="214"/>
      <c r="BT132" s="215">
        <v>33580560</v>
      </c>
      <c r="BU132" s="214"/>
      <c r="BV132" s="215">
        <v>33580560</v>
      </c>
    </row>
    <row r="133" spans="1:74" ht="15" customHeight="1" x14ac:dyDescent="0.45">
      <c r="A133" s="561"/>
      <c r="B133" s="1187"/>
      <c r="C133" s="211"/>
      <c r="D133" s="212"/>
      <c r="E133" s="213" t="s">
        <v>125</v>
      </c>
      <c r="F133" s="214"/>
      <c r="G133" s="215"/>
      <c r="H133" s="214"/>
      <c r="I133" s="215"/>
      <c r="J133" s="214"/>
      <c r="K133" s="215"/>
      <c r="L133" s="214"/>
      <c r="M133" s="215"/>
      <c r="N133" s="214"/>
      <c r="O133" s="215">
        <f>O132/O10</f>
        <v>839514</v>
      </c>
      <c r="P133" s="214"/>
      <c r="Q133" s="215">
        <f>Q132/Q10</f>
        <v>839514</v>
      </c>
      <c r="R133" s="214"/>
      <c r="S133" s="215">
        <f>S132/S10</f>
        <v>839514</v>
      </c>
      <c r="T133" s="214"/>
      <c r="U133" s="215">
        <f>U132/U10</f>
        <v>839514</v>
      </c>
      <c r="V133" s="214"/>
      <c r="W133" s="215">
        <f>W132/W10</f>
        <v>839514</v>
      </c>
      <c r="X133" s="214"/>
      <c r="Y133" s="215">
        <f>Y132/Y10</f>
        <v>839514</v>
      </c>
      <c r="Z133" s="214"/>
      <c r="AA133" s="215">
        <f>AA132/AA10</f>
        <v>839514</v>
      </c>
      <c r="AB133" s="214"/>
      <c r="AC133" s="215">
        <f>AC132/AC10</f>
        <v>839514</v>
      </c>
      <c r="AD133" s="214"/>
      <c r="AE133" s="215">
        <f>AE132/AE10</f>
        <v>839514</v>
      </c>
      <c r="AF133" s="837"/>
      <c r="AG133" s="838"/>
      <c r="AH133" s="839"/>
      <c r="AI133" s="699"/>
      <c r="AJ133" s="214"/>
      <c r="AK133" s="215">
        <f>AK132/AK10</f>
        <v>839514</v>
      </c>
      <c r="AL133" s="214"/>
      <c r="AM133" s="215">
        <f>AM132/AM10</f>
        <v>839514</v>
      </c>
      <c r="AN133" s="214"/>
      <c r="AO133" s="215">
        <f>AO132/AO10</f>
        <v>839514</v>
      </c>
      <c r="AP133" s="837"/>
      <c r="AQ133" s="838"/>
      <c r="AR133" s="839"/>
      <c r="AS133" s="699"/>
      <c r="AT133" s="214"/>
      <c r="AU133" s="215">
        <f>AU132/AU10</f>
        <v>839514</v>
      </c>
      <c r="AV133" s="214"/>
      <c r="AW133" s="215">
        <f>AW132/AW10</f>
        <v>839514</v>
      </c>
      <c r="AX133" s="214"/>
      <c r="AY133" s="215">
        <f>AY132/AY10</f>
        <v>839514</v>
      </c>
      <c r="AZ133" s="837"/>
      <c r="BA133" s="838"/>
      <c r="BB133" s="838"/>
      <c r="BD133" s="214"/>
      <c r="BE133" s="215">
        <f>BE132/BE10</f>
        <v>839514</v>
      </c>
      <c r="BG133" s="214"/>
      <c r="BH133" s="215">
        <f>BH132/BH10</f>
        <v>839514</v>
      </c>
      <c r="BI133" s="214"/>
      <c r="BJ133" s="215">
        <f>BJ132/BJ10</f>
        <v>839514</v>
      </c>
      <c r="BK133" s="214"/>
      <c r="BL133" s="215">
        <f>BL132/BL10</f>
        <v>839514</v>
      </c>
      <c r="BN133" s="214"/>
      <c r="BO133" s="215">
        <f>BO132/BO10</f>
        <v>839514</v>
      </c>
      <c r="BQ133" s="214"/>
      <c r="BR133" s="215">
        <f>BR132/BR10</f>
        <v>839514</v>
      </c>
      <c r="BS133" s="214"/>
      <c r="BT133" s="215">
        <f>BT132/BT10</f>
        <v>839514</v>
      </c>
      <c r="BU133" s="214"/>
      <c r="BV133" s="215">
        <f>BV132/BV10</f>
        <v>839514</v>
      </c>
    </row>
    <row r="134" spans="1:74" ht="15" customHeight="1" x14ac:dyDescent="0.45">
      <c r="A134" s="561"/>
      <c r="B134" s="1187"/>
      <c r="C134" s="211"/>
      <c r="D134" s="212"/>
      <c r="E134" s="213" t="s">
        <v>126</v>
      </c>
      <c r="F134" s="214"/>
      <c r="G134" s="215"/>
      <c r="H134" s="214"/>
      <c r="I134" s="215"/>
      <c r="J134" s="214"/>
      <c r="K134" s="215"/>
      <c r="L134" s="214"/>
      <c r="M134" s="215"/>
      <c r="N134" s="214"/>
      <c r="O134" s="215">
        <f>O133/O73</f>
        <v>216.81663223140495</v>
      </c>
      <c r="P134" s="214"/>
      <c r="Q134" s="215">
        <f>Q133/Q73</f>
        <v>216.81663223140495</v>
      </c>
      <c r="R134" s="214"/>
      <c r="S134" s="215">
        <f>S133/S73</f>
        <v>216.81663223140495</v>
      </c>
      <c r="T134" s="214"/>
      <c r="U134" s="215">
        <f>U133/U73</f>
        <v>216.81663223140495</v>
      </c>
      <c r="V134" s="214"/>
      <c r="W134" s="215">
        <f>W133/W73</f>
        <v>216.81663223140495</v>
      </c>
      <c r="X134" s="214"/>
      <c r="Y134" s="215">
        <f>Y133/Y73</f>
        <v>216.81663223140495</v>
      </c>
      <c r="Z134" s="214"/>
      <c r="AA134" s="215">
        <f>AA133/AA73</f>
        <v>216.81663223140495</v>
      </c>
      <c r="AB134" s="214"/>
      <c r="AC134" s="215">
        <f>AC133/AC73</f>
        <v>216.81663223140495</v>
      </c>
      <c r="AD134" s="214"/>
      <c r="AE134" s="215">
        <f>AE133/AE73</f>
        <v>216.81663223140495</v>
      </c>
      <c r="AF134" s="837"/>
      <c r="AG134" s="838"/>
      <c r="AH134" s="839"/>
      <c r="AI134" s="699"/>
      <c r="AJ134" s="214"/>
      <c r="AK134" s="215">
        <f>AK133/AK73</f>
        <v>216.81663223140495</v>
      </c>
      <c r="AL134" s="214"/>
      <c r="AM134" s="215">
        <f>AM133/AM73</f>
        <v>216.81663223140495</v>
      </c>
      <c r="AN134" s="214"/>
      <c r="AO134" s="215">
        <f>AO133/AO73</f>
        <v>216.81663223140495</v>
      </c>
      <c r="AP134" s="837"/>
      <c r="AQ134" s="838"/>
      <c r="AR134" s="839"/>
      <c r="AS134" s="699"/>
      <c r="AT134" s="214"/>
      <c r="AU134" s="215">
        <f>AU133/AU73</f>
        <v>216.81663223140495</v>
      </c>
      <c r="AV134" s="214"/>
      <c r="AW134" s="215">
        <f>AW133/AW73</f>
        <v>216.81663223140495</v>
      </c>
      <c r="AX134" s="214"/>
      <c r="AY134" s="215">
        <f>AY133/AY73</f>
        <v>216.81663223140495</v>
      </c>
      <c r="AZ134" s="837"/>
      <c r="BA134" s="838"/>
      <c r="BB134" s="838"/>
      <c r="BD134" s="214"/>
      <c r="BE134" s="215">
        <f>BE133/BE73</f>
        <v>216.81663223140495</v>
      </c>
      <c r="BG134" s="214"/>
      <c r="BH134" s="215">
        <f>BH133/BH73</f>
        <v>216.81663223140495</v>
      </c>
      <c r="BI134" s="214"/>
      <c r="BJ134" s="215">
        <f t="shared" ref="BJ134" si="198">BJ133/BJ73</f>
        <v>216.81663223140495</v>
      </c>
      <c r="BK134" s="214"/>
      <c r="BL134" s="215">
        <f t="shared" ref="BL134" si="199">BL133/BL73</f>
        <v>216.81663223140495</v>
      </c>
      <c r="BN134" s="214"/>
      <c r="BO134" s="215">
        <f>BO133/BO73</f>
        <v>216.81663223140495</v>
      </c>
      <c r="BQ134" s="214"/>
      <c r="BR134" s="215">
        <f>BR133/BR73</f>
        <v>209.8785</v>
      </c>
      <c r="BS134" s="214"/>
      <c r="BT134" s="215">
        <f>BT133/BT73</f>
        <v>209.8785</v>
      </c>
      <c r="BU134" s="214"/>
      <c r="BV134" s="215">
        <f>BV133/BV73</f>
        <v>209.8785</v>
      </c>
    </row>
    <row r="135" spans="1:74" x14ac:dyDescent="0.45">
      <c r="A135" s="561"/>
      <c r="B135" s="1187"/>
      <c r="C135" s="216" t="s">
        <v>124</v>
      </c>
      <c r="D135" s="217"/>
      <c r="E135" s="218" t="s">
        <v>123</v>
      </c>
      <c r="F135" s="219"/>
      <c r="G135" s="220">
        <v>44653360</v>
      </c>
      <c r="H135" s="219"/>
      <c r="I135" s="220">
        <f>G135</f>
        <v>44653360</v>
      </c>
      <c r="J135" s="219"/>
      <c r="K135" s="220">
        <f>I135</f>
        <v>44653360</v>
      </c>
      <c r="L135" s="219"/>
      <c r="M135" s="220">
        <f>K135</f>
        <v>44653360</v>
      </c>
      <c r="N135" s="219"/>
      <c r="O135" s="220">
        <v>44155840</v>
      </c>
      <c r="P135" s="219"/>
      <c r="Q135" s="220">
        <f>O135</f>
        <v>44155840</v>
      </c>
      <c r="R135" s="219"/>
      <c r="S135" s="220">
        <f>Q135</f>
        <v>44155840</v>
      </c>
      <c r="T135" s="219"/>
      <c r="U135" s="220">
        <v>44155840</v>
      </c>
      <c r="V135" s="219"/>
      <c r="W135" s="220">
        <v>44155840</v>
      </c>
      <c r="X135" s="219"/>
      <c r="Y135" s="220">
        <f>F135</f>
        <v>0</v>
      </c>
      <c r="Z135" s="219"/>
      <c r="AA135" s="220">
        <f>S135</f>
        <v>44155840</v>
      </c>
      <c r="AB135" s="219"/>
      <c r="AC135" s="220">
        <f>AA135</f>
        <v>44155840</v>
      </c>
      <c r="AD135" s="219"/>
      <c r="AE135" s="220">
        <f>AA135</f>
        <v>44155840</v>
      </c>
      <c r="AF135" s="840"/>
      <c r="AG135" s="841"/>
      <c r="AH135" s="842"/>
      <c r="AI135" s="699"/>
      <c r="AJ135" s="219"/>
      <c r="AK135" s="220">
        <f>AY135</f>
        <v>44155840</v>
      </c>
      <c r="AL135" s="219"/>
      <c r="AM135" s="220">
        <f>AW135</f>
        <v>44155840</v>
      </c>
      <c r="AN135" s="219"/>
      <c r="AO135" s="220">
        <f>AW135</f>
        <v>44155840</v>
      </c>
      <c r="AP135" s="840"/>
      <c r="AQ135" s="841"/>
      <c r="AR135" s="842"/>
      <c r="AS135" s="699"/>
      <c r="AT135" s="219"/>
      <c r="AU135" s="220">
        <f>AE135</f>
        <v>44155840</v>
      </c>
      <c r="AV135" s="219"/>
      <c r="AW135" s="220">
        <f>AC135</f>
        <v>44155840</v>
      </c>
      <c r="AX135" s="219"/>
      <c r="AY135" s="220">
        <f>AC135</f>
        <v>44155840</v>
      </c>
      <c r="AZ135" s="840"/>
      <c r="BA135" s="841"/>
      <c r="BB135" s="841"/>
      <c r="BD135" s="219"/>
      <c r="BE135" s="220">
        <f>AL135</f>
        <v>0</v>
      </c>
      <c r="BG135" s="219"/>
      <c r="BH135" s="220">
        <f>AO135</f>
        <v>44155840</v>
      </c>
      <c r="BI135" s="219"/>
      <c r="BJ135" s="220">
        <f>AQ135</f>
        <v>0</v>
      </c>
      <c r="BK135" s="219"/>
      <c r="BL135" s="220">
        <f>AS135</f>
        <v>0</v>
      </c>
      <c r="BN135" s="219"/>
      <c r="BO135" s="220">
        <f>AO135</f>
        <v>44155840</v>
      </c>
      <c r="BQ135" s="219"/>
      <c r="BR135" s="220">
        <f>AY135</f>
        <v>44155840</v>
      </c>
      <c r="BS135" s="219"/>
      <c r="BT135" s="220">
        <f>CU135</f>
        <v>0</v>
      </c>
      <c r="BU135" s="219"/>
      <c r="BV135" s="220">
        <f>CW135</f>
        <v>0</v>
      </c>
    </row>
    <row r="136" spans="1:74" x14ac:dyDescent="0.45">
      <c r="A136" s="561"/>
      <c r="B136" s="1187"/>
      <c r="C136" s="216"/>
      <c r="D136" s="217"/>
      <c r="E136" s="218" t="s">
        <v>125</v>
      </c>
      <c r="F136" s="219"/>
      <c r="G136" s="221">
        <f>G135/G10</f>
        <v>1116334</v>
      </c>
      <c r="H136" s="219"/>
      <c r="I136" s="221">
        <f>I135/I10</f>
        <v>1116334</v>
      </c>
      <c r="J136" s="219"/>
      <c r="K136" s="221">
        <f>K135/K10</f>
        <v>1116334</v>
      </c>
      <c r="L136" s="219"/>
      <c r="M136" s="221">
        <f>M135/M10</f>
        <v>1116334</v>
      </c>
      <c r="N136" s="219"/>
      <c r="O136" s="221">
        <f>O135/O10</f>
        <v>1103896</v>
      </c>
      <c r="P136" s="219"/>
      <c r="Q136" s="221">
        <f>Q135/Q10</f>
        <v>1103896</v>
      </c>
      <c r="R136" s="219"/>
      <c r="S136" s="221">
        <f>S135/S10</f>
        <v>1103896</v>
      </c>
      <c r="T136" s="219"/>
      <c r="U136" s="221">
        <f>U135/U10</f>
        <v>1103896</v>
      </c>
      <c r="V136" s="219"/>
      <c r="W136" s="221">
        <f>W135/W10</f>
        <v>1103896</v>
      </c>
      <c r="X136" s="219"/>
      <c r="Y136" s="221">
        <f>Y135/Y10</f>
        <v>0</v>
      </c>
      <c r="Z136" s="219"/>
      <c r="AA136" s="221">
        <f>AA135/AA10</f>
        <v>1103896</v>
      </c>
      <c r="AB136" s="219"/>
      <c r="AC136" s="221">
        <f>AC135/AC10</f>
        <v>1103896</v>
      </c>
      <c r="AD136" s="219"/>
      <c r="AE136" s="221">
        <f>AE135/AE10</f>
        <v>1103896</v>
      </c>
      <c r="AF136" s="840"/>
      <c r="AG136" s="841"/>
      <c r="AH136" s="842"/>
      <c r="AI136" s="700"/>
      <c r="AJ136" s="219"/>
      <c r="AK136" s="221">
        <f>AK135/AK10</f>
        <v>1103896</v>
      </c>
      <c r="AL136" s="219"/>
      <c r="AM136" s="221">
        <f>AM135/AM10</f>
        <v>1103896</v>
      </c>
      <c r="AN136" s="219"/>
      <c r="AO136" s="221">
        <f>AO135/AO10</f>
        <v>1103896</v>
      </c>
      <c r="AP136" s="840"/>
      <c r="AQ136" s="841"/>
      <c r="AR136" s="842"/>
      <c r="AS136" s="700"/>
      <c r="AT136" s="219"/>
      <c r="AU136" s="221">
        <f>AU135/AU10</f>
        <v>1103896</v>
      </c>
      <c r="AV136" s="219"/>
      <c r="AW136" s="221">
        <f>AW135/AW10</f>
        <v>1103896</v>
      </c>
      <c r="AX136" s="219"/>
      <c r="AY136" s="221">
        <f>AY135/AY10</f>
        <v>1103896</v>
      </c>
      <c r="AZ136" s="840"/>
      <c r="BA136" s="841"/>
      <c r="BB136" s="841"/>
      <c r="BD136" s="219"/>
      <c r="BE136" s="221">
        <f>BE135/BE10</f>
        <v>0</v>
      </c>
      <c r="BG136" s="219"/>
      <c r="BH136" s="221">
        <f>BH135/BH10</f>
        <v>1103896</v>
      </c>
      <c r="BI136" s="219"/>
      <c r="BJ136" s="221">
        <f>BJ135/BJ10</f>
        <v>0</v>
      </c>
      <c r="BK136" s="219"/>
      <c r="BL136" s="221">
        <f>BL135/BL10</f>
        <v>0</v>
      </c>
      <c r="BN136" s="219"/>
      <c r="BO136" s="221">
        <f>BO135/BO10</f>
        <v>1103896</v>
      </c>
      <c r="BQ136" s="219"/>
      <c r="BR136" s="221">
        <f>BR135/BR10</f>
        <v>1103896</v>
      </c>
      <c r="BS136" s="219"/>
      <c r="BT136" s="221">
        <f>BT135/BT10</f>
        <v>0</v>
      </c>
      <c r="BU136" s="219"/>
      <c r="BV136" s="221">
        <f>BV135/BV10</f>
        <v>0</v>
      </c>
    </row>
    <row r="137" spans="1:74" x14ac:dyDescent="0.45">
      <c r="A137" s="561"/>
      <c r="B137" s="1187"/>
      <c r="C137" s="216"/>
      <c r="D137" s="217"/>
      <c r="E137" s="218" t="s">
        <v>126</v>
      </c>
      <c r="F137" s="222"/>
      <c r="G137" s="220">
        <f>G136/G73</f>
        <v>288.30940082644628</v>
      </c>
      <c r="H137" s="222"/>
      <c r="I137" s="220">
        <f>I136/I73</f>
        <v>288.30940082644628</v>
      </c>
      <c r="J137" s="222"/>
      <c r="K137" s="220">
        <f>K136/K73</f>
        <v>288.30940082644628</v>
      </c>
      <c r="L137" s="222"/>
      <c r="M137" s="220">
        <f>M136/M73</f>
        <v>288.30940082644628</v>
      </c>
      <c r="N137" s="222"/>
      <c r="O137" s="220">
        <f>O136/O73</f>
        <v>285.09710743801651</v>
      </c>
      <c r="P137" s="222"/>
      <c r="Q137" s="220">
        <f>Q136/Q73</f>
        <v>285.09710743801651</v>
      </c>
      <c r="R137" s="222"/>
      <c r="S137" s="220">
        <f>S136/S73</f>
        <v>285.09710743801651</v>
      </c>
      <c r="T137" s="222"/>
      <c r="U137" s="220">
        <f>U136/U73</f>
        <v>285.09710743801651</v>
      </c>
      <c r="V137" s="222"/>
      <c r="W137" s="220">
        <f>W136/W73</f>
        <v>285.09710743801651</v>
      </c>
      <c r="X137" s="222"/>
      <c r="Y137" s="220">
        <f>Y136/Y73</f>
        <v>0</v>
      </c>
      <c r="Z137" s="222"/>
      <c r="AA137" s="220">
        <f>AA136/AA73</f>
        <v>285.09710743801651</v>
      </c>
      <c r="AB137" s="222"/>
      <c r="AC137" s="220">
        <f>AC136/AC73</f>
        <v>285.09710743801651</v>
      </c>
      <c r="AD137" s="222"/>
      <c r="AE137" s="220">
        <f>AE136/AE73</f>
        <v>285.09710743801651</v>
      </c>
      <c r="AF137" s="840"/>
      <c r="AG137" s="841"/>
      <c r="AH137" s="842"/>
      <c r="AI137" s="699"/>
      <c r="AJ137" s="222"/>
      <c r="AK137" s="220">
        <f>AK136/AK73</f>
        <v>285.09710743801651</v>
      </c>
      <c r="AL137" s="222"/>
      <c r="AM137" s="220">
        <f>AM136/AM73</f>
        <v>285.09710743801651</v>
      </c>
      <c r="AN137" s="222"/>
      <c r="AO137" s="220">
        <f>AO136/AO73</f>
        <v>285.09710743801651</v>
      </c>
      <c r="AP137" s="840"/>
      <c r="AQ137" s="841"/>
      <c r="AR137" s="842"/>
      <c r="AS137" s="699"/>
      <c r="AT137" s="222"/>
      <c r="AU137" s="220">
        <f>AU136/AU73</f>
        <v>285.09710743801651</v>
      </c>
      <c r="AV137" s="222"/>
      <c r="AW137" s="220">
        <f>AW136/AW73</f>
        <v>285.09710743801651</v>
      </c>
      <c r="AX137" s="222"/>
      <c r="AY137" s="220">
        <f>AY136/AY73</f>
        <v>285.09710743801651</v>
      </c>
      <c r="AZ137" s="840"/>
      <c r="BA137" s="841"/>
      <c r="BB137" s="841"/>
      <c r="BD137" s="222"/>
      <c r="BE137" s="220">
        <f>BE136/BE73</f>
        <v>0</v>
      </c>
      <c r="BG137" s="222"/>
      <c r="BH137" s="220">
        <f>BH136/BH73</f>
        <v>285.09710743801651</v>
      </c>
      <c r="BI137" s="222"/>
      <c r="BJ137" s="220">
        <f t="shared" ref="BJ137" si="200">BJ136/BJ73</f>
        <v>0</v>
      </c>
      <c r="BK137" s="222"/>
      <c r="BL137" s="220">
        <f t="shared" ref="BL137" si="201">BL136/BL73</f>
        <v>0</v>
      </c>
      <c r="BN137" s="222"/>
      <c r="BO137" s="220">
        <f>BO136/BO73</f>
        <v>285.09710743801651</v>
      </c>
      <c r="BQ137" s="222"/>
      <c r="BR137" s="220">
        <f>BR136/BR73</f>
        <v>275.97399999999999</v>
      </c>
      <c r="BS137" s="222"/>
      <c r="BT137" s="220">
        <f>BT136/BT73</f>
        <v>0</v>
      </c>
      <c r="BU137" s="222"/>
      <c r="BV137" s="220">
        <f>BV136/BV73</f>
        <v>0</v>
      </c>
    </row>
    <row r="138" spans="1:74" x14ac:dyDescent="0.45">
      <c r="A138" s="561"/>
      <c r="B138" s="1187"/>
      <c r="C138" s="582" t="s">
        <v>387</v>
      </c>
      <c r="D138" s="583"/>
      <c r="E138" s="584" t="s">
        <v>123</v>
      </c>
      <c r="F138" s="585"/>
      <c r="G138" s="586"/>
      <c r="H138" s="585"/>
      <c r="I138" s="586"/>
      <c r="J138" s="585"/>
      <c r="K138" s="586"/>
      <c r="L138" s="585"/>
      <c r="M138" s="586"/>
      <c r="N138" s="585"/>
      <c r="O138" s="586">
        <v>65819560</v>
      </c>
      <c r="P138" s="585"/>
      <c r="Q138" s="586">
        <v>65620800</v>
      </c>
      <c r="R138" s="585"/>
      <c r="S138" s="586">
        <v>65620800</v>
      </c>
      <c r="T138" s="585"/>
      <c r="U138" s="586">
        <v>65819560</v>
      </c>
      <c r="V138" s="585"/>
      <c r="W138" s="586">
        <v>65819560</v>
      </c>
      <c r="X138" s="585"/>
      <c r="Y138" s="586">
        <v>65620800</v>
      </c>
      <c r="Z138" s="585"/>
      <c r="AA138" s="586">
        <v>65620800</v>
      </c>
      <c r="AB138" s="585"/>
      <c r="AC138" s="586">
        <v>65620800</v>
      </c>
      <c r="AD138" s="585"/>
      <c r="AE138" s="586">
        <v>65620800</v>
      </c>
      <c r="AF138" s="843"/>
      <c r="AG138" s="844"/>
      <c r="AH138" s="845"/>
      <c r="AI138" s="699"/>
      <c r="AJ138" s="585"/>
      <c r="AK138" s="586">
        <v>65620800</v>
      </c>
      <c r="AL138" s="585"/>
      <c r="AM138" s="586">
        <v>65620800</v>
      </c>
      <c r="AN138" s="585"/>
      <c r="AO138" s="586">
        <v>65620800</v>
      </c>
      <c r="AP138" s="843"/>
      <c r="AQ138" s="844"/>
      <c r="AR138" s="845"/>
      <c r="AS138" s="699"/>
      <c r="AT138" s="585"/>
      <c r="AU138" s="586">
        <v>65620800</v>
      </c>
      <c r="AV138" s="585"/>
      <c r="AW138" s="586">
        <v>65620800</v>
      </c>
      <c r="AX138" s="585"/>
      <c r="AY138" s="586">
        <v>65620800</v>
      </c>
      <c r="AZ138" s="843"/>
      <c r="BA138" s="844"/>
      <c r="BB138" s="844"/>
      <c r="BD138" s="585"/>
      <c r="BE138" s="586">
        <v>65620800</v>
      </c>
      <c r="BG138" s="585"/>
      <c r="BH138" s="586">
        <v>65620800</v>
      </c>
      <c r="BI138" s="585"/>
      <c r="BJ138" s="586">
        <v>65620800</v>
      </c>
      <c r="BK138" s="585"/>
      <c r="BL138" s="586">
        <v>65620800</v>
      </c>
      <c r="BN138" s="585"/>
      <c r="BO138" s="586">
        <v>65620800</v>
      </c>
      <c r="BQ138" s="585"/>
      <c r="BR138" s="586">
        <v>65620800</v>
      </c>
      <c r="BS138" s="585"/>
      <c r="BT138" s="586">
        <v>65620800</v>
      </c>
      <c r="BU138" s="585"/>
      <c r="BV138" s="586">
        <v>65620800</v>
      </c>
    </row>
    <row r="139" spans="1:74" x14ac:dyDescent="0.45">
      <c r="A139" s="561"/>
      <c r="B139" s="1187"/>
      <c r="C139" s="582"/>
      <c r="D139" s="583"/>
      <c r="E139" s="584" t="s">
        <v>125</v>
      </c>
      <c r="F139" s="585"/>
      <c r="G139" s="586"/>
      <c r="H139" s="585"/>
      <c r="I139" s="586"/>
      <c r="J139" s="585"/>
      <c r="K139" s="586"/>
      <c r="L139" s="585"/>
      <c r="M139" s="586"/>
      <c r="N139" s="585"/>
      <c r="O139" s="586">
        <f>O138/O10</f>
        <v>1645489</v>
      </c>
      <c r="P139" s="585"/>
      <c r="Q139" s="586">
        <f>Q138/Q10</f>
        <v>1640520</v>
      </c>
      <c r="R139" s="585"/>
      <c r="S139" s="586">
        <f>S138/S10</f>
        <v>1640520</v>
      </c>
      <c r="T139" s="585"/>
      <c r="U139" s="586">
        <f>U138/U10</f>
        <v>1645489</v>
      </c>
      <c r="V139" s="585"/>
      <c r="W139" s="586">
        <f>W138/W10</f>
        <v>1645489</v>
      </c>
      <c r="X139" s="585"/>
      <c r="Y139" s="586">
        <f>Y138/Y10</f>
        <v>1640520</v>
      </c>
      <c r="Z139" s="585"/>
      <c r="AA139" s="586">
        <f>AA138/AA10</f>
        <v>1640520</v>
      </c>
      <c r="AB139" s="585"/>
      <c r="AC139" s="586">
        <f>AC138/AC10</f>
        <v>1640520</v>
      </c>
      <c r="AD139" s="585"/>
      <c r="AE139" s="586">
        <f>AE138/AE10</f>
        <v>1640520</v>
      </c>
      <c r="AF139" s="843"/>
      <c r="AG139" s="844"/>
      <c r="AH139" s="845"/>
      <c r="AI139" s="699"/>
      <c r="AJ139" s="585"/>
      <c r="AK139" s="586">
        <f>AK138/AK10</f>
        <v>1640520</v>
      </c>
      <c r="AL139" s="585"/>
      <c r="AM139" s="586">
        <f>AM138/AM10</f>
        <v>1640520</v>
      </c>
      <c r="AN139" s="585"/>
      <c r="AO139" s="586">
        <f>AO138/AO10</f>
        <v>1640520</v>
      </c>
      <c r="AP139" s="843"/>
      <c r="AQ139" s="844"/>
      <c r="AR139" s="845"/>
      <c r="AS139" s="699"/>
      <c r="AT139" s="585"/>
      <c r="AU139" s="586">
        <f>AU138/AU10</f>
        <v>1640520</v>
      </c>
      <c r="AV139" s="585"/>
      <c r="AW139" s="586">
        <f>AW138/AW10</f>
        <v>1640520</v>
      </c>
      <c r="AX139" s="585"/>
      <c r="AY139" s="586">
        <f>AY138/AY10</f>
        <v>1640520</v>
      </c>
      <c r="AZ139" s="843"/>
      <c r="BA139" s="844"/>
      <c r="BB139" s="844"/>
      <c r="BD139" s="585"/>
      <c r="BE139" s="586">
        <f>BE138/BE10</f>
        <v>1640520</v>
      </c>
      <c r="BG139" s="585"/>
      <c r="BH139" s="586">
        <f>BH138/BH10</f>
        <v>1640520</v>
      </c>
      <c r="BI139" s="585"/>
      <c r="BJ139" s="586">
        <f>BJ138/BJ10</f>
        <v>1640520</v>
      </c>
      <c r="BK139" s="585"/>
      <c r="BL139" s="586">
        <f>BL138/BL10</f>
        <v>1640520</v>
      </c>
      <c r="BN139" s="585"/>
      <c r="BO139" s="586">
        <f>BO138/BO10</f>
        <v>1640520</v>
      </c>
      <c r="BQ139" s="585"/>
      <c r="BR139" s="586">
        <f>BR138/BR10</f>
        <v>1640520</v>
      </c>
      <c r="BS139" s="585"/>
      <c r="BT139" s="586">
        <f>BT138/BT10</f>
        <v>1640520</v>
      </c>
      <c r="BU139" s="585"/>
      <c r="BV139" s="586">
        <f>BV138/BV10</f>
        <v>1640520</v>
      </c>
    </row>
    <row r="140" spans="1:74" x14ac:dyDescent="0.45">
      <c r="A140" s="561"/>
      <c r="B140" s="1187"/>
      <c r="C140" s="582"/>
      <c r="D140" s="583"/>
      <c r="E140" s="584" t="s">
        <v>126</v>
      </c>
      <c r="F140" s="585"/>
      <c r="G140" s="586"/>
      <c r="H140" s="585"/>
      <c r="I140" s="586"/>
      <c r="J140" s="585"/>
      <c r="K140" s="586"/>
      <c r="L140" s="585"/>
      <c r="M140" s="586"/>
      <c r="N140" s="585"/>
      <c r="O140" s="586">
        <f>O139/O73</f>
        <v>424.97133264462809</v>
      </c>
      <c r="P140" s="585"/>
      <c r="Q140" s="586">
        <f>Q139/Q73</f>
        <v>423.68801652892563</v>
      </c>
      <c r="R140" s="585"/>
      <c r="S140" s="586">
        <f>S139/S73</f>
        <v>423.68801652892563</v>
      </c>
      <c r="T140" s="585"/>
      <c r="U140" s="586">
        <f>U139/U73</f>
        <v>424.97133264462809</v>
      </c>
      <c r="V140" s="585"/>
      <c r="W140" s="586">
        <f>W139/W73</f>
        <v>424.97133264462809</v>
      </c>
      <c r="X140" s="585"/>
      <c r="Y140" s="586">
        <f>Y139/Y73</f>
        <v>423.68801652892563</v>
      </c>
      <c r="Z140" s="585"/>
      <c r="AA140" s="586">
        <f>AA139/AA73</f>
        <v>423.68801652892563</v>
      </c>
      <c r="AB140" s="585"/>
      <c r="AC140" s="586">
        <f>AC139/AC73</f>
        <v>423.68801652892563</v>
      </c>
      <c r="AD140" s="585"/>
      <c r="AE140" s="586">
        <f>AE139/AE73</f>
        <v>423.68801652892563</v>
      </c>
      <c r="AF140" s="843"/>
      <c r="AG140" s="844"/>
      <c r="AH140" s="845"/>
      <c r="AI140" s="699"/>
      <c r="AJ140" s="585"/>
      <c r="AK140" s="586">
        <f>AK139/AK73</f>
        <v>423.68801652892563</v>
      </c>
      <c r="AL140" s="585"/>
      <c r="AM140" s="586">
        <f>AM139/AM73</f>
        <v>423.68801652892563</v>
      </c>
      <c r="AN140" s="585"/>
      <c r="AO140" s="586">
        <f>AO139/AO73</f>
        <v>423.68801652892563</v>
      </c>
      <c r="AP140" s="843"/>
      <c r="AQ140" s="844"/>
      <c r="AR140" s="845"/>
      <c r="AS140" s="699"/>
      <c r="AT140" s="585"/>
      <c r="AU140" s="586">
        <f>AU139/AU73</f>
        <v>423.68801652892563</v>
      </c>
      <c r="AV140" s="585"/>
      <c r="AW140" s="586">
        <f>AW139/AW73</f>
        <v>423.68801652892563</v>
      </c>
      <c r="AX140" s="585"/>
      <c r="AY140" s="586">
        <f>AY139/AY73</f>
        <v>423.68801652892563</v>
      </c>
      <c r="AZ140" s="843"/>
      <c r="BA140" s="844"/>
      <c r="BB140" s="844"/>
      <c r="BD140" s="585"/>
      <c r="BE140" s="586">
        <f>BE139/BE73</f>
        <v>423.68801652892563</v>
      </c>
      <c r="BG140" s="585"/>
      <c r="BH140" s="586">
        <f>BH139/BH73</f>
        <v>423.68801652892563</v>
      </c>
      <c r="BI140" s="585"/>
      <c r="BJ140" s="586">
        <f t="shared" ref="BJ140" si="202">BJ139/BJ73</f>
        <v>423.68801652892563</v>
      </c>
      <c r="BK140" s="585"/>
      <c r="BL140" s="586">
        <f t="shared" ref="BL140" si="203">BL139/BL73</f>
        <v>423.68801652892563</v>
      </c>
      <c r="BN140" s="585"/>
      <c r="BO140" s="586">
        <f>BO139/BO73</f>
        <v>423.68801652892563</v>
      </c>
      <c r="BQ140" s="585"/>
      <c r="BR140" s="586">
        <f>BR139/BR73</f>
        <v>410.13</v>
      </c>
      <c r="BS140" s="585"/>
      <c r="BT140" s="586">
        <f>BT139/BT73</f>
        <v>410.13</v>
      </c>
      <c r="BU140" s="585"/>
      <c r="BV140" s="586">
        <f>BV139/BV73</f>
        <v>410.13</v>
      </c>
    </row>
    <row r="141" spans="1:74" x14ac:dyDescent="0.45">
      <c r="A141" s="561"/>
      <c r="B141" s="1187"/>
      <c r="C141" s="223"/>
      <c r="D141" s="175"/>
      <c r="E141" s="176"/>
      <c r="F141" s="177"/>
      <c r="G141" s="178"/>
      <c r="H141" s="177"/>
      <c r="I141" s="178"/>
      <c r="J141" s="177"/>
      <c r="K141" s="178"/>
      <c r="L141" s="177"/>
      <c r="M141" s="178"/>
      <c r="N141" s="375"/>
      <c r="O141" s="376"/>
      <c r="P141" s="375"/>
      <c r="Q141" s="376"/>
      <c r="R141" s="375"/>
      <c r="S141" s="376"/>
      <c r="T141" s="375"/>
      <c r="U141" s="376"/>
      <c r="V141" s="375"/>
      <c r="W141" s="376"/>
      <c r="X141" s="375"/>
      <c r="Y141" s="376"/>
      <c r="Z141" s="375"/>
      <c r="AA141" s="376"/>
      <c r="AB141" s="375"/>
      <c r="AC141" s="376"/>
      <c r="AD141" s="375"/>
      <c r="AE141" s="376"/>
      <c r="AF141" s="745"/>
      <c r="AG141" s="725"/>
      <c r="AH141" s="746"/>
      <c r="AI141" s="662"/>
      <c r="AJ141" s="375"/>
      <c r="AK141" s="376"/>
      <c r="AL141" s="375"/>
      <c r="AM141" s="376"/>
      <c r="AN141" s="375"/>
      <c r="AO141" s="376"/>
      <c r="AP141" s="745"/>
      <c r="AQ141" s="725"/>
      <c r="AR141" s="746"/>
      <c r="AS141" s="662"/>
      <c r="AT141" s="375"/>
      <c r="AU141" s="376"/>
      <c r="AV141" s="375"/>
      <c r="AW141" s="376"/>
      <c r="AX141" s="375"/>
      <c r="AY141" s="376"/>
      <c r="AZ141" s="745"/>
      <c r="BA141" s="725"/>
      <c r="BB141" s="725"/>
      <c r="BD141" s="375"/>
      <c r="BE141" s="376"/>
      <c r="BG141" s="375"/>
      <c r="BH141" s="376"/>
      <c r="BI141" s="375"/>
      <c r="BJ141" s="376"/>
      <c r="BK141" s="375"/>
      <c r="BL141" s="376"/>
      <c r="BN141" s="375"/>
      <c r="BO141" s="376"/>
      <c r="BQ141" s="375"/>
      <c r="BR141" s="376"/>
      <c r="BS141" s="375"/>
      <c r="BT141" s="376"/>
      <c r="BU141" s="375"/>
      <c r="BV141" s="376"/>
    </row>
    <row r="142" spans="1:74" outlineLevel="1" x14ac:dyDescent="0.45">
      <c r="A142" s="561"/>
      <c r="B142" s="1187"/>
      <c r="C142" s="161" t="s">
        <v>127</v>
      </c>
      <c r="D142" s="162"/>
      <c r="E142" s="179" t="s">
        <v>128</v>
      </c>
      <c r="F142" s="180"/>
      <c r="G142" s="224">
        <f>G71</f>
        <v>620</v>
      </c>
      <c r="H142" s="180"/>
      <c r="I142" s="224">
        <f>I71</f>
        <v>1150</v>
      </c>
      <c r="J142" s="180"/>
      <c r="K142" s="224">
        <f>K71</f>
        <v>1150</v>
      </c>
      <c r="L142" s="180"/>
      <c r="M142" s="224">
        <f>M71</f>
        <v>1150</v>
      </c>
      <c r="N142" s="380"/>
      <c r="O142" s="384">
        <v>1200</v>
      </c>
      <c r="P142" s="380"/>
      <c r="Q142" s="384">
        <v>1200</v>
      </c>
      <c r="R142" s="380"/>
      <c r="S142" s="384">
        <v>1200</v>
      </c>
      <c r="T142" s="380"/>
      <c r="U142" s="384">
        <v>1200</v>
      </c>
      <c r="V142" s="380"/>
      <c r="W142" s="384">
        <v>1200</v>
      </c>
      <c r="X142" s="380"/>
      <c r="Y142" s="384">
        <f>Y71</f>
        <v>1500</v>
      </c>
      <c r="Z142" s="380"/>
      <c r="AA142" s="384">
        <f>AA71</f>
        <v>1500</v>
      </c>
      <c r="AB142" s="380"/>
      <c r="AC142" s="384">
        <f>AC71</f>
        <v>1500</v>
      </c>
      <c r="AD142" s="380"/>
      <c r="AE142" s="384">
        <f>AE71</f>
        <v>1500</v>
      </c>
      <c r="AF142" s="776"/>
      <c r="AG142" s="728"/>
      <c r="AH142" s="777"/>
      <c r="AI142" s="628"/>
      <c r="AJ142" s="380"/>
      <c r="AK142" s="384">
        <f>AK71</f>
        <v>1500</v>
      </c>
      <c r="AL142" s="380"/>
      <c r="AM142" s="384">
        <f>AM71</f>
        <v>1500</v>
      </c>
      <c r="AN142" s="380"/>
      <c r="AO142" s="384">
        <f>AO71</f>
        <v>1500</v>
      </c>
      <c r="AP142" s="776"/>
      <c r="AQ142" s="728"/>
      <c r="AR142" s="777"/>
      <c r="AS142" s="628"/>
      <c r="AT142" s="380"/>
      <c r="AU142" s="384">
        <f>AU71</f>
        <v>1500</v>
      </c>
      <c r="AV142" s="380"/>
      <c r="AW142" s="384">
        <f>AW71</f>
        <v>1500</v>
      </c>
      <c r="AX142" s="380"/>
      <c r="AY142" s="384">
        <f>AY71</f>
        <v>1500</v>
      </c>
      <c r="AZ142" s="776"/>
      <c r="BA142" s="728"/>
      <c r="BB142" s="728"/>
      <c r="BD142" s="380"/>
      <c r="BE142" s="384">
        <f>BE71</f>
        <v>1500</v>
      </c>
      <c r="BG142" s="380"/>
      <c r="BH142" s="384">
        <f>BH71</f>
        <v>1500</v>
      </c>
      <c r="BI142" s="380"/>
      <c r="BJ142" s="384">
        <f t="shared" ref="BJ142" si="204">BJ71</f>
        <v>1500</v>
      </c>
      <c r="BK142" s="380"/>
      <c r="BL142" s="384">
        <f t="shared" ref="BL142" si="205">BL71</f>
        <v>1500</v>
      </c>
      <c r="BN142" s="380"/>
      <c r="BO142" s="384">
        <f>BO71</f>
        <v>1500</v>
      </c>
      <c r="BQ142" s="380"/>
      <c r="BR142" s="384">
        <f>BR71</f>
        <v>400</v>
      </c>
      <c r="BS142" s="380"/>
      <c r="BT142" s="384">
        <f>BT71</f>
        <v>400</v>
      </c>
      <c r="BU142" s="380"/>
      <c r="BV142" s="384">
        <f>BV71</f>
        <v>400</v>
      </c>
    </row>
    <row r="143" spans="1:74" outlineLevel="1" x14ac:dyDescent="0.45">
      <c r="A143" s="561"/>
      <c r="B143" s="1187"/>
      <c r="C143" s="225" t="s">
        <v>444</v>
      </c>
      <c r="D143" s="162"/>
      <c r="E143" s="179" t="s">
        <v>128</v>
      </c>
      <c r="F143" s="180"/>
      <c r="G143" s="224">
        <v>1200</v>
      </c>
      <c r="H143" s="180"/>
      <c r="I143" s="224">
        <f>G143</f>
        <v>1200</v>
      </c>
      <c r="J143" s="180"/>
      <c r="K143" s="224">
        <f>I143</f>
        <v>1200</v>
      </c>
      <c r="L143" s="180"/>
      <c r="M143" s="224">
        <f>K143</f>
        <v>1200</v>
      </c>
      <c r="N143" s="380"/>
      <c r="O143" s="384">
        <v>1500</v>
      </c>
      <c r="P143" s="380"/>
      <c r="Q143" s="384">
        <v>1500</v>
      </c>
      <c r="R143" s="380"/>
      <c r="S143" s="384">
        <v>1500</v>
      </c>
      <c r="T143" s="380"/>
      <c r="U143" s="384">
        <v>1500</v>
      </c>
      <c r="V143" s="380"/>
      <c r="W143" s="384">
        <v>1500</v>
      </c>
      <c r="X143" s="380"/>
      <c r="Y143" s="384">
        <v>1500</v>
      </c>
      <c r="Z143" s="380"/>
      <c r="AA143" s="384">
        <v>1500</v>
      </c>
      <c r="AB143" s="380"/>
      <c r="AC143" s="384">
        <v>1500</v>
      </c>
      <c r="AD143" s="380"/>
      <c r="AE143" s="384">
        <v>1500</v>
      </c>
      <c r="AF143" s="776"/>
      <c r="AG143" s="728"/>
      <c r="AH143" s="777"/>
      <c r="AI143" s="628"/>
      <c r="AJ143" s="380"/>
      <c r="AK143" s="384">
        <v>1500</v>
      </c>
      <c r="AL143" s="380"/>
      <c r="AM143" s="384">
        <v>1500</v>
      </c>
      <c r="AN143" s="380"/>
      <c r="AO143" s="384">
        <v>1500</v>
      </c>
      <c r="AP143" s="776"/>
      <c r="AQ143" s="728"/>
      <c r="AR143" s="777"/>
      <c r="AS143" s="628"/>
      <c r="AT143" s="380"/>
      <c r="AU143" s="384">
        <v>1500</v>
      </c>
      <c r="AV143" s="380"/>
      <c r="AW143" s="384">
        <v>1500</v>
      </c>
      <c r="AX143" s="380"/>
      <c r="AY143" s="384">
        <v>1500</v>
      </c>
      <c r="AZ143" s="776"/>
      <c r="BA143" s="728"/>
      <c r="BB143" s="728"/>
      <c r="BD143" s="380"/>
      <c r="BE143" s="384">
        <v>1500</v>
      </c>
      <c r="BG143" s="380"/>
      <c r="BH143" s="384">
        <v>1500</v>
      </c>
      <c r="BI143" s="380"/>
      <c r="BJ143" s="384">
        <v>1500</v>
      </c>
      <c r="BK143" s="380"/>
      <c r="BL143" s="384">
        <v>1500</v>
      </c>
      <c r="BN143" s="380"/>
      <c r="BO143" s="384">
        <v>1500</v>
      </c>
      <c r="BQ143" s="380"/>
      <c r="BR143" s="384">
        <v>1500</v>
      </c>
      <c r="BS143" s="380"/>
      <c r="BT143" s="384">
        <v>1500</v>
      </c>
      <c r="BU143" s="380"/>
      <c r="BV143" s="384">
        <v>1500</v>
      </c>
    </row>
    <row r="144" spans="1:74" outlineLevel="1" x14ac:dyDescent="0.45">
      <c r="A144" s="561"/>
      <c r="B144" s="1187"/>
      <c r="C144" s="225" t="s">
        <v>390</v>
      </c>
      <c r="D144" s="162"/>
      <c r="E144" s="179" t="s">
        <v>128</v>
      </c>
      <c r="F144" s="180"/>
      <c r="G144" s="224">
        <v>1200</v>
      </c>
      <c r="H144" s="180"/>
      <c r="I144" s="224">
        <f>G144</f>
        <v>1200</v>
      </c>
      <c r="J144" s="180"/>
      <c r="K144" s="224">
        <f>I144</f>
        <v>1200</v>
      </c>
      <c r="L144" s="180"/>
      <c r="M144" s="224">
        <f>K144</f>
        <v>1200</v>
      </c>
      <c r="N144" s="380"/>
      <c r="O144" s="384">
        <f>O71</f>
        <v>1200</v>
      </c>
      <c r="P144" s="380"/>
      <c r="Q144" s="384">
        <f>Q71</f>
        <v>1200</v>
      </c>
      <c r="R144" s="380"/>
      <c r="S144" s="384">
        <f>S71</f>
        <v>1200</v>
      </c>
      <c r="T144" s="380"/>
      <c r="U144" s="384">
        <f>U71</f>
        <v>1200</v>
      </c>
      <c r="V144" s="380"/>
      <c r="W144" s="384">
        <f>W71</f>
        <v>1200</v>
      </c>
      <c r="X144" s="380"/>
      <c r="Y144" s="384">
        <f>Y71</f>
        <v>1500</v>
      </c>
      <c r="Z144" s="380"/>
      <c r="AA144" s="384">
        <f>AA71</f>
        <v>1500</v>
      </c>
      <c r="AB144" s="380"/>
      <c r="AC144" s="384">
        <f>AC71</f>
        <v>1500</v>
      </c>
      <c r="AD144" s="380"/>
      <c r="AE144" s="384">
        <f>AE71</f>
        <v>1500</v>
      </c>
      <c r="AF144" s="776"/>
      <c r="AG144" s="728"/>
      <c r="AH144" s="777"/>
      <c r="AI144" s="628"/>
      <c r="AJ144" s="380"/>
      <c r="AK144" s="384">
        <f>AK71</f>
        <v>1500</v>
      </c>
      <c r="AL144" s="380"/>
      <c r="AM144" s="384">
        <f>AM71</f>
        <v>1500</v>
      </c>
      <c r="AN144" s="380"/>
      <c r="AO144" s="384">
        <f>AO71</f>
        <v>1500</v>
      </c>
      <c r="AP144" s="776"/>
      <c r="AQ144" s="728"/>
      <c r="AR144" s="777"/>
      <c r="AS144" s="628"/>
      <c r="AT144" s="380"/>
      <c r="AU144" s="384">
        <f>AU71</f>
        <v>1500</v>
      </c>
      <c r="AV144" s="380"/>
      <c r="AW144" s="384">
        <f>AW71</f>
        <v>1500</v>
      </c>
      <c r="AX144" s="380"/>
      <c r="AY144" s="384">
        <f>AY71</f>
        <v>1500</v>
      </c>
      <c r="AZ144" s="776"/>
      <c r="BA144" s="728"/>
      <c r="BB144" s="728"/>
      <c r="BD144" s="380"/>
      <c r="BE144" s="384">
        <f>BE71</f>
        <v>1500</v>
      </c>
      <c r="BG144" s="380"/>
      <c r="BH144" s="384">
        <f>BH71</f>
        <v>1500</v>
      </c>
      <c r="BI144" s="380"/>
      <c r="BJ144" s="384">
        <f t="shared" ref="BJ144" si="206">BJ71</f>
        <v>1500</v>
      </c>
      <c r="BK144" s="380"/>
      <c r="BL144" s="384">
        <f t="shared" ref="BL144" si="207">BL71</f>
        <v>1500</v>
      </c>
      <c r="BN144" s="380"/>
      <c r="BO144" s="384">
        <f>BO71</f>
        <v>1500</v>
      </c>
      <c r="BQ144" s="380"/>
      <c r="BR144" s="384">
        <f>BR71</f>
        <v>400</v>
      </c>
      <c r="BS144" s="380"/>
      <c r="BT144" s="384">
        <f>BT71</f>
        <v>400</v>
      </c>
      <c r="BU144" s="380"/>
      <c r="BV144" s="384">
        <f>BV71</f>
        <v>400</v>
      </c>
    </row>
    <row r="145" spans="1:74" outlineLevel="1" x14ac:dyDescent="0.45">
      <c r="A145" s="561"/>
      <c r="B145" s="1187"/>
      <c r="C145" s="225" t="s">
        <v>130</v>
      </c>
      <c r="D145" s="162"/>
      <c r="E145" s="179"/>
      <c r="F145" s="180"/>
      <c r="G145" s="224">
        <v>750</v>
      </c>
      <c r="H145" s="180"/>
      <c r="I145" s="224">
        <v>750</v>
      </c>
      <c r="J145" s="180"/>
      <c r="K145" s="224">
        <v>750</v>
      </c>
      <c r="L145" s="180"/>
      <c r="M145" s="224">
        <v>750</v>
      </c>
      <c r="N145" s="380"/>
      <c r="O145" s="384">
        <v>750</v>
      </c>
      <c r="P145" s="380"/>
      <c r="Q145" s="384">
        <v>750</v>
      </c>
      <c r="R145" s="380"/>
      <c r="S145" s="384">
        <v>750</v>
      </c>
      <c r="T145" s="380"/>
      <c r="U145" s="384">
        <v>750</v>
      </c>
      <c r="V145" s="380"/>
      <c r="W145" s="384">
        <v>750</v>
      </c>
      <c r="X145" s="380"/>
      <c r="Y145" s="384">
        <v>750</v>
      </c>
      <c r="Z145" s="380"/>
      <c r="AA145" s="384">
        <v>750</v>
      </c>
      <c r="AB145" s="380"/>
      <c r="AC145" s="384">
        <v>750</v>
      </c>
      <c r="AD145" s="380"/>
      <c r="AE145" s="384">
        <v>750</v>
      </c>
      <c r="AF145" s="776"/>
      <c r="AG145" s="728"/>
      <c r="AH145" s="777"/>
      <c r="AI145" s="628"/>
      <c r="AJ145" s="380"/>
      <c r="AK145" s="384">
        <v>750</v>
      </c>
      <c r="AL145" s="380"/>
      <c r="AM145" s="384">
        <v>750</v>
      </c>
      <c r="AN145" s="380"/>
      <c r="AO145" s="384">
        <v>750</v>
      </c>
      <c r="AP145" s="776"/>
      <c r="AQ145" s="728"/>
      <c r="AR145" s="777"/>
      <c r="AS145" s="628"/>
      <c r="AT145" s="380"/>
      <c r="AU145" s="384">
        <v>750</v>
      </c>
      <c r="AV145" s="380"/>
      <c r="AW145" s="384">
        <v>750</v>
      </c>
      <c r="AX145" s="380"/>
      <c r="AY145" s="384">
        <v>750</v>
      </c>
      <c r="AZ145" s="776"/>
      <c r="BA145" s="728"/>
      <c r="BB145" s="728"/>
      <c r="BD145" s="380"/>
      <c r="BE145" s="384">
        <v>750</v>
      </c>
      <c r="BG145" s="380"/>
      <c r="BH145" s="384">
        <v>750</v>
      </c>
      <c r="BI145" s="380"/>
      <c r="BJ145" s="384">
        <v>750</v>
      </c>
      <c r="BK145" s="380"/>
      <c r="BL145" s="384">
        <v>750</v>
      </c>
      <c r="BN145" s="380"/>
      <c r="BO145" s="384">
        <v>750</v>
      </c>
      <c r="BQ145" s="380"/>
      <c r="BR145" s="384">
        <v>750</v>
      </c>
      <c r="BS145" s="380"/>
      <c r="BT145" s="384">
        <v>750</v>
      </c>
      <c r="BU145" s="380"/>
      <c r="BV145" s="384">
        <v>750</v>
      </c>
    </row>
    <row r="146" spans="1:74" outlineLevel="1" x14ac:dyDescent="0.45">
      <c r="A146" s="561"/>
      <c r="B146" s="1187"/>
      <c r="C146" s="170"/>
      <c r="D146" s="162"/>
      <c r="E146" s="197"/>
      <c r="F146" s="164"/>
      <c r="G146" s="171"/>
      <c r="H146" s="164"/>
      <c r="I146" s="171"/>
      <c r="J146" s="164"/>
      <c r="K146" s="171"/>
      <c r="L146" s="164"/>
      <c r="M146" s="171"/>
      <c r="N146" s="359"/>
      <c r="O146" s="372"/>
      <c r="P146" s="359"/>
      <c r="Q146" s="372"/>
      <c r="R146" s="359"/>
      <c r="S146" s="372"/>
      <c r="T146" s="359"/>
      <c r="U146" s="372"/>
      <c r="V146" s="359"/>
      <c r="W146" s="372"/>
      <c r="X146" s="359"/>
      <c r="Y146" s="372"/>
      <c r="Z146" s="359"/>
      <c r="AA146" s="372"/>
      <c r="AB146" s="359"/>
      <c r="AC146" s="372"/>
      <c r="AD146" s="359"/>
      <c r="AE146" s="372"/>
      <c r="AF146" s="745"/>
      <c r="AG146" s="725"/>
      <c r="AH146" s="746"/>
      <c r="AI146" s="632"/>
      <c r="AJ146" s="359"/>
      <c r="AK146" s="372"/>
      <c r="AL146" s="359"/>
      <c r="AM146" s="372"/>
      <c r="AN146" s="359"/>
      <c r="AO146" s="372"/>
      <c r="AP146" s="745"/>
      <c r="AQ146" s="725"/>
      <c r="AR146" s="746"/>
      <c r="AS146" s="632"/>
      <c r="AT146" s="359"/>
      <c r="AU146" s="372"/>
      <c r="AV146" s="359"/>
      <c r="AW146" s="372"/>
      <c r="AX146" s="359"/>
      <c r="AY146" s="372"/>
      <c r="AZ146" s="745"/>
      <c r="BA146" s="725"/>
      <c r="BB146" s="725"/>
      <c r="BD146" s="359"/>
      <c r="BE146" s="372"/>
      <c r="BG146" s="359"/>
      <c r="BH146" s="372"/>
      <c r="BI146" s="359"/>
      <c r="BJ146" s="372"/>
      <c r="BK146" s="359"/>
      <c r="BL146" s="372"/>
      <c r="BN146" s="359"/>
      <c r="BO146" s="372"/>
      <c r="BQ146" s="359"/>
      <c r="BR146" s="372"/>
      <c r="BS146" s="359"/>
      <c r="BT146" s="372"/>
      <c r="BU146" s="359"/>
      <c r="BV146" s="372"/>
    </row>
    <row r="147" spans="1:74" outlineLevel="1" x14ac:dyDescent="0.45">
      <c r="A147" s="561"/>
      <c r="B147" s="1187"/>
      <c r="C147" s="226" t="s">
        <v>131</v>
      </c>
      <c r="D147" s="227"/>
      <c r="E147" s="228" t="s">
        <v>132</v>
      </c>
      <c r="F147" s="229"/>
      <c r="G147" s="230">
        <f>G144-G142</f>
        <v>580</v>
      </c>
      <c r="H147" s="229"/>
      <c r="I147" s="230">
        <f>I144-I142</f>
        <v>50</v>
      </c>
      <c r="J147" s="229"/>
      <c r="K147" s="230">
        <f>K144-K142</f>
        <v>50</v>
      </c>
      <c r="L147" s="229"/>
      <c r="M147" s="230">
        <f>M144-M142</f>
        <v>50</v>
      </c>
      <c r="N147" s="229"/>
      <c r="O147" s="230">
        <f>O143-O142</f>
        <v>300</v>
      </c>
      <c r="P147" s="229"/>
      <c r="Q147" s="230">
        <f>Q143-Q142</f>
        <v>300</v>
      </c>
      <c r="R147" s="229"/>
      <c r="S147" s="230">
        <f>S143-S142</f>
        <v>300</v>
      </c>
      <c r="T147" s="229"/>
      <c r="U147" s="230">
        <f>U143-U142</f>
        <v>300</v>
      </c>
      <c r="V147" s="229"/>
      <c r="W147" s="230">
        <f>W143-W142</f>
        <v>300</v>
      </c>
      <c r="X147" s="229"/>
      <c r="Y147" s="230">
        <f>Y143-Y142</f>
        <v>0</v>
      </c>
      <c r="Z147" s="229"/>
      <c r="AA147" s="230">
        <f>AA143-AA142</f>
        <v>0</v>
      </c>
      <c r="AB147" s="229"/>
      <c r="AC147" s="230">
        <f>AC143-AC142</f>
        <v>0</v>
      </c>
      <c r="AD147" s="229"/>
      <c r="AE147" s="230">
        <f>AE143-AE142</f>
        <v>0</v>
      </c>
      <c r="AF147" s="846"/>
      <c r="AG147" s="847"/>
      <c r="AH147" s="848"/>
      <c r="AI147" s="701"/>
      <c r="AJ147" s="229"/>
      <c r="AK147" s="230">
        <f>AK143-AK142</f>
        <v>0</v>
      </c>
      <c r="AL147" s="229"/>
      <c r="AM147" s="230">
        <f>AM143-AM142</f>
        <v>0</v>
      </c>
      <c r="AN147" s="229"/>
      <c r="AO147" s="230">
        <f>AO143-AO142</f>
        <v>0</v>
      </c>
      <c r="AP147" s="846"/>
      <c r="AQ147" s="847"/>
      <c r="AR147" s="848"/>
      <c r="AS147" s="701"/>
      <c r="AT147" s="229"/>
      <c r="AU147" s="230">
        <f>AU143-AU142</f>
        <v>0</v>
      </c>
      <c r="AV147" s="229"/>
      <c r="AW147" s="230">
        <f>AW143-AW142</f>
        <v>0</v>
      </c>
      <c r="AX147" s="229"/>
      <c r="AY147" s="230">
        <f>AY143-AY142</f>
        <v>0</v>
      </c>
      <c r="AZ147" s="846"/>
      <c r="BA147" s="847"/>
      <c r="BB147" s="856"/>
      <c r="BD147" s="229"/>
      <c r="BE147" s="230">
        <f>BE143-BE142</f>
        <v>0</v>
      </c>
      <c r="BG147" s="229"/>
      <c r="BH147" s="230">
        <f>BH143-BH142</f>
        <v>0</v>
      </c>
      <c r="BI147" s="229"/>
      <c r="BJ147" s="230">
        <f t="shared" ref="BJ147" si="208">BJ143-BJ142</f>
        <v>0</v>
      </c>
      <c r="BK147" s="229"/>
      <c r="BL147" s="230">
        <f t="shared" ref="BL147" si="209">BL143-BL142</f>
        <v>0</v>
      </c>
      <c r="BN147" s="229"/>
      <c r="BO147" s="230">
        <f>BO143-BO142</f>
        <v>0</v>
      </c>
      <c r="BQ147" s="229"/>
      <c r="BR147" s="230">
        <f>BR143-BR142</f>
        <v>1100</v>
      </c>
      <c r="BS147" s="229"/>
      <c r="BT147" s="230">
        <f>BT143-BT142</f>
        <v>1100</v>
      </c>
      <c r="BU147" s="229"/>
      <c r="BV147" s="230">
        <f>BV143-BV142</f>
        <v>1100</v>
      </c>
    </row>
    <row r="148" spans="1:74" outlineLevel="1" x14ac:dyDescent="0.45">
      <c r="A148" s="561"/>
      <c r="B148" s="1187"/>
      <c r="C148" s="232"/>
      <c r="D148" s="227"/>
      <c r="E148" s="228" t="s">
        <v>133</v>
      </c>
      <c r="F148" s="229"/>
      <c r="G148" s="230">
        <f>G147*G137</f>
        <v>167219.45247933886</v>
      </c>
      <c r="H148" s="229"/>
      <c r="I148" s="230">
        <f>I147*I137</f>
        <v>14415.470041322315</v>
      </c>
      <c r="J148" s="229"/>
      <c r="K148" s="230">
        <f>K147*K137</f>
        <v>14415.470041322315</v>
      </c>
      <c r="L148" s="229"/>
      <c r="M148" s="230">
        <f>M147*M137</f>
        <v>14415.470041322315</v>
      </c>
      <c r="N148" s="229"/>
      <c r="O148" s="588">
        <f>O147*O140</f>
        <v>127491.39979338842</v>
      </c>
      <c r="P148" s="229"/>
      <c r="Q148" s="588">
        <f>Q147*Q140</f>
        <v>127106.40495867768</v>
      </c>
      <c r="R148" s="229"/>
      <c r="S148" s="588">
        <f>S147*S140</f>
        <v>127106.40495867768</v>
      </c>
      <c r="T148" s="229"/>
      <c r="U148" s="588">
        <f>U147*U140</f>
        <v>127491.39979338842</v>
      </c>
      <c r="V148" s="229"/>
      <c r="W148" s="588">
        <f>W147*W140</f>
        <v>127491.39979338842</v>
      </c>
      <c r="X148" s="229"/>
      <c r="Y148" s="588">
        <f>Y147*Y140</f>
        <v>0</v>
      </c>
      <c r="Z148" s="229"/>
      <c r="AA148" s="588">
        <f>AA147*AA140</f>
        <v>0</v>
      </c>
      <c r="AB148" s="229"/>
      <c r="AC148" s="588">
        <f>AC147*AC140</f>
        <v>0</v>
      </c>
      <c r="AD148" s="229"/>
      <c r="AE148" s="588">
        <f>AE147*AE140</f>
        <v>0</v>
      </c>
      <c r="AF148" s="846"/>
      <c r="AG148" s="847"/>
      <c r="AH148" s="848"/>
      <c r="AI148" s="702"/>
      <c r="AJ148" s="229"/>
      <c r="AK148" s="588">
        <f>AK147*AK140</f>
        <v>0</v>
      </c>
      <c r="AL148" s="229"/>
      <c r="AM148" s="588">
        <f>AM147*AM140</f>
        <v>0</v>
      </c>
      <c r="AN148" s="229"/>
      <c r="AO148" s="588">
        <f>AO147*AO140</f>
        <v>0</v>
      </c>
      <c r="AP148" s="846"/>
      <c r="AQ148" s="847"/>
      <c r="AR148" s="848"/>
      <c r="AS148" s="702"/>
      <c r="AT148" s="229"/>
      <c r="AU148" s="588">
        <f>AU147*AU140</f>
        <v>0</v>
      </c>
      <c r="AV148" s="229"/>
      <c r="AW148" s="588">
        <f>AW147*AW140</f>
        <v>0</v>
      </c>
      <c r="AX148" s="229"/>
      <c r="AY148" s="588">
        <f>AY147*AY140</f>
        <v>0</v>
      </c>
      <c r="AZ148" s="846"/>
      <c r="BA148" s="847"/>
      <c r="BB148" s="856"/>
      <c r="BD148" s="229"/>
      <c r="BE148" s="588">
        <f>BE147*BE140</f>
        <v>0</v>
      </c>
      <c r="BG148" s="229"/>
      <c r="BH148" s="588">
        <f>BH147*BH140</f>
        <v>0</v>
      </c>
      <c r="BI148" s="229"/>
      <c r="BJ148" s="588">
        <f t="shared" ref="BJ148" si="210">BJ147*BJ140</f>
        <v>0</v>
      </c>
      <c r="BK148" s="229"/>
      <c r="BL148" s="588">
        <f t="shared" ref="BL148" si="211">BL147*BL140</f>
        <v>0</v>
      </c>
      <c r="BN148" s="229"/>
      <c r="BO148" s="588">
        <f>BO147*BO140</f>
        <v>0</v>
      </c>
      <c r="BQ148" s="229"/>
      <c r="BR148" s="588">
        <f>BR147*BR140</f>
        <v>451143</v>
      </c>
      <c r="BS148" s="229"/>
      <c r="BT148" s="588">
        <f>BT147*BT140</f>
        <v>451143</v>
      </c>
      <c r="BU148" s="229"/>
      <c r="BV148" s="588">
        <f>BV147*BV140</f>
        <v>451143</v>
      </c>
    </row>
    <row r="149" spans="1:74" x14ac:dyDescent="0.45">
      <c r="A149" s="561"/>
      <c r="B149" s="1187"/>
      <c r="C149" s="233"/>
      <c r="D149" s="234"/>
      <c r="E149" s="234"/>
      <c r="F149" s="235"/>
      <c r="G149" s="236"/>
      <c r="H149" s="235"/>
      <c r="I149" s="236"/>
      <c r="J149" s="235"/>
      <c r="K149" s="236"/>
      <c r="L149" s="235"/>
      <c r="M149" s="236"/>
      <c r="N149" s="381"/>
      <c r="O149" s="385"/>
      <c r="P149" s="381"/>
      <c r="Q149" s="385"/>
      <c r="R149" s="381"/>
      <c r="S149" s="385"/>
      <c r="T149" s="381"/>
      <c r="U149" s="385"/>
      <c r="V149" s="381"/>
      <c r="W149" s="385"/>
      <c r="X149" s="381"/>
      <c r="Y149" s="385"/>
      <c r="Z149" s="381"/>
      <c r="AA149" s="385"/>
      <c r="AB149" s="381"/>
      <c r="AC149" s="385"/>
      <c r="AD149" s="381"/>
      <c r="AE149" s="385"/>
      <c r="AF149" s="548"/>
      <c r="AG149" s="645"/>
      <c r="AH149" s="547"/>
      <c r="AI149" s="665"/>
      <c r="AJ149" s="381"/>
      <c r="AK149" s="385"/>
      <c r="AL149" s="381"/>
      <c r="AM149" s="385"/>
      <c r="AN149" s="381"/>
      <c r="AO149" s="385"/>
      <c r="AP149" s="548"/>
      <c r="AQ149" s="645"/>
      <c r="AR149" s="547"/>
      <c r="AS149" s="665"/>
      <c r="AT149" s="381"/>
      <c r="AU149" s="385"/>
      <c r="AV149" s="381"/>
      <c r="AW149" s="385"/>
      <c r="AX149" s="381"/>
      <c r="AY149" s="385"/>
      <c r="AZ149" s="548"/>
      <c r="BA149" s="645"/>
      <c r="BB149" s="645"/>
      <c r="BD149" s="381"/>
      <c r="BE149" s="385"/>
      <c r="BG149" s="381"/>
      <c r="BH149" s="385"/>
      <c r="BI149" s="381"/>
      <c r="BJ149" s="385"/>
      <c r="BK149" s="381"/>
      <c r="BL149" s="385"/>
      <c r="BN149" s="381"/>
      <c r="BO149" s="385"/>
      <c r="BQ149" s="381"/>
      <c r="BR149" s="385"/>
      <c r="BS149" s="381"/>
      <c r="BT149" s="385"/>
      <c r="BU149" s="381"/>
      <c r="BV149" s="385"/>
    </row>
    <row r="150" spans="1:74" ht="14.65" thickBot="1" x14ac:dyDescent="0.5">
      <c r="A150" s="561"/>
      <c r="B150" s="1188"/>
      <c r="C150" s="301" t="s">
        <v>134</v>
      </c>
      <c r="D150" s="302"/>
      <c r="E150" s="303"/>
      <c r="F150" s="304"/>
      <c r="G150" s="305">
        <f>G105*G136</f>
        <v>175306.35700625466</v>
      </c>
      <c r="H150" s="304"/>
      <c r="I150" s="305">
        <f>I105*I136</f>
        <v>395955.49157733569</v>
      </c>
      <c r="J150" s="304"/>
      <c r="K150" s="305">
        <f>K105*K136</f>
        <v>395955.49157733569</v>
      </c>
      <c r="L150" s="304"/>
      <c r="M150" s="305">
        <f>M105*M136</f>
        <v>395955.49157733569</v>
      </c>
      <c r="N150" s="304"/>
      <c r="O150" s="305">
        <f>O105*O139</f>
        <v>413570.17465837253</v>
      </c>
      <c r="P150" s="304"/>
      <c r="Q150" s="305">
        <f>Q105*Q139</f>
        <v>93609.272325690472</v>
      </c>
      <c r="R150" s="304"/>
      <c r="S150" s="305">
        <f>S105*S139</f>
        <v>93609.272325690472</v>
      </c>
      <c r="T150" s="304"/>
      <c r="U150" s="305">
        <f>U105*U139</f>
        <v>167006.28794943861</v>
      </c>
      <c r="V150" s="304"/>
      <c r="W150" s="305">
        <f>W105*W139</f>
        <v>264235.68245591311</v>
      </c>
      <c r="X150" s="304"/>
      <c r="Y150" s="305">
        <f>Y105*Y139</f>
        <v>653027.35615760612</v>
      </c>
      <c r="Z150" s="304"/>
      <c r="AA150" s="305">
        <f>AA105*AA139</f>
        <v>212859.66601676296</v>
      </c>
      <c r="AB150" s="304"/>
      <c r="AC150" s="305">
        <f>AC105*AC139</f>
        <v>212859.66601676296</v>
      </c>
      <c r="AD150" s="304"/>
      <c r="AE150" s="305">
        <f>AE105*AE139</f>
        <v>212859.66601676296</v>
      </c>
      <c r="AF150" s="849"/>
      <c r="AG150" s="850"/>
      <c r="AH150" s="851"/>
      <c r="AI150" s="703"/>
      <c r="AJ150" s="304"/>
      <c r="AK150" s="305">
        <f>AK105*AK139</f>
        <v>212859.66601676296</v>
      </c>
      <c r="AL150" s="304"/>
      <c r="AM150" s="305">
        <f>AM105*AM139</f>
        <v>212859.66601676296</v>
      </c>
      <c r="AN150" s="304"/>
      <c r="AO150" s="305">
        <f>AO105*AO139</f>
        <v>212859.66601676296</v>
      </c>
      <c r="AP150" s="849"/>
      <c r="AQ150" s="850"/>
      <c r="AR150" s="851"/>
      <c r="AS150" s="703"/>
      <c r="AT150" s="304"/>
      <c r="AU150" s="305">
        <f>AU105*AU139</f>
        <v>212859.66601676296</v>
      </c>
      <c r="AV150" s="304"/>
      <c r="AW150" s="305">
        <f>AW105*AW139</f>
        <v>212859.66601676296</v>
      </c>
      <c r="AX150" s="304"/>
      <c r="AY150" s="305">
        <f>AY105*AY139</f>
        <v>212859.66601676296</v>
      </c>
      <c r="AZ150" s="849"/>
      <c r="BA150" s="850"/>
      <c r="BB150" s="857"/>
      <c r="BD150" s="304"/>
      <c r="BE150" s="305">
        <f>BE105*BE139</f>
        <v>224643.6829181716</v>
      </c>
      <c r="BG150" s="304"/>
      <c r="BH150" s="305">
        <f>BH105*BH139</f>
        <v>31478.229397044768</v>
      </c>
      <c r="BI150" s="304"/>
      <c r="BJ150" s="305">
        <f t="shared" ref="BJ150" si="212">BJ105*BJ139</f>
        <v>31478.229397044768</v>
      </c>
      <c r="BK150" s="304"/>
      <c r="BL150" s="305">
        <f t="shared" ref="BL150" si="213">BL105*BL139</f>
        <v>31478.229397044768</v>
      </c>
      <c r="BN150" s="304"/>
      <c r="BO150" s="305">
        <f>BO105*BO139</f>
        <v>388695.68291817029</v>
      </c>
      <c r="BQ150" s="304"/>
      <c r="BR150" s="305">
        <f>BR105*BR139</f>
        <v>245145.88636363638</v>
      </c>
      <c r="BS150" s="304"/>
      <c r="BT150" s="305">
        <f>BT105*BT139</f>
        <v>209582.16608391656</v>
      </c>
      <c r="BU150" s="304"/>
      <c r="BV150" s="305">
        <f>BV105*BV139</f>
        <v>820589.82482517511</v>
      </c>
    </row>
    <row r="151" spans="1:74" ht="14.65" thickTop="1" x14ac:dyDescent="0.45"/>
    <row r="152" spans="1:74" x14ac:dyDescent="0.45">
      <c r="O152" s="589"/>
      <c r="Q152" s="589"/>
      <c r="S152" s="589"/>
      <c r="U152" s="589"/>
      <c r="W152" s="589"/>
      <c r="Y152" s="589"/>
      <c r="AA152" s="589"/>
      <c r="AC152" s="589"/>
      <c r="AE152" s="589"/>
      <c r="AF152" s="589"/>
      <c r="AG152" s="589"/>
      <c r="AH152" s="589"/>
      <c r="AI152" s="589"/>
      <c r="AK152" s="589"/>
      <c r="AM152" s="589"/>
      <c r="AO152" s="589"/>
      <c r="AU152" s="589"/>
      <c r="AW152" s="589"/>
      <c r="AY152" s="589"/>
      <c r="AZ152" s="589"/>
      <c r="BA152" s="589"/>
      <c r="BB152" s="589"/>
      <c r="BE152" s="589"/>
      <c r="BH152" s="589"/>
      <c r="BJ152" s="589"/>
      <c r="BL152" s="589"/>
      <c r="BO152" s="589"/>
    </row>
    <row r="153" spans="1:74" x14ac:dyDescent="0.45">
      <c r="O153" s="589"/>
      <c r="Q153" s="589"/>
      <c r="S153" s="589"/>
      <c r="U153" s="589"/>
      <c r="W153" s="589"/>
      <c r="Y153" s="589"/>
      <c r="AA153" s="589"/>
      <c r="AC153" s="589"/>
      <c r="AE153" s="589"/>
      <c r="AF153" s="589"/>
      <c r="AG153" s="589"/>
      <c r="AH153" s="589"/>
      <c r="AI153" s="589"/>
      <c r="AK153" s="589"/>
      <c r="AM153" s="589"/>
      <c r="AO153" s="589"/>
      <c r="AU153" s="589"/>
      <c r="AW153" s="589"/>
      <c r="AY153" s="589"/>
      <c r="AZ153" s="589"/>
      <c r="BA153" s="589"/>
      <c r="BB153" s="589"/>
      <c r="BE153" s="589"/>
      <c r="BH153" s="589"/>
      <c r="BJ153" s="589"/>
      <c r="BL153" s="589"/>
      <c r="BO153" s="589"/>
    </row>
    <row r="155" spans="1:74" x14ac:dyDescent="0.45">
      <c r="O155" s="589"/>
      <c r="Q155" s="589"/>
      <c r="S155" s="589"/>
      <c r="U155" s="589"/>
      <c r="W155" s="589"/>
      <c r="Y155" s="589"/>
      <c r="AA155" s="589"/>
      <c r="AC155" s="589"/>
      <c r="AE155" s="589"/>
      <c r="AF155" s="589"/>
      <c r="AG155" s="589"/>
      <c r="AH155" s="589"/>
      <c r="AI155" s="589"/>
      <c r="AK155" s="589"/>
      <c r="AM155" s="589"/>
      <c r="AO155" s="589"/>
      <c r="AU155" s="589"/>
      <c r="AW155" s="589"/>
      <c r="AY155" s="589"/>
      <c r="AZ155" s="589"/>
      <c r="BA155" s="589"/>
      <c r="BB155" s="589"/>
      <c r="BE155" s="589"/>
      <c r="BH155" s="589"/>
      <c r="BJ155" s="589"/>
      <c r="BL155" s="589"/>
      <c r="BO155" s="589"/>
    </row>
    <row r="156" spans="1:74" x14ac:dyDescent="0.45">
      <c r="O156" s="593"/>
      <c r="Q156" s="593"/>
      <c r="S156" s="593"/>
      <c r="U156" s="593"/>
      <c r="W156" s="593"/>
      <c r="Y156" s="593"/>
      <c r="AA156" s="593"/>
      <c r="AC156" s="593"/>
      <c r="AE156" s="593"/>
      <c r="AF156" s="593"/>
      <c r="AG156" s="593"/>
      <c r="AH156" s="593"/>
      <c r="AI156" s="593"/>
      <c r="AK156" s="593"/>
      <c r="AM156" s="593"/>
      <c r="AO156" s="593"/>
      <c r="AU156" s="593"/>
      <c r="AW156" s="593"/>
      <c r="AY156" s="593"/>
      <c r="AZ156" s="593"/>
      <c r="BA156" s="593"/>
      <c r="BB156" s="593"/>
      <c r="BE156" s="593"/>
      <c r="BH156" s="593"/>
      <c r="BJ156" s="593"/>
      <c r="BL156" s="593"/>
      <c r="BO156" s="593"/>
    </row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  <row r="179" ht="15" hidden="1" customHeight="1" x14ac:dyDescent="0.45"/>
    <row r="180" ht="15" hidden="1" customHeight="1" x14ac:dyDescent="0.45"/>
    <row r="181" ht="15" hidden="1" customHeight="1" x14ac:dyDescent="0.45"/>
    <row r="182" ht="15" hidden="1" customHeight="1" x14ac:dyDescent="0.45"/>
    <row r="183" ht="15" hidden="1" customHeight="1" x14ac:dyDescent="0.45"/>
    <row r="184" ht="15" hidden="1" customHeight="1" x14ac:dyDescent="0.45"/>
  </sheetData>
  <mergeCells count="199">
    <mergeCell ref="BU9:BV9"/>
    <mergeCell ref="D12:E12"/>
    <mergeCell ref="B15:B21"/>
    <mergeCell ref="B22:B27"/>
    <mergeCell ref="B28:B33"/>
    <mergeCell ref="BD9:BE9"/>
    <mergeCell ref="BG9:BH9"/>
    <mergeCell ref="BI9:BJ9"/>
    <mergeCell ref="BK9:BL9"/>
    <mergeCell ref="BN9:BO9"/>
    <mergeCell ref="BQ9:BR9"/>
    <mergeCell ref="AJ9:AK9"/>
    <mergeCell ref="AL9:AM9"/>
    <mergeCell ref="AN9:AO9"/>
    <mergeCell ref="AT9:AU9"/>
    <mergeCell ref="AV9:AW9"/>
    <mergeCell ref="B6:B13"/>
    <mergeCell ref="F6:G6"/>
    <mergeCell ref="H6:I6"/>
    <mergeCell ref="J6:K6"/>
    <mergeCell ref="L6:M6"/>
    <mergeCell ref="N6:O6"/>
    <mergeCell ref="P6:Q6"/>
    <mergeCell ref="R6:S6"/>
    <mergeCell ref="BQ8:BR8"/>
    <mergeCell ref="BS8:BT8"/>
    <mergeCell ref="Z8:AA8"/>
    <mergeCell ref="AB8:AC8"/>
    <mergeCell ref="B131:B150"/>
    <mergeCell ref="B34:B39"/>
    <mergeCell ref="B40:B46"/>
    <mergeCell ref="B47:B53"/>
    <mergeCell ref="B54:B77"/>
    <mergeCell ref="B78:B91"/>
    <mergeCell ref="B107:B120"/>
    <mergeCell ref="BS9:BT9"/>
    <mergeCell ref="R8:S8"/>
    <mergeCell ref="T8:U8"/>
    <mergeCell ref="V8:W8"/>
    <mergeCell ref="X8:Y8"/>
    <mergeCell ref="AX9:AY9"/>
    <mergeCell ref="T9:U9"/>
    <mergeCell ref="V9:W9"/>
    <mergeCell ref="X9:Y9"/>
    <mergeCell ref="Z9:AA9"/>
    <mergeCell ref="AB9:AC9"/>
    <mergeCell ref="AD9:AE9"/>
    <mergeCell ref="BD8:BE8"/>
    <mergeCell ref="BG8:BH8"/>
    <mergeCell ref="BI8:BJ8"/>
    <mergeCell ref="BK8:BL8"/>
    <mergeCell ref="BN8:BO8"/>
    <mergeCell ref="AD8:AE8"/>
    <mergeCell ref="AJ8:AK8"/>
    <mergeCell ref="AL8:AM8"/>
    <mergeCell ref="AN8:AO8"/>
    <mergeCell ref="AT8:AU8"/>
    <mergeCell ref="AV8:AW8"/>
    <mergeCell ref="BU7:BV7"/>
    <mergeCell ref="AN7:AO7"/>
    <mergeCell ref="AT7:AU7"/>
    <mergeCell ref="AV7:AW7"/>
    <mergeCell ref="AX7:AY7"/>
    <mergeCell ref="BD7:BE7"/>
    <mergeCell ref="BG7:BH7"/>
    <mergeCell ref="F8:G8"/>
    <mergeCell ref="H8:I8"/>
    <mergeCell ref="J8:K8"/>
    <mergeCell ref="L8:M8"/>
    <mergeCell ref="N8:O8"/>
    <mergeCell ref="P8:Q8"/>
    <mergeCell ref="BI7:BJ7"/>
    <mergeCell ref="BK7:BL7"/>
    <mergeCell ref="BN7:BO7"/>
    <mergeCell ref="X7:Y7"/>
    <mergeCell ref="Z7:AA7"/>
    <mergeCell ref="AB7:AC7"/>
    <mergeCell ref="AD7:AE7"/>
    <mergeCell ref="AJ7:AK7"/>
    <mergeCell ref="AL7:AM7"/>
    <mergeCell ref="BU8:BV8"/>
    <mergeCell ref="AX8:AY8"/>
    <mergeCell ref="V7:W7"/>
    <mergeCell ref="BG6:BH6"/>
    <mergeCell ref="BI6:BJ6"/>
    <mergeCell ref="BK6:BL6"/>
    <mergeCell ref="BN6:BO6"/>
    <mergeCell ref="BQ6:BR6"/>
    <mergeCell ref="BS6:BT6"/>
    <mergeCell ref="AL6:AM6"/>
    <mergeCell ref="AN6:AO6"/>
    <mergeCell ref="AT6:AU6"/>
    <mergeCell ref="AV6:AW6"/>
    <mergeCell ref="AX6:AY6"/>
    <mergeCell ref="BD6:BE6"/>
    <mergeCell ref="V6:W6"/>
    <mergeCell ref="X6:Y6"/>
    <mergeCell ref="BQ7:BR7"/>
    <mergeCell ref="BS7:BT7"/>
    <mergeCell ref="T6:U6"/>
    <mergeCell ref="F7:G7"/>
    <mergeCell ref="H7:I7"/>
    <mergeCell ref="J7:K7"/>
    <mergeCell ref="L7:M7"/>
    <mergeCell ref="N7:O7"/>
    <mergeCell ref="P7:Q7"/>
    <mergeCell ref="R7:S7"/>
    <mergeCell ref="T7:U7"/>
    <mergeCell ref="F9:G9"/>
    <mergeCell ref="H9:I9"/>
    <mergeCell ref="J9:K9"/>
    <mergeCell ref="L9:M9"/>
    <mergeCell ref="N9:O9"/>
    <mergeCell ref="P9:Q9"/>
    <mergeCell ref="R9:S9"/>
    <mergeCell ref="BS3:BT3"/>
    <mergeCell ref="Z3:AA3"/>
    <mergeCell ref="AB3:AC3"/>
    <mergeCell ref="AD3:AE3"/>
    <mergeCell ref="Z6:AA6"/>
    <mergeCell ref="AB6:AC6"/>
    <mergeCell ref="AD6:AE6"/>
    <mergeCell ref="AJ6:AK6"/>
    <mergeCell ref="F4:G5"/>
    <mergeCell ref="H4:I5"/>
    <mergeCell ref="J4:K5"/>
    <mergeCell ref="L4:M5"/>
    <mergeCell ref="N4:O5"/>
    <mergeCell ref="P4:Q5"/>
    <mergeCell ref="R4:S5"/>
    <mergeCell ref="T4:U5"/>
    <mergeCell ref="T3:U3"/>
    <mergeCell ref="BU6:BV6"/>
    <mergeCell ref="BI3:BJ3"/>
    <mergeCell ref="BK3:BL3"/>
    <mergeCell ref="BN3:BO3"/>
    <mergeCell ref="BQ3:BR3"/>
    <mergeCell ref="AJ3:AK3"/>
    <mergeCell ref="AL3:AM3"/>
    <mergeCell ref="AN3:AO3"/>
    <mergeCell ref="AT3:AU3"/>
    <mergeCell ref="AV3:AW3"/>
    <mergeCell ref="AX3:AY3"/>
    <mergeCell ref="BD3:BE3"/>
    <mergeCell ref="BU4:BV5"/>
    <mergeCell ref="BG4:BH5"/>
    <mergeCell ref="BI4:BJ5"/>
    <mergeCell ref="BK4:BL5"/>
    <mergeCell ref="BN4:BO5"/>
    <mergeCell ref="BQ4:BR5"/>
    <mergeCell ref="BS4:BT5"/>
    <mergeCell ref="AL4:AM5"/>
    <mergeCell ref="AN4:AO5"/>
    <mergeCell ref="AT4:AU5"/>
    <mergeCell ref="AV4:AW5"/>
    <mergeCell ref="V3:W3"/>
    <mergeCell ref="X3:Y3"/>
    <mergeCell ref="AX4:AY5"/>
    <mergeCell ref="BD4:BE5"/>
    <mergeCell ref="V4:W5"/>
    <mergeCell ref="X4:Y5"/>
    <mergeCell ref="Z4:AA5"/>
    <mergeCell ref="AB4:AC5"/>
    <mergeCell ref="AD4:AE5"/>
    <mergeCell ref="AJ4:AK5"/>
    <mergeCell ref="BQ2:BR2"/>
    <mergeCell ref="BS2:BT2"/>
    <mergeCell ref="BU2:BV2"/>
    <mergeCell ref="F3:G3"/>
    <mergeCell ref="H3:I3"/>
    <mergeCell ref="J3:K3"/>
    <mergeCell ref="L3:M3"/>
    <mergeCell ref="N3:O3"/>
    <mergeCell ref="P3:Q3"/>
    <mergeCell ref="R3:S3"/>
    <mergeCell ref="AD2:AE2"/>
    <mergeCell ref="BD2:BE2"/>
    <mergeCell ref="BG2:BH2"/>
    <mergeCell ref="BI2:BJ2"/>
    <mergeCell ref="BK2:BL2"/>
    <mergeCell ref="BN2:BO2"/>
    <mergeCell ref="R2:S2"/>
    <mergeCell ref="T2:U2"/>
    <mergeCell ref="V2:W2"/>
    <mergeCell ref="X2:Y2"/>
    <mergeCell ref="Z2:AA2"/>
    <mergeCell ref="AB2:AC2"/>
    <mergeCell ref="BU3:BV3"/>
    <mergeCell ref="BG3:BH3"/>
    <mergeCell ref="N1:S1"/>
    <mergeCell ref="Z1:AE1"/>
    <mergeCell ref="AJ1:AO1"/>
    <mergeCell ref="AT1:AY1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F611-67F9-4AC7-B9C9-9E151589FB4B}">
  <sheetPr>
    <pageSetUpPr fitToPage="1"/>
  </sheetPr>
  <dimension ref="A1:FC276"/>
  <sheetViews>
    <sheetView showGridLines="0" zoomScale="84" zoomScaleNormal="85" zoomScaleSheetLayoutView="80" workbookViewId="0">
      <pane xSplit="5" ySplit="6" topLeftCell="ER33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3" outlineLevelCol="2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2.73046875" hidden="1" customWidth="1" outlineLevel="2"/>
    <col min="7" max="9" width="13.3984375" hidden="1" customWidth="1" outlineLevel="2"/>
    <col min="10" max="10" width="11.59765625" hidden="1" customWidth="1" collapsed="1"/>
    <col min="11" max="11" width="13.73046875" hidden="1" customWidth="1"/>
    <col min="12" max="12" width="13.59765625" hidden="1" customWidth="1"/>
    <col min="13" max="13" width="13.73046875" hidden="1" customWidth="1"/>
    <col min="14" max="14" width="11.59765625" hidden="1" customWidth="1" outlineLevel="1"/>
    <col min="15" max="15" width="13.73046875" hidden="1" customWidth="1" outlineLevel="1"/>
    <col min="16" max="16" width="11.59765625" hidden="1" customWidth="1" outlineLevel="1"/>
    <col min="17" max="17" width="13.73046875" hidden="1" customWidth="1" outlineLevel="1"/>
    <col min="18" max="18" width="10.59765625" hidden="1" customWidth="1" outlineLevel="1"/>
    <col min="19" max="19" width="13.265625" style="1" hidden="1" customWidth="1" outlineLevel="2"/>
    <col min="20" max="20" width="15.73046875" style="1" hidden="1" customWidth="1" outlineLevel="2"/>
    <col min="21" max="22" width="13.86328125" style="1" hidden="1" customWidth="1" outlineLevel="2"/>
    <col min="23" max="23" width="13.86328125" hidden="1" customWidth="1" outlineLevel="1"/>
    <col min="24" max="24" width="13.73046875" hidden="1" customWidth="1" outlineLevel="1"/>
    <col min="25" max="25" width="12.73046875" hidden="1" customWidth="1" outlineLevel="1"/>
    <col min="26" max="26" width="13.73046875" hidden="1" customWidth="1" outlineLevel="1"/>
    <col min="27" max="27" width="12.73046875" hidden="1" customWidth="1" outlineLevel="1"/>
    <col min="28" max="28" width="13.73046875" hidden="1" customWidth="1" outlineLevel="1"/>
    <col min="29" max="29" width="12.73046875" hidden="1" customWidth="1" outlineLevel="1"/>
    <col min="30" max="30" width="13.73046875" hidden="1" customWidth="1" outlineLevel="1"/>
    <col min="31" max="31" width="14.1328125" hidden="1" customWidth="1" outlineLevel="1"/>
    <col min="32" max="32" width="16.73046875" hidden="1" customWidth="1" outlineLevel="1"/>
    <col min="33" max="33" width="4.3984375" hidden="1" customWidth="1" outlineLevel="1"/>
    <col min="34" max="34" width="11.265625" hidden="1" customWidth="1" outlineLevel="2"/>
    <col min="35" max="35" width="13.3984375" hidden="1" customWidth="1" outlineLevel="2"/>
    <col min="36" max="36" width="11.265625" hidden="1" customWidth="1" outlineLevel="2"/>
    <col min="37" max="37" width="13.3984375" hidden="1" customWidth="1" outlineLevel="2"/>
    <col min="38" max="38" width="13.3984375" hidden="1" customWidth="1" outlineLevel="1"/>
    <col min="39" max="39" width="13.73046875" hidden="1" customWidth="1" outlineLevel="1"/>
    <col min="40" max="40" width="13.3984375" hidden="1" customWidth="1" outlineLevel="1"/>
    <col min="41" max="41" width="13.73046875" hidden="1" customWidth="1" outlineLevel="1"/>
    <col min="42" max="42" width="13.3984375" hidden="1" customWidth="1" outlineLevel="1"/>
    <col min="43" max="43" width="13.73046875" hidden="1" customWidth="1" outlineLevel="1"/>
    <col min="44" max="44" width="13.3984375" hidden="1" customWidth="1" outlineLevel="1"/>
    <col min="45" max="45" width="13.73046875" hidden="1" customWidth="1" outlineLevel="1"/>
    <col min="46" max="46" width="12.73046875" hidden="1" customWidth="1" outlineLevel="1"/>
    <col min="47" max="47" width="15.73046875" hidden="1" customWidth="1" outlineLevel="1"/>
    <col min="48" max="48" width="4.73046875" hidden="1" customWidth="1" outlineLevel="1"/>
    <col min="49" max="49" width="12.73046875" hidden="1" customWidth="1" outlineLevel="2" collapsed="1"/>
    <col min="50" max="50" width="13.3984375" hidden="1" customWidth="1" outlineLevel="2"/>
    <col min="51" max="52" width="10.59765625" hidden="1" customWidth="1" outlineLevel="2"/>
    <col min="53" max="53" width="12.73046875" hidden="1" customWidth="1" outlineLevel="1"/>
    <col min="54" max="54" width="13.3984375" hidden="1" customWidth="1" outlineLevel="1"/>
    <col min="55" max="55" width="12.73046875" hidden="1" customWidth="1" outlineLevel="1" collapsed="1"/>
    <col min="56" max="56" width="13.3984375" hidden="1" customWidth="1" outlineLevel="1"/>
    <col min="57" max="57" width="12.73046875" hidden="1" customWidth="1" outlineLevel="1" collapsed="1"/>
    <col min="58" max="62" width="13.3984375" hidden="1" customWidth="1" outlineLevel="1"/>
    <col min="63" max="63" width="11.265625" hidden="1" customWidth="1" outlineLevel="1"/>
    <col min="64" max="64" width="12.265625" hidden="1" customWidth="1" outlineLevel="1"/>
    <col min="65" max="65" width="12.73046875" hidden="1" customWidth="1" outlineLevel="1"/>
    <col min="66" max="66" width="13.3984375" hidden="1" customWidth="1" outlineLevel="1"/>
    <col min="67" max="67" width="12.73046875" hidden="1" customWidth="1" outlineLevel="1"/>
    <col min="68" max="68" width="13.3984375" hidden="1" customWidth="1" outlineLevel="1"/>
    <col min="69" max="69" width="12.3984375" hidden="1" customWidth="1" outlineLevel="1" collapsed="1"/>
    <col min="70" max="70" width="12.3984375" hidden="1" customWidth="1" outlineLevel="1"/>
    <col min="71" max="72" width="11.265625" hidden="1" customWidth="1" outlineLevel="1"/>
    <col min="73" max="73" width="12.73046875" hidden="1" customWidth="1" outlineLevel="1"/>
    <col min="74" max="74" width="11.73046875" hidden="1" customWidth="1" outlineLevel="1"/>
    <col min="75" max="75" width="12.73046875" hidden="1" customWidth="1" outlineLevel="1" collapsed="1"/>
    <col min="76" max="76" width="11.73046875" hidden="1" customWidth="1" outlineLevel="1"/>
    <col min="77" max="77" width="12.73046875" hidden="1" customWidth="1" outlineLevel="1" collapsed="1"/>
    <col min="78" max="78" width="15" hidden="1" customWidth="1" outlineLevel="1"/>
    <col min="79" max="80" width="11.265625" hidden="1" customWidth="1" outlineLevel="1"/>
    <col min="81" max="81" width="12.73046875" hidden="1" customWidth="1" outlineLevel="1"/>
    <col min="82" max="82" width="13.3984375" hidden="1" customWidth="1" outlineLevel="1"/>
    <col min="83" max="83" width="12.73046875" hidden="1" customWidth="1" outlineLevel="1" collapsed="1"/>
    <col min="84" max="84" width="13.3984375" hidden="1" customWidth="1" outlineLevel="1"/>
    <col min="85" max="86" width="14.1328125" hidden="1" customWidth="1" outlineLevel="1"/>
    <col min="87" max="87" width="12.59765625" hidden="1" customWidth="1" collapsed="1"/>
    <col min="88" max="94" width="12.59765625" hidden="1" customWidth="1"/>
    <col min="95" max="95" width="9" hidden="1" customWidth="1"/>
    <col min="96" max="96" width="12.59765625" hidden="1" customWidth="1" collapsed="1"/>
    <col min="97" max="103" width="12.59765625" hidden="1" customWidth="1"/>
    <col min="104" max="104" width="9" hidden="1" customWidth="1"/>
    <col min="105" max="105" width="12.59765625" hidden="1" customWidth="1" collapsed="1"/>
    <col min="106" max="110" width="12.59765625" hidden="1" customWidth="1"/>
    <col min="111" max="111" width="9" hidden="1" customWidth="1"/>
    <col min="112" max="112" width="12.59765625" customWidth="1" collapsed="1"/>
    <col min="113" max="117" width="12.59765625" customWidth="1"/>
    <col min="118" max="118" width="9" customWidth="1"/>
    <col min="119" max="119" width="12.59765625" customWidth="1" collapsed="1"/>
    <col min="120" max="124" width="12.59765625" customWidth="1"/>
    <col min="125" max="125" width="9" customWidth="1"/>
    <col min="126" max="126" width="12.59765625" customWidth="1" collapsed="1"/>
    <col min="127" max="129" width="12.59765625" customWidth="1"/>
    <col min="130" max="130" width="9" customWidth="1"/>
    <col min="131" max="131" width="12.59765625" customWidth="1" collapsed="1"/>
    <col min="132" max="132" width="12.59765625" customWidth="1"/>
    <col min="133" max="133" width="9" customWidth="1"/>
    <col min="134" max="135" width="12.59765625" customWidth="1"/>
    <col min="136" max="136" width="9" customWidth="1"/>
    <col min="137" max="138" width="12.59765625" customWidth="1"/>
    <col min="139" max="139" width="9" customWidth="1"/>
    <col min="140" max="140" width="12.59765625" customWidth="1" collapsed="1"/>
    <col min="141" max="141" width="12.59765625" customWidth="1"/>
    <col min="142" max="142" width="9" customWidth="1"/>
    <col min="143" max="144" width="12.59765625" customWidth="1"/>
    <col min="145" max="145" width="9" customWidth="1"/>
    <col min="146" max="147" width="12.59765625" customWidth="1"/>
    <col min="148" max="148" width="12.59765625" customWidth="1" collapsed="1"/>
    <col min="149" max="149" width="12.59765625" customWidth="1"/>
    <col min="150" max="150" width="12.59765625" style="4" customWidth="1"/>
    <col min="151" max="152" width="12.59765625" customWidth="1"/>
    <col min="153" max="153" width="9" customWidth="1"/>
    <col min="154" max="154" width="12.59765625" customWidth="1" collapsed="1"/>
    <col min="155" max="159" width="12.59765625" customWidth="1"/>
    <col min="2003" max="2003" width="2.3984375" customWidth="1"/>
  </cols>
  <sheetData>
    <row r="1" spans="1:159" ht="14.25" hidden="1" customHeight="1" x14ac:dyDescent="0.45">
      <c r="S1"/>
      <c r="T1"/>
      <c r="U1"/>
      <c r="V1"/>
      <c r="CO1" s="1262" t="s">
        <v>320</v>
      </c>
      <c r="CP1" s="1262"/>
      <c r="CX1" s="1262" t="s">
        <v>320</v>
      </c>
      <c r="CY1" s="1262"/>
    </row>
    <row r="2" spans="1:159" ht="14.65" thickBot="1" x14ac:dyDescent="0.5">
      <c r="F2" s="1273" t="str">
        <f>F4</f>
        <v>GSS LOKAL 40</v>
      </c>
      <c r="G2" s="1273"/>
      <c r="H2" s="1273" t="str">
        <f>H4</f>
        <v>GSS LOKAL 40</v>
      </c>
      <c r="I2" s="1273"/>
      <c r="J2" s="1231" t="str">
        <f>J4</f>
        <v>GSS LOKAL 40</v>
      </c>
      <c r="K2" s="1231"/>
      <c r="L2" s="1231" t="str">
        <f>L4</f>
        <v>GSS LOKAL 40</v>
      </c>
      <c r="M2" s="1231"/>
      <c r="N2" s="1231" t="str">
        <f>N4</f>
        <v>GSS LOKAL 40</v>
      </c>
      <c r="O2" s="1231"/>
      <c r="P2" s="1273" t="str">
        <f>P4</f>
        <v>GSS LOKAL 40</v>
      </c>
      <c r="Q2" s="1273"/>
      <c r="R2" s="620"/>
      <c r="S2" s="1273" t="str">
        <f>S4</f>
        <v>IIP LOKAL 40</v>
      </c>
      <c r="T2" s="1273"/>
      <c r="U2" s="1273" t="str">
        <f>U4</f>
        <v>IIP LOKAL 40</v>
      </c>
      <c r="V2" s="1273"/>
      <c r="W2" s="1273" t="str">
        <f>W4</f>
        <v>IIP LOKAL 40</v>
      </c>
      <c r="X2" s="1273"/>
      <c r="Y2" s="1273" t="str">
        <f>Y4</f>
        <v>IIP LOKAL 40</v>
      </c>
      <c r="Z2" s="1273"/>
      <c r="AA2" s="1273" t="str">
        <f>AA4</f>
        <v>IIP LOKAL 40</v>
      </c>
      <c r="AB2" s="1273"/>
      <c r="AC2" s="1273" t="str">
        <f>AC4</f>
        <v>IIP LOKAL 40</v>
      </c>
      <c r="AD2" s="1273"/>
      <c r="AE2" s="1231" t="str">
        <f>AE4</f>
        <v>IIP LOKAL 40</v>
      </c>
      <c r="AF2" s="1231"/>
      <c r="AG2" s="620"/>
      <c r="AH2" s="1231" t="str">
        <f>AH4</f>
        <v>IHAG LOKAL 40</v>
      </c>
      <c r="AI2" s="1231"/>
      <c r="AJ2" s="1231" t="str">
        <f>AJ4</f>
        <v>IHAG LOKAL 40</v>
      </c>
      <c r="AK2" s="1231"/>
      <c r="AL2" s="1273" t="str">
        <f>AL4</f>
        <v>IHAG LOKAL 40</v>
      </c>
      <c r="AM2" s="1273"/>
      <c r="AN2" s="1273" t="str">
        <f>AN4</f>
        <v>IHAG LOKAL 40</v>
      </c>
      <c r="AO2" s="1273"/>
      <c r="AP2" s="1273" t="str">
        <f>AP4</f>
        <v>IHAG LOKAL 40</v>
      </c>
      <c r="AQ2" s="1273"/>
      <c r="AR2" s="1273" t="str">
        <f>AR4</f>
        <v>IHAG LOKAL 40</v>
      </c>
      <c r="AS2" s="1273"/>
      <c r="AT2" s="1231" t="str">
        <f>AT4</f>
        <v>IHAG LOKAL 40</v>
      </c>
      <c r="AU2" s="1231"/>
      <c r="AV2" s="620"/>
      <c r="AW2" s="1273" t="str">
        <f>AW4</f>
        <v>IHAG LOKAL 40</v>
      </c>
      <c r="AX2" s="1273"/>
      <c r="AY2" s="1273" t="str">
        <f>AY4</f>
        <v>GPD LOKAL 40</v>
      </c>
      <c r="AZ2" s="1273"/>
      <c r="BA2" s="1273" t="str">
        <f>BA4</f>
        <v>GPD LOKAL 40</v>
      </c>
      <c r="BB2" s="1273"/>
      <c r="BC2" s="1231" t="str">
        <f>BC4</f>
        <v>GPD LOKAL 40</v>
      </c>
      <c r="BD2" s="1231"/>
      <c r="BE2" s="1273" t="str">
        <f>BE4</f>
        <v>GPD LOKAL 40</v>
      </c>
      <c r="BF2" s="1273"/>
      <c r="BG2" s="1273" t="str">
        <f>BG4</f>
        <v>GPD LOKAL 40</v>
      </c>
      <c r="BH2" s="1273"/>
      <c r="BI2" s="1231" t="str">
        <f>BI4</f>
        <v>GPD LOKAL 40</v>
      </c>
      <c r="BJ2" s="1231"/>
      <c r="BK2" s="1281" t="str">
        <f>BK4</f>
        <v>CGSS MA 12</v>
      </c>
      <c r="BL2" s="1231"/>
      <c r="BM2" s="1231" t="str">
        <f>BM4</f>
        <v>CGSS MA 12</v>
      </c>
      <c r="BN2" s="1231"/>
      <c r="BO2" s="1231" t="str">
        <f>BO4</f>
        <v>CGSS MA 12</v>
      </c>
      <c r="BP2" s="1231"/>
      <c r="BQ2" s="1231" t="str">
        <f>BQ4</f>
        <v>CGSS MA 12</v>
      </c>
      <c r="BR2" s="1231"/>
      <c r="BS2" s="1273" t="str">
        <f>BS4</f>
        <v>PMAD LOKAL 12</v>
      </c>
      <c r="BT2" s="1273"/>
      <c r="BU2" s="1273" t="str">
        <f>BU4</f>
        <v>PMAD LOKAL 12</v>
      </c>
      <c r="BV2" s="1273"/>
      <c r="BW2" s="1273" t="str">
        <f>BW4</f>
        <v>PMAD LOKAL 12</v>
      </c>
      <c r="BX2" s="1273"/>
      <c r="BY2" s="1273" t="str">
        <f>BY4</f>
        <v>PMAD LOKAL 12</v>
      </c>
      <c r="BZ2" s="1273"/>
      <c r="CA2" s="1273" t="str">
        <f>CA4</f>
        <v>PMAJ LOKAL 24</v>
      </c>
      <c r="CB2" s="1273"/>
      <c r="CC2" s="1273" t="str">
        <f>CC4</f>
        <v>PMAJ LOKAL 24</v>
      </c>
      <c r="CD2" s="1273"/>
      <c r="CE2" s="1273" t="str">
        <f>CE4</f>
        <v>PMAJ LOKAL 24</v>
      </c>
      <c r="CF2" s="1273"/>
      <c r="CG2" s="1273" t="str">
        <f>CG4</f>
        <v>PMAJ LOKAL 24</v>
      </c>
      <c r="CH2" s="1273"/>
      <c r="CI2" s="1273" t="str">
        <f>CI4</f>
        <v>KBGN LOKAL 40</v>
      </c>
      <c r="CJ2" s="1273"/>
      <c r="CK2" s="1273" t="str">
        <f>CK4</f>
        <v>SM LOKAL 40</v>
      </c>
      <c r="CL2" s="1273"/>
      <c r="CM2" s="1273" t="str">
        <f>CM4</f>
        <v>AB LOKAL 40</v>
      </c>
      <c r="CN2" s="1273"/>
      <c r="CO2" s="1273" t="str">
        <f>CO4</f>
        <v>PA 230814 - PGAG LOKAL 12</v>
      </c>
      <c r="CP2" s="1273"/>
      <c r="CR2" s="1273" t="str">
        <f>CR4</f>
        <v>KBGN LOKAL 40</v>
      </c>
      <c r="CS2" s="1273"/>
      <c r="CT2" s="1273" t="str">
        <f>CT4</f>
        <v>SM LOKAL 40</v>
      </c>
      <c r="CU2" s="1273"/>
      <c r="CV2" s="1273" t="str">
        <f>CV4</f>
        <v>AB LOKAL 40</v>
      </c>
      <c r="CW2" s="1273"/>
      <c r="CX2" s="1273" t="str">
        <f>CX4</f>
        <v>PA 230814 - PGAG LOKAL 12</v>
      </c>
      <c r="CY2" s="1273"/>
      <c r="DA2" s="1273" t="str">
        <f>DA4</f>
        <v>KBGN LOKAL 40</v>
      </c>
      <c r="DB2" s="1273"/>
      <c r="DC2" s="1273" t="str">
        <f>DC4</f>
        <v>SM LOKAL 40</v>
      </c>
      <c r="DD2" s="1273"/>
      <c r="DE2" s="1273" t="str">
        <f>DE4</f>
        <v>AB LOKAL 40</v>
      </c>
      <c r="DF2" s="1273"/>
      <c r="DH2" s="1273" t="str">
        <f>DH4</f>
        <v>KBGN LOKAL 40</v>
      </c>
      <c r="DI2" s="1273"/>
      <c r="DJ2" s="1273" t="str">
        <f>DJ4</f>
        <v>SM LOKAL 40</v>
      </c>
      <c r="DK2" s="1273"/>
      <c r="DL2" s="1273" t="str">
        <f>DL4</f>
        <v>AB LOKAL 40</v>
      </c>
      <c r="DM2" s="1273"/>
      <c r="DO2" s="1273" t="str">
        <f>DO4</f>
        <v>KBGN LOKAL 40</v>
      </c>
      <c r="DP2" s="1273"/>
      <c r="DQ2" s="1273" t="str">
        <f>DQ4</f>
        <v>SM LOKAL 40</v>
      </c>
      <c r="DR2" s="1273"/>
      <c r="DS2" s="1273" t="str">
        <f>DS4</f>
        <v>AB LOKAL 40</v>
      </c>
      <c r="DT2" s="1273"/>
      <c r="DV2" s="1273" t="str">
        <f>DV4</f>
        <v>KBGN LOKAL 40</v>
      </c>
      <c r="DW2" s="1273"/>
      <c r="DX2" s="1273" t="str">
        <f>DX4</f>
        <v>SM LOKAL 40</v>
      </c>
      <c r="DY2" s="1273"/>
      <c r="EA2" s="1273" t="str">
        <f>EA4</f>
        <v>KBGN LOKAL 40</v>
      </c>
      <c r="EB2" s="1273"/>
      <c r="ED2" s="1273" t="str">
        <f>ED4</f>
        <v>SM LOKAL 40</v>
      </c>
      <c r="EE2" s="1273"/>
      <c r="EG2" s="1273" t="str">
        <f>EG4</f>
        <v>SM LOKAL 40</v>
      </c>
      <c r="EH2" s="1273"/>
      <c r="EJ2" s="1273" t="str">
        <f>EJ4</f>
        <v>KBGN LOKAL 40</v>
      </c>
      <c r="EK2" s="1273"/>
      <c r="EM2" s="1273" t="str">
        <f>EM4</f>
        <v>SM LOKAL 40</v>
      </c>
      <c r="EN2" s="1273"/>
      <c r="EP2" s="1273" t="str">
        <f>EP4</f>
        <v>SM LOKAL 40</v>
      </c>
      <c r="EQ2" s="1273"/>
      <c r="ER2" s="1273" t="str">
        <f>ER4</f>
        <v>KBGN LOKAL 40</v>
      </c>
      <c r="ES2" s="1273"/>
      <c r="EU2" s="1273" t="str">
        <f>EU4</f>
        <v>SM LOKAL 40</v>
      </c>
      <c r="EV2" s="1273"/>
      <c r="EX2" s="1273" t="str">
        <f>EX4</f>
        <v>KBGN Vlok 40</v>
      </c>
      <c r="EY2" s="1273"/>
      <c r="EZ2" s="1273" t="str">
        <f>EZ4</f>
        <v>SM Vlok 40</v>
      </c>
      <c r="FA2" s="1273"/>
      <c r="FB2" s="1273" t="str">
        <f>FB4</f>
        <v>AB Vlok 40</v>
      </c>
      <c r="FC2" s="1273"/>
    </row>
    <row r="3" spans="1:159" s="4" customFormat="1" ht="21.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29">
        <v>2021</v>
      </c>
      <c r="I3" s="1329"/>
      <c r="J3" s="1318" t="s">
        <v>446</v>
      </c>
      <c r="K3" s="1264"/>
      <c r="L3" s="1318" t="s">
        <v>447</v>
      </c>
      <c r="M3" s="1264"/>
      <c r="N3" s="1318" t="s">
        <v>448</v>
      </c>
      <c r="O3" s="1264"/>
      <c r="P3" s="1319" t="s">
        <v>449</v>
      </c>
      <c r="Q3" s="1320"/>
      <c r="R3" s="624"/>
      <c r="S3" s="1327">
        <v>2020</v>
      </c>
      <c r="T3" s="1328"/>
      <c r="U3" s="1329">
        <v>2021</v>
      </c>
      <c r="V3" s="1329"/>
      <c r="W3" s="1318" t="s">
        <v>446</v>
      </c>
      <c r="X3" s="1264"/>
      <c r="Y3" s="1318" t="s">
        <v>447</v>
      </c>
      <c r="Z3" s="1264"/>
      <c r="AA3" s="1318" t="s">
        <v>448</v>
      </c>
      <c r="AB3" s="1264"/>
      <c r="AC3" s="1319" t="s">
        <v>449</v>
      </c>
      <c r="AD3" s="1320"/>
      <c r="AE3" s="1256" t="e">
        <f>#REF!</f>
        <v>#REF!</v>
      </c>
      <c r="AF3" s="1257"/>
      <c r="AG3" s="624"/>
      <c r="AH3" s="1327">
        <v>2020</v>
      </c>
      <c r="AI3" s="1328"/>
      <c r="AJ3" s="1329">
        <v>2021</v>
      </c>
      <c r="AK3" s="1329"/>
      <c r="AL3" s="1318" t="s">
        <v>446</v>
      </c>
      <c r="AM3" s="1264"/>
      <c r="AN3" s="1318" t="s">
        <v>447</v>
      </c>
      <c r="AO3" s="1264"/>
      <c r="AP3" s="1318" t="s">
        <v>448</v>
      </c>
      <c r="AQ3" s="1264"/>
      <c r="AR3" s="1319" t="s">
        <v>449</v>
      </c>
      <c r="AS3" s="1320"/>
      <c r="AT3" s="1318" t="e">
        <f>AE3</f>
        <v>#REF!</v>
      </c>
      <c r="AU3" s="1355"/>
      <c r="AV3" s="621"/>
      <c r="AW3" s="1264" t="s">
        <v>450</v>
      </c>
      <c r="AX3" s="1264"/>
      <c r="AY3" s="1329">
        <v>2021</v>
      </c>
      <c r="AZ3" s="1329"/>
      <c r="BA3" s="1318" t="s">
        <v>446</v>
      </c>
      <c r="BB3" s="1264"/>
      <c r="BC3" s="1318" t="str">
        <f>AL3</f>
        <v>S1 2022</v>
      </c>
      <c r="BD3" s="1257"/>
      <c r="BE3" s="1256" t="str">
        <f>AN3</f>
        <v>Q3 2022</v>
      </c>
      <c r="BF3" s="1257"/>
      <c r="BG3" s="1256" t="str">
        <f>AP3</f>
        <v>Q4 2022</v>
      </c>
      <c r="BH3" s="1257"/>
      <c r="BI3" s="1319" t="str">
        <f>AR3</f>
        <v>2023</v>
      </c>
      <c r="BJ3" s="1320"/>
      <c r="BK3" s="1256" t="str">
        <f>BC3</f>
        <v>S1 2022</v>
      </c>
      <c r="BL3" s="1257"/>
      <c r="BM3" s="1256" t="str">
        <f>BE3</f>
        <v>Q3 2022</v>
      </c>
      <c r="BN3" s="1257"/>
      <c r="BO3" s="1256" t="str">
        <f>BG3</f>
        <v>Q4 2022</v>
      </c>
      <c r="BP3" s="1257"/>
      <c r="BQ3" s="1331" t="str">
        <f>BI3</f>
        <v>2023</v>
      </c>
      <c r="BR3" s="1332"/>
      <c r="BS3" s="1256" t="str">
        <f>BK3</f>
        <v>S1 2022</v>
      </c>
      <c r="BT3" s="1257"/>
      <c r="BU3" s="1256" t="str">
        <f>BM3</f>
        <v>Q3 2022</v>
      </c>
      <c r="BV3" s="1257"/>
      <c r="BW3" s="1256" t="str">
        <f>BO3</f>
        <v>Q4 2022</v>
      </c>
      <c r="BX3" s="1257"/>
      <c r="BY3" s="1331" t="str">
        <f>BQ3</f>
        <v>2023</v>
      </c>
      <c r="BZ3" s="1332"/>
      <c r="CA3" s="1256" t="str">
        <f>BS3</f>
        <v>S1 2022</v>
      </c>
      <c r="CB3" s="1257"/>
      <c r="CC3" s="1256" t="str">
        <f t="shared" ref="CC3" si="0">BU3</f>
        <v>Q3 2022</v>
      </c>
      <c r="CD3" s="1257"/>
      <c r="CE3" s="1256" t="str">
        <f t="shared" ref="CE3" si="1">BW3</f>
        <v>Q4 2022</v>
      </c>
      <c r="CF3" s="1257"/>
      <c r="CG3" s="1331" t="str">
        <f t="shared" ref="CG3" si="2">BY3</f>
        <v>2023</v>
      </c>
      <c r="CH3" s="1332"/>
      <c r="CI3" s="1263" t="s">
        <v>399</v>
      </c>
      <c r="CJ3" s="1264"/>
      <c r="CK3" s="1263" t="s">
        <v>399</v>
      </c>
      <c r="CL3" s="1264"/>
      <c r="CM3" s="1263" t="s">
        <v>399</v>
      </c>
      <c r="CN3" s="1264"/>
      <c r="CO3" s="1263" t="s">
        <v>399</v>
      </c>
      <c r="CP3" s="1264"/>
      <c r="CR3" s="1263" t="s">
        <v>451</v>
      </c>
      <c r="CS3" s="1264"/>
      <c r="CT3" s="1263" t="s">
        <v>451</v>
      </c>
      <c r="CU3" s="1264"/>
      <c r="CV3" s="1263" t="s">
        <v>451</v>
      </c>
      <c r="CW3" s="1264"/>
      <c r="CX3" s="1263" t="s">
        <v>451</v>
      </c>
      <c r="CY3" s="1264"/>
      <c r="DA3" s="1263" t="s">
        <v>401</v>
      </c>
      <c r="DB3" s="1264"/>
      <c r="DC3" s="1263" t="s">
        <v>401</v>
      </c>
      <c r="DD3" s="1264"/>
      <c r="DE3" s="1263" t="s">
        <v>401</v>
      </c>
      <c r="DF3" s="1264"/>
      <c r="DH3" s="1263" t="s">
        <v>402</v>
      </c>
      <c r="DI3" s="1264"/>
      <c r="DJ3" s="1263" t="s">
        <v>402</v>
      </c>
      <c r="DK3" s="1264"/>
      <c r="DL3" s="1263" t="s">
        <v>402</v>
      </c>
      <c r="DM3" s="1264"/>
      <c r="DO3" s="1263" t="s">
        <v>347</v>
      </c>
      <c r="DP3" s="1264"/>
      <c r="DQ3" s="1263" t="s">
        <v>347</v>
      </c>
      <c r="DR3" s="1264"/>
      <c r="DS3" s="1263" t="s">
        <v>347</v>
      </c>
      <c r="DT3" s="1264"/>
      <c r="DV3" s="1263" t="s">
        <v>403</v>
      </c>
      <c r="DW3" s="1264"/>
      <c r="DX3" s="1263" t="str">
        <f>DV3</f>
        <v>Apr 2024 - Cambodia</v>
      </c>
      <c r="DY3" s="1264"/>
      <c r="EA3" s="1263" t="s">
        <v>697</v>
      </c>
      <c r="EB3" s="1264"/>
      <c r="ED3" s="1263" t="s">
        <v>705</v>
      </c>
      <c r="EE3" s="1264"/>
      <c r="EG3" s="1263" t="s">
        <v>708</v>
      </c>
      <c r="EH3" s="1264"/>
      <c r="EJ3" s="1263" t="s">
        <v>711</v>
      </c>
      <c r="EK3" s="1264"/>
      <c r="EM3" s="1263" t="s">
        <v>724</v>
      </c>
      <c r="EN3" s="1264"/>
      <c r="EP3" s="1263" t="s">
        <v>726</v>
      </c>
      <c r="EQ3" s="1264"/>
      <c r="ER3" s="1263" t="s">
        <v>726</v>
      </c>
      <c r="ES3" s="1264"/>
      <c r="EU3" s="1263" t="s">
        <v>727</v>
      </c>
      <c r="EV3" s="1264"/>
      <c r="EX3" s="1263" t="s">
        <v>713</v>
      </c>
      <c r="EY3" s="1264"/>
      <c r="EZ3" s="1263" t="s">
        <v>713</v>
      </c>
      <c r="FA3" s="1264"/>
      <c r="FB3" s="1263" t="s">
        <v>713</v>
      </c>
      <c r="FC3" s="1264"/>
    </row>
    <row r="4" spans="1:159" s="4" customFormat="1" ht="21.75" thickTop="1" thickBot="1" x14ac:dyDescent="0.5">
      <c r="A4" s="561"/>
      <c r="B4" s="2"/>
      <c r="C4" s="3"/>
      <c r="D4" s="6"/>
      <c r="E4" s="245"/>
      <c r="F4" s="1305" t="s">
        <v>2</v>
      </c>
      <c r="G4" s="1306"/>
      <c r="H4" s="1305" t="s">
        <v>2</v>
      </c>
      <c r="I4" s="1306"/>
      <c r="J4" s="1305" t="s">
        <v>2</v>
      </c>
      <c r="K4" s="1306"/>
      <c r="L4" s="1305" t="s">
        <v>2</v>
      </c>
      <c r="M4" s="1306"/>
      <c r="N4" s="1305" t="s">
        <v>2</v>
      </c>
      <c r="O4" s="1306"/>
      <c r="P4" s="1305" t="s">
        <v>2</v>
      </c>
      <c r="Q4" s="1306"/>
      <c r="R4" s="667"/>
      <c r="S4" s="1314" t="s">
        <v>3</v>
      </c>
      <c r="T4" s="1315"/>
      <c r="U4" s="1314" t="s">
        <v>3</v>
      </c>
      <c r="V4" s="1315"/>
      <c r="W4" s="1314" t="s">
        <v>3</v>
      </c>
      <c r="X4" s="1315"/>
      <c r="Y4" s="1314" t="s">
        <v>3</v>
      </c>
      <c r="Z4" s="1315"/>
      <c r="AA4" s="1314" t="s">
        <v>3</v>
      </c>
      <c r="AB4" s="1315"/>
      <c r="AC4" s="1314" t="s">
        <v>3</v>
      </c>
      <c r="AD4" s="1315"/>
      <c r="AE4" s="1314" t="s">
        <v>3</v>
      </c>
      <c r="AF4" s="1315"/>
      <c r="AG4" s="677"/>
      <c r="AH4" s="1310" t="s">
        <v>4</v>
      </c>
      <c r="AI4" s="1311"/>
      <c r="AJ4" s="1310" t="s">
        <v>4</v>
      </c>
      <c r="AK4" s="1311"/>
      <c r="AL4" s="1310" t="s">
        <v>4</v>
      </c>
      <c r="AM4" s="1311"/>
      <c r="AN4" s="1310" t="s">
        <v>4</v>
      </c>
      <c r="AO4" s="1311"/>
      <c r="AP4" s="1310" t="s">
        <v>4</v>
      </c>
      <c r="AQ4" s="1311"/>
      <c r="AR4" s="1310" t="s">
        <v>4</v>
      </c>
      <c r="AS4" s="1311"/>
      <c r="AT4" s="1310" t="s">
        <v>4</v>
      </c>
      <c r="AU4" s="1311"/>
      <c r="AV4" s="680"/>
      <c r="AW4" s="1310" t="s">
        <v>4</v>
      </c>
      <c r="AX4" s="1311"/>
      <c r="AY4" s="1274" t="s">
        <v>135</v>
      </c>
      <c r="AZ4" s="1274"/>
      <c r="BA4" s="1275" t="s">
        <v>135</v>
      </c>
      <c r="BB4" s="1276"/>
      <c r="BC4" s="1275" t="s">
        <v>135</v>
      </c>
      <c r="BD4" s="1276"/>
      <c r="BE4" s="1275" t="s">
        <v>135</v>
      </c>
      <c r="BF4" s="1276"/>
      <c r="BG4" s="1275" t="s">
        <v>135</v>
      </c>
      <c r="BH4" s="1276"/>
      <c r="BI4" s="1275" t="s">
        <v>135</v>
      </c>
      <c r="BJ4" s="1276"/>
      <c r="BK4" s="1275" t="s">
        <v>136</v>
      </c>
      <c r="BL4" s="1276"/>
      <c r="BM4" s="1275" t="s">
        <v>136</v>
      </c>
      <c r="BN4" s="1276"/>
      <c r="BO4" s="1275" t="s">
        <v>136</v>
      </c>
      <c r="BP4" s="1276"/>
      <c r="BQ4" s="1275" t="s">
        <v>136</v>
      </c>
      <c r="BR4" s="1276"/>
      <c r="BS4" s="1274" t="s">
        <v>137</v>
      </c>
      <c r="BT4" s="1274"/>
      <c r="BU4" s="1275" t="s">
        <v>137</v>
      </c>
      <c r="BV4" s="1276"/>
      <c r="BW4" s="1275" t="s">
        <v>137</v>
      </c>
      <c r="BX4" s="1276"/>
      <c r="BY4" s="1275" t="s">
        <v>137</v>
      </c>
      <c r="BZ4" s="1276"/>
      <c r="CA4" s="1274" t="s">
        <v>138</v>
      </c>
      <c r="CB4" s="1274"/>
      <c r="CC4" s="1275" t="s">
        <v>138</v>
      </c>
      <c r="CD4" s="1276"/>
      <c r="CE4" s="1275" t="s">
        <v>138</v>
      </c>
      <c r="CF4" s="1276"/>
      <c r="CG4" s="1275" t="s">
        <v>138</v>
      </c>
      <c r="CH4" s="1276"/>
      <c r="CI4" s="1301" t="s">
        <v>452</v>
      </c>
      <c r="CJ4" s="1302"/>
      <c r="CK4" s="1301" t="s">
        <v>453</v>
      </c>
      <c r="CL4" s="1302"/>
      <c r="CM4" s="1301" t="s">
        <v>454</v>
      </c>
      <c r="CN4" s="1302"/>
      <c r="CO4" s="1301" t="s">
        <v>353</v>
      </c>
      <c r="CP4" s="1302"/>
      <c r="CR4" s="1301" t="s">
        <v>452</v>
      </c>
      <c r="CS4" s="1302"/>
      <c r="CT4" s="1301" t="s">
        <v>453</v>
      </c>
      <c r="CU4" s="1302"/>
      <c r="CV4" s="1301" t="s">
        <v>454</v>
      </c>
      <c r="CW4" s="1302"/>
      <c r="CX4" s="1301" t="s">
        <v>353</v>
      </c>
      <c r="CY4" s="1302"/>
      <c r="DA4" s="1301" t="s">
        <v>452</v>
      </c>
      <c r="DB4" s="1302"/>
      <c r="DC4" s="1301" t="s">
        <v>453</v>
      </c>
      <c r="DD4" s="1302"/>
      <c r="DE4" s="1301" t="s">
        <v>454</v>
      </c>
      <c r="DF4" s="1302"/>
      <c r="DH4" s="1301" t="s">
        <v>452</v>
      </c>
      <c r="DI4" s="1302"/>
      <c r="DJ4" s="1301" t="s">
        <v>453</v>
      </c>
      <c r="DK4" s="1302"/>
      <c r="DL4" s="1301" t="s">
        <v>454</v>
      </c>
      <c r="DM4" s="1302"/>
      <c r="DO4" s="1301" t="s">
        <v>452</v>
      </c>
      <c r="DP4" s="1302"/>
      <c r="DQ4" s="1301" t="s">
        <v>453</v>
      </c>
      <c r="DR4" s="1302"/>
      <c r="DS4" s="1301" t="s">
        <v>454</v>
      </c>
      <c r="DT4" s="1302"/>
      <c r="DV4" s="1301" t="s">
        <v>452</v>
      </c>
      <c r="DW4" s="1302"/>
      <c r="DX4" s="1301" t="s">
        <v>453</v>
      </c>
      <c r="DY4" s="1302"/>
      <c r="EA4" s="1301" t="s">
        <v>452</v>
      </c>
      <c r="EB4" s="1302"/>
      <c r="ED4" s="1301" t="s">
        <v>453</v>
      </c>
      <c r="EE4" s="1302"/>
      <c r="EG4" s="1301" t="s">
        <v>453</v>
      </c>
      <c r="EH4" s="1302"/>
      <c r="EJ4" s="1301" t="s">
        <v>452</v>
      </c>
      <c r="EK4" s="1302"/>
      <c r="EM4" s="1301" t="s">
        <v>453</v>
      </c>
      <c r="EN4" s="1302"/>
      <c r="EP4" s="1301" t="s">
        <v>453</v>
      </c>
      <c r="EQ4" s="1302"/>
      <c r="ER4" s="1301" t="s">
        <v>452</v>
      </c>
      <c r="ES4" s="1302"/>
      <c r="EU4" s="1301" t="s">
        <v>453</v>
      </c>
      <c r="EV4" s="1302"/>
      <c r="EX4" s="1301" t="s">
        <v>718</v>
      </c>
      <c r="EY4" s="1302"/>
      <c r="EZ4" s="1301" t="s">
        <v>719</v>
      </c>
      <c r="FA4" s="1302"/>
      <c r="FB4" s="1301" t="s">
        <v>720</v>
      </c>
      <c r="FC4" s="1302"/>
    </row>
    <row r="5" spans="1:159" s="4" customFormat="1" ht="15" thickTop="1" thickBot="1" x14ac:dyDescent="0.5">
      <c r="A5" s="561"/>
      <c r="B5" s="7"/>
      <c r="E5" s="245"/>
      <c r="F5" s="1307"/>
      <c r="G5" s="1308"/>
      <c r="H5" s="1307"/>
      <c r="I5" s="1308"/>
      <c r="J5" s="1307"/>
      <c r="K5" s="1308"/>
      <c r="L5" s="1307"/>
      <c r="M5" s="1308"/>
      <c r="N5" s="1307"/>
      <c r="O5" s="1308"/>
      <c r="P5" s="1307"/>
      <c r="Q5" s="1308"/>
      <c r="R5" s="668"/>
      <c r="S5" s="1316"/>
      <c r="T5" s="1317"/>
      <c r="U5" s="1316"/>
      <c r="V5" s="1317"/>
      <c r="W5" s="1316"/>
      <c r="X5" s="1317"/>
      <c r="Y5" s="1316"/>
      <c r="Z5" s="1317"/>
      <c r="AA5" s="1316"/>
      <c r="AB5" s="1317"/>
      <c r="AC5" s="1316"/>
      <c r="AD5" s="1317"/>
      <c r="AE5" s="1316"/>
      <c r="AF5" s="1317"/>
      <c r="AG5" s="678"/>
      <c r="AH5" s="1312"/>
      <c r="AI5" s="1313"/>
      <c r="AJ5" s="1312"/>
      <c r="AK5" s="1313"/>
      <c r="AL5" s="1312"/>
      <c r="AM5" s="1313"/>
      <c r="AN5" s="1312"/>
      <c r="AO5" s="1313"/>
      <c r="AP5" s="1312"/>
      <c r="AQ5" s="1313"/>
      <c r="AR5" s="1312"/>
      <c r="AS5" s="1313"/>
      <c r="AT5" s="1312"/>
      <c r="AU5" s="1313"/>
      <c r="AV5" s="681"/>
      <c r="AW5" s="1312"/>
      <c r="AX5" s="1313"/>
      <c r="AY5" s="1274"/>
      <c r="AZ5" s="1274"/>
      <c r="BA5" s="1238"/>
      <c r="BB5" s="1239"/>
      <c r="BC5" s="1238"/>
      <c r="BD5" s="1239"/>
      <c r="BE5" s="1238"/>
      <c r="BF5" s="1239"/>
      <c r="BG5" s="1238"/>
      <c r="BH5" s="1239"/>
      <c r="BI5" s="1238"/>
      <c r="BJ5" s="1239"/>
      <c r="BK5" s="1238"/>
      <c r="BL5" s="1239"/>
      <c r="BM5" s="1238"/>
      <c r="BN5" s="1239"/>
      <c r="BO5" s="1238"/>
      <c r="BP5" s="1239"/>
      <c r="BQ5" s="1238"/>
      <c r="BR5" s="1239"/>
      <c r="BS5" s="1274"/>
      <c r="BT5" s="1274"/>
      <c r="BU5" s="1238"/>
      <c r="BV5" s="1239"/>
      <c r="BW5" s="1238"/>
      <c r="BX5" s="1239"/>
      <c r="BY5" s="1238"/>
      <c r="BZ5" s="1239"/>
      <c r="CA5" s="1274"/>
      <c r="CB5" s="1274"/>
      <c r="CC5" s="1238"/>
      <c r="CD5" s="1239"/>
      <c r="CE5" s="1238"/>
      <c r="CF5" s="1239"/>
      <c r="CG5" s="1238"/>
      <c r="CH5" s="1239"/>
      <c r="CI5" s="1303"/>
      <c r="CJ5" s="1304"/>
      <c r="CK5" s="1303"/>
      <c r="CL5" s="1304"/>
      <c r="CM5" s="1303"/>
      <c r="CN5" s="1304"/>
      <c r="CO5" s="1303"/>
      <c r="CP5" s="1304"/>
      <c r="CR5" s="1303"/>
      <c r="CS5" s="1304"/>
      <c r="CT5" s="1303"/>
      <c r="CU5" s="1304"/>
      <c r="CV5" s="1303"/>
      <c r="CW5" s="1304"/>
      <c r="CX5" s="1303"/>
      <c r="CY5" s="1304"/>
      <c r="DA5" s="1303"/>
      <c r="DB5" s="1304"/>
      <c r="DC5" s="1303"/>
      <c r="DD5" s="1304"/>
      <c r="DE5" s="1303"/>
      <c r="DF5" s="1304"/>
      <c r="DH5" s="1303"/>
      <c r="DI5" s="1304"/>
      <c r="DJ5" s="1303"/>
      <c r="DK5" s="1304"/>
      <c r="DL5" s="1303"/>
      <c r="DM5" s="1304"/>
      <c r="DO5" s="1303"/>
      <c r="DP5" s="1304"/>
      <c r="DQ5" s="1303"/>
      <c r="DR5" s="1304"/>
      <c r="DS5" s="1303"/>
      <c r="DT5" s="1304"/>
      <c r="DV5" s="1303"/>
      <c r="DW5" s="1304"/>
      <c r="DX5" s="1303"/>
      <c r="DY5" s="1304"/>
      <c r="EA5" s="1303"/>
      <c r="EB5" s="1304"/>
      <c r="ED5" s="1303"/>
      <c r="EE5" s="1304"/>
      <c r="EG5" s="1303"/>
      <c r="EH5" s="1304"/>
      <c r="EJ5" s="1303"/>
      <c r="EK5" s="1304"/>
      <c r="EM5" s="1303"/>
      <c r="EN5" s="1304"/>
      <c r="EP5" s="1303"/>
      <c r="EQ5" s="1304"/>
      <c r="ER5" s="1303"/>
      <c r="ES5" s="1304"/>
      <c r="EU5" s="1303"/>
      <c r="EV5" s="1304"/>
      <c r="EX5" s="1303"/>
      <c r="EY5" s="1304"/>
      <c r="EZ5" s="1303"/>
      <c r="FA5" s="1304"/>
      <c r="FB5" s="1303"/>
      <c r="FC5" s="1304"/>
    </row>
    <row r="6" spans="1:159" s="7" customFormat="1" ht="14.65" thickTop="1" x14ac:dyDescent="0.45">
      <c r="A6" s="561"/>
      <c r="B6" s="1202" t="s">
        <v>5</v>
      </c>
      <c r="C6" s="8" t="s">
        <v>6</v>
      </c>
      <c r="D6" s="9"/>
      <c r="E6" s="246"/>
      <c r="F6" s="1265"/>
      <c r="G6" s="1266"/>
      <c r="H6" s="1265"/>
      <c r="I6" s="1266"/>
      <c r="J6" s="1234"/>
      <c r="K6" s="1206"/>
      <c r="L6" s="1234"/>
      <c r="M6" s="1206"/>
      <c r="N6" s="1234"/>
      <c r="O6" s="1206"/>
      <c r="P6" s="1234"/>
      <c r="Q6" s="1206"/>
      <c r="R6" s="619"/>
      <c r="S6" s="1265"/>
      <c r="T6" s="1266"/>
      <c r="U6" s="1265"/>
      <c r="V6" s="1266"/>
      <c r="W6" s="1234"/>
      <c r="X6" s="1206"/>
      <c r="Y6" s="1234"/>
      <c r="Z6" s="1206"/>
      <c r="AA6" s="1234"/>
      <c r="AB6" s="1206"/>
      <c r="AC6" s="1234"/>
      <c r="AD6" s="1206"/>
      <c r="AE6" s="1205"/>
      <c r="AF6" s="1206"/>
      <c r="AG6" s="619"/>
      <c r="AH6" s="1353"/>
      <c r="AI6" s="1266"/>
      <c r="AJ6" s="1353"/>
      <c r="AK6" s="1354"/>
      <c r="AL6" s="1234"/>
      <c r="AM6" s="1206"/>
      <c r="AN6" s="1234"/>
      <c r="AO6" s="1206"/>
      <c r="AP6" s="1234"/>
      <c r="AQ6" s="1206"/>
      <c r="AR6" s="1234"/>
      <c r="AS6" s="1206"/>
      <c r="AT6" s="1205"/>
      <c r="AU6" s="1206"/>
      <c r="AV6" s="619"/>
      <c r="AW6" s="1234"/>
      <c r="AX6" s="1206"/>
      <c r="AY6" s="1234"/>
      <c r="AZ6" s="1206"/>
      <c r="BA6" s="1234"/>
      <c r="BB6" s="1206"/>
      <c r="BC6" s="1205"/>
      <c r="BD6" s="1206"/>
      <c r="BE6" s="1234"/>
      <c r="BF6" s="1206"/>
      <c r="BG6" s="1234"/>
      <c r="BH6" s="1206"/>
      <c r="BI6" s="1205"/>
      <c r="BJ6" s="1206"/>
      <c r="BK6" s="1277"/>
      <c r="BL6" s="1206"/>
      <c r="BM6" s="1205"/>
      <c r="BN6" s="1206"/>
      <c r="BO6" s="1205"/>
      <c r="BP6" s="1206"/>
      <c r="BQ6" s="1205"/>
      <c r="BR6" s="1206"/>
      <c r="BS6" s="1234"/>
      <c r="BT6" s="1206"/>
      <c r="BU6" s="1234"/>
      <c r="BV6" s="1206"/>
      <c r="BW6" s="1234"/>
      <c r="BX6" s="1206"/>
      <c r="BY6" s="1234"/>
      <c r="BZ6" s="1206"/>
      <c r="CA6" s="1234"/>
      <c r="CB6" s="1207"/>
      <c r="CC6" s="1234"/>
      <c r="CD6" s="1206"/>
      <c r="CE6" s="1234"/>
      <c r="CF6" s="1206"/>
      <c r="CG6" s="1234"/>
      <c r="CH6" s="1206"/>
      <c r="CI6" s="1265"/>
      <c r="CJ6" s="1266"/>
      <c r="CK6" s="1265"/>
      <c r="CL6" s="1266"/>
      <c r="CM6" s="1265"/>
      <c r="CN6" s="1266"/>
      <c r="CO6" s="1265"/>
      <c r="CP6" s="1266"/>
      <c r="CR6" s="1265"/>
      <c r="CS6" s="1266"/>
      <c r="CT6" s="1265"/>
      <c r="CU6" s="1266"/>
      <c r="CV6" s="1265"/>
      <c r="CW6" s="1266"/>
      <c r="CX6" s="1265"/>
      <c r="CY6" s="1266"/>
      <c r="DA6" s="1265"/>
      <c r="DB6" s="1266"/>
      <c r="DC6" s="1265"/>
      <c r="DD6" s="1266"/>
      <c r="DE6" s="1265"/>
      <c r="DF6" s="1266"/>
      <c r="DH6" s="1265"/>
      <c r="DI6" s="1266"/>
      <c r="DJ6" s="1265"/>
      <c r="DK6" s="1266"/>
      <c r="DL6" s="1265"/>
      <c r="DM6" s="1266"/>
      <c r="DO6" s="1265"/>
      <c r="DP6" s="1266"/>
      <c r="DQ6" s="1265"/>
      <c r="DR6" s="1266"/>
      <c r="DS6" s="1265"/>
      <c r="DT6" s="1266"/>
      <c r="DV6" s="1265"/>
      <c r="DW6" s="1266"/>
      <c r="DX6" s="1265"/>
      <c r="DY6" s="1266"/>
      <c r="EA6" s="1265"/>
      <c r="EB6" s="1266"/>
      <c r="ED6" s="1265"/>
      <c r="EE6" s="1266"/>
      <c r="EG6" s="1265"/>
      <c r="EH6" s="1266"/>
      <c r="EJ6" s="1265"/>
      <c r="EK6" s="1266"/>
      <c r="EM6" s="1265"/>
      <c r="EN6" s="1266"/>
      <c r="EP6" s="1265"/>
      <c r="EQ6" s="1266"/>
      <c r="ER6" s="1265"/>
      <c r="ES6" s="1266"/>
      <c r="ET6" s="4"/>
      <c r="EU6" s="1265"/>
      <c r="EV6" s="1266"/>
      <c r="EX6" s="1265"/>
      <c r="EY6" s="1266"/>
      <c r="EZ6" s="1265"/>
      <c r="FA6" s="1266"/>
      <c r="FB6" s="1265"/>
      <c r="FC6" s="1266"/>
    </row>
    <row r="7" spans="1:159" s="7" customFormat="1" ht="28.5" x14ac:dyDescent="0.45">
      <c r="A7" s="561"/>
      <c r="B7" s="1203"/>
      <c r="C7" s="10" t="s">
        <v>11</v>
      </c>
      <c r="D7" s="11"/>
      <c r="E7" s="247"/>
      <c r="F7" s="1200">
        <v>100493</v>
      </c>
      <c r="G7" s="1201"/>
      <c r="H7" s="1200">
        <v>100493</v>
      </c>
      <c r="I7" s="1201"/>
      <c r="J7" s="1267">
        <v>100493</v>
      </c>
      <c r="K7" s="1268"/>
      <c r="L7" s="1267">
        <v>100493</v>
      </c>
      <c r="M7" s="1268"/>
      <c r="N7" s="1267">
        <v>100493</v>
      </c>
      <c r="O7" s="1268"/>
      <c r="P7" s="1267">
        <v>100493</v>
      </c>
      <c r="Q7" s="1268"/>
      <c r="R7" s="625"/>
      <c r="S7" s="1200">
        <v>141884</v>
      </c>
      <c r="T7" s="1201"/>
      <c r="U7" s="1200">
        <v>141884</v>
      </c>
      <c r="V7" s="1201"/>
      <c r="W7" s="1200">
        <v>141884</v>
      </c>
      <c r="X7" s="1201"/>
      <c r="Y7" s="1200">
        <v>141884</v>
      </c>
      <c r="Z7" s="1201"/>
      <c r="AA7" s="1200">
        <v>141884</v>
      </c>
      <c r="AB7" s="1201"/>
      <c r="AC7" s="1200">
        <v>141884</v>
      </c>
      <c r="AD7" s="1201"/>
      <c r="AE7" s="1267">
        <v>141884</v>
      </c>
      <c r="AF7" s="1268"/>
      <c r="AG7" s="625"/>
      <c r="AH7" s="1200">
        <v>199660</v>
      </c>
      <c r="AI7" s="1201"/>
      <c r="AJ7" s="1200">
        <v>199660</v>
      </c>
      <c r="AK7" s="1201"/>
      <c r="AL7" s="1200">
        <v>199660</v>
      </c>
      <c r="AM7" s="1201"/>
      <c r="AN7" s="1200">
        <v>199660</v>
      </c>
      <c r="AO7" s="1201"/>
      <c r="AP7" s="1200">
        <v>199660</v>
      </c>
      <c r="AQ7" s="1201"/>
      <c r="AR7" s="1200">
        <v>199660</v>
      </c>
      <c r="AS7" s="1201"/>
      <c r="AT7" s="1267">
        <v>199660</v>
      </c>
      <c r="AU7" s="1268"/>
      <c r="AV7" s="625"/>
      <c r="AW7" s="1267">
        <v>199660</v>
      </c>
      <c r="AX7" s="1268"/>
      <c r="AY7" s="1356">
        <v>100491</v>
      </c>
      <c r="AZ7" s="1201"/>
      <c r="BA7" s="1267">
        <v>100491</v>
      </c>
      <c r="BB7" s="1268"/>
      <c r="BC7" s="1267">
        <v>100491</v>
      </c>
      <c r="BD7" s="1268"/>
      <c r="BE7" s="1267">
        <v>100491</v>
      </c>
      <c r="BF7" s="1268"/>
      <c r="BG7" s="1267">
        <v>100491</v>
      </c>
      <c r="BH7" s="1268"/>
      <c r="BI7" s="1267">
        <v>100491</v>
      </c>
      <c r="BJ7" s="1268"/>
      <c r="BK7" s="1200">
        <v>123630</v>
      </c>
      <c r="BL7" s="1201"/>
      <c r="BM7" s="1267">
        <v>123630</v>
      </c>
      <c r="BN7" s="1268"/>
      <c r="BO7" s="1267">
        <v>123630</v>
      </c>
      <c r="BP7" s="1268"/>
      <c r="BQ7" s="1267">
        <v>123630</v>
      </c>
      <c r="BR7" s="1268"/>
      <c r="BS7" s="1200">
        <v>184763</v>
      </c>
      <c r="BT7" s="1201"/>
      <c r="BU7" s="1267">
        <v>184763</v>
      </c>
      <c r="BV7" s="1268"/>
      <c r="BW7" s="1267">
        <v>184763</v>
      </c>
      <c r="BX7" s="1268"/>
      <c r="BY7" s="1267">
        <v>184763</v>
      </c>
      <c r="BZ7" s="1268"/>
      <c r="CA7" s="1200">
        <v>136915</v>
      </c>
      <c r="CB7" s="1201"/>
      <c r="CC7" s="1267">
        <v>136915</v>
      </c>
      <c r="CD7" s="1268"/>
      <c r="CE7" s="1267">
        <v>136915</v>
      </c>
      <c r="CF7" s="1268"/>
      <c r="CG7" s="1267">
        <v>136915</v>
      </c>
      <c r="CH7" s="1268"/>
      <c r="CI7" s="1267">
        <v>106661</v>
      </c>
      <c r="CJ7" s="1268"/>
      <c r="CK7" s="1267">
        <v>100506</v>
      </c>
      <c r="CL7" s="1268"/>
      <c r="CM7" s="1267">
        <v>100488</v>
      </c>
      <c r="CN7" s="1268"/>
      <c r="CO7" s="1267">
        <v>184763</v>
      </c>
      <c r="CP7" s="1268"/>
      <c r="CR7" s="1267">
        <v>106661</v>
      </c>
      <c r="CS7" s="1268"/>
      <c r="CT7" s="1267">
        <v>100506</v>
      </c>
      <c r="CU7" s="1268"/>
      <c r="CV7" s="1267">
        <v>100488</v>
      </c>
      <c r="CW7" s="1268"/>
      <c r="CX7" s="1267">
        <v>184763</v>
      </c>
      <c r="CY7" s="1268"/>
      <c r="DA7" s="1267">
        <v>106661</v>
      </c>
      <c r="DB7" s="1268"/>
      <c r="DC7" s="1267">
        <v>100506</v>
      </c>
      <c r="DD7" s="1268"/>
      <c r="DE7" s="1267">
        <v>100488</v>
      </c>
      <c r="DF7" s="1268"/>
      <c r="DH7" s="1267">
        <v>106661</v>
      </c>
      <c r="DI7" s="1268"/>
      <c r="DJ7" s="1267">
        <v>100506</v>
      </c>
      <c r="DK7" s="1268"/>
      <c r="DL7" s="1267">
        <v>100488</v>
      </c>
      <c r="DM7" s="1268"/>
      <c r="DO7" s="1267">
        <v>106661</v>
      </c>
      <c r="DP7" s="1268"/>
      <c r="DQ7" s="1267">
        <v>100506</v>
      </c>
      <c r="DR7" s="1268"/>
      <c r="DS7" s="1267">
        <v>100488</v>
      </c>
      <c r="DT7" s="1268"/>
      <c r="DV7" s="1267">
        <v>106661</v>
      </c>
      <c r="DW7" s="1268"/>
      <c r="DX7" s="1267">
        <v>100506</v>
      </c>
      <c r="DY7" s="1268"/>
      <c r="EA7" s="1267">
        <v>106661</v>
      </c>
      <c r="EB7" s="1268"/>
      <c r="ED7" s="1267">
        <v>100506</v>
      </c>
      <c r="EE7" s="1268"/>
      <c r="EG7" s="1267">
        <v>100506</v>
      </c>
      <c r="EH7" s="1268"/>
      <c r="EJ7" s="1267">
        <v>106661</v>
      </c>
      <c r="EK7" s="1268"/>
      <c r="EM7" s="1267">
        <v>100506</v>
      </c>
      <c r="EN7" s="1268"/>
      <c r="EP7" s="1267">
        <v>100506</v>
      </c>
      <c r="EQ7" s="1268"/>
      <c r="ER7" s="1267">
        <v>106661</v>
      </c>
      <c r="ES7" s="1268"/>
      <c r="ET7" s="4"/>
      <c r="EU7" s="1267">
        <v>100506</v>
      </c>
      <c r="EV7" s="1268"/>
      <c r="EX7" s="1267">
        <v>435562</v>
      </c>
      <c r="EY7" s="1268"/>
      <c r="EZ7" s="1267">
        <v>435563</v>
      </c>
      <c r="FA7" s="1268"/>
      <c r="FB7" s="1267">
        <v>437448</v>
      </c>
      <c r="FC7" s="1268"/>
    </row>
    <row r="8" spans="1:159" s="7" customFormat="1" x14ac:dyDescent="0.45">
      <c r="A8" s="561"/>
      <c r="B8" s="1203"/>
      <c r="C8" s="12" t="s">
        <v>12</v>
      </c>
      <c r="D8" s="11"/>
      <c r="E8" s="11"/>
      <c r="F8" s="1232">
        <f>G60</f>
        <v>5.6</v>
      </c>
      <c r="G8" s="1233"/>
      <c r="H8" s="1232">
        <f>I60</f>
        <v>5.6</v>
      </c>
      <c r="I8" s="1233"/>
      <c r="J8" s="1269">
        <f>K60</f>
        <v>6.0429664428105285</v>
      </c>
      <c r="K8" s="1270"/>
      <c r="L8" s="1269">
        <f>M60</f>
        <v>6.0499173553719015</v>
      </c>
      <c r="M8" s="1270"/>
      <c r="N8" s="1269">
        <f>O60</f>
        <v>6.0499173553719015</v>
      </c>
      <c r="O8" s="1270"/>
      <c r="P8" s="1269">
        <f>Q60</f>
        <v>6.0521486053719018</v>
      </c>
      <c r="Q8" s="1270"/>
      <c r="R8" s="626"/>
      <c r="S8" s="1232">
        <f>T60</f>
        <v>5.6</v>
      </c>
      <c r="T8" s="1233"/>
      <c r="U8" s="1232">
        <f>V60</f>
        <v>5.6</v>
      </c>
      <c r="V8" s="1233"/>
      <c r="W8" s="1269">
        <f>X60</f>
        <v>6.0375315815732744</v>
      </c>
      <c r="X8" s="1270"/>
      <c r="Y8" s="1269">
        <f>Z60</f>
        <v>6.0499173553719015</v>
      </c>
      <c r="Z8" s="1270"/>
      <c r="AA8" s="1269">
        <f>AB60</f>
        <v>6.0499173553719015</v>
      </c>
      <c r="AB8" s="1270"/>
      <c r="AC8" s="1269">
        <f>AD60</f>
        <v>6.0499173553719015</v>
      </c>
      <c r="AD8" s="1270"/>
      <c r="AE8" s="1269" t="e">
        <f>AF60</f>
        <v>#REF!</v>
      </c>
      <c r="AF8" s="1270"/>
      <c r="AG8" s="626"/>
      <c r="AH8" s="1232">
        <f>AI60</f>
        <v>5.6</v>
      </c>
      <c r="AI8" s="1233"/>
      <c r="AJ8" s="1232">
        <f>AK60</f>
        <v>5.6</v>
      </c>
      <c r="AK8" s="1233"/>
      <c r="AL8" s="1269">
        <f>AM60</f>
        <v>6.0445945366753771</v>
      </c>
      <c r="AM8" s="1270"/>
      <c r="AN8" s="1269">
        <f>AO60</f>
        <v>6.05</v>
      </c>
      <c r="AO8" s="1270"/>
      <c r="AP8" s="1269">
        <f>AQ60</f>
        <v>6.05</v>
      </c>
      <c r="AQ8" s="1270"/>
      <c r="AR8" s="1269">
        <f>AS60</f>
        <v>6.052295</v>
      </c>
      <c r="AS8" s="1270"/>
      <c r="AT8" s="1269" t="e">
        <f>AU60</f>
        <v>#REF!</v>
      </c>
      <c r="AU8" s="1270"/>
      <c r="AV8" s="626"/>
      <c r="AW8" s="1269">
        <f>AX60</f>
        <v>6.1325352112676059</v>
      </c>
      <c r="AX8" s="1270"/>
      <c r="AY8" s="1357">
        <f>AZ60</f>
        <v>5.6</v>
      </c>
      <c r="AZ8" s="1233"/>
      <c r="BA8" s="1269">
        <f>BB60</f>
        <v>6.0499173553719015</v>
      </c>
      <c r="BB8" s="1270"/>
      <c r="BC8" s="1269">
        <f>BD60</f>
        <v>6.0499173553719015</v>
      </c>
      <c r="BD8" s="1270"/>
      <c r="BE8" s="1269">
        <f>BF60</f>
        <v>6.0499173553719015</v>
      </c>
      <c r="BF8" s="1270"/>
      <c r="BG8" s="1269">
        <f>BH60</f>
        <v>6.0522123553719016</v>
      </c>
      <c r="BH8" s="1270"/>
      <c r="BI8" s="1269">
        <f>BJ60</f>
        <v>6.0522123553719016</v>
      </c>
      <c r="BJ8" s="1270"/>
      <c r="BK8" s="1232">
        <f>BL60</f>
        <v>4.7229149797570855</v>
      </c>
      <c r="BL8" s="1233"/>
      <c r="BM8" s="1269">
        <f>BN60</f>
        <v>4.7229149797570855</v>
      </c>
      <c r="BN8" s="1270"/>
      <c r="BO8" s="1269">
        <f>BP60</f>
        <v>4.7229149797570855</v>
      </c>
      <c r="BP8" s="1270"/>
      <c r="BQ8" s="1269">
        <f>BR60</f>
        <v>5.05014875</v>
      </c>
      <c r="BR8" s="1270"/>
      <c r="BS8" s="1232">
        <f>BT60</f>
        <v>4.38</v>
      </c>
      <c r="BT8" s="1233"/>
      <c r="BU8" s="1269">
        <f>BV60</f>
        <v>4.38</v>
      </c>
      <c r="BV8" s="1270"/>
      <c r="BW8" s="1269">
        <f>BX60</f>
        <v>4.38</v>
      </c>
      <c r="BX8" s="1270"/>
      <c r="BY8" s="1269">
        <f>BZ60</f>
        <v>4.5522524999999998</v>
      </c>
      <c r="BZ8" s="1270"/>
      <c r="CA8" s="1232">
        <f>CB60</f>
        <v>6.55</v>
      </c>
      <c r="CB8" s="1233"/>
      <c r="CC8" s="1269">
        <f>CD60</f>
        <v>6.55</v>
      </c>
      <c r="CD8" s="1270"/>
      <c r="CE8" s="1269">
        <f>CF60</f>
        <v>6.55</v>
      </c>
      <c r="CF8" s="1270"/>
      <c r="CG8" s="1269">
        <f>CH60</f>
        <v>6.5520187500000002</v>
      </c>
      <c r="CH8" s="1270"/>
      <c r="CI8" s="1269">
        <f>CJ60</f>
        <v>6.05</v>
      </c>
      <c r="CJ8" s="1270"/>
      <c r="CK8" s="1269">
        <f>CL60</f>
        <v>6.05</v>
      </c>
      <c r="CL8" s="1270"/>
      <c r="CM8" s="1269">
        <f>CN60</f>
        <v>6.05</v>
      </c>
      <c r="CN8" s="1270"/>
      <c r="CO8" s="1269">
        <f>CP60</f>
        <v>4.3513089999999996</v>
      </c>
      <c r="CP8" s="1270"/>
      <c r="CR8" s="1269">
        <f>CS60</f>
        <v>6.05</v>
      </c>
      <c r="CS8" s="1270"/>
      <c r="CT8" s="1269">
        <f>CU60</f>
        <v>6.0428571428571427</v>
      </c>
      <c r="CU8" s="1270"/>
      <c r="CV8" s="1269">
        <f>CW60</f>
        <v>6.0428571428571427</v>
      </c>
      <c r="CW8" s="1270"/>
      <c r="CX8" s="1269">
        <f>CY60</f>
        <v>4.3999787500000007</v>
      </c>
      <c r="CY8" s="1270"/>
      <c r="DA8" s="1269">
        <f>DB60</f>
        <v>6.05</v>
      </c>
      <c r="DB8" s="1270"/>
      <c r="DC8" s="1269">
        <f>DD60</f>
        <v>6.0428571428571427</v>
      </c>
      <c r="DD8" s="1270"/>
      <c r="DE8" s="1269">
        <f>DF60</f>
        <v>6.0428571428571427</v>
      </c>
      <c r="DF8" s="1270"/>
      <c r="DH8" s="1269">
        <f>DI60</f>
        <v>6.0481731619222536</v>
      </c>
      <c r="DI8" s="1270"/>
      <c r="DJ8" s="1269">
        <f>DK60</f>
        <v>6.0459845492371702</v>
      </c>
      <c r="DK8" s="1270"/>
      <c r="DL8" s="1269">
        <f>DM60</f>
        <v>6.0481731619222536</v>
      </c>
      <c r="DM8" s="1270"/>
      <c r="DO8" s="1269">
        <f>DP60</f>
        <v>6.0481731619222536</v>
      </c>
      <c r="DP8" s="1270"/>
      <c r="DQ8" s="1269">
        <f>DR60</f>
        <v>6.0459845492371702</v>
      </c>
      <c r="DR8" s="1270"/>
      <c r="DS8" s="1269">
        <f>DT60</f>
        <v>6.0481731619222536</v>
      </c>
      <c r="DT8" s="1270"/>
      <c r="DV8" s="1269">
        <f>DW60</f>
        <v>6.0481731619222536</v>
      </c>
      <c r="DW8" s="1270"/>
      <c r="DX8" s="1269">
        <f>DY60</f>
        <v>6.0459845492371702</v>
      </c>
      <c r="DY8" s="1270"/>
      <c r="EA8" s="1269">
        <f>EB60</f>
        <v>6.0481731619222536</v>
      </c>
      <c r="EB8" s="1270"/>
      <c r="ED8" s="1269">
        <f>EE60</f>
        <v>6.0459845492371702</v>
      </c>
      <c r="EE8" s="1270"/>
      <c r="EG8" s="1269">
        <f>EH60</f>
        <v>6.0459845492371702</v>
      </c>
      <c r="EH8" s="1270"/>
      <c r="EJ8" s="1269">
        <f>EK60</f>
        <v>6.0481731619222536</v>
      </c>
      <c r="EK8" s="1270"/>
      <c r="EM8" s="1269">
        <f>EN60</f>
        <v>6.0459845492371702</v>
      </c>
      <c r="EN8" s="1270"/>
      <c r="EP8" s="1269">
        <f>EQ60</f>
        <v>6.0459845492371702</v>
      </c>
      <c r="EQ8" s="1270"/>
      <c r="ER8" s="1269">
        <f>ES60</f>
        <v>6.0481731619222536</v>
      </c>
      <c r="ES8" s="1270"/>
      <c r="ET8" s="4"/>
      <c r="EU8" s="1269">
        <f>EV60</f>
        <v>6.0459845492371702</v>
      </c>
      <c r="EV8" s="1270"/>
      <c r="EX8" s="1269">
        <f>EY60</f>
        <v>6.0481731619222536</v>
      </c>
      <c r="EY8" s="1270"/>
      <c r="EZ8" s="1269">
        <f>FA60</f>
        <v>6.0459845492371702</v>
      </c>
      <c r="FA8" s="1270"/>
      <c r="FB8" s="1269">
        <f>FC60</f>
        <v>6.0481731619222536</v>
      </c>
      <c r="FC8" s="1270"/>
    </row>
    <row r="9" spans="1:159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$0.50/ctn</v>
      </c>
      <c r="G9" s="1191"/>
      <c r="H9" s="1190" t="str">
        <f>CONCATENATE("TP $",TEXT(I57,"#,##0.00"),"/ctn")</f>
        <v>TP $0.42/ctn</v>
      </c>
      <c r="I9" s="1191"/>
      <c r="J9" s="1271" t="str">
        <f>CONCATENATE("TP $",TEXT(K57,"#,##0.00"),"/ctn")</f>
        <v>TP $0.79/ctn</v>
      </c>
      <c r="K9" s="1272"/>
      <c r="L9" s="1271" t="str">
        <f>CONCATENATE("TP $",TEXT(M57,"#,##0.00"),"/ctn")</f>
        <v>TP $0.80/ctn</v>
      </c>
      <c r="M9" s="1272"/>
      <c r="N9" s="1271" t="str">
        <f>CONCATENATE("TP $",TEXT(O57,"#,##0.00"),"/ctn")</f>
        <v>TP $0.80/ctn</v>
      </c>
      <c r="O9" s="1272"/>
      <c r="P9" s="1271" t="str">
        <f>CONCATENATE("TP $",TEXT(Q57,"#,##0.00"),"/ctn")</f>
        <v>TP $0.80/ctn</v>
      </c>
      <c r="Q9" s="1272"/>
      <c r="R9" s="627"/>
      <c r="S9" s="1190" t="str">
        <f>CONCATENATE("TP $",TEXT(T57,"#,##0.00"),"/ctn")</f>
        <v>TP $0.50/ctn</v>
      </c>
      <c r="T9" s="1191"/>
      <c r="U9" s="1190" t="str">
        <f>CONCATENATE("TP $",TEXT(V57,"#,##0.00"),"/ctn")</f>
        <v>TP $0.40/ctn</v>
      </c>
      <c r="V9" s="1191"/>
      <c r="W9" s="1271" t="str">
        <f>CONCATENATE("TP $",TEXT(X57,"#,##0.00"),"/ctn")</f>
        <v>TP $0.79/ctn</v>
      </c>
      <c r="X9" s="1272"/>
      <c r="Y9" s="1271" t="str">
        <f>CONCATENATE("TP $",TEXT(Z57,"#,##0.00"),"/ctn")</f>
        <v>TP $0.80/ctn</v>
      </c>
      <c r="Z9" s="1272"/>
      <c r="AA9" s="1271" t="str">
        <f>CONCATENATE("TP $",TEXT(AB57,"#,##0.00"),"/ctn")</f>
        <v>TP $0.80/ctn</v>
      </c>
      <c r="AB9" s="1272"/>
      <c r="AC9" s="1271" t="str">
        <f>CONCATENATE("TP $",TEXT(AD57,"#,##0.00"),"/ctn")</f>
        <v>TP $0.80/ctn</v>
      </c>
      <c r="AD9" s="1272"/>
      <c r="AE9" s="1271" t="e">
        <f>CONCATENATE("TP $",TEXT(AF57,"#,##0.00"),"/ctn")</f>
        <v>#REF!</v>
      </c>
      <c r="AF9" s="1272"/>
      <c r="AG9" s="627"/>
      <c r="AH9" s="1190" t="str">
        <f>CONCATENATE("TP $",TEXT(AI57,"#,##0.00"),"/ctn")</f>
        <v>TP $0.50/ctn</v>
      </c>
      <c r="AI9" s="1191"/>
      <c r="AJ9" s="1190" t="str">
        <f>CONCATENATE("TP $",TEXT(AK57,"#,##0.00"),"/ctn")</f>
        <v>TP $0.42/ctn</v>
      </c>
      <c r="AK9" s="1191"/>
      <c r="AL9" s="1271" t="str">
        <f>CONCATENATE("TP $",TEXT(AM57,"#,##0.00"),"/ctn")</f>
        <v>TP $0.65/ctn</v>
      </c>
      <c r="AM9" s="1272"/>
      <c r="AN9" s="1271" t="str">
        <f>CONCATENATE("TP $",TEXT(AO57,"#,##0.00"),"/ctn")</f>
        <v>TP $0.65/ctn</v>
      </c>
      <c r="AO9" s="1272"/>
      <c r="AP9" s="1271" t="str">
        <f>CONCATENATE("TP $",TEXT(AQ57,"#,##0.00"),"/ctn")</f>
        <v>TP $0.65/ctn</v>
      </c>
      <c r="AQ9" s="1272"/>
      <c r="AR9" s="1271" t="str">
        <f>CONCATENATE("TP $",TEXT(AS57,"#,##0.00"),"/ctn")</f>
        <v>TP $0.65/ctn</v>
      </c>
      <c r="AS9" s="1272"/>
      <c r="AT9" s="1271" t="e">
        <f>CONCATENATE("TP $",TEXT(AU57,"#,##0.00"),"/ctn")</f>
        <v>#REF!</v>
      </c>
      <c r="AU9" s="1272"/>
      <c r="AV9" s="627"/>
      <c r="AW9" s="1271" t="str">
        <f>CONCATENATE("TP $",TEXT(AX57,"#,##0.00"),"/ctn")</f>
        <v>TP $0.73/ctn</v>
      </c>
      <c r="AX9" s="1272"/>
      <c r="AY9" s="1358" t="str">
        <f>CONCATENATE("TP $",TEXT(AZ57,"#,##0.00"),"/ctn")</f>
        <v>TP $0.40/ctn</v>
      </c>
      <c r="AZ9" s="1191"/>
      <c r="BA9" s="1271" t="str">
        <f>CONCATENATE("TP $",TEXT(BB57,"#,##0.00"),"/ctn")</f>
        <v>TP $0.80/ctn</v>
      </c>
      <c r="BB9" s="1272"/>
      <c r="BC9" s="1271" t="str">
        <f>CONCATENATE("TP $",TEXT(BD57,"#,##0.00"),"/ctn")</f>
        <v>TP $0.80/ctn</v>
      </c>
      <c r="BD9" s="1272"/>
      <c r="BE9" s="1271" t="str">
        <f>CONCATENATE("TP $",TEXT(BF57,"#,##0.00"),"/ctn")</f>
        <v>TP $0.80/ctn</v>
      </c>
      <c r="BF9" s="1272"/>
      <c r="BG9" s="1271" t="str">
        <f>CONCATENATE("TP $",TEXT(BH57,"#,##0.00"),"/ctn")</f>
        <v>TP $0.80/ctn</v>
      </c>
      <c r="BH9" s="1272"/>
      <c r="BI9" s="1271" t="str">
        <f>CONCATENATE("TP $",TEXT(BJ57,"#,##0.00"),"/ctn")</f>
        <v>TP $0.80/ctn</v>
      </c>
      <c r="BJ9" s="1272"/>
      <c r="BK9" s="1190" t="str">
        <f>CONCATENATE("TP $",TEXT(BL57,"#,##0.00"),"/ctn")</f>
        <v>TP $1.02/ctn</v>
      </c>
      <c r="BL9" s="1191"/>
      <c r="BM9" s="1271" t="str">
        <f>CONCATENATE("TP $",TEXT(BN57,"#,##0.00"),"/ctn")</f>
        <v>TP $1.02/ctn</v>
      </c>
      <c r="BN9" s="1272"/>
      <c r="BO9" s="1271" t="str">
        <f>CONCATENATE("TP $",TEXT(BP57,"#,##0.00"),"/ctn")</f>
        <v>TP $1.02/ctn</v>
      </c>
      <c r="BP9" s="1272"/>
      <c r="BQ9" s="1271" t="str">
        <f>CONCATENATE("TP $",TEXT(BR57,"#,##0.00"),"/ctn")</f>
        <v>TP $1.00/ctn</v>
      </c>
      <c r="BR9" s="1272"/>
      <c r="BS9" s="1190" t="str">
        <f>CONCATENATE("TP $",TEXT(BT57,"#,##0.00"),"/ctn")</f>
        <v>TP $1.03/ctn</v>
      </c>
      <c r="BT9" s="1191"/>
      <c r="BU9" s="1271" t="str">
        <f>CONCATENATE("TP $",TEXT(BV57,"#,##0.00"),"/ctn")</f>
        <v>TP $1.03/ctn</v>
      </c>
      <c r="BV9" s="1272"/>
      <c r="BW9" s="1271" t="str">
        <f>CONCATENATE("TP $",TEXT(BX57,"#,##0.00"),"/ctn")</f>
        <v>TP $1.03/ctn</v>
      </c>
      <c r="BX9" s="1272"/>
      <c r="BY9" s="1271" t="str">
        <f>CONCATENATE("TP $",TEXT(BZ57,"#,##0.00"),"/ctn")</f>
        <v>TP $0.90/ctn</v>
      </c>
      <c r="BZ9" s="1272"/>
      <c r="CA9" s="1190" t="str">
        <f>CONCATENATE("TP $",TEXT(CB57,"#,##0.00"),"/ctn")</f>
        <v>TP $1.80/ctn</v>
      </c>
      <c r="CB9" s="1191"/>
      <c r="CC9" s="1271" t="str">
        <f>CONCATENATE("TP $",TEXT(CD57,"#,##0.00"),"/ctn")</f>
        <v>TP $1.80/ctn</v>
      </c>
      <c r="CD9" s="1272"/>
      <c r="CE9" s="1271" t="str">
        <f>CONCATENATE("TP $",TEXT(CF57,"#,##0.00"),"/ctn")</f>
        <v>TP $1.80/ctn</v>
      </c>
      <c r="CF9" s="1272"/>
      <c r="CG9" s="1271" t="str">
        <f>CONCATENATE("TP $",TEXT(CH57,"#,##0.00"),"/ctn")</f>
        <v>TP $1.45/ctn</v>
      </c>
      <c r="CH9" s="1272"/>
      <c r="CI9" s="1271" t="str">
        <f>CONCATENATE("TP $",TEXT(CJ57,"#,##0.00"),"/ctn")</f>
        <v>TP $0.00/ctn</v>
      </c>
      <c r="CJ9" s="1272"/>
      <c r="CK9" s="1271" t="str">
        <f>CONCATENATE("TP $",TEXT(CL57,"#,##0.00"),"/ctn")</f>
        <v>TP $0.00/ctn</v>
      </c>
      <c r="CL9" s="1272"/>
      <c r="CM9" s="1271" t="str">
        <f>CONCATENATE("TP $",TEXT(CN57,"#,##0.00"),"/ctn")</f>
        <v>TP $0.00/ctn</v>
      </c>
      <c r="CN9" s="1272"/>
      <c r="CO9" s="1271" t="str">
        <f>CONCATENATE("TP $",TEXT(CP57,"#,##0.00"),"/ctn")</f>
        <v>TP $1.30/ctn</v>
      </c>
      <c r="CP9" s="1272"/>
      <c r="CR9" s="1271" t="str">
        <f>CONCATENATE("TP $",TEXT(CS57,"#,##0.00"),"/ctn")</f>
        <v>TP $0.00/ctn</v>
      </c>
      <c r="CS9" s="1272"/>
      <c r="CT9" s="1271" t="str">
        <f>CONCATENATE("TP $",TEXT(CU57,"#,##0.00"),"/ctn")</f>
        <v>TP $0.00/ctn</v>
      </c>
      <c r="CU9" s="1272"/>
      <c r="CV9" s="1271" t="str">
        <f>CONCATENATE("TP $",TEXT(CW57,"#,##0.00"),"/ctn")</f>
        <v>TP $0.00/ctn</v>
      </c>
      <c r="CW9" s="1272"/>
      <c r="CX9" s="1271" t="str">
        <f>CONCATENATE("TP $",TEXT(CY57,"#,##0.00"),"/ctn")</f>
        <v>TP $1.35/ctn</v>
      </c>
      <c r="CY9" s="1272"/>
      <c r="DA9" s="1271" t="str">
        <f>CONCATENATE("TP $",TEXT(DB57,"#,##0.00"),"/ctn")</f>
        <v>TP $0.00/ctn</v>
      </c>
      <c r="DB9" s="1272"/>
      <c r="DC9" s="1271" t="str">
        <f>CONCATENATE("TP $",TEXT(DD57,"#,##0.00"),"/ctn")</f>
        <v>TP $0.00/ctn</v>
      </c>
      <c r="DD9" s="1272"/>
      <c r="DE9" s="1271" t="str">
        <f>CONCATENATE("TP $",TEXT(DF57,"#,##0.00"),"/ctn")</f>
        <v>TP $0.00/ctn</v>
      </c>
      <c r="DF9" s="1272"/>
      <c r="DH9" s="1271" t="str">
        <f>CONCATENATE("TP $",TEXT(DI57,"#,##0.00"),"/ctn")</f>
        <v>TP $0.80/ctn</v>
      </c>
      <c r="DI9" s="1272"/>
      <c r="DJ9" s="1271" t="str">
        <f>CONCATENATE("TP $",TEXT(DK57,"#,##0.00"),"/ctn")</f>
        <v>TP $0.80/ctn</v>
      </c>
      <c r="DK9" s="1272"/>
      <c r="DL9" s="1271" t="str">
        <f>CONCATENATE("TP $",TEXT(DM57,"#,##0.00"),"/ctn")</f>
        <v>TP $0.80/ctn</v>
      </c>
      <c r="DM9" s="1272"/>
      <c r="DO9" s="1271" t="str">
        <f>CONCATENATE("TP $",TEXT(DP57,"#,##0.00"),"/ctn")</f>
        <v>TP $0.80/ctn</v>
      </c>
      <c r="DP9" s="1272"/>
      <c r="DQ9" s="1271" t="str">
        <f>CONCATENATE("TP $",TEXT(DR57,"#,##0.00"),"/ctn")</f>
        <v>TP $0.80/ctn</v>
      </c>
      <c r="DR9" s="1272"/>
      <c r="DS9" s="1271" t="str">
        <f>CONCATENATE("TP $",TEXT(DT57,"#,##0.00"),"/ctn")</f>
        <v>TP $0.80/ctn</v>
      </c>
      <c r="DT9" s="1272"/>
      <c r="DV9" s="1271" t="str">
        <f>CONCATENATE("TP $",TEXT(DW57,"#,##0.00"),"/ctn")</f>
        <v>TP $0.80/ctn</v>
      </c>
      <c r="DW9" s="1272"/>
      <c r="DX9" s="1271" t="str">
        <f>CONCATENATE("TP $",TEXT(DY57,"#,##0.00"),"/ctn")</f>
        <v>TP $0.80/ctn</v>
      </c>
      <c r="DY9" s="1272"/>
      <c r="EA9" s="1271" t="str">
        <f>CONCATENATE("TP $",TEXT(EB57,"#,##0.00"),"/ctn")</f>
        <v>TP $0.80/ctn</v>
      </c>
      <c r="EB9" s="1272"/>
      <c r="ED9" s="1271" t="str">
        <f>CONCATENATE("TP $",TEXT(EE57,"#,##0.00"),"/ctn")</f>
        <v>TP $0.80/ctn</v>
      </c>
      <c r="EE9" s="1272"/>
      <c r="EG9" s="1271" t="str">
        <f>CONCATENATE("TP $",TEXT(EH57,"#,##0.00"),"/ctn")</f>
        <v>TP $0.80/ctn</v>
      </c>
      <c r="EH9" s="1272"/>
      <c r="EJ9" s="1271" t="str">
        <f>CONCATENATE("TP $",TEXT(EK57,"#,##0.00"),"/ctn")</f>
        <v>TP $0.80/ctn</v>
      </c>
      <c r="EK9" s="1272"/>
      <c r="EM9" s="1271" t="str">
        <f>CONCATENATE("TP $",TEXT(EN57,"#,##0.00"),"/ctn")</f>
        <v>TP $0.80/ctn</v>
      </c>
      <c r="EN9" s="1272"/>
      <c r="EP9" s="1271" t="str">
        <f>CONCATENATE("TP $",TEXT(EQ57,"#,##0.00"),"/ctn")</f>
        <v>TP $0.80/ctn</v>
      </c>
      <c r="EQ9" s="1272"/>
      <c r="ER9" s="1271" t="str">
        <f>CONCATENATE("TP $",TEXT(ES57,"#,##0.00"),"/ctn")</f>
        <v>TP $0.80/ctn</v>
      </c>
      <c r="ES9" s="1272"/>
      <c r="ET9" s="4"/>
      <c r="EU9" s="1271" t="str">
        <f>CONCATENATE("TP $",TEXT(EV57,"#,##0.00"),"/ctn")</f>
        <v>TP $0.80/ctn</v>
      </c>
      <c r="EV9" s="1272"/>
      <c r="EX9" s="1271" t="str">
        <f>CONCATENATE("TP $",TEXT(EY57,"#,##0.00"),"/ctn")</f>
        <v>TP $0.80/ctn</v>
      </c>
      <c r="EY9" s="1272"/>
      <c r="EZ9" s="1271" t="str">
        <f>CONCATENATE("TP $",TEXT(FA57,"#,##0.00"),"/ctn")</f>
        <v>TP $0.80/ctn</v>
      </c>
      <c r="FA9" s="1272"/>
      <c r="FB9" s="1271" t="str">
        <f>CONCATENATE("TP $",TEXT(FC57,"#,##0.00"),"/ctn")</f>
        <v>TP $0.80/ctn</v>
      </c>
      <c r="FC9" s="1272"/>
    </row>
    <row r="10" spans="1:159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348" t="str">
        <f>RIGHT(J2,2)</f>
        <v>40</v>
      </c>
      <c r="K10" s="349" t="str">
        <f>+J10</f>
        <v>40</v>
      </c>
      <c r="L10" s="348" t="str">
        <f>RIGHT(L2,2)</f>
        <v>40</v>
      </c>
      <c r="M10" s="349" t="str">
        <f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628"/>
      <c r="S10" s="252" t="str">
        <f>RIGHT(S2,2)</f>
        <v>40</v>
      </c>
      <c r="T10" s="253" t="str">
        <f>+S10</f>
        <v>40</v>
      </c>
      <c r="U10" s="252" t="str">
        <f>RIGHT(U2,2)</f>
        <v>40</v>
      </c>
      <c r="V10" s="253" t="str">
        <f>+U10</f>
        <v>40</v>
      </c>
      <c r="W10" s="348" t="str">
        <f>RIGHT(W2,2)</f>
        <v>40</v>
      </c>
      <c r="X10" s="349" t="str">
        <f>+W10</f>
        <v>40</v>
      </c>
      <c r="Y10" s="348" t="str">
        <f>RIGHT(Y2,2)</f>
        <v>40</v>
      </c>
      <c r="Z10" s="349" t="str">
        <f>+Y10</f>
        <v>40</v>
      </c>
      <c r="AA10" s="348" t="str">
        <f>RIGHT(AA2,2)</f>
        <v>40</v>
      </c>
      <c r="AB10" s="349" t="str">
        <f>+AA10</f>
        <v>40</v>
      </c>
      <c r="AC10" s="348" t="str">
        <f>RIGHT(AC2,2)</f>
        <v>40</v>
      </c>
      <c r="AD10" s="349" t="str">
        <f>+AC10</f>
        <v>40</v>
      </c>
      <c r="AE10" s="348" t="str">
        <f>RIGHT(AE2,2)</f>
        <v>40</v>
      </c>
      <c r="AF10" s="349" t="str">
        <f>+AE10</f>
        <v>40</v>
      </c>
      <c r="AG10" s="628"/>
      <c r="AH10" s="252" t="str">
        <f>RIGHT(AH2,2)</f>
        <v>40</v>
      </c>
      <c r="AI10" s="253" t="str">
        <f>+AH10</f>
        <v>40</v>
      </c>
      <c r="AJ10" s="252" t="str">
        <f>RIGHT(AJ2,2)</f>
        <v>40</v>
      </c>
      <c r="AK10" s="253" t="str">
        <f>+AJ10</f>
        <v>40</v>
      </c>
      <c r="AL10" s="348" t="str">
        <f>RIGHT(AL2,2)</f>
        <v>40</v>
      </c>
      <c r="AM10" s="349" t="str">
        <f>+AL10</f>
        <v>40</v>
      </c>
      <c r="AN10" s="348" t="str">
        <f>RIGHT(AN2,2)</f>
        <v>40</v>
      </c>
      <c r="AO10" s="349" t="str">
        <f>+AN10</f>
        <v>40</v>
      </c>
      <c r="AP10" s="348" t="str">
        <f>RIGHT(AP2,2)</f>
        <v>40</v>
      </c>
      <c r="AQ10" s="349" t="str">
        <f>+AP10</f>
        <v>40</v>
      </c>
      <c r="AR10" s="348" t="str">
        <f>RIGHT(AR2,2)</f>
        <v>40</v>
      </c>
      <c r="AS10" s="349" t="str">
        <f>+AR10</f>
        <v>40</v>
      </c>
      <c r="AT10" s="348" t="str">
        <f>RIGHT(AT2,2)</f>
        <v>40</v>
      </c>
      <c r="AU10" s="349" t="str">
        <f>+AT10</f>
        <v>40</v>
      </c>
      <c r="AV10" s="628"/>
      <c r="AW10" s="348" t="str">
        <f>RIGHT(AW2,2)</f>
        <v>40</v>
      </c>
      <c r="AX10" s="349" t="str">
        <f>+AW10</f>
        <v>40</v>
      </c>
      <c r="AY10" s="284" t="str">
        <f>RIGHT(AY2,2)</f>
        <v>40</v>
      </c>
      <c r="AZ10" s="253" t="str">
        <f>+AY10</f>
        <v>40</v>
      </c>
      <c r="BA10" s="348" t="str">
        <f>RIGHT(BA2,2)</f>
        <v>40</v>
      </c>
      <c r="BB10" s="349" t="str">
        <f>+BA10</f>
        <v>40</v>
      </c>
      <c r="BC10" s="348" t="str">
        <f>RIGHT(BC2,2)</f>
        <v>40</v>
      </c>
      <c r="BD10" s="349" t="str">
        <f>+BC10</f>
        <v>40</v>
      </c>
      <c r="BE10" s="348" t="str">
        <f>RIGHT(BE2,2)</f>
        <v>40</v>
      </c>
      <c r="BF10" s="349" t="str">
        <f>+BE10</f>
        <v>40</v>
      </c>
      <c r="BG10" s="348" t="str">
        <f>RIGHT(BG2,2)</f>
        <v>40</v>
      </c>
      <c r="BH10" s="349" t="str">
        <f>+BG10</f>
        <v>40</v>
      </c>
      <c r="BI10" s="348" t="str">
        <f>RIGHT(BI2,2)</f>
        <v>40</v>
      </c>
      <c r="BJ10" s="349" t="str">
        <f>+BI10</f>
        <v>40</v>
      </c>
      <c r="BK10" s="252" t="str">
        <f>RIGHT(BK2,2)</f>
        <v>12</v>
      </c>
      <c r="BL10" s="253" t="str">
        <f>+BK10</f>
        <v>12</v>
      </c>
      <c r="BM10" s="348" t="str">
        <f>RIGHT(BM2,2)</f>
        <v>12</v>
      </c>
      <c r="BN10" s="349" t="str">
        <f>+BM10</f>
        <v>12</v>
      </c>
      <c r="BO10" s="348" t="str">
        <f>RIGHT(BO2,2)</f>
        <v>12</v>
      </c>
      <c r="BP10" s="349" t="str">
        <f>+BO10</f>
        <v>12</v>
      </c>
      <c r="BQ10" s="348" t="str">
        <f>RIGHT(BQ2,2)</f>
        <v>12</v>
      </c>
      <c r="BR10" s="349" t="str">
        <f>+BQ10</f>
        <v>12</v>
      </c>
      <c r="BS10" s="252" t="str">
        <f>RIGHT(BS2,2)</f>
        <v>12</v>
      </c>
      <c r="BT10" s="253" t="str">
        <f>+BS10</f>
        <v>12</v>
      </c>
      <c r="BU10" s="348" t="str">
        <f>RIGHT(BU2,2)</f>
        <v>12</v>
      </c>
      <c r="BV10" s="349" t="str">
        <f>+BU10</f>
        <v>12</v>
      </c>
      <c r="BW10" s="348" t="str">
        <f>RIGHT(BW2,2)</f>
        <v>12</v>
      </c>
      <c r="BX10" s="349" t="str">
        <f>+BW10</f>
        <v>12</v>
      </c>
      <c r="BY10" s="348" t="str">
        <f>RIGHT(BY2,2)</f>
        <v>12</v>
      </c>
      <c r="BZ10" s="349" t="str">
        <f>+BY10</f>
        <v>12</v>
      </c>
      <c r="CA10" s="252" t="str">
        <f>RIGHT(CA2,2)</f>
        <v>24</v>
      </c>
      <c r="CB10" s="253" t="str">
        <f>+CA10</f>
        <v>24</v>
      </c>
      <c r="CC10" s="348" t="str">
        <f>RIGHT(CC2,2)</f>
        <v>24</v>
      </c>
      <c r="CD10" s="349" t="str">
        <f>+CC10</f>
        <v>24</v>
      </c>
      <c r="CE10" s="348" t="str">
        <f>RIGHT(CE2,2)</f>
        <v>24</v>
      </c>
      <c r="CF10" s="349" t="str">
        <f>+CE10</f>
        <v>24</v>
      </c>
      <c r="CG10" s="348" t="str">
        <f>RIGHT(CG2,2)</f>
        <v>24</v>
      </c>
      <c r="CH10" s="349" t="str">
        <f>+CG10</f>
        <v>24</v>
      </c>
      <c r="CI10" s="348" t="str">
        <f>RIGHT(CI2,2)</f>
        <v>40</v>
      </c>
      <c r="CJ10" s="349" t="str">
        <f>+CI10</f>
        <v>40</v>
      </c>
      <c r="CK10" s="348" t="str">
        <f>RIGHT(CK2,2)</f>
        <v>40</v>
      </c>
      <c r="CL10" s="349" t="str">
        <f>+CK10</f>
        <v>40</v>
      </c>
      <c r="CM10" s="348" t="str">
        <f>RIGHT(CM2,2)</f>
        <v>40</v>
      </c>
      <c r="CN10" s="349" t="str">
        <f>+CM10</f>
        <v>40</v>
      </c>
      <c r="CO10" s="348" t="str">
        <f>RIGHT(CO2,2)</f>
        <v>12</v>
      </c>
      <c r="CP10" s="349" t="str">
        <f>+CO10</f>
        <v>12</v>
      </c>
      <c r="CR10" s="348" t="str">
        <f>RIGHT(CR2,2)</f>
        <v>40</v>
      </c>
      <c r="CS10" s="349" t="str">
        <f>+CR10</f>
        <v>40</v>
      </c>
      <c r="CT10" s="348" t="str">
        <f>RIGHT(CT2,2)</f>
        <v>40</v>
      </c>
      <c r="CU10" s="349" t="str">
        <f>+CT10</f>
        <v>40</v>
      </c>
      <c r="CV10" s="348" t="str">
        <f>RIGHT(CV2,2)</f>
        <v>40</v>
      </c>
      <c r="CW10" s="349" t="str">
        <f>+CV10</f>
        <v>40</v>
      </c>
      <c r="CX10" s="348" t="str">
        <f>RIGHT(CX2,2)</f>
        <v>12</v>
      </c>
      <c r="CY10" s="349" t="str">
        <f>+CX10</f>
        <v>12</v>
      </c>
      <c r="DA10" s="348" t="str">
        <f>RIGHT(DA2,2)</f>
        <v>40</v>
      </c>
      <c r="DB10" s="349" t="str">
        <f>+DA10</f>
        <v>40</v>
      </c>
      <c r="DC10" s="348" t="str">
        <f>RIGHT(DC2,2)</f>
        <v>40</v>
      </c>
      <c r="DD10" s="349" t="str">
        <f>+DC10</f>
        <v>40</v>
      </c>
      <c r="DE10" s="348" t="str">
        <f>RIGHT(DE2,2)</f>
        <v>40</v>
      </c>
      <c r="DF10" s="349" t="str">
        <f>+DE10</f>
        <v>40</v>
      </c>
      <c r="DH10" s="348" t="str">
        <f>RIGHT(DH2,2)</f>
        <v>40</v>
      </c>
      <c r="DI10" s="349" t="str">
        <f>+DH10</f>
        <v>40</v>
      </c>
      <c r="DJ10" s="348" t="str">
        <f>RIGHT(DJ2,2)</f>
        <v>40</v>
      </c>
      <c r="DK10" s="349" t="str">
        <f>+DJ10</f>
        <v>40</v>
      </c>
      <c r="DL10" s="348" t="str">
        <f>RIGHT(DL2,2)</f>
        <v>40</v>
      </c>
      <c r="DM10" s="349" t="str">
        <f>+DL10</f>
        <v>40</v>
      </c>
      <c r="DO10" s="348" t="str">
        <f>RIGHT(DO2,2)</f>
        <v>40</v>
      </c>
      <c r="DP10" s="349" t="str">
        <f>+DO10</f>
        <v>40</v>
      </c>
      <c r="DQ10" s="348" t="str">
        <f>RIGHT(DQ2,2)</f>
        <v>40</v>
      </c>
      <c r="DR10" s="349" t="str">
        <f>+DQ10</f>
        <v>40</v>
      </c>
      <c r="DS10" s="348" t="str">
        <f>RIGHT(DS2,2)</f>
        <v>40</v>
      </c>
      <c r="DT10" s="349" t="str">
        <f>+DS10</f>
        <v>40</v>
      </c>
      <c r="DV10" s="348" t="str">
        <f>RIGHT(DV2,2)</f>
        <v>40</v>
      </c>
      <c r="DW10" s="349" t="str">
        <f>+DV10</f>
        <v>40</v>
      </c>
      <c r="DX10" s="348" t="str">
        <f>RIGHT(DX2,2)</f>
        <v>40</v>
      </c>
      <c r="DY10" s="349" t="str">
        <f>+DX10</f>
        <v>40</v>
      </c>
      <c r="EA10" s="348" t="str">
        <f>RIGHT(EA2,2)</f>
        <v>40</v>
      </c>
      <c r="EB10" s="349" t="str">
        <f>+EA10</f>
        <v>40</v>
      </c>
      <c r="ED10" s="348" t="str">
        <f>RIGHT(ED2,2)</f>
        <v>40</v>
      </c>
      <c r="EE10" s="349" t="str">
        <f>+ED10</f>
        <v>40</v>
      </c>
      <c r="EG10" s="348" t="str">
        <f>RIGHT(EG2,2)</f>
        <v>40</v>
      </c>
      <c r="EH10" s="349" t="str">
        <f>+EG10</f>
        <v>40</v>
      </c>
      <c r="EJ10" s="348" t="str">
        <f>RIGHT(EJ2,2)</f>
        <v>40</v>
      </c>
      <c r="EK10" s="349" t="str">
        <f>+EJ10</f>
        <v>40</v>
      </c>
      <c r="EM10" s="348" t="str">
        <f>RIGHT(EM2,2)</f>
        <v>40</v>
      </c>
      <c r="EN10" s="349" t="str">
        <f>+EM10</f>
        <v>40</v>
      </c>
      <c r="EP10" s="348" t="str">
        <f>RIGHT(EP2,2)</f>
        <v>40</v>
      </c>
      <c r="EQ10" s="349" t="str">
        <f>+EP10</f>
        <v>40</v>
      </c>
      <c r="ER10" s="348" t="str">
        <f>RIGHT(ER2,2)</f>
        <v>40</v>
      </c>
      <c r="ES10" s="349" t="str">
        <f>+ER10</f>
        <v>40</v>
      </c>
      <c r="EU10" s="348" t="str">
        <f>RIGHT(EU2,2)</f>
        <v>40</v>
      </c>
      <c r="EV10" s="349" t="str">
        <f>+EU10</f>
        <v>40</v>
      </c>
      <c r="EX10" s="348" t="str">
        <f>RIGHT(EX2,2)</f>
        <v>40</v>
      </c>
      <c r="EY10" s="349" t="str">
        <f>+EX10</f>
        <v>40</v>
      </c>
      <c r="EZ10" s="348" t="str">
        <f>RIGHT(EZ2,2)</f>
        <v>40</v>
      </c>
      <c r="FA10" s="349" t="str">
        <f>+EZ10</f>
        <v>40</v>
      </c>
      <c r="FB10" s="348" t="str">
        <f>RIGHT(FB2,2)</f>
        <v>40</v>
      </c>
      <c r="FC10" s="349" t="str">
        <f>+FB10</f>
        <v>40</v>
      </c>
    </row>
    <row r="11" spans="1:159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629"/>
      <c r="S11" s="21" t="s">
        <v>25</v>
      </c>
      <c r="T11" s="22" t="s">
        <v>26</v>
      </c>
      <c r="U11" s="21" t="s">
        <v>25</v>
      </c>
      <c r="V11" s="22" t="s">
        <v>26</v>
      </c>
      <c r="W11" s="21" t="s">
        <v>25</v>
      </c>
      <c r="X11" s="22" t="s">
        <v>26</v>
      </c>
      <c r="Y11" s="21" t="s">
        <v>25</v>
      </c>
      <c r="Z11" s="22" t="s">
        <v>26</v>
      </c>
      <c r="AA11" s="21" t="s">
        <v>25</v>
      </c>
      <c r="AB11" s="22" t="s">
        <v>26</v>
      </c>
      <c r="AC11" s="21" t="s">
        <v>25</v>
      </c>
      <c r="AD11" s="22" t="s">
        <v>26</v>
      </c>
      <c r="AE11" s="21" t="s">
        <v>25</v>
      </c>
      <c r="AF11" s="22" t="s">
        <v>26</v>
      </c>
      <c r="AG11" s="629"/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629"/>
      <c r="AW11" s="21" t="s">
        <v>25</v>
      </c>
      <c r="AX11" s="22" t="s">
        <v>26</v>
      </c>
      <c r="AY11" s="285" t="s">
        <v>25</v>
      </c>
      <c r="AZ11" s="22" t="s">
        <v>26</v>
      </c>
      <c r="BA11" s="21" t="s">
        <v>25</v>
      </c>
      <c r="BB11" s="22" t="s">
        <v>26</v>
      </c>
      <c r="BC11" s="21" t="s">
        <v>25</v>
      </c>
      <c r="BD11" s="22" t="s">
        <v>26</v>
      </c>
      <c r="BE11" s="21" t="s">
        <v>25</v>
      </c>
      <c r="BF11" s="22" t="s">
        <v>26</v>
      </c>
      <c r="BG11" s="21" t="s">
        <v>25</v>
      </c>
      <c r="BH11" s="22" t="s">
        <v>26</v>
      </c>
      <c r="BI11" s="21" t="s">
        <v>25</v>
      </c>
      <c r="BJ11" s="22" t="s">
        <v>26</v>
      </c>
      <c r="BK11" s="21" t="s">
        <v>25</v>
      </c>
      <c r="BL11" s="22" t="s">
        <v>26</v>
      </c>
      <c r="BM11" s="21" t="s">
        <v>25</v>
      </c>
      <c r="BN11" s="22" t="s">
        <v>26</v>
      </c>
      <c r="BO11" s="21" t="s">
        <v>25</v>
      </c>
      <c r="BP11" s="22" t="s">
        <v>26</v>
      </c>
      <c r="BQ11" s="21" t="s">
        <v>25</v>
      </c>
      <c r="BR11" s="22" t="s">
        <v>26</v>
      </c>
      <c r="BS11" s="21" t="s">
        <v>25</v>
      </c>
      <c r="BT11" s="22" t="s">
        <v>26</v>
      </c>
      <c r="BU11" s="21" t="s">
        <v>25</v>
      </c>
      <c r="BV11" s="22" t="s">
        <v>26</v>
      </c>
      <c r="BW11" s="21" t="s">
        <v>25</v>
      </c>
      <c r="BX11" s="22" t="s">
        <v>26</v>
      </c>
      <c r="BY11" s="21" t="s">
        <v>25</v>
      </c>
      <c r="BZ11" s="22" t="s">
        <v>26</v>
      </c>
      <c r="CA11" s="21" t="s">
        <v>25</v>
      </c>
      <c r="CB11" s="22" t="s">
        <v>26</v>
      </c>
      <c r="CC11" s="21" t="s">
        <v>25</v>
      </c>
      <c r="CD11" s="22" t="s">
        <v>26</v>
      </c>
      <c r="CE11" s="21" t="s">
        <v>25</v>
      </c>
      <c r="CF11" s="22" t="s">
        <v>26</v>
      </c>
      <c r="CG11" s="21" t="s">
        <v>25</v>
      </c>
      <c r="CH11" s="22" t="s">
        <v>26</v>
      </c>
      <c r="CI11" s="21" t="s">
        <v>25</v>
      </c>
      <c r="CJ11" s="22" t="s">
        <v>26</v>
      </c>
      <c r="CK11" s="21" t="s">
        <v>25</v>
      </c>
      <c r="CL11" s="22" t="s">
        <v>26</v>
      </c>
      <c r="CM11" s="21" t="s">
        <v>25</v>
      </c>
      <c r="CN11" s="22" t="s">
        <v>26</v>
      </c>
      <c r="CO11" s="21" t="s">
        <v>25</v>
      </c>
      <c r="CP11" s="22" t="s">
        <v>26</v>
      </c>
      <c r="CR11" s="21" t="s">
        <v>25</v>
      </c>
      <c r="CS11" s="22" t="s">
        <v>26</v>
      </c>
      <c r="CT11" s="21" t="s">
        <v>25</v>
      </c>
      <c r="CU11" s="22" t="s">
        <v>26</v>
      </c>
      <c r="CV11" s="21" t="s">
        <v>25</v>
      </c>
      <c r="CW11" s="22" t="s">
        <v>26</v>
      </c>
      <c r="CX11" s="21" t="s">
        <v>25</v>
      </c>
      <c r="CY11" s="22" t="s">
        <v>26</v>
      </c>
      <c r="DA11" s="21" t="s">
        <v>25</v>
      </c>
      <c r="DB11" s="22" t="s">
        <v>26</v>
      </c>
      <c r="DC11" s="21" t="s">
        <v>25</v>
      </c>
      <c r="DD11" s="22" t="s">
        <v>26</v>
      </c>
      <c r="DE11" s="21" t="s">
        <v>25</v>
      </c>
      <c r="DF11" s="22" t="s">
        <v>26</v>
      </c>
      <c r="DH11" s="21" t="s">
        <v>25</v>
      </c>
      <c r="DI11" s="22" t="s">
        <v>26</v>
      </c>
      <c r="DJ11" s="21" t="s">
        <v>25</v>
      </c>
      <c r="DK11" s="22" t="s">
        <v>26</v>
      </c>
      <c r="DL11" s="21" t="s">
        <v>25</v>
      </c>
      <c r="DM11" s="22" t="s">
        <v>26</v>
      </c>
      <c r="DO11" s="21" t="s">
        <v>25</v>
      </c>
      <c r="DP11" s="22" t="s">
        <v>26</v>
      </c>
      <c r="DQ11" s="21" t="s">
        <v>25</v>
      </c>
      <c r="DR11" s="22" t="s">
        <v>26</v>
      </c>
      <c r="DS11" s="21" t="s">
        <v>25</v>
      </c>
      <c r="DT11" s="22" t="s">
        <v>26</v>
      </c>
      <c r="DV11" s="21" t="s">
        <v>25</v>
      </c>
      <c r="DW11" s="22" t="s">
        <v>26</v>
      </c>
      <c r="DX11" s="21" t="s">
        <v>25</v>
      </c>
      <c r="DY11" s="22" t="s">
        <v>26</v>
      </c>
      <c r="EA11" s="21" t="s">
        <v>25</v>
      </c>
      <c r="EB11" s="22" t="s">
        <v>26</v>
      </c>
      <c r="ED11" s="21" t="s">
        <v>25</v>
      </c>
      <c r="EE11" s="22" t="s">
        <v>26</v>
      </c>
      <c r="EG11" s="21" t="s">
        <v>25</v>
      </c>
      <c r="EH11" s="22" t="s">
        <v>26</v>
      </c>
      <c r="EJ11" s="21" t="s">
        <v>25</v>
      </c>
      <c r="EK11" s="22" t="s">
        <v>26</v>
      </c>
      <c r="EM11" s="21" t="s">
        <v>25</v>
      </c>
      <c r="EN11" s="22" t="s">
        <v>26</v>
      </c>
      <c r="EP11" s="21" t="s">
        <v>25</v>
      </c>
      <c r="EQ11" s="22" t="s">
        <v>26</v>
      </c>
      <c r="ER11" s="21" t="s">
        <v>25</v>
      </c>
      <c r="ES11" s="22" t="s">
        <v>26</v>
      </c>
      <c r="EU11" s="21" t="s">
        <v>25</v>
      </c>
      <c r="EV11" s="22" t="s">
        <v>26</v>
      </c>
      <c r="EX11" s="21" t="s">
        <v>25</v>
      </c>
      <c r="EY11" s="22" t="s">
        <v>26</v>
      </c>
      <c r="EZ11" s="21" t="s">
        <v>25</v>
      </c>
      <c r="FA11" s="22" t="s">
        <v>26</v>
      </c>
      <c r="FB11" s="21" t="s">
        <v>25</v>
      </c>
      <c r="FC11" s="22" t="s">
        <v>26</v>
      </c>
    </row>
    <row r="12" spans="1:159" s="4" customFormat="1" x14ac:dyDescent="0.45">
      <c r="A12" s="561"/>
      <c r="B12" s="1203"/>
      <c r="C12" s="15"/>
      <c r="D12" s="1192"/>
      <c r="E12" s="1193"/>
      <c r="F12" s="23">
        <v>4068.66</v>
      </c>
      <c r="G12" s="24"/>
      <c r="H12" s="23">
        <v>4068.66</v>
      </c>
      <c r="I12" s="24"/>
      <c r="J12" s="350">
        <v>4068.66</v>
      </c>
      <c r="K12" s="351"/>
      <c r="L12" s="350">
        <v>4068.66</v>
      </c>
      <c r="M12" s="351"/>
      <c r="N12" s="350">
        <v>4068.66</v>
      </c>
      <c r="O12" s="351"/>
      <c r="P12" s="350"/>
      <c r="Q12" s="351"/>
      <c r="R12" s="630"/>
      <c r="S12" s="23"/>
      <c r="T12" s="24"/>
      <c r="U12" s="23"/>
      <c r="V12" s="24"/>
      <c r="W12" s="350"/>
      <c r="X12" s="351"/>
      <c r="Y12" s="350"/>
      <c r="Z12" s="351"/>
      <c r="AA12" s="350">
        <v>4068.66</v>
      </c>
      <c r="AB12" s="351"/>
      <c r="AC12" s="350"/>
      <c r="AD12" s="351"/>
      <c r="AE12" s="350"/>
      <c r="AF12" s="351"/>
      <c r="AG12" s="630"/>
      <c r="AH12" s="23"/>
      <c r="AI12" s="24"/>
      <c r="AJ12" s="23"/>
      <c r="AK12" s="24"/>
      <c r="AL12" s="350"/>
      <c r="AM12" s="351"/>
      <c r="AN12" s="350"/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630"/>
      <c r="AW12" s="350">
        <v>4068.66</v>
      </c>
      <c r="AX12" s="351"/>
      <c r="AY12" s="286">
        <v>4068.66</v>
      </c>
      <c r="AZ12" s="24"/>
      <c r="BA12" s="350">
        <v>4068.66</v>
      </c>
      <c r="BB12" s="351"/>
      <c r="BC12" s="350">
        <v>4068.66</v>
      </c>
      <c r="BD12" s="351"/>
      <c r="BE12" s="350">
        <v>4068.66</v>
      </c>
      <c r="BF12" s="351"/>
      <c r="BG12" s="350">
        <v>4068.66</v>
      </c>
      <c r="BH12" s="351"/>
      <c r="BI12" s="350">
        <v>4068.66</v>
      </c>
      <c r="BJ12" s="351"/>
      <c r="BK12" s="23">
        <v>4068.66</v>
      </c>
      <c r="BL12" s="24"/>
      <c r="BM12" s="350">
        <v>4068.66</v>
      </c>
      <c r="BN12" s="351"/>
      <c r="BO12" s="350">
        <v>4068.66</v>
      </c>
      <c r="BP12" s="351"/>
      <c r="BQ12" s="350">
        <v>4068.66</v>
      </c>
      <c r="BR12" s="351"/>
      <c r="BS12" s="23">
        <v>4068.66</v>
      </c>
      <c r="BT12" s="24"/>
      <c r="BU12" s="350">
        <v>4068.66</v>
      </c>
      <c r="BV12" s="351"/>
      <c r="BW12" s="350">
        <v>4068.66</v>
      </c>
      <c r="BX12" s="351"/>
      <c r="BY12" s="350">
        <v>4068.66</v>
      </c>
      <c r="BZ12" s="351"/>
      <c r="CA12" s="23">
        <v>4068.66</v>
      </c>
      <c r="CB12" s="24"/>
      <c r="CC12" s="350">
        <v>4068.66</v>
      </c>
      <c r="CD12" s="351"/>
      <c r="CE12" s="350">
        <v>4068.66</v>
      </c>
      <c r="CF12" s="351"/>
      <c r="CG12" s="350">
        <v>4068.66</v>
      </c>
      <c r="CH12" s="351"/>
      <c r="CI12" s="350">
        <v>4068.66</v>
      </c>
      <c r="CJ12" s="351"/>
      <c r="CK12" s="350">
        <v>4068.66</v>
      </c>
      <c r="CL12" s="351"/>
      <c r="CM12" s="350">
        <v>4068.66</v>
      </c>
      <c r="CN12" s="351"/>
      <c r="CO12" s="350">
        <v>4068.66</v>
      </c>
      <c r="CP12" s="351"/>
      <c r="CR12" s="350">
        <v>4068.66</v>
      </c>
      <c r="CS12" s="351"/>
      <c r="CT12" s="350">
        <v>4068.66</v>
      </c>
      <c r="CU12" s="351"/>
      <c r="CV12" s="350">
        <v>4068.66</v>
      </c>
      <c r="CW12" s="351"/>
      <c r="CX12" s="350">
        <v>4068.66</v>
      </c>
      <c r="CY12" s="351"/>
      <c r="DA12" s="350">
        <v>4068.66</v>
      </c>
      <c r="DB12" s="351"/>
      <c r="DC12" s="350">
        <v>4068.66</v>
      </c>
      <c r="DD12" s="351"/>
      <c r="DE12" s="350">
        <v>4068.66</v>
      </c>
      <c r="DF12" s="351"/>
      <c r="DH12" s="350">
        <v>4068.66</v>
      </c>
      <c r="DI12" s="351"/>
      <c r="DJ12" s="350">
        <v>4068.66</v>
      </c>
      <c r="DK12" s="351"/>
      <c r="DL12" s="350">
        <v>4068.66</v>
      </c>
      <c r="DM12" s="351"/>
      <c r="DO12" s="350">
        <v>4068.66</v>
      </c>
      <c r="DP12" s="351"/>
      <c r="DQ12" s="350">
        <v>4068.66</v>
      </c>
      <c r="DR12" s="351"/>
      <c r="DS12" s="350">
        <v>4068.66</v>
      </c>
      <c r="DT12" s="351"/>
      <c r="DV12" s="350">
        <v>4068.66</v>
      </c>
      <c r="DW12" s="351"/>
      <c r="DX12" s="350">
        <v>4068.66</v>
      </c>
      <c r="DY12" s="351"/>
      <c r="EA12" s="350">
        <v>4068.66</v>
      </c>
      <c r="EB12" s="351"/>
      <c r="ED12" s="350">
        <v>4068.66</v>
      </c>
      <c r="EE12" s="351"/>
      <c r="EG12" s="350">
        <v>4068.66</v>
      </c>
      <c r="EH12" s="351"/>
      <c r="EJ12" s="350">
        <v>4068.66</v>
      </c>
      <c r="EK12" s="351"/>
      <c r="EM12" s="350">
        <v>4068.66</v>
      </c>
      <c r="EN12" s="351"/>
      <c r="EP12" s="350">
        <v>4068.66</v>
      </c>
      <c r="EQ12" s="351"/>
      <c r="ER12" s="350">
        <v>4068.66</v>
      </c>
      <c r="ES12" s="351"/>
      <c r="EU12" s="350">
        <v>4068.66</v>
      </c>
      <c r="EV12" s="351"/>
      <c r="EX12" s="350">
        <v>4068.66</v>
      </c>
      <c r="EY12" s="351"/>
      <c r="EZ12" s="350">
        <v>4068.66</v>
      </c>
      <c r="FA12" s="351"/>
      <c r="FB12" s="350">
        <v>4068.66</v>
      </c>
      <c r="FC12" s="351"/>
    </row>
    <row r="13" spans="1:159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352"/>
      <c r="K13" s="353"/>
      <c r="L13" s="352"/>
      <c r="M13" s="353"/>
      <c r="N13" s="352"/>
      <c r="O13" s="353"/>
      <c r="P13" s="352"/>
      <c r="Q13" s="353"/>
      <c r="R13" s="631"/>
      <c r="S13" s="27"/>
      <c r="T13" s="28"/>
      <c r="U13" s="27"/>
      <c r="V13" s="28"/>
      <c r="W13" s="352"/>
      <c r="X13" s="353"/>
      <c r="Y13" s="352"/>
      <c r="Z13" s="353"/>
      <c r="AA13" s="352"/>
      <c r="AB13" s="353"/>
      <c r="AC13" s="352"/>
      <c r="AD13" s="353"/>
      <c r="AE13" s="352"/>
      <c r="AF13" s="353"/>
      <c r="AG13" s="631"/>
      <c r="AH13" s="27"/>
      <c r="AI13" s="28"/>
      <c r="AJ13" s="27"/>
      <c r="AK13" s="28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631"/>
      <c r="AW13" s="352"/>
      <c r="AX13" s="353"/>
      <c r="AY13" s="287"/>
      <c r="AZ13" s="28"/>
      <c r="BA13" s="352"/>
      <c r="BB13" s="353"/>
      <c r="BC13" s="352"/>
      <c r="BD13" s="353"/>
      <c r="BE13" s="352"/>
      <c r="BF13" s="353"/>
      <c r="BG13" s="352"/>
      <c r="BH13" s="353"/>
      <c r="BI13" s="352"/>
      <c r="BJ13" s="353"/>
      <c r="BK13" s="27"/>
      <c r="BL13" s="28"/>
      <c r="BM13" s="352"/>
      <c r="BN13" s="353"/>
      <c r="BO13" s="352"/>
      <c r="BP13" s="353"/>
      <c r="BQ13" s="352"/>
      <c r="BR13" s="353"/>
      <c r="BS13" s="27"/>
      <c r="BT13" s="28"/>
      <c r="BU13" s="352"/>
      <c r="BV13" s="353"/>
      <c r="BW13" s="352"/>
      <c r="BX13" s="353"/>
      <c r="BY13" s="352"/>
      <c r="BZ13" s="353"/>
      <c r="CA13" s="27"/>
      <c r="CB13" s="28"/>
      <c r="CC13" s="352"/>
      <c r="CD13" s="353"/>
      <c r="CE13" s="352"/>
      <c r="CF13" s="353"/>
      <c r="CG13" s="352"/>
      <c r="CH13" s="353"/>
      <c r="CI13" s="352"/>
      <c r="CJ13" s="353"/>
      <c r="CK13" s="352"/>
      <c r="CL13" s="353"/>
      <c r="CM13" s="352"/>
      <c r="CN13" s="353"/>
      <c r="CO13" s="352"/>
      <c r="CP13" s="353"/>
      <c r="CR13" s="352"/>
      <c r="CS13" s="353"/>
      <c r="CT13" s="352"/>
      <c r="CU13" s="353"/>
      <c r="CV13" s="352"/>
      <c r="CW13" s="353"/>
      <c r="CX13" s="352"/>
      <c r="CY13" s="353"/>
      <c r="DA13" s="352"/>
      <c r="DB13" s="353"/>
      <c r="DC13" s="352"/>
      <c r="DD13" s="353"/>
      <c r="DE13" s="352"/>
      <c r="DF13" s="353"/>
      <c r="DH13" s="352"/>
      <c r="DI13" s="353"/>
      <c r="DJ13" s="352"/>
      <c r="DK13" s="353"/>
      <c r="DL13" s="352"/>
      <c r="DM13" s="353"/>
      <c r="DO13" s="352"/>
      <c r="DP13" s="353"/>
      <c r="DQ13" s="352"/>
      <c r="DR13" s="353"/>
      <c r="DS13" s="352"/>
      <c r="DT13" s="353"/>
      <c r="DV13" s="352"/>
      <c r="DW13" s="353"/>
      <c r="DX13" s="352"/>
      <c r="DY13" s="353"/>
      <c r="EA13" s="352"/>
      <c r="EB13" s="353"/>
      <c r="ED13" s="352"/>
      <c r="EE13" s="353"/>
      <c r="EG13" s="352"/>
      <c r="EH13" s="353"/>
      <c r="EJ13" s="352"/>
      <c r="EK13" s="353"/>
      <c r="EM13" s="352"/>
      <c r="EN13" s="353"/>
      <c r="EP13" s="352"/>
      <c r="EQ13" s="353"/>
      <c r="ER13" s="352"/>
      <c r="ES13" s="353"/>
      <c r="EU13" s="352"/>
      <c r="EV13" s="353"/>
      <c r="EX13" s="352"/>
      <c r="EY13" s="353"/>
      <c r="EZ13" s="352"/>
      <c r="FA13" s="353"/>
      <c r="FB13" s="352"/>
      <c r="FC13" s="353"/>
    </row>
    <row r="14" spans="1:159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354"/>
      <c r="K14" s="355"/>
      <c r="L14" s="354"/>
      <c r="M14" s="355"/>
      <c r="N14" s="354"/>
      <c r="O14" s="355"/>
      <c r="P14" s="354"/>
      <c r="Q14" s="355"/>
      <c r="R14" s="632"/>
      <c r="S14" s="17"/>
      <c r="T14" s="18"/>
      <c r="U14" s="17"/>
      <c r="V14" s="18"/>
      <c r="W14" s="354"/>
      <c r="X14" s="355"/>
      <c r="Y14" s="354"/>
      <c r="Z14" s="355"/>
      <c r="AA14" s="354"/>
      <c r="AB14" s="355"/>
      <c r="AC14" s="354"/>
      <c r="AD14" s="355"/>
      <c r="AE14" s="354"/>
      <c r="AF14" s="355"/>
      <c r="AG14" s="632"/>
      <c r="AH14" s="17"/>
      <c r="AI14" s="18"/>
      <c r="AJ14" s="17"/>
      <c r="AK14" s="18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632"/>
      <c r="AW14" s="354"/>
      <c r="AX14" s="355"/>
      <c r="AY14" s="288"/>
      <c r="AZ14" s="18"/>
      <c r="BA14" s="354"/>
      <c r="BB14" s="355"/>
      <c r="BC14" s="354"/>
      <c r="BD14" s="355"/>
      <c r="BE14" s="354"/>
      <c r="BF14" s="355"/>
      <c r="BG14" s="354"/>
      <c r="BH14" s="355"/>
      <c r="BI14" s="354"/>
      <c r="BJ14" s="355"/>
      <c r="BK14" s="17"/>
      <c r="BL14" s="18"/>
      <c r="BM14" s="354"/>
      <c r="BN14" s="355"/>
      <c r="BO14" s="354"/>
      <c r="BP14" s="355"/>
      <c r="BQ14" s="354"/>
      <c r="BR14" s="355"/>
      <c r="BS14" s="17"/>
      <c r="BT14" s="18"/>
      <c r="BU14" s="354"/>
      <c r="BV14" s="355"/>
      <c r="BW14" s="354"/>
      <c r="BX14" s="355"/>
      <c r="BY14" s="354"/>
      <c r="BZ14" s="355"/>
      <c r="CA14" s="17"/>
      <c r="CB14" s="18"/>
      <c r="CC14" s="354"/>
      <c r="CD14" s="355"/>
      <c r="CE14" s="354"/>
      <c r="CF14" s="355"/>
      <c r="CG14" s="354"/>
      <c r="CH14" s="355"/>
      <c r="CI14" s="354"/>
      <c r="CJ14" s="355"/>
      <c r="CK14" s="354"/>
      <c r="CL14" s="355"/>
      <c r="CM14" s="354"/>
      <c r="CN14" s="355"/>
      <c r="CO14" s="354"/>
      <c r="CP14" s="355"/>
      <c r="CR14" s="354"/>
      <c r="CS14" s="355"/>
      <c r="CT14" s="354"/>
      <c r="CU14" s="355"/>
      <c r="CV14" s="354"/>
      <c r="CW14" s="355"/>
      <c r="CX14" s="354"/>
      <c r="CY14" s="355"/>
      <c r="DA14" s="354"/>
      <c r="DB14" s="355"/>
      <c r="DC14" s="354"/>
      <c r="DD14" s="355"/>
      <c r="DE14" s="354"/>
      <c r="DF14" s="355"/>
      <c r="DH14" s="354"/>
      <c r="DI14" s="355"/>
      <c r="DJ14" s="354"/>
      <c r="DK14" s="355"/>
      <c r="DL14" s="354"/>
      <c r="DM14" s="355"/>
      <c r="DO14" s="354"/>
      <c r="DP14" s="355"/>
      <c r="DQ14" s="354"/>
      <c r="DR14" s="355"/>
      <c r="DS14" s="354"/>
      <c r="DT14" s="355"/>
      <c r="DV14" s="354"/>
      <c r="DW14" s="355"/>
      <c r="DX14" s="354"/>
      <c r="DY14" s="355"/>
      <c r="EA14" s="354"/>
      <c r="EB14" s="355"/>
      <c r="ED14" s="354"/>
      <c r="EE14" s="355"/>
      <c r="EG14" s="354"/>
      <c r="EH14" s="355"/>
      <c r="EJ14" s="354"/>
      <c r="EK14" s="355"/>
      <c r="EM14" s="354"/>
      <c r="EN14" s="355"/>
      <c r="EP14" s="354"/>
      <c r="EQ14" s="355"/>
      <c r="ER14" s="354"/>
      <c r="ES14" s="355"/>
      <c r="EU14" s="354"/>
      <c r="EV14" s="355"/>
      <c r="EX14" s="354"/>
      <c r="EY14" s="355"/>
      <c r="EZ14" s="354"/>
      <c r="FA14" s="355"/>
      <c r="FB14" s="354"/>
      <c r="FC14" s="355"/>
    </row>
    <row r="15" spans="1:159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f>'Pricing Structure - GSS'!DD15</f>
        <v>1000</v>
      </c>
      <c r="K15" s="32">
        <f>'Pricing Structure - GSS'!DE15</f>
        <v>0.24578116628079025</v>
      </c>
      <c r="L15" s="31">
        <f>'Pricing Structure - GSS'!CZ15</f>
        <v>1000</v>
      </c>
      <c r="M15" s="32">
        <f>'Pricing Structure - GSS'!DA15</f>
        <v>0.24578116628079025</v>
      </c>
      <c r="N15" s="31">
        <f>'Pricing Structure - GSS'!DB15</f>
        <v>1000</v>
      </c>
      <c r="O15" s="32">
        <f>'Pricing Structure - GSS'!DC15</f>
        <v>0.24578116628079025</v>
      </c>
      <c r="P15" s="31">
        <f>'Pricing Structure - GSS'!DJ15</f>
        <v>1000</v>
      </c>
      <c r="Q15" s="32">
        <f>'Pricing Structure - GSS'!DK15</f>
        <v>0.24578116628079025</v>
      </c>
      <c r="R15" s="271"/>
      <c r="S15" s="31">
        <v>1000</v>
      </c>
      <c r="T15" s="32" t="e">
        <f>+S15/S12</f>
        <v>#DIV/0!</v>
      </c>
      <c r="U15" s="31">
        <v>1000</v>
      </c>
      <c r="V15" s="32" t="e">
        <f>+U15/U12</f>
        <v>#DIV/0!</v>
      </c>
      <c r="W15" s="31">
        <f>'Pricing Structure - IIP'!CX15</f>
        <v>1000</v>
      </c>
      <c r="X15" s="32">
        <f>'Pricing Structure - IIP'!CY15</f>
        <v>0.24578116628079025</v>
      </c>
      <c r="Y15" s="31">
        <f>'Pricing Structure - IIP'!CT15</f>
        <v>1000</v>
      </c>
      <c r="Z15" s="32">
        <f>'Pricing Structure - IIP'!CU15</f>
        <v>0.24578116628079025</v>
      </c>
      <c r="AA15" s="31">
        <f>'Pricing Structure - IIP'!CV15</f>
        <v>1000</v>
      </c>
      <c r="AB15" s="32">
        <f>'Pricing Structure - IIP'!CW15</f>
        <v>0.24578116628079025</v>
      </c>
      <c r="AC15" s="31">
        <f>'Pricing Structure - IIP'!DD15</f>
        <v>1000</v>
      </c>
      <c r="AD15" s="32">
        <f>'Pricing Structure - IIP'!DE15</f>
        <v>0.24578116628079025</v>
      </c>
      <c r="AE15" s="31" t="e">
        <f>'Pricing Structure - IIP'!#REF!</f>
        <v>#REF!</v>
      </c>
      <c r="AF15" s="32" t="e">
        <f>'Pricing Structure - IIP'!#REF!</f>
        <v>#REF!</v>
      </c>
      <c r="AG15" s="271"/>
      <c r="AH15" s="31">
        <v>1000</v>
      </c>
      <c r="AI15" s="32" t="e">
        <f>+AH15/AH12</f>
        <v>#DIV/0!</v>
      </c>
      <c r="AJ15" s="31">
        <v>1000</v>
      </c>
      <c r="AK15" s="32" t="e">
        <f>+AJ15/AJ12</f>
        <v>#DIV/0!</v>
      </c>
      <c r="AL15" s="31">
        <f>'Pricing Structure - IHAG'!DD15</f>
        <v>1000</v>
      </c>
      <c r="AM15" s="32">
        <f>'Pricing Structure - IHAG'!DE15</f>
        <v>0.24578116628079025</v>
      </c>
      <c r="AN15" s="31">
        <f>'Pricing Structure - IHAG'!CZ15</f>
        <v>1000</v>
      </c>
      <c r="AO15" s="32">
        <f>'Pricing Structure - IHAG'!DA15</f>
        <v>0.24578116628079025</v>
      </c>
      <c r="AP15" s="31">
        <f>'Pricing Structure - IHAG'!DB15</f>
        <v>1000</v>
      </c>
      <c r="AQ15" s="32">
        <f>'Pricing Structure - IHAG'!DC15</f>
        <v>0.24578116628079025</v>
      </c>
      <c r="AR15" s="31">
        <f>'Pricing Structure - IHAG'!DP15</f>
        <v>1000</v>
      </c>
      <c r="AS15" s="32">
        <f>'Pricing Structure - IHAG'!DQ15</f>
        <v>0.24578116628079025</v>
      </c>
      <c r="AT15" s="31" t="e">
        <f>'Pricing Structure - IHAG'!#REF!</f>
        <v>#REF!</v>
      </c>
      <c r="AU15" s="32" t="e">
        <f>'Pricing Structure - IHAG'!#REF!</f>
        <v>#REF!</v>
      </c>
      <c r="AV15" s="271"/>
      <c r="AW15" s="31">
        <v>1000</v>
      </c>
      <c r="AX15" s="32">
        <f>+AW15/AW12</f>
        <v>0.24578116628079025</v>
      </c>
      <c r="AY15" s="289">
        <v>1000</v>
      </c>
      <c r="AZ15" s="32">
        <f>+AY15/AY12</f>
        <v>0.24578116628079025</v>
      </c>
      <c r="BA15" s="31">
        <v>1000</v>
      </c>
      <c r="BB15" s="32">
        <f>+BA15/BA12</f>
        <v>0.24578116628079025</v>
      </c>
      <c r="BC15" s="31">
        <v>1000</v>
      </c>
      <c r="BD15" s="32">
        <f>+BC15/BC12</f>
        <v>0.24578116628079025</v>
      </c>
      <c r="BE15" s="31">
        <v>1000</v>
      </c>
      <c r="BF15" s="32">
        <f>+BE15/BE12</f>
        <v>0.24578116628079025</v>
      </c>
      <c r="BG15" s="31">
        <f>BC15</f>
        <v>1000</v>
      </c>
      <c r="BH15" s="32">
        <f>+BG15/BG12</f>
        <v>0.24578116628079025</v>
      </c>
      <c r="BI15" s="31">
        <f>P15</f>
        <v>1000</v>
      </c>
      <c r="BJ15" s="32">
        <f>+BI15/BI12</f>
        <v>0.24578116628079025</v>
      </c>
      <c r="BK15" s="31">
        <v>3250</v>
      </c>
      <c r="BL15" s="32">
        <f>+BK15/BK12</f>
        <v>0.79878879041256834</v>
      </c>
      <c r="BM15" s="31">
        <v>3250</v>
      </c>
      <c r="BN15" s="32">
        <f>+BM15/BM12</f>
        <v>0.79878879041256834</v>
      </c>
      <c r="BO15" s="31">
        <v>3250</v>
      </c>
      <c r="BP15" s="32">
        <f>+BO15/BO12</f>
        <v>0.79878879041256834</v>
      </c>
      <c r="BQ15" s="31">
        <v>3250</v>
      </c>
      <c r="BR15" s="32">
        <f>+BQ15/BQ12</f>
        <v>0.79878879041256834</v>
      </c>
      <c r="BS15" s="31">
        <v>2400</v>
      </c>
      <c r="BT15" s="32">
        <f>+BS15/BS12</f>
        <v>0.58987479907389662</v>
      </c>
      <c r="BU15" s="31">
        <v>2400</v>
      </c>
      <c r="BV15" s="32">
        <f>+BU15/BU12</f>
        <v>0.58987479907389662</v>
      </c>
      <c r="BW15" s="31">
        <v>2400</v>
      </c>
      <c r="BX15" s="32">
        <f>+BW15/BW12</f>
        <v>0.58987479907389662</v>
      </c>
      <c r="BY15" s="31">
        <v>2400</v>
      </c>
      <c r="BZ15" s="32">
        <f>+BY15/BY12</f>
        <v>0.58987479907389662</v>
      </c>
      <c r="CA15" s="31">
        <v>2000</v>
      </c>
      <c r="CB15" s="32">
        <f>+CA15/CA12</f>
        <v>0.4915623325615805</v>
      </c>
      <c r="CC15" s="31">
        <v>2000</v>
      </c>
      <c r="CD15" s="32">
        <f>+CC15/CC12</f>
        <v>0.4915623325615805</v>
      </c>
      <c r="CE15" s="31">
        <v>2000</v>
      </c>
      <c r="CF15" s="32">
        <f>+CE15/CE12</f>
        <v>0.4915623325615805</v>
      </c>
      <c r="CG15" s="31">
        <v>2000</v>
      </c>
      <c r="CH15" s="32">
        <f>+CG15/CG12</f>
        <v>0.4915623325615805</v>
      </c>
      <c r="CI15" s="31">
        <v>1200</v>
      </c>
      <c r="CJ15" s="32">
        <f>+CI15/CI12</f>
        <v>0.29493739953694831</v>
      </c>
      <c r="CK15" s="31">
        <v>1200</v>
      </c>
      <c r="CL15" s="32">
        <f>+CK15/CK12</f>
        <v>0.29493739953694831</v>
      </c>
      <c r="CM15" s="31">
        <v>1200</v>
      </c>
      <c r="CN15" s="32">
        <f>+CM15/CM12</f>
        <v>0.29493739953694831</v>
      </c>
      <c r="CO15" s="31">
        <v>2000</v>
      </c>
      <c r="CP15" s="32">
        <f>+CO15/CO12</f>
        <v>0.4915623325615805</v>
      </c>
      <c r="CR15" s="31">
        <v>1200</v>
      </c>
      <c r="CS15" s="32">
        <f>+CR15/CR12</f>
        <v>0.29493739953694831</v>
      </c>
      <c r="CT15" s="31">
        <v>1200</v>
      </c>
      <c r="CU15" s="32">
        <f>+CT15/CT12</f>
        <v>0.29493739953694831</v>
      </c>
      <c r="CV15" s="31">
        <v>1200</v>
      </c>
      <c r="CW15" s="32">
        <f>+CV15/CV12</f>
        <v>0.29493739953694831</v>
      </c>
      <c r="CX15" s="31">
        <v>2000</v>
      </c>
      <c r="CY15" s="32">
        <f>+CX15/CX12</f>
        <v>0.4915623325615805</v>
      </c>
      <c r="DA15" s="31">
        <v>1200</v>
      </c>
      <c r="DB15" s="32">
        <f>+DA15/DA12</f>
        <v>0.29493739953694831</v>
      </c>
      <c r="DC15" s="31">
        <v>1200</v>
      </c>
      <c r="DD15" s="32">
        <f>+DC15/DC12</f>
        <v>0.29493739953694831</v>
      </c>
      <c r="DE15" s="31">
        <v>1200</v>
      </c>
      <c r="DF15" s="32">
        <f>+DE15/DE12</f>
        <v>0.29493739953694831</v>
      </c>
      <c r="DH15" s="31">
        <v>1500</v>
      </c>
      <c r="DI15" s="32">
        <f>+DH15/DH12</f>
        <v>0.36867174942118536</v>
      </c>
      <c r="DJ15" s="31">
        <v>1500</v>
      </c>
      <c r="DK15" s="32">
        <f>+DJ15/DJ12</f>
        <v>0.36867174942118536</v>
      </c>
      <c r="DL15" s="31">
        <v>1500</v>
      </c>
      <c r="DM15" s="32">
        <f>+DL15/DL12</f>
        <v>0.36867174942118536</v>
      </c>
      <c r="DO15" s="31">
        <v>1500</v>
      </c>
      <c r="DP15" s="32">
        <f>+DO15/DO12</f>
        <v>0.36867174942118536</v>
      </c>
      <c r="DQ15" s="31">
        <v>1500</v>
      </c>
      <c r="DR15" s="32">
        <f>+DQ15/DQ12</f>
        <v>0.36867174942118536</v>
      </c>
      <c r="DS15" s="31">
        <v>1500</v>
      </c>
      <c r="DT15" s="32">
        <f>+DS15/DS12</f>
        <v>0.36867174942118536</v>
      </c>
      <c r="DV15" s="31">
        <v>1500</v>
      </c>
      <c r="DW15" s="32">
        <f>+DV15/DV12</f>
        <v>0.36867174942118536</v>
      </c>
      <c r="DX15" s="31">
        <v>1500</v>
      </c>
      <c r="DY15" s="32">
        <f>+DX15/DX12</f>
        <v>0.36867174942118536</v>
      </c>
      <c r="EA15" s="31">
        <v>1500</v>
      </c>
      <c r="EB15" s="32">
        <f>+EA15/EA12</f>
        <v>0.36867174942118536</v>
      </c>
      <c r="ED15" s="31">
        <v>1500</v>
      </c>
      <c r="EE15" s="32">
        <f>+ED15/ED12</f>
        <v>0.36867174942118536</v>
      </c>
      <c r="EG15" s="31">
        <v>1500</v>
      </c>
      <c r="EH15" s="32">
        <f>+EG15/EG12</f>
        <v>0.36867174942118536</v>
      </c>
      <c r="EJ15" s="31">
        <v>1500</v>
      </c>
      <c r="EK15" s="32">
        <f>+EJ15/EJ12</f>
        <v>0.36867174942118536</v>
      </c>
      <c r="EM15" s="31">
        <v>1500</v>
      </c>
      <c r="EN15" s="32">
        <f>+EM15/EM12</f>
        <v>0.36867174942118536</v>
      </c>
      <c r="EP15" s="31">
        <v>1500</v>
      </c>
      <c r="EQ15" s="32">
        <f>+EP15/EP12</f>
        <v>0.36867174942118536</v>
      </c>
      <c r="ER15" s="31">
        <v>1500</v>
      </c>
      <c r="ES15" s="32">
        <f>+ER15/ER12</f>
        <v>0.36867174942118536</v>
      </c>
      <c r="EU15" s="31">
        <v>1500</v>
      </c>
      <c r="EV15" s="32">
        <f>+EU15/EU12</f>
        <v>0.36867174942118536</v>
      </c>
      <c r="EX15" s="31">
        <v>1500</v>
      </c>
      <c r="EY15" s="32">
        <f>+EX15/EX12</f>
        <v>0.36867174942118536</v>
      </c>
      <c r="EZ15" s="31">
        <v>1500</v>
      </c>
      <c r="FA15" s="32">
        <f>+EZ15/EZ12</f>
        <v>0.36867174942118536</v>
      </c>
      <c r="FB15" s="31">
        <v>1500</v>
      </c>
      <c r="FC15" s="32">
        <f>+FB15/FB12</f>
        <v>0.36867174942118536</v>
      </c>
    </row>
    <row r="16" spans="1:159" s="4" customFormat="1" ht="18" customHeight="1" x14ac:dyDescent="0.45">
      <c r="A16" s="561"/>
      <c r="B16" s="1194"/>
      <c r="C16" s="33" t="s">
        <v>30</v>
      </c>
      <c r="D16" s="20"/>
      <c r="E16" s="30"/>
      <c r="F16" s="31">
        <f>+F15*F10</f>
        <v>40000</v>
      </c>
      <c r="G16" s="32">
        <f>+G15*G10</f>
        <v>9.8312466512316092</v>
      </c>
      <c r="H16" s="31">
        <f>+H15*H10</f>
        <v>40000</v>
      </c>
      <c r="I16" s="32">
        <f>+I15*I10</f>
        <v>9.8312466512316092</v>
      </c>
      <c r="J16" s="31">
        <f>'Pricing Structure - GSS'!DD16</f>
        <v>40000</v>
      </c>
      <c r="K16" s="32">
        <f>'Pricing Structure - GSS'!DE16</f>
        <v>9.8312466512316092</v>
      </c>
      <c r="L16" s="31">
        <f>'Pricing Structure - GSS'!CZ16</f>
        <v>40000</v>
      </c>
      <c r="M16" s="32">
        <f>'Pricing Structure - GSS'!DA16</f>
        <v>9.8312466512316092</v>
      </c>
      <c r="N16" s="31">
        <f>'Pricing Structure - GSS'!DB16</f>
        <v>40000</v>
      </c>
      <c r="O16" s="32">
        <f>'Pricing Structure - GSS'!DC16</f>
        <v>9.8312466512316092</v>
      </c>
      <c r="P16" s="31">
        <f>'Pricing Structure - GSS'!DJ16</f>
        <v>40000</v>
      </c>
      <c r="Q16" s="32">
        <f>'Pricing Structure - GSS'!DK16</f>
        <v>9.8312466512316092</v>
      </c>
      <c r="R16" s="271"/>
      <c r="S16" s="31">
        <f>+S15*S10</f>
        <v>40000</v>
      </c>
      <c r="T16" s="32" t="e">
        <f>+T15*T10</f>
        <v>#DIV/0!</v>
      </c>
      <c r="U16" s="31">
        <f>+U15*U10</f>
        <v>40000</v>
      </c>
      <c r="V16" s="32" t="e">
        <f>+V15*V10</f>
        <v>#DIV/0!</v>
      </c>
      <c r="W16" s="31">
        <f>'Pricing Structure - IIP'!CX16</f>
        <v>40000</v>
      </c>
      <c r="X16" s="32">
        <f>'Pricing Structure - IIP'!CY16</f>
        <v>9.8312466512316092</v>
      </c>
      <c r="Y16" s="31">
        <f>'Pricing Structure - IIP'!CT16</f>
        <v>40000</v>
      </c>
      <c r="Z16" s="32">
        <f>'Pricing Structure - IIP'!CU16</f>
        <v>9.8312466512316092</v>
      </c>
      <c r="AA16" s="31">
        <f>'Pricing Structure - IIP'!CV16</f>
        <v>40000</v>
      </c>
      <c r="AB16" s="32">
        <f>'Pricing Structure - IIP'!CW16</f>
        <v>9.8312466512316092</v>
      </c>
      <c r="AC16" s="31">
        <f>'Pricing Structure - IIP'!DD16</f>
        <v>40000</v>
      </c>
      <c r="AD16" s="32">
        <f>'Pricing Structure - IIP'!DE16</f>
        <v>9.8312466512316092</v>
      </c>
      <c r="AE16" s="31" t="e">
        <f>'Pricing Structure - IIP'!#REF!</f>
        <v>#REF!</v>
      </c>
      <c r="AF16" s="32" t="e">
        <f>'Pricing Structure - IIP'!#REF!</f>
        <v>#REF!</v>
      </c>
      <c r="AG16" s="271"/>
      <c r="AH16" s="31">
        <f>+AH15*AH10</f>
        <v>40000</v>
      </c>
      <c r="AI16" s="32" t="e">
        <f>+AI15*AI10</f>
        <v>#DIV/0!</v>
      </c>
      <c r="AJ16" s="31">
        <f>+AJ15*AJ10</f>
        <v>40000</v>
      </c>
      <c r="AK16" s="32" t="e">
        <f>+AK15*AK10</f>
        <v>#DIV/0!</v>
      </c>
      <c r="AL16" s="31">
        <f>'Pricing Structure - IHAG'!DD16</f>
        <v>40000</v>
      </c>
      <c r="AM16" s="32">
        <f>'Pricing Structure - IHAG'!DE16</f>
        <v>9.8312466512316092</v>
      </c>
      <c r="AN16" s="31">
        <f>'Pricing Structure - IHAG'!CZ16</f>
        <v>40000</v>
      </c>
      <c r="AO16" s="32">
        <f>'Pricing Structure - IHAG'!DA16</f>
        <v>9.8312466512316092</v>
      </c>
      <c r="AP16" s="31">
        <f>'Pricing Structure - IHAG'!DB16</f>
        <v>40000</v>
      </c>
      <c r="AQ16" s="32">
        <f>'Pricing Structure - IHAG'!DC16</f>
        <v>9.8312466512316092</v>
      </c>
      <c r="AR16" s="31">
        <f>'Pricing Structure - IHAG'!DP16</f>
        <v>40000</v>
      </c>
      <c r="AS16" s="32">
        <f>'Pricing Structure - IHAG'!DQ16</f>
        <v>9.8312466512316092</v>
      </c>
      <c r="AT16" s="31" t="e">
        <f>'Pricing Structure - IHAG'!#REF!</f>
        <v>#REF!</v>
      </c>
      <c r="AU16" s="32" t="e">
        <f>'Pricing Structure - IHAG'!#REF!</f>
        <v>#REF!</v>
      </c>
      <c r="AV16" s="271"/>
      <c r="AW16" s="31">
        <f t="shared" ref="AW16:BV16" si="3">+AW15*AW10</f>
        <v>40000</v>
      </c>
      <c r="AX16" s="32">
        <f t="shared" si="3"/>
        <v>9.8312466512316092</v>
      </c>
      <c r="AY16" s="289">
        <f t="shared" si="3"/>
        <v>40000</v>
      </c>
      <c r="AZ16" s="32">
        <f t="shared" si="3"/>
        <v>9.8312466512316092</v>
      </c>
      <c r="BA16" s="31">
        <f t="shared" si="3"/>
        <v>40000</v>
      </c>
      <c r="BB16" s="32">
        <f t="shared" si="3"/>
        <v>9.8312466512316092</v>
      </c>
      <c r="BC16" s="31">
        <f t="shared" si="3"/>
        <v>40000</v>
      </c>
      <c r="BD16" s="32">
        <f t="shared" si="3"/>
        <v>9.8312466512316092</v>
      </c>
      <c r="BE16" s="31">
        <f t="shared" si="3"/>
        <v>40000</v>
      </c>
      <c r="BF16" s="32">
        <f t="shared" si="3"/>
        <v>9.8312466512316092</v>
      </c>
      <c r="BG16" s="31">
        <f t="shared" si="3"/>
        <v>40000</v>
      </c>
      <c r="BH16" s="32">
        <f t="shared" si="3"/>
        <v>9.8312466512316092</v>
      </c>
      <c r="BI16" s="31">
        <f t="shared" si="3"/>
        <v>40000</v>
      </c>
      <c r="BJ16" s="32">
        <f t="shared" si="3"/>
        <v>9.8312466512316092</v>
      </c>
      <c r="BK16" s="31">
        <f t="shared" si="3"/>
        <v>39000</v>
      </c>
      <c r="BL16" s="32">
        <f t="shared" si="3"/>
        <v>9.5854654849508201</v>
      </c>
      <c r="BM16" s="31">
        <f t="shared" si="3"/>
        <v>39000</v>
      </c>
      <c r="BN16" s="32">
        <f t="shared" si="3"/>
        <v>9.5854654849508201</v>
      </c>
      <c r="BO16" s="31">
        <f t="shared" si="3"/>
        <v>39000</v>
      </c>
      <c r="BP16" s="32">
        <f t="shared" si="3"/>
        <v>9.5854654849508201</v>
      </c>
      <c r="BQ16" s="31">
        <f t="shared" si="3"/>
        <v>39000</v>
      </c>
      <c r="BR16" s="32">
        <f t="shared" si="3"/>
        <v>9.5854654849508201</v>
      </c>
      <c r="BS16" s="31">
        <f t="shared" si="3"/>
        <v>28800</v>
      </c>
      <c r="BT16" s="32">
        <f t="shared" si="3"/>
        <v>7.0784975888867594</v>
      </c>
      <c r="BU16" s="31">
        <f t="shared" si="3"/>
        <v>28800</v>
      </c>
      <c r="BV16" s="32">
        <f t="shared" si="3"/>
        <v>7.0784975888867594</v>
      </c>
      <c r="BW16" s="31">
        <f t="shared" ref="BW16:BX16" si="4">+BW15*BW10</f>
        <v>28800</v>
      </c>
      <c r="BX16" s="32">
        <f t="shared" si="4"/>
        <v>7.0784975888867594</v>
      </c>
      <c r="BY16" s="31">
        <f t="shared" ref="BY16:BZ16" si="5">+BY15*BY10</f>
        <v>28800</v>
      </c>
      <c r="BZ16" s="32">
        <f t="shared" si="5"/>
        <v>7.0784975888867594</v>
      </c>
      <c r="CA16" s="31">
        <f>+CA15*CA10</f>
        <v>48000</v>
      </c>
      <c r="CB16" s="32">
        <f>+CB15*CB10</f>
        <v>11.797495981477931</v>
      </c>
      <c r="CC16" s="31">
        <f>+CC15*CC10</f>
        <v>48000</v>
      </c>
      <c r="CD16" s="32">
        <f>+CD15*CD10</f>
        <v>11.797495981477931</v>
      </c>
      <c r="CE16" s="31">
        <f t="shared" ref="CE16:CF16" si="6">+CE15*CE10</f>
        <v>48000</v>
      </c>
      <c r="CF16" s="32">
        <f t="shared" si="6"/>
        <v>11.797495981477931</v>
      </c>
      <c r="CG16" s="31">
        <f t="shared" ref="CG16:CH16" si="7">+CG15*CG10</f>
        <v>48000</v>
      </c>
      <c r="CH16" s="32">
        <f t="shared" si="7"/>
        <v>11.797495981477931</v>
      </c>
      <c r="CI16" s="31">
        <f t="shared" ref="CI16:CL16" si="8">+CI15*CI10</f>
        <v>48000</v>
      </c>
      <c r="CJ16" s="32">
        <f t="shared" si="8"/>
        <v>11.797495981477933</v>
      </c>
      <c r="CK16" s="31">
        <f t="shared" si="8"/>
        <v>48000</v>
      </c>
      <c r="CL16" s="32">
        <f t="shared" si="8"/>
        <v>11.797495981477933</v>
      </c>
      <c r="CM16" s="31">
        <f t="shared" ref="CM16:CN16" si="9">+CM15*CM10</f>
        <v>48000</v>
      </c>
      <c r="CN16" s="32">
        <f t="shared" si="9"/>
        <v>11.797495981477933</v>
      </c>
      <c r="CO16" s="31">
        <f t="shared" ref="CO16:CP16" si="10">+CO15*CO10</f>
        <v>24000</v>
      </c>
      <c r="CP16" s="32">
        <f t="shared" si="10"/>
        <v>5.8987479907389657</v>
      </c>
      <c r="CR16" s="31">
        <f t="shared" ref="CR16:CY16" si="11">+CR15*CR10</f>
        <v>48000</v>
      </c>
      <c r="CS16" s="32">
        <f t="shared" si="11"/>
        <v>11.797495981477933</v>
      </c>
      <c r="CT16" s="31">
        <f t="shared" si="11"/>
        <v>48000</v>
      </c>
      <c r="CU16" s="32">
        <f t="shared" si="11"/>
        <v>11.797495981477933</v>
      </c>
      <c r="CV16" s="31">
        <f t="shared" si="11"/>
        <v>48000</v>
      </c>
      <c r="CW16" s="32">
        <f t="shared" si="11"/>
        <v>11.797495981477933</v>
      </c>
      <c r="CX16" s="31">
        <f t="shared" si="11"/>
        <v>24000</v>
      </c>
      <c r="CY16" s="32">
        <f t="shared" si="11"/>
        <v>5.8987479907389657</v>
      </c>
      <c r="DA16" s="31">
        <f t="shared" ref="DA16:DF16" si="12">+DA15*DA10</f>
        <v>48000</v>
      </c>
      <c r="DB16" s="32">
        <f t="shared" si="12"/>
        <v>11.797495981477933</v>
      </c>
      <c r="DC16" s="31">
        <f t="shared" si="12"/>
        <v>48000</v>
      </c>
      <c r="DD16" s="32">
        <f t="shared" si="12"/>
        <v>11.797495981477933</v>
      </c>
      <c r="DE16" s="31">
        <f t="shared" si="12"/>
        <v>48000</v>
      </c>
      <c r="DF16" s="32">
        <f t="shared" si="12"/>
        <v>11.797495981477933</v>
      </c>
      <c r="DH16" s="31">
        <f t="shared" ref="DH16:DM16" si="13">+DH15*DH10</f>
        <v>60000</v>
      </c>
      <c r="DI16" s="32">
        <f t="shared" si="13"/>
        <v>14.746869976847414</v>
      </c>
      <c r="DJ16" s="31">
        <f t="shared" si="13"/>
        <v>60000</v>
      </c>
      <c r="DK16" s="32">
        <f t="shared" si="13"/>
        <v>14.746869976847414</v>
      </c>
      <c r="DL16" s="31">
        <f t="shared" si="13"/>
        <v>60000</v>
      </c>
      <c r="DM16" s="32">
        <f t="shared" si="13"/>
        <v>14.746869976847414</v>
      </c>
      <c r="DO16" s="31">
        <f t="shared" ref="DO16:DT16" si="14">+DO15*DO10</f>
        <v>60000</v>
      </c>
      <c r="DP16" s="32">
        <f t="shared" si="14"/>
        <v>14.746869976847414</v>
      </c>
      <c r="DQ16" s="31">
        <f t="shared" si="14"/>
        <v>60000</v>
      </c>
      <c r="DR16" s="32">
        <f t="shared" si="14"/>
        <v>14.746869976847414</v>
      </c>
      <c r="DS16" s="31">
        <f t="shared" si="14"/>
        <v>60000</v>
      </c>
      <c r="DT16" s="32">
        <f t="shared" si="14"/>
        <v>14.746869976847414</v>
      </c>
      <c r="DV16" s="31">
        <f t="shared" ref="DV16:DY16" si="15">+DV15*DV10</f>
        <v>60000</v>
      </c>
      <c r="DW16" s="32">
        <f t="shared" si="15"/>
        <v>14.746869976847414</v>
      </c>
      <c r="DX16" s="31">
        <f t="shared" si="15"/>
        <v>60000</v>
      </c>
      <c r="DY16" s="32">
        <f t="shared" si="15"/>
        <v>14.746869976847414</v>
      </c>
      <c r="EA16" s="31">
        <f t="shared" ref="EA16:EB16" si="16">+EA15*EA10</f>
        <v>60000</v>
      </c>
      <c r="EB16" s="32">
        <f t="shared" si="16"/>
        <v>14.746869976847414</v>
      </c>
      <c r="ED16" s="31">
        <f t="shared" ref="ED16:EE16" si="17">+ED15*ED10</f>
        <v>60000</v>
      </c>
      <c r="EE16" s="32">
        <f t="shared" si="17"/>
        <v>14.746869976847414</v>
      </c>
      <c r="EG16" s="31">
        <f t="shared" ref="EG16:EH16" si="18">+EG15*EG10</f>
        <v>60000</v>
      </c>
      <c r="EH16" s="32">
        <f t="shared" si="18"/>
        <v>14.746869976847414</v>
      </c>
      <c r="EJ16" s="31">
        <f t="shared" ref="EJ16:EK16" si="19">+EJ15*EJ10</f>
        <v>60000</v>
      </c>
      <c r="EK16" s="32">
        <f t="shared" si="19"/>
        <v>14.746869976847414</v>
      </c>
      <c r="EM16" s="31">
        <f t="shared" ref="EM16:EN16" si="20">+EM15*EM10</f>
        <v>60000</v>
      </c>
      <c r="EN16" s="32">
        <f t="shared" si="20"/>
        <v>14.746869976847414</v>
      </c>
      <c r="EP16" s="31">
        <f t="shared" ref="EP16:ES16" si="21">+EP15*EP10</f>
        <v>60000</v>
      </c>
      <c r="EQ16" s="32">
        <f t="shared" si="21"/>
        <v>14.746869976847414</v>
      </c>
      <c r="ER16" s="31">
        <f t="shared" si="21"/>
        <v>60000</v>
      </c>
      <c r="ES16" s="32">
        <f t="shared" si="21"/>
        <v>14.746869976847414</v>
      </c>
      <c r="EU16" s="31">
        <f t="shared" ref="EU16:EV16" si="22">+EU15*EU10</f>
        <v>60000</v>
      </c>
      <c r="EV16" s="32">
        <f t="shared" si="22"/>
        <v>14.746869976847414</v>
      </c>
      <c r="EX16" s="31">
        <f t="shared" ref="EX16:FC16" si="23">+EX15*EX10</f>
        <v>60000</v>
      </c>
      <c r="EY16" s="32">
        <f t="shared" si="23"/>
        <v>14.746869976847414</v>
      </c>
      <c r="EZ16" s="31">
        <f t="shared" si="23"/>
        <v>60000</v>
      </c>
      <c r="FA16" s="32">
        <f t="shared" si="23"/>
        <v>14.746869976847414</v>
      </c>
      <c r="FB16" s="31">
        <f t="shared" si="23"/>
        <v>60000</v>
      </c>
      <c r="FC16" s="32">
        <f t="shared" si="23"/>
        <v>14.746869976847414</v>
      </c>
    </row>
    <row r="17" spans="1:159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350">
        <f>'Pricing Structure - GSS'!DD17</f>
        <v>0</v>
      </c>
      <c r="K17" s="351">
        <f>'Pricing Structure - GSS'!DE17</f>
        <v>0</v>
      </c>
      <c r="L17" s="350">
        <f>'Pricing Structure - GSS'!CZ17</f>
        <v>0</v>
      </c>
      <c r="M17" s="351">
        <f>'Pricing Structure - GSS'!DA17</f>
        <v>0</v>
      </c>
      <c r="N17" s="350">
        <f>'Pricing Structure - GSS'!DB17</f>
        <v>0</v>
      </c>
      <c r="O17" s="351">
        <f>'Pricing Structure - GSS'!DC17</f>
        <v>0</v>
      </c>
      <c r="P17" s="350">
        <f>'Pricing Structure - GSS'!DJ17</f>
        <v>0</v>
      </c>
      <c r="Q17" s="351">
        <f>'Pricing Structure - GSS'!DK17</f>
        <v>0</v>
      </c>
      <c r="R17" s="630"/>
      <c r="S17" s="23">
        <v>0</v>
      </c>
      <c r="T17" s="24">
        <v>0</v>
      </c>
      <c r="U17" s="23">
        <v>0</v>
      </c>
      <c r="V17" s="24">
        <v>0</v>
      </c>
      <c r="W17" s="350">
        <f>'Pricing Structure - IIP'!CX17</f>
        <v>0</v>
      </c>
      <c r="X17" s="351">
        <f>'Pricing Structure - IIP'!CY17</f>
        <v>0</v>
      </c>
      <c r="Y17" s="350">
        <f>'Pricing Structure - IIP'!CT17</f>
        <v>0</v>
      </c>
      <c r="Z17" s="351">
        <f>'Pricing Structure - IIP'!CU17</f>
        <v>0</v>
      </c>
      <c r="AA17" s="350">
        <f>'Pricing Structure - IIP'!CV17</f>
        <v>0</v>
      </c>
      <c r="AB17" s="351">
        <f>'Pricing Structure - IIP'!CW17</f>
        <v>0</v>
      </c>
      <c r="AC17" s="350">
        <f>'Pricing Structure - IIP'!DD17</f>
        <v>0</v>
      </c>
      <c r="AD17" s="351">
        <f>'Pricing Structure - IIP'!DE17</f>
        <v>0</v>
      </c>
      <c r="AE17" s="350" t="e">
        <f>'Pricing Structure - IIP'!#REF!</f>
        <v>#REF!</v>
      </c>
      <c r="AF17" s="351" t="e">
        <f>'Pricing Structure - IIP'!#REF!</f>
        <v>#REF!</v>
      </c>
      <c r="AG17" s="630"/>
      <c r="AH17" s="23">
        <v>0</v>
      </c>
      <c r="AI17" s="24">
        <v>0</v>
      </c>
      <c r="AJ17" s="23">
        <v>0</v>
      </c>
      <c r="AK17" s="24">
        <v>0</v>
      </c>
      <c r="AL17" s="350">
        <f>'Pricing Structure - IHAG'!DD17</f>
        <v>0</v>
      </c>
      <c r="AM17" s="351">
        <f>'Pricing Structure - IHAG'!DE17</f>
        <v>0</v>
      </c>
      <c r="AN17" s="350">
        <f>'Pricing Structure - IHAG'!CZ17</f>
        <v>0</v>
      </c>
      <c r="AO17" s="351">
        <f>'Pricing Structure - IHAG'!DA17</f>
        <v>0</v>
      </c>
      <c r="AP17" s="350">
        <f>'Pricing Structure - IHAG'!DB17</f>
        <v>0</v>
      </c>
      <c r="AQ17" s="351">
        <f>'Pricing Structure - IHAG'!DC17</f>
        <v>0</v>
      </c>
      <c r="AR17" s="350">
        <f>'Pricing Structure - IHAG'!DP17</f>
        <v>0</v>
      </c>
      <c r="AS17" s="351">
        <f>'Pricing Structure - IHAG'!DQ17</f>
        <v>0</v>
      </c>
      <c r="AT17" s="350" t="e">
        <f>'Pricing Structure - IHAG'!#REF!</f>
        <v>#REF!</v>
      </c>
      <c r="AU17" s="351" t="e">
        <f>'Pricing Structure - IHAG'!#REF!</f>
        <v>#REF!</v>
      </c>
      <c r="AV17" s="630"/>
      <c r="AW17" s="350">
        <v>0</v>
      </c>
      <c r="AX17" s="351">
        <v>0</v>
      </c>
      <c r="AY17" s="286">
        <v>0</v>
      </c>
      <c r="AZ17" s="24">
        <v>0</v>
      </c>
      <c r="BA17" s="350">
        <v>0</v>
      </c>
      <c r="BB17" s="351">
        <v>0</v>
      </c>
      <c r="BC17" s="350">
        <v>0</v>
      </c>
      <c r="BD17" s="351">
        <v>0</v>
      </c>
      <c r="BE17" s="350">
        <v>0</v>
      </c>
      <c r="BF17" s="351">
        <v>0</v>
      </c>
      <c r="BG17" s="350">
        <v>0</v>
      </c>
      <c r="BH17" s="351">
        <v>0</v>
      </c>
      <c r="BI17" s="350">
        <v>0</v>
      </c>
      <c r="BJ17" s="351">
        <v>0</v>
      </c>
      <c r="BK17" s="23">
        <v>0</v>
      </c>
      <c r="BL17" s="24">
        <v>0</v>
      </c>
      <c r="BM17" s="350">
        <v>0</v>
      </c>
      <c r="BN17" s="351">
        <v>0</v>
      </c>
      <c r="BO17" s="350">
        <v>0</v>
      </c>
      <c r="BP17" s="351">
        <v>0</v>
      </c>
      <c r="BQ17" s="350">
        <v>0</v>
      </c>
      <c r="BR17" s="351">
        <v>0</v>
      </c>
      <c r="BS17" s="23">
        <v>0</v>
      </c>
      <c r="BT17" s="24">
        <v>0</v>
      </c>
      <c r="BU17" s="350">
        <v>0</v>
      </c>
      <c r="BV17" s="351">
        <v>0</v>
      </c>
      <c r="BW17" s="350">
        <v>0</v>
      </c>
      <c r="BX17" s="351">
        <v>0</v>
      </c>
      <c r="BY17" s="350">
        <v>0</v>
      </c>
      <c r="BZ17" s="351">
        <v>0</v>
      </c>
      <c r="CA17" s="23">
        <v>0</v>
      </c>
      <c r="CB17" s="24">
        <v>0</v>
      </c>
      <c r="CC17" s="350">
        <v>0</v>
      </c>
      <c r="CD17" s="351">
        <v>0</v>
      </c>
      <c r="CE17" s="350">
        <v>0</v>
      </c>
      <c r="CF17" s="351">
        <v>0</v>
      </c>
      <c r="CG17" s="350">
        <v>0</v>
      </c>
      <c r="CH17" s="351">
        <v>0</v>
      </c>
      <c r="CI17" s="350">
        <v>0</v>
      </c>
      <c r="CJ17" s="351">
        <v>0</v>
      </c>
      <c r="CK17" s="350">
        <v>0</v>
      </c>
      <c r="CL17" s="351">
        <v>0</v>
      </c>
      <c r="CM17" s="350">
        <v>0</v>
      </c>
      <c r="CN17" s="351">
        <v>0</v>
      </c>
      <c r="CO17" s="350">
        <v>0</v>
      </c>
      <c r="CP17" s="351">
        <v>0</v>
      </c>
      <c r="CR17" s="350">
        <v>0</v>
      </c>
      <c r="CS17" s="351">
        <v>0</v>
      </c>
      <c r="CT17" s="350">
        <v>0</v>
      </c>
      <c r="CU17" s="351">
        <v>0</v>
      </c>
      <c r="CV17" s="350">
        <v>0</v>
      </c>
      <c r="CW17" s="351">
        <v>0</v>
      </c>
      <c r="CX17" s="350">
        <v>0</v>
      </c>
      <c r="CY17" s="351">
        <v>0</v>
      </c>
      <c r="DA17" s="350">
        <v>0</v>
      </c>
      <c r="DB17" s="351">
        <v>0</v>
      </c>
      <c r="DC17" s="350">
        <v>0</v>
      </c>
      <c r="DD17" s="351">
        <v>0</v>
      </c>
      <c r="DE17" s="350">
        <v>0</v>
      </c>
      <c r="DF17" s="351">
        <v>0</v>
      </c>
      <c r="DH17" s="350">
        <v>0</v>
      </c>
      <c r="DI17" s="351">
        <v>0</v>
      </c>
      <c r="DJ17" s="350">
        <v>0</v>
      </c>
      <c r="DK17" s="351">
        <v>0</v>
      </c>
      <c r="DL17" s="350">
        <v>0</v>
      </c>
      <c r="DM17" s="351">
        <v>0</v>
      </c>
      <c r="DO17" s="350">
        <v>0</v>
      </c>
      <c r="DP17" s="351">
        <v>0</v>
      </c>
      <c r="DQ17" s="350">
        <v>0</v>
      </c>
      <c r="DR17" s="351">
        <v>0</v>
      </c>
      <c r="DS17" s="350">
        <v>0</v>
      </c>
      <c r="DT17" s="351">
        <v>0</v>
      </c>
      <c r="DV17" s="350">
        <v>0</v>
      </c>
      <c r="DW17" s="351">
        <v>0</v>
      </c>
      <c r="DX17" s="350">
        <v>0</v>
      </c>
      <c r="DY17" s="351">
        <v>0</v>
      </c>
      <c r="EA17" s="350">
        <v>0</v>
      </c>
      <c r="EB17" s="351">
        <v>0</v>
      </c>
      <c r="ED17" s="350">
        <v>0</v>
      </c>
      <c r="EE17" s="351">
        <v>0</v>
      </c>
      <c r="EG17" s="350">
        <v>0</v>
      </c>
      <c r="EH17" s="351">
        <v>0</v>
      </c>
      <c r="EJ17" s="350">
        <v>0</v>
      </c>
      <c r="EK17" s="351">
        <v>0</v>
      </c>
      <c r="EM17" s="350">
        <v>0</v>
      </c>
      <c r="EN17" s="351">
        <v>0</v>
      </c>
      <c r="EP17" s="350">
        <v>0</v>
      </c>
      <c r="EQ17" s="351">
        <v>0</v>
      </c>
      <c r="ER17" s="350">
        <v>0</v>
      </c>
      <c r="ES17" s="351">
        <v>0</v>
      </c>
      <c r="EU17" s="350">
        <v>0</v>
      </c>
      <c r="EV17" s="351">
        <v>0</v>
      </c>
      <c r="EX17" s="350">
        <v>0</v>
      </c>
      <c r="EY17" s="351">
        <v>0</v>
      </c>
      <c r="EZ17" s="350">
        <v>0</v>
      </c>
      <c r="FA17" s="351">
        <v>0</v>
      </c>
      <c r="FB17" s="350">
        <v>0</v>
      </c>
      <c r="FC17" s="351">
        <v>0</v>
      </c>
    </row>
    <row r="18" spans="1:159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56">
        <f>'Pricing Structure - GSS'!DD18</f>
        <v>0</v>
      </c>
      <c r="K18" s="357">
        <f>'Pricing Structure - GSS'!DE18</f>
        <v>0</v>
      </c>
      <c r="L18" s="356">
        <f>'Pricing Structure - GSS'!CZ18</f>
        <v>0</v>
      </c>
      <c r="M18" s="357">
        <f>'Pricing Structure - GSS'!DA18</f>
        <v>0</v>
      </c>
      <c r="N18" s="356">
        <f>'Pricing Structure - GSS'!DB18</f>
        <v>0</v>
      </c>
      <c r="O18" s="357">
        <f>'Pricing Structure - GSS'!DC18</f>
        <v>0</v>
      </c>
      <c r="P18" s="356">
        <f>'Pricing Structure - GSS'!DJ18</f>
        <v>0</v>
      </c>
      <c r="Q18" s="357">
        <f>'Pricing Structure - GSS'!DK18</f>
        <v>0</v>
      </c>
      <c r="R18" s="633"/>
      <c r="S18" s="36">
        <v>0</v>
      </c>
      <c r="T18" s="37">
        <v>0</v>
      </c>
      <c r="U18" s="36">
        <v>0</v>
      </c>
      <c r="V18" s="37">
        <v>0</v>
      </c>
      <c r="W18" s="356">
        <f>'Pricing Structure - IIP'!CX18</f>
        <v>0</v>
      </c>
      <c r="X18" s="357">
        <f>'Pricing Structure - IIP'!CY18</f>
        <v>0</v>
      </c>
      <c r="Y18" s="356">
        <f>'Pricing Structure - IIP'!CT18</f>
        <v>0</v>
      </c>
      <c r="Z18" s="357">
        <f>'Pricing Structure - IIP'!CU18</f>
        <v>0</v>
      </c>
      <c r="AA18" s="356">
        <f>'Pricing Structure - IIP'!CV18</f>
        <v>0</v>
      </c>
      <c r="AB18" s="357">
        <f>'Pricing Structure - IIP'!CW18</f>
        <v>0</v>
      </c>
      <c r="AC18" s="356">
        <f>'Pricing Structure - IIP'!DD18</f>
        <v>0</v>
      </c>
      <c r="AD18" s="357">
        <f>'Pricing Structure - IIP'!DE18</f>
        <v>0</v>
      </c>
      <c r="AE18" s="356" t="e">
        <f>'Pricing Structure - IIP'!#REF!</f>
        <v>#REF!</v>
      </c>
      <c r="AF18" s="357" t="e">
        <f>'Pricing Structure - IIP'!#REF!</f>
        <v>#REF!</v>
      </c>
      <c r="AG18" s="633"/>
      <c r="AH18" s="36">
        <v>0</v>
      </c>
      <c r="AI18" s="37">
        <v>0</v>
      </c>
      <c r="AJ18" s="36">
        <v>0</v>
      </c>
      <c r="AK18" s="37">
        <v>0</v>
      </c>
      <c r="AL18" s="356">
        <f>'Pricing Structure - IHAG'!DD18</f>
        <v>0</v>
      </c>
      <c r="AM18" s="357">
        <f>'Pricing Structure - IHAG'!DE18</f>
        <v>0</v>
      </c>
      <c r="AN18" s="356">
        <f>'Pricing Structure - IHAG'!CZ18</f>
        <v>0</v>
      </c>
      <c r="AO18" s="357">
        <f>'Pricing Structure - IHAG'!DA18</f>
        <v>0</v>
      </c>
      <c r="AP18" s="356">
        <f>'Pricing Structure - IHAG'!DB18</f>
        <v>0</v>
      </c>
      <c r="AQ18" s="357">
        <f>'Pricing Structure - IHAG'!DC18</f>
        <v>0</v>
      </c>
      <c r="AR18" s="356">
        <f>'Pricing Structure - IHAG'!DP18</f>
        <v>0</v>
      </c>
      <c r="AS18" s="357">
        <f>'Pricing Structure - IHAG'!DQ18</f>
        <v>0</v>
      </c>
      <c r="AT18" s="356" t="e">
        <f>'Pricing Structure - IHAG'!#REF!</f>
        <v>#REF!</v>
      </c>
      <c r="AU18" s="357" t="e">
        <f>'Pricing Structure - IHAG'!#REF!</f>
        <v>#REF!</v>
      </c>
      <c r="AV18" s="633"/>
      <c r="AW18" s="356">
        <v>0</v>
      </c>
      <c r="AX18" s="357">
        <v>0</v>
      </c>
      <c r="AY18" s="290">
        <v>0</v>
      </c>
      <c r="AZ18" s="37">
        <v>0</v>
      </c>
      <c r="BA18" s="356">
        <v>0</v>
      </c>
      <c r="BB18" s="357">
        <v>0</v>
      </c>
      <c r="BC18" s="356">
        <v>0</v>
      </c>
      <c r="BD18" s="357">
        <v>0</v>
      </c>
      <c r="BE18" s="356">
        <v>0</v>
      </c>
      <c r="BF18" s="357">
        <v>0</v>
      </c>
      <c r="BG18" s="356">
        <v>0</v>
      </c>
      <c r="BH18" s="357">
        <v>0</v>
      </c>
      <c r="BI18" s="356">
        <v>0</v>
      </c>
      <c r="BJ18" s="357">
        <v>0</v>
      </c>
      <c r="BK18" s="36">
        <v>0</v>
      </c>
      <c r="BL18" s="37">
        <v>0</v>
      </c>
      <c r="BM18" s="356">
        <v>0</v>
      </c>
      <c r="BN18" s="357">
        <v>0</v>
      </c>
      <c r="BO18" s="356">
        <v>0</v>
      </c>
      <c r="BP18" s="357">
        <v>0</v>
      </c>
      <c r="BQ18" s="356">
        <v>0</v>
      </c>
      <c r="BR18" s="357">
        <v>0</v>
      </c>
      <c r="BS18" s="36">
        <v>0</v>
      </c>
      <c r="BT18" s="37">
        <v>0</v>
      </c>
      <c r="BU18" s="356">
        <v>0</v>
      </c>
      <c r="BV18" s="357">
        <v>0</v>
      </c>
      <c r="BW18" s="356">
        <v>0</v>
      </c>
      <c r="BX18" s="357">
        <v>0</v>
      </c>
      <c r="BY18" s="356">
        <v>0</v>
      </c>
      <c r="BZ18" s="357">
        <v>0</v>
      </c>
      <c r="CA18" s="36">
        <v>0</v>
      </c>
      <c r="CB18" s="37">
        <v>0</v>
      </c>
      <c r="CC18" s="356">
        <v>0</v>
      </c>
      <c r="CD18" s="357">
        <v>0</v>
      </c>
      <c r="CE18" s="356">
        <v>0</v>
      </c>
      <c r="CF18" s="357">
        <v>0</v>
      </c>
      <c r="CG18" s="356">
        <v>0</v>
      </c>
      <c r="CH18" s="357">
        <v>0</v>
      </c>
      <c r="CI18" s="356">
        <v>0</v>
      </c>
      <c r="CJ18" s="357">
        <v>0</v>
      </c>
      <c r="CK18" s="356">
        <v>0</v>
      </c>
      <c r="CL18" s="357">
        <v>0</v>
      </c>
      <c r="CM18" s="356">
        <v>0</v>
      </c>
      <c r="CN18" s="357">
        <v>0</v>
      </c>
      <c r="CO18" s="356">
        <v>0</v>
      </c>
      <c r="CP18" s="357">
        <v>0</v>
      </c>
      <c r="CR18" s="356">
        <v>0</v>
      </c>
      <c r="CS18" s="357">
        <v>0</v>
      </c>
      <c r="CT18" s="356">
        <v>0</v>
      </c>
      <c r="CU18" s="357">
        <v>0</v>
      </c>
      <c r="CV18" s="356">
        <v>0</v>
      </c>
      <c r="CW18" s="357">
        <v>0</v>
      </c>
      <c r="CX18" s="356">
        <v>0</v>
      </c>
      <c r="CY18" s="357">
        <v>0</v>
      </c>
      <c r="DA18" s="356">
        <v>0</v>
      </c>
      <c r="DB18" s="357">
        <v>0</v>
      </c>
      <c r="DC18" s="356">
        <v>0</v>
      </c>
      <c r="DD18" s="357">
        <v>0</v>
      </c>
      <c r="DE18" s="356">
        <v>0</v>
      </c>
      <c r="DF18" s="357">
        <v>0</v>
      </c>
      <c r="DH18" s="356">
        <v>0</v>
      </c>
      <c r="DI18" s="357">
        <v>0</v>
      </c>
      <c r="DJ18" s="356">
        <v>0</v>
      </c>
      <c r="DK18" s="357">
        <v>0</v>
      </c>
      <c r="DL18" s="356">
        <v>0</v>
      </c>
      <c r="DM18" s="357">
        <v>0</v>
      </c>
      <c r="DO18" s="356">
        <v>0</v>
      </c>
      <c r="DP18" s="357">
        <v>0</v>
      </c>
      <c r="DQ18" s="356">
        <v>0</v>
      </c>
      <c r="DR18" s="357">
        <v>0</v>
      </c>
      <c r="DS18" s="356">
        <v>0</v>
      </c>
      <c r="DT18" s="357">
        <v>0</v>
      </c>
      <c r="DV18" s="356">
        <v>0</v>
      </c>
      <c r="DW18" s="357">
        <v>0</v>
      </c>
      <c r="DX18" s="356">
        <v>0</v>
      </c>
      <c r="DY18" s="357">
        <v>0</v>
      </c>
      <c r="EA18" s="356">
        <v>0</v>
      </c>
      <c r="EB18" s="357">
        <v>0</v>
      </c>
      <c r="ED18" s="356">
        <v>0</v>
      </c>
      <c r="EE18" s="357">
        <v>0</v>
      </c>
      <c r="EG18" s="356">
        <v>0</v>
      </c>
      <c r="EH18" s="357">
        <v>0</v>
      </c>
      <c r="EJ18" s="356">
        <v>0</v>
      </c>
      <c r="EK18" s="357">
        <v>0</v>
      </c>
      <c r="EM18" s="356">
        <v>0</v>
      </c>
      <c r="EN18" s="357">
        <v>0</v>
      </c>
      <c r="EP18" s="356">
        <v>0</v>
      </c>
      <c r="EQ18" s="357">
        <v>0</v>
      </c>
      <c r="ER18" s="356">
        <v>0</v>
      </c>
      <c r="ES18" s="357">
        <v>0</v>
      </c>
      <c r="EU18" s="356">
        <v>0</v>
      </c>
      <c r="EV18" s="357">
        <v>0</v>
      </c>
      <c r="EX18" s="356">
        <v>0</v>
      </c>
      <c r="EY18" s="357">
        <v>0</v>
      </c>
      <c r="EZ18" s="356">
        <v>0</v>
      </c>
      <c r="FA18" s="357">
        <v>0</v>
      </c>
      <c r="FB18" s="356">
        <v>0</v>
      </c>
      <c r="FC18" s="357">
        <v>0</v>
      </c>
    </row>
    <row r="19" spans="1:159" s="4" customFormat="1" ht="18" customHeight="1" x14ac:dyDescent="0.45">
      <c r="A19" s="561"/>
      <c r="B19" s="1194"/>
      <c r="C19" s="19" t="s">
        <v>34</v>
      </c>
      <c r="D19" s="20"/>
      <c r="E19" s="30"/>
      <c r="F19" s="38">
        <f>F15-F17</f>
        <v>1000</v>
      </c>
      <c r="G19" s="32">
        <f>G15-G17</f>
        <v>0.24578116628079025</v>
      </c>
      <c r="H19" s="38">
        <f>H15-H17</f>
        <v>1000</v>
      </c>
      <c r="I19" s="32">
        <f>I15-I17</f>
        <v>0.24578116628079025</v>
      </c>
      <c r="J19" s="38">
        <f>'Pricing Structure - GSS'!DD19</f>
        <v>1000</v>
      </c>
      <c r="K19" s="32">
        <f>'Pricing Structure - GSS'!DE19</f>
        <v>0.24578116628079025</v>
      </c>
      <c r="L19" s="38">
        <f>'Pricing Structure - GSS'!CZ19</f>
        <v>1000</v>
      </c>
      <c r="M19" s="32">
        <f>'Pricing Structure - GSS'!DA19</f>
        <v>0.24578116628079025</v>
      </c>
      <c r="N19" s="38">
        <f>'Pricing Structure - GSS'!DB19</f>
        <v>1000</v>
      </c>
      <c r="O19" s="32">
        <f>'Pricing Structure - GSS'!DC19</f>
        <v>0.24578116628079025</v>
      </c>
      <c r="P19" s="38">
        <f>'Pricing Structure - GSS'!DJ19</f>
        <v>1000</v>
      </c>
      <c r="Q19" s="32">
        <f>'Pricing Structure - GSS'!DK19</f>
        <v>0.24578116628079025</v>
      </c>
      <c r="R19" s="271"/>
      <c r="S19" s="38">
        <f>S15-S17</f>
        <v>1000</v>
      </c>
      <c r="T19" s="32" t="e">
        <f>T15-T17</f>
        <v>#DIV/0!</v>
      </c>
      <c r="U19" s="38">
        <f>U15-U17</f>
        <v>1000</v>
      </c>
      <c r="V19" s="32" t="e">
        <f>V15-V17</f>
        <v>#DIV/0!</v>
      </c>
      <c r="W19" s="38">
        <f>'Pricing Structure - IIP'!CX19</f>
        <v>1000</v>
      </c>
      <c r="X19" s="32">
        <f>'Pricing Structure - IIP'!CY19</f>
        <v>0.24578116628079025</v>
      </c>
      <c r="Y19" s="38">
        <f>'Pricing Structure - IIP'!CT19</f>
        <v>1000</v>
      </c>
      <c r="Z19" s="32">
        <f>'Pricing Structure - IIP'!CU19</f>
        <v>0.24578116628079025</v>
      </c>
      <c r="AA19" s="38">
        <f>'Pricing Structure - IIP'!CV19</f>
        <v>1000</v>
      </c>
      <c r="AB19" s="32">
        <f>'Pricing Structure - IIP'!CW19</f>
        <v>0.24578116628079025</v>
      </c>
      <c r="AC19" s="38">
        <f>'Pricing Structure - IIP'!DD19</f>
        <v>1000</v>
      </c>
      <c r="AD19" s="32">
        <f>'Pricing Structure - IIP'!DE19</f>
        <v>0.24578116628079025</v>
      </c>
      <c r="AE19" s="38" t="e">
        <f>'Pricing Structure - IIP'!#REF!</f>
        <v>#REF!</v>
      </c>
      <c r="AF19" s="32" t="e">
        <f>'Pricing Structure - IIP'!#REF!</f>
        <v>#REF!</v>
      </c>
      <c r="AG19" s="271"/>
      <c r="AH19" s="38">
        <f>AH15-AH17</f>
        <v>1000</v>
      </c>
      <c r="AI19" s="32" t="e">
        <f>AI15-AI17</f>
        <v>#DIV/0!</v>
      </c>
      <c r="AJ19" s="38">
        <f>AJ15-AJ17</f>
        <v>1000</v>
      </c>
      <c r="AK19" s="32" t="e">
        <f>AK15-AK17</f>
        <v>#DIV/0!</v>
      </c>
      <c r="AL19" s="38">
        <f>'Pricing Structure - IHAG'!DD19</f>
        <v>1000</v>
      </c>
      <c r="AM19" s="32">
        <f>'Pricing Structure - IHAG'!DE19</f>
        <v>0.24578116628079025</v>
      </c>
      <c r="AN19" s="38">
        <f>'Pricing Structure - IHAG'!CZ19</f>
        <v>1000</v>
      </c>
      <c r="AO19" s="32">
        <f>'Pricing Structure - IHAG'!DA19</f>
        <v>0.24578116628079025</v>
      </c>
      <c r="AP19" s="38">
        <f>'Pricing Structure - IHAG'!DB19</f>
        <v>1000</v>
      </c>
      <c r="AQ19" s="32">
        <f>'Pricing Structure - IHAG'!DC19</f>
        <v>0.24578116628079025</v>
      </c>
      <c r="AR19" s="38">
        <f>'Pricing Structure - IHAG'!DP19</f>
        <v>1000</v>
      </c>
      <c r="AS19" s="32">
        <f>'Pricing Structure - IHAG'!DQ19</f>
        <v>0.24578116628079025</v>
      </c>
      <c r="AT19" s="38" t="e">
        <f>'Pricing Structure - IHAG'!#REF!</f>
        <v>#REF!</v>
      </c>
      <c r="AU19" s="32" t="e">
        <f>'Pricing Structure - IHAG'!#REF!</f>
        <v>#REF!</v>
      </c>
      <c r="AV19" s="271"/>
      <c r="AW19" s="38">
        <f t="shared" ref="AW19:BV19" si="24">AW15-AW17</f>
        <v>1000</v>
      </c>
      <c r="AX19" s="32">
        <f t="shared" si="24"/>
        <v>0.24578116628079025</v>
      </c>
      <c r="AY19" s="291">
        <f t="shared" si="24"/>
        <v>1000</v>
      </c>
      <c r="AZ19" s="32">
        <f t="shared" si="24"/>
        <v>0.24578116628079025</v>
      </c>
      <c r="BA19" s="38">
        <f t="shared" si="24"/>
        <v>1000</v>
      </c>
      <c r="BB19" s="32">
        <f t="shared" si="24"/>
        <v>0.24578116628079025</v>
      </c>
      <c r="BC19" s="38">
        <f t="shared" si="24"/>
        <v>1000</v>
      </c>
      <c r="BD19" s="32">
        <f t="shared" si="24"/>
        <v>0.24578116628079025</v>
      </c>
      <c r="BE19" s="38">
        <f t="shared" si="24"/>
        <v>1000</v>
      </c>
      <c r="BF19" s="32">
        <f t="shared" si="24"/>
        <v>0.24578116628079025</v>
      </c>
      <c r="BG19" s="38">
        <f t="shared" si="24"/>
        <v>1000</v>
      </c>
      <c r="BH19" s="32">
        <f t="shared" si="24"/>
        <v>0.24578116628079025</v>
      </c>
      <c r="BI19" s="38">
        <f t="shared" si="24"/>
        <v>1000</v>
      </c>
      <c r="BJ19" s="32">
        <f t="shared" si="24"/>
        <v>0.24578116628079025</v>
      </c>
      <c r="BK19" s="38">
        <f t="shared" si="24"/>
        <v>3250</v>
      </c>
      <c r="BL19" s="32">
        <f t="shared" si="24"/>
        <v>0.79878879041256834</v>
      </c>
      <c r="BM19" s="38">
        <f t="shared" si="24"/>
        <v>3250</v>
      </c>
      <c r="BN19" s="32">
        <f t="shared" si="24"/>
        <v>0.79878879041256834</v>
      </c>
      <c r="BO19" s="38">
        <f t="shared" si="24"/>
        <v>3250</v>
      </c>
      <c r="BP19" s="32">
        <f t="shared" si="24"/>
        <v>0.79878879041256834</v>
      </c>
      <c r="BQ19" s="38">
        <f t="shared" si="24"/>
        <v>3250</v>
      </c>
      <c r="BR19" s="32">
        <f t="shared" si="24"/>
        <v>0.79878879041256834</v>
      </c>
      <c r="BS19" s="38">
        <f t="shared" si="24"/>
        <v>2400</v>
      </c>
      <c r="BT19" s="32">
        <f t="shared" si="24"/>
        <v>0.58987479907389662</v>
      </c>
      <c r="BU19" s="38">
        <f t="shared" si="24"/>
        <v>2400</v>
      </c>
      <c r="BV19" s="32">
        <f t="shared" si="24"/>
        <v>0.58987479907389662</v>
      </c>
      <c r="BW19" s="38">
        <f t="shared" ref="BW19:BX19" si="25">BW15-BW17</f>
        <v>2400</v>
      </c>
      <c r="BX19" s="32">
        <f t="shared" si="25"/>
        <v>0.58987479907389662</v>
      </c>
      <c r="BY19" s="38">
        <f t="shared" ref="BY19:BZ19" si="26">BY15-BY17</f>
        <v>2400</v>
      </c>
      <c r="BZ19" s="32">
        <f t="shared" si="26"/>
        <v>0.58987479907389662</v>
      </c>
      <c r="CA19" s="38">
        <f>CA15-CA17</f>
        <v>2000</v>
      </c>
      <c r="CB19" s="32">
        <f>CB15-CB17</f>
        <v>0.4915623325615805</v>
      </c>
      <c r="CC19" s="38">
        <f>CC15-CC17</f>
        <v>2000</v>
      </c>
      <c r="CD19" s="32">
        <f>CD15-CD17</f>
        <v>0.4915623325615805</v>
      </c>
      <c r="CE19" s="38">
        <f t="shared" ref="CE19:CF19" si="27">CE15-CE17</f>
        <v>2000</v>
      </c>
      <c r="CF19" s="32">
        <f t="shared" si="27"/>
        <v>0.4915623325615805</v>
      </c>
      <c r="CG19" s="38">
        <f t="shared" ref="CG19:CH19" si="28">CG15-CG17</f>
        <v>2000</v>
      </c>
      <c r="CH19" s="32">
        <f t="shared" si="28"/>
        <v>0.4915623325615805</v>
      </c>
      <c r="CI19" s="38">
        <f t="shared" ref="CI19:CL19" si="29">CI15-CI17</f>
        <v>1200</v>
      </c>
      <c r="CJ19" s="32">
        <f t="shared" si="29"/>
        <v>0.29493739953694831</v>
      </c>
      <c r="CK19" s="38">
        <f t="shared" si="29"/>
        <v>1200</v>
      </c>
      <c r="CL19" s="32">
        <f t="shared" si="29"/>
        <v>0.29493739953694831</v>
      </c>
      <c r="CM19" s="38">
        <f t="shared" ref="CM19:CN19" si="30">CM15-CM17</f>
        <v>1200</v>
      </c>
      <c r="CN19" s="32">
        <f t="shared" si="30"/>
        <v>0.29493739953694831</v>
      </c>
      <c r="CO19" s="38">
        <f t="shared" ref="CO19:CP19" si="31">CO15-CO17</f>
        <v>2000</v>
      </c>
      <c r="CP19" s="32">
        <f t="shared" si="31"/>
        <v>0.4915623325615805</v>
      </c>
      <c r="CR19" s="38">
        <f t="shared" ref="CR19:CY19" si="32">CR15-CR17</f>
        <v>1200</v>
      </c>
      <c r="CS19" s="32">
        <f t="shared" si="32"/>
        <v>0.29493739953694831</v>
      </c>
      <c r="CT19" s="38">
        <f t="shared" si="32"/>
        <v>1200</v>
      </c>
      <c r="CU19" s="32">
        <f t="shared" si="32"/>
        <v>0.29493739953694831</v>
      </c>
      <c r="CV19" s="38">
        <f t="shared" si="32"/>
        <v>1200</v>
      </c>
      <c r="CW19" s="32">
        <f t="shared" si="32"/>
        <v>0.29493739953694831</v>
      </c>
      <c r="CX19" s="38">
        <f t="shared" si="32"/>
        <v>2000</v>
      </c>
      <c r="CY19" s="32">
        <f t="shared" si="32"/>
        <v>0.4915623325615805</v>
      </c>
      <c r="DA19" s="38">
        <f t="shared" ref="DA19:DF19" si="33">DA15-DA17</f>
        <v>1200</v>
      </c>
      <c r="DB19" s="32">
        <f t="shared" si="33"/>
        <v>0.29493739953694831</v>
      </c>
      <c r="DC19" s="38">
        <f t="shared" si="33"/>
        <v>1200</v>
      </c>
      <c r="DD19" s="32">
        <f t="shared" si="33"/>
        <v>0.29493739953694831</v>
      </c>
      <c r="DE19" s="38">
        <f t="shared" si="33"/>
        <v>1200</v>
      </c>
      <c r="DF19" s="32">
        <f t="shared" si="33"/>
        <v>0.29493739953694831</v>
      </c>
      <c r="DH19" s="38">
        <f t="shared" ref="DH19:DI19" si="34">DH15-DH17</f>
        <v>1500</v>
      </c>
      <c r="DI19" s="32">
        <f t="shared" si="34"/>
        <v>0.36867174942118536</v>
      </c>
      <c r="DJ19" s="38">
        <f t="shared" ref="DJ19:DM19" si="35">DJ15-DJ17</f>
        <v>1500</v>
      </c>
      <c r="DK19" s="32">
        <f t="shared" si="35"/>
        <v>0.36867174942118536</v>
      </c>
      <c r="DL19" s="38">
        <f t="shared" si="35"/>
        <v>1500</v>
      </c>
      <c r="DM19" s="32">
        <f t="shared" si="35"/>
        <v>0.36867174942118536</v>
      </c>
      <c r="DO19" s="38">
        <f t="shared" ref="DO19:DT19" si="36">DO15-DO17</f>
        <v>1500</v>
      </c>
      <c r="DP19" s="32">
        <f t="shared" si="36"/>
        <v>0.36867174942118536</v>
      </c>
      <c r="DQ19" s="38">
        <f t="shared" si="36"/>
        <v>1500</v>
      </c>
      <c r="DR19" s="32">
        <f t="shared" si="36"/>
        <v>0.36867174942118536</v>
      </c>
      <c r="DS19" s="38">
        <f t="shared" si="36"/>
        <v>1500</v>
      </c>
      <c r="DT19" s="32">
        <f t="shared" si="36"/>
        <v>0.36867174942118536</v>
      </c>
      <c r="DV19" s="38">
        <f t="shared" ref="DV19:DY19" si="37">DV15-DV17</f>
        <v>1500</v>
      </c>
      <c r="DW19" s="32">
        <f t="shared" si="37"/>
        <v>0.36867174942118536</v>
      </c>
      <c r="DX19" s="38">
        <f t="shared" si="37"/>
        <v>1500</v>
      </c>
      <c r="DY19" s="32">
        <f t="shared" si="37"/>
        <v>0.36867174942118536</v>
      </c>
      <c r="EA19" s="38">
        <f t="shared" ref="EA19:EB19" si="38">EA15-EA17</f>
        <v>1500</v>
      </c>
      <c r="EB19" s="32">
        <f t="shared" si="38"/>
        <v>0.36867174942118536</v>
      </c>
      <c r="ED19" s="38">
        <f t="shared" ref="ED19:EE19" si="39">ED15-ED17</f>
        <v>1500</v>
      </c>
      <c r="EE19" s="32">
        <f t="shared" si="39"/>
        <v>0.36867174942118536</v>
      </c>
      <c r="EG19" s="38">
        <f t="shared" ref="EG19:EH19" si="40">EG15-EG17</f>
        <v>1500</v>
      </c>
      <c r="EH19" s="32">
        <f t="shared" si="40"/>
        <v>0.36867174942118536</v>
      </c>
      <c r="EJ19" s="38">
        <f t="shared" ref="EJ19:EK19" si="41">EJ15-EJ17</f>
        <v>1500</v>
      </c>
      <c r="EK19" s="32">
        <f t="shared" si="41"/>
        <v>0.36867174942118536</v>
      </c>
      <c r="EM19" s="38">
        <f t="shared" ref="EM19:EN19" si="42">EM15-EM17</f>
        <v>1500</v>
      </c>
      <c r="EN19" s="32">
        <f t="shared" si="42"/>
        <v>0.36867174942118536</v>
      </c>
      <c r="EP19" s="38">
        <f t="shared" ref="EP19:ES19" si="43">EP15-EP17</f>
        <v>1500</v>
      </c>
      <c r="EQ19" s="32">
        <f t="shared" si="43"/>
        <v>0.36867174942118536</v>
      </c>
      <c r="ER19" s="38">
        <f t="shared" si="43"/>
        <v>1500</v>
      </c>
      <c r="ES19" s="32">
        <f t="shared" si="43"/>
        <v>0.36867174942118536</v>
      </c>
      <c r="EU19" s="38">
        <f t="shared" ref="EU19:EV19" si="44">EU15-EU17</f>
        <v>1500</v>
      </c>
      <c r="EV19" s="32">
        <f t="shared" si="44"/>
        <v>0.36867174942118536</v>
      </c>
      <c r="EX19" s="38">
        <f t="shared" ref="EX19:FC19" si="45">EX15-EX17</f>
        <v>1500</v>
      </c>
      <c r="EY19" s="32">
        <f t="shared" si="45"/>
        <v>0.36867174942118536</v>
      </c>
      <c r="EZ19" s="38">
        <f t="shared" si="45"/>
        <v>1500</v>
      </c>
      <c r="FA19" s="32">
        <f t="shared" si="45"/>
        <v>0.36867174942118536</v>
      </c>
      <c r="FB19" s="38">
        <f t="shared" si="45"/>
        <v>1500</v>
      </c>
      <c r="FC19" s="32">
        <f t="shared" si="45"/>
        <v>0.36867174942118536</v>
      </c>
    </row>
    <row r="20" spans="1:159" s="4" customFormat="1" ht="18" customHeight="1" x14ac:dyDescent="0.45">
      <c r="A20" s="561"/>
      <c r="B20" s="1194"/>
      <c r="C20" s="19" t="s">
        <v>35</v>
      </c>
      <c r="D20" s="20"/>
      <c r="E20" s="30"/>
      <c r="F20" s="39">
        <f>1/(1+F18)*F16</f>
        <v>40000</v>
      </c>
      <c r="G20" s="40">
        <f>1/(1+G18)*G16</f>
        <v>9.8312466512316092</v>
      </c>
      <c r="H20" s="39">
        <f>1/(1+H18)*H16</f>
        <v>40000</v>
      </c>
      <c r="I20" s="40">
        <f>1/(1+I18)*I16</f>
        <v>9.8312466512316092</v>
      </c>
      <c r="J20" s="39">
        <f>'Pricing Structure - GSS'!DD20</f>
        <v>40000</v>
      </c>
      <c r="K20" s="40">
        <f>'Pricing Structure - GSS'!DE20</f>
        <v>9.8312466512316092</v>
      </c>
      <c r="L20" s="39">
        <f>'Pricing Structure - GSS'!CZ20</f>
        <v>40000</v>
      </c>
      <c r="M20" s="40">
        <f>'Pricing Structure - GSS'!DA20</f>
        <v>9.8312466512316092</v>
      </c>
      <c r="N20" s="39">
        <f>'Pricing Structure - GSS'!DB20</f>
        <v>40000</v>
      </c>
      <c r="O20" s="40">
        <f>'Pricing Structure - GSS'!DC20</f>
        <v>9.8312466512316092</v>
      </c>
      <c r="P20" s="39">
        <f>'Pricing Structure - GSS'!DJ20</f>
        <v>40000</v>
      </c>
      <c r="Q20" s="40">
        <f>'Pricing Structure - GSS'!DK20</f>
        <v>9.8312466512316092</v>
      </c>
      <c r="R20" s="272"/>
      <c r="S20" s="39">
        <f>1/(1+S18)*S16</f>
        <v>40000</v>
      </c>
      <c r="T20" s="40" t="e">
        <f>1/(1+T18)*T16</f>
        <v>#DIV/0!</v>
      </c>
      <c r="U20" s="39">
        <f>1/(1+U18)*U16</f>
        <v>40000</v>
      </c>
      <c r="V20" s="40" t="e">
        <f>1/(1+V18)*V16</f>
        <v>#DIV/0!</v>
      </c>
      <c r="W20" s="39">
        <f>'Pricing Structure - IIP'!CX20</f>
        <v>40000</v>
      </c>
      <c r="X20" s="40">
        <f>'Pricing Structure - IIP'!CY20</f>
        <v>9.8312466512316092</v>
      </c>
      <c r="Y20" s="39">
        <f>'Pricing Structure - IIP'!CT20</f>
        <v>40000</v>
      </c>
      <c r="Z20" s="40">
        <f>'Pricing Structure - IIP'!CU20</f>
        <v>9.8312466512316092</v>
      </c>
      <c r="AA20" s="39">
        <f>'Pricing Structure - IIP'!CV20</f>
        <v>40000</v>
      </c>
      <c r="AB20" s="40">
        <f>'Pricing Structure - IIP'!CW20</f>
        <v>9.8312466512316092</v>
      </c>
      <c r="AC20" s="39">
        <f>'Pricing Structure - IIP'!DD20</f>
        <v>40000</v>
      </c>
      <c r="AD20" s="40">
        <f>'Pricing Structure - IIP'!DE20</f>
        <v>9.8312466512316092</v>
      </c>
      <c r="AE20" s="39" t="e">
        <f>'Pricing Structure - IIP'!#REF!</f>
        <v>#REF!</v>
      </c>
      <c r="AF20" s="40" t="e">
        <f>'Pricing Structure - IIP'!#REF!</f>
        <v>#REF!</v>
      </c>
      <c r="AG20" s="272"/>
      <c r="AH20" s="39">
        <f>1/(1+AH18)*AH16</f>
        <v>40000</v>
      </c>
      <c r="AI20" s="40" t="e">
        <f>1/(1+AI18)*AI16</f>
        <v>#DIV/0!</v>
      </c>
      <c r="AJ20" s="39">
        <f>1/(1+AJ18)*AJ16</f>
        <v>40000</v>
      </c>
      <c r="AK20" s="40" t="e">
        <f>1/(1+AK18)*AK16</f>
        <v>#DIV/0!</v>
      </c>
      <c r="AL20" s="39">
        <f>'Pricing Structure - IHAG'!DD20</f>
        <v>40000</v>
      </c>
      <c r="AM20" s="40">
        <f>'Pricing Structure - IHAG'!DE20</f>
        <v>9.8312466512316092</v>
      </c>
      <c r="AN20" s="39">
        <f>'Pricing Structure - IHAG'!CZ20</f>
        <v>40000</v>
      </c>
      <c r="AO20" s="40">
        <f>'Pricing Structure - IHAG'!DA20</f>
        <v>9.8312466512316092</v>
      </c>
      <c r="AP20" s="39">
        <f>'Pricing Structure - IHAG'!DB20</f>
        <v>40000</v>
      </c>
      <c r="AQ20" s="40">
        <f>'Pricing Structure - IHAG'!DC20</f>
        <v>9.8312466512316092</v>
      </c>
      <c r="AR20" s="39">
        <f>'Pricing Structure - IHAG'!DP20</f>
        <v>40000</v>
      </c>
      <c r="AS20" s="40">
        <f>'Pricing Structure - IHAG'!DQ20</f>
        <v>9.8312466512316092</v>
      </c>
      <c r="AT20" s="39" t="e">
        <f>'Pricing Structure - IHAG'!#REF!</f>
        <v>#REF!</v>
      </c>
      <c r="AU20" s="40" t="e">
        <f>'Pricing Structure - IHAG'!#REF!</f>
        <v>#REF!</v>
      </c>
      <c r="AV20" s="272"/>
      <c r="AW20" s="39">
        <f t="shared" ref="AW20:BV20" si="46">1/(1+AW18)*AW16</f>
        <v>40000</v>
      </c>
      <c r="AX20" s="40">
        <f t="shared" si="46"/>
        <v>9.8312466512316092</v>
      </c>
      <c r="AY20" s="292">
        <f t="shared" si="46"/>
        <v>40000</v>
      </c>
      <c r="AZ20" s="40">
        <f t="shared" si="46"/>
        <v>9.8312466512316092</v>
      </c>
      <c r="BA20" s="39">
        <f t="shared" si="46"/>
        <v>40000</v>
      </c>
      <c r="BB20" s="40">
        <f t="shared" si="46"/>
        <v>9.8312466512316092</v>
      </c>
      <c r="BC20" s="39">
        <f t="shared" si="46"/>
        <v>40000</v>
      </c>
      <c r="BD20" s="40">
        <f t="shared" si="46"/>
        <v>9.8312466512316092</v>
      </c>
      <c r="BE20" s="39">
        <f t="shared" si="46"/>
        <v>40000</v>
      </c>
      <c r="BF20" s="40">
        <f t="shared" si="46"/>
        <v>9.8312466512316092</v>
      </c>
      <c r="BG20" s="39">
        <f t="shared" si="46"/>
        <v>40000</v>
      </c>
      <c r="BH20" s="40">
        <f t="shared" si="46"/>
        <v>9.8312466512316092</v>
      </c>
      <c r="BI20" s="39">
        <f t="shared" si="46"/>
        <v>40000</v>
      </c>
      <c r="BJ20" s="40">
        <f t="shared" si="46"/>
        <v>9.8312466512316092</v>
      </c>
      <c r="BK20" s="39">
        <f t="shared" si="46"/>
        <v>39000</v>
      </c>
      <c r="BL20" s="40">
        <f t="shared" si="46"/>
        <v>9.5854654849508201</v>
      </c>
      <c r="BM20" s="39">
        <f t="shared" si="46"/>
        <v>39000</v>
      </c>
      <c r="BN20" s="40">
        <f t="shared" si="46"/>
        <v>9.5854654849508201</v>
      </c>
      <c r="BO20" s="39">
        <f t="shared" si="46"/>
        <v>39000</v>
      </c>
      <c r="BP20" s="40">
        <f t="shared" si="46"/>
        <v>9.5854654849508201</v>
      </c>
      <c r="BQ20" s="39">
        <f t="shared" si="46"/>
        <v>39000</v>
      </c>
      <c r="BR20" s="40">
        <f t="shared" si="46"/>
        <v>9.5854654849508201</v>
      </c>
      <c r="BS20" s="39">
        <f t="shared" si="46"/>
        <v>28800</v>
      </c>
      <c r="BT20" s="40">
        <f t="shared" si="46"/>
        <v>7.0784975888867594</v>
      </c>
      <c r="BU20" s="39">
        <f t="shared" si="46"/>
        <v>28800</v>
      </c>
      <c r="BV20" s="40">
        <f t="shared" si="46"/>
        <v>7.0784975888867594</v>
      </c>
      <c r="BW20" s="39">
        <f t="shared" ref="BW20:BX20" si="47">1/(1+BW18)*BW16</f>
        <v>28800</v>
      </c>
      <c r="BX20" s="40">
        <f t="shared" si="47"/>
        <v>7.0784975888867594</v>
      </c>
      <c r="BY20" s="39">
        <f t="shared" ref="BY20:BZ20" si="48">1/(1+BY18)*BY16</f>
        <v>28800</v>
      </c>
      <c r="BZ20" s="40">
        <f t="shared" si="48"/>
        <v>7.0784975888867594</v>
      </c>
      <c r="CA20" s="39">
        <f>1/(1+CA18)*CA16</f>
        <v>48000</v>
      </c>
      <c r="CB20" s="40">
        <f>1/(1+CB18)*CB16</f>
        <v>11.797495981477931</v>
      </c>
      <c r="CC20" s="39">
        <f>1/(1+CC18)*CC16</f>
        <v>48000</v>
      </c>
      <c r="CD20" s="40">
        <f>1/(1+CD18)*CD16</f>
        <v>11.797495981477931</v>
      </c>
      <c r="CE20" s="39">
        <f t="shared" ref="CE20:CF20" si="49">1/(1+CE18)*CE16</f>
        <v>48000</v>
      </c>
      <c r="CF20" s="40">
        <f t="shared" si="49"/>
        <v>11.797495981477931</v>
      </c>
      <c r="CG20" s="39">
        <f t="shared" ref="CG20:CH20" si="50">1/(1+CG18)*CG16</f>
        <v>48000</v>
      </c>
      <c r="CH20" s="40">
        <f t="shared" si="50"/>
        <v>11.797495981477931</v>
      </c>
      <c r="CI20" s="39">
        <f t="shared" ref="CI20:CL20" si="51">1/(1+CI18)*CI16</f>
        <v>48000</v>
      </c>
      <c r="CJ20" s="40">
        <f t="shared" si="51"/>
        <v>11.797495981477933</v>
      </c>
      <c r="CK20" s="39">
        <f t="shared" si="51"/>
        <v>48000</v>
      </c>
      <c r="CL20" s="40">
        <f t="shared" si="51"/>
        <v>11.797495981477933</v>
      </c>
      <c r="CM20" s="39">
        <f t="shared" ref="CM20:CN20" si="52">1/(1+CM18)*CM16</f>
        <v>48000</v>
      </c>
      <c r="CN20" s="40">
        <f t="shared" si="52"/>
        <v>11.797495981477933</v>
      </c>
      <c r="CO20" s="39">
        <f t="shared" ref="CO20:CP20" si="53">1/(1+CO18)*CO16</f>
        <v>24000</v>
      </c>
      <c r="CP20" s="40">
        <f t="shared" si="53"/>
        <v>5.8987479907389657</v>
      </c>
      <c r="CR20" s="39">
        <f t="shared" ref="CR20:CY20" si="54">1/(1+CR18)*CR16</f>
        <v>48000</v>
      </c>
      <c r="CS20" s="40">
        <f t="shared" si="54"/>
        <v>11.797495981477933</v>
      </c>
      <c r="CT20" s="39">
        <f t="shared" si="54"/>
        <v>48000</v>
      </c>
      <c r="CU20" s="40">
        <f t="shared" si="54"/>
        <v>11.797495981477933</v>
      </c>
      <c r="CV20" s="39">
        <f t="shared" si="54"/>
        <v>48000</v>
      </c>
      <c r="CW20" s="40">
        <f t="shared" si="54"/>
        <v>11.797495981477933</v>
      </c>
      <c r="CX20" s="39">
        <f t="shared" si="54"/>
        <v>24000</v>
      </c>
      <c r="CY20" s="40">
        <f t="shared" si="54"/>
        <v>5.8987479907389657</v>
      </c>
      <c r="DA20" s="39">
        <f t="shared" ref="DA20:DF20" si="55">1/(1+DA18)*DA16</f>
        <v>48000</v>
      </c>
      <c r="DB20" s="40">
        <f t="shared" si="55"/>
        <v>11.797495981477933</v>
      </c>
      <c r="DC20" s="39">
        <f t="shared" si="55"/>
        <v>48000</v>
      </c>
      <c r="DD20" s="40">
        <f t="shared" si="55"/>
        <v>11.797495981477933</v>
      </c>
      <c r="DE20" s="39">
        <f t="shared" si="55"/>
        <v>48000</v>
      </c>
      <c r="DF20" s="40">
        <f t="shared" si="55"/>
        <v>11.797495981477933</v>
      </c>
      <c r="DH20" s="39">
        <f t="shared" ref="DH20:DI20" si="56">1/(1+DH18)*DH16</f>
        <v>60000</v>
      </c>
      <c r="DI20" s="40">
        <f t="shared" si="56"/>
        <v>14.746869976847414</v>
      </c>
      <c r="DJ20" s="39">
        <f t="shared" ref="DJ20:DM20" si="57">1/(1+DJ18)*DJ16</f>
        <v>60000</v>
      </c>
      <c r="DK20" s="40">
        <f t="shared" si="57"/>
        <v>14.746869976847414</v>
      </c>
      <c r="DL20" s="39">
        <f t="shared" si="57"/>
        <v>60000</v>
      </c>
      <c r="DM20" s="40">
        <f t="shared" si="57"/>
        <v>14.746869976847414</v>
      </c>
      <c r="DO20" s="39">
        <f t="shared" ref="DO20:DT20" si="58">1/(1+DO18)*DO16</f>
        <v>60000</v>
      </c>
      <c r="DP20" s="40">
        <f t="shared" si="58"/>
        <v>14.746869976847414</v>
      </c>
      <c r="DQ20" s="39">
        <f t="shared" si="58"/>
        <v>60000</v>
      </c>
      <c r="DR20" s="40">
        <f t="shared" si="58"/>
        <v>14.746869976847414</v>
      </c>
      <c r="DS20" s="39">
        <f t="shared" si="58"/>
        <v>60000</v>
      </c>
      <c r="DT20" s="40">
        <f t="shared" si="58"/>
        <v>14.746869976847414</v>
      </c>
      <c r="DV20" s="39">
        <f t="shared" ref="DV20:DY20" si="59">1/(1+DV18)*DV16</f>
        <v>60000</v>
      </c>
      <c r="DW20" s="40">
        <f t="shared" si="59"/>
        <v>14.746869976847414</v>
      </c>
      <c r="DX20" s="39">
        <f t="shared" si="59"/>
        <v>60000</v>
      </c>
      <c r="DY20" s="40">
        <f t="shared" si="59"/>
        <v>14.746869976847414</v>
      </c>
      <c r="EA20" s="39">
        <f t="shared" ref="EA20:EB20" si="60">1/(1+EA18)*EA16</f>
        <v>60000</v>
      </c>
      <c r="EB20" s="40">
        <f t="shared" si="60"/>
        <v>14.746869976847414</v>
      </c>
      <c r="ED20" s="39">
        <f t="shared" ref="ED20:EE20" si="61">1/(1+ED18)*ED16</f>
        <v>60000</v>
      </c>
      <c r="EE20" s="40">
        <f t="shared" si="61"/>
        <v>14.746869976847414</v>
      </c>
      <c r="EG20" s="39">
        <f t="shared" ref="EG20:EH20" si="62">1/(1+EG18)*EG16</f>
        <v>60000</v>
      </c>
      <c r="EH20" s="40">
        <f t="shared" si="62"/>
        <v>14.746869976847414</v>
      </c>
      <c r="EJ20" s="39">
        <f t="shared" ref="EJ20:EK20" si="63">1/(1+EJ18)*EJ16</f>
        <v>60000</v>
      </c>
      <c r="EK20" s="40">
        <f t="shared" si="63"/>
        <v>14.746869976847414</v>
      </c>
      <c r="EM20" s="39">
        <f t="shared" ref="EM20:EN20" si="64">1/(1+EM18)*EM16</f>
        <v>60000</v>
      </c>
      <c r="EN20" s="40">
        <f t="shared" si="64"/>
        <v>14.746869976847414</v>
      </c>
      <c r="EP20" s="39">
        <f t="shared" ref="EP20:ES20" si="65">1/(1+EP18)*EP16</f>
        <v>60000</v>
      </c>
      <c r="EQ20" s="40">
        <f t="shared" si="65"/>
        <v>14.746869976847414</v>
      </c>
      <c r="ER20" s="39">
        <f t="shared" si="65"/>
        <v>60000</v>
      </c>
      <c r="ES20" s="40">
        <f t="shared" si="65"/>
        <v>14.746869976847414</v>
      </c>
      <c r="EU20" s="39">
        <f t="shared" ref="EU20:EV20" si="66">1/(1+EU18)*EU16</f>
        <v>60000</v>
      </c>
      <c r="EV20" s="40">
        <f t="shared" si="66"/>
        <v>14.746869976847414</v>
      </c>
      <c r="EX20" s="39">
        <f t="shared" ref="EX20:FC20" si="67">1/(1+EX18)*EX16</f>
        <v>60000</v>
      </c>
      <c r="EY20" s="40">
        <f t="shared" si="67"/>
        <v>14.746869976847414</v>
      </c>
      <c r="EZ20" s="39">
        <f t="shared" si="67"/>
        <v>60000</v>
      </c>
      <c r="FA20" s="40">
        <f t="shared" si="67"/>
        <v>14.746869976847414</v>
      </c>
      <c r="FB20" s="39">
        <f t="shared" si="67"/>
        <v>60000</v>
      </c>
      <c r="FC20" s="40">
        <f t="shared" si="67"/>
        <v>14.746869976847414</v>
      </c>
    </row>
    <row r="21" spans="1:159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352"/>
      <c r="K21" s="358"/>
      <c r="L21" s="352"/>
      <c r="M21" s="358"/>
      <c r="N21" s="352"/>
      <c r="O21" s="358"/>
      <c r="P21" s="352"/>
      <c r="Q21" s="358"/>
      <c r="R21" s="634"/>
      <c r="S21" s="27"/>
      <c r="T21" s="41"/>
      <c r="U21" s="27"/>
      <c r="V21" s="41"/>
      <c r="W21" s="352"/>
      <c r="X21" s="358"/>
      <c r="Y21" s="352"/>
      <c r="Z21" s="358"/>
      <c r="AA21" s="352"/>
      <c r="AB21" s="358"/>
      <c r="AC21" s="352"/>
      <c r="AD21" s="358"/>
      <c r="AE21" s="352"/>
      <c r="AF21" s="358"/>
      <c r="AG21" s="634"/>
      <c r="AH21" s="27"/>
      <c r="AI21" s="41"/>
      <c r="AJ21" s="27"/>
      <c r="AK21" s="41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634"/>
      <c r="AW21" s="352"/>
      <c r="AX21" s="358"/>
      <c r="AY21" s="287"/>
      <c r="AZ21" s="41"/>
      <c r="BA21" s="352"/>
      <c r="BB21" s="358"/>
      <c r="BC21" s="352"/>
      <c r="BD21" s="358"/>
      <c r="BE21" s="352"/>
      <c r="BF21" s="358"/>
      <c r="BG21" s="352"/>
      <c r="BH21" s="358"/>
      <c r="BI21" s="352"/>
      <c r="BJ21" s="358"/>
      <c r="BK21" s="27"/>
      <c r="BL21" s="41"/>
      <c r="BM21" s="352"/>
      <c r="BN21" s="358"/>
      <c r="BO21" s="352"/>
      <c r="BP21" s="358"/>
      <c r="BQ21" s="352"/>
      <c r="BR21" s="358"/>
      <c r="BS21" s="27"/>
      <c r="BT21" s="41"/>
      <c r="BU21" s="352"/>
      <c r="BV21" s="358"/>
      <c r="BW21" s="352"/>
      <c r="BX21" s="358"/>
      <c r="BY21" s="352"/>
      <c r="BZ21" s="358"/>
      <c r="CA21" s="27"/>
      <c r="CB21" s="41"/>
      <c r="CC21" s="352"/>
      <c r="CD21" s="358"/>
      <c r="CE21" s="352"/>
      <c r="CF21" s="358"/>
      <c r="CG21" s="352"/>
      <c r="CH21" s="358"/>
      <c r="CI21" s="352"/>
      <c r="CJ21" s="358"/>
      <c r="CK21" s="352"/>
      <c r="CL21" s="358"/>
      <c r="CM21" s="352"/>
      <c r="CN21" s="358"/>
      <c r="CO21" s="352"/>
      <c r="CP21" s="358"/>
      <c r="CR21" s="352"/>
      <c r="CS21" s="358"/>
      <c r="CT21" s="352"/>
      <c r="CU21" s="358"/>
      <c r="CV21" s="352"/>
      <c r="CW21" s="358"/>
      <c r="CX21" s="352"/>
      <c r="CY21" s="358"/>
      <c r="DA21" s="352"/>
      <c r="DB21" s="358"/>
      <c r="DC21" s="352"/>
      <c r="DD21" s="358"/>
      <c r="DE21" s="352"/>
      <c r="DF21" s="358"/>
      <c r="DH21" s="352"/>
      <c r="DI21" s="358"/>
      <c r="DJ21" s="352"/>
      <c r="DK21" s="358"/>
      <c r="DL21" s="352"/>
      <c r="DM21" s="358"/>
      <c r="DO21" s="352"/>
      <c r="DP21" s="358"/>
      <c r="DQ21" s="352"/>
      <c r="DR21" s="358"/>
      <c r="DS21" s="352"/>
      <c r="DT21" s="358"/>
      <c r="DV21" s="352"/>
      <c r="DW21" s="358"/>
      <c r="DX21" s="352"/>
      <c r="DY21" s="358"/>
      <c r="EA21" s="352"/>
      <c r="EB21" s="358"/>
      <c r="ED21" s="352"/>
      <c r="EE21" s="358"/>
      <c r="EG21" s="352"/>
      <c r="EH21" s="358"/>
      <c r="EJ21" s="352"/>
      <c r="EK21" s="358"/>
      <c r="EM21" s="352"/>
      <c r="EN21" s="358"/>
      <c r="EP21" s="352"/>
      <c r="EQ21" s="358"/>
      <c r="ER21" s="352"/>
      <c r="ES21" s="358"/>
      <c r="EU21" s="352"/>
      <c r="EV21" s="358"/>
      <c r="EX21" s="352"/>
      <c r="EY21" s="358"/>
      <c r="EZ21" s="352"/>
      <c r="FA21" s="358"/>
      <c r="FB21" s="352"/>
      <c r="FC21" s="358"/>
    </row>
    <row r="22" spans="1:159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359"/>
      <c r="K22" s="360"/>
      <c r="L22" s="359"/>
      <c r="M22" s="360"/>
      <c r="N22" s="359"/>
      <c r="O22" s="360"/>
      <c r="P22" s="359"/>
      <c r="Q22" s="360"/>
      <c r="R22" s="632"/>
      <c r="S22" s="42"/>
      <c r="T22" s="43"/>
      <c r="U22" s="42"/>
      <c r="V22" s="43"/>
      <c r="W22" s="359"/>
      <c r="X22" s="360"/>
      <c r="Y22" s="359"/>
      <c r="Z22" s="360"/>
      <c r="AA22" s="359"/>
      <c r="AB22" s="360"/>
      <c r="AC22" s="359"/>
      <c r="AD22" s="360"/>
      <c r="AE22" s="359"/>
      <c r="AF22" s="360"/>
      <c r="AG22" s="632"/>
      <c r="AH22" s="42"/>
      <c r="AI22" s="43"/>
      <c r="AJ22" s="42"/>
      <c r="AK22" s="43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632"/>
      <c r="AW22" s="359"/>
      <c r="AX22" s="360"/>
      <c r="AY22" s="270"/>
      <c r="AZ22" s="43"/>
      <c r="BA22" s="359"/>
      <c r="BB22" s="360"/>
      <c r="BC22" s="359"/>
      <c r="BD22" s="360"/>
      <c r="BE22" s="359"/>
      <c r="BF22" s="360"/>
      <c r="BG22" s="359"/>
      <c r="BH22" s="360"/>
      <c r="BI22" s="359"/>
      <c r="BJ22" s="360"/>
      <c r="BK22" s="42"/>
      <c r="BL22" s="43"/>
      <c r="BM22" s="359"/>
      <c r="BN22" s="360"/>
      <c r="BO22" s="359"/>
      <c r="BP22" s="360"/>
      <c r="BQ22" s="359"/>
      <c r="BR22" s="360"/>
      <c r="BS22" s="42"/>
      <c r="BT22" s="43"/>
      <c r="BU22" s="359"/>
      <c r="BV22" s="360"/>
      <c r="BW22" s="359"/>
      <c r="BX22" s="360"/>
      <c r="BY22" s="359"/>
      <c r="BZ22" s="360"/>
      <c r="CA22" s="42"/>
      <c r="CB22" s="43"/>
      <c r="CC22" s="359"/>
      <c r="CD22" s="360"/>
      <c r="CE22" s="359"/>
      <c r="CF22" s="360"/>
      <c r="CG22" s="359"/>
      <c r="CH22" s="360"/>
      <c r="CI22" s="359"/>
      <c r="CJ22" s="360"/>
      <c r="CK22" s="359"/>
      <c r="CL22" s="360"/>
      <c r="CM22" s="359"/>
      <c r="CN22" s="360"/>
      <c r="CO22" s="359"/>
      <c r="CP22" s="360"/>
      <c r="CR22" s="359"/>
      <c r="CS22" s="360"/>
      <c r="CT22" s="359"/>
      <c r="CU22" s="360"/>
      <c r="CV22" s="359"/>
      <c r="CW22" s="360"/>
      <c r="CX22" s="359"/>
      <c r="CY22" s="360"/>
      <c r="DA22" s="359"/>
      <c r="DB22" s="360"/>
      <c r="DC22" s="359"/>
      <c r="DD22" s="360"/>
      <c r="DE22" s="359"/>
      <c r="DF22" s="360"/>
      <c r="DH22" s="359"/>
      <c r="DI22" s="360"/>
      <c r="DJ22" s="359"/>
      <c r="DK22" s="360"/>
      <c r="DL22" s="359"/>
      <c r="DM22" s="360"/>
      <c r="DO22" s="359"/>
      <c r="DP22" s="360"/>
      <c r="DQ22" s="359"/>
      <c r="DR22" s="360"/>
      <c r="DS22" s="359"/>
      <c r="DT22" s="360"/>
      <c r="DV22" s="359"/>
      <c r="DW22" s="360"/>
      <c r="DX22" s="359"/>
      <c r="DY22" s="360"/>
      <c r="EA22" s="359"/>
      <c r="EB22" s="360"/>
      <c r="ED22" s="359"/>
      <c r="EE22" s="360"/>
      <c r="EG22" s="359"/>
      <c r="EH22" s="360"/>
      <c r="EJ22" s="359"/>
      <c r="EK22" s="360"/>
      <c r="EM22" s="359"/>
      <c r="EN22" s="360"/>
      <c r="EP22" s="359"/>
      <c r="EQ22" s="360"/>
      <c r="ER22" s="359"/>
      <c r="ES22" s="360"/>
      <c r="EU22" s="359"/>
      <c r="EV22" s="360"/>
      <c r="EX22" s="359"/>
      <c r="EY22" s="360"/>
      <c r="EZ22" s="359"/>
      <c r="FA22" s="360"/>
      <c r="FB22" s="359"/>
      <c r="FC22" s="360"/>
    </row>
    <row r="23" spans="1:159" s="49" customFormat="1" ht="18" customHeight="1" x14ac:dyDescent="0.45">
      <c r="A23" s="561"/>
      <c r="B23" s="1187"/>
      <c r="C23" s="44" t="s">
        <v>37</v>
      </c>
      <c r="D23" s="45"/>
      <c r="E23" s="46"/>
      <c r="F23" s="47">
        <f>F24/F20</f>
        <v>0.20152547500000009</v>
      </c>
      <c r="G23" s="48">
        <f>G24/G20</f>
        <v>0.20152547500000001</v>
      </c>
      <c r="H23" s="47">
        <f>H24/H20</f>
        <v>0.19643964999999999</v>
      </c>
      <c r="I23" s="48">
        <f>I24/I20</f>
        <v>0.19643964999999994</v>
      </c>
      <c r="J23" s="361">
        <f>'Pricing Structure - GSS'!DD23</f>
        <v>0.19589147499999998</v>
      </c>
      <c r="K23" s="362">
        <f>'Pricing Structure - GSS'!DE23</f>
        <v>0.19589147499999993</v>
      </c>
      <c r="L23" s="361">
        <f>'Pricing Structure - GSS'!CZ23</f>
        <v>0.19589147499999998</v>
      </c>
      <c r="M23" s="362">
        <f>'Pricing Structure - GSS'!DA23</f>
        <v>0.19589147499999993</v>
      </c>
      <c r="N23" s="361">
        <f>'Pricing Structure - GSS'!DB23</f>
        <v>0.19589147499999998</v>
      </c>
      <c r="O23" s="362">
        <f>'Pricing Structure - GSS'!DC23</f>
        <v>0.19589147499999993</v>
      </c>
      <c r="P23" s="361">
        <f>'Pricing Structure - GSS'!DJ23</f>
        <v>0.1958914749999999</v>
      </c>
      <c r="Q23" s="362">
        <f>'Pricing Structure - GSS'!DK23</f>
        <v>0.19589147499999984</v>
      </c>
      <c r="R23" s="635"/>
      <c r="S23" s="47">
        <f>S24/S20</f>
        <v>1</v>
      </c>
      <c r="T23" s="48" t="e">
        <f>T24/T20</f>
        <v>#DIV/0!</v>
      </c>
      <c r="U23" s="47">
        <f>U24/U20</f>
        <v>1</v>
      </c>
      <c r="V23" s="48" t="e">
        <f>V24/V20</f>
        <v>#DIV/0!</v>
      </c>
      <c r="W23" s="361">
        <f>'Pricing Structure - IIP'!CX23</f>
        <v>0.17499999999999999</v>
      </c>
      <c r="X23" s="362">
        <f>'Pricing Structure - IIP'!CY23</f>
        <v>0.17499999999999996</v>
      </c>
      <c r="Y23" s="361">
        <f>'Pricing Structure - IIP'!CT23</f>
        <v>0.19589147499999998</v>
      </c>
      <c r="Z23" s="362">
        <f>'Pricing Structure - IIP'!CU23</f>
        <v>0.19589147499999993</v>
      </c>
      <c r="AA23" s="361">
        <f>'Pricing Structure - IIP'!CV23</f>
        <v>0.19589147499999998</v>
      </c>
      <c r="AB23" s="362">
        <f>'Pricing Structure - IIP'!CW23</f>
        <v>0.19589147499999993</v>
      </c>
      <c r="AC23" s="361">
        <f>'Pricing Structure - IIP'!DD23</f>
        <v>0.17758250499999995</v>
      </c>
      <c r="AD23" s="362">
        <f>'Pricing Structure - IIP'!DE23</f>
        <v>0.17758250499999986</v>
      </c>
      <c r="AE23" s="361" t="e">
        <f>'Pricing Structure - IIP'!#REF!</f>
        <v>#REF!</v>
      </c>
      <c r="AF23" s="362" t="e">
        <f>'Pricing Structure - IIP'!#REF!</f>
        <v>#REF!</v>
      </c>
      <c r="AG23" s="635"/>
      <c r="AH23" s="47">
        <f>AH24/AH20</f>
        <v>1</v>
      </c>
      <c r="AI23" s="48" t="e">
        <f>AI24/AI20</f>
        <v>#DIV/0!</v>
      </c>
      <c r="AJ23" s="47">
        <f>AJ24/AJ20</f>
        <v>1</v>
      </c>
      <c r="AK23" s="48" t="e">
        <f>AK24/AK20</f>
        <v>#DIV/0!</v>
      </c>
      <c r="AL23" s="361">
        <f>'Pricing Structure - IHAG'!DD23</f>
        <v>0.19334856250000002</v>
      </c>
      <c r="AM23" s="362">
        <f>'Pricing Structure - IHAG'!DE23</f>
        <v>0.19334856249999999</v>
      </c>
      <c r="AN23" s="361">
        <f>'Pricing Structure - IHAG'!CZ23</f>
        <v>0.19334856250000002</v>
      </c>
      <c r="AO23" s="362">
        <f>'Pricing Structure - IHAG'!DA23</f>
        <v>0.19334856249999999</v>
      </c>
      <c r="AP23" s="361">
        <f>'Pricing Structure - IHAG'!DB23</f>
        <v>0.19334856250000002</v>
      </c>
      <c r="AQ23" s="362">
        <f>'Pricing Structure - IHAG'!DC23</f>
        <v>0.19334856249999999</v>
      </c>
      <c r="AR23" s="361">
        <f>'Pricing Structure - IHAG'!DP23</f>
        <v>0.19334856250000002</v>
      </c>
      <c r="AS23" s="362">
        <f>'Pricing Structure - IHAG'!DQ23</f>
        <v>0.19334856249999999</v>
      </c>
      <c r="AT23" s="361" t="e">
        <f>'Pricing Structure - IHAG'!#REF!</f>
        <v>#REF!</v>
      </c>
      <c r="AU23" s="362" t="e">
        <f>'Pricing Structure - IHAG'!#REF!</f>
        <v>#REF!</v>
      </c>
      <c r="AV23" s="635"/>
      <c r="AW23" s="361">
        <f t="shared" ref="AW23:BV23" si="68">AW24/AW20</f>
        <v>0.21169712500000004</v>
      </c>
      <c r="AX23" s="362">
        <f t="shared" si="68"/>
        <v>0.21169712499999999</v>
      </c>
      <c r="AY23" s="63">
        <f t="shared" si="68"/>
        <v>0.21678294999999997</v>
      </c>
      <c r="AZ23" s="48">
        <f t="shared" si="68"/>
        <v>0.21678294999999997</v>
      </c>
      <c r="BA23" s="361">
        <f t="shared" si="68"/>
        <v>0.21678294999999997</v>
      </c>
      <c r="BB23" s="362">
        <f t="shared" si="68"/>
        <v>0.21678294999999997</v>
      </c>
      <c r="BC23" s="361">
        <f t="shared" si="68"/>
        <v>0.19589147499999998</v>
      </c>
      <c r="BD23" s="362">
        <f t="shared" si="68"/>
        <v>0.19589147499999993</v>
      </c>
      <c r="BE23" s="361">
        <f t="shared" si="68"/>
        <v>0.19589147499999998</v>
      </c>
      <c r="BF23" s="362">
        <f t="shared" si="68"/>
        <v>0.19589147499999993</v>
      </c>
      <c r="BG23" s="361">
        <f t="shared" si="68"/>
        <v>0.19589147499999998</v>
      </c>
      <c r="BH23" s="362">
        <f t="shared" si="68"/>
        <v>0.19589147499999993</v>
      </c>
      <c r="BI23" s="361">
        <f t="shared" si="68"/>
        <v>0.1958914749999999</v>
      </c>
      <c r="BJ23" s="362">
        <f t="shared" si="68"/>
        <v>0.19589147499999984</v>
      </c>
      <c r="BK23" s="47">
        <f t="shared" si="68"/>
        <v>0.35615384615384604</v>
      </c>
      <c r="BL23" s="48">
        <f t="shared" si="68"/>
        <v>0.3561538461538461</v>
      </c>
      <c r="BM23" s="361">
        <f t="shared" si="68"/>
        <v>0.35615384615384604</v>
      </c>
      <c r="BN23" s="362">
        <f t="shared" si="68"/>
        <v>0.3561538461538461</v>
      </c>
      <c r="BO23" s="361">
        <f t="shared" si="68"/>
        <v>0.35615384615384604</v>
      </c>
      <c r="BP23" s="362">
        <f t="shared" si="68"/>
        <v>0.3561538461538461</v>
      </c>
      <c r="BQ23" s="361">
        <f t="shared" si="68"/>
        <v>0.34275492307692312</v>
      </c>
      <c r="BR23" s="362">
        <f t="shared" si="68"/>
        <v>0.34275492307692318</v>
      </c>
      <c r="BS23" s="47">
        <f t="shared" si="68"/>
        <v>0.29166666666666702</v>
      </c>
      <c r="BT23" s="48">
        <f t="shared" si="68"/>
        <v>0.29166666666666702</v>
      </c>
      <c r="BU23" s="361">
        <f t="shared" si="68"/>
        <v>0.29166666666666702</v>
      </c>
      <c r="BV23" s="362">
        <f t="shared" si="68"/>
        <v>0.29166666666666702</v>
      </c>
      <c r="BW23" s="361">
        <f t="shared" ref="BW23:BX23" si="69">BW24/BW20</f>
        <v>0.29166666666666702</v>
      </c>
      <c r="BX23" s="362">
        <f t="shared" si="69"/>
        <v>0.29166666666666702</v>
      </c>
      <c r="BY23" s="361">
        <f t="shared" ref="BY23:BZ23" si="70">BY24/BY20</f>
        <v>0.25347222222222221</v>
      </c>
      <c r="BZ23" s="362">
        <f t="shared" si="70"/>
        <v>0.25347222222222227</v>
      </c>
      <c r="CA23" s="47">
        <f>CA24/CA20</f>
        <v>0.24062500000000001</v>
      </c>
      <c r="CB23" s="48">
        <f>CB24/CB20</f>
        <v>0.24062499999999995</v>
      </c>
      <c r="CC23" s="361">
        <f>CC24/CC20</f>
        <v>0.24062500000000001</v>
      </c>
      <c r="CD23" s="362">
        <f>CD24/CD20</f>
        <v>0.24062499999999995</v>
      </c>
      <c r="CE23" s="361">
        <f t="shared" ref="CE23:CF23" si="71">CE24/CE20</f>
        <v>0.24062500000000001</v>
      </c>
      <c r="CF23" s="362">
        <f t="shared" si="71"/>
        <v>0.24062499999999995</v>
      </c>
      <c r="CG23" s="361">
        <f t="shared" ref="CG23:CH23" si="72">CG24/CG20</f>
        <v>0.20833333333333334</v>
      </c>
      <c r="CH23" s="362">
        <f t="shared" si="72"/>
        <v>0.20833333333333331</v>
      </c>
      <c r="CI23" s="361">
        <f t="shared" ref="CI23:CL23" si="73">CI24/CI20</f>
        <v>0.11121504854368928</v>
      </c>
      <c r="CJ23" s="362">
        <f t="shared" si="73"/>
        <v>0.11121504854368941</v>
      </c>
      <c r="CK23" s="361">
        <f t="shared" si="73"/>
        <v>0.11121504854368928</v>
      </c>
      <c r="CL23" s="362">
        <f t="shared" si="73"/>
        <v>0.11121504854368941</v>
      </c>
      <c r="CM23" s="361">
        <f t="shared" ref="CM23:CN23" si="74">CM24/CM20</f>
        <v>0.11121504854368928</v>
      </c>
      <c r="CN23" s="362">
        <f t="shared" si="74"/>
        <v>0.11121504854368941</v>
      </c>
      <c r="CO23" s="361">
        <f t="shared" ref="CO23:CP23" si="75">CO24/CO20</f>
        <v>0.25</v>
      </c>
      <c r="CP23" s="362">
        <f t="shared" si="75"/>
        <v>0.24999999999999997</v>
      </c>
      <c r="CR23" s="361">
        <f t="shared" ref="CR23:CY23" si="76">CR24/CR20</f>
        <v>0.11121504854368928</v>
      </c>
      <c r="CS23" s="362">
        <f t="shared" si="76"/>
        <v>0.11121504854368941</v>
      </c>
      <c r="CT23" s="361">
        <f t="shared" si="76"/>
        <v>0.11121504854368928</v>
      </c>
      <c r="CU23" s="362">
        <f t="shared" si="76"/>
        <v>0.11121504854368941</v>
      </c>
      <c r="CV23" s="361">
        <f t="shared" si="76"/>
        <v>0.11121504854368928</v>
      </c>
      <c r="CW23" s="362">
        <f t="shared" si="76"/>
        <v>0.11121504854368941</v>
      </c>
      <c r="CX23" s="361">
        <f t="shared" si="76"/>
        <v>0.25</v>
      </c>
      <c r="CY23" s="362">
        <f t="shared" si="76"/>
        <v>0.24999999999999997</v>
      </c>
      <c r="DA23" s="361">
        <f t="shared" ref="DA23:DF23" si="77">DA24/DA20</f>
        <v>0.11121504854368928</v>
      </c>
      <c r="DB23" s="362">
        <f t="shared" si="77"/>
        <v>0.11121504854368941</v>
      </c>
      <c r="DC23" s="361">
        <f t="shared" si="77"/>
        <v>0.11121504854368928</v>
      </c>
      <c r="DD23" s="362">
        <f t="shared" si="77"/>
        <v>0.11121504854368941</v>
      </c>
      <c r="DE23" s="361">
        <f t="shared" si="77"/>
        <v>0.11121504854368928</v>
      </c>
      <c r="DF23" s="362">
        <f t="shared" si="77"/>
        <v>0.11121504854368941</v>
      </c>
      <c r="DH23" s="361">
        <f t="shared" ref="DH23:DM23" si="78">DH24/DH20</f>
        <v>0.18626800000000002</v>
      </c>
      <c r="DI23" s="362">
        <f t="shared" si="78"/>
        <v>0.18626799999999999</v>
      </c>
      <c r="DJ23" s="361">
        <f t="shared" si="78"/>
        <v>0.18626800000000002</v>
      </c>
      <c r="DK23" s="362">
        <f t="shared" si="78"/>
        <v>0.18626799999999999</v>
      </c>
      <c r="DL23" s="361">
        <f t="shared" si="78"/>
        <v>0.18626800000000002</v>
      </c>
      <c r="DM23" s="362">
        <f t="shared" si="78"/>
        <v>0.18626799999999999</v>
      </c>
      <c r="DO23" s="361">
        <f t="shared" ref="DO23:DT23" si="79">DO24/DO20</f>
        <v>0.18626800000000002</v>
      </c>
      <c r="DP23" s="362">
        <f t="shared" si="79"/>
        <v>0.18626799999999999</v>
      </c>
      <c r="DQ23" s="361">
        <f t="shared" si="79"/>
        <v>0.18626800000000002</v>
      </c>
      <c r="DR23" s="362">
        <f t="shared" si="79"/>
        <v>0.18626799999999999</v>
      </c>
      <c r="DS23" s="361">
        <f t="shared" si="79"/>
        <v>0.18626800000000002</v>
      </c>
      <c r="DT23" s="362">
        <f t="shared" si="79"/>
        <v>0.18626799999999999</v>
      </c>
      <c r="DV23" s="361">
        <f t="shared" ref="DV23:DY23" si="80">DV24/DV20</f>
        <v>0.18626800000000002</v>
      </c>
      <c r="DW23" s="362">
        <f t="shared" si="80"/>
        <v>0.18626799999999999</v>
      </c>
      <c r="DX23" s="361">
        <f t="shared" si="80"/>
        <v>0.18626800000000002</v>
      </c>
      <c r="DY23" s="362">
        <f t="shared" si="80"/>
        <v>0.18626799999999999</v>
      </c>
      <c r="EA23" s="361">
        <f t="shared" ref="EA23:EB23" si="81">EA24/EA20</f>
        <v>0.18626800000000002</v>
      </c>
      <c r="EB23" s="362">
        <f t="shared" si="81"/>
        <v>0.18626799999999999</v>
      </c>
      <c r="ED23" s="361">
        <f t="shared" ref="ED23:EE23" si="82">ED24/ED20</f>
        <v>0.18626800000000002</v>
      </c>
      <c r="EE23" s="362">
        <f t="shared" si="82"/>
        <v>0.18626799999999999</v>
      </c>
      <c r="EG23" s="361">
        <f t="shared" ref="EG23:EH23" si="83">EG24/EG20</f>
        <v>0.18626800000000002</v>
      </c>
      <c r="EH23" s="362">
        <f t="shared" si="83"/>
        <v>0.18626799999999999</v>
      </c>
      <c r="EJ23" s="361">
        <f t="shared" ref="EJ23:EK23" si="84">EJ24/EJ20</f>
        <v>0.18626800000000002</v>
      </c>
      <c r="EK23" s="362">
        <f t="shared" si="84"/>
        <v>0.18626799999999999</v>
      </c>
      <c r="EM23" s="361">
        <f t="shared" ref="EM23:EN23" si="85">EM24/EM20</f>
        <v>0.18626800000000002</v>
      </c>
      <c r="EN23" s="362">
        <f t="shared" si="85"/>
        <v>0.18626799999999999</v>
      </c>
      <c r="EP23" s="361">
        <f t="shared" ref="EP23:ES23" si="86">EP24/EP20</f>
        <v>0.18626800000000002</v>
      </c>
      <c r="EQ23" s="362">
        <f t="shared" si="86"/>
        <v>0.18626799999999999</v>
      </c>
      <c r="ER23" s="361">
        <f t="shared" si="86"/>
        <v>0.18626800000000002</v>
      </c>
      <c r="ES23" s="362">
        <f t="shared" si="86"/>
        <v>0.18626799999999999</v>
      </c>
      <c r="ET23" s="4"/>
      <c r="EU23" s="361">
        <f t="shared" ref="EU23:EV23" si="87">EU24/EU20</f>
        <v>0.18626800000000002</v>
      </c>
      <c r="EV23" s="362">
        <f t="shared" si="87"/>
        <v>0.18626799999999999</v>
      </c>
      <c r="EX23" s="361">
        <f t="shared" ref="EX23:FC23" si="88">EX24/EX20</f>
        <v>0.32189000000000001</v>
      </c>
      <c r="EY23" s="362">
        <f t="shared" si="88"/>
        <v>0.32189000000000001</v>
      </c>
      <c r="EZ23" s="361">
        <f t="shared" si="88"/>
        <v>0.32189000000000001</v>
      </c>
      <c r="FA23" s="362">
        <f t="shared" si="88"/>
        <v>0.32189000000000001</v>
      </c>
      <c r="FB23" s="361">
        <f t="shared" si="88"/>
        <v>0.32189000000000001</v>
      </c>
      <c r="FC23" s="362">
        <f t="shared" si="88"/>
        <v>0.32189000000000001</v>
      </c>
    </row>
    <row r="24" spans="1:159" s="4" customFormat="1" ht="18" customHeight="1" x14ac:dyDescent="0.45">
      <c r="A24" s="561"/>
      <c r="B24" s="1187"/>
      <c r="C24" s="15" t="s">
        <v>38</v>
      </c>
      <c r="D24" s="16"/>
      <c r="E24" s="35"/>
      <c r="F24" s="50">
        <f>F20-F26</f>
        <v>8061.0190000000039</v>
      </c>
      <c r="G24" s="24">
        <f>G20-G26</f>
        <v>1.9812466512316096</v>
      </c>
      <c r="H24" s="50">
        <f>H20-H26</f>
        <v>7857.5859999999993</v>
      </c>
      <c r="I24" s="24">
        <f>I20-I26</f>
        <v>1.9312466512316089</v>
      </c>
      <c r="J24" s="363">
        <f>'Pricing Structure - GSS'!DD24</f>
        <v>7835.6589999999997</v>
      </c>
      <c r="K24" s="351">
        <f>'Pricing Structure - GSS'!DE24</f>
        <v>1.9258574075985697</v>
      </c>
      <c r="L24" s="363">
        <f>'Pricing Structure - GSS'!CZ24</f>
        <v>7835.6589999999997</v>
      </c>
      <c r="M24" s="351">
        <f>'Pricing Structure - GSS'!DA24</f>
        <v>1.9258574075985697</v>
      </c>
      <c r="N24" s="363">
        <f>'Pricing Structure - GSS'!DB24</f>
        <v>7835.6589999999997</v>
      </c>
      <c r="O24" s="351">
        <f>'Pricing Structure - GSS'!DC24</f>
        <v>1.9258574075985697</v>
      </c>
      <c r="P24" s="363">
        <f>'Pricing Structure - GSS'!DJ24</f>
        <v>7835.658999999996</v>
      </c>
      <c r="Q24" s="351">
        <f>'Pricing Structure - GSS'!DK24</f>
        <v>1.9258574075985688</v>
      </c>
      <c r="R24" s="630"/>
      <c r="S24" s="50">
        <f>S20-S26</f>
        <v>40000</v>
      </c>
      <c r="T24" s="24" t="e">
        <f>T20-T26</f>
        <v>#DIV/0!</v>
      </c>
      <c r="U24" s="50">
        <f>U20-U26</f>
        <v>40000</v>
      </c>
      <c r="V24" s="24" t="e">
        <f>V20-V26</f>
        <v>#DIV/0!</v>
      </c>
      <c r="W24" s="363">
        <f>'Pricing Structure - IIP'!CX24</f>
        <v>7000</v>
      </c>
      <c r="X24" s="351">
        <f>'Pricing Structure - IIP'!CY24</f>
        <v>1.7204681639655313</v>
      </c>
      <c r="Y24" s="363">
        <f>'Pricing Structure - IIP'!CT24</f>
        <v>7835.6589999999997</v>
      </c>
      <c r="Z24" s="351">
        <f>'Pricing Structure - IIP'!CU24</f>
        <v>1.9258574075985697</v>
      </c>
      <c r="AA24" s="363">
        <f>'Pricing Structure - IIP'!CV24</f>
        <v>7835.6589999999997</v>
      </c>
      <c r="AB24" s="351">
        <f>'Pricing Structure - IIP'!CW24</f>
        <v>1.9258574075985697</v>
      </c>
      <c r="AC24" s="363">
        <f>'Pricing Structure - IIP'!DD24</f>
        <v>7103.3001999999979</v>
      </c>
      <c r="AD24" s="351">
        <f>'Pricing Structure - IIP'!DE24</f>
        <v>1.7458574075985691</v>
      </c>
      <c r="AE24" s="363" t="e">
        <f>'Pricing Structure - IIP'!#REF!</f>
        <v>#REF!</v>
      </c>
      <c r="AF24" s="351" t="e">
        <f>'Pricing Structure - IIP'!#REF!</f>
        <v>#REF!</v>
      </c>
      <c r="AG24" s="630"/>
      <c r="AH24" s="50">
        <f>AH20-AH26</f>
        <v>40000</v>
      </c>
      <c r="AI24" s="24" t="e">
        <f>AI20-AI26</f>
        <v>#DIV/0!</v>
      </c>
      <c r="AJ24" s="50">
        <f>AJ20-AJ26</f>
        <v>40000</v>
      </c>
      <c r="AK24" s="24" t="e">
        <f>AK20-AK26</f>
        <v>#DIV/0!</v>
      </c>
      <c r="AL24" s="363">
        <f>'Pricing Structure - IHAG'!DD24</f>
        <v>7733.942500000001</v>
      </c>
      <c r="AM24" s="351">
        <f>'Pricing Structure - IHAG'!DE24</f>
        <v>1.9008574075985702</v>
      </c>
      <c r="AN24" s="363">
        <f>'Pricing Structure - IHAG'!CZ24</f>
        <v>7733.942500000001</v>
      </c>
      <c r="AO24" s="351">
        <f>'Pricing Structure - IHAG'!DA24</f>
        <v>1.9008574075985702</v>
      </c>
      <c r="AP24" s="363">
        <f>'Pricing Structure - IHAG'!DB24</f>
        <v>7733.942500000001</v>
      </c>
      <c r="AQ24" s="351">
        <f>'Pricing Structure - IHAG'!DC24</f>
        <v>1.9008574075985702</v>
      </c>
      <c r="AR24" s="363">
        <f>'Pricing Structure - IHAG'!DP24</f>
        <v>7733.942500000001</v>
      </c>
      <c r="AS24" s="351">
        <f>'Pricing Structure - IHAG'!DQ24</f>
        <v>1.9008574075985702</v>
      </c>
      <c r="AT24" s="363" t="e">
        <f>'Pricing Structure - IHAG'!#REF!</f>
        <v>#REF!</v>
      </c>
      <c r="AU24" s="351" t="e">
        <f>'Pricing Structure - IHAG'!#REF!</f>
        <v>#REF!</v>
      </c>
      <c r="AV24" s="630"/>
      <c r="AW24" s="363">
        <f t="shared" ref="AW24:BV24" si="89">AW20-AW26</f>
        <v>8467.885000000002</v>
      </c>
      <c r="AX24" s="351">
        <f t="shared" si="89"/>
        <v>2.0812466512316092</v>
      </c>
      <c r="AY24" s="269">
        <f t="shared" si="89"/>
        <v>8671.3179999999993</v>
      </c>
      <c r="AZ24" s="24">
        <f t="shared" si="89"/>
        <v>2.1312466512316091</v>
      </c>
      <c r="BA24" s="363">
        <f t="shared" si="89"/>
        <v>8671.3179999999993</v>
      </c>
      <c r="BB24" s="351">
        <f t="shared" si="89"/>
        <v>2.1312466512316091</v>
      </c>
      <c r="BC24" s="363">
        <f t="shared" si="89"/>
        <v>7835.6589999999997</v>
      </c>
      <c r="BD24" s="351">
        <f t="shared" si="89"/>
        <v>1.9258574075985697</v>
      </c>
      <c r="BE24" s="363">
        <f t="shared" si="89"/>
        <v>7835.6589999999997</v>
      </c>
      <c r="BF24" s="351">
        <f t="shared" si="89"/>
        <v>1.9258574075985697</v>
      </c>
      <c r="BG24" s="363">
        <f t="shared" si="89"/>
        <v>7835.6589999999997</v>
      </c>
      <c r="BH24" s="351">
        <f t="shared" si="89"/>
        <v>1.9258574075985697</v>
      </c>
      <c r="BI24" s="363">
        <f t="shared" si="89"/>
        <v>7835.658999999996</v>
      </c>
      <c r="BJ24" s="351">
        <f t="shared" si="89"/>
        <v>1.9258574075985688</v>
      </c>
      <c r="BK24" s="50">
        <f t="shared" si="89"/>
        <v>13889.999999999996</v>
      </c>
      <c r="BL24" s="24">
        <f t="shared" si="89"/>
        <v>3.413900399640176</v>
      </c>
      <c r="BM24" s="363">
        <f t="shared" si="89"/>
        <v>13889.999999999996</v>
      </c>
      <c r="BN24" s="351">
        <f t="shared" si="89"/>
        <v>3.413900399640176</v>
      </c>
      <c r="BO24" s="363">
        <f t="shared" si="89"/>
        <v>13889.999999999996</v>
      </c>
      <c r="BP24" s="351">
        <f t="shared" si="89"/>
        <v>3.413900399640176</v>
      </c>
      <c r="BQ24" s="363">
        <f t="shared" si="89"/>
        <v>13367.442000000003</v>
      </c>
      <c r="BR24" s="351">
        <f t="shared" si="89"/>
        <v>3.2854654849508202</v>
      </c>
      <c r="BS24" s="50">
        <f t="shared" si="89"/>
        <v>8400.0000000000109</v>
      </c>
      <c r="BT24" s="24">
        <f t="shared" si="89"/>
        <v>2.0645617967586407</v>
      </c>
      <c r="BU24" s="363">
        <f t="shared" si="89"/>
        <v>8400.0000000000109</v>
      </c>
      <c r="BV24" s="351">
        <f t="shared" si="89"/>
        <v>2.0645617967586407</v>
      </c>
      <c r="BW24" s="363">
        <f t="shared" ref="BW24:BX24" si="90">BW20-BW26</f>
        <v>8400.0000000000109</v>
      </c>
      <c r="BX24" s="351">
        <f t="shared" si="90"/>
        <v>2.0645617967586407</v>
      </c>
      <c r="BY24" s="363">
        <f t="shared" ref="BY24:BZ24" si="91">BY20-BY26</f>
        <v>7300</v>
      </c>
      <c r="BZ24" s="351">
        <f t="shared" si="91"/>
        <v>1.7942025138497693</v>
      </c>
      <c r="CA24" s="50">
        <f>CA20-CA26</f>
        <v>11550</v>
      </c>
      <c r="CB24" s="24">
        <f>CB20-CB26</f>
        <v>2.8387724705431268</v>
      </c>
      <c r="CC24" s="363">
        <f>CC20-CC26</f>
        <v>11550</v>
      </c>
      <c r="CD24" s="351">
        <f>CD20-CD26</f>
        <v>2.8387724705431268</v>
      </c>
      <c r="CE24" s="363">
        <f t="shared" ref="CE24:CF24" si="92">CE20-CE26</f>
        <v>11550</v>
      </c>
      <c r="CF24" s="351">
        <f t="shared" si="92"/>
        <v>2.8387724705431268</v>
      </c>
      <c r="CG24" s="363">
        <f t="shared" ref="CG24:CH24" si="93">CG20-CG26</f>
        <v>10000</v>
      </c>
      <c r="CH24" s="351">
        <f t="shared" si="93"/>
        <v>2.4578116628079023</v>
      </c>
      <c r="CI24" s="363">
        <f t="shared" ref="CI24:CL24" si="94">CI20-CI26</f>
        <v>5338.3223300970858</v>
      </c>
      <c r="CJ24" s="351">
        <f t="shared" si="94"/>
        <v>1.312059088274049</v>
      </c>
      <c r="CK24" s="363">
        <f t="shared" si="94"/>
        <v>5338.3223300970858</v>
      </c>
      <c r="CL24" s="351">
        <f t="shared" si="94"/>
        <v>1.312059088274049</v>
      </c>
      <c r="CM24" s="363">
        <f t="shared" ref="CM24:CN24" si="95">CM20-CM26</f>
        <v>5338.3223300970858</v>
      </c>
      <c r="CN24" s="351">
        <f t="shared" si="95"/>
        <v>1.312059088274049</v>
      </c>
      <c r="CO24" s="363">
        <f t="shared" ref="CO24:CP24" si="96">CO20-CO26</f>
        <v>6000</v>
      </c>
      <c r="CP24" s="351">
        <f t="shared" si="96"/>
        <v>1.4746869976847412</v>
      </c>
      <c r="CR24" s="363">
        <f t="shared" ref="CR24:CY24" si="97">CR20-CR26</f>
        <v>5338.3223300970858</v>
      </c>
      <c r="CS24" s="351">
        <f t="shared" si="97"/>
        <v>1.312059088274049</v>
      </c>
      <c r="CT24" s="363">
        <f t="shared" si="97"/>
        <v>5338.3223300970858</v>
      </c>
      <c r="CU24" s="351">
        <f t="shared" si="97"/>
        <v>1.312059088274049</v>
      </c>
      <c r="CV24" s="363">
        <f t="shared" si="97"/>
        <v>5338.3223300970858</v>
      </c>
      <c r="CW24" s="351">
        <f t="shared" si="97"/>
        <v>1.312059088274049</v>
      </c>
      <c r="CX24" s="363">
        <f t="shared" si="97"/>
        <v>6000</v>
      </c>
      <c r="CY24" s="351">
        <f t="shared" si="97"/>
        <v>1.4746869976847412</v>
      </c>
      <c r="DA24" s="363">
        <f t="shared" ref="DA24:DF24" si="98">DA20-DA26</f>
        <v>5338.3223300970858</v>
      </c>
      <c r="DB24" s="351">
        <f t="shared" si="98"/>
        <v>1.312059088274049</v>
      </c>
      <c r="DC24" s="363">
        <f t="shared" si="98"/>
        <v>5338.3223300970858</v>
      </c>
      <c r="DD24" s="351">
        <f t="shared" si="98"/>
        <v>1.312059088274049</v>
      </c>
      <c r="DE24" s="363">
        <f t="shared" si="98"/>
        <v>5338.3223300970858</v>
      </c>
      <c r="DF24" s="351">
        <f t="shared" si="98"/>
        <v>1.312059088274049</v>
      </c>
      <c r="DH24" s="363">
        <f t="shared" ref="DH24:DM24" si="99">DH20-DH26</f>
        <v>11176.080000000002</v>
      </c>
      <c r="DI24" s="351">
        <f t="shared" si="99"/>
        <v>2.7468699768474139</v>
      </c>
      <c r="DJ24" s="363">
        <f t="shared" si="99"/>
        <v>11176.080000000002</v>
      </c>
      <c r="DK24" s="351">
        <f t="shared" si="99"/>
        <v>2.7468699768474139</v>
      </c>
      <c r="DL24" s="363">
        <f t="shared" si="99"/>
        <v>11176.080000000002</v>
      </c>
      <c r="DM24" s="351">
        <f t="shared" si="99"/>
        <v>2.7468699768474139</v>
      </c>
      <c r="DO24" s="363">
        <f t="shared" ref="DO24:DT24" si="100">DO20-DO26</f>
        <v>11176.080000000002</v>
      </c>
      <c r="DP24" s="351">
        <f t="shared" si="100"/>
        <v>2.7468699768474139</v>
      </c>
      <c r="DQ24" s="363">
        <f t="shared" si="100"/>
        <v>11176.080000000002</v>
      </c>
      <c r="DR24" s="351">
        <f t="shared" si="100"/>
        <v>2.7468699768474139</v>
      </c>
      <c r="DS24" s="363">
        <f t="shared" si="100"/>
        <v>11176.080000000002</v>
      </c>
      <c r="DT24" s="351">
        <f t="shared" si="100"/>
        <v>2.7468699768474139</v>
      </c>
      <c r="DV24" s="363">
        <f t="shared" ref="DV24:DY24" si="101">DV20-DV26</f>
        <v>11176.080000000002</v>
      </c>
      <c r="DW24" s="351">
        <f t="shared" si="101"/>
        <v>2.7468699768474139</v>
      </c>
      <c r="DX24" s="363">
        <f t="shared" si="101"/>
        <v>11176.080000000002</v>
      </c>
      <c r="DY24" s="351">
        <f t="shared" si="101"/>
        <v>2.7468699768474139</v>
      </c>
      <c r="EA24" s="363">
        <f t="shared" ref="EA24:EB24" si="102">EA20-EA26</f>
        <v>11176.080000000002</v>
      </c>
      <c r="EB24" s="351">
        <f t="shared" si="102"/>
        <v>2.7468699768474139</v>
      </c>
      <c r="ED24" s="363">
        <f t="shared" ref="ED24:EE24" si="103">ED20-ED26</f>
        <v>11176.080000000002</v>
      </c>
      <c r="EE24" s="351">
        <f t="shared" si="103"/>
        <v>2.7468699768474139</v>
      </c>
      <c r="EG24" s="363">
        <f t="shared" ref="EG24:EH24" si="104">EG20-EG26</f>
        <v>11176.080000000002</v>
      </c>
      <c r="EH24" s="351">
        <f t="shared" si="104"/>
        <v>2.7468699768474139</v>
      </c>
      <c r="EJ24" s="363">
        <f t="shared" ref="EJ24:EK24" si="105">EJ20-EJ26</f>
        <v>11176.080000000002</v>
      </c>
      <c r="EK24" s="351">
        <f t="shared" si="105"/>
        <v>2.7468699768474139</v>
      </c>
      <c r="EM24" s="363">
        <f t="shared" ref="EM24:EN24" si="106">EM20-EM26</f>
        <v>11176.080000000002</v>
      </c>
      <c r="EN24" s="351">
        <f t="shared" si="106"/>
        <v>2.7468699768474139</v>
      </c>
      <c r="EP24" s="363">
        <f t="shared" ref="EP24:ES24" si="107">EP20-EP26</f>
        <v>11176.080000000002</v>
      </c>
      <c r="EQ24" s="351">
        <f t="shared" si="107"/>
        <v>2.7468699768474139</v>
      </c>
      <c r="ER24" s="363">
        <f t="shared" si="107"/>
        <v>11176.080000000002</v>
      </c>
      <c r="ES24" s="351">
        <f t="shared" si="107"/>
        <v>2.7468699768474139</v>
      </c>
      <c r="EU24" s="363">
        <f t="shared" ref="EU24:EV24" si="108">EU20-EU26</f>
        <v>11176.080000000002</v>
      </c>
      <c r="EV24" s="351">
        <f t="shared" si="108"/>
        <v>2.7468699768474139</v>
      </c>
      <c r="EX24" s="363">
        <f t="shared" ref="EX24:FC24" si="109">EX20-EX26</f>
        <v>19313.400000000001</v>
      </c>
      <c r="EY24" s="351">
        <f t="shared" si="109"/>
        <v>4.7468699768474139</v>
      </c>
      <c r="EZ24" s="363">
        <f t="shared" si="109"/>
        <v>19313.400000000001</v>
      </c>
      <c r="FA24" s="351">
        <f t="shared" si="109"/>
        <v>4.7468699768474139</v>
      </c>
      <c r="FB24" s="363">
        <f t="shared" si="109"/>
        <v>19313.400000000001</v>
      </c>
      <c r="FC24" s="351">
        <f t="shared" si="109"/>
        <v>4.7468699768474139</v>
      </c>
    </row>
    <row r="25" spans="1:159" s="4" customFormat="1" ht="18" customHeight="1" x14ac:dyDescent="0.45">
      <c r="A25" s="561"/>
      <c r="B25" s="1187"/>
      <c r="C25" s="51" t="s">
        <v>39</v>
      </c>
      <c r="D25" s="52"/>
      <c r="E25" s="53"/>
      <c r="F25" s="54">
        <f>F26</f>
        <v>31938.980999999996</v>
      </c>
      <c r="G25" s="55">
        <f>G26</f>
        <v>7.85</v>
      </c>
      <c r="H25" s="54">
        <f>H26</f>
        <v>32142.414000000001</v>
      </c>
      <c r="I25" s="55">
        <f>I26</f>
        <v>7.9</v>
      </c>
      <c r="J25" s="54">
        <f>'Pricing Structure - GSS'!DD25</f>
        <v>32164.341</v>
      </c>
      <c r="K25" s="55">
        <f>'Pricing Structure - GSS'!DE25</f>
        <v>7.9053892436330395</v>
      </c>
      <c r="L25" s="54">
        <f>'Pricing Structure - GSS'!CZ25</f>
        <v>32164.341</v>
      </c>
      <c r="M25" s="55">
        <f>'Pricing Structure - GSS'!DA25</f>
        <v>7.9053892436330395</v>
      </c>
      <c r="N25" s="54">
        <f>'Pricing Structure - GSS'!DB25</f>
        <v>32164.341</v>
      </c>
      <c r="O25" s="55">
        <f>'Pricing Structure - GSS'!DC25</f>
        <v>7.9053892436330395</v>
      </c>
      <c r="P25" s="54">
        <f>'Pricing Structure - GSS'!DJ25</f>
        <v>32164.341000000004</v>
      </c>
      <c r="Q25" s="55">
        <f>'Pricing Structure - GSS'!DK25</f>
        <v>7.9053892436330404</v>
      </c>
      <c r="R25" s="274"/>
      <c r="S25" s="54">
        <f>S26</f>
        <v>0</v>
      </c>
      <c r="T25" s="55" t="e">
        <f>T26</f>
        <v>#DIV/0!</v>
      </c>
      <c r="U25" s="54">
        <f>U26</f>
        <v>0</v>
      </c>
      <c r="V25" s="55" t="e">
        <f>V26</f>
        <v>#DIV/0!</v>
      </c>
      <c r="W25" s="54">
        <f>'Pricing Structure - IIP'!CX25</f>
        <v>33000</v>
      </c>
      <c r="X25" s="55">
        <f>'Pricing Structure - IIP'!CY25</f>
        <v>8.110778487266078</v>
      </c>
      <c r="Y25" s="54">
        <f>'Pricing Structure - IIP'!CT25</f>
        <v>32164.341</v>
      </c>
      <c r="Z25" s="55">
        <f>'Pricing Structure - IIP'!CU25</f>
        <v>7.9053892436330395</v>
      </c>
      <c r="AA25" s="54">
        <f>'Pricing Structure - IIP'!CV25</f>
        <v>32164.341</v>
      </c>
      <c r="AB25" s="55">
        <f>'Pricing Structure - IIP'!CW25</f>
        <v>7.9053892436330395</v>
      </c>
      <c r="AC25" s="54">
        <f>'Pricing Structure - IIP'!DD25</f>
        <v>32896.699800000002</v>
      </c>
      <c r="AD25" s="55">
        <f>'Pricing Structure - IIP'!DE25</f>
        <v>8.0853892436330401</v>
      </c>
      <c r="AE25" s="54" t="e">
        <f>'Pricing Structure - IIP'!#REF!</f>
        <v>#REF!</v>
      </c>
      <c r="AF25" s="55" t="e">
        <f>'Pricing Structure - IIP'!#REF!</f>
        <v>#REF!</v>
      </c>
      <c r="AG25" s="274"/>
      <c r="AH25" s="54">
        <f>AH26</f>
        <v>0</v>
      </c>
      <c r="AI25" s="55" t="e">
        <f>AI26</f>
        <v>#DIV/0!</v>
      </c>
      <c r="AJ25" s="54">
        <f>AJ26</f>
        <v>0</v>
      </c>
      <c r="AK25" s="55" t="e">
        <f>AK26</f>
        <v>#DIV/0!</v>
      </c>
      <c r="AL25" s="54">
        <f>'Pricing Structure - IHAG'!DD25</f>
        <v>32266.057499999999</v>
      </c>
      <c r="AM25" s="55">
        <f>'Pricing Structure - IHAG'!DE25</f>
        <v>7.930389243633039</v>
      </c>
      <c r="AN25" s="54">
        <f>'Pricing Structure - IHAG'!CZ25</f>
        <v>32266.057499999999</v>
      </c>
      <c r="AO25" s="55">
        <f>'Pricing Structure - IHAG'!DA25</f>
        <v>7.930389243633039</v>
      </c>
      <c r="AP25" s="54">
        <f>'Pricing Structure - IHAG'!DB25</f>
        <v>32266.057499999999</v>
      </c>
      <c r="AQ25" s="55">
        <f>'Pricing Structure - IHAG'!DC25</f>
        <v>7.930389243633039</v>
      </c>
      <c r="AR25" s="54">
        <f>'Pricing Structure - IHAG'!DP25</f>
        <v>32266.057499999999</v>
      </c>
      <c r="AS25" s="55">
        <f>'Pricing Structure - IHAG'!DQ25</f>
        <v>7.930389243633039</v>
      </c>
      <c r="AT25" s="54" t="e">
        <f>'Pricing Structure - IHAG'!#REF!</f>
        <v>#REF!</v>
      </c>
      <c r="AU25" s="55" t="e">
        <f>'Pricing Structure - IHAG'!#REF!</f>
        <v>#REF!</v>
      </c>
      <c r="AV25" s="274"/>
      <c r="AW25" s="54">
        <f t="shared" ref="AW25:CH25" si="110">AW26</f>
        <v>31532.114999999998</v>
      </c>
      <c r="AX25" s="55">
        <f t="shared" si="110"/>
        <v>7.75</v>
      </c>
      <c r="AY25" s="274">
        <f t="shared" si="110"/>
        <v>31328.682000000001</v>
      </c>
      <c r="AZ25" s="55">
        <f t="shared" si="110"/>
        <v>7.7</v>
      </c>
      <c r="BA25" s="54">
        <f t="shared" si="110"/>
        <v>31328.682000000001</v>
      </c>
      <c r="BB25" s="55">
        <f t="shared" si="110"/>
        <v>7.7</v>
      </c>
      <c r="BC25" s="54">
        <f t="shared" si="110"/>
        <v>32164.341</v>
      </c>
      <c r="BD25" s="55">
        <f t="shared" si="110"/>
        <v>7.9053892436330395</v>
      </c>
      <c r="BE25" s="54">
        <f t="shared" si="110"/>
        <v>32164.341</v>
      </c>
      <c r="BF25" s="55">
        <f t="shared" si="110"/>
        <v>7.9053892436330395</v>
      </c>
      <c r="BG25" s="54">
        <f t="shared" si="110"/>
        <v>32164.341</v>
      </c>
      <c r="BH25" s="55">
        <f t="shared" si="110"/>
        <v>7.9053892436330395</v>
      </c>
      <c r="BI25" s="54">
        <f t="shared" si="110"/>
        <v>32164.341000000004</v>
      </c>
      <c r="BJ25" s="55">
        <f t="shared" si="110"/>
        <v>7.9053892436330404</v>
      </c>
      <c r="BK25" s="54">
        <f t="shared" si="110"/>
        <v>25110.000000000004</v>
      </c>
      <c r="BL25" s="55">
        <f t="shared" si="110"/>
        <v>6.1715650853106441</v>
      </c>
      <c r="BM25" s="54">
        <f t="shared" si="110"/>
        <v>25110.000000000004</v>
      </c>
      <c r="BN25" s="55">
        <f t="shared" si="110"/>
        <v>6.1715650853106441</v>
      </c>
      <c r="BO25" s="54">
        <f t="shared" si="110"/>
        <v>25110.000000000004</v>
      </c>
      <c r="BP25" s="55">
        <f t="shared" si="110"/>
        <v>6.1715650853106441</v>
      </c>
      <c r="BQ25" s="54">
        <f t="shared" si="110"/>
        <v>25632.557999999997</v>
      </c>
      <c r="BR25" s="55">
        <f t="shared" si="110"/>
        <v>6.3</v>
      </c>
      <c r="BS25" s="54">
        <f t="shared" si="110"/>
        <v>20399.999999999989</v>
      </c>
      <c r="BT25" s="55">
        <f t="shared" si="110"/>
        <v>5.0139357921281187</v>
      </c>
      <c r="BU25" s="54">
        <f t="shared" si="110"/>
        <v>20399.999999999989</v>
      </c>
      <c r="BV25" s="55">
        <f t="shared" si="110"/>
        <v>5.0139357921281187</v>
      </c>
      <c r="BW25" s="54">
        <f t="shared" si="110"/>
        <v>20399.999999999989</v>
      </c>
      <c r="BX25" s="55">
        <f t="shared" si="110"/>
        <v>5.0139357921281187</v>
      </c>
      <c r="BY25" s="54">
        <f t="shared" si="110"/>
        <v>21500</v>
      </c>
      <c r="BZ25" s="55">
        <f t="shared" si="110"/>
        <v>5.2842950750369901</v>
      </c>
      <c r="CA25" s="54">
        <f t="shared" si="110"/>
        <v>36450</v>
      </c>
      <c r="CB25" s="55">
        <f t="shared" si="110"/>
        <v>8.9587235109348047</v>
      </c>
      <c r="CC25" s="54">
        <f t="shared" si="110"/>
        <v>36450</v>
      </c>
      <c r="CD25" s="55">
        <f t="shared" si="110"/>
        <v>8.9587235109348047</v>
      </c>
      <c r="CE25" s="54">
        <f t="shared" si="110"/>
        <v>36450</v>
      </c>
      <c r="CF25" s="55">
        <f t="shared" si="110"/>
        <v>8.9587235109348047</v>
      </c>
      <c r="CG25" s="54">
        <f t="shared" si="110"/>
        <v>38000</v>
      </c>
      <c r="CH25" s="55">
        <f t="shared" si="110"/>
        <v>9.3396843186700291</v>
      </c>
      <c r="CI25" s="54">
        <f t="shared" ref="CI25:CN25" si="111">CI26</f>
        <v>42661.677669902914</v>
      </c>
      <c r="CJ25" s="55">
        <f t="shared" si="111"/>
        <v>10.485436893203884</v>
      </c>
      <c r="CK25" s="54">
        <f t="shared" si="111"/>
        <v>42661.677669902914</v>
      </c>
      <c r="CL25" s="55">
        <f t="shared" si="111"/>
        <v>10.485436893203884</v>
      </c>
      <c r="CM25" s="54">
        <f t="shared" si="111"/>
        <v>42661.677669902914</v>
      </c>
      <c r="CN25" s="55">
        <f t="shared" si="111"/>
        <v>10.485436893203884</v>
      </c>
      <c r="CO25" s="54">
        <f t="shared" ref="CO25:CP25" si="112">CO26</f>
        <v>18000</v>
      </c>
      <c r="CP25" s="55">
        <f t="shared" si="112"/>
        <v>4.4240609930542245</v>
      </c>
      <c r="CR25" s="54">
        <f t="shared" ref="CR25:DT25" si="113">CR26</f>
        <v>42661.677669902914</v>
      </c>
      <c r="CS25" s="55">
        <f t="shared" si="113"/>
        <v>10.485436893203884</v>
      </c>
      <c r="CT25" s="54">
        <f t="shared" si="113"/>
        <v>42661.677669902914</v>
      </c>
      <c r="CU25" s="55">
        <f t="shared" si="113"/>
        <v>10.485436893203884</v>
      </c>
      <c r="CV25" s="54">
        <f t="shared" si="113"/>
        <v>42661.677669902914</v>
      </c>
      <c r="CW25" s="55">
        <f t="shared" si="113"/>
        <v>10.485436893203884</v>
      </c>
      <c r="CX25" s="54">
        <f t="shared" si="113"/>
        <v>18000</v>
      </c>
      <c r="CY25" s="55">
        <f t="shared" si="113"/>
        <v>4.4240609930542245</v>
      </c>
      <c r="DA25" s="54">
        <f t="shared" si="113"/>
        <v>42661.677669902914</v>
      </c>
      <c r="DB25" s="55">
        <f t="shared" si="113"/>
        <v>10.485436893203884</v>
      </c>
      <c r="DC25" s="54">
        <f t="shared" si="113"/>
        <v>42661.677669902914</v>
      </c>
      <c r="DD25" s="55">
        <f t="shared" si="113"/>
        <v>10.485436893203884</v>
      </c>
      <c r="DE25" s="54">
        <f t="shared" si="113"/>
        <v>42661.677669902914</v>
      </c>
      <c r="DF25" s="55">
        <f t="shared" si="113"/>
        <v>10.485436893203884</v>
      </c>
      <c r="DH25" s="54">
        <f>DI25*DH12</f>
        <v>48823.92</v>
      </c>
      <c r="DI25" s="55">
        <f t="shared" si="113"/>
        <v>12</v>
      </c>
      <c r="DJ25" s="54">
        <f>DK25*DJ12</f>
        <v>48823.92</v>
      </c>
      <c r="DK25" s="55">
        <f t="shared" si="113"/>
        <v>12</v>
      </c>
      <c r="DL25" s="54">
        <f>DM25*DL12</f>
        <v>48823.92</v>
      </c>
      <c r="DM25" s="55">
        <f t="shared" si="113"/>
        <v>12</v>
      </c>
      <c r="DO25" s="54">
        <f>DP25*DO12</f>
        <v>48823.92</v>
      </c>
      <c r="DP25" s="55">
        <f t="shared" si="113"/>
        <v>12</v>
      </c>
      <c r="DQ25" s="54">
        <f>DR25*DQ12</f>
        <v>48823.92</v>
      </c>
      <c r="DR25" s="55">
        <f t="shared" si="113"/>
        <v>12</v>
      </c>
      <c r="DS25" s="54">
        <f>DT25*DS12</f>
        <v>48823.92</v>
      </c>
      <c r="DT25" s="55">
        <f t="shared" si="113"/>
        <v>12</v>
      </c>
      <c r="DV25" s="54">
        <f>DW25*DV12</f>
        <v>48823.92</v>
      </c>
      <c r="DW25" s="55">
        <f t="shared" ref="DW25:DY25" si="114">DW26</f>
        <v>12</v>
      </c>
      <c r="DX25" s="54">
        <f>DY25*DX12</f>
        <v>48823.92</v>
      </c>
      <c r="DY25" s="55">
        <f t="shared" si="114"/>
        <v>12</v>
      </c>
      <c r="EA25" s="54">
        <f>EB25*EA12</f>
        <v>48823.92</v>
      </c>
      <c r="EB25" s="55">
        <f t="shared" ref="EB25" si="115">EB26</f>
        <v>12</v>
      </c>
      <c r="ED25" s="54">
        <f>EE25*ED12</f>
        <v>48823.92</v>
      </c>
      <c r="EE25" s="55">
        <f t="shared" ref="EE25" si="116">EE26</f>
        <v>12</v>
      </c>
      <c r="EG25" s="54">
        <f>EH25*EG12</f>
        <v>48823.92</v>
      </c>
      <c r="EH25" s="55">
        <f t="shared" ref="EH25" si="117">EH26</f>
        <v>12</v>
      </c>
      <c r="EJ25" s="54">
        <f>EK25*EJ12</f>
        <v>48823.92</v>
      </c>
      <c r="EK25" s="55">
        <f t="shared" ref="EK25" si="118">EK26</f>
        <v>12</v>
      </c>
      <c r="EM25" s="54">
        <f>EN25*EM12</f>
        <v>48823.92</v>
      </c>
      <c r="EN25" s="55">
        <f t="shared" ref="EN25" si="119">EN26</f>
        <v>12</v>
      </c>
      <c r="EP25" s="54">
        <f>EQ25*EP12</f>
        <v>48823.92</v>
      </c>
      <c r="EQ25" s="55">
        <f t="shared" ref="EQ25" si="120">EQ26</f>
        <v>12</v>
      </c>
      <c r="ER25" s="54">
        <f>ES25*ER12</f>
        <v>48823.92</v>
      </c>
      <c r="ES25" s="55">
        <f t="shared" ref="ES25" si="121">ES26</f>
        <v>12</v>
      </c>
      <c r="EU25" s="54">
        <f>EV25*EU12</f>
        <v>48823.92</v>
      </c>
      <c r="EV25" s="55">
        <f t="shared" ref="EV25" si="122">EV26</f>
        <v>12</v>
      </c>
      <c r="EX25" s="54">
        <f>EY25*EX12</f>
        <v>40686.6</v>
      </c>
      <c r="EY25" s="55">
        <f t="shared" ref="EY25" si="123">EY26</f>
        <v>10</v>
      </c>
      <c r="EZ25" s="54">
        <f>FA25*EZ12</f>
        <v>40686.6</v>
      </c>
      <c r="FA25" s="55">
        <f t="shared" ref="FA25" si="124">FA26</f>
        <v>10</v>
      </c>
      <c r="FB25" s="54">
        <f>FC25*FB12</f>
        <v>40686.6</v>
      </c>
      <c r="FC25" s="55">
        <f t="shared" ref="FC25" si="125">FC26</f>
        <v>10</v>
      </c>
    </row>
    <row r="26" spans="1:159" s="4" customFormat="1" ht="18" customHeight="1" x14ac:dyDescent="0.45">
      <c r="A26" s="561"/>
      <c r="B26" s="1187"/>
      <c r="C26" s="56" t="s">
        <v>40</v>
      </c>
      <c r="D26" s="52"/>
      <c r="E26" s="53"/>
      <c r="F26" s="54">
        <f>7.85*F12</f>
        <v>31938.980999999996</v>
      </c>
      <c r="G26" s="57">
        <f>+F26/F12</f>
        <v>7.85</v>
      </c>
      <c r="H26" s="54">
        <f>7.9*H12</f>
        <v>32142.414000000001</v>
      </c>
      <c r="I26" s="57">
        <f>+H26/H12</f>
        <v>7.9</v>
      </c>
      <c r="J26" s="54">
        <f>'Pricing Structure - GSS'!DD26</f>
        <v>32164.341</v>
      </c>
      <c r="K26" s="57">
        <f>'Pricing Structure - GSS'!DE26</f>
        <v>7.9053892436330395</v>
      </c>
      <c r="L26" s="54">
        <f>'Pricing Structure - GSS'!CZ26</f>
        <v>32164.341</v>
      </c>
      <c r="M26" s="57">
        <f>'Pricing Structure - GSS'!DA26</f>
        <v>7.9053892436330395</v>
      </c>
      <c r="N26" s="54">
        <f>'Pricing Structure - GSS'!DB26</f>
        <v>32164.341</v>
      </c>
      <c r="O26" s="57">
        <f>'Pricing Structure - GSS'!DC26</f>
        <v>7.9053892436330395</v>
      </c>
      <c r="P26" s="54">
        <f>'Pricing Structure - GSS'!DJ26</f>
        <v>32164.341000000004</v>
      </c>
      <c r="Q26" s="57">
        <f>'Pricing Structure - GSS'!DK26</f>
        <v>7.9053892436330404</v>
      </c>
      <c r="R26" s="636"/>
      <c r="S26" s="54">
        <f>7.7*S12</f>
        <v>0</v>
      </c>
      <c r="T26" s="57" t="e">
        <f>+S26/S12</f>
        <v>#DIV/0!</v>
      </c>
      <c r="U26" s="54">
        <f>7.7*U12</f>
        <v>0</v>
      </c>
      <c r="V26" s="57" t="e">
        <f>+U26/U12</f>
        <v>#DIV/0!</v>
      </c>
      <c r="W26" s="54">
        <f>'Pricing Structure - IIP'!CX26</f>
        <v>33000</v>
      </c>
      <c r="X26" s="57">
        <f>'Pricing Structure - IIP'!CY26</f>
        <v>8.110778487266078</v>
      </c>
      <c r="Y26" s="54">
        <f>'Pricing Structure - IIP'!CT26</f>
        <v>32164.341</v>
      </c>
      <c r="Z26" s="57">
        <f>'Pricing Structure - IIP'!CU26</f>
        <v>7.9053892436330395</v>
      </c>
      <c r="AA26" s="54">
        <f>'Pricing Structure - IIP'!CV26</f>
        <v>32164.341</v>
      </c>
      <c r="AB26" s="57">
        <f>'Pricing Structure - IIP'!CW26</f>
        <v>7.9053892436330395</v>
      </c>
      <c r="AC26" s="54">
        <f>'Pricing Structure - IIP'!DD26</f>
        <v>32896.699800000002</v>
      </c>
      <c r="AD26" s="57">
        <f>'Pricing Structure - IIP'!DE26</f>
        <v>8.0853892436330401</v>
      </c>
      <c r="AE26" s="54" t="e">
        <f>'Pricing Structure - IIP'!#REF!</f>
        <v>#REF!</v>
      </c>
      <c r="AF26" s="57" t="e">
        <f>'Pricing Structure - IIP'!#REF!</f>
        <v>#REF!</v>
      </c>
      <c r="AG26" s="636"/>
      <c r="AH26" s="54">
        <f>7.7*AH12</f>
        <v>0</v>
      </c>
      <c r="AI26" s="57" t="e">
        <f>+AH26/AH12</f>
        <v>#DIV/0!</v>
      </c>
      <c r="AJ26" s="54">
        <f>7.7*AJ12</f>
        <v>0</v>
      </c>
      <c r="AK26" s="57" t="e">
        <f>+AJ26/AJ12</f>
        <v>#DIV/0!</v>
      </c>
      <c r="AL26" s="54">
        <f>'Pricing Structure - IHAG'!DD26</f>
        <v>32266.057499999999</v>
      </c>
      <c r="AM26" s="57">
        <f>'Pricing Structure - IHAG'!DE26</f>
        <v>7.930389243633039</v>
      </c>
      <c r="AN26" s="54">
        <f>'Pricing Structure - IHAG'!CZ26</f>
        <v>32266.057499999999</v>
      </c>
      <c r="AO26" s="57">
        <f>'Pricing Structure - IHAG'!DA26</f>
        <v>7.930389243633039</v>
      </c>
      <c r="AP26" s="54">
        <f>'Pricing Structure - IHAG'!DB26</f>
        <v>32266.057499999999</v>
      </c>
      <c r="AQ26" s="57">
        <f>'Pricing Structure - IHAG'!DC26</f>
        <v>7.930389243633039</v>
      </c>
      <c r="AR26" s="54">
        <f>'Pricing Structure - IHAG'!DP26</f>
        <v>32266.057499999999</v>
      </c>
      <c r="AS26" s="57">
        <f>'Pricing Structure - IHAG'!DQ26</f>
        <v>7.930389243633039</v>
      </c>
      <c r="AT26" s="54" t="e">
        <f>'Pricing Structure - IHAG'!#REF!</f>
        <v>#REF!</v>
      </c>
      <c r="AU26" s="57" t="e">
        <f>'Pricing Structure - IHAG'!#REF!</f>
        <v>#REF!</v>
      </c>
      <c r="AV26" s="636"/>
      <c r="AW26" s="54">
        <f>7.75*AW12</f>
        <v>31532.114999999998</v>
      </c>
      <c r="AX26" s="57">
        <f>+AW26/AW12</f>
        <v>7.75</v>
      </c>
      <c r="AY26" s="54">
        <f>7.7*AY12</f>
        <v>31328.682000000001</v>
      </c>
      <c r="AZ26" s="57">
        <f>+AY26/AY12</f>
        <v>7.7</v>
      </c>
      <c r="BA26" s="54">
        <f>7.7*BA12</f>
        <v>31328.682000000001</v>
      </c>
      <c r="BB26" s="57">
        <f>+BA26/BA12</f>
        <v>7.7</v>
      </c>
      <c r="BC26" s="54">
        <f>J26</f>
        <v>32164.341</v>
      </c>
      <c r="BD26" s="57">
        <f>+BC26/BC12</f>
        <v>7.9053892436330395</v>
      </c>
      <c r="BE26" s="54">
        <f>L26</f>
        <v>32164.341</v>
      </c>
      <c r="BF26" s="57">
        <f>+BE26/BE12</f>
        <v>7.9053892436330395</v>
      </c>
      <c r="BG26" s="54">
        <f>N26</f>
        <v>32164.341</v>
      </c>
      <c r="BH26" s="57">
        <f>+BG26/BG12</f>
        <v>7.9053892436330395</v>
      </c>
      <c r="BI26" s="54">
        <f>P26</f>
        <v>32164.341000000004</v>
      </c>
      <c r="BJ26" s="57">
        <f>+BI26/BI12</f>
        <v>7.9053892436330404</v>
      </c>
      <c r="BK26" s="54">
        <v>25110.000000000004</v>
      </c>
      <c r="BL26" s="57">
        <f>+BK26/BK12</f>
        <v>6.1715650853106441</v>
      </c>
      <c r="BM26" s="54">
        <v>25110.000000000004</v>
      </c>
      <c r="BN26" s="57">
        <f>+BM26/BM12</f>
        <v>6.1715650853106441</v>
      </c>
      <c r="BO26" s="54">
        <v>25110.000000000004</v>
      </c>
      <c r="BP26" s="57">
        <f>+BO26/BO12</f>
        <v>6.1715650853106441</v>
      </c>
      <c r="BQ26" s="54">
        <f>6.3*BQ12</f>
        <v>25632.557999999997</v>
      </c>
      <c r="BR26" s="57">
        <f>+BQ26/BQ12</f>
        <v>6.3</v>
      </c>
      <c r="BS26" s="54">
        <v>20399.999999999989</v>
      </c>
      <c r="BT26" s="57">
        <f>+BS26/BS12</f>
        <v>5.0139357921281187</v>
      </c>
      <c r="BU26" s="54">
        <v>20399.999999999989</v>
      </c>
      <c r="BV26" s="57">
        <f>+BU26/BU12</f>
        <v>5.0139357921281187</v>
      </c>
      <c r="BW26" s="54">
        <v>20399.999999999989</v>
      </c>
      <c r="BX26" s="57">
        <f>+BW26/BW12</f>
        <v>5.0139357921281187</v>
      </c>
      <c r="BY26" s="54">
        <v>21500</v>
      </c>
      <c r="BZ26" s="57">
        <f>+BY26/BY12</f>
        <v>5.2842950750369901</v>
      </c>
      <c r="CA26" s="54">
        <v>36450</v>
      </c>
      <c r="CB26" s="57">
        <f>+CA26/CA12</f>
        <v>8.9587235109348047</v>
      </c>
      <c r="CC26" s="54">
        <v>36450</v>
      </c>
      <c r="CD26" s="57">
        <f>+CC26/CC12</f>
        <v>8.9587235109348047</v>
      </c>
      <c r="CE26" s="54">
        <v>36450</v>
      </c>
      <c r="CF26" s="57">
        <f>+CE26/CE12</f>
        <v>8.9587235109348047</v>
      </c>
      <c r="CG26" s="54">
        <v>38000</v>
      </c>
      <c r="CH26" s="57">
        <f>+CG26/CG12</f>
        <v>9.3396843186700291</v>
      </c>
      <c r="CI26" s="54">
        <f>CI12*(10.8*100/103)</f>
        <v>42661.677669902914</v>
      </c>
      <c r="CJ26" s="57">
        <f>+CI26/CI12</f>
        <v>10.485436893203884</v>
      </c>
      <c r="CK26" s="54">
        <f>CK12*(10.8*100/103)</f>
        <v>42661.677669902914</v>
      </c>
      <c r="CL26" s="57">
        <f>+CK26/CK12</f>
        <v>10.485436893203884</v>
      </c>
      <c r="CM26" s="54">
        <f>CM12*(10.8*100/103)</f>
        <v>42661.677669902914</v>
      </c>
      <c r="CN26" s="57">
        <f>+CM26/CM12</f>
        <v>10.485436893203884</v>
      </c>
      <c r="CO26" s="54">
        <f>1500*12</f>
        <v>18000</v>
      </c>
      <c r="CP26" s="57">
        <f>+CO26/CO12</f>
        <v>4.4240609930542245</v>
      </c>
      <c r="CR26" s="54">
        <f>CR12*(10.8*100/103)</f>
        <v>42661.677669902914</v>
      </c>
      <c r="CS26" s="57">
        <f>+CR26/CR12</f>
        <v>10.485436893203884</v>
      </c>
      <c r="CT26" s="54">
        <f>CT12*(10.8*100/103)</f>
        <v>42661.677669902914</v>
      </c>
      <c r="CU26" s="57">
        <f>+CT26/CT12</f>
        <v>10.485436893203884</v>
      </c>
      <c r="CV26" s="54">
        <f>CV12*(10.8*100/103)</f>
        <v>42661.677669902914</v>
      </c>
      <c r="CW26" s="57">
        <f>+CV26/CV12</f>
        <v>10.485436893203884</v>
      </c>
      <c r="CX26" s="54">
        <f>1500*12</f>
        <v>18000</v>
      </c>
      <c r="CY26" s="57">
        <f>+CX26/CX12</f>
        <v>4.4240609930542245</v>
      </c>
      <c r="DA26" s="54">
        <f>DA12*(10.8*100/103)</f>
        <v>42661.677669902914</v>
      </c>
      <c r="DB26" s="57">
        <f>+DA26/DA12</f>
        <v>10.485436893203884</v>
      </c>
      <c r="DC26" s="54">
        <f>DC12*(10.8*100/103)</f>
        <v>42661.677669902914</v>
      </c>
      <c r="DD26" s="57">
        <f>+DC26/DC12</f>
        <v>10.485436893203884</v>
      </c>
      <c r="DE26" s="54">
        <f>DE12*(10.8*100/103)</f>
        <v>42661.677669902914</v>
      </c>
      <c r="DF26" s="57">
        <f>+DE26/DE12</f>
        <v>10.485436893203884</v>
      </c>
      <c r="DH26" s="54">
        <f>DI26*DH12</f>
        <v>48823.92</v>
      </c>
      <c r="DI26" s="57">
        <v>12</v>
      </c>
      <c r="DJ26" s="54">
        <f>DK26*DJ12</f>
        <v>48823.92</v>
      </c>
      <c r="DK26" s="57">
        <v>12</v>
      </c>
      <c r="DL26" s="54">
        <f>DM26*DL12</f>
        <v>48823.92</v>
      </c>
      <c r="DM26" s="57">
        <v>12</v>
      </c>
      <c r="DO26" s="54">
        <f>DP26*DO12</f>
        <v>48823.92</v>
      </c>
      <c r="DP26" s="57">
        <v>12</v>
      </c>
      <c r="DQ26" s="54">
        <f>DR26*DQ12</f>
        <v>48823.92</v>
      </c>
      <c r="DR26" s="57">
        <v>12</v>
      </c>
      <c r="DS26" s="54">
        <f>DT26*DS12</f>
        <v>48823.92</v>
      </c>
      <c r="DT26" s="57">
        <v>12</v>
      </c>
      <c r="DV26" s="54">
        <f>DW26*DV12</f>
        <v>48823.92</v>
      </c>
      <c r="DW26" s="57">
        <v>12</v>
      </c>
      <c r="DX26" s="54">
        <f>DY26*DX12</f>
        <v>48823.92</v>
      </c>
      <c r="DY26" s="57">
        <v>12</v>
      </c>
      <c r="EA26" s="54">
        <f>EB26*EA12</f>
        <v>48823.92</v>
      </c>
      <c r="EB26" s="57">
        <v>12</v>
      </c>
      <c r="ED26" s="54">
        <f>EE26*ED12</f>
        <v>48823.92</v>
      </c>
      <c r="EE26" s="57">
        <v>12</v>
      </c>
      <c r="EG26" s="54">
        <f>EH26*EG12</f>
        <v>48823.92</v>
      </c>
      <c r="EH26" s="57">
        <v>12</v>
      </c>
      <c r="EJ26" s="54">
        <f>EK26*EJ12</f>
        <v>48823.92</v>
      </c>
      <c r="EK26" s="57">
        <v>12</v>
      </c>
      <c r="EM26" s="54">
        <f>EN26*EM12</f>
        <v>48823.92</v>
      </c>
      <c r="EN26" s="57">
        <v>12</v>
      </c>
      <c r="EP26" s="54">
        <f>EQ26*EP12</f>
        <v>48823.92</v>
      </c>
      <c r="EQ26" s="57">
        <v>12</v>
      </c>
      <c r="ER26" s="54">
        <f>ES26*ER12</f>
        <v>48823.92</v>
      </c>
      <c r="ES26" s="57">
        <v>12</v>
      </c>
      <c r="EU26" s="54">
        <f>EV26*EU12</f>
        <v>48823.92</v>
      </c>
      <c r="EV26" s="57">
        <v>12</v>
      </c>
      <c r="EX26" s="54">
        <f>EY26*EX12</f>
        <v>40686.6</v>
      </c>
      <c r="EY26" s="57">
        <v>10</v>
      </c>
      <c r="EZ26" s="54">
        <f>FA26*EZ12</f>
        <v>40686.6</v>
      </c>
      <c r="FA26" s="57">
        <v>10</v>
      </c>
      <c r="FB26" s="54">
        <f>FC26*FB12</f>
        <v>40686.6</v>
      </c>
      <c r="FC26" s="57">
        <v>10</v>
      </c>
    </row>
    <row r="27" spans="1:159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359"/>
      <c r="K27" s="355"/>
      <c r="L27" s="359"/>
      <c r="M27" s="355"/>
      <c r="N27" s="359"/>
      <c r="O27" s="355"/>
      <c r="P27" s="359"/>
      <c r="Q27" s="355"/>
      <c r="R27" s="632"/>
      <c r="S27" s="42"/>
      <c r="T27" s="18"/>
      <c r="U27" s="42"/>
      <c r="V27" s="18"/>
      <c r="W27" s="359"/>
      <c r="X27" s="355"/>
      <c r="Y27" s="359"/>
      <c r="Z27" s="355"/>
      <c r="AA27" s="359"/>
      <c r="AB27" s="355"/>
      <c r="AC27" s="359"/>
      <c r="AD27" s="355"/>
      <c r="AE27" s="359"/>
      <c r="AF27" s="355"/>
      <c r="AG27" s="632"/>
      <c r="AH27" s="42"/>
      <c r="AI27" s="18"/>
      <c r="AJ27" s="42"/>
      <c r="AK27" s="18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632"/>
      <c r="AW27" s="359"/>
      <c r="AX27" s="355"/>
      <c r="AY27" s="270"/>
      <c r="AZ27" s="18"/>
      <c r="BA27" s="359"/>
      <c r="BB27" s="355"/>
      <c r="BC27" s="359"/>
      <c r="BD27" s="355"/>
      <c r="BE27" s="359"/>
      <c r="BF27" s="355"/>
      <c r="BG27" s="359"/>
      <c r="BH27" s="355"/>
      <c r="BI27" s="359"/>
      <c r="BJ27" s="355"/>
      <c r="BK27" s="42"/>
      <c r="BL27" s="18"/>
      <c r="BM27" s="359"/>
      <c r="BN27" s="355"/>
      <c r="BO27" s="359"/>
      <c r="BP27" s="355"/>
      <c r="BQ27" s="359"/>
      <c r="BR27" s="355"/>
      <c r="BS27" s="42"/>
      <c r="BT27" s="18"/>
      <c r="BU27" s="363"/>
      <c r="BV27" s="355"/>
      <c r="BW27" s="363"/>
      <c r="BX27" s="355"/>
      <c r="BY27" s="359"/>
      <c r="BZ27" s="355"/>
      <c r="CA27" s="42"/>
      <c r="CB27" s="18"/>
      <c r="CC27" s="359"/>
      <c r="CD27" s="355"/>
      <c r="CE27" s="359"/>
      <c r="CF27" s="355"/>
      <c r="CG27" s="359"/>
      <c r="CH27" s="355"/>
      <c r="CI27" s="359"/>
      <c r="CJ27" s="355"/>
      <c r="CK27" s="359"/>
      <c r="CL27" s="355"/>
      <c r="CM27" s="359"/>
      <c r="CN27" s="355"/>
      <c r="CO27" s="359"/>
      <c r="CP27" s="355"/>
      <c r="CR27" s="359"/>
      <c r="CS27" s="355"/>
      <c r="CT27" s="359"/>
      <c r="CU27" s="355"/>
      <c r="CV27" s="359"/>
      <c r="CW27" s="355"/>
      <c r="CX27" s="359"/>
      <c r="CY27" s="355"/>
      <c r="DA27" s="359"/>
      <c r="DB27" s="355"/>
      <c r="DC27" s="359"/>
      <c r="DD27" s="355"/>
      <c r="DE27" s="359"/>
      <c r="DF27" s="355"/>
      <c r="DH27" s="359"/>
      <c r="DI27" s="355"/>
      <c r="DJ27" s="359"/>
      <c r="DK27" s="355"/>
      <c r="DL27" s="359"/>
      <c r="DM27" s="355"/>
      <c r="DO27" s="359"/>
      <c r="DP27" s="355"/>
      <c r="DQ27" s="359"/>
      <c r="DR27" s="355"/>
      <c r="DS27" s="359"/>
      <c r="DT27" s="355"/>
      <c r="DV27" s="359"/>
      <c r="DW27" s="355"/>
      <c r="DX27" s="359"/>
      <c r="DY27" s="355"/>
      <c r="EA27" s="359"/>
      <c r="EB27" s="355"/>
      <c r="ED27" s="359"/>
      <c r="EE27" s="355"/>
      <c r="EG27" s="359"/>
      <c r="EH27" s="355"/>
      <c r="EJ27" s="359"/>
      <c r="EK27" s="355"/>
      <c r="EM27" s="359"/>
      <c r="EN27" s="355"/>
      <c r="EP27" s="359"/>
      <c r="EQ27" s="355"/>
      <c r="ER27" s="359"/>
      <c r="ES27" s="355"/>
      <c r="EU27" s="359"/>
      <c r="EV27" s="355"/>
      <c r="EX27" s="359"/>
      <c r="EY27" s="355"/>
      <c r="EZ27" s="359"/>
      <c r="FA27" s="355"/>
      <c r="FB27" s="359"/>
      <c r="FC27" s="355"/>
    </row>
    <row r="28" spans="1:159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364"/>
      <c r="K28" s="360"/>
      <c r="L28" s="364"/>
      <c r="M28" s="360"/>
      <c r="N28" s="364"/>
      <c r="O28" s="360"/>
      <c r="P28" s="364"/>
      <c r="Q28" s="360"/>
      <c r="R28" s="637"/>
      <c r="S28" s="60"/>
      <c r="T28" s="43"/>
      <c r="U28" s="60"/>
      <c r="V28" s="43"/>
      <c r="W28" s="364"/>
      <c r="X28" s="360"/>
      <c r="Y28" s="364"/>
      <c r="Z28" s="360"/>
      <c r="AA28" s="364"/>
      <c r="AB28" s="360"/>
      <c r="AC28" s="364"/>
      <c r="AD28" s="360"/>
      <c r="AE28" s="364"/>
      <c r="AF28" s="360"/>
      <c r="AG28" s="637"/>
      <c r="AH28" s="60"/>
      <c r="AI28" s="43"/>
      <c r="AJ28" s="60"/>
      <c r="AK28" s="43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637"/>
      <c r="AW28" s="364"/>
      <c r="AX28" s="360"/>
      <c r="AY28" s="275"/>
      <c r="AZ28" s="43"/>
      <c r="BA28" s="364"/>
      <c r="BB28" s="360"/>
      <c r="BC28" s="364"/>
      <c r="BD28" s="360"/>
      <c r="BE28" s="364"/>
      <c r="BF28" s="360"/>
      <c r="BG28" s="364"/>
      <c r="BH28" s="360"/>
      <c r="BI28" s="364"/>
      <c r="BJ28" s="360"/>
      <c r="BK28" s="60"/>
      <c r="BL28" s="43"/>
      <c r="BM28" s="364"/>
      <c r="BN28" s="360"/>
      <c r="BO28" s="364"/>
      <c r="BP28" s="360"/>
      <c r="BQ28" s="364"/>
      <c r="BR28" s="360"/>
      <c r="BS28" s="60"/>
      <c r="BT28" s="43"/>
      <c r="BU28" s="364"/>
      <c r="BV28" s="360"/>
      <c r="BW28" s="364"/>
      <c r="BX28" s="360"/>
      <c r="BY28" s="364"/>
      <c r="BZ28" s="360"/>
      <c r="CA28" s="60"/>
      <c r="CB28" s="43"/>
      <c r="CC28" s="364"/>
      <c r="CD28" s="360"/>
      <c r="CE28" s="364"/>
      <c r="CF28" s="360"/>
      <c r="CG28" s="364"/>
      <c r="CH28" s="360"/>
      <c r="CI28" s="364"/>
      <c r="CJ28" s="360"/>
      <c r="CK28" s="364"/>
      <c r="CL28" s="360"/>
      <c r="CM28" s="364"/>
      <c r="CN28" s="360"/>
      <c r="CO28" s="364"/>
      <c r="CP28" s="360"/>
      <c r="CR28" s="364"/>
      <c r="CS28" s="360"/>
      <c r="CT28" s="364"/>
      <c r="CU28" s="360"/>
      <c r="CV28" s="364"/>
      <c r="CW28" s="360"/>
      <c r="CX28" s="364"/>
      <c r="CY28" s="360"/>
      <c r="DA28" s="364"/>
      <c r="DB28" s="360"/>
      <c r="DC28" s="364"/>
      <c r="DD28" s="360"/>
      <c r="DE28" s="364"/>
      <c r="DF28" s="360"/>
      <c r="DH28" s="364"/>
      <c r="DI28" s="360"/>
      <c r="DJ28" s="364"/>
      <c r="DK28" s="360"/>
      <c r="DL28" s="364"/>
      <c r="DM28" s="360"/>
      <c r="DO28" s="364"/>
      <c r="DP28" s="360"/>
      <c r="DQ28" s="364"/>
      <c r="DR28" s="360"/>
      <c r="DS28" s="364"/>
      <c r="DT28" s="360"/>
      <c r="DV28" s="364"/>
      <c r="DW28" s="360"/>
      <c r="DX28" s="364"/>
      <c r="DY28" s="360"/>
      <c r="EA28" s="364"/>
      <c r="EB28" s="360"/>
      <c r="ED28" s="364"/>
      <c r="EE28" s="360"/>
      <c r="EG28" s="364"/>
      <c r="EH28" s="360"/>
      <c r="EJ28" s="364"/>
      <c r="EK28" s="360"/>
      <c r="EM28" s="364"/>
      <c r="EN28" s="360"/>
      <c r="EP28" s="364"/>
      <c r="EQ28" s="360"/>
      <c r="ER28" s="364"/>
      <c r="ES28" s="360"/>
      <c r="EU28" s="364"/>
      <c r="EV28" s="360"/>
      <c r="EX28" s="364"/>
      <c r="EY28" s="360"/>
      <c r="EZ28" s="364"/>
      <c r="FA28" s="360"/>
      <c r="FB28" s="364"/>
      <c r="FC28" s="360"/>
    </row>
    <row r="29" spans="1:159" s="49" customFormat="1" ht="18" customHeight="1" x14ac:dyDescent="0.45">
      <c r="A29" s="561"/>
      <c r="B29" s="1194"/>
      <c r="C29" s="44" t="s">
        <v>42</v>
      </c>
      <c r="D29" s="45"/>
      <c r="E29" s="46"/>
      <c r="F29" s="47">
        <f>F30/F26</f>
        <v>6.2420382165605012E-2</v>
      </c>
      <c r="G29" s="48">
        <f>G30/G26</f>
        <v>6.2420382165605012E-2</v>
      </c>
      <c r="H29" s="47">
        <f>H30/H26</f>
        <v>6.8354430379746894E-2</v>
      </c>
      <c r="I29" s="48">
        <f>I30/I26</f>
        <v>6.8354430379746839E-2</v>
      </c>
      <c r="J29" s="361">
        <f>'Pricing Structure - GSS'!DD29</f>
        <v>7.1804444407090329E-2</v>
      </c>
      <c r="K29" s="362">
        <f>'Pricing Structure - GSS'!DE29</f>
        <v>7.180444440709037E-2</v>
      </c>
      <c r="L29" s="361">
        <f>'Pricing Structure - GSS'!CZ29</f>
        <v>7.1804444407090329E-2</v>
      </c>
      <c r="M29" s="362">
        <f>'Pricing Structure - GSS'!DA29</f>
        <v>7.180444440709037E-2</v>
      </c>
      <c r="N29" s="361">
        <f>'Pricing Structure - GSS'!DB29</f>
        <v>7.1804444407090329E-2</v>
      </c>
      <c r="O29" s="362">
        <f>'Pricing Structure - GSS'!DC29</f>
        <v>7.180444440709037E-2</v>
      </c>
      <c r="P29" s="361">
        <f>'Pricing Structure - GSS'!DJ29</f>
        <v>7.1804444407090551E-2</v>
      </c>
      <c r="Q29" s="362">
        <f>'Pricing Structure - GSS'!DK29</f>
        <v>7.1804444407090592E-2</v>
      </c>
      <c r="R29" s="635"/>
      <c r="S29" s="47" t="e">
        <f>S30/S26</f>
        <v>#DIV/0!</v>
      </c>
      <c r="T29" s="48" t="e">
        <f>T30/T26</f>
        <v>#DIV/0!</v>
      </c>
      <c r="U29" s="47" t="e">
        <f>U30/U26</f>
        <v>#DIV/0!</v>
      </c>
      <c r="V29" s="48" t="e">
        <f>V30/V26</f>
        <v>#DIV/0!</v>
      </c>
      <c r="W29" s="361">
        <f>'Pricing Structure - IIP'!CX29</f>
        <v>9.5309140461369568E-2</v>
      </c>
      <c r="X29" s="362">
        <f>'Pricing Structure - IIP'!CY29</f>
        <v>9.5309140461369568E-2</v>
      </c>
      <c r="Y29" s="361">
        <f>'Pricing Structure - IIP'!CT29</f>
        <v>7.1804444407090329E-2</v>
      </c>
      <c r="Z29" s="362">
        <f>'Pricing Structure - IIP'!CU29</f>
        <v>7.180444440709037E-2</v>
      </c>
      <c r="AA29" s="361">
        <f>'Pricing Structure - IIP'!CV29</f>
        <v>7.1804444407090329E-2</v>
      </c>
      <c r="AB29" s="362">
        <f>'Pricing Structure - IIP'!CW29</f>
        <v>7.180444440709037E-2</v>
      </c>
      <c r="AC29" s="361">
        <f>'Pricing Structure - IIP'!DD29</f>
        <v>6.4021912472362913E-2</v>
      </c>
      <c r="AD29" s="362">
        <f>'Pricing Structure - IIP'!DE29</f>
        <v>6.402191247236301E-2</v>
      </c>
      <c r="AE29" s="361" t="e">
        <f>'Pricing Structure - IIP'!#REF!</f>
        <v>#REF!</v>
      </c>
      <c r="AF29" s="362" t="e">
        <f>'Pricing Structure - IIP'!#REF!</f>
        <v>#REF!</v>
      </c>
      <c r="AG29" s="635"/>
      <c r="AH29" s="47" t="e">
        <f>AH30/AH26</f>
        <v>#DIV/0!</v>
      </c>
      <c r="AI29" s="48" t="e">
        <f>AI30/AI26</f>
        <v>#DIV/0!</v>
      </c>
      <c r="AJ29" s="47" t="e">
        <f>AJ30/AJ26</f>
        <v>#DIV/0!</v>
      </c>
      <c r="AK29" s="48" t="e">
        <f>AK30/AK26</f>
        <v>#DIV/0!</v>
      </c>
      <c r="AL29" s="361">
        <f>'Pricing Structure - IHAG'!DD29</f>
        <v>6.7560289005062404E-2</v>
      </c>
      <c r="AM29" s="362">
        <f>'Pricing Structure - IHAG'!DE29</f>
        <v>6.7560289005062474E-2</v>
      </c>
      <c r="AN29" s="361">
        <f>'Pricing Structure - IHAG'!CZ29</f>
        <v>6.7560289005062404E-2</v>
      </c>
      <c r="AO29" s="362">
        <f>'Pricing Structure - IHAG'!DA29</f>
        <v>6.7560289005062474E-2</v>
      </c>
      <c r="AP29" s="361">
        <f>'Pricing Structure - IHAG'!DB29</f>
        <v>6.7560289005062404E-2</v>
      </c>
      <c r="AQ29" s="362">
        <f>'Pricing Structure - IHAG'!DC29</f>
        <v>6.7560289005062474E-2</v>
      </c>
      <c r="AR29" s="361">
        <f>'Pricing Structure - IHAG'!DP29</f>
        <v>6.7560289005062404E-2</v>
      </c>
      <c r="AS29" s="362">
        <f>'Pricing Structure - IHAG'!DQ29</f>
        <v>6.7560289005062474E-2</v>
      </c>
      <c r="AT29" s="361" t="e">
        <f>'Pricing Structure - IHAG'!#REF!</f>
        <v>#REF!</v>
      </c>
      <c r="AU29" s="362" t="e">
        <f>'Pricing Structure - IHAG'!#REF!</f>
        <v>#REF!</v>
      </c>
      <c r="AV29" s="635"/>
      <c r="AW29" s="361">
        <f t="shared" ref="AW29:BV29" si="126">AW30/AW26</f>
        <v>4.5856792979283516E-2</v>
      </c>
      <c r="AX29" s="362">
        <f t="shared" si="126"/>
        <v>4.5856792979283606E-2</v>
      </c>
      <c r="AY29" s="63">
        <f t="shared" si="126"/>
        <v>4.4155844155844212E-2</v>
      </c>
      <c r="AZ29" s="48">
        <f t="shared" si="126"/>
        <v>4.4155844155844136E-2</v>
      </c>
      <c r="BA29" s="361">
        <f t="shared" si="126"/>
        <v>4.682644808543928E-2</v>
      </c>
      <c r="BB29" s="362">
        <f t="shared" si="126"/>
        <v>4.6826448085439246E-2</v>
      </c>
      <c r="BC29" s="361">
        <f t="shared" si="126"/>
        <v>7.1804444407090329E-2</v>
      </c>
      <c r="BD29" s="362">
        <f t="shared" si="126"/>
        <v>7.180444440709037E-2</v>
      </c>
      <c r="BE29" s="361">
        <f t="shared" si="126"/>
        <v>7.1804444407090329E-2</v>
      </c>
      <c r="BF29" s="362">
        <f t="shared" si="126"/>
        <v>7.180444440709037E-2</v>
      </c>
      <c r="BG29" s="361">
        <f t="shared" si="126"/>
        <v>7.1804444407090329E-2</v>
      </c>
      <c r="BH29" s="362">
        <f t="shared" si="126"/>
        <v>7.180444440709037E-2</v>
      </c>
      <c r="BI29" s="361">
        <f t="shared" si="126"/>
        <v>7.1804444407090551E-2</v>
      </c>
      <c r="BJ29" s="362">
        <f t="shared" si="126"/>
        <v>7.1804444407090592E-2</v>
      </c>
      <c r="BK29" s="47">
        <f t="shared" si="126"/>
        <v>2.5089605734767165E-2</v>
      </c>
      <c r="BL29" s="48">
        <f t="shared" si="126"/>
        <v>2.508960573476712E-2</v>
      </c>
      <c r="BM29" s="361">
        <f t="shared" si="126"/>
        <v>2.7799283154122039E-2</v>
      </c>
      <c r="BN29" s="362">
        <f t="shared" si="126"/>
        <v>2.7799283154122063E-2</v>
      </c>
      <c r="BO29" s="361">
        <f t="shared" si="126"/>
        <v>2.7799283154122039E-2</v>
      </c>
      <c r="BP29" s="362">
        <f t="shared" si="126"/>
        <v>2.7799283154122063E-2</v>
      </c>
      <c r="BQ29" s="361">
        <f t="shared" si="126"/>
        <v>3.1746031746031751E-2</v>
      </c>
      <c r="BR29" s="362">
        <f t="shared" si="126"/>
        <v>3.1746031746031772E-2</v>
      </c>
      <c r="BS29" s="47">
        <f t="shared" si="126"/>
        <v>0.13876403743315471</v>
      </c>
      <c r="BT29" s="48">
        <f t="shared" si="126"/>
        <v>0.13876403743315469</v>
      </c>
      <c r="BU29" s="361">
        <f t="shared" si="126"/>
        <v>0.13876403743315471</v>
      </c>
      <c r="BV29" s="362">
        <f t="shared" si="126"/>
        <v>0.13876403743315469</v>
      </c>
      <c r="BW29" s="361">
        <f t="shared" ref="BW29:BX29" si="127">BW30/BW26</f>
        <v>0.13876403743315471</v>
      </c>
      <c r="BX29" s="362">
        <f t="shared" si="127"/>
        <v>0.13876403743315469</v>
      </c>
      <c r="BY29" s="361">
        <f t="shared" ref="BY29:BZ29" si="128">BY30/BY26</f>
        <v>0.10541090909090908</v>
      </c>
      <c r="BZ29" s="362">
        <f t="shared" si="128"/>
        <v>0.10541090909090906</v>
      </c>
      <c r="CA29" s="47">
        <f>CA30/CA26</f>
        <v>8.2139917695473047E-2</v>
      </c>
      <c r="CB29" s="48">
        <f>CB30/CB26</f>
        <v>8.2139917695473019E-2</v>
      </c>
      <c r="CC29" s="361">
        <f>CC30/CC26</f>
        <v>0.18639202560585291</v>
      </c>
      <c r="CD29" s="362">
        <f>CD30/CD26</f>
        <v>0.18639202560585294</v>
      </c>
      <c r="CE29" s="361">
        <f t="shared" ref="CE29:CF29" si="129">CE30/CE26</f>
        <v>0.18639202560585291</v>
      </c>
      <c r="CF29" s="362">
        <f t="shared" si="129"/>
        <v>0.18639202560585294</v>
      </c>
      <c r="CG29" s="361">
        <f t="shared" ref="CG29:CH29" si="130">CG30/CG26</f>
        <v>0.15295733333333325</v>
      </c>
      <c r="CH29" s="362">
        <f t="shared" si="130"/>
        <v>0.15295733333333322</v>
      </c>
      <c r="CI29" s="361"/>
      <c r="CJ29" s="362"/>
      <c r="CK29" s="361"/>
      <c r="CL29" s="362"/>
      <c r="CM29" s="361"/>
      <c r="CN29" s="362"/>
      <c r="CO29" s="361">
        <f t="shared" ref="CO29:CP29" si="131">CO30/CO26</f>
        <v>0.10527152777777792</v>
      </c>
      <c r="CP29" s="362">
        <f t="shared" si="131"/>
        <v>0.1052715277777779</v>
      </c>
      <c r="CR29" s="361"/>
      <c r="CS29" s="362"/>
      <c r="CT29" s="361"/>
      <c r="CU29" s="362"/>
      <c r="CV29" s="361"/>
      <c r="CW29" s="362"/>
      <c r="CX29" s="361">
        <f t="shared" ref="CX29:CY29" si="132">CX30/CX26</f>
        <v>0.10527152777777792</v>
      </c>
      <c r="CY29" s="362">
        <f t="shared" si="132"/>
        <v>0.1052715277777779</v>
      </c>
      <c r="DA29" s="361"/>
      <c r="DB29" s="362"/>
      <c r="DC29" s="361"/>
      <c r="DD29" s="362"/>
      <c r="DE29" s="361"/>
      <c r="DF29" s="362"/>
      <c r="DH29" s="361">
        <f t="shared" ref="DH29:DM29" si="133">DH30/DH26</f>
        <v>0.35</v>
      </c>
      <c r="DI29" s="362">
        <f t="shared" si="133"/>
        <v>0.35000000000000003</v>
      </c>
      <c r="DJ29" s="361">
        <f t="shared" si="133"/>
        <v>0.35</v>
      </c>
      <c r="DK29" s="362">
        <f t="shared" si="133"/>
        <v>0.35000000000000003</v>
      </c>
      <c r="DL29" s="361">
        <f t="shared" si="133"/>
        <v>0.35</v>
      </c>
      <c r="DM29" s="362">
        <f t="shared" si="133"/>
        <v>0.35000000000000003</v>
      </c>
      <c r="DO29" s="361">
        <f t="shared" ref="DO29:DT29" si="134">DO30/DO26</f>
        <v>0.35</v>
      </c>
      <c r="DP29" s="362">
        <f t="shared" si="134"/>
        <v>0.35000000000000003</v>
      </c>
      <c r="DQ29" s="361">
        <f t="shared" si="134"/>
        <v>0.35</v>
      </c>
      <c r="DR29" s="362">
        <f t="shared" si="134"/>
        <v>0.35000000000000003</v>
      </c>
      <c r="DS29" s="361">
        <f t="shared" si="134"/>
        <v>0.35</v>
      </c>
      <c r="DT29" s="362">
        <f t="shared" si="134"/>
        <v>0.35000000000000003</v>
      </c>
      <c r="DV29" s="361">
        <f t="shared" ref="DV29:DY29" si="135">DV30/DV26</f>
        <v>0.35</v>
      </c>
      <c r="DW29" s="362">
        <f t="shared" si="135"/>
        <v>0.35000000000000003</v>
      </c>
      <c r="DX29" s="361">
        <f t="shared" si="135"/>
        <v>0.35</v>
      </c>
      <c r="DY29" s="362">
        <f t="shared" si="135"/>
        <v>0.35000000000000003</v>
      </c>
      <c r="EA29" s="361">
        <f t="shared" ref="EA29:EB29" si="136">EA30/EA26</f>
        <v>0.35</v>
      </c>
      <c r="EB29" s="362">
        <f t="shared" si="136"/>
        <v>0.35000000000000003</v>
      </c>
      <c r="ED29" s="361">
        <f t="shared" ref="ED29:EE29" si="137">ED30/ED26</f>
        <v>0.35</v>
      </c>
      <c r="EE29" s="362">
        <f t="shared" si="137"/>
        <v>0.35000000000000003</v>
      </c>
      <c r="EG29" s="361">
        <f t="shared" ref="EG29:EH29" si="138">EG30/EG26</f>
        <v>0.35</v>
      </c>
      <c r="EH29" s="362">
        <f t="shared" si="138"/>
        <v>0.35000000000000003</v>
      </c>
      <c r="EJ29" s="361">
        <f t="shared" ref="EJ29:EK29" si="139">EJ30/EJ26</f>
        <v>0.35</v>
      </c>
      <c r="EK29" s="362">
        <f t="shared" si="139"/>
        <v>0.35000000000000003</v>
      </c>
      <c r="EM29" s="361">
        <f t="shared" ref="EM29:EN29" si="140">EM30/EM26</f>
        <v>0.35</v>
      </c>
      <c r="EN29" s="362">
        <f t="shared" si="140"/>
        <v>0.35000000000000003</v>
      </c>
      <c r="EP29" s="361">
        <f t="shared" ref="EP29:ES29" si="141">EP30/EP26</f>
        <v>0.35</v>
      </c>
      <c r="EQ29" s="362">
        <f t="shared" si="141"/>
        <v>0.35000000000000003</v>
      </c>
      <c r="ER29" s="361">
        <f t="shared" si="141"/>
        <v>0.35</v>
      </c>
      <c r="ES29" s="362">
        <f t="shared" si="141"/>
        <v>0.35000000000000003</v>
      </c>
      <c r="ET29" s="4"/>
      <c r="EU29" s="361">
        <f t="shared" ref="EU29:EV29" si="142">EU30/EU26</f>
        <v>0.35</v>
      </c>
      <c r="EV29" s="362">
        <f t="shared" si="142"/>
        <v>0.35000000000000003</v>
      </c>
      <c r="EX29" s="361">
        <f t="shared" ref="EX29:FC29" si="143">EX30/EX26</f>
        <v>0.22</v>
      </c>
      <c r="EY29" s="362">
        <f t="shared" si="143"/>
        <v>0.22000000000000003</v>
      </c>
      <c r="EZ29" s="361">
        <f t="shared" si="143"/>
        <v>0.22</v>
      </c>
      <c r="FA29" s="362">
        <f t="shared" si="143"/>
        <v>0.22000000000000003</v>
      </c>
      <c r="FB29" s="361">
        <f t="shared" si="143"/>
        <v>0.22</v>
      </c>
      <c r="FC29" s="362">
        <f t="shared" si="143"/>
        <v>0.22000000000000003</v>
      </c>
    </row>
    <row r="30" spans="1:159" s="4" customFormat="1" ht="18" customHeight="1" x14ac:dyDescent="0.45">
      <c r="A30" s="561"/>
      <c r="B30" s="1194"/>
      <c r="C30" s="15" t="s">
        <v>43</v>
      </c>
      <c r="D30" s="16"/>
      <c r="E30" s="35"/>
      <c r="F30" s="50">
        <f>F26-F32</f>
        <v>1993.6433999999972</v>
      </c>
      <c r="G30" s="24">
        <f>G26-G32</f>
        <v>0.48999999999999932</v>
      </c>
      <c r="H30" s="50">
        <f>H26-H32</f>
        <v>2197.0764000000017</v>
      </c>
      <c r="I30" s="24">
        <f>I26-I32</f>
        <v>0.54</v>
      </c>
      <c r="J30" s="363">
        <f>'Pricing Structure - GSS'!DD30</f>
        <v>2309.5426352251961</v>
      </c>
      <c r="K30" s="351">
        <f>'Pricing Structure - GSS'!DE30</f>
        <v>0.56764208246085879</v>
      </c>
      <c r="L30" s="363">
        <f>'Pricing Structure - GSS'!CZ30</f>
        <v>2309.5426352251961</v>
      </c>
      <c r="M30" s="351">
        <f>'Pricing Structure - GSS'!DA30</f>
        <v>0.56764208246085879</v>
      </c>
      <c r="N30" s="363">
        <f>'Pricing Structure - GSS'!DB30</f>
        <v>2309.5426352251961</v>
      </c>
      <c r="O30" s="351">
        <f>'Pricing Structure - GSS'!DC30</f>
        <v>0.56764208246085879</v>
      </c>
      <c r="P30" s="363">
        <f>'Pricing Structure - GSS'!DJ30</f>
        <v>2309.5426352252034</v>
      </c>
      <c r="Q30" s="351">
        <f>'Pricing Structure - GSS'!DK30</f>
        <v>0.56764208246086056</v>
      </c>
      <c r="R30" s="630"/>
      <c r="S30" s="50">
        <f>S26-S32</f>
        <v>0</v>
      </c>
      <c r="T30" s="24" t="e">
        <f>T26-T32</f>
        <v>#DIV/0!</v>
      </c>
      <c r="U30" s="50">
        <f>U26-U32</f>
        <v>0</v>
      </c>
      <c r="V30" s="24" t="e">
        <f>V26-V32</f>
        <v>#DIV/0!</v>
      </c>
      <c r="W30" s="363">
        <f>'Pricing Structure - IIP'!CX30</f>
        <v>3145.2016352251958</v>
      </c>
      <c r="X30" s="351">
        <f>'Pricing Structure - IIP'!CY30</f>
        <v>0.77303132609389724</v>
      </c>
      <c r="Y30" s="363">
        <f>'Pricing Structure - IIP'!CT30</f>
        <v>2309.5426352251961</v>
      </c>
      <c r="Z30" s="351">
        <f>'Pricing Structure - IIP'!CU30</f>
        <v>0.56764208246085879</v>
      </c>
      <c r="AA30" s="363">
        <f>'Pricing Structure - IIP'!CV30</f>
        <v>2309.5426352251961</v>
      </c>
      <c r="AB30" s="351">
        <f>'Pricing Structure - IIP'!CW30</f>
        <v>0.56764208246085879</v>
      </c>
      <c r="AC30" s="363">
        <f>'Pricing Structure - IIP'!DD30</f>
        <v>2106.1096352251989</v>
      </c>
      <c r="AD30" s="351">
        <f>'Pricing Structure - IIP'!DE30</f>
        <v>0.51764208246085985</v>
      </c>
      <c r="AE30" s="363" t="e">
        <f>'Pricing Structure - IIP'!#REF!</f>
        <v>#REF!</v>
      </c>
      <c r="AF30" s="351" t="e">
        <f>'Pricing Structure - IIP'!#REF!</f>
        <v>#REF!</v>
      </c>
      <c r="AG30" s="630"/>
      <c r="AH30" s="50">
        <f>AH26-AH32</f>
        <v>0</v>
      </c>
      <c r="AI30" s="24" t="e">
        <f>AI26-AI32</f>
        <v>#DIV/0!</v>
      </c>
      <c r="AJ30" s="50">
        <f>AJ26-AJ32</f>
        <v>0</v>
      </c>
      <c r="AK30" s="24" t="e">
        <f>AK26-AK32</f>
        <v>#DIV/0!</v>
      </c>
      <c r="AL30" s="363">
        <f>'Pricing Structure - IHAG'!DD30</f>
        <v>2179.9041697539615</v>
      </c>
      <c r="AM30" s="351">
        <f>'Pricing Structure - IHAG'!DE30</f>
        <v>0.53577938922248691</v>
      </c>
      <c r="AN30" s="363">
        <f>'Pricing Structure - IHAG'!CZ30</f>
        <v>2179.9041697539615</v>
      </c>
      <c r="AO30" s="351">
        <f>'Pricing Structure - IHAG'!DA30</f>
        <v>0.53577938922248691</v>
      </c>
      <c r="AP30" s="363">
        <f>'Pricing Structure - IHAG'!DB30</f>
        <v>2179.9041697539615</v>
      </c>
      <c r="AQ30" s="351">
        <f>'Pricing Structure - IHAG'!DC30</f>
        <v>0.53577938922248691</v>
      </c>
      <c r="AR30" s="363">
        <f>'Pricing Structure - IHAG'!DP30</f>
        <v>2179.9041697539615</v>
      </c>
      <c r="AS30" s="351">
        <f>'Pricing Structure - IHAG'!DQ30</f>
        <v>0.53577938922248691</v>
      </c>
      <c r="AT30" s="363" t="e">
        <f>'Pricing Structure - IHAG'!#REF!</f>
        <v>#REF!</v>
      </c>
      <c r="AU30" s="351" t="e">
        <f>'Pricing Structure - IHAG'!#REF!</f>
        <v>#REF!</v>
      </c>
      <c r="AV30" s="630"/>
      <c r="AW30" s="363">
        <f t="shared" ref="AW30:BV30" si="144">AW26-AW32</f>
        <v>1445.9616697539605</v>
      </c>
      <c r="AX30" s="351">
        <f t="shared" si="144"/>
        <v>0.35539014558944793</v>
      </c>
      <c r="AY30" s="269">
        <f t="shared" si="144"/>
        <v>1383.3444000000018</v>
      </c>
      <c r="AZ30" s="24">
        <f t="shared" si="144"/>
        <v>0.33999999999999986</v>
      </c>
      <c r="BA30" s="363">
        <f t="shared" si="144"/>
        <v>1467.0109012582361</v>
      </c>
      <c r="BB30" s="351">
        <f t="shared" si="144"/>
        <v>0.36056365025788217</v>
      </c>
      <c r="BC30" s="363">
        <f t="shared" si="144"/>
        <v>2309.5426352251961</v>
      </c>
      <c r="BD30" s="351">
        <f t="shared" si="144"/>
        <v>0.56764208246085879</v>
      </c>
      <c r="BE30" s="363">
        <f t="shared" si="144"/>
        <v>2309.5426352251961</v>
      </c>
      <c r="BF30" s="351">
        <f t="shared" si="144"/>
        <v>0.56764208246085879</v>
      </c>
      <c r="BG30" s="363">
        <f t="shared" si="144"/>
        <v>2309.5426352251961</v>
      </c>
      <c r="BH30" s="351">
        <f t="shared" si="144"/>
        <v>0.56764208246085879</v>
      </c>
      <c r="BI30" s="363">
        <f t="shared" si="144"/>
        <v>2309.5426352252034</v>
      </c>
      <c r="BJ30" s="351">
        <f t="shared" si="144"/>
        <v>0.56764208246086056</v>
      </c>
      <c r="BK30" s="50">
        <f t="shared" si="144"/>
        <v>630.00000000000364</v>
      </c>
      <c r="BL30" s="24">
        <f t="shared" si="144"/>
        <v>0.15484213475689845</v>
      </c>
      <c r="BM30" s="363">
        <f t="shared" si="144"/>
        <v>698.04000000000451</v>
      </c>
      <c r="BN30" s="351">
        <f t="shared" si="144"/>
        <v>0.17156508531064407</v>
      </c>
      <c r="BO30" s="363">
        <f t="shared" si="144"/>
        <v>698.04000000000451</v>
      </c>
      <c r="BP30" s="351">
        <f t="shared" si="144"/>
        <v>0.17156508531064407</v>
      </c>
      <c r="BQ30" s="363">
        <f t="shared" si="144"/>
        <v>813.73199999999997</v>
      </c>
      <c r="BR30" s="351">
        <f t="shared" si="144"/>
        <v>0.20000000000000018</v>
      </c>
      <c r="BS30" s="50">
        <f t="shared" si="144"/>
        <v>2830.7863636363545</v>
      </c>
      <c r="BT30" s="24">
        <f t="shared" si="144"/>
        <v>0.69575397394630034</v>
      </c>
      <c r="BU30" s="363">
        <f t="shared" si="144"/>
        <v>2830.7863636363545</v>
      </c>
      <c r="BV30" s="351">
        <f t="shared" si="144"/>
        <v>0.69575397394630034</v>
      </c>
      <c r="BW30" s="363">
        <f t="shared" ref="BW30:BX30" si="145">BW26-BW32</f>
        <v>2830.7863636363545</v>
      </c>
      <c r="BX30" s="351">
        <f t="shared" si="145"/>
        <v>0.69575397394630034</v>
      </c>
      <c r="BY30" s="363">
        <f t="shared" ref="BY30:BZ30" si="146">BY26-BY32</f>
        <v>2266.3345454545452</v>
      </c>
      <c r="BZ30" s="351">
        <f t="shared" si="146"/>
        <v>0.55702234776426263</v>
      </c>
      <c r="CA30" s="50">
        <f>CA26-CA32</f>
        <v>2993.9999999999927</v>
      </c>
      <c r="CB30" s="24">
        <f>CB26-CB32</f>
        <v>0.73586881184468389</v>
      </c>
      <c r="CC30" s="363">
        <f>CC26-CC32</f>
        <v>6793.9893333333384</v>
      </c>
      <c r="CD30" s="351">
        <f>CD26-CD32</f>
        <v>1.6698346220459168</v>
      </c>
      <c r="CE30" s="363">
        <f t="shared" ref="CE30:CF30" si="147">CE26-CE32</f>
        <v>6793.9893333333384</v>
      </c>
      <c r="CF30" s="351">
        <f t="shared" si="147"/>
        <v>1.6698346220459168</v>
      </c>
      <c r="CG30" s="363">
        <f t="shared" ref="CG30:CH30" si="148">CG26-CG32</f>
        <v>5812.3786666666638</v>
      </c>
      <c r="CH30" s="351">
        <f t="shared" si="148"/>
        <v>1.4285732075589168</v>
      </c>
      <c r="CI30" s="363"/>
      <c r="CJ30" s="351"/>
      <c r="CK30" s="363"/>
      <c r="CL30" s="351"/>
      <c r="CM30" s="363"/>
      <c r="CN30" s="351"/>
      <c r="CO30" s="363">
        <f t="shared" ref="CO30:CP30" si="149">CO26-CO32</f>
        <v>1894.8875000000025</v>
      </c>
      <c r="CP30" s="351">
        <f t="shared" si="149"/>
        <v>0.46572765972089147</v>
      </c>
      <c r="CR30" s="363"/>
      <c r="CS30" s="351"/>
      <c r="CT30" s="363"/>
      <c r="CU30" s="351"/>
      <c r="CV30" s="363"/>
      <c r="CW30" s="351"/>
      <c r="CX30" s="363">
        <f t="shared" ref="CX30:CY30" si="150">CX26-CX32</f>
        <v>1894.8875000000025</v>
      </c>
      <c r="CY30" s="351">
        <f t="shared" si="150"/>
        <v>0.46572765972089147</v>
      </c>
      <c r="DA30" s="363"/>
      <c r="DB30" s="351"/>
      <c r="DC30" s="363"/>
      <c r="DD30" s="351"/>
      <c r="DE30" s="363"/>
      <c r="DF30" s="351"/>
      <c r="DH30" s="363">
        <f t="shared" ref="DH30:DM30" si="151">DH26-DH32</f>
        <v>17088.371999999999</v>
      </c>
      <c r="DI30" s="351">
        <f t="shared" si="151"/>
        <v>4.2</v>
      </c>
      <c r="DJ30" s="363">
        <f t="shared" si="151"/>
        <v>17088.371999999999</v>
      </c>
      <c r="DK30" s="351">
        <f t="shared" si="151"/>
        <v>4.2</v>
      </c>
      <c r="DL30" s="363">
        <f t="shared" si="151"/>
        <v>17088.371999999999</v>
      </c>
      <c r="DM30" s="351">
        <f t="shared" si="151"/>
        <v>4.2</v>
      </c>
      <c r="DO30" s="363">
        <f t="shared" ref="DO30:DT30" si="152">DO26-DO32</f>
        <v>17088.371999999999</v>
      </c>
      <c r="DP30" s="351">
        <f t="shared" si="152"/>
        <v>4.2</v>
      </c>
      <c r="DQ30" s="363">
        <f t="shared" si="152"/>
        <v>17088.371999999999</v>
      </c>
      <c r="DR30" s="351">
        <f t="shared" si="152"/>
        <v>4.2</v>
      </c>
      <c r="DS30" s="363">
        <f t="shared" si="152"/>
        <v>17088.371999999999</v>
      </c>
      <c r="DT30" s="351">
        <f t="shared" si="152"/>
        <v>4.2</v>
      </c>
      <c r="DV30" s="363">
        <f t="shared" ref="DV30:DY30" si="153">DV26-DV32</f>
        <v>17088.371999999999</v>
      </c>
      <c r="DW30" s="351">
        <f t="shared" si="153"/>
        <v>4.2</v>
      </c>
      <c r="DX30" s="363">
        <f t="shared" si="153"/>
        <v>17088.371999999999</v>
      </c>
      <c r="DY30" s="351">
        <f t="shared" si="153"/>
        <v>4.2</v>
      </c>
      <c r="EA30" s="363">
        <f t="shared" ref="EA30:EB30" si="154">EA26-EA32</f>
        <v>17088.371999999999</v>
      </c>
      <c r="EB30" s="351">
        <f t="shared" si="154"/>
        <v>4.2</v>
      </c>
      <c r="ED30" s="363">
        <f t="shared" ref="ED30:EE30" si="155">ED26-ED32</f>
        <v>17088.371999999999</v>
      </c>
      <c r="EE30" s="351">
        <f t="shared" si="155"/>
        <v>4.2</v>
      </c>
      <c r="EG30" s="363">
        <f t="shared" ref="EG30:EH30" si="156">EG26-EG32</f>
        <v>17088.371999999999</v>
      </c>
      <c r="EH30" s="351">
        <f t="shared" si="156"/>
        <v>4.2</v>
      </c>
      <c r="EJ30" s="363">
        <f t="shared" ref="EJ30:EK30" si="157">EJ26-EJ32</f>
        <v>17088.371999999999</v>
      </c>
      <c r="EK30" s="351">
        <f t="shared" si="157"/>
        <v>4.2</v>
      </c>
      <c r="EM30" s="363">
        <f t="shared" ref="EM30:EN30" si="158">EM26-EM32</f>
        <v>17088.371999999999</v>
      </c>
      <c r="EN30" s="351">
        <f t="shared" si="158"/>
        <v>4.2</v>
      </c>
      <c r="EP30" s="363">
        <f t="shared" ref="EP30:ES30" si="159">EP26-EP32</f>
        <v>17088.371999999999</v>
      </c>
      <c r="EQ30" s="351">
        <f t="shared" si="159"/>
        <v>4.2</v>
      </c>
      <c r="ER30" s="363">
        <f t="shared" si="159"/>
        <v>17088.371999999999</v>
      </c>
      <c r="ES30" s="351">
        <f t="shared" si="159"/>
        <v>4.2</v>
      </c>
      <c r="EU30" s="363">
        <f t="shared" ref="EU30:EV30" si="160">EU26-EU32</f>
        <v>17088.371999999999</v>
      </c>
      <c r="EV30" s="351">
        <f t="shared" si="160"/>
        <v>4.2</v>
      </c>
      <c r="EX30" s="363">
        <f t="shared" ref="EX30:FC30" si="161">EX26-EX32</f>
        <v>8951.0519999999997</v>
      </c>
      <c r="EY30" s="351">
        <f t="shared" si="161"/>
        <v>2.2000000000000002</v>
      </c>
      <c r="EZ30" s="363">
        <f t="shared" si="161"/>
        <v>8951.0519999999997</v>
      </c>
      <c r="FA30" s="351">
        <f t="shared" si="161"/>
        <v>2.2000000000000002</v>
      </c>
      <c r="FB30" s="363">
        <f t="shared" si="161"/>
        <v>8951.0519999999997</v>
      </c>
      <c r="FC30" s="351">
        <f t="shared" si="161"/>
        <v>2.2000000000000002</v>
      </c>
    </row>
    <row r="31" spans="1:159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7.36</v>
      </c>
      <c r="J31" s="54">
        <f>'Pricing Structure - GSS'!DD31</f>
        <v>29854.798364774804</v>
      </c>
      <c r="K31" s="55">
        <f>'Pricing Structure - GSS'!DE31</f>
        <v>7.3377471611721807</v>
      </c>
      <c r="L31" s="54">
        <f>'Pricing Structure - GSS'!CZ31</f>
        <v>29854.798364774804</v>
      </c>
      <c r="M31" s="55">
        <f>'Pricing Structure - GSS'!DA31</f>
        <v>7.3377471611721807</v>
      </c>
      <c r="N31" s="54">
        <f>'Pricing Structure - GSS'!DB31</f>
        <v>29854.798364774804</v>
      </c>
      <c r="O31" s="55">
        <f>'Pricing Structure - GSS'!DC31</f>
        <v>7.3377471611721807</v>
      </c>
      <c r="P31" s="54">
        <f>'Pricing Structure - GSS'!DJ31</f>
        <v>29854.798364774801</v>
      </c>
      <c r="Q31" s="55">
        <f>'Pricing Structure - GSS'!DK31</f>
        <v>7.3377471611721798</v>
      </c>
      <c r="R31" s="274"/>
      <c r="S31" s="54">
        <f>+S32</f>
        <v>0</v>
      </c>
      <c r="T31" s="55" t="e">
        <f>T32</f>
        <v>#DIV/0!</v>
      </c>
      <c r="U31" s="54">
        <f>+U32</f>
        <v>0</v>
      </c>
      <c r="V31" s="55" t="e">
        <f>V32</f>
        <v>#DIV/0!</v>
      </c>
      <c r="W31" s="54">
        <f>'Pricing Structure - IIP'!CX31</f>
        <v>29854.798364774804</v>
      </c>
      <c r="X31" s="55">
        <f>'Pricing Structure - IIP'!CY31</f>
        <v>7.3377471611721807</v>
      </c>
      <c r="Y31" s="54">
        <f>'Pricing Structure - IIP'!CT31</f>
        <v>29854.798364774804</v>
      </c>
      <c r="Z31" s="55">
        <f>'Pricing Structure - IIP'!CU31</f>
        <v>7.3377471611721807</v>
      </c>
      <c r="AA31" s="54">
        <f>'Pricing Structure - IIP'!CV31</f>
        <v>29854.798364774804</v>
      </c>
      <c r="AB31" s="55">
        <f>'Pricing Structure - IIP'!CW31</f>
        <v>7.3377471611721807</v>
      </c>
      <c r="AC31" s="54">
        <f>'Pricing Structure - IIP'!DD31</f>
        <v>30790.590164774803</v>
      </c>
      <c r="AD31" s="55">
        <f>'Pricing Structure - IIP'!DE31</f>
        <v>7.5677471611721803</v>
      </c>
      <c r="AE31" s="54" t="e">
        <f>'Pricing Structure - IIP'!#REF!</f>
        <v>#REF!</v>
      </c>
      <c r="AF31" s="55" t="e">
        <f>'Pricing Structure - IIP'!#REF!</f>
        <v>#REF!</v>
      </c>
      <c r="AG31" s="274"/>
      <c r="AH31" s="54">
        <f>+AH32</f>
        <v>0</v>
      </c>
      <c r="AI31" s="55" t="e">
        <f>AI32</f>
        <v>#DIV/0!</v>
      </c>
      <c r="AJ31" s="54">
        <f>+AJ32</f>
        <v>0</v>
      </c>
      <c r="AK31" s="55" t="e">
        <f>AK32</f>
        <v>#DIV/0!</v>
      </c>
      <c r="AL31" s="54">
        <f>'Pricing Structure - IHAG'!DD31</f>
        <v>30086.153330246038</v>
      </c>
      <c r="AM31" s="55">
        <f>'Pricing Structure - IHAG'!DE31</f>
        <v>7.3946098544105521</v>
      </c>
      <c r="AN31" s="54">
        <f>'Pricing Structure - IHAG'!CZ31</f>
        <v>30086.153330246038</v>
      </c>
      <c r="AO31" s="55">
        <f>'Pricing Structure - IHAG'!DA31</f>
        <v>7.3946098544105521</v>
      </c>
      <c r="AP31" s="54">
        <f>'Pricing Structure - IHAG'!DB31</f>
        <v>30086.153330246038</v>
      </c>
      <c r="AQ31" s="55">
        <f>'Pricing Structure - IHAG'!DC31</f>
        <v>7.3946098544105521</v>
      </c>
      <c r="AR31" s="54">
        <f>'Pricing Structure - IHAG'!DP31</f>
        <v>30086.153330246038</v>
      </c>
      <c r="AS31" s="55">
        <f>'Pricing Structure - IHAG'!DQ31</f>
        <v>7.3946098544105521</v>
      </c>
      <c r="AT31" s="54" t="e">
        <f>'Pricing Structure - IHAG'!#REF!</f>
        <v>#REF!</v>
      </c>
      <c r="AU31" s="55" t="e">
        <f>'Pricing Structure - IHAG'!#REF!</f>
        <v>#REF!</v>
      </c>
      <c r="AV31" s="274"/>
      <c r="AW31" s="54">
        <f>+AW32</f>
        <v>30086.153330246038</v>
      </c>
      <c r="AX31" s="55">
        <f>AX32</f>
        <v>7.3946098544105521</v>
      </c>
      <c r="AY31" s="274">
        <f>+AY32</f>
        <v>29945.337599999999</v>
      </c>
      <c r="AZ31" s="55">
        <f>AZ32</f>
        <v>7.36</v>
      </c>
      <c r="BA31" s="54">
        <f>+BA32</f>
        <v>29861.671098741765</v>
      </c>
      <c r="BB31" s="55">
        <f>BB32</f>
        <v>7.339436349742118</v>
      </c>
      <c r="BC31" s="54">
        <f>+BC32</f>
        <v>29854.798364774804</v>
      </c>
      <c r="BD31" s="55">
        <f>BD32</f>
        <v>7.3377471611721807</v>
      </c>
      <c r="BE31" s="54">
        <f>+BE32</f>
        <v>29854.798364774804</v>
      </c>
      <c r="BF31" s="55">
        <f>BF32</f>
        <v>7.3377471611721807</v>
      </c>
      <c r="BG31" s="54">
        <f>+BG32</f>
        <v>29854.798364774804</v>
      </c>
      <c r="BH31" s="55">
        <f>BH32</f>
        <v>7.3377471611721807</v>
      </c>
      <c r="BI31" s="54">
        <f>+BI32</f>
        <v>29854.798364774801</v>
      </c>
      <c r="BJ31" s="55">
        <f>BJ32</f>
        <v>7.3377471611721798</v>
      </c>
      <c r="BK31" s="54">
        <f>+BK32</f>
        <v>24480</v>
      </c>
      <c r="BL31" s="55">
        <f>BL32</f>
        <v>6.0167229505537456</v>
      </c>
      <c r="BM31" s="54">
        <f>+BM32</f>
        <v>24411.96</v>
      </c>
      <c r="BN31" s="55">
        <f>BN32</f>
        <v>6</v>
      </c>
      <c r="BO31" s="54">
        <f>+BO32</f>
        <v>24411.96</v>
      </c>
      <c r="BP31" s="55">
        <f>BP32</f>
        <v>6</v>
      </c>
      <c r="BQ31" s="54">
        <f>+BQ32</f>
        <v>24818.825999999997</v>
      </c>
      <c r="BR31" s="55">
        <f>BR32</f>
        <v>6.1</v>
      </c>
      <c r="BS31" s="54">
        <f>+BS32</f>
        <v>17569.213636363635</v>
      </c>
      <c r="BT31" s="55">
        <f>BT32</f>
        <v>4.3181818181818183</v>
      </c>
      <c r="BU31" s="54">
        <f>+BU32</f>
        <v>17569.213636363635</v>
      </c>
      <c r="BV31" s="55">
        <f>BV32</f>
        <v>4.3181818181818183</v>
      </c>
      <c r="BW31" s="54">
        <f>+BW32</f>
        <v>17569.213636363635</v>
      </c>
      <c r="BX31" s="55">
        <f>BX32</f>
        <v>4.3181818181818183</v>
      </c>
      <c r="BY31" s="54">
        <f>+BY32</f>
        <v>19233.665454545455</v>
      </c>
      <c r="BZ31" s="55">
        <f>BZ32</f>
        <v>4.7272727272727275</v>
      </c>
      <c r="CA31" s="54">
        <f>+CA32</f>
        <v>33456.000000000007</v>
      </c>
      <c r="CB31" s="55">
        <f>CB32</f>
        <v>8.2228546990901208</v>
      </c>
      <c r="CC31" s="54">
        <f>+CC32</f>
        <v>29656.010666666662</v>
      </c>
      <c r="CD31" s="55">
        <f>CD32</f>
        <v>7.2888888888888879</v>
      </c>
      <c r="CE31" s="54">
        <f>+CE32</f>
        <v>29656.010666666662</v>
      </c>
      <c r="CF31" s="55">
        <f>CF32</f>
        <v>7.2888888888888879</v>
      </c>
      <c r="CG31" s="54">
        <f>+CG32</f>
        <v>32187.621333333336</v>
      </c>
      <c r="CH31" s="55">
        <f>CH32</f>
        <v>7.9111111111111123</v>
      </c>
      <c r="CI31" s="54"/>
      <c r="CJ31" s="55"/>
      <c r="CK31" s="54"/>
      <c r="CL31" s="55"/>
      <c r="CM31" s="54"/>
      <c r="CN31" s="55"/>
      <c r="CO31" s="54">
        <f>+CO32</f>
        <v>16105.112499999997</v>
      </c>
      <c r="CP31" s="55">
        <f>CP32</f>
        <v>3.958333333333333</v>
      </c>
      <c r="CR31" s="54"/>
      <c r="CS31" s="55"/>
      <c r="CT31" s="54"/>
      <c r="CU31" s="55"/>
      <c r="CV31" s="54"/>
      <c r="CW31" s="55"/>
      <c r="CX31" s="54">
        <f>+CX32</f>
        <v>16105.112499999997</v>
      </c>
      <c r="CY31" s="55">
        <f>CY32</f>
        <v>3.958333333333333</v>
      </c>
      <c r="DA31" s="54"/>
      <c r="DB31" s="55"/>
      <c r="DC31" s="54"/>
      <c r="DD31" s="55"/>
      <c r="DE31" s="54"/>
      <c r="DF31" s="55"/>
      <c r="DH31" s="54">
        <f t="shared" ref="DH31:FC31" si="162">DH32</f>
        <v>31735.547999999999</v>
      </c>
      <c r="DI31" s="55">
        <f t="shared" si="162"/>
        <v>7.8</v>
      </c>
      <c r="DJ31" s="54">
        <f t="shared" si="162"/>
        <v>31735.547999999999</v>
      </c>
      <c r="DK31" s="55">
        <f t="shared" si="162"/>
        <v>7.8</v>
      </c>
      <c r="DL31" s="54">
        <f t="shared" si="162"/>
        <v>31735.547999999999</v>
      </c>
      <c r="DM31" s="55">
        <f t="shared" si="162"/>
        <v>7.8</v>
      </c>
      <c r="DO31" s="54">
        <f t="shared" si="162"/>
        <v>31735.547999999999</v>
      </c>
      <c r="DP31" s="55">
        <f t="shared" si="162"/>
        <v>7.8</v>
      </c>
      <c r="DQ31" s="54">
        <f t="shared" si="162"/>
        <v>31735.547999999999</v>
      </c>
      <c r="DR31" s="55">
        <f t="shared" si="162"/>
        <v>7.8</v>
      </c>
      <c r="DS31" s="54">
        <f t="shared" si="162"/>
        <v>31735.547999999999</v>
      </c>
      <c r="DT31" s="55">
        <f t="shared" si="162"/>
        <v>7.8</v>
      </c>
      <c r="DV31" s="54">
        <f t="shared" si="162"/>
        <v>31735.547999999999</v>
      </c>
      <c r="DW31" s="55">
        <f t="shared" si="162"/>
        <v>7.8</v>
      </c>
      <c r="DX31" s="54">
        <f t="shared" si="162"/>
        <v>31735.547999999999</v>
      </c>
      <c r="DY31" s="55">
        <f t="shared" si="162"/>
        <v>7.8</v>
      </c>
      <c r="EA31" s="54">
        <f t="shared" si="162"/>
        <v>31735.547999999999</v>
      </c>
      <c r="EB31" s="55">
        <f t="shared" si="162"/>
        <v>7.8</v>
      </c>
      <c r="ED31" s="54">
        <f t="shared" si="162"/>
        <v>31735.547999999999</v>
      </c>
      <c r="EE31" s="55">
        <f t="shared" si="162"/>
        <v>7.8</v>
      </c>
      <c r="EG31" s="54">
        <f t="shared" si="162"/>
        <v>31735.547999999999</v>
      </c>
      <c r="EH31" s="55">
        <f t="shared" si="162"/>
        <v>7.8</v>
      </c>
      <c r="EJ31" s="54">
        <f t="shared" si="162"/>
        <v>31735.547999999999</v>
      </c>
      <c r="EK31" s="55">
        <f t="shared" si="162"/>
        <v>7.8</v>
      </c>
      <c r="EM31" s="54">
        <f t="shared" si="162"/>
        <v>31735.547999999999</v>
      </c>
      <c r="EN31" s="55">
        <f t="shared" si="162"/>
        <v>7.8</v>
      </c>
      <c r="EP31" s="54">
        <f t="shared" si="162"/>
        <v>31735.547999999999</v>
      </c>
      <c r="EQ31" s="55">
        <f t="shared" si="162"/>
        <v>7.8</v>
      </c>
      <c r="ER31" s="54">
        <f t="shared" si="162"/>
        <v>31735.547999999999</v>
      </c>
      <c r="ES31" s="55">
        <f t="shared" si="162"/>
        <v>7.8</v>
      </c>
      <c r="EU31" s="54">
        <f t="shared" si="162"/>
        <v>31735.547999999999</v>
      </c>
      <c r="EV31" s="55">
        <f t="shared" si="162"/>
        <v>7.8</v>
      </c>
      <c r="EX31" s="54">
        <f t="shared" si="162"/>
        <v>31735.547999999999</v>
      </c>
      <c r="EY31" s="55">
        <f t="shared" si="162"/>
        <v>7.8</v>
      </c>
      <c r="EZ31" s="54">
        <f t="shared" si="162"/>
        <v>31735.547999999999</v>
      </c>
      <c r="FA31" s="55">
        <f t="shared" si="162"/>
        <v>7.8</v>
      </c>
      <c r="FB31" s="54">
        <f t="shared" si="162"/>
        <v>31735.547999999999</v>
      </c>
      <c r="FC31" s="55">
        <f t="shared" si="162"/>
        <v>7.8</v>
      </c>
    </row>
    <row r="32" spans="1:159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f>+H32/H12</f>
        <v>7.36</v>
      </c>
      <c r="J32" s="54">
        <f>'Pricing Structure - GSS'!DD32</f>
        <v>29854.798364774804</v>
      </c>
      <c r="K32" s="55">
        <f>'Pricing Structure - GSS'!DE32</f>
        <v>7.3377471611721807</v>
      </c>
      <c r="L32" s="54">
        <f>'Pricing Structure - GSS'!CZ32</f>
        <v>29854.798364774804</v>
      </c>
      <c r="M32" s="55">
        <f>'Pricing Structure - GSS'!DA32</f>
        <v>7.3377471611721807</v>
      </c>
      <c r="N32" s="54">
        <f>'Pricing Structure - GSS'!DB32</f>
        <v>29854.798364774804</v>
      </c>
      <c r="O32" s="55">
        <f>'Pricing Structure - GSS'!DC32</f>
        <v>7.3377471611721807</v>
      </c>
      <c r="P32" s="54">
        <f>'Pricing Structure - GSS'!DJ32</f>
        <v>29854.798364774801</v>
      </c>
      <c r="Q32" s="55">
        <f>'Pricing Structure - GSS'!DK32</f>
        <v>7.3377471611721798</v>
      </c>
      <c r="R32" s="274"/>
      <c r="S32" s="54">
        <f>7.36*S12</f>
        <v>0</v>
      </c>
      <c r="T32" s="55" t="e">
        <f>+S32/S12</f>
        <v>#DIV/0!</v>
      </c>
      <c r="U32" s="54">
        <f>7.36*U12</f>
        <v>0</v>
      </c>
      <c r="V32" s="55" t="e">
        <f>+U32/U12</f>
        <v>#DIV/0!</v>
      </c>
      <c r="W32" s="54">
        <f>'Pricing Structure - IIP'!CX32</f>
        <v>29854.798364774804</v>
      </c>
      <c r="X32" s="55">
        <f>'Pricing Structure - IIP'!CY32</f>
        <v>7.3377471611721807</v>
      </c>
      <c r="Y32" s="54">
        <f>'Pricing Structure - IIP'!CT32</f>
        <v>29854.798364774804</v>
      </c>
      <c r="Z32" s="55">
        <f>'Pricing Structure - IIP'!CU32</f>
        <v>7.3377471611721807</v>
      </c>
      <c r="AA32" s="54">
        <f>'Pricing Structure - IIP'!CV32</f>
        <v>29854.798364774804</v>
      </c>
      <c r="AB32" s="55">
        <f>'Pricing Structure - IIP'!CW32</f>
        <v>7.3377471611721807</v>
      </c>
      <c r="AC32" s="54">
        <f>'Pricing Structure - IIP'!DD32</f>
        <v>30790.590164774803</v>
      </c>
      <c r="AD32" s="55">
        <f>'Pricing Structure - IIP'!DE32</f>
        <v>7.5677471611721803</v>
      </c>
      <c r="AE32" s="54" t="e">
        <f>'Pricing Structure - IIP'!#REF!</f>
        <v>#REF!</v>
      </c>
      <c r="AF32" s="55" t="e">
        <f>'Pricing Structure - IIP'!#REF!</f>
        <v>#REF!</v>
      </c>
      <c r="AG32" s="274"/>
      <c r="AH32" s="54">
        <f>7.36*AH12</f>
        <v>0</v>
      </c>
      <c r="AI32" s="55" t="e">
        <f>+AH32/AH12</f>
        <v>#DIV/0!</v>
      </c>
      <c r="AJ32" s="54">
        <f>7.36*AJ12</f>
        <v>0</v>
      </c>
      <c r="AK32" s="55" t="e">
        <f>+AJ32/AJ12</f>
        <v>#DIV/0!</v>
      </c>
      <c r="AL32" s="54">
        <f>'Pricing Structure - IHAG'!DD32</f>
        <v>30086.153330246038</v>
      </c>
      <c r="AM32" s="55">
        <f>'Pricing Structure - IHAG'!DE32</f>
        <v>7.3946098544105521</v>
      </c>
      <c r="AN32" s="54">
        <f>'Pricing Structure - IHAG'!CZ32</f>
        <v>30086.153330246038</v>
      </c>
      <c r="AO32" s="55">
        <f>'Pricing Structure - IHAG'!DA32</f>
        <v>7.3946098544105521</v>
      </c>
      <c r="AP32" s="54">
        <f>'Pricing Structure - IHAG'!DB32</f>
        <v>30086.153330246038</v>
      </c>
      <c r="AQ32" s="55">
        <f>'Pricing Structure - IHAG'!DC32</f>
        <v>7.3946098544105521</v>
      </c>
      <c r="AR32" s="54">
        <f>'Pricing Structure - IHAG'!DP32</f>
        <v>30086.153330246038</v>
      </c>
      <c r="AS32" s="55">
        <f>'Pricing Structure - IHAG'!DQ32</f>
        <v>7.3946098544105521</v>
      </c>
      <c r="AT32" s="54" t="e">
        <f>'Pricing Structure - IHAG'!#REF!</f>
        <v>#REF!</v>
      </c>
      <c r="AU32" s="55" t="e">
        <f>'Pricing Structure - IHAG'!#REF!</f>
        <v>#REF!</v>
      </c>
      <c r="AV32" s="274"/>
      <c r="AW32" s="54">
        <f>AX32*AW12</f>
        <v>30086.153330246038</v>
      </c>
      <c r="AX32" s="55">
        <v>7.3946098544105521</v>
      </c>
      <c r="AY32" s="274">
        <f>H32</f>
        <v>29945.337599999999</v>
      </c>
      <c r="AZ32" s="55">
        <f>+AY32/AY12</f>
        <v>7.36</v>
      </c>
      <c r="BA32" s="54">
        <v>29861.671098741765</v>
      </c>
      <c r="BB32" s="55">
        <f>+BA32/BA12</f>
        <v>7.339436349742118</v>
      </c>
      <c r="BC32" s="54">
        <f>J32</f>
        <v>29854.798364774804</v>
      </c>
      <c r="BD32" s="55">
        <f>+BC32/BC12</f>
        <v>7.3377471611721807</v>
      </c>
      <c r="BE32" s="54">
        <f>BC32</f>
        <v>29854.798364774804</v>
      </c>
      <c r="BF32" s="55">
        <f>+BE32/BE12</f>
        <v>7.3377471611721807</v>
      </c>
      <c r="BG32" s="54">
        <f>BE32</f>
        <v>29854.798364774804</v>
      </c>
      <c r="BH32" s="55">
        <f>+BG32/BG12</f>
        <v>7.3377471611721807</v>
      </c>
      <c r="BI32" s="54">
        <f>P32</f>
        <v>29854.798364774801</v>
      </c>
      <c r="BJ32" s="55">
        <f>+BI32/BI12</f>
        <v>7.3377471611721798</v>
      </c>
      <c r="BK32" s="54">
        <v>24480</v>
      </c>
      <c r="BL32" s="55">
        <f>+BK32/BK12</f>
        <v>6.0167229505537456</v>
      </c>
      <c r="BM32" s="54">
        <f>BN32*BM12</f>
        <v>24411.96</v>
      </c>
      <c r="BN32" s="55">
        <v>6</v>
      </c>
      <c r="BO32" s="54">
        <f>BP32*BO12</f>
        <v>24411.96</v>
      </c>
      <c r="BP32" s="55">
        <v>6</v>
      </c>
      <c r="BQ32" s="54">
        <f>BR32*BQ12</f>
        <v>24818.825999999997</v>
      </c>
      <c r="BR32" s="55">
        <v>6.1</v>
      </c>
      <c r="BS32" s="54">
        <f>BT32*BS12</f>
        <v>17569.213636363635</v>
      </c>
      <c r="BT32" s="55">
        <f>4.75*10/11</f>
        <v>4.3181818181818183</v>
      </c>
      <c r="BU32" s="54">
        <f>BV32*BU12</f>
        <v>17569.213636363635</v>
      </c>
      <c r="BV32" s="55">
        <f>4.75*10/11</f>
        <v>4.3181818181818183</v>
      </c>
      <c r="BW32" s="54">
        <f>BX32*BW12</f>
        <v>17569.213636363635</v>
      </c>
      <c r="BX32" s="55">
        <f>4.75*10/11</f>
        <v>4.3181818181818183</v>
      </c>
      <c r="BY32" s="54">
        <f>BZ32*BY12</f>
        <v>19233.665454545455</v>
      </c>
      <c r="BZ32" s="55">
        <f>5.2*10/11</f>
        <v>4.7272727272727275</v>
      </c>
      <c r="CA32" s="54">
        <v>33456.000000000007</v>
      </c>
      <c r="CB32" s="55">
        <f>+CA32/CA12</f>
        <v>8.2228546990901208</v>
      </c>
      <c r="CC32" s="54">
        <f>CD32*CC12</f>
        <v>29656.010666666662</v>
      </c>
      <c r="CD32" s="55">
        <f>8.2*24/27</f>
        <v>7.2888888888888879</v>
      </c>
      <c r="CE32" s="54">
        <f>CF32*CE12</f>
        <v>29656.010666666662</v>
      </c>
      <c r="CF32" s="55">
        <f>8.2*24/27</f>
        <v>7.2888888888888879</v>
      </c>
      <c r="CG32" s="54">
        <f>CH32*CG12</f>
        <v>32187.621333333336</v>
      </c>
      <c r="CH32" s="55">
        <f>8.9*24/27</f>
        <v>7.9111111111111123</v>
      </c>
      <c r="CI32" s="54"/>
      <c r="CJ32" s="55"/>
      <c r="CK32" s="54"/>
      <c r="CL32" s="55"/>
      <c r="CM32" s="54"/>
      <c r="CN32" s="55"/>
      <c r="CO32" s="54">
        <f>CO12*4.75*5/6</f>
        <v>16105.112499999997</v>
      </c>
      <c r="CP32" s="55">
        <f>+CO32/CO12</f>
        <v>3.958333333333333</v>
      </c>
      <c r="CR32" s="54"/>
      <c r="CS32" s="55"/>
      <c r="CT32" s="54"/>
      <c r="CU32" s="55"/>
      <c r="CV32" s="54"/>
      <c r="CW32" s="55"/>
      <c r="CX32" s="54">
        <f>CX12*4.75*5/6</f>
        <v>16105.112499999997</v>
      </c>
      <c r="CY32" s="55">
        <f>+CX32/CX12</f>
        <v>3.958333333333333</v>
      </c>
      <c r="DA32" s="54"/>
      <c r="DB32" s="55"/>
      <c r="DC32" s="54"/>
      <c r="DD32" s="55"/>
      <c r="DE32" s="54"/>
      <c r="DF32" s="55"/>
      <c r="DH32" s="54">
        <f>DI32*DH12</f>
        <v>31735.547999999999</v>
      </c>
      <c r="DI32" s="55">
        <v>7.8</v>
      </c>
      <c r="DJ32" s="54">
        <f>DK32*DJ12</f>
        <v>31735.547999999999</v>
      </c>
      <c r="DK32" s="55">
        <v>7.8</v>
      </c>
      <c r="DL32" s="54">
        <f>DM32*DL12</f>
        <v>31735.547999999999</v>
      </c>
      <c r="DM32" s="55">
        <v>7.8</v>
      </c>
      <c r="DO32" s="54">
        <f>DP32*DO12</f>
        <v>31735.547999999999</v>
      </c>
      <c r="DP32" s="55">
        <v>7.8</v>
      </c>
      <c r="DQ32" s="54">
        <f>DR32*DQ12</f>
        <v>31735.547999999999</v>
      </c>
      <c r="DR32" s="55">
        <v>7.8</v>
      </c>
      <c r="DS32" s="54">
        <f>DT32*DS12</f>
        <v>31735.547999999999</v>
      </c>
      <c r="DT32" s="55">
        <v>7.8</v>
      </c>
      <c r="DV32" s="54">
        <f>DW32*DV12</f>
        <v>31735.547999999999</v>
      </c>
      <c r="DW32" s="55">
        <v>7.8</v>
      </c>
      <c r="DX32" s="54">
        <f>DY32*DX12</f>
        <v>31735.547999999999</v>
      </c>
      <c r="DY32" s="55">
        <v>7.8</v>
      </c>
      <c r="EA32" s="54">
        <f>EB32*EA12</f>
        <v>31735.547999999999</v>
      </c>
      <c r="EB32" s="55">
        <v>7.8</v>
      </c>
      <c r="ED32" s="54">
        <f>EE32*ED12</f>
        <v>31735.547999999999</v>
      </c>
      <c r="EE32" s="55">
        <v>7.8</v>
      </c>
      <c r="EG32" s="54">
        <f>EH32*EG12</f>
        <v>31735.547999999999</v>
      </c>
      <c r="EH32" s="55">
        <v>7.8</v>
      </c>
      <c r="EJ32" s="54">
        <f>EK32*EJ12</f>
        <v>31735.547999999999</v>
      </c>
      <c r="EK32" s="55">
        <v>7.8</v>
      </c>
      <c r="EM32" s="54">
        <f>EN32*EM12</f>
        <v>31735.547999999999</v>
      </c>
      <c r="EN32" s="55">
        <v>7.8</v>
      </c>
      <c r="EP32" s="54">
        <f>EQ32*EP12</f>
        <v>31735.547999999999</v>
      </c>
      <c r="EQ32" s="55">
        <v>7.8</v>
      </c>
      <c r="ER32" s="54">
        <f>ES32*ER12</f>
        <v>31735.547999999999</v>
      </c>
      <c r="ES32" s="55">
        <v>7.8</v>
      </c>
      <c r="EU32" s="54">
        <f>EV32*EU12</f>
        <v>31735.547999999999</v>
      </c>
      <c r="EV32" s="55">
        <v>7.8</v>
      </c>
      <c r="EX32" s="54">
        <f>EY32*EX12</f>
        <v>31735.547999999999</v>
      </c>
      <c r="EY32" s="55">
        <v>7.8</v>
      </c>
      <c r="EZ32" s="54">
        <f>FA32*EZ12</f>
        <v>31735.547999999999</v>
      </c>
      <c r="FA32" s="55">
        <v>7.8</v>
      </c>
      <c r="FB32" s="54">
        <f>FC32*FB12</f>
        <v>31735.547999999999</v>
      </c>
      <c r="FC32" s="55">
        <v>7.8</v>
      </c>
    </row>
    <row r="33" spans="1:159" s="4" customFormat="1" ht="18" customHeight="1" x14ac:dyDescent="0.45">
      <c r="A33" s="561"/>
      <c r="B33" s="1195"/>
      <c r="C33" s="25"/>
      <c r="D33" s="26"/>
      <c r="E33" s="26"/>
      <c r="F33" s="61"/>
      <c r="G33" s="41"/>
      <c r="H33" s="347"/>
      <c r="I33" s="346"/>
      <c r="J33" s="365"/>
      <c r="K33" s="358"/>
      <c r="L33" s="365"/>
      <c r="M33" s="358"/>
      <c r="N33" s="365"/>
      <c r="O33" s="358"/>
      <c r="P33" s="365"/>
      <c r="Q33" s="358"/>
      <c r="R33" s="634"/>
      <c r="S33" s="61"/>
      <c r="T33" s="41"/>
      <c r="U33" s="61"/>
      <c r="V33" s="41"/>
      <c r="W33" s="365"/>
      <c r="X33" s="358"/>
      <c r="Y33" s="365"/>
      <c r="Z33" s="358"/>
      <c r="AA33" s="365"/>
      <c r="AB33" s="358"/>
      <c r="AC33" s="365"/>
      <c r="AD33" s="358"/>
      <c r="AE33" s="365"/>
      <c r="AF33" s="358"/>
      <c r="AG33" s="634"/>
      <c r="AH33" s="61"/>
      <c r="AI33" s="41"/>
      <c r="AJ33" s="61"/>
      <c r="AK33" s="41"/>
      <c r="AL33" s="365"/>
      <c r="AM33" s="358"/>
      <c r="AN33" s="365"/>
      <c r="AO33" s="358"/>
      <c r="AP33" s="365"/>
      <c r="AQ33" s="358"/>
      <c r="AR33" s="365"/>
      <c r="AS33" s="358"/>
      <c r="AT33" s="553"/>
      <c r="AU33" s="358"/>
      <c r="AV33" s="634"/>
      <c r="AW33" s="553"/>
      <c r="AX33" s="358"/>
      <c r="AY33" s="273"/>
      <c r="AZ33" s="41"/>
      <c r="BA33" s="365"/>
      <c r="BB33" s="358"/>
      <c r="BC33" s="365"/>
      <c r="BD33" s="358"/>
      <c r="BE33" s="365"/>
      <c r="BF33" s="358"/>
      <c r="BG33" s="365"/>
      <c r="BH33" s="358"/>
      <c r="BI33" s="365"/>
      <c r="BJ33" s="358"/>
      <c r="BK33" s="61"/>
      <c r="BL33" s="41"/>
      <c r="BM33" s="365"/>
      <c r="BN33" s="358"/>
      <c r="BO33" s="365"/>
      <c r="BP33" s="358"/>
      <c r="BQ33" s="365"/>
      <c r="BR33" s="358"/>
      <c r="BS33" s="61"/>
      <c r="BT33" s="41"/>
      <c r="BU33" s="365"/>
      <c r="BV33" s="353"/>
      <c r="BW33" s="365"/>
      <c r="BX33" s="353"/>
      <c r="BY33" s="365"/>
      <c r="BZ33" s="358"/>
      <c r="CA33" s="61"/>
      <c r="CB33" s="41"/>
      <c r="CC33" s="365"/>
      <c r="CD33" s="358"/>
      <c r="CE33" s="365"/>
      <c r="CF33" s="358"/>
      <c r="CG33" s="365"/>
      <c r="CH33" s="358"/>
      <c r="CI33" s="365"/>
      <c r="CJ33" s="358"/>
      <c r="CK33" s="365"/>
      <c r="CL33" s="358"/>
      <c r="CM33" s="365"/>
      <c r="CN33" s="358"/>
      <c r="CO33" s="365"/>
      <c r="CP33" s="358"/>
      <c r="CR33" s="365"/>
      <c r="CS33" s="358"/>
      <c r="CT33" s="365"/>
      <c r="CU33" s="358"/>
      <c r="CV33" s="365"/>
      <c r="CW33" s="358"/>
      <c r="CX33" s="365"/>
      <c r="CY33" s="358"/>
      <c r="DA33" s="365"/>
      <c r="DB33" s="358"/>
      <c r="DC33" s="365"/>
      <c r="DD33" s="358"/>
      <c r="DE33" s="365"/>
      <c r="DF33" s="358"/>
      <c r="DH33" s="365"/>
      <c r="DI33" s="358"/>
      <c r="DJ33" s="365"/>
      <c r="DK33" s="358"/>
      <c r="DL33" s="365"/>
      <c r="DM33" s="358"/>
      <c r="DO33" s="365"/>
      <c r="DP33" s="358"/>
      <c r="DQ33" s="365"/>
      <c r="DR33" s="358"/>
      <c r="DS33" s="365"/>
      <c r="DT33" s="358"/>
      <c r="DV33" s="365"/>
      <c r="DW33" s="358"/>
      <c r="DX33" s="365"/>
      <c r="DY33" s="358"/>
      <c r="EA33" s="365"/>
      <c r="EB33" s="358"/>
      <c r="ED33" s="365"/>
      <c r="EE33" s="358"/>
      <c r="EG33" s="365"/>
      <c r="EH33" s="358"/>
      <c r="EJ33" s="365"/>
      <c r="EK33" s="358"/>
      <c r="EM33" s="365"/>
      <c r="EN33" s="358"/>
      <c r="EP33" s="365"/>
      <c r="EQ33" s="358"/>
      <c r="ER33" s="365"/>
      <c r="ES33" s="358"/>
      <c r="EU33" s="365"/>
      <c r="EV33" s="358"/>
      <c r="EX33" s="365"/>
      <c r="EY33" s="358"/>
      <c r="EZ33" s="365"/>
      <c r="FA33" s="358"/>
      <c r="FB33" s="365"/>
      <c r="FC33" s="358"/>
    </row>
    <row r="34" spans="1:159" s="4" customFormat="1" ht="18" hidden="1" customHeight="1" outlineLevel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364"/>
      <c r="K34" s="360"/>
      <c r="L34" s="364"/>
      <c r="M34" s="360"/>
      <c r="N34" s="364"/>
      <c r="O34" s="360"/>
      <c r="P34" s="364"/>
      <c r="Q34" s="360"/>
      <c r="R34" s="637"/>
      <c r="S34" s="60"/>
      <c r="T34" s="43"/>
      <c r="U34" s="60"/>
      <c r="V34" s="43"/>
      <c r="W34" s="364"/>
      <c r="X34" s="360"/>
      <c r="Y34" s="364"/>
      <c r="Z34" s="360"/>
      <c r="AA34" s="364"/>
      <c r="AB34" s="360"/>
      <c r="AC34" s="364"/>
      <c r="AD34" s="360"/>
      <c r="AE34" s="364"/>
      <c r="AF34" s="360"/>
      <c r="AG34" s="637"/>
      <c r="AH34" s="60"/>
      <c r="AI34" s="43"/>
      <c r="AJ34" s="60"/>
      <c r="AK34" s="43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637"/>
      <c r="AW34" s="364"/>
      <c r="AX34" s="360"/>
      <c r="AY34" s="275"/>
      <c r="AZ34" s="43"/>
      <c r="BA34" s="364"/>
      <c r="BB34" s="360"/>
      <c r="BC34" s="364"/>
      <c r="BD34" s="360"/>
      <c r="BE34" s="364"/>
      <c r="BF34" s="360"/>
      <c r="BG34" s="364"/>
      <c r="BH34" s="360"/>
      <c r="BI34" s="364"/>
      <c r="BJ34" s="360"/>
      <c r="BK34" s="60"/>
      <c r="BL34" s="43"/>
      <c r="BM34" s="364"/>
      <c r="BN34" s="360"/>
      <c r="BO34" s="364"/>
      <c r="BP34" s="360"/>
      <c r="BQ34" s="364"/>
      <c r="BR34" s="360"/>
      <c r="BS34" s="60"/>
      <c r="BT34" s="43"/>
      <c r="BU34" s="364"/>
      <c r="BV34" s="360"/>
      <c r="BW34" s="364"/>
      <c r="BX34" s="360"/>
      <c r="BY34" s="364"/>
      <c r="BZ34" s="360"/>
      <c r="CA34" s="60"/>
      <c r="CB34" s="43"/>
      <c r="CC34" s="364"/>
      <c r="CD34" s="360"/>
      <c r="CE34" s="364"/>
      <c r="CF34" s="360"/>
      <c r="CG34" s="364"/>
      <c r="CH34" s="360"/>
      <c r="CI34" s="364"/>
      <c r="CJ34" s="360"/>
      <c r="CK34" s="364"/>
      <c r="CL34" s="360"/>
      <c r="CM34" s="364"/>
      <c r="CN34" s="360"/>
      <c r="CO34" s="364"/>
      <c r="CP34" s="360"/>
      <c r="CR34" s="364"/>
      <c r="CS34" s="360"/>
      <c r="CT34" s="364"/>
      <c r="CU34" s="360"/>
      <c r="CV34" s="364"/>
      <c r="CW34" s="360"/>
      <c r="CX34" s="364"/>
      <c r="CY34" s="360"/>
      <c r="DA34" s="364"/>
      <c r="DB34" s="360"/>
      <c r="DC34" s="364"/>
      <c r="DD34" s="360"/>
      <c r="DE34" s="364"/>
      <c r="DF34" s="360"/>
      <c r="DH34" s="364"/>
      <c r="DI34" s="360"/>
      <c r="DJ34" s="364"/>
      <c r="DK34" s="360"/>
      <c r="DL34" s="364"/>
      <c r="DM34" s="360"/>
      <c r="DO34" s="364"/>
      <c r="DP34" s="360"/>
      <c r="DQ34" s="364"/>
      <c r="DR34" s="360"/>
      <c r="DS34" s="364"/>
      <c r="DT34" s="360"/>
      <c r="DV34" s="364"/>
      <c r="DW34" s="360"/>
      <c r="DX34" s="364"/>
      <c r="DY34" s="360"/>
      <c r="EA34" s="364"/>
      <c r="EB34" s="360"/>
      <c r="ED34" s="364"/>
      <c r="EE34" s="360"/>
      <c r="EG34" s="364"/>
      <c r="EH34" s="360"/>
      <c r="EJ34" s="364"/>
      <c r="EK34" s="360"/>
      <c r="EM34" s="364"/>
      <c r="EN34" s="360"/>
      <c r="EP34" s="364"/>
      <c r="EQ34" s="360"/>
      <c r="ER34" s="364"/>
      <c r="ES34" s="360"/>
      <c r="EU34" s="364"/>
      <c r="EV34" s="360"/>
      <c r="EX34" s="364"/>
      <c r="EY34" s="360"/>
      <c r="EZ34" s="364"/>
      <c r="FA34" s="360"/>
      <c r="FB34" s="364"/>
      <c r="FC34" s="360"/>
    </row>
    <row r="35" spans="1:159" s="49" customFormat="1" ht="18" hidden="1" customHeight="1" outlineLevel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361"/>
      <c r="K35" s="362"/>
      <c r="L35" s="361"/>
      <c r="M35" s="362"/>
      <c r="N35" s="361"/>
      <c r="O35" s="362"/>
      <c r="P35" s="361"/>
      <c r="Q35" s="362"/>
      <c r="R35" s="635"/>
      <c r="S35" s="47"/>
      <c r="T35" s="48"/>
      <c r="U35" s="47"/>
      <c r="V35" s="48"/>
      <c r="W35" s="361"/>
      <c r="X35" s="362"/>
      <c r="Y35" s="361"/>
      <c r="Z35" s="362"/>
      <c r="AA35" s="361"/>
      <c r="AB35" s="362"/>
      <c r="AC35" s="361"/>
      <c r="AD35" s="362"/>
      <c r="AE35" s="361"/>
      <c r="AF35" s="362"/>
      <c r="AG35" s="635"/>
      <c r="AH35" s="47"/>
      <c r="AI35" s="48"/>
      <c r="AJ35" s="47"/>
      <c r="AK35" s="48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635"/>
      <c r="AW35" s="361"/>
      <c r="AX35" s="362"/>
      <c r="AY35" s="63"/>
      <c r="AZ35" s="48"/>
      <c r="BA35" s="361"/>
      <c r="BB35" s="362"/>
      <c r="BC35" s="361"/>
      <c r="BD35" s="362"/>
      <c r="BE35" s="361"/>
      <c r="BF35" s="362"/>
      <c r="BG35" s="361"/>
      <c r="BH35" s="362"/>
      <c r="BI35" s="361"/>
      <c r="BJ35" s="362"/>
      <c r="BK35" s="47"/>
      <c r="BL35" s="48"/>
      <c r="BM35" s="361"/>
      <c r="BN35" s="362"/>
      <c r="BO35" s="361"/>
      <c r="BP35" s="362"/>
      <c r="BQ35" s="361"/>
      <c r="BR35" s="362"/>
      <c r="BS35" s="47"/>
      <c r="BT35" s="48"/>
      <c r="BU35" s="361"/>
      <c r="BV35" s="362"/>
      <c r="BW35" s="361"/>
      <c r="BX35" s="362"/>
      <c r="BY35" s="361"/>
      <c r="BZ35" s="362"/>
      <c r="CA35" s="47"/>
      <c r="CB35" s="48"/>
      <c r="CC35" s="361"/>
      <c r="CD35" s="362"/>
      <c r="CE35" s="361"/>
      <c r="CF35" s="362"/>
      <c r="CG35" s="361"/>
      <c r="CH35" s="362"/>
      <c r="CI35" s="361"/>
      <c r="CJ35" s="362"/>
      <c r="CK35" s="361"/>
      <c r="CL35" s="362"/>
      <c r="CM35" s="361"/>
      <c r="CN35" s="362"/>
      <c r="CO35" s="361"/>
      <c r="CP35" s="362"/>
      <c r="CR35" s="361"/>
      <c r="CS35" s="362"/>
      <c r="CT35" s="361"/>
      <c r="CU35" s="362"/>
      <c r="CV35" s="361"/>
      <c r="CW35" s="362"/>
      <c r="CX35" s="361"/>
      <c r="CY35" s="362"/>
      <c r="DA35" s="361"/>
      <c r="DB35" s="362"/>
      <c r="DC35" s="361"/>
      <c r="DD35" s="362"/>
      <c r="DE35" s="361"/>
      <c r="DF35" s="362"/>
      <c r="DH35" s="361"/>
      <c r="DI35" s="362"/>
      <c r="DJ35" s="361"/>
      <c r="DK35" s="362"/>
      <c r="DL35" s="361"/>
      <c r="DM35" s="362"/>
      <c r="DO35" s="361"/>
      <c r="DP35" s="362"/>
      <c r="DQ35" s="361"/>
      <c r="DR35" s="362"/>
      <c r="DS35" s="361"/>
      <c r="DT35" s="362"/>
      <c r="DV35" s="361"/>
      <c r="DW35" s="362"/>
      <c r="DX35" s="361"/>
      <c r="DY35" s="362"/>
      <c r="EA35" s="361"/>
      <c r="EB35" s="362"/>
      <c r="ED35" s="361"/>
      <c r="EE35" s="362"/>
      <c r="EG35" s="361"/>
      <c r="EH35" s="362"/>
      <c r="EJ35" s="361"/>
      <c r="EK35" s="362"/>
      <c r="EM35" s="361"/>
      <c r="EN35" s="362"/>
      <c r="EP35" s="361"/>
      <c r="EQ35" s="362"/>
      <c r="ER35" s="361"/>
      <c r="ES35" s="362"/>
      <c r="ET35" s="4"/>
      <c r="EU35" s="361"/>
      <c r="EV35" s="362"/>
      <c r="EX35" s="361"/>
      <c r="EY35" s="362"/>
      <c r="EZ35" s="361"/>
      <c r="FA35" s="362"/>
      <c r="FB35" s="361"/>
      <c r="FC35" s="362"/>
    </row>
    <row r="36" spans="1:159" s="4" customFormat="1" ht="18" hidden="1" customHeight="1" outlineLevel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363"/>
      <c r="K36" s="351"/>
      <c r="L36" s="363"/>
      <c r="M36" s="351"/>
      <c r="N36" s="363"/>
      <c r="O36" s="351"/>
      <c r="P36" s="363"/>
      <c r="Q36" s="351"/>
      <c r="R36" s="630"/>
      <c r="S36" s="50"/>
      <c r="T36" s="24"/>
      <c r="U36" s="50"/>
      <c r="V36" s="24"/>
      <c r="W36" s="363"/>
      <c r="X36" s="351"/>
      <c r="Y36" s="363"/>
      <c r="Z36" s="351"/>
      <c r="AA36" s="363"/>
      <c r="AB36" s="351"/>
      <c r="AC36" s="363"/>
      <c r="AD36" s="351"/>
      <c r="AE36" s="363"/>
      <c r="AF36" s="351"/>
      <c r="AG36" s="630"/>
      <c r="AH36" s="50"/>
      <c r="AI36" s="24"/>
      <c r="AJ36" s="50"/>
      <c r="AK36" s="24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630"/>
      <c r="AW36" s="363"/>
      <c r="AX36" s="351"/>
      <c r="AY36" s="269"/>
      <c r="AZ36" s="24"/>
      <c r="BA36" s="363"/>
      <c r="BB36" s="351"/>
      <c r="BC36" s="363"/>
      <c r="BD36" s="351"/>
      <c r="BE36" s="363"/>
      <c r="BF36" s="351"/>
      <c r="BG36" s="363"/>
      <c r="BH36" s="351"/>
      <c r="BI36" s="363"/>
      <c r="BJ36" s="351"/>
      <c r="BK36" s="50"/>
      <c r="BL36" s="24"/>
      <c r="BM36" s="363"/>
      <c r="BN36" s="351"/>
      <c r="BO36" s="363"/>
      <c r="BP36" s="351"/>
      <c r="BQ36" s="363"/>
      <c r="BR36" s="351"/>
      <c r="BS36" s="50"/>
      <c r="BT36" s="24"/>
      <c r="BU36" s="363"/>
      <c r="BV36" s="351"/>
      <c r="BW36" s="363"/>
      <c r="BX36" s="351"/>
      <c r="BY36" s="363"/>
      <c r="BZ36" s="351"/>
      <c r="CA36" s="50"/>
      <c r="CB36" s="24"/>
      <c r="CC36" s="363"/>
      <c r="CD36" s="351"/>
      <c r="CE36" s="363"/>
      <c r="CF36" s="351"/>
      <c r="CG36" s="363"/>
      <c r="CH36" s="351"/>
      <c r="CI36" s="363"/>
      <c r="CJ36" s="351"/>
      <c r="CK36" s="363"/>
      <c r="CL36" s="351"/>
      <c r="CM36" s="363"/>
      <c r="CN36" s="351"/>
      <c r="CO36" s="363"/>
      <c r="CP36" s="351"/>
      <c r="CR36" s="363"/>
      <c r="CS36" s="351"/>
      <c r="CT36" s="363"/>
      <c r="CU36" s="351"/>
      <c r="CV36" s="363"/>
      <c r="CW36" s="351"/>
      <c r="CX36" s="363"/>
      <c r="CY36" s="351"/>
      <c r="DA36" s="363"/>
      <c r="DB36" s="351"/>
      <c r="DC36" s="363"/>
      <c r="DD36" s="351"/>
      <c r="DE36" s="363"/>
      <c r="DF36" s="351"/>
      <c r="DH36" s="363"/>
      <c r="DI36" s="351"/>
      <c r="DJ36" s="363"/>
      <c r="DK36" s="351"/>
      <c r="DL36" s="363"/>
      <c r="DM36" s="351"/>
      <c r="DO36" s="363"/>
      <c r="DP36" s="351"/>
      <c r="DQ36" s="363"/>
      <c r="DR36" s="351"/>
      <c r="DS36" s="363"/>
      <c r="DT36" s="351"/>
      <c r="DV36" s="363"/>
      <c r="DW36" s="351"/>
      <c r="DX36" s="363"/>
      <c r="DY36" s="351"/>
      <c r="EA36" s="363"/>
      <c r="EB36" s="351"/>
      <c r="ED36" s="363"/>
      <c r="EE36" s="351"/>
      <c r="EG36" s="363"/>
      <c r="EH36" s="351"/>
      <c r="EJ36" s="363"/>
      <c r="EK36" s="351"/>
      <c r="EM36" s="363"/>
      <c r="EN36" s="351"/>
      <c r="EP36" s="363"/>
      <c r="EQ36" s="351"/>
      <c r="ER36" s="363"/>
      <c r="ES36" s="351"/>
      <c r="EU36" s="363"/>
      <c r="EV36" s="351"/>
      <c r="EX36" s="363"/>
      <c r="EY36" s="351"/>
      <c r="EZ36" s="363"/>
      <c r="FA36" s="351"/>
      <c r="FB36" s="363"/>
      <c r="FC36" s="351"/>
    </row>
    <row r="37" spans="1:159" s="4" customFormat="1" ht="18" hidden="1" customHeight="1" outlineLevel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274"/>
      <c r="S37" s="54"/>
      <c r="T37" s="55"/>
      <c r="U37" s="54"/>
      <c r="V37" s="55"/>
      <c r="W37" s="54"/>
      <c r="X37" s="55"/>
      <c r="Y37" s="54"/>
      <c r="Z37" s="55"/>
      <c r="AA37" s="54"/>
      <c r="AB37" s="55"/>
      <c r="AC37" s="54"/>
      <c r="AD37" s="55"/>
      <c r="AE37" s="54"/>
      <c r="AF37" s="55"/>
      <c r="AG37" s="274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274"/>
      <c r="AW37" s="54"/>
      <c r="AX37" s="55"/>
      <c r="AY37" s="274"/>
      <c r="AZ37" s="55"/>
      <c r="BA37" s="54"/>
      <c r="BB37" s="55"/>
      <c r="BC37" s="54"/>
      <c r="BD37" s="55"/>
      <c r="BE37" s="54"/>
      <c r="BF37" s="55"/>
      <c r="BG37" s="54"/>
      <c r="BH37" s="55"/>
      <c r="BI37" s="54"/>
      <c r="BJ37" s="55"/>
      <c r="BK37" s="54"/>
      <c r="BL37" s="55"/>
      <c r="BM37" s="54"/>
      <c r="BN37" s="55"/>
      <c r="BO37" s="54"/>
      <c r="BP37" s="55"/>
      <c r="BQ37" s="54"/>
      <c r="BR37" s="55"/>
      <c r="BS37" s="54"/>
      <c r="BT37" s="55"/>
      <c r="BU37" s="54"/>
      <c r="BV37" s="55"/>
      <c r="BW37" s="54"/>
      <c r="BX37" s="55"/>
      <c r="BY37" s="54"/>
      <c r="BZ37" s="55"/>
      <c r="CA37" s="54"/>
      <c r="CB37" s="55"/>
      <c r="CC37" s="54"/>
      <c r="CD37" s="55"/>
      <c r="CE37" s="54"/>
      <c r="CF37" s="55"/>
      <c r="CG37" s="54"/>
      <c r="CH37" s="55"/>
      <c r="CI37" s="54"/>
      <c r="CJ37" s="55"/>
      <c r="CK37" s="54"/>
      <c r="CL37" s="55"/>
      <c r="CM37" s="54"/>
      <c r="CN37" s="55"/>
      <c r="CO37" s="54"/>
      <c r="CP37" s="55"/>
      <c r="CR37" s="54"/>
      <c r="CS37" s="55"/>
      <c r="CT37" s="54"/>
      <c r="CU37" s="55"/>
      <c r="CV37" s="54"/>
      <c r="CW37" s="55"/>
      <c r="CX37" s="54"/>
      <c r="CY37" s="55"/>
      <c r="DA37" s="54"/>
      <c r="DB37" s="55"/>
      <c r="DC37" s="54"/>
      <c r="DD37" s="55"/>
      <c r="DE37" s="54"/>
      <c r="DF37" s="55"/>
      <c r="DH37" s="54"/>
      <c r="DI37" s="55"/>
      <c r="DJ37" s="54"/>
      <c r="DK37" s="55"/>
      <c r="DL37" s="54"/>
      <c r="DM37" s="55"/>
      <c r="DO37" s="54"/>
      <c r="DP37" s="55"/>
      <c r="DQ37" s="54"/>
      <c r="DR37" s="55"/>
      <c r="DS37" s="54"/>
      <c r="DT37" s="55"/>
      <c r="DV37" s="54"/>
      <c r="DW37" s="55"/>
      <c r="DX37" s="54"/>
      <c r="DY37" s="55"/>
      <c r="EA37" s="54"/>
      <c r="EB37" s="55"/>
      <c r="ED37" s="54"/>
      <c r="EE37" s="55"/>
      <c r="EG37" s="54"/>
      <c r="EH37" s="55"/>
      <c r="EJ37" s="54"/>
      <c r="EK37" s="55"/>
      <c r="EM37" s="54"/>
      <c r="EN37" s="55"/>
      <c r="EP37" s="54"/>
      <c r="EQ37" s="55"/>
      <c r="ER37" s="54"/>
      <c r="ES37" s="55"/>
      <c r="EU37" s="54"/>
      <c r="EV37" s="55"/>
      <c r="EX37" s="54"/>
      <c r="EY37" s="55"/>
      <c r="EZ37" s="54"/>
      <c r="FA37" s="55"/>
      <c r="FB37" s="54"/>
      <c r="FC37" s="55"/>
    </row>
    <row r="38" spans="1:159" s="4" customFormat="1" ht="18" hidden="1" customHeight="1" outlineLevel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274"/>
      <c r="S38" s="54"/>
      <c r="T38" s="55"/>
      <c r="U38" s="54"/>
      <c r="V38" s="55"/>
      <c r="W38" s="54"/>
      <c r="X38" s="55"/>
      <c r="Y38" s="54"/>
      <c r="Z38" s="55"/>
      <c r="AA38" s="54"/>
      <c r="AB38" s="55"/>
      <c r="AC38" s="54"/>
      <c r="AD38" s="55"/>
      <c r="AE38" s="54"/>
      <c r="AF38" s="55"/>
      <c r="AG38" s="274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274"/>
      <c r="AW38" s="54"/>
      <c r="AX38" s="55"/>
      <c r="AY38" s="274"/>
      <c r="AZ38" s="55"/>
      <c r="BA38" s="54"/>
      <c r="BB38" s="55"/>
      <c r="BC38" s="54"/>
      <c r="BD38" s="55"/>
      <c r="BE38" s="54"/>
      <c r="BF38" s="55"/>
      <c r="BG38" s="54"/>
      <c r="BH38" s="55"/>
      <c r="BI38" s="54"/>
      <c r="BJ38" s="55"/>
      <c r="BK38" s="54"/>
      <c r="BL38" s="55"/>
      <c r="BM38" s="54"/>
      <c r="BN38" s="55"/>
      <c r="BO38" s="54"/>
      <c r="BP38" s="55"/>
      <c r="BQ38" s="54"/>
      <c r="BR38" s="55"/>
      <c r="BS38" s="54"/>
      <c r="BT38" s="55"/>
      <c r="BU38" s="54"/>
      <c r="BV38" s="55"/>
      <c r="BW38" s="54"/>
      <c r="BX38" s="55"/>
      <c r="BY38" s="54"/>
      <c r="BZ38" s="55"/>
      <c r="CA38" s="54"/>
      <c r="CB38" s="55"/>
      <c r="CC38" s="54"/>
      <c r="CD38" s="55"/>
      <c r="CE38" s="54"/>
      <c r="CF38" s="55"/>
      <c r="CG38" s="54"/>
      <c r="CH38" s="55"/>
      <c r="CI38" s="54"/>
      <c r="CJ38" s="55"/>
      <c r="CK38" s="54"/>
      <c r="CL38" s="55"/>
      <c r="CM38" s="54"/>
      <c r="CN38" s="55"/>
      <c r="CO38" s="54"/>
      <c r="CP38" s="55"/>
      <c r="CR38" s="54"/>
      <c r="CS38" s="55"/>
      <c r="CT38" s="54"/>
      <c r="CU38" s="55"/>
      <c r="CV38" s="54"/>
      <c r="CW38" s="55"/>
      <c r="CX38" s="54"/>
      <c r="CY38" s="55"/>
      <c r="DA38" s="54"/>
      <c r="DB38" s="55"/>
      <c r="DC38" s="54"/>
      <c r="DD38" s="55"/>
      <c r="DE38" s="54"/>
      <c r="DF38" s="55"/>
      <c r="DH38" s="54"/>
      <c r="DI38" s="55"/>
      <c r="DJ38" s="54"/>
      <c r="DK38" s="55"/>
      <c r="DL38" s="54"/>
      <c r="DM38" s="55"/>
      <c r="DO38" s="54"/>
      <c r="DP38" s="55"/>
      <c r="DQ38" s="54"/>
      <c r="DR38" s="55"/>
      <c r="DS38" s="54"/>
      <c r="DT38" s="55"/>
      <c r="DV38" s="54"/>
      <c r="DW38" s="55"/>
      <c r="DX38" s="54"/>
      <c r="DY38" s="55"/>
      <c r="EA38" s="54"/>
      <c r="EB38" s="55"/>
      <c r="ED38" s="54"/>
      <c r="EE38" s="55"/>
      <c r="EG38" s="54"/>
      <c r="EH38" s="55"/>
      <c r="EJ38" s="54"/>
      <c r="EK38" s="55"/>
      <c r="EM38" s="54"/>
      <c r="EN38" s="55"/>
      <c r="EP38" s="54"/>
      <c r="EQ38" s="55"/>
      <c r="ER38" s="54"/>
      <c r="ES38" s="55"/>
      <c r="EU38" s="54"/>
      <c r="EV38" s="55"/>
      <c r="EX38" s="54"/>
      <c r="EY38" s="55"/>
      <c r="EZ38" s="54"/>
      <c r="FA38" s="55"/>
      <c r="FB38" s="54"/>
      <c r="FC38" s="55"/>
    </row>
    <row r="39" spans="1:159" s="4" customFormat="1" ht="18" hidden="1" customHeight="1" outlineLevel="1" x14ac:dyDescent="0.45">
      <c r="A39" s="561"/>
      <c r="B39" s="1195"/>
      <c r="C39" s="25"/>
      <c r="D39" s="26"/>
      <c r="E39" s="26"/>
      <c r="F39" s="61"/>
      <c r="G39" s="41"/>
      <c r="H39" s="347"/>
      <c r="I39" s="346"/>
      <c r="J39" s="365"/>
      <c r="K39" s="358"/>
      <c r="L39" s="365"/>
      <c r="M39" s="358"/>
      <c r="N39" s="365"/>
      <c r="O39" s="358"/>
      <c r="P39" s="365"/>
      <c r="Q39" s="358"/>
      <c r="R39" s="634"/>
      <c r="S39" s="61"/>
      <c r="T39" s="41"/>
      <c r="U39" s="61"/>
      <c r="V39" s="41"/>
      <c r="W39" s="365"/>
      <c r="X39" s="358"/>
      <c r="Y39" s="365"/>
      <c r="Z39" s="358"/>
      <c r="AA39" s="365"/>
      <c r="AB39" s="358"/>
      <c r="AC39" s="365"/>
      <c r="AD39" s="358"/>
      <c r="AE39" s="365"/>
      <c r="AF39" s="358"/>
      <c r="AG39" s="634"/>
      <c r="AH39" s="61"/>
      <c r="AI39" s="41"/>
      <c r="AJ39" s="61"/>
      <c r="AK39" s="41"/>
      <c r="AL39" s="365"/>
      <c r="AM39" s="358"/>
      <c r="AN39" s="365"/>
      <c r="AO39" s="358"/>
      <c r="AP39" s="365"/>
      <c r="AQ39" s="358"/>
      <c r="AR39" s="365"/>
      <c r="AS39" s="358"/>
      <c r="AT39" s="553"/>
      <c r="AU39" s="358"/>
      <c r="AV39" s="634"/>
      <c r="AW39" s="553"/>
      <c r="AX39" s="358"/>
      <c r="AY39" s="273"/>
      <c r="AZ39" s="41"/>
      <c r="BA39" s="365"/>
      <c r="BB39" s="358"/>
      <c r="BC39" s="365"/>
      <c r="BD39" s="358"/>
      <c r="BE39" s="365"/>
      <c r="BF39" s="358"/>
      <c r="BG39" s="365"/>
      <c r="BH39" s="358"/>
      <c r="BI39" s="365"/>
      <c r="BJ39" s="358"/>
      <c r="BK39" s="61"/>
      <c r="BL39" s="41"/>
      <c r="BM39" s="365"/>
      <c r="BN39" s="358"/>
      <c r="BO39" s="365"/>
      <c r="BP39" s="358"/>
      <c r="BQ39" s="365"/>
      <c r="BR39" s="358"/>
      <c r="BS39" s="61"/>
      <c r="BT39" s="41"/>
      <c r="BU39" s="365"/>
      <c r="BV39" s="353"/>
      <c r="BW39" s="365"/>
      <c r="BX39" s="353"/>
      <c r="BY39" s="365"/>
      <c r="BZ39" s="358"/>
      <c r="CA39" s="61"/>
      <c r="CB39" s="41"/>
      <c r="CC39" s="365"/>
      <c r="CD39" s="358"/>
      <c r="CE39" s="365"/>
      <c r="CF39" s="358"/>
      <c r="CG39" s="365"/>
      <c r="CH39" s="358"/>
      <c r="CI39" s="365"/>
      <c r="CJ39" s="358"/>
      <c r="CK39" s="365"/>
      <c r="CL39" s="358"/>
      <c r="CM39" s="365"/>
      <c r="CN39" s="358"/>
      <c r="CO39" s="365"/>
      <c r="CP39" s="358"/>
      <c r="CR39" s="365"/>
      <c r="CS39" s="358"/>
      <c r="CT39" s="365"/>
      <c r="CU39" s="358"/>
      <c r="CV39" s="365"/>
      <c r="CW39" s="358"/>
      <c r="CX39" s="365"/>
      <c r="CY39" s="358"/>
      <c r="DA39" s="365"/>
      <c r="DB39" s="358"/>
      <c r="DC39" s="365"/>
      <c r="DD39" s="358"/>
      <c r="DE39" s="365"/>
      <c r="DF39" s="358"/>
      <c r="DH39" s="365"/>
      <c r="DI39" s="358"/>
      <c r="DJ39" s="365"/>
      <c r="DK39" s="358"/>
      <c r="DL39" s="365"/>
      <c r="DM39" s="358"/>
      <c r="DO39" s="365"/>
      <c r="DP39" s="358"/>
      <c r="DQ39" s="365"/>
      <c r="DR39" s="358"/>
      <c r="DS39" s="365"/>
      <c r="DT39" s="358"/>
      <c r="DV39" s="365"/>
      <c r="DW39" s="358"/>
      <c r="DX39" s="365"/>
      <c r="DY39" s="358"/>
      <c r="EA39" s="365"/>
      <c r="EB39" s="358"/>
      <c r="ED39" s="365"/>
      <c r="EE39" s="358"/>
      <c r="EG39" s="365"/>
      <c r="EH39" s="358"/>
      <c r="EJ39" s="365"/>
      <c r="EK39" s="358"/>
      <c r="EM39" s="365"/>
      <c r="EN39" s="358"/>
      <c r="EP39" s="365"/>
      <c r="EQ39" s="358"/>
      <c r="ER39" s="365"/>
      <c r="ES39" s="358"/>
      <c r="EU39" s="365"/>
      <c r="EV39" s="358"/>
      <c r="EX39" s="365"/>
      <c r="EY39" s="358"/>
      <c r="EZ39" s="365"/>
      <c r="FA39" s="358"/>
      <c r="FB39" s="365"/>
      <c r="FC39" s="358"/>
    </row>
    <row r="40" spans="1:159" s="4" customFormat="1" ht="18" customHeight="1" collapsed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364"/>
      <c r="K40" s="360"/>
      <c r="L40" s="364"/>
      <c r="M40" s="360"/>
      <c r="N40" s="364"/>
      <c r="O40" s="360"/>
      <c r="P40" s="364"/>
      <c r="Q40" s="360"/>
      <c r="R40" s="637"/>
      <c r="S40" s="60"/>
      <c r="T40" s="43"/>
      <c r="U40" s="60"/>
      <c r="V40" s="43"/>
      <c r="W40" s="364"/>
      <c r="X40" s="360"/>
      <c r="Y40" s="364"/>
      <c r="Z40" s="360"/>
      <c r="AA40" s="364"/>
      <c r="AB40" s="360"/>
      <c r="AC40" s="364"/>
      <c r="AD40" s="360"/>
      <c r="AE40" s="364"/>
      <c r="AF40" s="360"/>
      <c r="AG40" s="637"/>
      <c r="AH40" s="60"/>
      <c r="AI40" s="43"/>
      <c r="AJ40" s="60"/>
      <c r="AK40" s="43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637"/>
      <c r="AW40" s="364"/>
      <c r="AX40" s="360"/>
      <c r="AY40" s="275"/>
      <c r="AZ40" s="43"/>
      <c r="BA40" s="364"/>
      <c r="BB40" s="360"/>
      <c r="BC40" s="364"/>
      <c r="BD40" s="360"/>
      <c r="BE40" s="364"/>
      <c r="BF40" s="360"/>
      <c r="BG40" s="364"/>
      <c r="BH40" s="360"/>
      <c r="BI40" s="364"/>
      <c r="BJ40" s="360"/>
      <c r="BK40" s="60"/>
      <c r="BL40" s="43"/>
      <c r="BM40" s="364"/>
      <c r="BN40" s="360"/>
      <c r="BO40" s="364"/>
      <c r="BP40" s="360"/>
      <c r="BQ40" s="364"/>
      <c r="BR40" s="360"/>
      <c r="BS40" s="60"/>
      <c r="BT40" s="43"/>
      <c r="BU40" s="364"/>
      <c r="BV40" s="360"/>
      <c r="BW40" s="364"/>
      <c r="BX40" s="360"/>
      <c r="BY40" s="364"/>
      <c r="BZ40" s="360"/>
      <c r="CA40" s="60"/>
      <c r="CB40" s="43"/>
      <c r="CC40" s="364"/>
      <c r="CD40" s="360"/>
      <c r="CE40" s="364"/>
      <c r="CF40" s="360"/>
      <c r="CG40" s="364"/>
      <c r="CH40" s="360"/>
      <c r="CI40" s="364"/>
      <c r="CJ40" s="360"/>
      <c r="CK40" s="364"/>
      <c r="CL40" s="360"/>
      <c r="CM40" s="364"/>
      <c r="CN40" s="360"/>
      <c r="CO40" s="364"/>
      <c r="CP40" s="360"/>
      <c r="CR40" s="364"/>
      <c r="CS40" s="360"/>
      <c r="CT40" s="364"/>
      <c r="CU40" s="360"/>
      <c r="CV40" s="364"/>
      <c r="CW40" s="360"/>
      <c r="CX40" s="364"/>
      <c r="CY40" s="360"/>
      <c r="DA40" s="364"/>
      <c r="DB40" s="360"/>
      <c r="DC40" s="364"/>
      <c r="DD40" s="360"/>
      <c r="DE40" s="364"/>
      <c r="DF40" s="360"/>
      <c r="DH40" s="364"/>
      <c r="DI40" s="360"/>
      <c r="DJ40" s="364"/>
      <c r="DK40" s="360"/>
      <c r="DL40" s="364"/>
      <c r="DM40" s="360"/>
      <c r="DO40" s="364"/>
      <c r="DP40" s="360"/>
      <c r="DQ40" s="364"/>
      <c r="DR40" s="360"/>
      <c r="DS40" s="364"/>
      <c r="DT40" s="360"/>
      <c r="DV40" s="364"/>
      <c r="DW40" s="360"/>
      <c r="DX40" s="364"/>
      <c r="DY40" s="360"/>
      <c r="EA40" s="364"/>
      <c r="EB40" s="360"/>
      <c r="ED40" s="364"/>
      <c r="EE40" s="360"/>
      <c r="EG40" s="364"/>
      <c r="EH40" s="360"/>
      <c r="EJ40" s="364"/>
      <c r="EK40" s="360"/>
      <c r="EM40" s="364"/>
      <c r="EN40" s="360"/>
      <c r="EP40" s="364"/>
      <c r="EQ40" s="360"/>
      <c r="ER40" s="364"/>
      <c r="ES40" s="360"/>
      <c r="EU40" s="364"/>
      <c r="EV40" s="360"/>
      <c r="EX40" s="364"/>
      <c r="EY40" s="360"/>
      <c r="EZ40" s="364"/>
      <c r="FA40" s="360"/>
      <c r="FB40" s="364"/>
      <c r="FC40" s="360"/>
    </row>
    <row r="41" spans="1:159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543.53598818182218</v>
      </c>
      <c r="G41" s="24">
        <f>G42-G54</f>
        <v>0.13359090909090987</v>
      </c>
      <c r="H41" s="430">
        <f>H42-I54*H12</f>
        <v>510.78635829299401</v>
      </c>
      <c r="I41" s="24">
        <f>I42-I54</f>
        <v>0.12554166686156942</v>
      </c>
      <c r="J41" s="430">
        <f>J42-K54*J12</f>
        <v>471.58085911652415</v>
      </c>
      <c r="K41" s="24">
        <f>K42-K54</f>
        <v>0.11590569354935598</v>
      </c>
      <c r="L41" s="430">
        <f>L42-M54*L12</f>
        <v>471.25906016961335</v>
      </c>
      <c r="M41" s="24">
        <f>M42-M54</f>
        <v>0.11582660142887635</v>
      </c>
      <c r="N41" s="430">
        <f>N42-O54*N12</f>
        <v>471.25906016961335</v>
      </c>
      <c r="O41" s="24">
        <f>O42-O54</f>
        <v>0.11582660142887635</v>
      </c>
      <c r="P41" s="430">
        <f>P42-Q54*P12</f>
        <v>2714.0725786158946</v>
      </c>
      <c r="Q41" s="24">
        <f>Q42-Q54</f>
        <v>0.11559232017887633</v>
      </c>
      <c r="R41" s="269"/>
      <c r="S41" s="430">
        <f>S42-T54*S12</f>
        <v>0</v>
      </c>
      <c r="T41" s="24" t="e">
        <f>T42-T54</f>
        <v>#DIV/0!</v>
      </c>
      <c r="U41" s="430">
        <f>U42-V54*U12</f>
        <v>0</v>
      </c>
      <c r="V41" s="24" t="e">
        <f>V42-V54</f>
        <v>#DIV/0!</v>
      </c>
      <c r="W41" s="430">
        <f>W42-X54*W12</f>
        <v>2714.0725786158946</v>
      </c>
      <c r="X41" s="24">
        <f>X42-X54</f>
        <v>0.11596940117700338</v>
      </c>
      <c r="Y41" s="430">
        <f>Y42-Z54*Y12</f>
        <v>2714.0725786158946</v>
      </c>
      <c r="Z41" s="24">
        <f>Z42-Z54</f>
        <v>0.11582660142887635</v>
      </c>
      <c r="AA41" s="430">
        <f>AA42-AB54*AA12</f>
        <v>471.25906016961335</v>
      </c>
      <c r="AB41" s="24">
        <f>AB42-AB54</f>
        <v>0.11582660142887635</v>
      </c>
      <c r="AC41" s="430">
        <f>AC42-AD54*AC12</f>
        <v>2799.144560434077</v>
      </c>
      <c r="AD41" s="24">
        <f>AD42-AD54</f>
        <v>0.1367356923379669</v>
      </c>
      <c r="AE41" s="430" t="e">
        <f>'Pricing Structure - IIP'!#REF!</f>
        <v>#REF!</v>
      </c>
      <c r="AF41" s="24" t="e">
        <f>'Pricing Structure - IIP'!#REF!</f>
        <v>#REF!</v>
      </c>
      <c r="AG41" s="269"/>
      <c r="AH41" s="430">
        <f>AH42-AI54*AH12</f>
        <v>0</v>
      </c>
      <c r="AI41" s="24" t="e">
        <f>AI42-AI54</f>
        <v>#DIV/0!</v>
      </c>
      <c r="AJ41" s="430">
        <f>AJ42-AK54*AJ12</f>
        <v>0</v>
      </c>
      <c r="AK41" s="24" t="e">
        <f>AK42-AK54</f>
        <v>#DIV/0!</v>
      </c>
      <c r="AL41" s="430">
        <f>AL42-AM54*AL12</f>
        <v>2735.1048482041879</v>
      </c>
      <c r="AM41" s="24">
        <f>AM42-AM54</f>
        <v>0.10548951444701793</v>
      </c>
      <c r="AN41" s="430">
        <f>AN42-AO54*AN12</f>
        <v>2735.1048482041879</v>
      </c>
      <c r="AO41" s="24">
        <f>AO42-AO54</f>
        <v>0.10523725949186891</v>
      </c>
      <c r="AP41" s="430">
        <f>AP42-AQ54*AP12</f>
        <v>428.17462820418814</v>
      </c>
      <c r="AQ41" s="24">
        <f>AQ42-AQ54</f>
        <v>0.10523725949186891</v>
      </c>
      <c r="AR41" s="430">
        <f>AR42-AS54*AR12</f>
        <v>427.19418286068776</v>
      </c>
      <c r="AS41" s="24">
        <f>AS42-AS54</f>
        <v>0.10499628449186882</v>
      </c>
      <c r="AT41" s="430" t="e">
        <f>'Pricing Structure - IHAG'!#REF!</f>
        <v>#REF!</v>
      </c>
      <c r="AU41" s="24" t="e">
        <f>'Pricing Structure - IHAG'!#REF!</f>
        <v>#REF!</v>
      </c>
      <c r="AV41" s="269"/>
      <c r="AW41" s="430">
        <f>AW42-AX54*AW12</f>
        <v>427.09156237320167</v>
      </c>
      <c r="AX41" s="24">
        <f>AX42-AX54</f>
        <v>0.10497106230877018</v>
      </c>
      <c r="AY41" s="430">
        <f>AY42-AZ54*AY12</f>
        <v>500.81505818182222</v>
      </c>
      <c r="AZ41" s="24">
        <f>AZ42-AZ54</f>
        <v>0.12309090909090992</v>
      </c>
      <c r="BA41" s="430">
        <f>BA42-BB54*BA12</f>
        <v>471.88385416660776</v>
      </c>
      <c r="BB41" s="24">
        <f>BB42-BB54</f>
        <v>0.11598016402614386</v>
      </c>
      <c r="BC41" s="430">
        <f>BC42-BD54*BC12</f>
        <v>471.25906016961335</v>
      </c>
      <c r="BD41" s="24">
        <f>BD42-BD54</f>
        <v>0.11582660142887635</v>
      </c>
      <c r="BE41" s="430">
        <f>BE42-BF54*BE12</f>
        <v>471.25906016961335</v>
      </c>
      <c r="BF41" s="24">
        <f>BF42-BF54</f>
        <v>0.11582660142887635</v>
      </c>
      <c r="BG41" s="430">
        <f>BG42-BH54*BG12</f>
        <v>470.27861482611297</v>
      </c>
      <c r="BH41" s="24">
        <f>BH42-BH54</f>
        <v>0.11558562642887626</v>
      </c>
      <c r="BI41" s="430">
        <f>BI42-BJ54*BI12</f>
        <v>470.27861482611297</v>
      </c>
      <c r="BJ41" s="24">
        <f>BJ42-BJ54</f>
        <v>0.11558562642887626</v>
      </c>
      <c r="BK41" s="430">
        <f>BK42-BL54*BK12</f>
        <v>643.53482899300911</v>
      </c>
      <c r="BL41" s="24">
        <f>BL42-BL54</f>
        <v>0.15816874081221033</v>
      </c>
      <c r="BM41" s="430">
        <f>BM42-BN54*BM12</f>
        <v>637.34937444755383</v>
      </c>
      <c r="BN41" s="24">
        <f>BN42-BN54</f>
        <v>0.15664847258005188</v>
      </c>
      <c r="BO41" s="430">
        <f>BO42-BP54*BO12</f>
        <v>637.34937444755383</v>
      </c>
      <c r="BP41" s="24">
        <f>BP42-BP54</f>
        <v>0.15664847258005188</v>
      </c>
      <c r="BQ41" s="430">
        <f>BQ42-BR54*BQ12</f>
        <v>525.99569670753431</v>
      </c>
      <c r="BR41" s="24">
        <f>BR42-BR54</f>
        <v>0.12927983579545471</v>
      </c>
      <c r="BS41" s="430">
        <f>BS42-BT54*BS12</f>
        <v>166.05008466942263</v>
      </c>
      <c r="BT41" s="24">
        <f>BT42-BT54</f>
        <v>4.0811983471074509E-2</v>
      </c>
      <c r="BU41" s="430">
        <f>BU42-BV54*BU12</f>
        <v>166.05008466942263</v>
      </c>
      <c r="BV41" s="24">
        <f>BV42-BV54</f>
        <v>4.0811983471074509E-2</v>
      </c>
      <c r="BW41" s="430">
        <f>BW42-BX54*BW12</f>
        <v>166.05008466942263</v>
      </c>
      <c r="BX41" s="24">
        <f>BX42-BX54</f>
        <v>4.0811983471074509E-2</v>
      </c>
      <c r="BY41" s="430">
        <f>BY42-BZ54*BY12</f>
        <v>188.23880737406648</v>
      </c>
      <c r="BZ41" s="24">
        <f>BZ42-BZ54</f>
        <v>4.6265553615702837E-2</v>
      </c>
      <c r="CA41" s="430">
        <f>CA42-CB54*CA12</f>
        <v>1012.2103704545477</v>
      </c>
      <c r="CB41" s="24">
        <f>CB42-CB54</f>
        <v>0.24878224537183002</v>
      </c>
      <c r="CC41" s="430">
        <f>CC42-CD54*CC12</f>
        <v>666.75679469697184</v>
      </c>
      <c r="CD41" s="24">
        <f>CD42-CD54</f>
        <v>0.16387626262626331</v>
      </c>
      <c r="CE41" s="430">
        <f>CE42-CF54*CE12</f>
        <v>666.75679469697184</v>
      </c>
      <c r="CF41" s="24">
        <f>CF42-CF54</f>
        <v>0.16387626262626331</v>
      </c>
      <c r="CG41" s="430">
        <f>CG42-CH54*CG12</f>
        <v>746.51753516502322</v>
      </c>
      <c r="CH41" s="24">
        <f>CH42-CH54</f>
        <v>0.18347995044192023</v>
      </c>
      <c r="CI41" s="430">
        <f>CI42-CJ54*CI12</f>
        <v>1293.7180686275428</v>
      </c>
      <c r="CJ41" s="24">
        <f>CJ42-CJ54</f>
        <v>0.31797153574580772</v>
      </c>
      <c r="CK41" s="430">
        <f>CK42-CL54*CK12</f>
        <v>1293.7180686275428</v>
      </c>
      <c r="CL41" s="24">
        <f>CL42-CL54</f>
        <v>0.31797153574580772</v>
      </c>
      <c r="CM41" s="430">
        <f>CM42-CN54*CM12</f>
        <v>1293.7180686275428</v>
      </c>
      <c r="CN41" s="24">
        <f>CN42-CN54</f>
        <v>0.31797153574580772</v>
      </c>
      <c r="CO41" s="430">
        <f>CO42-CP54*CO12</f>
        <v>160.55355438993729</v>
      </c>
      <c r="CP41" s="24">
        <f>CP42-CP54</f>
        <v>3.9461039848485313E-2</v>
      </c>
      <c r="CR41" s="430">
        <f>CR42-CS54*CR12</f>
        <v>1293.7180686275428</v>
      </c>
      <c r="CS41" s="24">
        <f>CS42-CS54</f>
        <v>0.31797153574580772</v>
      </c>
      <c r="CT41" s="430">
        <f>CT42-CU54*CT12</f>
        <v>1296.769563627543</v>
      </c>
      <c r="CU41" s="24">
        <f>CU42-CU54</f>
        <v>0.31872153574580775</v>
      </c>
      <c r="CV41" s="430">
        <f>CV42-CW54*CV12</f>
        <v>1296.769563627543</v>
      </c>
      <c r="CW41" s="24">
        <f>CW42-CW54</f>
        <v>0.31872153574580775</v>
      </c>
      <c r="CX41" s="430">
        <f>CX42-CY54*CX12</f>
        <v>161.12184956126202</v>
      </c>
      <c r="CY41" s="24">
        <f>CY42-CY54</f>
        <v>3.9600716098485256E-2</v>
      </c>
      <c r="DA41" s="430">
        <f>DA42-DB54*DA12</f>
        <v>1293.7180686275428</v>
      </c>
      <c r="DB41" s="24">
        <f>DB42-DB54</f>
        <v>0.31797153574580772</v>
      </c>
      <c r="DC41" s="430">
        <f>DC42-DD54*DC12</f>
        <v>1296.769563627543</v>
      </c>
      <c r="DD41" s="24">
        <f>DD42-DD54</f>
        <v>0.31872153574580775</v>
      </c>
      <c r="DE41" s="430">
        <f>DE42-DF54*DE12</f>
        <v>1296.769563627543</v>
      </c>
      <c r="DF41" s="24">
        <f>DF42-DF54</f>
        <v>0.31872153574580775</v>
      </c>
      <c r="DH41" s="430">
        <f>DH42-DI54*DH12</f>
        <v>642.98143539822922</v>
      </c>
      <c r="DI41" s="24">
        <f>DI42-DI54</f>
        <v>0.15803272708907323</v>
      </c>
      <c r="DJ41" s="430">
        <f>DJ42-DK54*DJ12</f>
        <v>643.91643109139522</v>
      </c>
      <c r="DK41" s="24">
        <f>DK42-DK54</f>
        <v>0.15826253142100699</v>
      </c>
      <c r="DL41" s="430">
        <f>DL42-DM54*DL12</f>
        <v>642.98143539822922</v>
      </c>
      <c r="DM41" s="24">
        <f>DM42-DM54</f>
        <v>0.15803272708907323</v>
      </c>
      <c r="DO41" s="430">
        <f>DO42-DP54*DO12</f>
        <v>642.98143539822922</v>
      </c>
      <c r="DP41" s="24">
        <f>DP42-DP54</f>
        <v>0.15803272708907323</v>
      </c>
      <c r="DQ41" s="430">
        <f>DQ42-DR54*DQ12</f>
        <v>643.91643109139522</v>
      </c>
      <c r="DR41" s="24">
        <f>DR42-DR54</f>
        <v>0.15826253142100699</v>
      </c>
      <c r="DS41" s="430">
        <f>DS42-DT54*DS12</f>
        <v>642.98143539822922</v>
      </c>
      <c r="DT41" s="24">
        <f>DT42-DT54</f>
        <v>0.15803272708907323</v>
      </c>
      <c r="DV41" s="430">
        <f>DV42-DW54*DV12</f>
        <v>642.98143539822922</v>
      </c>
      <c r="DW41" s="24">
        <f>DW42-DW54</f>
        <v>0.15803272708907323</v>
      </c>
      <c r="DX41" s="430">
        <f>DX42-DY54*DX12</f>
        <v>643.91643109139522</v>
      </c>
      <c r="DY41" s="24">
        <f>DY42-DY54</f>
        <v>0.15826253142100699</v>
      </c>
      <c r="EA41" s="430">
        <f>EA42-EB54*EA12</f>
        <v>642.98143539822922</v>
      </c>
      <c r="EB41" s="24">
        <f>EB42-EB54</f>
        <v>0.15803272708907323</v>
      </c>
      <c r="ED41" s="430">
        <f>ED42-EE54*ED12</f>
        <v>643.91643109139522</v>
      </c>
      <c r="EE41" s="24">
        <f>EE42-EE54</f>
        <v>0.15826253142100699</v>
      </c>
      <c r="EG41" s="430">
        <f>EG42-EH54*EG12</f>
        <v>643.91643109139522</v>
      </c>
      <c r="EH41" s="24">
        <f>EH42-EH54</f>
        <v>0.15826253142100699</v>
      </c>
      <c r="EJ41" s="430">
        <f>EJ42-EK54*EJ12</f>
        <v>642.98143539822922</v>
      </c>
      <c r="EK41" s="24">
        <f>EK42-EK54</f>
        <v>0.15803272708907323</v>
      </c>
      <c r="EM41" s="430">
        <f>EM42-EN54*EM12</f>
        <v>643.91643109139522</v>
      </c>
      <c r="EN41" s="24">
        <f>EN42-EN54</f>
        <v>0.15826253142100699</v>
      </c>
      <c r="EP41" s="430">
        <f>EP42-EQ54*EP12</f>
        <v>643.91643109139522</v>
      </c>
      <c r="EQ41" s="24">
        <f>EQ42-EQ54</f>
        <v>0.15826253142100699</v>
      </c>
      <c r="ER41" s="430">
        <f>ER42-ES54*ER12</f>
        <v>642.98143539822922</v>
      </c>
      <c r="ES41" s="24">
        <f>ES42-ES54</f>
        <v>0.15803272708907323</v>
      </c>
      <c r="EU41" s="430">
        <f>EU42-EV54*EU12</f>
        <v>643.91643109139522</v>
      </c>
      <c r="EV41" s="24">
        <f>EV42-EV54</f>
        <v>0.15826253142100699</v>
      </c>
      <c r="EX41" s="430">
        <f>EX42-EY54*EX12</f>
        <v>642.98143539822922</v>
      </c>
      <c r="EY41" s="24">
        <f>EY42-EY54</f>
        <v>0.15803272708907323</v>
      </c>
      <c r="EZ41" s="430">
        <f>EZ42-FA54*EZ12</f>
        <v>643.91643109139522</v>
      </c>
      <c r="FA41" s="24">
        <f>FA42-FA54</f>
        <v>0.15826253142100699</v>
      </c>
      <c r="FB41" s="430">
        <f>FB42-FC54*FB12</f>
        <v>642.98143539822922</v>
      </c>
      <c r="FC41" s="24">
        <f>FC42-FC54</f>
        <v>0.15803272708907323</v>
      </c>
    </row>
    <row r="42" spans="1:159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Q42" si="163">F32-F32/1.1</f>
        <v>2722.3034181818221</v>
      </c>
      <c r="G42" s="24">
        <f t="shared" si="163"/>
        <v>0.66909090909090985</v>
      </c>
      <c r="H42" s="42">
        <f t="shared" si="163"/>
        <v>2722.3034181818221</v>
      </c>
      <c r="I42" s="24">
        <f t="shared" si="163"/>
        <v>0.66909090909090985</v>
      </c>
      <c r="J42" s="42">
        <f t="shared" si="163"/>
        <v>2714.0725786158946</v>
      </c>
      <c r="K42" s="24">
        <f t="shared" si="163"/>
        <v>0.66706792374292601</v>
      </c>
      <c r="L42" s="42">
        <f t="shared" si="163"/>
        <v>2714.0725786158946</v>
      </c>
      <c r="M42" s="24">
        <f t="shared" si="163"/>
        <v>0.66706792374292601</v>
      </c>
      <c r="N42" s="42">
        <f t="shared" si="163"/>
        <v>2714.0725786158946</v>
      </c>
      <c r="O42" s="24">
        <f t="shared" si="163"/>
        <v>0.66706792374292601</v>
      </c>
      <c r="P42" s="42">
        <f t="shared" si="163"/>
        <v>2714.0725786158946</v>
      </c>
      <c r="Q42" s="24">
        <f t="shared" si="163"/>
        <v>0.66706792374292601</v>
      </c>
      <c r="R42" s="269"/>
      <c r="S42" s="42">
        <f t="shared" ref="S42:AD42" si="164">S32-S32/1.1</f>
        <v>0</v>
      </c>
      <c r="T42" s="24" t="e">
        <f t="shared" si="164"/>
        <v>#DIV/0!</v>
      </c>
      <c r="U42" s="42">
        <f t="shared" si="164"/>
        <v>0</v>
      </c>
      <c r="V42" s="24" t="e">
        <f t="shared" si="164"/>
        <v>#DIV/0!</v>
      </c>
      <c r="W42" s="42">
        <f t="shared" si="164"/>
        <v>2714.0725786158946</v>
      </c>
      <c r="X42" s="24">
        <f t="shared" si="164"/>
        <v>0.66706792374292601</v>
      </c>
      <c r="Y42" s="42">
        <f t="shared" si="164"/>
        <v>2714.0725786158946</v>
      </c>
      <c r="Z42" s="24">
        <f t="shared" si="164"/>
        <v>0.66706792374292601</v>
      </c>
      <c r="AA42" s="42">
        <f t="shared" si="164"/>
        <v>2714.0725786158946</v>
      </c>
      <c r="AB42" s="24">
        <f t="shared" si="164"/>
        <v>0.66706792374292601</v>
      </c>
      <c r="AC42" s="42">
        <f t="shared" si="164"/>
        <v>2799.144560434077</v>
      </c>
      <c r="AD42" s="24">
        <f t="shared" si="164"/>
        <v>0.68797701465201655</v>
      </c>
      <c r="AE42" s="42" t="e">
        <f>'Pricing Structure - IIP'!#REF!</f>
        <v>#REF!</v>
      </c>
      <c r="AF42" s="24" t="e">
        <f>'Pricing Structure - IIP'!#REF!</f>
        <v>#REF!</v>
      </c>
      <c r="AG42" s="269"/>
      <c r="AH42" s="42">
        <f t="shared" ref="AH42:AS42" si="165">AH32-AH32/1.1</f>
        <v>0</v>
      </c>
      <c r="AI42" s="24" t="e">
        <f t="shared" si="165"/>
        <v>#DIV/0!</v>
      </c>
      <c r="AJ42" s="42">
        <f t="shared" si="165"/>
        <v>0</v>
      </c>
      <c r="AK42" s="24" t="e">
        <f t="shared" si="165"/>
        <v>#DIV/0!</v>
      </c>
      <c r="AL42" s="42">
        <f t="shared" si="165"/>
        <v>2735.1048482041879</v>
      </c>
      <c r="AM42" s="24">
        <f t="shared" si="165"/>
        <v>0.67223725949186885</v>
      </c>
      <c r="AN42" s="42">
        <f t="shared" si="165"/>
        <v>2735.1048482041879</v>
      </c>
      <c r="AO42" s="24">
        <f t="shared" si="165"/>
        <v>0.67223725949186885</v>
      </c>
      <c r="AP42" s="42">
        <f t="shared" si="165"/>
        <v>2735.1048482041879</v>
      </c>
      <c r="AQ42" s="24">
        <f t="shared" si="165"/>
        <v>0.67223725949186885</v>
      </c>
      <c r="AR42" s="42">
        <f t="shared" si="165"/>
        <v>2735.1048482041879</v>
      </c>
      <c r="AS42" s="24">
        <f t="shared" si="165"/>
        <v>0.67223725949186885</v>
      </c>
      <c r="AT42" s="42" t="e">
        <f>'Pricing Structure - IHAG'!#REF!</f>
        <v>#REF!</v>
      </c>
      <c r="AU42" s="24" t="e">
        <f>'Pricing Structure - IHAG'!#REF!</f>
        <v>#REF!</v>
      </c>
      <c r="AV42" s="269"/>
      <c r="AW42" s="42">
        <f t="shared" ref="AW42:BV42" si="166">AW32-AW32/1.1</f>
        <v>2735.1048482041879</v>
      </c>
      <c r="AX42" s="24">
        <f t="shared" si="166"/>
        <v>0.67223725949186885</v>
      </c>
      <c r="AY42" s="42">
        <f t="shared" si="166"/>
        <v>2722.3034181818221</v>
      </c>
      <c r="AZ42" s="24">
        <f t="shared" si="166"/>
        <v>0.66909090909090985</v>
      </c>
      <c r="BA42" s="42">
        <f t="shared" si="166"/>
        <v>2714.697372612889</v>
      </c>
      <c r="BB42" s="24">
        <f t="shared" si="166"/>
        <v>0.66722148634019351</v>
      </c>
      <c r="BC42" s="42">
        <f t="shared" si="166"/>
        <v>2714.0725786158946</v>
      </c>
      <c r="BD42" s="24">
        <f t="shared" si="166"/>
        <v>0.66706792374292601</v>
      </c>
      <c r="BE42" s="42">
        <f t="shared" si="166"/>
        <v>2714.0725786158946</v>
      </c>
      <c r="BF42" s="24">
        <f t="shared" si="166"/>
        <v>0.66706792374292601</v>
      </c>
      <c r="BG42" s="42">
        <f t="shared" si="166"/>
        <v>2714.0725786158946</v>
      </c>
      <c r="BH42" s="24">
        <f t="shared" si="166"/>
        <v>0.66706792374292601</v>
      </c>
      <c r="BI42" s="42">
        <f t="shared" si="166"/>
        <v>2714.0725786158946</v>
      </c>
      <c r="BJ42" s="24">
        <f t="shared" si="166"/>
        <v>0.66706792374292601</v>
      </c>
      <c r="BK42" s="42">
        <f t="shared" si="166"/>
        <v>2225.4545454545478</v>
      </c>
      <c r="BL42" s="24">
        <f t="shared" si="166"/>
        <v>0.54697481368670431</v>
      </c>
      <c r="BM42" s="42">
        <f t="shared" si="166"/>
        <v>2219.2690909090925</v>
      </c>
      <c r="BN42" s="24">
        <f t="shared" si="166"/>
        <v>0.54545454545454586</v>
      </c>
      <c r="BO42" s="42">
        <f t="shared" si="166"/>
        <v>2219.2690909090925</v>
      </c>
      <c r="BP42" s="24">
        <f t="shared" si="166"/>
        <v>0.54545454545454586</v>
      </c>
      <c r="BQ42" s="42">
        <f t="shared" si="166"/>
        <v>2256.2569090909092</v>
      </c>
      <c r="BR42" s="24">
        <f t="shared" si="166"/>
        <v>0.55454545454545467</v>
      </c>
      <c r="BS42" s="42">
        <f t="shared" si="166"/>
        <v>1597.2012396694226</v>
      </c>
      <c r="BT42" s="24">
        <f t="shared" si="166"/>
        <v>0.39256198347107452</v>
      </c>
      <c r="BU42" s="42">
        <f t="shared" si="166"/>
        <v>1597.2012396694226</v>
      </c>
      <c r="BV42" s="24">
        <f t="shared" si="166"/>
        <v>0.39256198347107452</v>
      </c>
      <c r="BW42" s="42">
        <f t="shared" ref="BW42:BX42" si="167">BW32-BW32/1.1</f>
        <v>1597.2012396694226</v>
      </c>
      <c r="BX42" s="24">
        <f t="shared" si="167"/>
        <v>0.39256198347107452</v>
      </c>
      <c r="BY42" s="42">
        <f t="shared" ref="BY42:BZ42" si="168">BY32-BY32/1.1</f>
        <v>1748.5150413223164</v>
      </c>
      <c r="BZ42" s="24">
        <f t="shared" si="168"/>
        <v>0.42975206611570282</v>
      </c>
      <c r="CA42" s="42">
        <f>CA32-CA32/1.1</f>
        <v>3041.4545454545478</v>
      </c>
      <c r="CB42" s="24">
        <f>CB32-CB32/1.1</f>
        <v>0.74753224537183005</v>
      </c>
      <c r="CC42" s="42">
        <f>CC32-CC32/1.1</f>
        <v>2696.0009696969719</v>
      </c>
      <c r="CD42" s="24">
        <f>CD32-CD32/1.1</f>
        <v>0.66262626262626334</v>
      </c>
      <c r="CE42" s="42">
        <f t="shared" ref="CE42:CF42" si="169">CE32-CE32/1.1</f>
        <v>2696.0009696969719</v>
      </c>
      <c r="CF42" s="24">
        <f t="shared" si="169"/>
        <v>0.66262626262626334</v>
      </c>
      <c r="CG42" s="42">
        <f t="shared" ref="CG42:CH42" si="170">CG32-CG32/1.1</f>
        <v>2926.1473939393982</v>
      </c>
      <c r="CH42" s="24">
        <f t="shared" si="170"/>
        <v>0.71919191919192027</v>
      </c>
      <c r="CI42" s="42">
        <f t="shared" ref="CI42:CN42" si="171">CI26-CI26/1.1</f>
        <v>3878.3343336275429</v>
      </c>
      <c r="CJ42" s="24">
        <f t="shared" si="171"/>
        <v>0.95322153574580781</v>
      </c>
      <c r="CK42" s="42">
        <f t="shared" si="171"/>
        <v>3878.3343336275429</v>
      </c>
      <c r="CL42" s="24">
        <f t="shared" si="171"/>
        <v>0.95322153574580781</v>
      </c>
      <c r="CM42" s="42">
        <f t="shared" si="171"/>
        <v>3878.3343336275429</v>
      </c>
      <c r="CN42" s="24">
        <f t="shared" si="171"/>
        <v>0.95322153574580781</v>
      </c>
      <c r="CO42" s="42">
        <f t="shared" ref="CO42:CP42" si="172">CO32-CO32/1.1</f>
        <v>1464.1011363636371</v>
      </c>
      <c r="CP42" s="24">
        <f t="shared" si="172"/>
        <v>0.35984848484848531</v>
      </c>
      <c r="CR42" s="42">
        <f t="shared" ref="CR42:CW42" si="173">CR26-CR26/1.1</f>
        <v>3878.3343336275429</v>
      </c>
      <c r="CS42" s="24">
        <f t="shared" si="173"/>
        <v>0.95322153574580781</v>
      </c>
      <c r="CT42" s="42">
        <f t="shared" si="173"/>
        <v>3878.3343336275429</v>
      </c>
      <c r="CU42" s="24">
        <f t="shared" si="173"/>
        <v>0.95322153574580781</v>
      </c>
      <c r="CV42" s="42">
        <f t="shared" si="173"/>
        <v>3878.3343336275429</v>
      </c>
      <c r="CW42" s="24">
        <f t="shared" si="173"/>
        <v>0.95322153574580781</v>
      </c>
      <c r="CX42" s="42">
        <f t="shared" ref="CX42:CY42" si="174">CX32-CX32/1.1</f>
        <v>1464.1011363636371</v>
      </c>
      <c r="CY42" s="24">
        <f t="shared" si="174"/>
        <v>0.35984848484848531</v>
      </c>
      <c r="DA42" s="42">
        <f t="shared" ref="DA42:DF42" si="175">DA26-DA26/1.1</f>
        <v>3878.3343336275429</v>
      </c>
      <c r="DB42" s="24">
        <f t="shared" si="175"/>
        <v>0.95322153574580781</v>
      </c>
      <c r="DC42" s="42">
        <f t="shared" si="175"/>
        <v>3878.3343336275429</v>
      </c>
      <c r="DD42" s="24">
        <f t="shared" si="175"/>
        <v>0.95322153574580781</v>
      </c>
      <c r="DE42" s="42">
        <f t="shared" si="175"/>
        <v>3878.3343336275429</v>
      </c>
      <c r="DF42" s="24">
        <f t="shared" si="175"/>
        <v>0.95322153574580781</v>
      </c>
      <c r="DH42" s="42">
        <f t="shared" ref="DH42:DM42" si="176">DH32-DH32/1.1</f>
        <v>2885.049818181822</v>
      </c>
      <c r="DI42" s="24">
        <f t="shared" si="176"/>
        <v>0.70909090909090988</v>
      </c>
      <c r="DJ42" s="42">
        <f t="shared" si="176"/>
        <v>2885.049818181822</v>
      </c>
      <c r="DK42" s="24">
        <f t="shared" si="176"/>
        <v>0.70909090909090988</v>
      </c>
      <c r="DL42" s="42">
        <f t="shared" si="176"/>
        <v>2885.049818181822</v>
      </c>
      <c r="DM42" s="24">
        <f t="shared" si="176"/>
        <v>0.70909090909090988</v>
      </c>
      <c r="DO42" s="42">
        <f t="shared" ref="DO42:DT42" si="177">DO32-DO32/1.1</f>
        <v>2885.049818181822</v>
      </c>
      <c r="DP42" s="24">
        <f t="shared" si="177"/>
        <v>0.70909090909090988</v>
      </c>
      <c r="DQ42" s="42">
        <f t="shared" si="177"/>
        <v>2885.049818181822</v>
      </c>
      <c r="DR42" s="24">
        <f t="shared" si="177"/>
        <v>0.70909090909090988</v>
      </c>
      <c r="DS42" s="42">
        <f t="shared" si="177"/>
        <v>2885.049818181822</v>
      </c>
      <c r="DT42" s="24">
        <f t="shared" si="177"/>
        <v>0.70909090909090988</v>
      </c>
      <c r="DV42" s="42">
        <f t="shared" ref="DV42:DY42" si="178">DV32-DV32/1.1</f>
        <v>2885.049818181822</v>
      </c>
      <c r="DW42" s="24">
        <f t="shared" si="178"/>
        <v>0.70909090909090988</v>
      </c>
      <c r="DX42" s="42">
        <f t="shared" si="178"/>
        <v>2885.049818181822</v>
      </c>
      <c r="DY42" s="24">
        <f t="shared" si="178"/>
        <v>0.70909090909090988</v>
      </c>
      <c r="EA42" s="42">
        <f t="shared" ref="EA42:EB42" si="179">EA32-EA32/1.1</f>
        <v>2885.049818181822</v>
      </c>
      <c r="EB42" s="24">
        <f t="shared" si="179"/>
        <v>0.70909090909090988</v>
      </c>
      <c r="ED42" s="42">
        <f t="shared" ref="ED42:EE42" si="180">ED32-ED32/1.1</f>
        <v>2885.049818181822</v>
      </c>
      <c r="EE42" s="24">
        <f t="shared" si="180"/>
        <v>0.70909090909090988</v>
      </c>
      <c r="EG42" s="42">
        <f t="shared" ref="EG42:EH42" si="181">EG32-EG32/1.1</f>
        <v>2885.049818181822</v>
      </c>
      <c r="EH42" s="24">
        <f t="shared" si="181"/>
        <v>0.70909090909090988</v>
      </c>
      <c r="EJ42" s="42">
        <f t="shared" ref="EJ42:EK42" si="182">EJ32-EJ32/1.1</f>
        <v>2885.049818181822</v>
      </c>
      <c r="EK42" s="24">
        <f t="shared" si="182"/>
        <v>0.70909090909090988</v>
      </c>
      <c r="EM42" s="42">
        <f t="shared" ref="EM42:EN42" si="183">EM32-EM32/1.1</f>
        <v>2885.049818181822</v>
      </c>
      <c r="EN42" s="24">
        <f t="shared" si="183"/>
        <v>0.70909090909090988</v>
      </c>
      <c r="EP42" s="42">
        <f t="shared" ref="EP42:ES42" si="184">EP32-EP32/1.1</f>
        <v>2885.049818181822</v>
      </c>
      <c r="EQ42" s="24">
        <f t="shared" si="184"/>
        <v>0.70909090909090988</v>
      </c>
      <c r="ER42" s="42">
        <f t="shared" si="184"/>
        <v>2885.049818181822</v>
      </c>
      <c r="ES42" s="24">
        <f t="shared" si="184"/>
        <v>0.70909090909090988</v>
      </c>
      <c r="EU42" s="42">
        <f t="shared" ref="EU42:EV42" si="185">EU32-EU32/1.1</f>
        <v>2885.049818181822</v>
      </c>
      <c r="EV42" s="24">
        <f t="shared" si="185"/>
        <v>0.70909090909090988</v>
      </c>
      <c r="EX42" s="42">
        <f t="shared" ref="EX42:FC42" si="186">EX32-EX32/1.1</f>
        <v>2885.049818181822</v>
      </c>
      <c r="EY42" s="24">
        <f t="shared" si="186"/>
        <v>0.70909090909090988</v>
      </c>
      <c r="EZ42" s="42">
        <f t="shared" si="186"/>
        <v>2885.049818181822</v>
      </c>
      <c r="FA42" s="24">
        <f t="shared" si="186"/>
        <v>0.70909090909090988</v>
      </c>
      <c r="FB42" s="42">
        <f t="shared" si="186"/>
        <v>2885.049818181822</v>
      </c>
      <c r="FC42" s="24">
        <f t="shared" si="186"/>
        <v>0.70909090909090988</v>
      </c>
    </row>
    <row r="43" spans="1:159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Q43" si="187">+F44/F32</f>
        <v>0.11834688286022271</v>
      </c>
      <c r="G43" s="48">
        <f t="shared" si="187"/>
        <v>0.11834688286022284</v>
      </c>
      <c r="H43" s="47">
        <f t="shared" si="187"/>
        <v>0.10741041243992328</v>
      </c>
      <c r="I43" s="48">
        <f t="shared" si="187"/>
        <v>0.10741041243992336</v>
      </c>
      <c r="J43" s="361">
        <f t="shared" si="187"/>
        <v>9.4604091308702051E-2</v>
      </c>
      <c r="K43" s="362">
        <f t="shared" si="187"/>
        <v>9.4604091308702121E-2</v>
      </c>
      <c r="L43" s="361">
        <f t="shared" si="187"/>
        <v>9.4496303293195028E-2</v>
      </c>
      <c r="M43" s="362">
        <f t="shared" si="187"/>
        <v>9.4496303293195041E-2</v>
      </c>
      <c r="N43" s="361">
        <f t="shared" si="187"/>
        <v>9.4496303293195028E-2</v>
      </c>
      <c r="O43" s="362">
        <f t="shared" si="187"/>
        <v>9.4496303293195041E-2</v>
      </c>
      <c r="P43" s="361">
        <f t="shared" si="187"/>
        <v>0.90909090909090895</v>
      </c>
      <c r="Q43" s="362">
        <f t="shared" si="187"/>
        <v>9.4177021032776073E-2</v>
      </c>
      <c r="R43" s="635"/>
      <c r="S43" s="47" t="e">
        <f t="shared" ref="S43:AD43" si="188">+S44/S32</f>
        <v>#DIV/0!</v>
      </c>
      <c r="T43" s="48" t="e">
        <f t="shared" si="188"/>
        <v>#DIV/0!</v>
      </c>
      <c r="U43" s="47" t="e">
        <f t="shared" si="188"/>
        <v>#DIV/0!</v>
      </c>
      <c r="V43" s="48" t="e">
        <f t="shared" si="188"/>
        <v>#DIV/0!</v>
      </c>
      <c r="W43" s="361">
        <f t="shared" si="188"/>
        <v>0.90909090909090895</v>
      </c>
      <c r="X43" s="362">
        <f t="shared" si="188"/>
        <v>9.4690913089622269E-2</v>
      </c>
      <c r="Y43" s="361">
        <f t="shared" si="188"/>
        <v>0.90909090909090895</v>
      </c>
      <c r="Z43" s="362">
        <f t="shared" si="188"/>
        <v>9.4496303293195041E-2</v>
      </c>
      <c r="AA43" s="361">
        <f t="shared" si="188"/>
        <v>9.4496303293195028E-2</v>
      </c>
      <c r="AB43" s="362">
        <f t="shared" si="188"/>
        <v>9.4496303293195041E-2</v>
      </c>
      <c r="AC43" s="361">
        <f t="shared" si="188"/>
        <v>0.90909090909090895</v>
      </c>
      <c r="AD43" s="362">
        <f t="shared" si="188"/>
        <v>0.11925357323671866</v>
      </c>
      <c r="AE43" s="361" t="e">
        <f>'Pricing Structure - IIP'!#REF!</f>
        <v>#REF!</v>
      </c>
      <c r="AF43" s="362" t="e">
        <f>'Pricing Structure - IIP'!#REF!</f>
        <v>#REF!</v>
      </c>
      <c r="AG43" s="635"/>
      <c r="AH43" s="47" t="e">
        <f t="shared" ref="AH43:AS43" si="189">+AH44/AH32</f>
        <v>#DIV/0!</v>
      </c>
      <c r="AI43" s="48" t="e">
        <f t="shared" si="189"/>
        <v>#DIV/0!</v>
      </c>
      <c r="AJ43" s="47" t="e">
        <f t="shared" si="189"/>
        <v>#DIV/0!</v>
      </c>
      <c r="AK43" s="48" t="e">
        <f t="shared" si="189"/>
        <v>#DIV/0!</v>
      </c>
      <c r="AL43" s="361">
        <f t="shared" si="189"/>
        <v>0.90909090909090895</v>
      </c>
      <c r="AM43" s="362">
        <f t="shared" si="189"/>
        <v>7.4088140109552628E-2</v>
      </c>
      <c r="AN43" s="361">
        <f t="shared" si="189"/>
        <v>0.90909090909090895</v>
      </c>
      <c r="AO43" s="362">
        <f t="shared" si="189"/>
        <v>7.3747006554009328E-2</v>
      </c>
      <c r="AP43" s="361">
        <f t="shared" si="189"/>
        <v>7.374700655400937E-2</v>
      </c>
      <c r="AQ43" s="362">
        <f t="shared" si="189"/>
        <v>7.3747006554009328E-2</v>
      </c>
      <c r="AR43" s="361">
        <f t="shared" si="189"/>
        <v>7.3421127292297855E-2</v>
      </c>
      <c r="AS43" s="362">
        <f t="shared" si="189"/>
        <v>7.3421127292297883E-2</v>
      </c>
      <c r="AT43" s="361" t="e">
        <f>'Pricing Structure - IHAG'!#REF!</f>
        <v>#REF!</v>
      </c>
      <c r="AU43" s="362" t="e">
        <f>'Pricing Structure - IHAG'!#REF!</f>
        <v>#REF!</v>
      </c>
      <c r="AV43" s="635"/>
      <c r="AW43" s="361">
        <f t="shared" ref="AW43:BV43" si="190">+AW44/AW32</f>
        <v>7.3387018416244509E-2</v>
      </c>
      <c r="AX43" s="362">
        <f t="shared" si="190"/>
        <v>7.3387018416244537E-2</v>
      </c>
      <c r="AY43" s="63">
        <f t="shared" si="190"/>
        <v>0.10408057851239656</v>
      </c>
      <c r="AZ43" s="48">
        <f t="shared" si="190"/>
        <v>0.10408057851239663</v>
      </c>
      <c r="BA43" s="361">
        <f t="shared" si="190"/>
        <v>9.4683784161163159E-2</v>
      </c>
      <c r="BB43" s="362">
        <f t="shared" si="190"/>
        <v>9.4683784161163048E-2</v>
      </c>
      <c r="BC43" s="361">
        <f t="shared" si="190"/>
        <v>9.4496303293195028E-2</v>
      </c>
      <c r="BD43" s="362">
        <f t="shared" si="190"/>
        <v>9.4496303293195041E-2</v>
      </c>
      <c r="BE43" s="361">
        <f t="shared" si="190"/>
        <v>9.4496303293195028E-2</v>
      </c>
      <c r="BF43" s="362">
        <f t="shared" si="190"/>
        <v>9.4496303293195041E-2</v>
      </c>
      <c r="BG43" s="361">
        <f t="shared" si="190"/>
        <v>9.4167898682478421E-2</v>
      </c>
      <c r="BH43" s="362">
        <f t="shared" si="190"/>
        <v>9.4167898682478476E-2</v>
      </c>
      <c r="BI43" s="361">
        <f t="shared" si="190"/>
        <v>9.416789868247831E-2</v>
      </c>
      <c r="BJ43" s="362">
        <f t="shared" si="190"/>
        <v>9.4167898682478365E-2</v>
      </c>
      <c r="BK43" s="47">
        <f t="shared" si="190"/>
        <v>0.20232191983751535</v>
      </c>
      <c r="BL43" s="48">
        <f t="shared" si="190"/>
        <v>0.20232191983751549</v>
      </c>
      <c r="BM43" s="361">
        <f t="shared" si="190"/>
        <v>0.20035204269414789</v>
      </c>
      <c r="BN43" s="362">
        <f t="shared" si="190"/>
        <v>0.20035204269414789</v>
      </c>
      <c r="BO43" s="361">
        <f t="shared" si="190"/>
        <v>0.20035204269414789</v>
      </c>
      <c r="BP43" s="362">
        <f t="shared" si="190"/>
        <v>0.20035204269414789</v>
      </c>
      <c r="BQ43" s="361">
        <f t="shared" si="190"/>
        <v>0.15220096529818328</v>
      </c>
      <c r="BR43" s="362">
        <f t="shared" si="190"/>
        <v>0.15220096529818322</v>
      </c>
      <c r="BS43" s="47">
        <f t="shared" si="190"/>
        <v>7.6698564593301773E-3</v>
      </c>
      <c r="BT43" s="48">
        <f t="shared" si="190"/>
        <v>7.6698564593303386E-3</v>
      </c>
      <c r="BU43" s="361">
        <f t="shared" si="190"/>
        <v>7.6698564593301773E-3</v>
      </c>
      <c r="BV43" s="362">
        <f t="shared" si="190"/>
        <v>7.6698564593303386E-3</v>
      </c>
      <c r="BW43" s="361">
        <f t="shared" ref="BW43:BX43" si="191">+BW44/BW32</f>
        <v>7.6698564593301773E-3</v>
      </c>
      <c r="BX43" s="362">
        <f t="shared" si="191"/>
        <v>7.6698564593303386E-3</v>
      </c>
      <c r="BY43" s="361">
        <f t="shared" ref="BY43:BZ43" si="192">+BY44/BY32</f>
        <v>1.8542517263985876E-2</v>
      </c>
      <c r="BZ43" s="362">
        <f t="shared" si="192"/>
        <v>1.8542517263985876E-2</v>
      </c>
      <c r="CA43" s="47">
        <f>+CA44/CA32</f>
        <v>0.21134052799334818</v>
      </c>
      <c r="CB43" s="48">
        <f>+CB44/CB32</f>
        <v>0.21134052799334824</v>
      </c>
      <c r="CC43" s="361">
        <f>+CC44/CC32</f>
        <v>0.12193389689578689</v>
      </c>
      <c r="CD43" s="362">
        <f>+CD44/CD32</f>
        <v>0.12193389689578692</v>
      </c>
      <c r="CE43" s="361">
        <f t="shared" ref="CE43:CF43" si="193">+CE44/CE32</f>
        <v>0.12193389689578689</v>
      </c>
      <c r="CF43" s="362">
        <f t="shared" si="193"/>
        <v>0.12193389689578692</v>
      </c>
      <c r="CG43" s="361">
        <f t="shared" ref="CG43:CH43" si="194">+CG44/CG32</f>
        <v>0.13712353286197645</v>
      </c>
      <c r="CH43" s="362">
        <f t="shared" si="194"/>
        <v>0.13712353286197648</v>
      </c>
      <c r="CI43" s="361">
        <f t="shared" ref="CI43:CN43" si="195">+CI44/CI26</f>
        <v>0.26086380003741111</v>
      </c>
      <c r="CJ43" s="362">
        <f t="shared" si="195"/>
        <v>0.26086380003741122</v>
      </c>
      <c r="CK43" s="361">
        <f t="shared" si="195"/>
        <v>0.2623776154401154</v>
      </c>
      <c r="CL43" s="362">
        <f t="shared" si="195"/>
        <v>0.26237761544011551</v>
      </c>
      <c r="CM43" s="361">
        <f t="shared" si="195"/>
        <v>0.2623776154401154</v>
      </c>
      <c r="CN43" s="362">
        <f t="shared" si="195"/>
        <v>0.26237761544011551</v>
      </c>
      <c r="CO43" s="361">
        <f t="shared" ref="CO43:CP43" si="196">+CO44/CO32</f>
        <v>4.9542059330141995E-3</v>
      </c>
      <c r="CP43" s="362">
        <f t="shared" si="196"/>
        <v>4.9542059330141682E-3</v>
      </c>
      <c r="CR43" s="361">
        <f t="shared" ref="CR43:CW43" si="197">+CR44/CR26</f>
        <v>0.26086380003741111</v>
      </c>
      <c r="CS43" s="362">
        <f t="shared" si="197"/>
        <v>0.26086380003741122</v>
      </c>
      <c r="CT43" s="361">
        <f t="shared" si="197"/>
        <v>0.26309289321789314</v>
      </c>
      <c r="CU43" s="362">
        <f t="shared" si="197"/>
        <v>0.26309289321789325</v>
      </c>
      <c r="CV43" s="361">
        <f t="shared" si="197"/>
        <v>0.26309289321789314</v>
      </c>
      <c r="CW43" s="362">
        <f t="shared" si="197"/>
        <v>0.26309289321789325</v>
      </c>
      <c r="CX43" s="361">
        <f t="shared" ref="CX43:CY43" si="198">+CX44/CX32</f>
        <v>5.3070722488034235E-3</v>
      </c>
      <c r="CY43" s="362">
        <f t="shared" si="198"/>
        <v>5.3070722488034548E-3</v>
      </c>
      <c r="DA43" s="361">
        <f t="shared" ref="DA43:DF43" si="199">+DA44/DA26</f>
        <v>0.26086380003741111</v>
      </c>
      <c r="DB43" s="362">
        <f t="shared" si="199"/>
        <v>0.26086380003741122</v>
      </c>
      <c r="DC43" s="361">
        <f t="shared" si="199"/>
        <v>0.26309289321789314</v>
      </c>
      <c r="DD43" s="362">
        <f t="shared" si="199"/>
        <v>0.26309289321789325</v>
      </c>
      <c r="DE43" s="361">
        <f t="shared" si="199"/>
        <v>0.26309289321789314</v>
      </c>
      <c r="DF43" s="362">
        <f t="shared" si="199"/>
        <v>0.26309289321789325</v>
      </c>
      <c r="DH43" s="361">
        <f t="shared" ref="DH43:DM43" si="200">+DH44/DH32</f>
        <v>0.14300656895293221</v>
      </c>
      <c r="DI43" s="362">
        <f t="shared" si="200"/>
        <v>0.14300656895293223</v>
      </c>
      <c r="DJ43" s="361">
        <f t="shared" si="200"/>
        <v>0.14688873209314957</v>
      </c>
      <c r="DK43" s="362">
        <f t="shared" si="200"/>
        <v>0.14688873209314959</v>
      </c>
      <c r="DL43" s="361">
        <f t="shared" si="200"/>
        <v>0.14300656895293221</v>
      </c>
      <c r="DM43" s="362">
        <f t="shared" si="200"/>
        <v>0.14300656895293223</v>
      </c>
      <c r="DO43" s="361">
        <f t="shared" ref="DO43:DT43" si="201">+DO44/DO32</f>
        <v>0.14300656895293221</v>
      </c>
      <c r="DP43" s="362">
        <f t="shared" si="201"/>
        <v>0.14300656895293223</v>
      </c>
      <c r="DQ43" s="361">
        <f t="shared" si="201"/>
        <v>0.14688873209314957</v>
      </c>
      <c r="DR43" s="362">
        <f t="shared" si="201"/>
        <v>0.14688873209314959</v>
      </c>
      <c r="DS43" s="361">
        <f t="shared" si="201"/>
        <v>0.14300656895293221</v>
      </c>
      <c r="DT43" s="362">
        <f t="shared" si="201"/>
        <v>0.14300656895293223</v>
      </c>
      <c r="DV43" s="361">
        <f t="shared" ref="DV43:DY43" si="202">+DV44/DV32</f>
        <v>0.14300656895293221</v>
      </c>
      <c r="DW43" s="362">
        <f t="shared" si="202"/>
        <v>0.14300656895293223</v>
      </c>
      <c r="DX43" s="361">
        <f t="shared" si="202"/>
        <v>0.14688873209314957</v>
      </c>
      <c r="DY43" s="362">
        <f t="shared" si="202"/>
        <v>0.14688873209314959</v>
      </c>
      <c r="EA43" s="361">
        <f t="shared" ref="EA43:EB43" si="203">+EA44/EA32</f>
        <v>0.14300656895293221</v>
      </c>
      <c r="EB43" s="362">
        <f t="shared" si="203"/>
        <v>0.14300656895293223</v>
      </c>
      <c r="ED43" s="361">
        <f t="shared" ref="ED43:EE43" si="204">+ED44/ED32</f>
        <v>0.14688873209314957</v>
      </c>
      <c r="EE43" s="362">
        <f t="shared" si="204"/>
        <v>0.14688873209314959</v>
      </c>
      <c r="EG43" s="361">
        <f t="shared" ref="EG43:EH43" si="205">+EG44/EG32</f>
        <v>0.14688873209314957</v>
      </c>
      <c r="EH43" s="362">
        <f t="shared" si="205"/>
        <v>0.14688873209314959</v>
      </c>
      <c r="EJ43" s="361">
        <f t="shared" ref="EJ43:EK43" si="206">+EJ44/EJ32</f>
        <v>0.14300656895293221</v>
      </c>
      <c r="EK43" s="362">
        <f t="shared" si="206"/>
        <v>0.14300656895293223</v>
      </c>
      <c r="EM43" s="361">
        <f t="shared" ref="EM43:EN43" si="207">+EM44/EM32</f>
        <v>0.14688873209314957</v>
      </c>
      <c r="EN43" s="362">
        <f t="shared" si="207"/>
        <v>0.14688873209314959</v>
      </c>
      <c r="EP43" s="361">
        <f t="shared" ref="EP43:ES43" si="208">+EP44/EP32</f>
        <v>0.14688873209314957</v>
      </c>
      <c r="EQ43" s="362">
        <f t="shared" si="208"/>
        <v>0.14688873209314959</v>
      </c>
      <c r="ER43" s="361">
        <f t="shared" si="208"/>
        <v>0.14300656895293221</v>
      </c>
      <c r="ES43" s="362">
        <f t="shared" si="208"/>
        <v>0.14300656895293223</v>
      </c>
      <c r="ET43" s="4"/>
      <c r="EU43" s="361">
        <f t="shared" ref="EU43:EV43" si="209">+EU44/EU32</f>
        <v>0.14688873209314957</v>
      </c>
      <c r="EV43" s="362">
        <f t="shared" si="209"/>
        <v>0.14688873209314959</v>
      </c>
      <c r="EX43" s="361">
        <f t="shared" ref="EX43:FC43" si="210">+EX44/EX32</f>
        <v>0.14300656895293221</v>
      </c>
      <c r="EY43" s="362">
        <f t="shared" si="210"/>
        <v>0.14300656895293223</v>
      </c>
      <c r="EZ43" s="361">
        <f t="shared" si="210"/>
        <v>0.14688873209314957</v>
      </c>
      <c r="FA43" s="362">
        <f t="shared" si="210"/>
        <v>0.14688873209314959</v>
      </c>
      <c r="FB43" s="361">
        <f t="shared" si="210"/>
        <v>0.14300656895293221</v>
      </c>
      <c r="FC43" s="362">
        <f t="shared" si="210"/>
        <v>0.14300656895293223</v>
      </c>
    </row>
    <row r="44" spans="1:159" s="4" customFormat="1" ht="18" customHeight="1" x14ac:dyDescent="0.45">
      <c r="A44" s="561"/>
      <c r="B44" s="1194"/>
      <c r="C44" s="15" t="s">
        <v>48</v>
      </c>
      <c r="D44" s="16"/>
      <c r="E44" s="35"/>
      <c r="F44" s="42">
        <f t="shared" ref="F44:Q44" si="211">+F32-F45-F41</f>
        <v>3543.9373611570227</v>
      </c>
      <c r="G44" s="24">
        <f t="shared" si="211"/>
        <v>0.87103305785124008</v>
      </c>
      <c r="H44" s="42">
        <f t="shared" si="211"/>
        <v>3216.4410622687419</v>
      </c>
      <c r="I44" s="24">
        <f t="shared" si="211"/>
        <v>0.79054063555783594</v>
      </c>
      <c r="J44" s="42">
        <f t="shared" si="211"/>
        <v>2824.3860705040443</v>
      </c>
      <c r="K44" s="24">
        <f t="shared" si="211"/>
        <v>0.69418090243570274</v>
      </c>
      <c r="L44" s="42">
        <f t="shared" si="211"/>
        <v>2821.168081034943</v>
      </c>
      <c r="M44" s="24">
        <f t="shared" si="211"/>
        <v>0.69338998123090734</v>
      </c>
      <c r="N44" s="42">
        <f t="shared" si="211"/>
        <v>2821.168081034943</v>
      </c>
      <c r="O44" s="24">
        <f t="shared" si="211"/>
        <v>0.69338998123090734</v>
      </c>
      <c r="P44" s="42">
        <f t="shared" si="211"/>
        <v>27140.725786158906</v>
      </c>
      <c r="Q44" s="24">
        <f t="shared" si="211"/>
        <v>0.69104716873090533</v>
      </c>
      <c r="R44" s="269"/>
      <c r="S44" s="42">
        <f t="shared" ref="S44:AD44" si="212">+S32-S45-S41</f>
        <v>0</v>
      </c>
      <c r="T44" s="24" t="e">
        <f t="shared" si="212"/>
        <v>#DIV/0!</v>
      </c>
      <c r="U44" s="42">
        <f t="shared" si="212"/>
        <v>0</v>
      </c>
      <c r="V44" s="24" t="e">
        <f t="shared" si="212"/>
        <v>#DIV/0!</v>
      </c>
      <c r="W44" s="42">
        <f t="shared" si="212"/>
        <v>27140.72578615891</v>
      </c>
      <c r="X44" s="24">
        <f t="shared" si="212"/>
        <v>0.69481797871217754</v>
      </c>
      <c r="Y44" s="42">
        <f t="shared" si="212"/>
        <v>27140.72578615891</v>
      </c>
      <c r="Z44" s="24">
        <f t="shared" si="212"/>
        <v>0.69338998123090734</v>
      </c>
      <c r="AA44" s="42">
        <f t="shared" si="212"/>
        <v>2821.168081034943</v>
      </c>
      <c r="AB44" s="24">
        <f t="shared" si="212"/>
        <v>0.69338998123090734</v>
      </c>
      <c r="AC44" s="42">
        <f t="shared" si="212"/>
        <v>27991.445604340726</v>
      </c>
      <c r="AD44" s="24">
        <f t="shared" si="212"/>
        <v>0.90248089032181633</v>
      </c>
      <c r="AE44" s="42" t="e">
        <f>'Pricing Structure - IIP'!#REF!</f>
        <v>#REF!</v>
      </c>
      <c r="AF44" s="24" t="e">
        <f>'Pricing Structure - IIP'!#REF!</f>
        <v>#REF!</v>
      </c>
      <c r="AG44" s="269"/>
      <c r="AH44" s="42">
        <f t="shared" ref="AH44:AS44" si="213">+AH32-AH45-AH41</f>
        <v>0</v>
      </c>
      <c r="AI44" s="24" t="e">
        <f t="shared" si="213"/>
        <v>#DIV/0!</v>
      </c>
      <c r="AJ44" s="42">
        <f t="shared" si="213"/>
        <v>0</v>
      </c>
      <c r="AK44" s="24" t="e">
        <f t="shared" si="213"/>
        <v>#DIV/0!</v>
      </c>
      <c r="AL44" s="42">
        <f t="shared" si="213"/>
        <v>27351.04848204185</v>
      </c>
      <c r="AM44" s="24">
        <f t="shared" si="213"/>
        <v>0.54785289094904754</v>
      </c>
      <c r="AN44" s="42">
        <f t="shared" si="213"/>
        <v>27351.04848204185</v>
      </c>
      <c r="AO44" s="24">
        <f t="shared" si="213"/>
        <v>0.54533034139755698</v>
      </c>
      <c r="AP44" s="42">
        <f t="shared" si="213"/>
        <v>2218.7637468305852</v>
      </c>
      <c r="AQ44" s="24">
        <f t="shared" si="213"/>
        <v>0.54533034139755698</v>
      </c>
      <c r="AR44" s="42">
        <f t="shared" si="213"/>
        <v>2208.9592933955855</v>
      </c>
      <c r="AS44" s="24">
        <f t="shared" si="213"/>
        <v>0.54292059139755744</v>
      </c>
      <c r="AT44" s="42" t="e">
        <f>'Pricing Structure - IHAG'!#REF!</f>
        <v>#REF!</v>
      </c>
      <c r="AU44" s="24" t="e">
        <f>'Pricing Structure - IHAG'!#REF!</f>
        <v>#REF!</v>
      </c>
      <c r="AV44" s="269"/>
      <c r="AW44" s="42">
        <f t="shared" ref="AW44:BV44" si="214">+AW32-AW45-AW41</f>
        <v>2207.9330885207219</v>
      </c>
      <c r="AX44" s="24">
        <f t="shared" si="214"/>
        <v>0.5426683695665705</v>
      </c>
      <c r="AY44" s="42">
        <f t="shared" si="214"/>
        <v>3116.7280611570209</v>
      </c>
      <c r="AZ44" s="24">
        <f t="shared" si="214"/>
        <v>0.76603305785123921</v>
      </c>
      <c r="BA44" s="42">
        <f t="shared" si="214"/>
        <v>2827.416021004909</v>
      </c>
      <c r="BB44" s="24">
        <f t="shared" si="214"/>
        <v>0.6949256072035771</v>
      </c>
      <c r="BC44" s="42">
        <f t="shared" si="214"/>
        <v>2821.168081034943</v>
      </c>
      <c r="BD44" s="24">
        <f t="shared" si="214"/>
        <v>0.69338998123090734</v>
      </c>
      <c r="BE44" s="42">
        <f t="shared" si="214"/>
        <v>2821.168081034943</v>
      </c>
      <c r="BF44" s="24">
        <f t="shared" si="214"/>
        <v>0.69338998123090734</v>
      </c>
      <c r="BG44" s="42">
        <f t="shared" si="214"/>
        <v>2811.3636275999361</v>
      </c>
      <c r="BH44" s="24">
        <f t="shared" si="214"/>
        <v>0.69098023123090602</v>
      </c>
      <c r="BI44" s="42">
        <f t="shared" si="214"/>
        <v>2811.3636275999324</v>
      </c>
      <c r="BJ44" s="24">
        <f t="shared" si="214"/>
        <v>0.69098023123090513</v>
      </c>
      <c r="BK44" s="42">
        <f t="shared" si="214"/>
        <v>4952.8405976223758</v>
      </c>
      <c r="BL44" s="24">
        <f t="shared" si="214"/>
        <v>1.2173149384864745</v>
      </c>
      <c r="BM44" s="42">
        <f t="shared" si="214"/>
        <v>4890.9860521678302</v>
      </c>
      <c r="BN44" s="24">
        <f t="shared" si="214"/>
        <v>1.2021122561648874</v>
      </c>
      <c r="BO44" s="42">
        <f t="shared" si="214"/>
        <v>4890.9860521678302</v>
      </c>
      <c r="BP44" s="24">
        <f t="shared" si="214"/>
        <v>1.2021122561648874</v>
      </c>
      <c r="BQ44" s="42">
        <f t="shared" si="214"/>
        <v>3777.4492747676486</v>
      </c>
      <c r="BR44" s="24">
        <f t="shared" si="214"/>
        <v>0.92842588831891759</v>
      </c>
      <c r="BS44" s="42">
        <f t="shared" si="214"/>
        <v>134.75334669421545</v>
      </c>
      <c r="BT44" s="24">
        <f t="shared" si="214"/>
        <v>3.3119834710744644E-2</v>
      </c>
      <c r="BU44" s="42">
        <f t="shared" si="214"/>
        <v>134.75334669421545</v>
      </c>
      <c r="BV44" s="24">
        <f t="shared" si="214"/>
        <v>3.3119834710744644E-2</v>
      </c>
      <c r="BW44" s="42">
        <f t="shared" ref="BW44:BX44" si="215">+BW32-BW45-BW41</f>
        <v>134.75334669421545</v>
      </c>
      <c r="BX44" s="24">
        <f t="shared" si="215"/>
        <v>3.3119834710744644E-2</v>
      </c>
      <c r="BY44" s="42">
        <f t="shared" ref="BY44:BZ44" si="216">+BY32-BY45-BY41</f>
        <v>356.64057374063782</v>
      </c>
      <c r="BZ44" s="24">
        <f t="shared" si="216"/>
        <v>8.765553615702415E-2</v>
      </c>
      <c r="CA44" s="42">
        <f>+CA32-CA45-CA41</f>
        <v>7070.6087045454587</v>
      </c>
      <c r="CB44" s="24">
        <f>+CB32-CB45-CB41</f>
        <v>1.7378224537182907</v>
      </c>
      <c r="CC44" s="42">
        <f>+CC32-CC45-CC41</f>
        <v>3616.0729469696889</v>
      </c>
      <c r="CD44" s="24">
        <f>+CD32-CD45-CD41</f>
        <v>0.88876262626262448</v>
      </c>
      <c r="CE44" s="42">
        <f t="shared" ref="CE44:CF44" si="217">+CE32-CE45-CE41</f>
        <v>3616.0729469696889</v>
      </c>
      <c r="CF44" s="24">
        <f t="shared" si="217"/>
        <v>0.88876262626262448</v>
      </c>
      <c r="CG44" s="42">
        <f t="shared" ref="CG44:CH44" si="218">+CG32-CG45-CG41</f>
        <v>4413.6803516501877</v>
      </c>
      <c r="CH44" s="24">
        <f t="shared" si="218"/>
        <v>1.0847995044191918</v>
      </c>
      <c r="CI44" s="42">
        <f t="shared" ref="CI44:CN44" si="219">+CI26-CI45-CI41</f>
        <v>11128.887352942042</v>
      </c>
      <c r="CJ44" s="24">
        <f t="shared" si="219"/>
        <v>2.7352709130136326</v>
      </c>
      <c r="CK44" s="42">
        <f t="shared" si="219"/>
        <v>11193.469257703946</v>
      </c>
      <c r="CL44" s="24">
        <f t="shared" si="219"/>
        <v>2.7511439288866484</v>
      </c>
      <c r="CM44" s="42">
        <f t="shared" si="219"/>
        <v>11193.469257703946</v>
      </c>
      <c r="CN44" s="24">
        <f t="shared" si="219"/>
        <v>2.7511439288866484</v>
      </c>
      <c r="CO44" s="42">
        <f t="shared" ref="CO44:CP44" si="220">+CO32-CO45-CO41</f>
        <v>79.788043899361128</v>
      </c>
      <c r="CP44" s="24">
        <f t="shared" si="220"/>
        <v>1.9610398484847746E-2</v>
      </c>
      <c r="CR44" s="42">
        <f t="shared" ref="CR44:CW44" si="221">+CR26-CR45-CR41</f>
        <v>11128.887352942042</v>
      </c>
      <c r="CS44" s="24">
        <f t="shared" si="221"/>
        <v>2.7352709130136326</v>
      </c>
      <c r="CT44" s="42">
        <f t="shared" si="221"/>
        <v>11223.984207703943</v>
      </c>
      <c r="CU44" s="24">
        <f t="shared" si="221"/>
        <v>2.7586439288866478</v>
      </c>
      <c r="CV44" s="42">
        <f t="shared" si="221"/>
        <v>11223.984207703943</v>
      </c>
      <c r="CW44" s="24">
        <f t="shared" si="221"/>
        <v>2.7586439288866478</v>
      </c>
      <c r="CX44" s="42">
        <f t="shared" ref="CX44:CY44" si="222">+CX32-CX45-CX41</f>
        <v>85.470995612607112</v>
      </c>
      <c r="CY44" s="24">
        <f t="shared" si="222"/>
        <v>2.1007160984847006E-2</v>
      </c>
      <c r="DA44" s="42">
        <f t="shared" ref="DA44:DF44" si="223">+DA26-DA45-DA41</f>
        <v>11128.887352942042</v>
      </c>
      <c r="DB44" s="24">
        <f t="shared" si="223"/>
        <v>2.7352709130136326</v>
      </c>
      <c r="DC44" s="42">
        <f t="shared" si="223"/>
        <v>11223.984207703943</v>
      </c>
      <c r="DD44" s="24">
        <f t="shared" si="223"/>
        <v>2.7586439288866478</v>
      </c>
      <c r="DE44" s="42">
        <f t="shared" si="223"/>
        <v>11223.984207703943</v>
      </c>
      <c r="DF44" s="24">
        <f t="shared" si="223"/>
        <v>2.7586439288866478</v>
      </c>
      <c r="DH44" s="24">
        <f t="shared" ref="DH44:DM44" si="224">+DH32-DH45-DH41</f>
        <v>4538.3918333210895</v>
      </c>
      <c r="DI44" s="24">
        <f t="shared" si="224"/>
        <v>1.1154512378328714</v>
      </c>
      <c r="DJ44" s="24">
        <f t="shared" si="224"/>
        <v>4661.5944080012887</v>
      </c>
      <c r="DK44" s="24">
        <f t="shared" si="224"/>
        <v>1.1457321103265667</v>
      </c>
      <c r="DL44" s="24">
        <f t="shared" si="224"/>
        <v>4538.3918333210895</v>
      </c>
      <c r="DM44" s="24">
        <f t="shared" si="224"/>
        <v>1.1154512378328714</v>
      </c>
      <c r="DO44" s="24">
        <f t="shared" ref="DO44:DT44" si="225">+DO32-DO45-DO41</f>
        <v>4538.3918333210895</v>
      </c>
      <c r="DP44" s="24">
        <f t="shared" si="225"/>
        <v>1.1154512378328714</v>
      </c>
      <c r="DQ44" s="24">
        <f t="shared" si="225"/>
        <v>4661.5944080012887</v>
      </c>
      <c r="DR44" s="24">
        <f t="shared" si="225"/>
        <v>1.1457321103265667</v>
      </c>
      <c r="DS44" s="24">
        <f t="shared" si="225"/>
        <v>4538.3918333210895</v>
      </c>
      <c r="DT44" s="24">
        <f t="shared" si="225"/>
        <v>1.1154512378328714</v>
      </c>
      <c r="DV44" s="24">
        <f t="shared" ref="DV44:DY44" si="226">+DV32-DV45-DV41</f>
        <v>4538.3918333210895</v>
      </c>
      <c r="DW44" s="24">
        <f t="shared" si="226"/>
        <v>1.1154512378328714</v>
      </c>
      <c r="DX44" s="24">
        <f t="shared" si="226"/>
        <v>4661.5944080012887</v>
      </c>
      <c r="DY44" s="24">
        <f t="shared" si="226"/>
        <v>1.1457321103265667</v>
      </c>
      <c r="EA44" s="24">
        <f t="shared" ref="EA44:EB44" si="227">+EA32-EA45-EA41</f>
        <v>4538.3918333210895</v>
      </c>
      <c r="EB44" s="24">
        <f t="shared" si="227"/>
        <v>1.1154512378328714</v>
      </c>
      <c r="ED44" s="24">
        <f t="shared" ref="ED44:EE44" si="228">+ED32-ED45-ED41</f>
        <v>4661.5944080012887</v>
      </c>
      <c r="EE44" s="24">
        <f t="shared" si="228"/>
        <v>1.1457321103265667</v>
      </c>
      <c r="EG44" s="24">
        <f t="shared" ref="EG44:EH44" si="229">+EG32-EG45-EG41</f>
        <v>4661.5944080012887</v>
      </c>
      <c r="EH44" s="24">
        <f t="shared" si="229"/>
        <v>1.1457321103265667</v>
      </c>
      <c r="EJ44" s="24">
        <f t="shared" ref="EJ44:EK44" si="230">+EJ32-EJ45-EJ41</f>
        <v>4538.3918333210895</v>
      </c>
      <c r="EK44" s="24">
        <f t="shared" si="230"/>
        <v>1.1154512378328714</v>
      </c>
      <c r="EM44" s="24">
        <f t="shared" ref="EM44:EN44" si="231">+EM32-EM45-EM41</f>
        <v>4661.5944080012887</v>
      </c>
      <c r="EN44" s="24">
        <f t="shared" si="231"/>
        <v>1.1457321103265667</v>
      </c>
      <c r="EP44" s="24">
        <f t="shared" ref="EP44:ES44" si="232">+EP32-EP45-EP41</f>
        <v>4661.5944080012887</v>
      </c>
      <c r="EQ44" s="24">
        <f t="shared" si="232"/>
        <v>1.1457321103265667</v>
      </c>
      <c r="ER44" s="24">
        <f t="shared" si="232"/>
        <v>4538.3918333210895</v>
      </c>
      <c r="ES44" s="24">
        <f t="shared" si="232"/>
        <v>1.1154512378328714</v>
      </c>
      <c r="EU44" s="24">
        <f t="shared" ref="EU44:EV44" si="233">+EU32-EU45-EU41</f>
        <v>4661.5944080012887</v>
      </c>
      <c r="EV44" s="24">
        <f t="shared" si="233"/>
        <v>1.1457321103265667</v>
      </c>
      <c r="EX44" s="24">
        <f t="shared" ref="EX44:FC44" si="234">+EX32-EX45-EX41</f>
        <v>4538.3918333210895</v>
      </c>
      <c r="EY44" s="24">
        <f t="shared" si="234"/>
        <v>1.1154512378328714</v>
      </c>
      <c r="EZ44" s="24">
        <f t="shared" si="234"/>
        <v>4661.5944080012887</v>
      </c>
      <c r="FA44" s="24">
        <f t="shared" si="234"/>
        <v>1.1457321103265667</v>
      </c>
      <c r="FB44" s="24">
        <f t="shared" si="234"/>
        <v>4538.3918333210895</v>
      </c>
      <c r="FC44" s="24">
        <f t="shared" si="234"/>
        <v>1.1154512378328714</v>
      </c>
    </row>
    <row r="45" spans="1:159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25857.864250661154</v>
      </c>
      <c r="G45" s="32">
        <f>+G49</f>
        <v>6.3553760330578504</v>
      </c>
      <c r="H45" s="66">
        <f>+I49*H12</f>
        <v>26218.110179438263</v>
      </c>
      <c r="I45" s="32">
        <f>+I49</f>
        <v>6.443917697580595</v>
      </c>
      <c r="J45" s="66">
        <f>+K49*J12</f>
        <v>26558.831435154236</v>
      </c>
      <c r="K45" s="32">
        <f>+K49</f>
        <v>6.527660565187122</v>
      </c>
      <c r="L45" s="66">
        <f>+M49*L12</f>
        <v>26562.371223570248</v>
      </c>
      <c r="M45" s="32">
        <f>+M49</f>
        <v>6.528530578512397</v>
      </c>
      <c r="N45" s="66">
        <f>+O49*N12</f>
        <v>26562.371223570248</v>
      </c>
      <c r="O45" s="32">
        <f>+O49</f>
        <v>6.528530578512397</v>
      </c>
      <c r="P45" s="66">
        <f>+Q49*P12</f>
        <v>0</v>
      </c>
      <c r="Q45" s="32">
        <f>+Q49</f>
        <v>6.5311076722623982</v>
      </c>
      <c r="R45" s="271"/>
      <c r="S45" s="66">
        <f>+T49*S12</f>
        <v>0</v>
      </c>
      <c r="T45" s="32">
        <f>+T49</f>
        <v>6.3404999999999996</v>
      </c>
      <c r="U45" s="66">
        <f>+V49*U12</f>
        <v>0</v>
      </c>
      <c r="V45" s="32">
        <f>+V49</f>
        <v>6.4559999999999995</v>
      </c>
      <c r="W45" s="66">
        <f>+X49*W12</f>
        <v>0</v>
      </c>
      <c r="X45" s="32">
        <f>+X49</f>
        <v>6.5269597812829998</v>
      </c>
      <c r="Y45" s="66">
        <f>+Z49*Y12</f>
        <v>0</v>
      </c>
      <c r="Z45" s="32">
        <f>+Z49</f>
        <v>6.528530578512397</v>
      </c>
      <c r="AA45" s="66">
        <f>+AB49*AA12</f>
        <v>26562.371223570248</v>
      </c>
      <c r="AB45" s="32">
        <f>+AB49</f>
        <v>6.528530578512397</v>
      </c>
      <c r="AC45" s="66">
        <f>+AD49*AC12</f>
        <v>0</v>
      </c>
      <c r="AD45" s="32">
        <f>+AD49</f>
        <v>6.528530578512397</v>
      </c>
      <c r="AE45" s="66" t="e">
        <f>'Pricing Structure - IIP'!#REF!</f>
        <v>#REF!</v>
      </c>
      <c r="AF45" s="32" t="e">
        <f>'Pricing Structure - IIP'!#REF!</f>
        <v>#REF!</v>
      </c>
      <c r="AG45" s="271"/>
      <c r="AH45" s="66">
        <f>+AI49*AH12</f>
        <v>0</v>
      </c>
      <c r="AI45" s="32">
        <f>+AI49</f>
        <v>6.3975422535211264</v>
      </c>
      <c r="AJ45" s="66">
        <f>+AK49*AJ12</f>
        <v>0</v>
      </c>
      <c r="AK45" s="32">
        <f>+AK49</f>
        <v>6.4909003458739551</v>
      </c>
      <c r="AL45" s="66">
        <f>+AM49*AL12</f>
        <v>0</v>
      </c>
      <c r="AM45" s="32">
        <f>+AM49</f>
        <v>6.7412674490144866</v>
      </c>
      <c r="AN45" s="66">
        <f>+AO49*AN12</f>
        <v>0</v>
      </c>
      <c r="AO45" s="32">
        <f>+AO49</f>
        <v>6.7440422535211262</v>
      </c>
      <c r="AP45" s="66">
        <f>+AQ49*AP12</f>
        <v>27439.214955211264</v>
      </c>
      <c r="AQ45" s="32">
        <f>+AQ49</f>
        <v>6.7440422535211262</v>
      </c>
      <c r="AR45" s="66">
        <f>+AS49*AR12</f>
        <v>27449.999853989764</v>
      </c>
      <c r="AS45" s="32">
        <f>+AS49</f>
        <v>6.7466929785211258</v>
      </c>
      <c r="AT45" s="66" t="e">
        <f>'Pricing Structure - IHAG'!#REF!</f>
        <v>#REF!</v>
      </c>
      <c r="AU45" s="32" t="e">
        <f>'Pricing Structure - IHAG'!#REF!</f>
        <v>#REF!</v>
      </c>
      <c r="AV45" s="271"/>
      <c r="AW45" s="66">
        <f>+AX49*AW12</f>
        <v>27451.128679352114</v>
      </c>
      <c r="AX45" s="32">
        <f>+AX49</f>
        <v>6.7469704225352114</v>
      </c>
      <c r="AY45" s="271">
        <f>+AZ49*AY12</f>
        <v>26327.794480661156</v>
      </c>
      <c r="AZ45" s="32">
        <f>+AZ49</f>
        <v>6.4708760330578512</v>
      </c>
      <c r="BA45" s="66">
        <f>+BB49*BA12</f>
        <v>26562.371223570248</v>
      </c>
      <c r="BB45" s="32">
        <f>+BB49</f>
        <v>6.528530578512397</v>
      </c>
      <c r="BC45" s="66">
        <f>+BD49*BC12</f>
        <v>26562.371223570248</v>
      </c>
      <c r="BD45" s="32">
        <f>+BD49</f>
        <v>6.528530578512397</v>
      </c>
      <c r="BE45" s="66">
        <f>+BF49*BE12</f>
        <v>26562.371223570248</v>
      </c>
      <c r="BF45" s="32">
        <f>+BF49</f>
        <v>6.528530578512397</v>
      </c>
      <c r="BG45" s="66">
        <f>+BH49*BG12</f>
        <v>26573.156122348755</v>
      </c>
      <c r="BH45" s="32">
        <f>+BH49</f>
        <v>6.5311813035123985</v>
      </c>
      <c r="BI45" s="66">
        <f>+BJ49*BI12</f>
        <v>26573.156122348755</v>
      </c>
      <c r="BJ45" s="32">
        <f>+BJ49</f>
        <v>6.5311813035123985</v>
      </c>
      <c r="BK45" s="66">
        <f>+BL49*BK12</f>
        <v>18883.624573384615</v>
      </c>
      <c r="BL45" s="32">
        <f>+BL49</f>
        <v>4.6412392712550607</v>
      </c>
      <c r="BM45" s="66">
        <f>+BN49*BM12</f>
        <v>18883.624573384615</v>
      </c>
      <c r="BN45" s="32">
        <f>+BN49</f>
        <v>4.6412392712550607</v>
      </c>
      <c r="BO45" s="66">
        <f>+BP49*BO12</f>
        <v>18883.624573384615</v>
      </c>
      <c r="BP45" s="32">
        <f>+BP49</f>
        <v>4.6412392712550607</v>
      </c>
      <c r="BQ45" s="66">
        <f>+BR49*BQ12</f>
        <v>20515.381028524815</v>
      </c>
      <c r="BR45" s="32">
        <f>+BR49</f>
        <v>5.0422942758856273</v>
      </c>
      <c r="BS45" s="66">
        <f>+BT49*BS12</f>
        <v>17268.410204999996</v>
      </c>
      <c r="BT45" s="32">
        <f>+BT49</f>
        <v>4.2442499999999992</v>
      </c>
      <c r="BU45" s="66">
        <f>+BV49*BU12</f>
        <v>17268.410204999996</v>
      </c>
      <c r="BV45" s="32">
        <f>+BV49</f>
        <v>4.2442499999999992</v>
      </c>
      <c r="BW45" s="66">
        <f>+BX49*BW12</f>
        <v>17268.410204999996</v>
      </c>
      <c r="BX45" s="32">
        <f>+BX49</f>
        <v>4.2442499999999992</v>
      </c>
      <c r="BY45" s="66">
        <f>+BZ49*BY12</f>
        <v>18688.786073430751</v>
      </c>
      <c r="BZ45" s="32">
        <f>+BZ49</f>
        <v>4.5933516375000005</v>
      </c>
      <c r="CA45" s="66">
        <f>+CB49*CA12</f>
        <v>25373.180925000001</v>
      </c>
      <c r="CB45" s="32">
        <f>+CB49</f>
        <v>6.2362500000000001</v>
      </c>
      <c r="CC45" s="66">
        <f>+CD49*CC12</f>
        <v>25373.180925000001</v>
      </c>
      <c r="CD45" s="32">
        <f>+CD49</f>
        <v>6.2362500000000001</v>
      </c>
      <c r="CE45" s="66">
        <f>+CF49*CE12</f>
        <v>25373.180925000001</v>
      </c>
      <c r="CF45" s="32">
        <f>+CF49</f>
        <v>6.2362500000000001</v>
      </c>
      <c r="CG45" s="66">
        <f>+CH49*CG12</f>
        <v>27027.423446518125</v>
      </c>
      <c r="CH45" s="32">
        <f>+CH49</f>
        <v>6.6428316562500003</v>
      </c>
      <c r="CI45" s="66">
        <f>+CJ49*CI12</f>
        <v>30239.07224833333</v>
      </c>
      <c r="CJ45" s="32">
        <f>+CJ49</f>
        <v>7.4321944444444439</v>
      </c>
      <c r="CK45" s="66">
        <f>+CL49*CK12</f>
        <v>30174.490343571426</v>
      </c>
      <c r="CL45" s="32">
        <f>+CL49</f>
        <v>7.4163214285714281</v>
      </c>
      <c r="CM45" s="66">
        <f>+CN49*CM12</f>
        <v>30174.490343571426</v>
      </c>
      <c r="CN45" s="32">
        <f>+CN49</f>
        <v>7.4163214285714281</v>
      </c>
      <c r="CO45" s="66">
        <f>+CP49*CO12</f>
        <v>15864.770901710699</v>
      </c>
      <c r="CP45" s="32">
        <f>+CP49</f>
        <v>3.899261895</v>
      </c>
      <c r="CR45" s="66">
        <f>+CS49*CR12</f>
        <v>30239.07224833333</v>
      </c>
      <c r="CS45" s="32">
        <f>+CS49</f>
        <v>7.4321944444444439</v>
      </c>
      <c r="CT45" s="66">
        <f>+CU49*CT12</f>
        <v>30140.923898571429</v>
      </c>
      <c r="CU45" s="32">
        <f>+CU49</f>
        <v>7.4080714285714286</v>
      </c>
      <c r="CV45" s="66">
        <f>+CW49*CV12</f>
        <v>30140.923898571429</v>
      </c>
      <c r="CW45" s="32">
        <f>+CW49</f>
        <v>7.4080714285714286</v>
      </c>
      <c r="CX45" s="66">
        <f>+CY49*CX12</f>
        <v>15858.519654826128</v>
      </c>
      <c r="CY45" s="32">
        <f>+CY49</f>
        <v>3.8977254562500008</v>
      </c>
      <c r="DA45" s="66">
        <f>+DB49*DA12</f>
        <v>30239.07224833333</v>
      </c>
      <c r="DB45" s="32">
        <f>+DB49</f>
        <v>7.4321944444444439</v>
      </c>
      <c r="DC45" s="66">
        <f>+DD49*DC12</f>
        <v>30140.923898571429</v>
      </c>
      <c r="DD45" s="32">
        <f>+DD49</f>
        <v>7.4080714285714286</v>
      </c>
      <c r="DE45" s="66">
        <f>+DF49*DE12</f>
        <v>30140.923898571429</v>
      </c>
      <c r="DF45" s="32">
        <f>+DF49</f>
        <v>7.4080714285714286</v>
      </c>
      <c r="DH45" s="66">
        <f>+DI49*DH12</f>
        <v>26554.17473128068</v>
      </c>
      <c r="DI45" s="32">
        <f>+DI49</f>
        <v>6.5265160350780551</v>
      </c>
      <c r="DJ45" s="66">
        <f>+DK49*DJ12</f>
        <v>26430.037160907315</v>
      </c>
      <c r="DK45" s="32">
        <f>+DK49</f>
        <v>6.4960053582524262</v>
      </c>
      <c r="DL45" s="66">
        <f>+DM49*DL12</f>
        <v>26554.17473128068</v>
      </c>
      <c r="DM45" s="32">
        <f>+DM49</f>
        <v>6.5265160350780551</v>
      </c>
      <c r="DO45" s="66">
        <f>+DP49*DO12</f>
        <v>26554.17473128068</v>
      </c>
      <c r="DP45" s="32">
        <f>+DP49</f>
        <v>6.5265160350780551</v>
      </c>
      <c r="DQ45" s="66">
        <f>+DR49*DQ12</f>
        <v>26430.037160907315</v>
      </c>
      <c r="DR45" s="32">
        <f>+DR49</f>
        <v>6.4960053582524262</v>
      </c>
      <c r="DS45" s="66">
        <f>+DT49*DS12</f>
        <v>26554.17473128068</v>
      </c>
      <c r="DT45" s="32">
        <f>+DT49</f>
        <v>6.5265160350780551</v>
      </c>
      <c r="DV45" s="66">
        <f>+DW49*DV12</f>
        <v>26554.17473128068</v>
      </c>
      <c r="DW45" s="32">
        <f>+DW49</f>
        <v>6.5265160350780551</v>
      </c>
      <c r="DX45" s="66">
        <f>+DY49*DX12</f>
        <v>26430.037160907315</v>
      </c>
      <c r="DY45" s="32">
        <f>+DY49</f>
        <v>6.4960053582524262</v>
      </c>
      <c r="EA45" s="66">
        <f>+EB49*EA12</f>
        <v>26554.17473128068</v>
      </c>
      <c r="EB45" s="32">
        <f>+EB49</f>
        <v>6.5265160350780551</v>
      </c>
      <c r="ED45" s="66">
        <f>+EE49*ED12</f>
        <v>26430.037160907315</v>
      </c>
      <c r="EE45" s="32">
        <f>+EE49</f>
        <v>6.4960053582524262</v>
      </c>
      <c r="EG45" s="66">
        <f>+EH49*EG12</f>
        <v>26430.037160907315</v>
      </c>
      <c r="EH45" s="32">
        <f>+EH49</f>
        <v>6.4960053582524262</v>
      </c>
      <c r="EJ45" s="66">
        <f>+EK49*EJ12</f>
        <v>26554.17473128068</v>
      </c>
      <c r="EK45" s="32">
        <f>+EK49</f>
        <v>6.5265160350780551</v>
      </c>
      <c r="EM45" s="66">
        <f>+EN49*EM12</f>
        <v>26430.037160907315</v>
      </c>
      <c r="EN45" s="32">
        <f>+EN49</f>
        <v>6.4960053582524262</v>
      </c>
      <c r="EP45" s="66">
        <f>+EQ49*EP12</f>
        <v>26430.037160907315</v>
      </c>
      <c r="EQ45" s="32">
        <f>+EQ49</f>
        <v>6.4960053582524262</v>
      </c>
      <c r="ER45" s="66">
        <f>+ES49*ER12</f>
        <v>26554.17473128068</v>
      </c>
      <c r="ES45" s="32">
        <f>+ES49</f>
        <v>6.5265160350780551</v>
      </c>
      <c r="EU45" s="66">
        <f>+EV49*EU12</f>
        <v>26430.037160907315</v>
      </c>
      <c r="EV45" s="32">
        <f>+EV49</f>
        <v>6.4960053582524262</v>
      </c>
      <c r="EX45" s="66">
        <f>+EY49*EX12</f>
        <v>26554.17473128068</v>
      </c>
      <c r="EY45" s="32">
        <f>+EY49</f>
        <v>6.5265160350780551</v>
      </c>
      <c r="EZ45" s="66">
        <f>+FA49*EZ12</f>
        <v>26430.037160907315</v>
      </c>
      <c r="FA45" s="32">
        <f>+FA49</f>
        <v>6.4960053582524262</v>
      </c>
      <c r="FB45" s="66">
        <f>+FC49*FB12</f>
        <v>26554.17473128068</v>
      </c>
      <c r="FC45" s="32">
        <f>+FC49</f>
        <v>6.5265160350780551</v>
      </c>
    </row>
    <row r="46" spans="1:159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352">
        <v>0</v>
      </c>
      <c r="K46" s="358"/>
      <c r="L46" s="352">
        <v>0</v>
      </c>
      <c r="M46" s="358"/>
      <c r="N46" s="352">
        <v>0</v>
      </c>
      <c r="O46" s="358"/>
      <c r="P46" s="352">
        <v>0</v>
      </c>
      <c r="Q46" s="358"/>
      <c r="R46" s="634"/>
      <c r="S46" s="27">
        <v>0</v>
      </c>
      <c r="T46" s="41"/>
      <c r="U46" s="27">
        <v>0</v>
      </c>
      <c r="V46" s="41"/>
      <c r="W46" s="352">
        <v>0</v>
      </c>
      <c r="X46" s="358"/>
      <c r="Y46" s="352">
        <v>0</v>
      </c>
      <c r="Z46" s="358"/>
      <c r="AA46" s="352">
        <v>0</v>
      </c>
      <c r="AB46" s="358"/>
      <c r="AC46" s="352">
        <v>0</v>
      </c>
      <c r="AD46" s="358"/>
      <c r="AE46" s="352" t="e">
        <f>'Pricing Structure - IIP'!#REF!</f>
        <v>#REF!</v>
      </c>
      <c r="AF46" s="358"/>
      <c r="AG46" s="634"/>
      <c r="AH46" s="27">
        <v>0</v>
      </c>
      <c r="AI46" s="41"/>
      <c r="AJ46" s="27">
        <v>0</v>
      </c>
      <c r="AK46" s="41"/>
      <c r="AL46" s="352">
        <v>0</v>
      </c>
      <c r="AM46" s="358"/>
      <c r="AN46" s="352">
        <v>0</v>
      </c>
      <c r="AO46" s="358"/>
      <c r="AP46" s="352">
        <v>0</v>
      </c>
      <c r="AQ46" s="358"/>
      <c r="AR46" s="352">
        <v>0</v>
      </c>
      <c r="AS46" s="358"/>
      <c r="AT46" s="352" t="e">
        <f>'Pricing Structure - IHAG'!#REF!</f>
        <v>#REF!</v>
      </c>
      <c r="AU46" s="358"/>
      <c r="AV46" s="634"/>
      <c r="AW46" s="352">
        <v>0</v>
      </c>
      <c r="AX46" s="358"/>
      <c r="AY46" s="287">
        <v>0</v>
      </c>
      <c r="AZ46" s="41"/>
      <c r="BA46" s="352">
        <v>0</v>
      </c>
      <c r="BB46" s="358"/>
      <c r="BC46" s="352">
        <v>0</v>
      </c>
      <c r="BD46" s="358"/>
      <c r="BE46" s="352">
        <v>0</v>
      </c>
      <c r="BF46" s="358"/>
      <c r="BG46" s="352">
        <v>0</v>
      </c>
      <c r="BH46" s="358"/>
      <c r="BI46" s="352">
        <v>0</v>
      </c>
      <c r="BJ46" s="358"/>
      <c r="BK46" s="27">
        <v>0</v>
      </c>
      <c r="BL46" s="41"/>
      <c r="BM46" s="352">
        <v>0</v>
      </c>
      <c r="BN46" s="358"/>
      <c r="BO46" s="352">
        <v>0</v>
      </c>
      <c r="BP46" s="358"/>
      <c r="BQ46" s="352">
        <v>0</v>
      </c>
      <c r="BR46" s="358"/>
      <c r="BS46" s="27">
        <v>0</v>
      </c>
      <c r="BT46" s="41"/>
      <c r="BU46" s="352">
        <v>0</v>
      </c>
      <c r="BV46" s="358"/>
      <c r="BW46" s="352">
        <v>0</v>
      </c>
      <c r="BX46" s="358"/>
      <c r="BY46" s="352">
        <v>0</v>
      </c>
      <c r="BZ46" s="704">
        <f>BZ45/BX45-1</f>
        <v>8.2252845025623245E-2</v>
      </c>
      <c r="CA46" s="27">
        <v>0</v>
      </c>
      <c r="CB46" s="41"/>
      <c r="CC46" s="352">
        <v>0</v>
      </c>
      <c r="CD46" s="358"/>
      <c r="CE46" s="352">
        <v>0</v>
      </c>
      <c r="CF46" s="358"/>
      <c r="CG46" s="352">
        <v>0</v>
      </c>
      <c r="CH46" s="358"/>
      <c r="CI46" s="352">
        <v>0</v>
      </c>
      <c r="CJ46" s="358"/>
      <c r="CK46" s="352">
        <v>0</v>
      </c>
      <c r="CL46" s="358"/>
      <c r="CM46" s="352">
        <v>0</v>
      </c>
      <c r="CN46" s="358"/>
      <c r="CO46" s="352">
        <v>0</v>
      </c>
      <c r="CP46" s="358"/>
      <c r="CR46" s="352">
        <v>0</v>
      </c>
      <c r="CS46" s="358"/>
      <c r="CT46" s="352">
        <v>0</v>
      </c>
      <c r="CU46" s="358"/>
      <c r="CV46" s="352">
        <v>0</v>
      </c>
      <c r="CW46" s="358"/>
      <c r="CX46" s="352">
        <v>0</v>
      </c>
      <c r="CY46" s="358"/>
      <c r="DA46" s="352">
        <v>0</v>
      </c>
      <c r="DB46" s="358"/>
      <c r="DC46" s="352">
        <v>0</v>
      </c>
      <c r="DD46" s="358"/>
      <c r="DE46" s="352">
        <v>0</v>
      </c>
      <c r="DF46" s="358"/>
      <c r="DH46" s="352">
        <v>0</v>
      </c>
      <c r="DI46" s="358"/>
      <c r="DJ46" s="352">
        <v>0</v>
      </c>
      <c r="DK46" s="358"/>
      <c r="DL46" s="352">
        <v>0</v>
      </c>
      <c r="DM46" s="358"/>
      <c r="DO46" s="352">
        <v>0</v>
      </c>
      <c r="DP46" s="358"/>
      <c r="DQ46" s="352">
        <v>0</v>
      </c>
      <c r="DR46" s="358"/>
      <c r="DS46" s="352">
        <v>0</v>
      </c>
      <c r="DT46" s="358"/>
      <c r="DV46" s="352">
        <v>0</v>
      </c>
      <c r="DW46" s="358"/>
      <c r="DX46" s="352">
        <v>0</v>
      </c>
      <c r="DY46" s="358"/>
      <c r="EA46" s="352">
        <v>0</v>
      </c>
      <c r="EB46" s="358"/>
      <c r="ED46" s="352">
        <v>0</v>
      </c>
      <c r="EE46" s="358"/>
      <c r="EG46" s="352">
        <v>0</v>
      </c>
      <c r="EH46" s="358"/>
      <c r="EJ46" s="352">
        <v>0</v>
      </c>
      <c r="EK46" s="358"/>
      <c r="EM46" s="352">
        <v>0</v>
      </c>
      <c r="EN46" s="358"/>
      <c r="EP46" s="352">
        <v>0</v>
      </c>
      <c r="EQ46" s="358"/>
      <c r="ER46" s="352">
        <v>0</v>
      </c>
      <c r="ES46" s="358"/>
      <c r="EU46" s="352">
        <v>0</v>
      </c>
      <c r="EV46" s="358"/>
      <c r="EX46" s="352">
        <v>0</v>
      </c>
      <c r="EY46" s="358"/>
      <c r="EZ46" s="352">
        <v>0</v>
      </c>
      <c r="FA46" s="358"/>
      <c r="FB46" s="352">
        <v>0</v>
      </c>
      <c r="FC46" s="358"/>
    </row>
    <row r="47" spans="1:159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556"/>
      <c r="G47" s="557">
        <f>55000000/40*G44</f>
        <v>1197670.4545454551</v>
      </c>
      <c r="H47" s="556"/>
      <c r="I47" s="557">
        <f>90000000/40*I44</f>
        <v>1778716.4300051308</v>
      </c>
      <c r="J47" s="558"/>
      <c r="K47" s="557">
        <f>120000000/40*K44</f>
        <v>2082542.7073071082</v>
      </c>
      <c r="L47" s="558"/>
      <c r="M47" s="557">
        <f>120000000/40*M44</f>
        <v>2080169.9436927221</v>
      </c>
      <c r="N47" s="558"/>
      <c r="O47" s="557">
        <f>120000000/40*O44</f>
        <v>2080169.9436927221</v>
      </c>
      <c r="P47" s="558"/>
      <c r="Q47" s="557">
        <f>120000000/40*Q44</f>
        <v>2073141.5061927161</v>
      </c>
      <c r="R47" s="638"/>
      <c r="S47" s="60"/>
      <c r="T47" s="68"/>
      <c r="U47" s="60"/>
      <c r="V47" s="68"/>
      <c r="W47" s="558"/>
      <c r="X47" s="557">
        <f>120000000/40*X44</f>
        <v>2084453.9361365326</v>
      </c>
      <c r="Y47" s="558"/>
      <c r="Z47" s="557">
        <f>120000000/40*Z44</f>
        <v>2080169.9436927221</v>
      </c>
      <c r="AA47" s="558"/>
      <c r="AB47" s="557">
        <f>120000000/40*AB44</f>
        <v>2080169.9436927221</v>
      </c>
      <c r="AC47" s="558"/>
      <c r="AD47" s="557">
        <f>120000000/40*AD44</f>
        <v>2707442.670965449</v>
      </c>
      <c r="AE47" s="364"/>
      <c r="AF47" s="366"/>
      <c r="AG47" s="638"/>
      <c r="AH47" s="60"/>
      <c r="AI47" s="68"/>
      <c r="AJ47" s="60"/>
      <c r="AK47" s="68"/>
      <c r="AL47" s="558"/>
      <c r="AM47" s="557">
        <f>120000000/40*AM44</f>
        <v>1643558.6728471427</v>
      </c>
      <c r="AN47" s="558"/>
      <c r="AO47" s="557">
        <f>120000000/40*AO44</f>
        <v>1635991.0241926711</v>
      </c>
      <c r="AP47" s="558"/>
      <c r="AQ47" s="557">
        <f>120000000/40*AQ44</f>
        <v>1635991.0241926711</v>
      </c>
      <c r="AR47" s="558"/>
      <c r="AS47" s="557">
        <f>120000000/40*AS44</f>
        <v>1628761.7741926722</v>
      </c>
      <c r="AT47" s="364"/>
      <c r="AU47" s="366"/>
      <c r="AV47" s="637"/>
      <c r="AW47" s="364"/>
      <c r="AX47" s="366"/>
      <c r="AY47" s="275"/>
      <c r="AZ47" s="68"/>
      <c r="BA47" s="364"/>
      <c r="BB47" s="366"/>
      <c r="BC47" s="364"/>
      <c r="BD47" s="366"/>
      <c r="BE47" s="364"/>
      <c r="BF47" s="366"/>
      <c r="BG47" s="364"/>
      <c r="BH47" s="366"/>
      <c r="BI47" s="364"/>
      <c r="BJ47" s="366"/>
      <c r="BK47" s="60"/>
      <c r="BL47" s="68"/>
      <c r="BM47" s="364"/>
      <c r="BN47" s="366"/>
      <c r="BO47" s="364"/>
      <c r="BP47" s="366"/>
      <c r="BQ47" s="364"/>
      <c r="BR47" s="366"/>
      <c r="BS47" s="60"/>
      <c r="BT47" s="68"/>
      <c r="BU47" s="364"/>
      <c r="BV47" s="366"/>
      <c r="BW47" s="364"/>
      <c r="BX47" s="366"/>
      <c r="BY47" s="364"/>
      <c r="BZ47" s="366"/>
      <c r="CA47" s="60"/>
      <c r="CB47" s="68"/>
      <c r="CC47" s="364"/>
      <c r="CD47" s="366"/>
      <c r="CE47" s="364"/>
      <c r="CF47" s="366"/>
      <c r="CG47" s="364"/>
      <c r="CH47" s="366"/>
      <c r="CI47" s="558"/>
      <c r="CJ47" s="557">
        <f>120000000/40*CJ44</f>
        <v>8205812.7390408982</v>
      </c>
      <c r="CK47" s="558"/>
      <c r="CL47" s="557">
        <f>120000000/40*CL44</f>
        <v>8253431.7866599448</v>
      </c>
      <c r="CM47" s="558"/>
      <c r="CN47" s="557">
        <f>120000000/40*CN44</f>
        <v>8253431.7866599448</v>
      </c>
      <c r="CO47" s="364"/>
      <c r="CP47" s="366"/>
      <c r="CR47" s="558"/>
      <c r="CS47" s="557">
        <f>120000000/40*CS44</f>
        <v>8205812.7390408982</v>
      </c>
      <c r="CT47" s="558"/>
      <c r="CU47" s="557">
        <f>120000000/40*CU44</f>
        <v>8275931.7866599429</v>
      </c>
      <c r="CV47" s="558"/>
      <c r="CW47" s="557">
        <f>120000000/40*CW44</f>
        <v>8275931.7866599429</v>
      </c>
      <c r="CX47" s="364"/>
      <c r="CY47" s="366"/>
      <c r="DA47" s="558"/>
      <c r="DB47" s="557">
        <f>120000000/40*DB44</f>
        <v>8205812.7390408982</v>
      </c>
      <c r="DC47" s="558"/>
      <c r="DD47" s="557">
        <f>120000000/40*DD44</f>
        <v>8275931.7866599429</v>
      </c>
      <c r="DE47" s="558"/>
      <c r="DF47" s="557">
        <f>120000000/40*DF44</f>
        <v>8275931.7866599429</v>
      </c>
      <c r="DH47" s="558"/>
      <c r="DI47" s="557">
        <f>120000000/40*DI44</f>
        <v>3346353.7134986143</v>
      </c>
      <c r="DJ47" s="558"/>
      <c r="DK47" s="557">
        <f>120000000/40*DK44</f>
        <v>3437196.3309797002</v>
      </c>
      <c r="DL47" s="558"/>
      <c r="DM47" s="557">
        <f>120000000/40*DM44</f>
        <v>3346353.7134986143</v>
      </c>
      <c r="DO47" s="558"/>
      <c r="DP47" s="557">
        <f>120000000/40*DP44</f>
        <v>3346353.7134986143</v>
      </c>
      <c r="DQ47" s="558"/>
      <c r="DR47" s="557">
        <f>120000000/40*DR44</f>
        <v>3437196.3309797002</v>
      </c>
      <c r="DS47" s="558"/>
      <c r="DT47" s="557">
        <f>120000000/40*DT44</f>
        <v>3346353.7134986143</v>
      </c>
      <c r="DV47" s="558"/>
      <c r="DW47" s="557">
        <f>120000000/40*DW44</f>
        <v>3346353.7134986143</v>
      </c>
      <c r="DX47" s="558"/>
      <c r="DY47" s="557">
        <f>120000000/40*DY44</f>
        <v>3437196.3309797002</v>
      </c>
      <c r="EA47" s="558"/>
      <c r="EB47" s="557">
        <f>120000000/40*EB44</f>
        <v>3346353.7134986143</v>
      </c>
      <c r="ED47" s="558"/>
      <c r="EE47" s="557">
        <f>120000000/40*EE44</f>
        <v>3437196.3309797002</v>
      </c>
      <c r="EG47" s="558"/>
      <c r="EH47" s="557">
        <f>120000000/40*EH44</f>
        <v>3437196.3309797002</v>
      </c>
      <c r="EJ47" s="558"/>
      <c r="EK47" s="557">
        <f>120000000/40*EK44</f>
        <v>3346353.7134986143</v>
      </c>
      <c r="EM47" s="558"/>
      <c r="EN47" s="557">
        <f>120000000/40*EN44</f>
        <v>3437196.3309797002</v>
      </c>
      <c r="EP47" s="558"/>
      <c r="EQ47" s="557">
        <f>120000000/40*EQ44</f>
        <v>3437196.3309797002</v>
      </c>
      <c r="ER47" s="558"/>
      <c r="ES47" s="557">
        <f>120000000/40*ES44</f>
        <v>3346353.7134986143</v>
      </c>
      <c r="EU47" s="558"/>
      <c r="EV47" s="557">
        <f>120000000/40*EV44</f>
        <v>3437196.3309797002</v>
      </c>
      <c r="EX47" s="558"/>
      <c r="EY47" s="557">
        <f>120000000/40*EY44</f>
        <v>3346353.7134986143</v>
      </c>
      <c r="EZ47" s="558"/>
      <c r="FA47" s="557">
        <f>120000000/40*FA44</f>
        <v>3437196.3309797002</v>
      </c>
      <c r="FB47" s="558"/>
      <c r="FC47" s="557">
        <f>120000000/40*FC44</f>
        <v>3346353.7134986143</v>
      </c>
    </row>
    <row r="48" spans="1:159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Q48" si="235">+F49/F10</f>
        <v>646.44660626652887</v>
      </c>
      <c r="G48" s="70">
        <f t="shared" si="235"/>
        <v>0.15888440082644625</v>
      </c>
      <c r="H48" s="69">
        <f t="shared" si="235"/>
        <v>655.45275448595658</v>
      </c>
      <c r="I48" s="70">
        <f t="shared" si="235"/>
        <v>0.16109794243951486</v>
      </c>
      <c r="J48" s="69">
        <f t="shared" si="235"/>
        <v>663.97078587885585</v>
      </c>
      <c r="K48" s="70">
        <f t="shared" si="235"/>
        <v>0.16319151412967806</v>
      </c>
      <c r="L48" s="69">
        <f t="shared" si="235"/>
        <v>664.05928058925622</v>
      </c>
      <c r="M48" s="70">
        <f t="shared" si="235"/>
        <v>0.16321326446280993</v>
      </c>
      <c r="N48" s="69">
        <f t="shared" si="235"/>
        <v>664.05928058925622</v>
      </c>
      <c r="O48" s="70">
        <f t="shared" si="235"/>
        <v>0.16321326446280993</v>
      </c>
      <c r="P48" s="69">
        <f t="shared" si="235"/>
        <v>0</v>
      </c>
      <c r="Q48" s="70">
        <f t="shared" si="235"/>
        <v>0.16327769180655996</v>
      </c>
      <c r="R48" s="271"/>
      <c r="S48" s="69">
        <f t="shared" ref="S48:AD48" si="236">+S49/S10</f>
        <v>0</v>
      </c>
      <c r="T48" s="70">
        <f t="shared" si="236"/>
        <v>0.1585125</v>
      </c>
      <c r="U48" s="69">
        <f t="shared" si="236"/>
        <v>0</v>
      </c>
      <c r="V48" s="70">
        <f t="shared" si="236"/>
        <v>0.16139999999999999</v>
      </c>
      <c r="W48" s="69">
        <f t="shared" si="236"/>
        <v>0</v>
      </c>
      <c r="X48" s="70">
        <f t="shared" si="236"/>
        <v>0.16317399453207498</v>
      </c>
      <c r="Y48" s="69">
        <f t="shared" si="236"/>
        <v>0</v>
      </c>
      <c r="Z48" s="70">
        <f t="shared" si="236"/>
        <v>0.16321326446280993</v>
      </c>
      <c r="AA48" s="69">
        <f t="shared" si="236"/>
        <v>664.05928058925622</v>
      </c>
      <c r="AB48" s="70">
        <f t="shared" si="236"/>
        <v>0.16321326446280993</v>
      </c>
      <c r="AC48" s="69">
        <f t="shared" si="236"/>
        <v>0</v>
      </c>
      <c r="AD48" s="70">
        <f t="shared" si="236"/>
        <v>0.16321326446280993</v>
      </c>
      <c r="AE48" s="69" t="e">
        <f>'Pricing Structure - IIP'!#REF!</f>
        <v>#REF!</v>
      </c>
      <c r="AF48" s="70" t="e">
        <f>'Pricing Structure - IIP'!#REF!</f>
        <v>#REF!</v>
      </c>
      <c r="AG48" s="271"/>
      <c r="AH48" s="69">
        <f t="shared" ref="AH48:AS48" si="237">+AH49/AH10</f>
        <v>0</v>
      </c>
      <c r="AI48" s="70">
        <f t="shared" si="237"/>
        <v>0.15993855633802817</v>
      </c>
      <c r="AJ48" s="69">
        <f t="shared" si="237"/>
        <v>0</v>
      </c>
      <c r="AK48" s="70">
        <f t="shared" si="237"/>
        <v>0.16227250864684889</v>
      </c>
      <c r="AL48" s="69">
        <f t="shared" si="237"/>
        <v>0</v>
      </c>
      <c r="AM48" s="70">
        <f t="shared" si="237"/>
        <v>0.16853168622536216</v>
      </c>
      <c r="AN48" s="69">
        <f t="shared" si="237"/>
        <v>0</v>
      </c>
      <c r="AO48" s="70">
        <f t="shared" si="237"/>
        <v>0.16860105633802816</v>
      </c>
      <c r="AP48" s="69">
        <f t="shared" si="237"/>
        <v>685.9803738802816</v>
      </c>
      <c r="AQ48" s="70">
        <f t="shared" si="237"/>
        <v>0.16860105633802816</v>
      </c>
      <c r="AR48" s="69">
        <f t="shared" si="237"/>
        <v>686.24999634974415</v>
      </c>
      <c r="AS48" s="70">
        <f t="shared" si="237"/>
        <v>0.16866732446302815</v>
      </c>
      <c r="AT48" s="69" t="e">
        <f>'Pricing Structure - IHAG'!#REF!</f>
        <v>#REF!</v>
      </c>
      <c r="AU48" s="70" t="e">
        <f>'Pricing Structure - IHAG'!#REF!</f>
        <v>#REF!</v>
      </c>
      <c r="AV48" s="271"/>
      <c r="AW48" s="69">
        <f t="shared" ref="AW48:BV48" si="238">+AW49/AW10</f>
        <v>686.27821698380285</v>
      </c>
      <c r="AX48" s="70">
        <f t="shared" si="238"/>
        <v>0.16867426056338028</v>
      </c>
      <c r="AY48" s="272">
        <f t="shared" si="238"/>
        <v>658.19486201652887</v>
      </c>
      <c r="AZ48" s="70">
        <f t="shared" si="238"/>
        <v>0.16177190082644627</v>
      </c>
      <c r="BA48" s="69">
        <f t="shared" si="238"/>
        <v>664.05928058925622</v>
      </c>
      <c r="BB48" s="70">
        <f t="shared" si="238"/>
        <v>0.16321326446280993</v>
      </c>
      <c r="BC48" s="69">
        <f t="shared" si="238"/>
        <v>664.05928058925622</v>
      </c>
      <c r="BD48" s="70">
        <f t="shared" si="238"/>
        <v>0.16321326446280993</v>
      </c>
      <c r="BE48" s="69">
        <f t="shared" si="238"/>
        <v>664.05928058925622</v>
      </c>
      <c r="BF48" s="70">
        <f t="shared" si="238"/>
        <v>0.16321326446280993</v>
      </c>
      <c r="BG48" s="69">
        <f t="shared" si="238"/>
        <v>664.32890305871888</v>
      </c>
      <c r="BH48" s="70">
        <f t="shared" si="238"/>
        <v>0.16327953258780997</v>
      </c>
      <c r="BI48" s="69">
        <f t="shared" si="238"/>
        <v>664.32890305871888</v>
      </c>
      <c r="BJ48" s="70">
        <f t="shared" si="238"/>
        <v>0.16327953258780997</v>
      </c>
      <c r="BK48" s="69">
        <f t="shared" si="238"/>
        <v>1573.6353811153847</v>
      </c>
      <c r="BL48" s="70">
        <f t="shared" si="238"/>
        <v>0.38676993927125508</v>
      </c>
      <c r="BM48" s="69">
        <f t="shared" si="238"/>
        <v>1573.6353811153847</v>
      </c>
      <c r="BN48" s="70">
        <f t="shared" si="238"/>
        <v>0.38676993927125508</v>
      </c>
      <c r="BO48" s="69">
        <f t="shared" si="238"/>
        <v>1573.6353811153847</v>
      </c>
      <c r="BP48" s="70">
        <f t="shared" si="238"/>
        <v>0.38676993927125508</v>
      </c>
      <c r="BQ48" s="69">
        <f t="shared" si="238"/>
        <v>1709.6150857104012</v>
      </c>
      <c r="BR48" s="70">
        <f t="shared" si="238"/>
        <v>0.42019118965713559</v>
      </c>
      <c r="BS48" s="69">
        <f t="shared" si="238"/>
        <v>1439.0341837499998</v>
      </c>
      <c r="BT48" s="70">
        <f t="shared" si="238"/>
        <v>0.35368749999999993</v>
      </c>
      <c r="BU48" s="69">
        <f t="shared" si="238"/>
        <v>1439.0341837499998</v>
      </c>
      <c r="BV48" s="70">
        <f t="shared" si="238"/>
        <v>0.35368749999999993</v>
      </c>
      <c r="BW48" s="69">
        <f t="shared" ref="BW48:BX48" si="239">+BW49/BW10</f>
        <v>1439.0341837499998</v>
      </c>
      <c r="BX48" s="70">
        <f t="shared" si="239"/>
        <v>0.35368749999999993</v>
      </c>
      <c r="BY48" s="69">
        <f t="shared" ref="BY48:BZ48" si="240">+BY49/BY10</f>
        <v>1557.3988394525625</v>
      </c>
      <c r="BZ48" s="70">
        <f t="shared" si="240"/>
        <v>0.38277930312500003</v>
      </c>
      <c r="CA48" s="69">
        <f>+CA49/CA10</f>
        <v>1057.2158718749999</v>
      </c>
      <c r="CB48" s="70">
        <f>+CB49/CB10</f>
        <v>0.25984374999999998</v>
      </c>
      <c r="CC48" s="69">
        <f>+CC49/CC10</f>
        <v>1057.2158718749999</v>
      </c>
      <c r="CD48" s="70">
        <f>+CD49/CD10</f>
        <v>0.25984374999999998</v>
      </c>
      <c r="CE48" s="69">
        <f t="shared" ref="CE48:CF48" si="241">+CE49/CE10</f>
        <v>1057.2158718749999</v>
      </c>
      <c r="CF48" s="70">
        <f t="shared" si="241"/>
        <v>0.25984374999999998</v>
      </c>
      <c r="CG48" s="69">
        <f t="shared" ref="CG48:CH48" si="242">+CG49/CG10</f>
        <v>1126.1426436049219</v>
      </c>
      <c r="CH48" s="70">
        <f t="shared" si="242"/>
        <v>0.27678465234374999</v>
      </c>
      <c r="CI48" s="69">
        <f t="shared" ref="CI48:CL48" si="243">+CI49/CI10</f>
        <v>755.9768062083333</v>
      </c>
      <c r="CJ48" s="70">
        <f t="shared" si="243"/>
        <v>0.18580486111111111</v>
      </c>
      <c r="CK48" s="69">
        <f t="shared" si="243"/>
        <v>754.3622585892856</v>
      </c>
      <c r="CL48" s="70">
        <f t="shared" si="243"/>
        <v>0.18540803571428571</v>
      </c>
      <c r="CM48" s="69">
        <f t="shared" ref="CM48:CN48" si="244">+CM49/CM10</f>
        <v>754.3622585892856</v>
      </c>
      <c r="CN48" s="70">
        <f t="shared" si="244"/>
        <v>0.18540803571428571</v>
      </c>
      <c r="CO48" s="69">
        <f t="shared" ref="CO48:CP48" si="245">+CO49/CO10</f>
        <v>1322.064241809225</v>
      </c>
      <c r="CP48" s="70">
        <f t="shared" si="245"/>
        <v>0.32493849125000002</v>
      </c>
      <c r="CR48" s="69">
        <f t="shared" ref="CR48:CY48" si="246">+CR49/CR10</f>
        <v>755.9768062083333</v>
      </c>
      <c r="CS48" s="70">
        <f t="shared" si="246"/>
        <v>0.18580486111111111</v>
      </c>
      <c r="CT48" s="69">
        <f t="shared" si="246"/>
        <v>753.52309746428568</v>
      </c>
      <c r="CU48" s="70">
        <f t="shared" si="246"/>
        <v>0.18520178571428572</v>
      </c>
      <c r="CV48" s="69">
        <f t="shared" si="246"/>
        <v>753.52309746428568</v>
      </c>
      <c r="CW48" s="70">
        <f t="shared" si="246"/>
        <v>0.18520178571428572</v>
      </c>
      <c r="CX48" s="69">
        <f t="shared" si="246"/>
        <v>1321.543304568844</v>
      </c>
      <c r="CY48" s="70">
        <f t="shared" si="246"/>
        <v>0.32481045468750008</v>
      </c>
      <c r="DA48" s="69">
        <f t="shared" ref="DA48:DF48" si="247">+DA49/DA10</f>
        <v>755.9768062083333</v>
      </c>
      <c r="DB48" s="70">
        <f t="shared" si="247"/>
        <v>0.18580486111111111</v>
      </c>
      <c r="DC48" s="69">
        <f t="shared" si="247"/>
        <v>753.52309746428568</v>
      </c>
      <c r="DD48" s="70">
        <f t="shared" si="247"/>
        <v>0.18520178571428572</v>
      </c>
      <c r="DE48" s="69">
        <f t="shared" si="247"/>
        <v>753.52309746428568</v>
      </c>
      <c r="DF48" s="70">
        <f t="shared" si="247"/>
        <v>0.18520178571428572</v>
      </c>
      <c r="DH48" s="69">
        <f t="shared" ref="DH48:DM48" si="248">+DH49/DH10</f>
        <v>663.85436828201705</v>
      </c>
      <c r="DI48" s="70">
        <f t="shared" si="248"/>
        <v>0.16316290087695137</v>
      </c>
      <c r="DJ48" s="69">
        <f t="shared" si="248"/>
        <v>660.75092902268284</v>
      </c>
      <c r="DK48" s="70">
        <f t="shared" si="248"/>
        <v>0.16240013395631064</v>
      </c>
      <c r="DL48" s="69">
        <f t="shared" si="248"/>
        <v>663.85436828201705</v>
      </c>
      <c r="DM48" s="70">
        <f t="shared" si="248"/>
        <v>0.16316290087695137</v>
      </c>
      <c r="DO48" s="69">
        <f t="shared" ref="DO48:DT48" si="249">+DO49/DO10</f>
        <v>663.85436828201705</v>
      </c>
      <c r="DP48" s="70">
        <f t="shared" si="249"/>
        <v>0.16316290087695137</v>
      </c>
      <c r="DQ48" s="69">
        <f t="shared" si="249"/>
        <v>660.75092902268284</v>
      </c>
      <c r="DR48" s="70">
        <f t="shared" si="249"/>
        <v>0.16240013395631064</v>
      </c>
      <c r="DS48" s="69">
        <f t="shared" si="249"/>
        <v>663.85436828201705</v>
      </c>
      <c r="DT48" s="70">
        <f t="shared" si="249"/>
        <v>0.16316290087695137</v>
      </c>
      <c r="DV48" s="69">
        <f t="shared" ref="DV48:DY48" si="250">+DV49/DV10</f>
        <v>663.85436828201705</v>
      </c>
      <c r="DW48" s="70">
        <f t="shared" si="250"/>
        <v>0.16316290087695137</v>
      </c>
      <c r="DX48" s="69">
        <f t="shared" si="250"/>
        <v>660.75092902268284</v>
      </c>
      <c r="DY48" s="70">
        <f t="shared" si="250"/>
        <v>0.16240013395631064</v>
      </c>
      <c r="EA48" s="69">
        <f t="shared" ref="EA48:EB48" si="251">+EA49/EA10</f>
        <v>663.85436828201705</v>
      </c>
      <c r="EB48" s="70">
        <f t="shared" si="251"/>
        <v>0.16316290087695137</v>
      </c>
      <c r="ED48" s="69">
        <f t="shared" ref="ED48:EE48" si="252">+ED49/ED10</f>
        <v>660.75092902268284</v>
      </c>
      <c r="EE48" s="70">
        <f t="shared" si="252"/>
        <v>0.16240013395631064</v>
      </c>
      <c r="EG48" s="69">
        <f t="shared" ref="EG48:EH48" si="253">+EG49/EG10</f>
        <v>660.75092902268284</v>
      </c>
      <c r="EH48" s="70">
        <f t="shared" si="253"/>
        <v>0.16240013395631064</v>
      </c>
      <c r="EJ48" s="69">
        <f t="shared" ref="EJ48:EK48" si="254">+EJ49/EJ10</f>
        <v>663.85436828201705</v>
      </c>
      <c r="EK48" s="70">
        <f t="shared" si="254"/>
        <v>0.16316290087695137</v>
      </c>
      <c r="EM48" s="69">
        <f t="shared" ref="EM48:EN48" si="255">+EM49/EM10</f>
        <v>660.75092902268284</v>
      </c>
      <c r="EN48" s="70">
        <f t="shared" si="255"/>
        <v>0.16240013395631064</v>
      </c>
      <c r="EP48" s="69">
        <f t="shared" ref="EP48:ES48" si="256">+EP49/EP10</f>
        <v>660.75092902268284</v>
      </c>
      <c r="EQ48" s="70">
        <f t="shared" si="256"/>
        <v>0.16240013395631064</v>
      </c>
      <c r="ER48" s="69">
        <f t="shared" si="256"/>
        <v>663.85436828201705</v>
      </c>
      <c r="ES48" s="70">
        <f t="shared" si="256"/>
        <v>0.16316290087695137</v>
      </c>
      <c r="EU48" s="69">
        <f t="shared" ref="EU48:EV48" si="257">+EU49/EU10</f>
        <v>660.75092902268284</v>
      </c>
      <c r="EV48" s="70">
        <f t="shared" si="257"/>
        <v>0.16240013395631064</v>
      </c>
      <c r="EX48" s="69">
        <f t="shared" ref="EX48:FC48" si="258">+EX49/EX10</f>
        <v>663.85436828201705</v>
      </c>
      <c r="EY48" s="70">
        <f t="shared" si="258"/>
        <v>0.16316290087695137</v>
      </c>
      <c r="EZ48" s="69">
        <f t="shared" si="258"/>
        <v>660.75092902268284</v>
      </c>
      <c r="FA48" s="70">
        <f t="shared" si="258"/>
        <v>0.16240013395631064</v>
      </c>
      <c r="FB48" s="69">
        <f t="shared" si="258"/>
        <v>663.85436828201705</v>
      </c>
      <c r="FC48" s="70">
        <f t="shared" si="258"/>
        <v>0.16316290087695137</v>
      </c>
    </row>
    <row r="49" spans="1:159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25857.864250661154</v>
      </c>
      <c r="G49" s="70">
        <f>+G50+G52+G56+G54</f>
        <v>6.3553760330578504</v>
      </c>
      <c r="H49" s="69">
        <f>+I49*H12</f>
        <v>26218.110179438263</v>
      </c>
      <c r="I49" s="70">
        <f>+I50+I52+I56+I54</f>
        <v>6.443917697580595</v>
      </c>
      <c r="J49" s="69">
        <f>+K49*J12</f>
        <v>26558.831435154236</v>
      </c>
      <c r="K49" s="70">
        <f>+K50+K52+K56+K54</f>
        <v>6.527660565187122</v>
      </c>
      <c r="L49" s="69">
        <f>+M49*L12</f>
        <v>26562.371223570248</v>
      </c>
      <c r="M49" s="70">
        <f>+M50+M52+M56+M54</f>
        <v>6.528530578512397</v>
      </c>
      <c r="N49" s="69">
        <f>+O49*N12</f>
        <v>26562.371223570248</v>
      </c>
      <c r="O49" s="70">
        <f>+O50+O52+O56+O54</f>
        <v>6.528530578512397</v>
      </c>
      <c r="P49" s="69">
        <f>+Q49*P12</f>
        <v>0</v>
      </c>
      <c r="Q49" s="70">
        <f>+Q50+Q52+Q56+Q54</f>
        <v>6.5311076722623982</v>
      </c>
      <c r="R49" s="271"/>
      <c r="S49" s="69">
        <f>+T49*S12</f>
        <v>0</v>
      </c>
      <c r="T49" s="70">
        <f>+T50+T52+T56+T54</f>
        <v>6.3404999999999996</v>
      </c>
      <c r="U49" s="69">
        <f>+V49*U12</f>
        <v>0</v>
      </c>
      <c r="V49" s="70">
        <f>+V50+V52+V56+V54</f>
        <v>6.4559999999999995</v>
      </c>
      <c r="W49" s="69">
        <f>+X49*W12</f>
        <v>0</v>
      </c>
      <c r="X49" s="70">
        <f>+X50+X52+X56+X54</f>
        <v>6.5269597812829998</v>
      </c>
      <c r="Y49" s="69">
        <f>+Z49*Y12</f>
        <v>0</v>
      </c>
      <c r="Z49" s="70">
        <f>+Z50+Z52+Z56+Z54</f>
        <v>6.528530578512397</v>
      </c>
      <c r="AA49" s="69">
        <f>+AB49*AA12</f>
        <v>26562.371223570248</v>
      </c>
      <c r="AB49" s="70">
        <f>+AB50+AB52+AB56+AB54</f>
        <v>6.528530578512397</v>
      </c>
      <c r="AC49" s="69">
        <f>+AD49*AC12</f>
        <v>0</v>
      </c>
      <c r="AD49" s="70">
        <f>+AD50+AD52+AD56+AD54</f>
        <v>6.528530578512397</v>
      </c>
      <c r="AE49" s="69" t="e">
        <f>'Pricing Structure - IIP'!#REF!</f>
        <v>#REF!</v>
      </c>
      <c r="AF49" s="70" t="e">
        <f>'Pricing Structure - IIP'!#REF!</f>
        <v>#REF!</v>
      </c>
      <c r="AG49" s="271"/>
      <c r="AH49" s="69">
        <f>+AI49*AH12</f>
        <v>0</v>
      </c>
      <c r="AI49" s="70">
        <f>+AI50+AI52+AI56+AI54</f>
        <v>6.3975422535211264</v>
      </c>
      <c r="AJ49" s="69">
        <f>+AK49*AJ12</f>
        <v>0</v>
      </c>
      <c r="AK49" s="70">
        <f>+AK50+AK52+AK56+AK54</f>
        <v>6.4909003458739551</v>
      </c>
      <c r="AL49" s="69">
        <f>+AM49*AL12</f>
        <v>0</v>
      </c>
      <c r="AM49" s="70">
        <f>+AM50+AM52+AM56+AM54</f>
        <v>6.7412674490144866</v>
      </c>
      <c r="AN49" s="69">
        <f>+AO49*AN12</f>
        <v>0</v>
      </c>
      <c r="AO49" s="70">
        <f>+AO50+AO52+AO56+AO54</f>
        <v>6.7440422535211262</v>
      </c>
      <c r="AP49" s="69">
        <f>+AQ49*AP12</f>
        <v>27439.214955211264</v>
      </c>
      <c r="AQ49" s="70">
        <f>+AQ50+AQ52+AQ56+AQ54</f>
        <v>6.7440422535211262</v>
      </c>
      <c r="AR49" s="69">
        <f>+AS49*AR12</f>
        <v>27449.999853989764</v>
      </c>
      <c r="AS49" s="70">
        <f>+AS50+AS52+AS56+AS54</f>
        <v>6.7466929785211258</v>
      </c>
      <c r="AT49" s="69" t="e">
        <f>'Pricing Structure - IHAG'!#REF!</f>
        <v>#REF!</v>
      </c>
      <c r="AU49" s="70" t="e">
        <f>'Pricing Structure - IHAG'!#REF!</f>
        <v>#REF!</v>
      </c>
      <c r="AV49" s="271"/>
      <c r="AW49" s="69">
        <f>+AX49*AW12</f>
        <v>27451.128679352114</v>
      </c>
      <c r="AX49" s="70">
        <f>+AX50+AX52+AX56+AX54</f>
        <v>6.7469704225352114</v>
      </c>
      <c r="AY49" s="272">
        <f>+AZ49*AY12</f>
        <v>26327.794480661156</v>
      </c>
      <c r="AZ49" s="70">
        <f>+AZ50+AZ52+AZ56+AZ54</f>
        <v>6.4708760330578512</v>
      </c>
      <c r="BA49" s="69">
        <f>+BB49*BA12</f>
        <v>26562.371223570248</v>
      </c>
      <c r="BB49" s="70">
        <f>+BB50+BB52+BB56+BB54</f>
        <v>6.528530578512397</v>
      </c>
      <c r="BC49" s="69">
        <f>+BD49*BC12</f>
        <v>26562.371223570248</v>
      </c>
      <c r="BD49" s="70">
        <f>+BD50+BD52+BD56+BD54</f>
        <v>6.528530578512397</v>
      </c>
      <c r="BE49" s="69">
        <f>+BF49*BE12</f>
        <v>26562.371223570248</v>
      </c>
      <c r="BF49" s="70">
        <f>+BF50+BF52+BF56+BF54</f>
        <v>6.528530578512397</v>
      </c>
      <c r="BG49" s="69">
        <f>+BH49*BG12</f>
        <v>26573.156122348755</v>
      </c>
      <c r="BH49" s="70">
        <f>+BH50+BH52+BH56+BH54</f>
        <v>6.5311813035123985</v>
      </c>
      <c r="BI49" s="69">
        <f>+BJ49*BI12</f>
        <v>26573.156122348755</v>
      </c>
      <c r="BJ49" s="70">
        <f>+BJ50+BJ52+BJ56+BJ54</f>
        <v>6.5311813035123985</v>
      </c>
      <c r="BK49" s="69">
        <f>+BL49*BK12</f>
        <v>18883.624573384615</v>
      </c>
      <c r="BL49" s="70">
        <f>+BL50+BL52+BL56+BL54</f>
        <v>4.6412392712550607</v>
      </c>
      <c r="BM49" s="69">
        <f>+BN49*BM12</f>
        <v>18883.624573384615</v>
      </c>
      <c r="BN49" s="70">
        <f>+BN50+BN52+BN56+BN54</f>
        <v>4.6412392712550607</v>
      </c>
      <c r="BO49" s="69">
        <f>+BP49*BO12</f>
        <v>18883.624573384615</v>
      </c>
      <c r="BP49" s="70">
        <f>+BP50+BP52+BP56+BP54</f>
        <v>4.6412392712550607</v>
      </c>
      <c r="BQ49" s="69">
        <f>+BR49*BQ12</f>
        <v>20515.381028524815</v>
      </c>
      <c r="BR49" s="70">
        <f>+BR50+BR52+BR56+BR54</f>
        <v>5.0422942758856273</v>
      </c>
      <c r="BS49" s="69">
        <f>+BT49*BS12</f>
        <v>17268.410204999996</v>
      </c>
      <c r="BT49" s="70">
        <f>+BT50+BT52+BT56+BT54</f>
        <v>4.2442499999999992</v>
      </c>
      <c r="BU49" s="69">
        <f>+BV49*BU12</f>
        <v>17268.410204999996</v>
      </c>
      <c r="BV49" s="70">
        <f>+BV50+BV52+BV56+BV54</f>
        <v>4.2442499999999992</v>
      </c>
      <c r="BW49" s="69">
        <f>+BX49*BW12</f>
        <v>17268.410204999996</v>
      </c>
      <c r="BX49" s="70">
        <f>+BX50+BX52+BX56+BX54</f>
        <v>4.2442499999999992</v>
      </c>
      <c r="BY49" s="69">
        <f>+BZ49*BY12</f>
        <v>18688.786073430751</v>
      </c>
      <c r="BZ49" s="70">
        <f>+BZ50+BZ52+BZ56+BZ54</f>
        <v>4.5933516375000005</v>
      </c>
      <c r="CA49" s="69">
        <f>+CB49*CA12</f>
        <v>25373.180925000001</v>
      </c>
      <c r="CB49" s="70">
        <f>+CB50+CB52+CB56+CB54</f>
        <v>6.2362500000000001</v>
      </c>
      <c r="CC49" s="69">
        <f>+CD49*CC12</f>
        <v>25373.180925000001</v>
      </c>
      <c r="CD49" s="70">
        <f>+CD50+CD52+CD56+CD54</f>
        <v>6.2362500000000001</v>
      </c>
      <c r="CE49" s="69">
        <f>+CF49*CE12</f>
        <v>25373.180925000001</v>
      </c>
      <c r="CF49" s="70">
        <f>+CF50+CF52+CF56+CF54</f>
        <v>6.2362500000000001</v>
      </c>
      <c r="CG49" s="69">
        <f>+CH49*CG12</f>
        <v>27027.423446518125</v>
      </c>
      <c r="CH49" s="70">
        <f>+CH50+CH52+CH56+CH54</f>
        <v>6.6428316562500003</v>
      </c>
      <c r="CI49" s="69">
        <f>+CJ49*CI12</f>
        <v>30239.07224833333</v>
      </c>
      <c r="CJ49" s="70">
        <f>+CJ50+CJ52+CJ56+CJ54</f>
        <v>7.4321944444444439</v>
      </c>
      <c r="CK49" s="69">
        <f>+CL49*CK12</f>
        <v>30174.490343571426</v>
      </c>
      <c r="CL49" s="70">
        <f>+CL50+CL52+CL56+CL54</f>
        <v>7.4163214285714281</v>
      </c>
      <c r="CM49" s="69">
        <f>+CN49*CM12</f>
        <v>30174.490343571426</v>
      </c>
      <c r="CN49" s="70">
        <f>+CN50+CN52+CN56+CN54</f>
        <v>7.4163214285714281</v>
      </c>
      <c r="CO49" s="69">
        <f>+CP49*CO12</f>
        <v>15864.770901710699</v>
      </c>
      <c r="CP49" s="70">
        <f>+CP50+CP52+CP56+CP54</f>
        <v>3.899261895</v>
      </c>
      <c r="CR49" s="69">
        <f>+CS49*CR12</f>
        <v>30239.07224833333</v>
      </c>
      <c r="CS49" s="70">
        <f>+CS50+CS52+CS56+CS54</f>
        <v>7.4321944444444439</v>
      </c>
      <c r="CT49" s="69">
        <f>+CU49*CT12</f>
        <v>30140.923898571429</v>
      </c>
      <c r="CU49" s="70">
        <f>+CU50+CU52+CU56+CU54</f>
        <v>7.4080714285714286</v>
      </c>
      <c r="CV49" s="69">
        <f>+CW49*CV12</f>
        <v>30140.923898571429</v>
      </c>
      <c r="CW49" s="70">
        <f>+CW50+CW52+CW56+CW54</f>
        <v>7.4080714285714286</v>
      </c>
      <c r="CX49" s="69">
        <f>+CY49*CX12</f>
        <v>15858.519654826128</v>
      </c>
      <c r="CY49" s="70">
        <f>+CY50+CY52+CY56+CY54</f>
        <v>3.8977254562500008</v>
      </c>
      <c r="DA49" s="69">
        <f>+DB49*DA12</f>
        <v>30239.07224833333</v>
      </c>
      <c r="DB49" s="70">
        <f>+DB50+DB52+DB56+DB54</f>
        <v>7.4321944444444439</v>
      </c>
      <c r="DC49" s="69">
        <f>+DD49*DC12</f>
        <v>30140.923898571429</v>
      </c>
      <c r="DD49" s="70">
        <f>+DD50+DD52+DD56+DD54</f>
        <v>7.4080714285714286</v>
      </c>
      <c r="DE49" s="69">
        <f>+DF49*DE12</f>
        <v>30140.923898571429</v>
      </c>
      <c r="DF49" s="70">
        <f>+DF50+DF52+DF56+DF54</f>
        <v>7.4080714285714286</v>
      </c>
      <c r="DH49" s="69">
        <f>+DI49*DH12</f>
        <v>26554.17473128068</v>
      </c>
      <c r="DI49" s="70">
        <f>+DI50+DI52+DI56+DI54</f>
        <v>6.5265160350780551</v>
      </c>
      <c r="DJ49" s="69">
        <f>+DK49*DJ12</f>
        <v>26430.037160907315</v>
      </c>
      <c r="DK49" s="70">
        <f>+DK50+DK52+DK56+DK54</f>
        <v>6.4960053582524262</v>
      </c>
      <c r="DL49" s="69">
        <f>+DM49*DL12</f>
        <v>26554.17473128068</v>
      </c>
      <c r="DM49" s="70">
        <f>+DM50+DM52+DM56+DM54</f>
        <v>6.5265160350780551</v>
      </c>
      <c r="DO49" s="69">
        <f>+DP49*DO12</f>
        <v>26554.17473128068</v>
      </c>
      <c r="DP49" s="70">
        <f>+DP50+DP52+DP56+DP54</f>
        <v>6.5265160350780551</v>
      </c>
      <c r="DQ49" s="69">
        <f>+DR49*DQ12</f>
        <v>26430.037160907315</v>
      </c>
      <c r="DR49" s="70">
        <f>+DR50+DR52+DR56+DR54</f>
        <v>6.4960053582524262</v>
      </c>
      <c r="DS49" s="69">
        <f>+DT49*DS12</f>
        <v>26554.17473128068</v>
      </c>
      <c r="DT49" s="70">
        <f>+DT50+DT52+DT56+DT54</f>
        <v>6.5265160350780551</v>
      </c>
      <c r="DV49" s="69">
        <f>+DW49*DV12</f>
        <v>26554.17473128068</v>
      </c>
      <c r="DW49" s="70">
        <f>+DW50+DW52+DW56+DW54</f>
        <v>6.5265160350780551</v>
      </c>
      <c r="DX49" s="69">
        <f>+DY49*DX12</f>
        <v>26430.037160907315</v>
      </c>
      <c r="DY49" s="70">
        <f>+DY50+DY52+DY56+DY54</f>
        <v>6.4960053582524262</v>
      </c>
      <c r="EA49" s="69">
        <f>+EB49*EA12</f>
        <v>26554.17473128068</v>
      </c>
      <c r="EB49" s="70">
        <f>+EB50+EB52+EB56+EB54</f>
        <v>6.5265160350780551</v>
      </c>
      <c r="ED49" s="69">
        <f>+EE49*ED12</f>
        <v>26430.037160907315</v>
      </c>
      <c r="EE49" s="70">
        <f>+EE50+EE52+EE56+EE54</f>
        <v>6.4960053582524262</v>
      </c>
      <c r="EG49" s="69">
        <f>+EH49*EG12</f>
        <v>26430.037160907315</v>
      </c>
      <c r="EH49" s="70">
        <f>+EH50+EH52+EH56+EH54</f>
        <v>6.4960053582524262</v>
      </c>
      <c r="EJ49" s="69">
        <f>+EK49*EJ12</f>
        <v>26554.17473128068</v>
      </c>
      <c r="EK49" s="70">
        <f>+EK50+EK52+EK56+EK54</f>
        <v>6.5265160350780551</v>
      </c>
      <c r="EM49" s="69">
        <f>+EN49*EM12</f>
        <v>26430.037160907315</v>
      </c>
      <c r="EN49" s="70">
        <f>+EN50+EN52+EN56+EN54</f>
        <v>6.4960053582524262</v>
      </c>
      <c r="EP49" s="69">
        <f>+EQ49*EP12</f>
        <v>26430.037160907315</v>
      </c>
      <c r="EQ49" s="70">
        <f>+EQ50+EQ52+EQ56+EQ54</f>
        <v>6.4960053582524262</v>
      </c>
      <c r="ER49" s="69">
        <f>+ES49*ER12</f>
        <v>26554.17473128068</v>
      </c>
      <c r="ES49" s="70">
        <f>+ES50+ES52+ES56+ES54</f>
        <v>6.5265160350780551</v>
      </c>
      <c r="EU49" s="69">
        <f>+EV49*EU12</f>
        <v>26430.037160907315</v>
      </c>
      <c r="EV49" s="70">
        <f>+EV50+EV52+EV56+EV54</f>
        <v>6.4960053582524262</v>
      </c>
      <c r="EX49" s="69">
        <f>+EY49*EX12</f>
        <v>26554.17473128068</v>
      </c>
      <c r="EY49" s="70">
        <f>+EY50+EY52+EY56+EY54</f>
        <v>6.5265160350780551</v>
      </c>
      <c r="EZ49" s="69">
        <f>+FA49*EZ12</f>
        <v>26430.037160907315</v>
      </c>
      <c r="FA49" s="70">
        <f>+FA50+FA52+FA56+FA54</f>
        <v>6.4960053582524262</v>
      </c>
      <c r="FB49" s="69">
        <f>+FC49*FB12</f>
        <v>26554.17473128068</v>
      </c>
      <c r="FC49" s="70">
        <f>+FC50+FC52+FC56+FC54</f>
        <v>6.5265160350780551</v>
      </c>
    </row>
    <row r="50" spans="1:159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0.255</v>
      </c>
      <c r="H50" s="50"/>
      <c r="I50" s="72">
        <f>+I51*I56</f>
        <v>0.25883297249016207</v>
      </c>
      <c r="J50" s="367"/>
      <c r="K50" s="368">
        <f>+K51*K56</f>
        <v>0.262458204854081</v>
      </c>
      <c r="L50" s="367"/>
      <c r="M50" s="368">
        <f>+M51*M56</f>
        <v>0.26249586776859507</v>
      </c>
      <c r="N50" s="367"/>
      <c r="O50" s="368">
        <f>+O51*O56</f>
        <v>0.26249586776859507</v>
      </c>
      <c r="P50" s="367"/>
      <c r="Q50" s="368">
        <f>+Q51*Q56</f>
        <v>0.26260743026859512</v>
      </c>
      <c r="R50" s="630"/>
      <c r="S50" s="323"/>
      <c r="T50" s="72">
        <f>+T51*T56</f>
        <v>0.255</v>
      </c>
      <c r="U50" s="323"/>
      <c r="V50" s="72">
        <f>+V51*V56</f>
        <v>0.25999999999999995</v>
      </c>
      <c r="W50" s="367"/>
      <c r="X50" s="368">
        <f>+X51*X56</f>
        <v>0.26242786788853456</v>
      </c>
      <c r="Y50" s="367"/>
      <c r="Z50" s="368">
        <f>+Z51*Z56</f>
        <v>0.26249586776859507</v>
      </c>
      <c r="AA50" s="367"/>
      <c r="AB50" s="368">
        <f>+AB51*AB56</f>
        <v>0.26249586776859507</v>
      </c>
      <c r="AC50" s="367"/>
      <c r="AD50" s="368">
        <f>+AD51*AD56</f>
        <v>0.26249586776859507</v>
      </c>
      <c r="AE50" s="367"/>
      <c r="AF50" s="368" t="e">
        <f>'Pricing Structure - IIP'!#REF!</f>
        <v>#REF!</v>
      </c>
      <c r="AG50" s="630"/>
      <c r="AH50" s="50"/>
      <c r="AI50" s="72">
        <f>+AI51*AI56</f>
        <v>0.255</v>
      </c>
      <c r="AJ50" s="50"/>
      <c r="AK50" s="72">
        <f>+AK51*AK56</f>
        <v>0.25904147585942983</v>
      </c>
      <c r="AL50" s="367"/>
      <c r="AM50" s="368">
        <f>+AM51*AM56</f>
        <v>0.26987987859278617</v>
      </c>
      <c r="AN50" s="367"/>
      <c r="AO50" s="368">
        <f>+AO51*AO56</f>
        <v>0.26999999999999996</v>
      </c>
      <c r="AP50" s="367"/>
      <c r="AQ50" s="368">
        <f>+AQ51*AQ56</f>
        <v>0.26999999999999996</v>
      </c>
      <c r="AR50" s="367"/>
      <c r="AS50" s="368">
        <f>+AS51*AS56</f>
        <v>0.27011475000000001</v>
      </c>
      <c r="AT50" s="367"/>
      <c r="AU50" s="368" t="e">
        <f>'Pricing Structure - IHAG'!#REF!</f>
        <v>#REF!</v>
      </c>
      <c r="AV50" s="630"/>
      <c r="AW50" s="367"/>
      <c r="AX50" s="368">
        <f>+AX51*AX56</f>
        <v>0.27012676056338031</v>
      </c>
      <c r="AY50" s="269"/>
      <c r="AZ50" s="72">
        <f>+AZ51*AZ56</f>
        <v>0.25999999999999995</v>
      </c>
      <c r="BA50" s="367"/>
      <c r="BB50" s="368">
        <f>+BB51*BB56</f>
        <v>0.26249586776859507</v>
      </c>
      <c r="BC50" s="367"/>
      <c r="BD50" s="368">
        <f>+BD51*BD56</f>
        <v>0.26249586776859507</v>
      </c>
      <c r="BE50" s="367"/>
      <c r="BF50" s="368">
        <f>+BF51*BF56</f>
        <v>0.26249586776859507</v>
      </c>
      <c r="BG50" s="367"/>
      <c r="BH50" s="368">
        <f>+BH51*BH56</f>
        <v>0.26261061776859512</v>
      </c>
      <c r="BI50" s="367"/>
      <c r="BJ50" s="368">
        <f>+BJ51*BJ56</f>
        <v>0.26261061776859512</v>
      </c>
      <c r="BK50" s="50"/>
      <c r="BL50" s="72">
        <f>+BL51*BL56</f>
        <v>0.1851457489878543</v>
      </c>
      <c r="BM50" s="367"/>
      <c r="BN50" s="368">
        <f>+BN51*BN56</f>
        <v>0.1851457489878543</v>
      </c>
      <c r="BO50" s="367"/>
      <c r="BP50" s="368">
        <f>+BP51*BP56</f>
        <v>0.1851457489878543</v>
      </c>
      <c r="BQ50" s="367"/>
      <c r="BR50" s="368">
        <f>+BR51*BR56</f>
        <v>0.2025074375</v>
      </c>
      <c r="BS50" s="50"/>
      <c r="BT50" s="72">
        <f>+BT51*BT56</f>
        <v>0.16749999999999998</v>
      </c>
      <c r="BU50" s="367"/>
      <c r="BV50" s="368">
        <f>+BV51*BV56</f>
        <v>0.16749999999999998</v>
      </c>
      <c r="BW50" s="367"/>
      <c r="BX50" s="368">
        <f>+BX51*BX56</f>
        <v>0.16749999999999998</v>
      </c>
      <c r="BY50" s="367"/>
      <c r="BZ50" s="368">
        <f>+BZ51*BZ56</f>
        <v>0.182612625</v>
      </c>
      <c r="CA50" s="50"/>
      <c r="CB50" s="72">
        <f>+CB51*CB56</f>
        <v>0.23750000000000002</v>
      </c>
      <c r="CC50" s="367"/>
      <c r="CD50" s="368">
        <f>+CD51*CD56</f>
        <v>0.23750000000000002</v>
      </c>
      <c r="CE50" s="367"/>
      <c r="CF50" s="368">
        <f>+CF51*CF56</f>
        <v>0.23750000000000002</v>
      </c>
      <c r="CG50" s="367"/>
      <c r="CH50" s="368">
        <f>+CH51*CH56</f>
        <v>0.25510093750000001</v>
      </c>
      <c r="CI50" s="367"/>
      <c r="CJ50" s="368">
        <f>+CJ51*CJ56</f>
        <v>0.30249999999999999</v>
      </c>
      <c r="CK50" s="367"/>
      <c r="CL50" s="368">
        <f>+CL51*CL56</f>
        <v>0.30249999999999999</v>
      </c>
      <c r="CM50" s="367"/>
      <c r="CN50" s="368">
        <f>+CN51*CN56</f>
        <v>0.30249999999999999</v>
      </c>
      <c r="CO50" s="367"/>
      <c r="CP50" s="368">
        <f>+CP51*CP56</f>
        <v>0.15256544999999999</v>
      </c>
      <c r="CR50" s="367"/>
      <c r="CS50" s="368">
        <f>+CS51*CS56</f>
        <v>0.30249999999999999</v>
      </c>
      <c r="CT50" s="367"/>
      <c r="CU50" s="368">
        <f>+CU51*CU56</f>
        <v>0.30214285714285716</v>
      </c>
      <c r="CV50" s="367"/>
      <c r="CW50" s="368">
        <f>+CW51*CW56</f>
        <v>0.30214285714285716</v>
      </c>
      <c r="CX50" s="367"/>
      <c r="CY50" s="368">
        <f>+CY51*CY56</f>
        <v>0.15249893750000004</v>
      </c>
      <c r="DA50" s="367"/>
      <c r="DB50" s="368">
        <f>+DB51*DB56</f>
        <v>0.30249999999999999</v>
      </c>
      <c r="DC50" s="367"/>
      <c r="DD50" s="368">
        <f>+DD51*DD56</f>
        <v>0.30214285714285716</v>
      </c>
      <c r="DE50" s="367"/>
      <c r="DF50" s="368">
        <f>+DF51*DF56</f>
        <v>0.30214285714285716</v>
      </c>
      <c r="DH50" s="367"/>
      <c r="DI50" s="368">
        <f>+DI51*DI56</f>
        <v>0.26240865809611269</v>
      </c>
      <c r="DJ50" s="367"/>
      <c r="DK50" s="368">
        <f>+DK51*DK56</f>
        <v>0.26229922746185852</v>
      </c>
      <c r="DL50" s="367"/>
      <c r="DM50" s="368">
        <f>+DM51*DM56</f>
        <v>0.26240865809611269</v>
      </c>
      <c r="DO50" s="367"/>
      <c r="DP50" s="368">
        <f>+DP51*DP56</f>
        <v>0.26240865809611269</v>
      </c>
      <c r="DQ50" s="367"/>
      <c r="DR50" s="368">
        <f>+DR51*DR56</f>
        <v>0.26229922746185852</v>
      </c>
      <c r="DS50" s="367"/>
      <c r="DT50" s="368">
        <f>+DT51*DT56</f>
        <v>0.26240865809611269</v>
      </c>
      <c r="DV50" s="367"/>
      <c r="DW50" s="368">
        <f>+DW51*DW56</f>
        <v>0.26240865809611269</v>
      </c>
      <c r="DX50" s="367"/>
      <c r="DY50" s="368">
        <f>+DY51*DY56</f>
        <v>0.26229922746185852</v>
      </c>
      <c r="EA50" s="367"/>
      <c r="EB50" s="368">
        <f>+EB51*EB56</f>
        <v>0.26240865809611269</v>
      </c>
      <c r="ED50" s="367"/>
      <c r="EE50" s="368">
        <f>+EE51*EE56</f>
        <v>0.26229922746185852</v>
      </c>
      <c r="EG50" s="367"/>
      <c r="EH50" s="368">
        <f>+EH51*EH56</f>
        <v>0.26229922746185852</v>
      </c>
      <c r="EJ50" s="367"/>
      <c r="EK50" s="368">
        <f>+EK51*EK56</f>
        <v>0.26240865809611269</v>
      </c>
      <c r="EM50" s="367"/>
      <c r="EN50" s="368">
        <f>+EN51*EN56</f>
        <v>0.26229922746185852</v>
      </c>
      <c r="EP50" s="367"/>
      <c r="EQ50" s="368">
        <f>+EQ51*EQ56</f>
        <v>0.26229922746185852</v>
      </c>
      <c r="ER50" s="367"/>
      <c r="ES50" s="368">
        <f>+ES51*ES56</f>
        <v>0.26240865809611269</v>
      </c>
      <c r="EU50" s="367"/>
      <c r="EV50" s="368">
        <f>+EV51*EV56</f>
        <v>0.26229922746185852</v>
      </c>
      <c r="EX50" s="367"/>
      <c r="EY50" s="368">
        <f>+EY51*EY56</f>
        <v>0.26240865809611269</v>
      </c>
      <c r="EZ50" s="367"/>
      <c r="FA50" s="368">
        <f>+FA51*FA56</f>
        <v>0.26229922746185852</v>
      </c>
      <c r="FB50" s="367"/>
      <c r="FC50" s="368">
        <f>+FC51*FC56</f>
        <v>0.26240865809611269</v>
      </c>
    </row>
    <row r="51" spans="1:159" s="4" customFormat="1" ht="18" customHeight="1" x14ac:dyDescent="0.45">
      <c r="A51" s="561"/>
      <c r="B51" s="1184"/>
      <c r="C51" s="15" t="s">
        <v>56</v>
      </c>
      <c r="D51" s="16"/>
      <c r="E51" s="16"/>
      <c r="F51" s="73"/>
      <c r="G51" s="74">
        <v>0.05</v>
      </c>
      <c r="H51" s="73"/>
      <c r="I51" s="74">
        <v>0.05</v>
      </c>
      <c r="J51" s="369"/>
      <c r="K51" s="1081">
        <v>0.05</v>
      </c>
      <c r="L51" s="369"/>
      <c r="M51" s="1081">
        <v>0.05</v>
      </c>
      <c r="N51" s="369"/>
      <c r="O51" s="1081">
        <v>0.05</v>
      </c>
      <c r="P51" s="369"/>
      <c r="Q51" s="1081">
        <v>0.05</v>
      </c>
      <c r="R51" s="635"/>
      <c r="S51" s="47"/>
      <c r="T51" s="1082">
        <v>0.05</v>
      </c>
      <c r="U51" s="47"/>
      <c r="V51" s="1082">
        <v>0.05</v>
      </c>
      <c r="W51" s="369"/>
      <c r="X51" s="1081">
        <v>0.05</v>
      </c>
      <c r="Y51" s="369"/>
      <c r="Z51" s="1081">
        <v>0.05</v>
      </c>
      <c r="AA51" s="369"/>
      <c r="AB51" s="1081">
        <v>0.05</v>
      </c>
      <c r="AC51" s="369"/>
      <c r="AD51" s="1081">
        <v>0.05</v>
      </c>
      <c r="AE51" s="361"/>
      <c r="AF51" s="1081" t="e">
        <f>'Pricing Structure - IIP'!#REF!</f>
        <v>#REF!</v>
      </c>
      <c r="AG51" s="635"/>
      <c r="AH51" s="47"/>
      <c r="AI51" s="1082">
        <v>0.05</v>
      </c>
      <c r="AJ51" s="47"/>
      <c r="AK51" s="1082">
        <v>0.05</v>
      </c>
      <c r="AL51" s="369"/>
      <c r="AM51" s="1081">
        <v>0.05</v>
      </c>
      <c r="AN51" s="369"/>
      <c r="AO51" s="1081">
        <v>0.05</v>
      </c>
      <c r="AP51" s="369"/>
      <c r="AQ51" s="1081">
        <v>0.05</v>
      </c>
      <c r="AR51" s="369"/>
      <c r="AS51" s="1081">
        <v>0.05</v>
      </c>
      <c r="AT51" s="361"/>
      <c r="AU51" s="1081" t="e">
        <f>'Pricing Structure - IHAG'!#REF!</f>
        <v>#REF!</v>
      </c>
      <c r="AV51" s="635"/>
      <c r="AW51" s="361"/>
      <c r="AX51" s="1081">
        <v>0.05</v>
      </c>
      <c r="AY51" s="63"/>
      <c r="AZ51" s="1082">
        <v>0.05</v>
      </c>
      <c r="BA51" s="361"/>
      <c r="BB51" s="1081">
        <v>0.05</v>
      </c>
      <c r="BC51" s="361"/>
      <c r="BD51" s="1081">
        <v>0.05</v>
      </c>
      <c r="BE51" s="361"/>
      <c r="BF51" s="1081">
        <v>0.05</v>
      </c>
      <c r="BG51" s="361"/>
      <c r="BH51" s="1081">
        <v>0.05</v>
      </c>
      <c r="BI51" s="361"/>
      <c r="BJ51" s="1081">
        <v>0.05</v>
      </c>
      <c r="BK51" s="47"/>
      <c r="BL51" s="1082">
        <v>0.05</v>
      </c>
      <c r="BM51" s="361"/>
      <c r="BN51" s="1081">
        <v>0.05</v>
      </c>
      <c r="BO51" s="361"/>
      <c r="BP51" s="1081">
        <v>0.05</v>
      </c>
      <c r="BQ51" s="361"/>
      <c r="BR51" s="1081">
        <v>0.05</v>
      </c>
      <c r="BS51" s="47"/>
      <c r="BT51" s="1082">
        <v>0.05</v>
      </c>
      <c r="BU51" s="361"/>
      <c r="BV51" s="1081">
        <v>0.05</v>
      </c>
      <c r="BW51" s="361"/>
      <c r="BX51" s="1081">
        <v>0.05</v>
      </c>
      <c r="BY51" s="361"/>
      <c r="BZ51" s="1081">
        <v>0.05</v>
      </c>
      <c r="CA51" s="47"/>
      <c r="CB51" s="1082">
        <v>0.05</v>
      </c>
      <c r="CC51" s="361"/>
      <c r="CD51" s="1081">
        <v>0.05</v>
      </c>
      <c r="CE51" s="361"/>
      <c r="CF51" s="1081">
        <v>0.05</v>
      </c>
      <c r="CG51" s="361"/>
      <c r="CH51" s="1081">
        <v>0.05</v>
      </c>
      <c r="CI51" s="369"/>
      <c r="CJ51" s="370">
        <v>0.05</v>
      </c>
      <c r="CK51" s="369"/>
      <c r="CL51" s="370">
        <v>0.05</v>
      </c>
      <c r="CM51" s="369"/>
      <c r="CN51" s="370">
        <v>0.05</v>
      </c>
      <c r="CO51" s="369"/>
      <c r="CP51" s="370">
        <v>0.05</v>
      </c>
      <c r="CR51" s="369"/>
      <c r="CS51" s="370">
        <v>0.05</v>
      </c>
      <c r="CT51" s="369"/>
      <c r="CU51" s="370">
        <v>0.05</v>
      </c>
      <c r="CV51" s="369"/>
      <c r="CW51" s="370">
        <v>0.05</v>
      </c>
      <c r="CX51" s="369"/>
      <c r="CY51" s="370">
        <v>0.05</v>
      </c>
      <c r="DA51" s="369"/>
      <c r="DB51" s="370">
        <v>0.05</v>
      </c>
      <c r="DC51" s="369"/>
      <c r="DD51" s="370">
        <v>0.05</v>
      </c>
      <c r="DE51" s="369"/>
      <c r="DF51" s="370">
        <v>0.05</v>
      </c>
      <c r="DH51" s="369"/>
      <c r="DI51" s="370">
        <v>0.05</v>
      </c>
      <c r="DJ51" s="369"/>
      <c r="DK51" s="370">
        <v>0.05</v>
      </c>
      <c r="DL51" s="369"/>
      <c r="DM51" s="370">
        <v>0.05</v>
      </c>
      <c r="DO51" s="369"/>
      <c r="DP51" s="370">
        <v>0.05</v>
      </c>
      <c r="DQ51" s="369"/>
      <c r="DR51" s="370">
        <v>0.05</v>
      </c>
      <c r="DS51" s="369"/>
      <c r="DT51" s="370">
        <v>0.05</v>
      </c>
      <c r="DV51" s="369"/>
      <c r="DW51" s="370">
        <v>0.05</v>
      </c>
      <c r="DX51" s="369"/>
      <c r="DY51" s="370">
        <v>0.05</v>
      </c>
      <c r="EA51" s="369"/>
      <c r="EB51" s="370">
        <v>0.05</v>
      </c>
      <c r="ED51" s="369"/>
      <c r="EE51" s="370">
        <v>0.05</v>
      </c>
      <c r="EG51" s="369"/>
      <c r="EH51" s="370">
        <v>0.05</v>
      </c>
      <c r="EJ51" s="369"/>
      <c r="EK51" s="370">
        <v>0.05</v>
      </c>
      <c r="EM51" s="369"/>
      <c r="EN51" s="370">
        <v>0.05</v>
      </c>
      <c r="EP51" s="369"/>
      <c r="EQ51" s="370">
        <v>0.05</v>
      </c>
      <c r="ER51" s="369"/>
      <c r="ES51" s="370">
        <v>0.05</v>
      </c>
      <c r="EU51" s="369"/>
      <c r="EV51" s="370">
        <v>0.05</v>
      </c>
      <c r="EX51" s="369"/>
      <c r="EY51" s="370">
        <v>0.05</v>
      </c>
      <c r="EZ51" s="369"/>
      <c r="FA51" s="370">
        <v>0.05</v>
      </c>
      <c r="FB51" s="369"/>
      <c r="FC51" s="370">
        <v>0.05</v>
      </c>
    </row>
    <row r="52" spans="1:159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0.46487603305785125</v>
      </c>
      <c r="H52" s="50"/>
      <c r="I52" s="72">
        <f>$D$53/I66</f>
        <v>0.46487603305785125</v>
      </c>
      <c r="J52" s="367"/>
      <c r="K52" s="368">
        <f>$D$53/K66</f>
        <v>0.46487603305785125</v>
      </c>
      <c r="L52" s="367"/>
      <c r="M52" s="368">
        <f>$D$53/M66</f>
        <v>0.46487603305785125</v>
      </c>
      <c r="N52" s="367"/>
      <c r="O52" s="368">
        <f>$D$53/O66</f>
        <v>0.46487603305785125</v>
      </c>
      <c r="P52" s="367"/>
      <c r="Q52" s="368">
        <f>$D$53/Q66</f>
        <v>0.46487603305785125</v>
      </c>
      <c r="R52" s="630"/>
      <c r="S52" s="323"/>
      <c r="T52" s="72">
        <f>$D$53/T66</f>
        <v>0.45</v>
      </c>
      <c r="U52" s="323"/>
      <c r="V52" s="72">
        <f>$D$53/V66</f>
        <v>0.45</v>
      </c>
      <c r="W52" s="367"/>
      <c r="X52" s="368">
        <f>$D$53/X66</f>
        <v>0.46487603305785125</v>
      </c>
      <c r="Y52" s="367"/>
      <c r="Z52" s="368">
        <f>$D$53/Z66</f>
        <v>0.46487603305785125</v>
      </c>
      <c r="AA52" s="367"/>
      <c r="AB52" s="368">
        <f>$D$53/AB66</f>
        <v>0.46487603305785125</v>
      </c>
      <c r="AC52" s="367"/>
      <c r="AD52" s="368">
        <f>$D$53/AD66</f>
        <v>0.46487603305785125</v>
      </c>
      <c r="AE52" s="367"/>
      <c r="AF52" s="368" t="e">
        <f>'Pricing Structure - IIP'!#REF!</f>
        <v>#REF!</v>
      </c>
      <c r="AG52" s="630"/>
      <c r="AH52" s="50"/>
      <c r="AI52" s="72">
        <f>$D$53/AI66</f>
        <v>0.50704225352112675</v>
      </c>
      <c r="AJ52" s="50"/>
      <c r="AK52" s="72">
        <f>$D$53/AK66</f>
        <v>0.50704225352112675</v>
      </c>
      <c r="AL52" s="367"/>
      <c r="AM52" s="368">
        <f>$D$53/AM66</f>
        <v>0.50704225352112675</v>
      </c>
      <c r="AN52" s="367"/>
      <c r="AO52" s="368">
        <f>$D$53/AO66</f>
        <v>0.50704225352112675</v>
      </c>
      <c r="AP52" s="367"/>
      <c r="AQ52" s="368">
        <f>$D$53/AQ66</f>
        <v>0.50704225352112675</v>
      </c>
      <c r="AR52" s="367"/>
      <c r="AS52" s="368">
        <f>$D$53/AS66</f>
        <v>0.50704225352112675</v>
      </c>
      <c r="AT52" s="367"/>
      <c r="AU52" s="368" t="e">
        <f>'Pricing Structure - IHAG'!#REF!</f>
        <v>#REF!</v>
      </c>
      <c r="AV52" s="630"/>
      <c r="AW52" s="367"/>
      <c r="AX52" s="368">
        <f>$D$53/AX66</f>
        <v>0.50704225352112675</v>
      </c>
      <c r="AY52" s="269"/>
      <c r="AZ52" s="72">
        <f>$D$53/AZ66</f>
        <v>0.46487603305785125</v>
      </c>
      <c r="BA52" s="367"/>
      <c r="BB52" s="368">
        <f>$D$53/BB66</f>
        <v>0.46487603305785125</v>
      </c>
      <c r="BC52" s="367"/>
      <c r="BD52" s="368">
        <f>$D$53/BD66</f>
        <v>0.46487603305785125</v>
      </c>
      <c r="BE52" s="367"/>
      <c r="BF52" s="368">
        <f>$D$53/BF66</f>
        <v>0.46487603305785125</v>
      </c>
      <c r="BG52" s="367"/>
      <c r="BH52" s="368">
        <f>$D$53/BH66</f>
        <v>0.46487603305785125</v>
      </c>
      <c r="BI52" s="367"/>
      <c r="BJ52" s="368">
        <f>$D$53/BJ66</f>
        <v>0.46487603305785125</v>
      </c>
      <c r="BK52" s="50"/>
      <c r="BL52" s="72">
        <f>$D$53/BL66</f>
        <v>0.36437246963562753</v>
      </c>
      <c r="BM52" s="367"/>
      <c r="BN52" s="368">
        <f>$D$53/BN66</f>
        <v>0.36437246963562753</v>
      </c>
      <c r="BO52" s="367"/>
      <c r="BP52" s="368">
        <f>$D$53/BP66</f>
        <v>0.36437246963562753</v>
      </c>
      <c r="BQ52" s="367"/>
      <c r="BR52" s="368">
        <f>$D$53/BR66</f>
        <v>0.36437246963562753</v>
      </c>
      <c r="BS52" s="50"/>
      <c r="BT52" s="72">
        <f>$D$53/BT66</f>
        <v>0.375</v>
      </c>
      <c r="BU52" s="367"/>
      <c r="BV52" s="368">
        <f>$D$53/BV66</f>
        <v>0.375</v>
      </c>
      <c r="BW52" s="367"/>
      <c r="BX52" s="368">
        <f>$D$53/BX66</f>
        <v>0.375</v>
      </c>
      <c r="BY52" s="367"/>
      <c r="BZ52" s="368">
        <f>$D$53/BZ66</f>
        <v>0.375</v>
      </c>
      <c r="CA52" s="50"/>
      <c r="CB52" s="72">
        <f>$D$53/CB66</f>
        <v>0.75</v>
      </c>
      <c r="CC52" s="367"/>
      <c r="CD52" s="368">
        <f>$D$53/CD66</f>
        <v>0.75</v>
      </c>
      <c r="CE52" s="367"/>
      <c r="CF52" s="368">
        <f>$D$53/CF66</f>
        <v>0.75</v>
      </c>
      <c r="CG52" s="367"/>
      <c r="CH52" s="368">
        <f>$D$53/CH66</f>
        <v>0.75</v>
      </c>
      <c r="CI52" s="367"/>
      <c r="CJ52" s="368">
        <f>$D$53/CJ66</f>
        <v>0.44444444444444442</v>
      </c>
      <c r="CK52" s="367"/>
      <c r="CL52" s="368">
        <f>$D$53/CL66</f>
        <v>0.42857142857142855</v>
      </c>
      <c r="CM52" s="367"/>
      <c r="CN52" s="368">
        <f>$D$53/CN66</f>
        <v>0.42857142857142855</v>
      </c>
      <c r="CO52" s="367"/>
      <c r="CP52" s="368">
        <f>$D$53/CP66</f>
        <v>0.375</v>
      </c>
      <c r="CR52" s="367"/>
      <c r="CS52" s="368">
        <f>$D$53/CS66</f>
        <v>0.44444444444444442</v>
      </c>
      <c r="CT52" s="367"/>
      <c r="CU52" s="368">
        <f>$D$53/CU66</f>
        <v>0.42857142857142855</v>
      </c>
      <c r="CV52" s="367"/>
      <c r="CW52" s="368">
        <f>$D$53/CW66</f>
        <v>0.42857142857142855</v>
      </c>
      <c r="CX52" s="367"/>
      <c r="CY52" s="368">
        <f>$D$53/CY66</f>
        <v>0.375</v>
      </c>
      <c r="DA52" s="367"/>
      <c r="DB52" s="368">
        <f>$D$53/DB66</f>
        <v>0.44444444444444442</v>
      </c>
      <c r="DC52" s="367"/>
      <c r="DD52" s="368">
        <f>$D$53/DD66</f>
        <v>0.42857142857142855</v>
      </c>
      <c r="DE52" s="367"/>
      <c r="DF52" s="368">
        <f>$D$53/DF66</f>
        <v>0.42857142857142855</v>
      </c>
      <c r="DH52" s="367"/>
      <c r="DI52" s="368">
        <f>$D$53/DI66</f>
        <v>0.46487603305785125</v>
      </c>
      <c r="DJ52" s="367"/>
      <c r="DK52" s="368">
        <f>$D$53/DK66</f>
        <v>0.43689320388349512</v>
      </c>
      <c r="DL52" s="367"/>
      <c r="DM52" s="368">
        <f>$D$53/DM66</f>
        <v>0.46487603305785125</v>
      </c>
      <c r="DO52" s="367"/>
      <c r="DP52" s="368">
        <f>$D$53/DP66</f>
        <v>0.46487603305785125</v>
      </c>
      <c r="DQ52" s="367"/>
      <c r="DR52" s="368">
        <f>$D$53/DR66</f>
        <v>0.43689320388349512</v>
      </c>
      <c r="DS52" s="367"/>
      <c r="DT52" s="368">
        <f>$D$53/DT66</f>
        <v>0.46487603305785125</v>
      </c>
      <c r="DV52" s="367"/>
      <c r="DW52" s="368">
        <f>$D$53/DW66</f>
        <v>0.46487603305785125</v>
      </c>
      <c r="DX52" s="367"/>
      <c r="DY52" s="368">
        <f>$D$53/DY66</f>
        <v>0.43689320388349512</v>
      </c>
      <c r="EA52" s="367"/>
      <c r="EB52" s="368">
        <f>$D$53/EB66</f>
        <v>0.46487603305785125</v>
      </c>
      <c r="ED52" s="367"/>
      <c r="EE52" s="368">
        <f>$D$53/EE66</f>
        <v>0.43689320388349512</v>
      </c>
      <c r="EG52" s="367"/>
      <c r="EH52" s="368">
        <f>$D$53/EH66</f>
        <v>0.43689320388349512</v>
      </c>
      <c r="EJ52" s="367"/>
      <c r="EK52" s="368">
        <f>$D$53/EK66</f>
        <v>0.46487603305785125</v>
      </c>
      <c r="EM52" s="367"/>
      <c r="EN52" s="368">
        <f>$D$53/EN66</f>
        <v>0.43689320388349512</v>
      </c>
      <c r="EP52" s="367"/>
      <c r="EQ52" s="368">
        <f>$D$53/EQ66</f>
        <v>0.43689320388349512</v>
      </c>
      <c r="ER52" s="367"/>
      <c r="ES52" s="368">
        <f>$D$53/ES66</f>
        <v>0.46487603305785125</v>
      </c>
      <c r="EU52" s="367"/>
      <c r="EV52" s="368">
        <f>$D$53/EV66</f>
        <v>0.43689320388349512</v>
      </c>
      <c r="EX52" s="367"/>
      <c r="EY52" s="368">
        <f>$D$53/EY66</f>
        <v>0.46487603305785125</v>
      </c>
      <c r="EZ52" s="367"/>
      <c r="FA52" s="368">
        <f>$D$53/FA66</f>
        <v>0.43689320388349512</v>
      </c>
      <c r="FB52" s="367"/>
      <c r="FC52" s="368">
        <f>$D$53/FC66</f>
        <v>0.46487603305785125</v>
      </c>
    </row>
    <row r="53" spans="1:159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73"/>
      <c r="G53" s="74">
        <f>G52/G56</f>
        <v>9.1152163344676726E-2</v>
      </c>
      <c r="H53" s="73"/>
      <c r="I53" s="74">
        <f>I52/I56</f>
        <v>8.9802320891616813E-2</v>
      </c>
      <c r="J53" s="369"/>
      <c r="K53" s="1081">
        <f>K52/K56</f>
        <v>8.8561916613791633E-2</v>
      </c>
      <c r="L53" s="369"/>
      <c r="M53" s="1081">
        <f>M52/M56</f>
        <v>8.8549209747496999E-2</v>
      </c>
      <c r="N53" s="369"/>
      <c r="O53" s="1081">
        <f>O52/O56</f>
        <v>8.8549209747496999E-2</v>
      </c>
      <c r="P53" s="369"/>
      <c r="Q53" s="1081">
        <f>Q52/Q56</f>
        <v>8.8511591728835631E-2</v>
      </c>
      <c r="R53" s="635"/>
      <c r="S53" s="47"/>
      <c r="T53" s="1082">
        <f>T52/T56</f>
        <v>8.8235294117647065E-2</v>
      </c>
      <c r="U53" s="47"/>
      <c r="V53" s="1082">
        <f>V52/V56</f>
        <v>8.653846153846155E-2</v>
      </c>
      <c r="W53" s="369"/>
      <c r="X53" s="1081">
        <f>X52/X56</f>
        <v>8.8572154473949755E-2</v>
      </c>
      <c r="Y53" s="369"/>
      <c r="Z53" s="1081">
        <f>Z52/Z56</f>
        <v>8.8549209747496999E-2</v>
      </c>
      <c r="AA53" s="369"/>
      <c r="AB53" s="1081">
        <f>AB52/AB56</f>
        <v>8.8549209747496999E-2</v>
      </c>
      <c r="AC53" s="369"/>
      <c r="AD53" s="1081">
        <f>AD52/AD56</f>
        <v>8.8549209747496999E-2</v>
      </c>
      <c r="AE53" s="361"/>
      <c r="AF53" s="1081" t="e">
        <f>'Pricing Structure - IIP'!#REF!</f>
        <v>#REF!</v>
      </c>
      <c r="AG53" s="635"/>
      <c r="AH53" s="47"/>
      <c r="AI53" s="1082">
        <f>AI52/AI56</f>
        <v>9.9420049710024855E-2</v>
      </c>
      <c r="AJ53" s="47"/>
      <c r="AK53" s="1082">
        <f>AK52/AK56</f>
        <v>9.7868932347396728E-2</v>
      </c>
      <c r="AL53" s="369"/>
      <c r="AM53" s="1081">
        <f>AM52/AM56</f>
        <v>9.3938506302314595E-2</v>
      </c>
      <c r="AN53" s="369"/>
      <c r="AO53" s="1081">
        <f>AO52/AO56</f>
        <v>9.3896713615023483E-2</v>
      </c>
      <c r="AP53" s="369"/>
      <c r="AQ53" s="1081">
        <f>AQ52/AQ56</f>
        <v>9.3896713615023483E-2</v>
      </c>
      <c r="AR53" s="369"/>
      <c r="AS53" s="1081">
        <f>AS52/AS56</f>
        <v>9.385682446462601E-2</v>
      </c>
      <c r="AT53" s="361"/>
      <c r="AU53" s="1081" t="e">
        <f>'Pricing Structure - IHAG'!#REF!</f>
        <v>#REF!</v>
      </c>
      <c r="AV53" s="635"/>
      <c r="AW53" s="361"/>
      <c r="AX53" s="1081">
        <f>AX52/AX56</f>
        <v>9.3852651337400284E-2</v>
      </c>
      <c r="AY53" s="63"/>
      <c r="AZ53" s="1082">
        <f>AZ52/AZ56</f>
        <v>8.9399237126509865E-2</v>
      </c>
      <c r="BA53" s="361"/>
      <c r="BB53" s="1081">
        <f>BB52/BB56</f>
        <v>8.8549209747496999E-2</v>
      </c>
      <c r="BC53" s="361"/>
      <c r="BD53" s="1081">
        <f>BD52/BD56</f>
        <v>8.8549209747496999E-2</v>
      </c>
      <c r="BE53" s="361"/>
      <c r="BF53" s="1081">
        <f>BF52/BF56</f>
        <v>8.8549209747496999E-2</v>
      </c>
      <c r="BG53" s="361"/>
      <c r="BH53" s="1081">
        <f>BH52/BH56</f>
        <v>8.8510517397945923E-2</v>
      </c>
      <c r="BI53" s="361"/>
      <c r="BJ53" s="1081">
        <f>BJ52/BJ56</f>
        <v>8.8510517397945923E-2</v>
      </c>
      <c r="BK53" s="47"/>
      <c r="BL53" s="1082">
        <f>BL52/BL56</f>
        <v>9.8401521943539377E-2</v>
      </c>
      <c r="BM53" s="361"/>
      <c r="BN53" s="1081">
        <f>BN52/BN56</f>
        <v>9.8401521943539377E-2</v>
      </c>
      <c r="BO53" s="361"/>
      <c r="BP53" s="1081">
        <f>BP52/BP56</f>
        <v>9.8401521943539377E-2</v>
      </c>
      <c r="BQ53" s="361"/>
      <c r="BR53" s="1081">
        <f>BR52/BR56</f>
        <v>8.9965206743487514E-2</v>
      </c>
      <c r="BS53" s="47"/>
      <c r="BT53" s="1082">
        <f>BT52/BT56</f>
        <v>0.1119402985074627</v>
      </c>
      <c r="BU53" s="361"/>
      <c r="BV53" s="1081">
        <f>BV52/BV56</f>
        <v>0.1119402985074627</v>
      </c>
      <c r="BW53" s="361"/>
      <c r="BX53" s="1081">
        <f>BX52/BX56</f>
        <v>0.1119402985074627</v>
      </c>
      <c r="BY53" s="361"/>
      <c r="BZ53" s="1081">
        <f>BZ52/BZ56</f>
        <v>0.10267636205328082</v>
      </c>
      <c r="CA53" s="47"/>
      <c r="CB53" s="1082">
        <f>CB52/CB56</f>
        <v>0.15789473684210525</v>
      </c>
      <c r="CC53" s="361"/>
      <c r="CD53" s="1081">
        <f>CD52/CD56</f>
        <v>0.15789473684210525</v>
      </c>
      <c r="CE53" s="361"/>
      <c r="CF53" s="1081">
        <f>CF52/CF56</f>
        <v>0.15789473684210525</v>
      </c>
      <c r="CG53" s="361"/>
      <c r="CH53" s="1081">
        <f>CH52/CH56</f>
        <v>0.14700063577774974</v>
      </c>
      <c r="CI53" s="369"/>
      <c r="CJ53" s="370">
        <f>CJ52/CJ56</f>
        <v>7.3461891643709823E-2</v>
      </c>
      <c r="CK53" s="369"/>
      <c r="CL53" s="370">
        <f>CL52/CL56</f>
        <v>7.0838252656434467E-2</v>
      </c>
      <c r="CM53" s="369"/>
      <c r="CN53" s="370">
        <f>CN52/CN56</f>
        <v>7.0838252656434467E-2</v>
      </c>
      <c r="CO53" s="369"/>
      <c r="CP53" s="370">
        <f>CP52/CP56</f>
        <v>0.12289807423633595</v>
      </c>
      <c r="CR53" s="369"/>
      <c r="CS53" s="370">
        <f>CS52/CS56</f>
        <v>7.3461891643709823E-2</v>
      </c>
      <c r="CT53" s="369"/>
      <c r="CU53" s="370">
        <f>CU52/CU56</f>
        <v>7.0921985815602828E-2</v>
      </c>
      <c r="CV53" s="369"/>
      <c r="CW53" s="370">
        <f>CW52/CW56</f>
        <v>7.0921985815602828E-2</v>
      </c>
      <c r="CX53" s="369"/>
      <c r="CY53" s="370">
        <f>CY52/CY56</f>
        <v>0.12295167630266274</v>
      </c>
      <c r="DA53" s="369"/>
      <c r="DB53" s="370">
        <f>DB52/DB56</f>
        <v>7.3461891643709823E-2</v>
      </c>
      <c r="DC53" s="369"/>
      <c r="DD53" s="370">
        <f>DD52/DD56</f>
        <v>7.0921985815602828E-2</v>
      </c>
      <c r="DE53" s="369"/>
      <c r="DF53" s="370">
        <f>DF52/DF56</f>
        <v>7.0921985815602828E-2</v>
      </c>
      <c r="DH53" s="369"/>
      <c r="DI53" s="370">
        <f>DI52/DI56</f>
        <v>8.8578638454753389E-2</v>
      </c>
      <c r="DJ53" s="369"/>
      <c r="DK53" s="370">
        <f>DK52/DK56</f>
        <v>8.3281450752085165E-2</v>
      </c>
      <c r="DL53" s="369"/>
      <c r="DM53" s="370">
        <f>DM52/DM56</f>
        <v>8.8578638454753389E-2</v>
      </c>
      <c r="DO53" s="369"/>
      <c r="DP53" s="370">
        <f>DP52/DP56</f>
        <v>8.8578638454753389E-2</v>
      </c>
      <c r="DQ53" s="369"/>
      <c r="DR53" s="370">
        <f>DR52/DR56</f>
        <v>8.3281450752085165E-2</v>
      </c>
      <c r="DS53" s="369"/>
      <c r="DT53" s="370">
        <f>DT52/DT56</f>
        <v>8.8578638454753389E-2</v>
      </c>
      <c r="DV53" s="369"/>
      <c r="DW53" s="370">
        <f>DW52/DW56</f>
        <v>8.8578638454753389E-2</v>
      </c>
      <c r="DX53" s="369"/>
      <c r="DY53" s="370">
        <f>DY52/DY56</f>
        <v>8.3281450752085165E-2</v>
      </c>
      <c r="EA53" s="369"/>
      <c r="EB53" s="370">
        <f>EB52/EB56</f>
        <v>8.8578638454753389E-2</v>
      </c>
      <c r="ED53" s="369"/>
      <c r="EE53" s="370">
        <f>EE52/EE56</f>
        <v>8.3281450752085165E-2</v>
      </c>
      <c r="EG53" s="369"/>
      <c r="EH53" s="370">
        <f>EH52/EH56</f>
        <v>8.3281450752085165E-2</v>
      </c>
      <c r="EJ53" s="369"/>
      <c r="EK53" s="370">
        <f>EK52/EK56</f>
        <v>8.8578638454753389E-2</v>
      </c>
      <c r="EM53" s="369"/>
      <c r="EN53" s="370">
        <f>EN52/EN56</f>
        <v>8.3281450752085165E-2</v>
      </c>
      <c r="EP53" s="369"/>
      <c r="EQ53" s="370">
        <f>EQ52/EQ56</f>
        <v>8.3281450752085165E-2</v>
      </c>
      <c r="ER53" s="369"/>
      <c r="ES53" s="370">
        <f>ES52/ES56</f>
        <v>8.8578638454753389E-2</v>
      </c>
      <c r="EU53" s="369"/>
      <c r="EV53" s="370">
        <f>EV52/EV56</f>
        <v>8.3281450752085165E-2</v>
      </c>
      <c r="EX53" s="369"/>
      <c r="EY53" s="370">
        <f>EY52/EY56</f>
        <v>8.8578638454753389E-2</v>
      </c>
      <c r="EZ53" s="369"/>
      <c r="FA53" s="370">
        <f>FA52/FA56</f>
        <v>8.3281450752085165E-2</v>
      </c>
      <c r="FB53" s="369"/>
      <c r="FC53" s="370">
        <f>FC52/FC56</f>
        <v>8.8578638454753389E-2</v>
      </c>
    </row>
    <row r="54" spans="1:159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0.53549999999999998</v>
      </c>
      <c r="H54" s="73"/>
      <c r="I54" s="72">
        <f>(I55*(I56+I50))</f>
        <v>0.54354924222934042</v>
      </c>
      <c r="J54" s="371"/>
      <c r="K54" s="368">
        <f>(K55*(K56+K50))</f>
        <v>0.55116223019357002</v>
      </c>
      <c r="L54" s="371"/>
      <c r="M54" s="368">
        <f>(M55*(M56+M50))</f>
        <v>0.55124132231404965</v>
      </c>
      <c r="N54" s="371"/>
      <c r="O54" s="368">
        <f>(O55*(O56+O50))</f>
        <v>0.55124132231404965</v>
      </c>
      <c r="P54" s="371"/>
      <c r="Q54" s="368">
        <f>(Q55*(Q56+Q50))</f>
        <v>0.55147560356404968</v>
      </c>
      <c r="R54" s="630"/>
      <c r="S54" s="324"/>
      <c r="T54" s="72">
        <f>(T55*(T56+T50))</f>
        <v>0.53549999999999998</v>
      </c>
      <c r="U54" s="324"/>
      <c r="V54" s="72">
        <f>(V55*(V56+V50))</f>
        <v>0.54599999999999993</v>
      </c>
      <c r="W54" s="371"/>
      <c r="X54" s="368">
        <f>(X55*(X56+X50))</f>
        <v>0.55109852256592262</v>
      </c>
      <c r="Y54" s="371"/>
      <c r="Z54" s="368">
        <f>(Z55*(Z56+Z50))</f>
        <v>0.55124132231404965</v>
      </c>
      <c r="AA54" s="371"/>
      <c r="AB54" s="368">
        <f>(AB55*(AB56+AB50))</f>
        <v>0.55124132231404965</v>
      </c>
      <c r="AC54" s="371"/>
      <c r="AD54" s="368">
        <f>(AD55*(AD56+AD50))</f>
        <v>0.55124132231404965</v>
      </c>
      <c r="AE54" s="371"/>
      <c r="AF54" s="368" t="e">
        <f>'Pricing Structure - IIP'!#REF!</f>
        <v>#REF!</v>
      </c>
      <c r="AG54" s="630"/>
      <c r="AH54" s="73"/>
      <c r="AI54" s="72">
        <f>(AI55*(AI56+AI50))</f>
        <v>0.53549999999999998</v>
      </c>
      <c r="AJ54" s="73"/>
      <c r="AK54" s="72">
        <f>(AK55*(AK56+AK50))</f>
        <v>0.5439870993048026</v>
      </c>
      <c r="AL54" s="371"/>
      <c r="AM54" s="368">
        <f>(AM55*(AM56+AM50))</f>
        <v>0.56674774504485093</v>
      </c>
      <c r="AN54" s="371"/>
      <c r="AO54" s="368">
        <f>(AO55*(AO56+AO50))</f>
        <v>0.56699999999999995</v>
      </c>
      <c r="AP54" s="371"/>
      <c r="AQ54" s="368">
        <f>(AQ55*(AQ56+AQ50))</f>
        <v>0.56699999999999995</v>
      </c>
      <c r="AR54" s="371"/>
      <c r="AS54" s="368">
        <f>(AS55*(AS56+AS50))</f>
        <v>0.56724097500000004</v>
      </c>
      <c r="AT54" s="371"/>
      <c r="AU54" s="368" t="e">
        <f>'Pricing Structure - IHAG'!#REF!</f>
        <v>#REF!</v>
      </c>
      <c r="AV54" s="630"/>
      <c r="AW54" s="371"/>
      <c r="AX54" s="368">
        <f>(AX55*(AX56+AX50))</f>
        <v>0.56726619718309867</v>
      </c>
      <c r="AY54" s="45"/>
      <c r="AZ54" s="72">
        <f>(AZ55*(AZ56+AZ50))</f>
        <v>0.54599999999999993</v>
      </c>
      <c r="BA54" s="371"/>
      <c r="BB54" s="368">
        <f>(BB55*(BB56+BB50))</f>
        <v>0.55124132231404965</v>
      </c>
      <c r="BC54" s="371"/>
      <c r="BD54" s="368">
        <f>(BD55*(BD56+BD50))</f>
        <v>0.55124132231404965</v>
      </c>
      <c r="BE54" s="371"/>
      <c r="BF54" s="368">
        <f>(BF55*(BF56+BF50))</f>
        <v>0.55124132231404965</v>
      </c>
      <c r="BG54" s="371"/>
      <c r="BH54" s="368">
        <f>(BH55*(BH56+BH50))</f>
        <v>0.55148229731404974</v>
      </c>
      <c r="BI54" s="371"/>
      <c r="BJ54" s="368">
        <f>(BJ55*(BJ56+BJ50))</f>
        <v>0.55148229731404974</v>
      </c>
      <c r="BK54" s="73"/>
      <c r="BL54" s="72">
        <f>(BL55*(BL56+BL50))</f>
        <v>0.38880607287449398</v>
      </c>
      <c r="BM54" s="371"/>
      <c r="BN54" s="368">
        <f>(BN55*(BN56+BN50))</f>
        <v>0.38880607287449398</v>
      </c>
      <c r="BO54" s="371"/>
      <c r="BP54" s="368">
        <f>(BP55*(BP56+BP50))</f>
        <v>0.38880607287449398</v>
      </c>
      <c r="BQ54" s="371"/>
      <c r="BR54" s="368">
        <f>(BR55*(BR56+BR50))</f>
        <v>0.42526561874999996</v>
      </c>
      <c r="BS54" s="73"/>
      <c r="BT54" s="72">
        <f>(BT55*(BT56+BT50))</f>
        <v>0.35175000000000001</v>
      </c>
      <c r="BU54" s="371"/>
      <c r="BV54" s="368">
        <f>(BV55*(BV56+BV50))</f>
        <v>0.35175000000000001</v>
      </c>
      <c r="BW54" s="371"/>
      <c r="BX54" s="368">
        <f>(BX55*(BX56+BX50))</f>
        <v>0.35175000000000001</v>
      </c>
      <c r="BY54" s="371"/>
      <c r="BZ54" s="368">
        <f>(BZ55*(BZ56+BZ50))</f>
        <v>0.38348651249999999</v>
      </c>
      <c r="CA54" s="73"/>
      <c r="CB54" s="72">
        <f>(CB55*(CB56+CB50))</f>
        <v>0.49875000000000003</v>
      </c>
      <c r="CC54" s="371"/>
      <c r="CD54" s="368">
        <f>(CD55*(CD56+CD50))</f>
        <v>0.49875000000000003</v>
      </c>
      <c r="CE54" s="371"/>
      <c r="CF54" s="368">
        <f>(CF55*(CF56+CF50))</f>
        <v>0.49875000000000003</v>
      </c>
      <c r="CG54" s="371"/>
      <c r="CH54" s="368">
        <f>(CH55*(CH56+CH50))</f>
        <v>0.53571196875000004</v>
      </c>
      <c r="CI54" s="371"/>
      <c r="CJ54" s="368">
        <f>(CJ55*(CJ56+CJ50))</f>
        <v>0.63525000000000009</v>
      </c>
      <c r="CK54" s="371"/>
      <c r="CL54" s="368">
        <f>(CL55*(CL56+CL50))</f>
        <v>0.63525000000000009</v>
      </c>
      <c r="CM54" s="371"/>
      <c r="CN54" s="368">
        <f>(CN55*(CN56+CN50))</f>
        <v>0.63525000000000009</v>
      </c>
      <c r="CO54" s="371"/>
      <c r="CP54" s="368">
        <f>(CP55*(CP56+CP50))</f>
        <v>0.32038744499999999</v>
      </c>
      <c r="CR54" s="371"/>
      <c r="CS54" s="368">
        <f>(CS55*(CS56+CS50))</f>
        <v>0.63525000000000009</v>
      </c>
      <c r="CT54" s="371"/>
      <c r="CU54" s="368">
        <f>(CU55*(CU56+CU50))</f>
        <v>0.63450000000000006</v>
      </c>
      <c r="CV54" s="371"/>
      <c r="CW54" s="368">
        <f>(CW55*(CW56+CW50))</f>
        <v>0.63450000000000006</v>
      </c>
      <c r="CX54" s="371"/>
      <c r="CY54" s="368">
        <f>(CY55*(CY56+CY50))</f>
        <v>0.32024776875000005</v>
      </c>
      <c r="DA54" s="371"/>
      <c r="DB54" s="368">
        <f>(DB55*(DB56+DB50))</f>
        <v>0.63525000000000009</v>
      </c>
      <c r="DC54" s="371"/>
      <c r="DD54" s="368">
        <f>(DD55*(DD56+DD50))</f>
        <v>0.63450000000000006</v>
      </c>
      <c r="DE54" s="371"/>
      <c r="DF54" s="368">
        <f>(DF55*(DF56+DF50))</f>
        <v>0.63450000000000006</v>
      </c>
      <c r="DH54" s="371"/>
      <c r="DI54" s="368">
        <f>(DI55*(DI56+DI50))</f>
        <v>0.55105818200183665</v>
      </c>
      <c r="DJ54" s="371"/>
      <c r="DK54" s="368">
        <f>(DK55*(DK56+DK50))</f>
        <v>0.55082837766990289</v>
      </c>
      <c r="DL54" s="371"/>
      <c r="DM54" s="368">
        <f>(DM55*(DM56+DM50))</f>
        <v>0.55105818200183665</v>
      </c>
      <c r="DO54" s="371"/>
      <c r="DP54" s="368">
        <f>(DP55*(DP56+DP50))</f>
        <v>0.55105818200183665</v>
      </c>
      <c r="DQ54" s="371"/>
      <c r="DR54" s="368">
        <f>(DR55*(DR56+DR50))</f>
        <v>0.55082837766990289</v>
      </c>
      <c r="DS54" s="371"/>
      <c r="DT54" s="368">
        <f>(DT55*(DT56+DT50))</f>
        <v>0.55105818200183665</v>
      </c>
      <c r="DV54" s="371"/>
      <c r="DW54" s="368">
        <f>(DW55*(DW56+DW50))</f>
        <v>0.55105818200183665</v>
      </c>
      <c r="DX54" s="371"/>
      <c r="DY54" s="368">
        <f>(DY55*(DY56+DY50))</f>
        <v>0.55082837766990289</v>
      </c>
      <c r="EA54" s="371"/>
      <c r="EB54" s="368">
        <f>(EB55*(EB56+EB50))</f>
        <v>0.55105818200183665</v>
      </c>
      <c r="ED54" s="371"/>
      <c r="EE54" s="368">
        <f>(EE55*(EE56+EE50))</f>
        <v>0.55082837766990289</v>
      </c>
      <c r="EG54" s="371"/>
      <c r="EH54" s="368">
        <f>(EH55*(EH56+EH50))</f>
        <v>0.55082837766990289</v>
      </c>
      <c r="EJ54" s="371"/>
      <c r="EK54" s="368">
        <f>(EK55*(EK56+EK50))</f>
        <v>0.55105818200183665</v>
      </c>
      <c r="EM54" s="371"/>
      <c r="EN54" s="368">
        <f>(EN55*(EN56+EN50))</f>
        <v>0.55082837766990289</v>
      </c>
      <c r="EP54" s="371"/>
      <c r="EQ54" s="368">
        <f>(EQ55*(EQ56+EQ50))</f>
        <v>0.55082837766990289</v>
      </c>
      <c r="ER54" s="371"/>
      <c r="ES54" s="368">
        <f>(ES55*(ES56+ES50))</f>
        <v>0.55105818200183665</v>
      </c>
      <c r="EU54" s="371"/>
      <c r="EV54" s="368">
        <f>(EV55*(EV56+EV50))</f>
        <v>0.55082837766990289</v>
      </c>
      <c r="EX54" s="371"/>
      <c r="EY54" s="368">
        <f>(EY55*(EY56+EY50))</f>
        <v>0.55105818200183665</v>
      </c>
      <c r="EZ54" s="371"/>
      <c r="FA54" s="368">
        <f>(FA55*(FA56+FA50))</f>
        <v>0.55082837766990289</v>
      </c>
      <c r="FB54" s="371"/>
      <c r="FC54" s="368">
        <f>(FC55*(FC56+FC50))</f>
        <v>0.55105818200183665</v>
      </c>
    </row>
    <row r="55" spans="1:159" s="4" customFormat="1" ht="18" customHeight="1" x14ac:dyDescent="0.45">
      <c r="A55" s="561"/>
      <c r="B55" s="1184"/>
      <c r="C55" s="77" t="s">
        <v>60</v>
      </c>
      <c r="D55" s="76"/>
      <c r="E55" s="16"/>
      <c r="F55" s="73"/>
      <c r="G55" s="74">
        <v>0.1</v>
      </c>
      <c r="H55" s="347"/>
      <c r="I55" s="74">
        <v>0.1</v>
      </c>
      <c r="J55" s="369"/>
      <c r="K55" s="1081">
        <v>0.1</v>
      </c>
      <c r="L55" s="369"/>
      <c r="M55" s="1081">
        <v>0.1</v>
      </c>
      <c r="N55" s="369"/>
      <c r="O55" s="1081">
        <v>0.1</v>
      </c>
      <c r="P55" s="369"/>
      <c r="Q55" s="1081">
        <v>0.1</v>
      </c>
      <c r="R55" s="635"/>
      <c r="S55" s="47"/>
      <c r="T55" s="1082">
        <v>0.1</v>
      </c>
      <c r="U55" s="47"/>
      <c r="V55" s="1082">
        <v>0.1</v>
      </c>
      <c r="W55" s="369"/>
      <c r="X55" s="1081">
        <v>0.1</v>
      </c>
      <c r="Y55" s="369"/>
      <c r="Z55" s="1081">
        <v>0.1</v>
      </c>
      <c r="AA55" s="369"/>
      <c r="AB55" s="1081">
        <v>0.1</v>
      </c>
      <c r="AC55" s="369"/>
      <c r="AD55" s="1081">
        <v>0.1</v>
      </c>
      <c r="AE55" s="361"/>
      <c r="AF55" s="1081" t="e">
        <f>'Pricing Structure - IIP'!#REF!</f>
        <v>#REF!</v>
      </c>
      <c r="AG55" s="635"/>
      <c r="AH55" s="47"/>
      <c r="AI55" s="1082">
        <v>0.1</v>
      </c>
      <c r="AJ55" s="47"/>
      <c r="AK55" s="1082">
        <v>0.1</v>
      </c>
      <c r="AL55" s="369"/>
      <c r="AM55" s="1081">
        <v>0.1</v>
      </c>
      <c r="AN55" s="369"/>
      <c r="AO55" s="1081">
        <v>0.1</v>
      </c>
      <c r="AP55" s="369"/>
      <c r="AQ55" s="1081">
        <v>0.1</v>
      </c>
      <c r="AR55" s="369"/>
      <c r="AS55" s="1081">
        <v>0.1</v>
      </c>
      <c r="AT55" s="361"/>
      <c r="AU55" s="1081" t="e">
        <f>'Pricing Structure - IHAG'!#REF!</f>
        <v>#REF!</v>
      </c>
      <c r="AV55" s="635"/>
      <c r="AW55" s="361"/>
      <c r="AX55" s="1081">
        <v>0.1</v>
      </c>
      <c r="AY55" s="63"/>
      <c r="AZ55" s="1082">
        <v>0.1</v>
      </c>
      <c r="BA55" s="361"/>
      <c r="BB55" s="1081">
        <v>0.1</v>
      </c>
      <c r="BC55" s="361"/>
      <c r="BD55" s="1081">
        <v>0.1</v>
      </c>
      <c r="BE55" s="361"/>
      <c r="BF55" s="1081">
        <v>0.1</v>
      </c>
      <c r="BG55" s="361"/>
      <c r="BH55" s="1081">
        <v>0.1</v>
      </c>
      <c r="BI55" s="361"/>
      <c r="BJ55" s="1081">
        <v>0.1</v>
      </c>
      <c r="BK55" s="47"/>
      <c r="BL55" s="1082">
        <v>0.1</v>
      </c>
      <c r="BM55" s="361"/>
      <c r="BN55" s="1081">
        <v>0.1</v>
      </c>
      <c r="BO55" s="361"/>
      <c r="BP55" s="1081">
        <v>0.1</v>
      </c>
      <c r="BQ55" s="361"/>
      <c r="BR55" s="1081">
        <v>0.1</v>
      </c>
      <c r="BS55" s="47"/>
      <c r="BT55" s="1082">
        <v>0.1</v>
      </c>
      <c r="BU55" s="361"/>
      <c r="BV55" s="1081">
        <v>0.1</v>
      </c>
      <c r="BW55" s="361"/>
      <c r="BX55" s="1081">
        <v>0.1</v>
      </c>
      <c r="BY55" s="1083"/>
      <c r="BZ55" s="1081">
        <v>0.1</v>
      </c>
      <c r="CA55" s="47"/>
      <c r="CB55" s="1082">
        <v>0.1</v>
      </c>
      <c r="CC55" s="361"/>
      <c r="CD55" s="1081">
        <v>0.1</v>
      </c>
      <c r="CE55" s="361"/>
      <c r="CF55" s="1081">
        <v>0.1</v>
      </c>
      <c r="CG55" s="1083"/>
      <c r="CH55" s="1081">
        <v>0.1</v>
      </c>
      <c r="CI55" s="369"/>
      <c r="CJ55" s="370">
        <v>0.1</v>
      </c>
      <c r="CK55" s="369"/>
      <c r="CL55" s="370">
        <v>0.1</v>
      </c>
      <c r="CM55" s="369"/>
      <c r="CN55" s="370">
        <v>0.1</v>
      </c>
      <c r="CO55" s="369"/>
      <c r="CP55" s="370">
        <v>0.1</v>
      </c>
      <c r="CR55" s="369"/>
      <c r="CS55" s="370">
        <v>0.1</v>
      </c>
      <c r="CT55" s="369"/>
      <c r="CU55" s="370">
        <v>0.1</v>
      </c>
      <c r="CV55" s="369"/>
      <c r="CW55" s="370">
        <v>0.1</v>
      </c>
      <c r="CX55" s="369"/>
      <c r="CY55" s="370">
        <v>0.1</v>
      </c>
      <c r="DA55" s="369"/>
      <c r="DB55" s="370">
        <v>0.1</v>
      </c>
      <c r="DC55" s="369"/>
      <c r="DD55" s="370">
        <v>0.1</v>
      </c>
      <c r="DE55" s="369"/>
      <c r="DF55" s="370">
        <v>0.1</v>
      </c>
      <c r="DH55" s="369"/>
      <c r="DI55" s="370">
        <v>0.1</v>
      </c>
      <c r="DJ55" s="369"/>
      <c r="DK55" s="370">
        <v>0.1</v>
      </c>
      <c r="DL55" s="369"/>
      <c r="DM55" s="370">
        <v>0.1</v>
      </c>
      <c r="DO55" s="369"/>
      <c r="DP55" s="370">
        <v>0.1</v>
      </c>
      <c r="DQ55" s="369"/>
      <c r="DR55" s="370">
        <v>0.1</v>
      </c>
      <c r="DS55" s="369"/>
      <c r="DT55" s="370">
        <v>0.1</v>
      </c>
      <c r="DV55" s="369"/>
      <c r="DW55" s="370">
        <v>0.1</v>
      </c>
      <c r="DX55" s="369"/>
      <c r="DY55" s="370">
        <v>0.1</v>
      </c>
      <c r="EA55" s="369"/>
      <c r="EB55" s="370">
        <v>0.1</v>
      </c>
      <c r="ED55" s="369"/>
      <c r="EE55" s="370">
        <v>0.1</v>
      </c>
      <c r="EG55" s="369"/>
      <c r="EH55" s="370">
        <v>0.1</v>
      </c>
      <c r="EJ55" s="369"/>
      <c r="EK55" s="370">
        <v>0.1</v>
      </c>
      <c r="EM55" s="369"/>
      <c r="EN55" s="370">
        <v>0.1</v>
      </c>
      <c r="EP55" s="369"/>
      <c r="EQ55" s="370">
        <v>0.1</v>
      </c>
      <c r="ER55" s="369"/>
      <c r="ES55" s="370">
        <v>0.1</v>
      </c>
      <c r="EU55" s="369"/>
      <c r="EV55" s="370">
        <v>0.1</v>
      </c>
      <c r="EX55" s="369"/>
      <c r="EY55" s="370">
        <v>0.1</v>
      </c>
      <c r="EZ55" s="369"/>
      <c r="FA55" s="370">
        <v>0.1</v>
      </c>
      <c r="FB55" s="369"/>
      <c r="FC55" s="370">
        <v>0.1</v>
      </c>
    </row>
    <row r="56" spans="1:159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5.0999999999999996</v>
      </c>
      <c r="H56" s="81"/>
      <c r="I56" s="82">
        <f>I60-I57+I58</f>
        <v>5.1766594498032417</v>
      </c>
      <c r="J56" s="550"/>
      <c r="K56" s="82">
        <f>K60-K57+K58</f>
        <v>5.2491640970816196</v>
      </c>
      <c r="L56" s="550"/>
      <c r="M56" s="82">
        <f>M60-M57+M58</f>
        <v>5.2499173553719016</v>
      </c>
      <c r="N56" s="550"/>
      <c r="O56" s="82">
        <f>O60-O57+O58</f>
        <v>5.2499173553719016</v>
      </c>
      <c r="P56" s="550"/>
      <c r="Q56" s="82">
        <f>'Pricing Structure - GSS'!DK56</f>
        <v>5.252148605371902</v>
      </c>
      <c r="R56" s="276"/>
      <c r="S56" s="81"/>
      <c r="T56" s="82">
        <f>T60-T57+T58</f>
        <v>5.0999999999999996</v>
      </c>
      <c r="U56" s="81"/>
      <c r="V56" s="82">
        <f>V60-V57+V58</f>
        <v>5.1999999999999993</v>
      </c>
      <c r="W56" s="550"/>
      <c r="X56" s="82">
        <f>X60-X57+X58</f>
        <v>5.2485573577706912</v>
      </c>
      <c r="Y56" s="550"/>
      <c r="Z56" s="82">
        <f>Z60-Z57+Z58</f>
        <v>5.2499173553719016</v>
      </c>
      <c r="AA56" s="550"/>
      <c r="AB56" s="82">
        <f>AB60-AB57+AB58</f>
        <v>5.2499173553719016</v>
      </c>
      <c r="AC56" s="550"/>
      <c r="AD56" s="82">
        <f>AD60-AD57+AD58</f>
        <v>5.2499173553719016</v>
      </c>
      <c r="AE56" s="81"/>
      <c r="AF56" s="82" t="e">
        <f>'Pricing Structure - IIP'!#REF!</f>
        <v>#REF!</v>
      </c>
      <c r="AG56" s="276"/>
      <c r="AH56" s="81"/>
      <c r="AI56" s="82">
        <f>AI60-AI57+AI58</f>
        <v>5.0999999999999996</v>
      </c>
      <c r="AJ56" s="81"/>
      <c r="AK56" s="82">
        <f>AK60-AK57+AK58</f>
        <v>5.1808295171885961</v>
      </c>
      <c r="AL56" s="550"/>
      <c r="AM56" s="82">
        <f>AM60-AM57+AM58</f>
        <v>5.397597571855723</v>
      </c>
      <c r="AN56" s="550"/>
      <c r="AO56" s="82">
        <f>AO60-AO57+AO58</f>
        <v>5.3999999999999995</v>
      </c>
      <c r="AP56" s="550"/>
      <c r="AQ56" s="82">
        <f>AQ60-AQ57+AQ58</f>
        <v>5.3999999999999995</v>
      </c>
      <c r="AR56" s="550"/>
      <c r="AS56" s="82">
        <f>AS60-AS57+AS58</f>
        <v>5.4022949999999996</v>
      </c>
      <c r="AT56" s="550"/>
      <c r="AU56" s="82" t="e">
        <f>'Pricing Structure - IHAG'!#REF!</f>
        <v>#REF!</v>
      </c>
      <c r="AV56" s="276"/>
      <c r="AW56" s="550"/>
      <c r="AX56" s="82">
        <f>AX60-AX57+AX58</f>
        <v>5.4025352112676055</v>
      </c>
      <c r="AY56" s="276"/>
      <c r="AZ56" s="82">
        <f>AZ60-AZ57+AZ58</f>
        <v>5.1999999999999993</v>
      </c>
      <c r="BA56" s="81"/>
      <c r="BB56" s="82">
        <f>BB60-BB57+BB58</f>
        <v>5.2499173553719016</v>
      </c>
      <c r="BC56" s="81"/>
      <c r="BD56" s="82">
        <f>BD60-BD57+BD58</f>
        <v>5.2499173553719016</v>
      </c>
      <c r="BE56" s="81"/>
      <c r="BF56" s="82">
        <f>BF60-BF57+BF58</f>
        <v>5.2499173553719016</v>
      </c>
      <c r="BG56" s="81"/>
      <c r="BH56" s="82">
        <f>BH60-BH57+BH58</f>
        <v>5.2522123553719018</v>
      </c>
      <c r="BI56" s="81"/>
      <c r="BJ56" s="82">
        <f>BJ60-BJ57+BJ58</f>
        <v>5.2522123553719018</v>
      </c>
      <c r="BK56" s="81"/>
      <c r="BL56" s="82">
        <f>BL60-BL57+BL58</f>
        <v>3.7029149797570855</v>
      </c>
      <c r="BM56" s="81"/>
      <c r="BN56" s="82">
        <f>BN60-BN57+BN58</f>
        <v>3.7029149797570855</v>
      </c>
      <c r="BO56" s="81"/>
      <c r="BP56" s="82">
        <f>BP60-BP57+BP58</f>
        <v>3.7029149797570855</v>
      </c>
      <c r="BQ56" s="1080">
        <f>BR56/BP56-1</f>
        <v>9.3773087457085902E-2</v>
      </c>
      <c r="BR56" s="82">
        <f>BR60-BR57+BR58</f>
        <v>4.05014875</v>
      </c>
      <c r="BS56" s="81"/>
      <c r="BT56" s="82">
        <f>BT60-BT57+BT58</f>
        <v>3.3499999999999996</v>
      </c>
      <c r="BU56" s="81"/>
      <c r="BV56" s="82">
        <f>BV60-BV57+BV58</f>
        <v>3.3499999999999996</v>
      </c>
      <c r="BW56" s="81"/>
      <c r="BX56" s="82">
        <f>BX60-BX57+BX58</f>
        <v>3.3499999999999996</v>
      </c>
      <c r="BY56" s="1080">
        <f>BZ56/BX56-1</f>
        <v>9.0224626865671675E-2</v>
      </c>
      <c r="BZ56" s="82">
        <f>BZ60-BZ57+BZ58</f>
        <v>3.6522524999999999</v>
      </c>
      <c r="CA56" s="81"/>
      <c r="CB56" s="82">
        <f>CB60-CB57+CB58</f>
        <v>4.75</v>
      </c>
      <c r="CC56" s="81"/>
      <c r="CD56" s="82">
        <f>CD60-CD57+CD58</f>
        <v>4.75</v>
      </c>
      <c r="CE56" s="81"/>
      <c r="CF56" s="82">
        <f>CF60-CF57+CF58</f>
        <v>4.75</v>
      </c>
      <c r="CG56" s="1080">
        <f>CH56/CF56-1</f>
        <v>7.4109210526315694E-2</v>
      </c>
      <c r="CH56" s="82">
        <f>CH60-CH57+CH58</f>
        <v>5.10201875</v>
      </c>
      <c r="CI56" s="550"/>
      <c r="CJ56" s="82">
        <f>CJ60-CJ57+CJ58</f>
        <v>6.05</v>
      </c>
      <c r="CK56" s="550"/>
      <c r="CL56" s="82">
        <f>CL60-CL57+CL58</f>
        <v>6.05</v>
      </c>
      <c r="CM56" s="550"/>
      <c r="CN56" s="82">
        <f>CN60-CN57+CN58</f>
        <v>6.05</v>
      </c>
      <c r="CO56" s="81"/>
      <c r="CP56" s="82">
        <f>CP60-CP57+CP58</f>
        <v>3.0513089999999998</v>
      </c>
      <c r="CR56" s="550"/>
      <c r="CS56" s="82">
        <f>CS60-CS57+CS58</f>
        <v>6.05</v>
      </c>
      <c r="CT56" s="550"/>
      <c r="CU56" s="82">
        <f>CU60-CU57+CU58</f>
        <v>6.0428571428571427</v>
      </c>
      <c r="CV56" s="550"/>
      <c r="CW56" s="82">
        <f>CW60-CW57+CW58</f>
        <v>6.0428571428571427</v>
      </c>
      <c r="CX56" s="81"/>
      <c r="CY56" s="82">
        <f>CY60-CY57+CY58</f>
        <v>3.0499787500000006</v>
      </c>
      <c r="DA56" s="550"/>
      <c r="DB56" s="82">
        <f>DB60-DB57+DB58</f>
        <v>6.05</v>
      </c>
      <c r="DC56" s="550"/>
      <c r="DD56" s="82">
        <f>DD60-DD57+DD58</f>
        <v>6.0428571428571427</v>
      </c>
      <c r="DE56" s="550"/>
      <c r="DF56" s="82">
        <f>DF60-DF57+DF58</f>
        <v>6.0428571428571427</v>
      </c>
      <c r="DH56" s="550"/>
      <c r="DI56" s="82">
        <f>DI60-DI57+DI58</f>
        <v>5.2481731619222538</v>
      </c>
      <c r="DJ56" s="550"/>
      <c r="DK56" s="82">
        <f>DK60-DK57+DK58</f>
        <v>5.2459845492371704</v>
      </c>
      <c r="DL56" s="550"/>
      <c r="DM56" s="82">
        <f>DM60-DM57+DM58</f>
        <v>5.2481731619222538</v>
      </c>
      <c r="DO56" s="550"/>
      <c r="DP56" s="82">
        <f>DP60-DP57+DP58</f>
        <v>5.2481731619222538</v>
      </c>
      <c r="DQ56" s="550"/>
      <c r="DR56" s="82">
        <f>DR60-DR57+DR58</f>
        <v>5.2459845492371704</v>
      </c>
      <c r="DS56" s="550"/>
      <c r="DT56" s="82">
        <f>DT60-DT57+DT58</f>
        <v>5.2481731619222538</v>
      </c>
      <c r="DV56" s="550"/>
      <c r="DW56" s="82">
        <f>DW60-DW57+DW58</f>
        <v>5.2481731619222538</v>
      </c>
      <c r="DX56" s="550"/>
      <c r="DY56" s="82">
        <f>DY60-DY57+DY58</f>
        <v>5.2459845492371704</v>
      </c>
      <c r="EA56" s="550"/>
      <c r="EB56" s="82">
        <f>EB60-EB57+EB58</f>
        <v>5.2481731619222538</v>
      </c>
      <c r="ED56" s="550"/>
      <c r="EE56" s="82">
        <f>EE60-EE57+EE58</f>
        <v>5.2459845492371704</v>
      </c>
      <c r="EG56" s="550"/>
      <c r="EH56" s="82">
        <f>EH60-EH57+EH58</f>
        <v>5.2459845492371704</v>
      </c>
      <c r="EJ56" s="550"/>
      <c r="EK56" s="82">
        <f>EK60-EK57+EK58</f>
        <v>5.2481731619222538</v>
      </c>
      <c r="EM56" s="550"/>
      <c r="EN56" s="82">
        <f>EN60-EN57+EN58</f>
        <v>5.2459845492371704</v>
      </c>
      <c r="EP56" s="550"/>
      <c r="EQ56" s="82">
        <f>EQ60-EQ57+EQ58</f>
        <v>5.2459845492371704</v>
      </c>
      <c r="ER56" s="550"/>
      <c r="ES56" s="82">
        <f>ES60-ES57+ES58</f>
        <v>5.2481731619222538</v>
      </c>
      <c r="EU56" s="550"/>
      <c r="EV56" s="82">
        <f>EV60-EV57+EV58</f>
        <v>5.2459845492371704</v>
      </c>
      <c r="EX56" s="550"/>
      <c r="EY56" s="82">
        <f>EY60-EY57+EY58</f>
        <v>5.2481731619222538</v>
      </c>
      <c r="EZ56" s="550"/>
      <c r="FA56" s="82">
        <f>FA60-FA57+FA58</f>
        <v>5.2459845492371704</v>
      </c>
      <c r="FB56" s="550"/>
      <c r="FC56" s="82">
        <f>FC60-FC57+FC58</f>
        <v>5.2481731619222538</v>
      </c>
    </row>
    <row r="57" spans="1:159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0.5</v>
      </c>
      <c r="H57" s="85"/>
      <c r="I57" s="86">
        <v>0.4233405501967577</v>
      </c>
      <c r="J57" s="551"/>
      <c r="K57" s="86">
        <f>'Pricing Structure - GSS'!DE57</f>
        <v>0.79380234572890851</v>
      </c>
      <c r="L57" s="551"/>
      <c r="M57" s="86">
        <f>'Pricing Structure - GSS'!DA57</f>
        <v>0.8</v>
      </c>
      <c r="N57" s="551"/>
      <c r="O57" s="86">
        <f>'Pricing Structure - GSS'!DC57</f>
        <v>0.8</v>
      </c>
      <c r="P57" s="551"/>
      <c r="Q57" s="86">
        <f>'Pricing Structure - GSS'!DK57</f>
        <v>0.8</v>
      </c>
      <c r="R57" s="277"/>
      <c r="S57" s="85"/>
      <c r="T57" s="86">
        <v>0.5</v>
      </c>
      <c r="U57" s="85"/>
      <c r="V57" s="86">
        <v>0.4</v>
      </c>
      <c r="W57" s="551"/>
      <c r="X57" s="86">
        <f>'Pricing Structure - IIP'!CY57</f>
        <v>0.78897422380258353</v>
      </c>
      <c r="Y57" s="551"/>
      <c r="Z57" s="86">
        <f>'Pricing Structure - IIP'!CU57</f>
        <v>0.8</v>
      </c>
      <c r="AA57" s="551"/>
      <c r="AB57" s="86">
        <f>'Pricing Structure - IIP'!CW57</f>
        <v>0.8</v>
      </c>
      <c r="AC57" s="551"/>
      <c r="AD57" s="86">
        <f>'Pricing Structure - IIP'!DE57</f>
        <v>0.8</v>
      </c>
      <c r="AE57" s="85"/>
      <c r="AF57" s="86" t="e">
        <f>'Pricing Structure - IIP'!#REF!</f>
        <v>#REF!</v>
      </c>
      <c r="AG57" s="277"/>
      <c r="AH57" s="85"/>
      <c r="AI57" s="86">
        <v>0.5</v>
      </c>
      <c r="AJ57" s="85"/>
      <c r="AK57" s="86">
        <v>0.41917048281140379</v>
      </c>
      <c r="AL57" s="551"/>
      <c r="AM57" s="86">
        <f>'Pricing Structure - IHAG'!DE57</f>
        <v>0.64699696481965441</v>
      </c>
      <c r="AN57" s="551"/>
      <c r="AO57" s="86">
        <f>'Pricing Structure - IHAG'!DA57</f>
        <v>0.65000000000000013</v>
      </c>
      <c r="AP57" s="551"/>
      <c r="AQ57" s="86">
        <f>'Pricing Structure - IHAG'!DC57</f>
        <v>0.65</v>
      </c>
      <c r="AR57" s="551"/>
      <c r="AS57" s="86">
        <f>'Pricing Structure - IHAG'!DQ57</f>
        <v>0.65</v>
      </c>
      <c r="AT57" s="551"/>
      <c r="AU57" s="86" t="e">
        <f>'Pricing Structure - IHAG'!#REF!</f>
        <v>#REF!</v>
      </c>
      <c r="AV57" s="277"/>
      <c r="AW57" s="551"/>
      <c r="AX57" s="86">
        <f>0.34+0.26+0.05+0.08</f>
        <v>0.73000000000000009</v>
      </c>
      <c r="AY57" s="277"/>
      <c r="AZ57" s="86">
        <v>0.4</v>
      </c>
      <c r="BA57" s="85"/>
      <c r="BB57" s="86">
        <v>0.8</v>
      </c>
      <c r="BC57" s="85"/>
      <c r="BD57" s="86">
        <v>0.8</v>
      </c>
      <c r="BE57" s="85"/>
      <c r="BF57" s="86">
        <v>0.8</v>
      </c>
      <c r="BG57" s="85"/>
      <c r="BH57" s="86">
        <f>BF57</f>
        <v>0.8</v>
      </c>
      <c r="BI57" s="85"/>
      <c r="BJ57" s="86">
        <f>Q57</f>
        <v>0.8</v>
      </c>
      <c r="BK57" s="85"/>
      <c r="BL57" s="86">
        <v>1.02</v>
      </c>
      <c r="BM57" s="85"/>
      <c r="BN57" s="86">
        <f>0.54+0.48</f>
        <v>1.02</v>
      </c>
      <c r="BO57" s="85"/>
      <c r="BP57" s="86">
        <f>0.54+0.48</f>
        <v>1.02</v>
      </c>
      <c r="BQ57" s="85"/>
      <c r="BR57" s="86">
        <v>1</v>
      </c>
      <c r="BS57" s="85"/>
      <c r="BT57" s="86">
        <v>1.03</v>
      </c>
      <c r="BU57" s="85"/>
      <c r="BV57" s="86">
        <f>0.54+0.49</f>
        <v>1.03</v>
      </c>
      <c r="BW57" s="85"/>
      <c r="BX57" s="86">
        <f>0.54+0.49</f>
        <v>1.03</v>
      </c>
      <c r="BY57" s="85"/>
      <c r="BZ57" s="86">
        <v>0.9</v>
      </c>
      <c r="CA57" s="85"/>
      <c r="CB57" s="86">
        <v>1.8</v>
      </c>
      <c r="CC57" s="85"/>
      <c r="CD57" s="86">
        <v>1.8</v>
      </c>
      <c r="CE57" s="85"/>
      <c r="CF57" s="86">
        <v>1.8</v>
      </c>
      <c r="CG57" s="85"/>
      <c r="CH57" s="86">
        <v>1.45</v>
      </c>
      <c r="CI57" s="551"/>
      <c r="CJ57" s="86">
        <v>0</v>
      </c>
      <c r="CK57" s="551"/>
      <c r="CL57" s="86">
        <v>0</v>
      </c>
      <c r="CM57" s="551"/>
      <c r="CN57" s="86">
        <v>0</v>
      </c>
      <c r="CO57" s="85"/>
      <c r="CP57" s="86">
        <v>1.3</v>
      </c>
      <c r="CR57" s="551"/>
      <c r="CS57" s="86">
        <v>0</v>
      </c>
      <c r="CT57" s="551"/>
      <c r="CU57" s="86">
        <v>0</v>
      </c>
      <c r="CV57" s="551"/>
      <c r="CW57" s="86">
        <v>0</v>
      </c>
      <c r="CX57" s="85"/>
      <c r="CY57" s="86">
        <v>1.35</v>
      </c>
      <c r="DA57" s="551"/>
      <c r="DB57" s="86">
        <v>0</v>
      </c>
      <c r="DC57" s="551"/>
      <c r="DD57" s="86">
        <v>0</v>
      </c>
      <c r="DE57" s="551"/>
      <c r="DF57" s="86">
        <v>0</v>
      </c>
      <c r="DH57" s="551"/>
      <c r="DI57" s="86">
        <v>0.8</v>
      </c>
      <c r="DJ57" s="551"/>
      <c r="DK57" s="86">
        <v>0.8</v>
      </c>
      <c r="DL57" s="551"/>
      <c r="DM57" s="86">
        <v>0.8</v>
      </c>
      <c r="DO57" s="551"/>
      <c r="DP57" s="86">
        <v>0.8</v>
      </c>
      <c r="DQ57" s="551"/>
      <c r="DR57" s="86">
        <v>0.8</v>
      </c>
      <c r="DS57" s="551"/>
      <c r="DT57" s="86">
        <v>0.8</v>
      </c>
      <c r="DV57" s="551"/>
      <c r="DW57" s="86">
        <v>0.8</v>
      </c>
      <c r="DX57" s="551"/>
      <c r="DY57" s="86">
        <v>0.8</v>
      </c>
      <c r="EA57" s="551"/>
      <c r="EB57" s="86">
        <v>0.8</v>
      </c>
      <c r="ED57" s="551"/>
      <c r="EE57" s="86">
        <v>0.8</v>
      </c>
      <c r="EG57" s="551"/>
      <c r="EH57" s="86">
        <v>0.8</v>
      </c>
      <c r="EJ57" s="551"/>
      <c r="EK57" s="86">
        <v>0.8</v>
      </c>
      <c r="EM57" s="551"/>
      <c r="EN57" s="86">
        <v>0.8</v>
      </c>
      <c r="EP57" s="551"/>
      <c r="EQ57" s="86">
        <v>0.8</v>
      </c>
      <c r="ER57" s="551"/>
      <c r="ES57" s="86">
        <v>0.8</v>
      </c>
      <c r="EU57" s="551"/>
      <c r="EV57" s="86">
        <v>0.8</v>
      </c>
      <c r="EX57" s="551"/>
      <c r="EY57" s="86">
        <v>0.8</v>
      </c>
      <c r="EZ57" s="551"/>
      <c r="FA57" s="86">
        <v>0.8</v>
      </c>
      <c r="FB57" s="551"/>
      <c r="FC57" s="86">
        <v>0.8</v>
      </c>
    </row>
    <row r="58" spans="1:159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277"/>
      <c r="S58" s="85"/>
      <c r="T58" s="86">
        <v>0</v>
      </c>
      <c r="U58" s="85"/>
      <c r="V58" s="86">
        <v>0</v>
      </c>
      <c r="W58" s="85"/>
      <c r="X58" s="86">
        <v>0</v>
      </c>
      <c r="Y58" s="85"/>
      <c r="Z58" s="86">
        <v>0</v>
      </c>
      <c r="AA58" s="85"/>
      <c r="AB58" s="86">
        <v>0</v>
      </c>
      <c r="AC58" s="85"/>
      <c r="AD58" s="86">
        <v>0</v>
      </c>
      <c r="AE58" s="85"/>
      <c r="AF58" s="86" t="e">
        <f>'Pricing Structure - IIP'!#REF!</f>
        <v>#REF!</v>
      </c>
      <c r="AG58" s="277"/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 t="e">
        <f>'Pricing Structure - IHAG'!#REF!</f>
        <v>#REF!</v>
      </c>
      <c r="AV58" s="277"/>
      <c r="AW58" s="85"/>
      <c r="AX58" s="86">
        <v>0</v>
      </c>
      <c r="AY58" s="277"/>
      <c r="AZ58" s="86">
        <v>0</v>
      </c>
      <c r="BA58" s="85"/>
      <c r="BB58" s="86">
        <v>0</v>
      </c>
      <c r="BC58" s="85"/>
      <c r="BD58" s="86">
        <v>0</v>
      </c>
      <c r="BE58" s="85"/>
      <c r="BF58" s="86">
        <v>0</v>
      </c>
      <c r="BG58" s="85"/>
      <c r="BH58" s="86">
        <v>0</v>
      </c>
      <c r="BI58" s="85"/>
      <c r="BJ58" s="86">
        <v>0</v>
      </c>
      <c r="BK58" s="85"/>
      <c r="BL58" s="86">
        <v>0</v>
      </c>
      <c r="BM58" s="85"/>
      <c r="BN58" s="86">
        <v>0</v>
      </c>
      <c r="BO58" s="85"/>
      <c r="BP58" s="86">
        <v>0</v>
      </c>
      <c r="BQ58" s="85"/>
      <c r="BR58" s="86">
        <v>0</v>
      </c>
      <c r="BS58" s="85"/>
      <c r="BT58" s="86">
        <v>0</v>
      </c>
      <c r="BU58" s="85"/>
      <c r="BV58" s="86">
        <v>0</v>
      </c>
      <c r="BW58" s="85"/>
      <c r="BX58" s="86">
        <v>0</v>
      </c>
      <c r="BY58" s="85"/>
      <c r="BZ58" s="86">
        <v>0</v>
      </c>
      <c r="CA58" s="85"/>
      <c r="CB58" s="86">
        <v>0</v>
      </c>
      <c r="CC58" s="85"/>
      <c r="CD58" s="86">
        <v>0</v>
      </c>
      <c r="CE58" s="85"/>
      <c r="CF58" s="86">
        <v>0</v>
      </c>
      <c r="CG58" s="85"/>
      <c r="CH58" s="86">
        <v>0</v>
      </c>
      <c r="CI58" s="85"/>
      <c r="CJ58" s="86">
        <v>0</v>
      </c>
      <c r="CK58" s="85"/>
      <c r="CL58" s="86">
        <v>0</v>
      </c>
      <c r="CM58" s="85"/>
      <c r="CN58" s="86">
        <v>0</v>
      </c>
      <c r="CO58" s="85"/>
      <c r="CP58" s="86">
        <v>0</v>
      </c>
      <c r="CR58" s="85"/>
      <c r="CS58" s="86">
        <v>0</v>
      </c>
      <c r="CT58" s="85"/>
      <c r="CU58" s="86">
        <v>0</v>
      </c>
      <c r="CV58" s="85"/>
      <c r="CW58" s="86">
        <v>0</v>
      </c>
      <c r="CX58" s="85"/>
      <c r="CY58" s="86">
        <v>0</v>
      </c>
      <c r="DA58" s="85"/>
      <c r="DB58" s="86">
        <v>0</v>
      </c>
      <c r="DC58" s="85"/>
      <c r="DD58" s="86">
        <v>0</v>
      </c>
      <c r="DE58" s="85"/>
      <c r="DF58" s="86">
        <v>0</v>
      </c>
      <c r="DH58" s="85"/>
      <c r="DI58" s="86">
        <v>0</v>
      </c>
      <c r="DJ58" s="85"/>
      <c r="DK58" s="86">
        <v>0</v>
      </c>
      <c r="DL58" s="85"/>
      <c r="DM58" s="86">
        <v>0</v>
      </c>
      <c r="DO58" s="85"/>
      <c r="DP58" s="86">
        <v>0</v>
      </c>
      <c r="DQ58" s="85"/>
      <c r="DR58" s="86">
        <v>0</v>
      </c>
      <c r="DS58" s="85"/>
      <c r="DT58" s="86">
        <v>0</v>
      </c>
      <c r="DV58" s="85"/>
      <c r="DW58" s="86">
        <v>0</v>
      </c>
      <c r="DX58" s="85"/>
      <c r="DY58" s="86">
        <v>0</v>
      </c>
      <c r="EA58" s="85"/>
      <c r="EB58" s="86">
        <v>0</v>
      </c>
      <c r="ED58" s="85"/>
      <c r="EE58" s="86">
        <v>0</v>
      </c>
      <c r="EG58" s="85"/>
      <c r="EH58" s="86">
        <v>0</v>
      </c>
      <c r="EJ58" s="85"/>
      <c r="EK58" s="86">
        <v>0</v>
      </c>
      <c r="EM58" s="85"/>
      <c r="EN58" s="86">
        <v>0</v>
      </c>
      <c r="EP58" s="85"/>
      <c r="EQ58" s="86">
        <v>0</v>
      </c>
      <c r="ER58" s="85"/>
      <c r="ES58" s="86">
        <v>0</v>
      </c>
      <c r="EU58" s="85"/>
      <c r="EV58" s="86">
        <v>0</v>
      </c>
      <c r="EX58" s="85"/>
      <c r="EY58" s="86">
        <v>0</v>
      </c>
      <c r="EZ58" s="85"/>
      <c r="FA58" s="86">
        <v>0</v>
      </c>
      <c r="FB58" s="85"/>
      <c r="FC58" s="86">
        <v>0</v>
      </c>
    </row>
    <row r="59" spans="1:159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5.6030799999999994</v>
      </c>
      <c r="H59" s="85"/>
      <c r="I59" s="86">
        <f>+I62+I65+I67</f>
        <v>5.6030800000000003</v>
      </c>
      <c r="J59" s="85"/>
      <c r="K59" s="86">
        <f>+K62+K65+K67</f>
        <v>6.046290074354074</v>
      </c>
      <c r="L59" s="85"/>
      <c r="M59" s="86">
        <f>+M62+M65+M67</f>
        <v>6.0532448099173557</v>
      </c>
      <c r="N59" s="85"/>
      <c r="O59" s="86">
        <f>+O62+O65+O67</f>
        <v>6.0532448099173557</v>
      </c>
      <c r="P59" s="85"/>
      <c r="Q59" s="86">
        <f>+Q62+Q65+Q67</f>
        <v>6.0499173553719015</v>
      </c>
      <c r="R59" s="277"/>
      <c r="S59" s="85"/>
      <c r="T59" s="86">
        <f>+T62+T65+T67</f>
        <v>5.6030800000000003</v>
      </c>
      <c r="U59" s="85"/>
      <c r="V59" s="86">
        <f>+V62+V65+V67</f>
        <v>5.6030800000000003</v>
      </c>
      <c r="W59" s="85"/>
      <c r="X59" s="86">
        <f>+X62+X65+X67</f>
        <v>6.0408522239431397</v>
      </c>
      <c r="Y59" s="85"/>
      <c r="Z59" s="86">
        <f>+Z62+Z65+Z67</f>
        <v>6.0532448099173557</v>
      </c>
      <c r="AA59" s="85"/>
      <c r="AB59" s="86">
        <f>+AB62+AB65+AB67</f>
        <v>6.0532448099173557</v>
      </c>
      <c r="AC59" s="85"/>
      <c r="AD59" s="86">
        <f>+AD62+AD65+AD67</f>
        <v>6.0499173553719015</v>
      </c>
      <c r="AE59" s="85"/>
      <c r="AF59" s="86" t="e">
        <f>'Pricing Structure - IIP'!#REF!</f>
        <v>#REF!</v>
      </c>
      <c r="AG59" s="277"/>
      <c r="AH59" s="85"/>
      <c r="AI59" s="86">
        <f>+AI62+AI65+AI67</f>
        <v>5.6030800000000003</v>
      </c>
      <c r="AJ59" s="85"/>
      <c r="AK59" s="86">
        <f>+AK62+AK65+AK67</f>
        <v>5.6030799999999994</v>
      </c>
      <c r="AL59" s="85"/>
      <c r="AM59" s="86">
        <f>+AM62+AM65+AM67</f>
        <v>6.0479190636705491</v>
      </c>
      <c r="AN59" s="85"/>
      <c r="AO59" s="86">
        <f>+AO62+AO65+AO67</f>
        <v>6.0533275</v>
      </c>
      <c r="AP59" s="85"/>
      <c r="AQ59" s="86">
        <f>+AQ62+AQ65+AQ67</f>
        <v>6.0533275</v>
      </c>
      <c r="AR59" s="85"/>
      <c r="AS59" s="86">
        <f>+AS62+AS65+AS67</f>
        <v>6.05</v>
      </c>
      <c r="AT59" s="85"/>
      <c r="AU59" s="86" t="e">
        <f>'Pricing Structure - IHAG'!#REF!</f>
        <v>#REF!</v>
      </c>
      <c r="AV59" s="277"/>
      <c r="AW59" s="85"/>
      <c r="AX59" s="86">
        <f>+AX62+AX65+AX67</f>
        <v>6.1359081056338027</v>
      </c>
      <c r="AY59" s="277"/>
      <c r="AZ59" s="86">
        <f>+AZ62+AZ65+AZ67</f>
        <v>5.6030800000000003</v>
      </c>
      <c r="BA59" s="85"/>
      <c r="BB59" s="86">
        <f>+BB62+BB65+BB67</f>
        <v>6.0532448099173557</v>
      </c>
      <c r="BC59" s="85"/>
      <c r="BD59" s="86">
        <f>+BD62+BD65+BD67</f>
        <v>6.0499173553719015</v>
      </c>
      <c r="BE59" s="85"/>
      <c r="BF59" s="86">
        <f>+BF62+BF65+BF67</f>
        <v>6.0499173553719015</v>
      </c>
      <c r="BG59" s="85"/>
      <c r="BH59" s="86">
        <f>+BH62+BH65+BH67</f>
        <v>6.0499173553719015</v>
      </c>
      <c r="BI59" s="85"/>
      <c r="BJ59" s="86">
        <f>+BJ62+BJ65+BJ67</f>
        <v>6.0499173553719015</v>
      </c>
      <c r="BK59" s="85"/>
      <c r="BL59" s="86">
        <f>+BL62+BL65+BL67</f>
        <v>4.7255125829959521</v>
      </c>
      <c r="BM59" s="85"/>
      <c r="BN59" s="86">
        <f>+BN62+BN65+BN67</f>
        <v>4.7255125829959521</v>
      </c>
      <c r="BO59" s="85"/>
      <c r="BP59" s="86">
        <f>+BP62+BP65+BP67</f>
        <v>4.7255125829959521</v>
      </c>
      <c r="BQ59" s="85"/>
      <c r="BR59" s="86">
        <f>+BR62+BR65+BR67</f>
        <v>5.0479387500000001</v>
      </c>
      <c r="BS59" s="85"/>
      <c r="BT59" s="86">
        <f>+BT62+BT65+BT67</f>
        <v>4.38</v>
      </c>
      <c r="BU59" s="85"/>
      <c r="BV59" s="86">
        <f>+BV62+BV65+BV67</f>
        <v>4.38</v>
      </c>
      <c r="BW59" s="85"/>
      <c r="BX59" s="86">
        <f>+BX62+BX65+BX67</f>
        <v>4.38</v>
      </c>
      <c r="BY59" s="85"/>
      <c r="BZ59" s="86">
        <f>+BZ62+BZ65+BZ67</f>
        <v>4.55</v>
      </c>
      <c r="CA59" s="85"/>
      <c r="CB59" s="86">
        <f>+CB62+CB65+CB67</f>
        <v>6.5536025000000002</v>
      </c>
      <c r="CC59" s="85"/>
      <c r="CD59" s="86">
        <f>+CD62+CD65+CD67</f>
        <v>6.5536025000000002</v>
      </c>
      <c r="CE59" s="85"/>
      <c r="CF59" s="86">
        <f>+CF62+CF65+CF67</f>
        <v>6.5536025000000002</v>
      </c>
      <c r="CG59" s="85"/>
      <c r="CH59" s="86">
        <f>+CH62+CH65+CH67</f>
        <v>6.55</v>
      </c>
      <c r="CI59" s="85"/>
      <c r="CJ59" s="86">
        <f>+CJ62+CJ65+CJ67</f>
        <v>6.0474287499999999</v>
      </c>
      <c r="CK59" s="85"/>
      <c r="CL59" s="86">
        <f>+CL62+CL65+CL67</f>
        <v>6.0474287499999999</v>
      </c>
      <c r="CM59" s="85"/>
      <c r="CN59" s="86">
        <f>+CN62+CN65+CN67</f>
        <v>6.0474287499999999</v>
      </c>
      <c r="CO59" s="85"/>
      <c r="CP59" s="86">
        <f>+CP62+CP65+CP67</f>
        <v>4.3499999999999996</v>
      </c>
      <c r="CR59" s="85"/>
      <c r="CS59" s="86">
        <f>+CS62+CS65+CS67</f>
        <v>6.0474287499999999</v>
      </c>
      <c r="CT59" s="85"/>
      <c r="CU59" s="86">
        <f>+CU62+CU65+CU67</f>
        <v>6.0402858928571428</v>
      </c>
      <c r="CV59" s="85"/>
      <c r="CW59" s="86">
        <f>+CW62+CW65+CW67</f>
        <v>6.0402858928571428</v>
      </c>
      <c r="CX59" s="85"/>
      <c r="CY59" s="86">
        <f>+CY62+CY65+CY67</f>
        <v>4.3986910000000004</v>
      </c>
      <c r="DA59" s="85"/>
      <c r="DB59" s="86">
        <f>+DB62+DB65+DB67</f>
        <v>6.0474287499999999</v>
      </c>
      <c r="DC59" s="85"/>
      <c r="DD59" s="86">
        <f>+DD62+DD65+DD67</f>
        <v>6.0402858928571428</v>
      </c>
      <c r="DE59" s="85"/>
      <c r="DF59" s="86">
        <f>+DF62+DF65+DF67</f>
        <v>6.0402858928571428</v>
      </c>
      <c r="DH59" s="85"/>
      <c r="DI59" s="86">
        <f>+DI62+DI65+DI67</f>
        <v>6.0459419119222524</v>
      </c>
      <c r="DJ59" s="85"/>
      <c r="DK59" s="86">
        <f>+DK62+DK65+DK67</f>
        <v>6.0437532992371699</v>
      </c>
      <c r="DL59" s="85"/>
      <c r="DM59" s="86">
        <f>+DM62+DM65+DM67</f>
        <v>6.0459419119222524</v>
      </c>
      <c r="DO59" s="85"/>
      <c r="DP59" s="86">
        <f>+DP62+DP65+DP67</f>
        <v>6.0459419119222524</v>
      </c>
      <c r="DQ59" s="85"/>
      <c r="DR59" s="86">
        <f>+DR62+DR65+DR67</f>
        <v>6.0437532992371699</v>
      </c>
      <c r="DS59" s="85"/>
      <c r="DT59" s="86">
        <f>+DT62+DT65+DT67</f>
        <v>6.0459419119222524</v>
      </c>
      <c r="DV59" s="85"/>
      <c r="DW59" s="86">
        <f>+DW62+DW65+DW67</f>
        <v>6.0459419119222524</v>
      </c>
      <c r="DX59" s="85"/>
      <c r="DY59" s="86">
        <f>+DY62+DY65+DY67</f>
        <v>6.0437532992371699</v>
      </c>
      <c r="EA59" s="85"/>
      <c r="EB59" s="86">
        <f>+EB62+EB65+EB67</f>
        <v>6.0459419119222524</v>
      </c>
      <c r="ED59" s="85"/>
      <c r="EE59" s="86">
        <f>+EE62+EE65+EE67</f>
        <v>6.0437532992371699</v>
      </c>
      <c r="EG59" s="85"/>
      <c r="EH59" s="86">
        <f>+EH62+EH65+EH67</f>
        <v>6.0437532992371699</v>
      </c>
      <c r="EJ59" s="85"/>
      <c r="EK59" s="86">
        <f>+EK62+EK65+EK67</f>
        <v>6.0459419119222524</v>
      </c>
      <c r="EM59" s="85"/>
      <c r="EN59" s="86">
        <f>+EN62+EN65+EN67</f>
        <v>6.0437532992371699</v>
      </c>
      <c r="EP59" s="85"/>
      <c r="EQ59" s="86">
        <f>+EQ62+EQ65+EQ67</f>
        <v>6.0437532992371699</v>
      </c>
      <c r="ER59" s="85"/>
      <c r="ES59" s="86">
        <f>+ES62+ES65+ES67</f>
        <v>6.0459419119222524</v>
      </c>
      <c r="EU59" s="85"/>
      <c r="EV59" s="86">
        <f>+EV62+EV65+EV67</f>
        <v>6.0437532992371699</v>
      </c>
      <c r="EX59" s="85"/>
      <c r="EY59" s="86">
        <f>+EY62+EY65+EY67</f>
        <v>6.0459419119222524</v>
      </c>
      <c r="EZ59" s="85"/>
      <c r="FA59" s="86">
        <f>+FA62+FA65+FA67</f>
        <v>6.0437532992371699</v>
      </c>
      <c r="FB59" s="85"/>
      <c r="FC59" s="86">
        <f>+FC62+FC65+FC67</f>
        <v>6.0459419119222524</v>
      </c>
    </row>
    <row r="60" spans="1:159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v>5.6</v>
      </c>
      <c r="H60" s="81"/>
      <c r="I60" s="82">
        <v>5.6</v>
      </c>
      <c r="J60" s="550"/>
      <c r="K60" s="82">
        <f>K65+K67</f>
        <v>6.0429664428105285</v>
      </c>
      <c r="L60" s="550"/>
      <c r="M60" s="82">
        <f>M65+M67</f>
        <v>6.0499173553719015</v>
      </c>
      <c r="N60" s="550"/>
      <c r="O60" s="82">
        <f>O65+O67</f>
        <v>6.0499173553719015</v>
      </c>
      <c r="P60" s="550"/>
      <c r="Q60" s="82">
        <f>'Pricing Structure - GSS'!DK60</f>
        <v>6.0521486053719018</v>
      </c>
      <c r="R60" s="276"/>
      <c r="S60" s="81"/>
      <c r="T60" s="82">
        <v>5.6</v>
      </c>
      <c r="U60" s="81"/>
      <c r="V60" s="82">
        <v>5.6</v>
      </c>
      <c r="W60" s="550"/>
      <c r="X60" s="82">
        <f>X65+X67</f>
        <v>6.0375315815732744</v>
      </c>
      <c r="Y60" s="550"/>
      <c r="Z60" s="82">
        <f>Z65+Z67</f>
        <v>6.0499173553719015</v>
      </c>
      <c r="AA60" s="550"/>
      <c r="AB60" s="82">
        <f>AB65+AB67</f>
        <v>6.0499173553719015</v>
      </c>
      <c r="AC60" s="550"/>
      <c r="AD60" s="82">
        <f>'Pricing Structure - IIP'!DE60</f>
        <v>6.0499173553719015</v>
      </c>
      <c r="AE60" s="81"/>
      <c r="AF60" s="82" t="e">
        <f>'Pricing Structure - IIP'!#REF!</f>
        <v>#REF!</v>
      </c>
      <c r="AG60" s="276"/>
      <c r="AH60" s="81"/>
      <c r="AI60" s="82">
        <v>5.6</v>
      </c>
      <c r="AJ60" s="81"/>
      <c r="AK60" s="82">
        <v>5.6</v>
      </c>
      <c r="AL60" s="550"/>
      <c r="AM60" s="82">
        <f>AM65+AM67</f>
        <v>6.0445945366753771</v>
      </c>
      <c r="AN60" s="550"/>
      <c r="AO60" s="82">
        <f>AO65+AO67</f>
        <v>6.05</v>
      </c>
      <c r="AP60" s="550"/>
      <c r="AQ60" s="82">
        <f>AQ65+AQ67</f>
        <v>6.05</v>
      </c>
      <c r="AR60" s="550"/>
      <c r="AS60" s="82">
        <f>'Pricing Structure - IHAG'!DQ60</f>
        <v>6.052295</v>
      </c>
      <c r="AT60" s="550"/>
      <c r="AU60" s="82" t="e">
        <f>'Pricing Structure - IHAG'!#REF!</f>
        <v>#REF!</v>
      </c>
      <c r="AV60" s="276"/>
      <c r="AW60" s="550"/>
      <c r="AX60" s="82">
        <f>AX65+AX67</f>
        <v>6.1325352112676059</v>
      </c>
      <c r="AY60" s="276"/>
      <c r="AZ60" s="82">
        <v>5.6</v>
      </c>
      <c r="BA60" s="81"/>
      <c r="BB60" s="82">
        <f>BB65+BB67</f>
        <v>6.0499173553719015</v>
      </c>
      <c r="BC60" s="81"/>
      <c r="BD60" s="82">
        <f>BD65+BD67</f>
        <v>6.0499173553719015</v>
      </c>
      <c r="BE60" s="81"/>
      <c r="BF60" s="82">
        <f>BF65+BF67</f>
        <v>6.0499173553719015</v>
      </c>
      <c r="BG60" s="81"/>
      <c r="BH60" s="82">
        <f>BH65+BH67+BH63+BH62</f>
        <v>6.0522123553719016</v>
      </c>
      <c r="BI60" s="81"/>
      <c r="BJ60" s="82">
        <f>BJ65+BJ67+BJ63+BJ62</f>
        <v>6.0522123553719016</v>
      </c>
      <c r="BK60" s="81"/>
      <c r="BL60" s="82">
        <f>BL65+BL67</f>
        <v>4.7229149797570855</v>
      </c>
      <c r="BM60" s="81"/>
      <c r="BN60" s="82">
        <f>BN65+BN67</f>
        <v>4.7229149797570855</v>
      </c>
      <c r="BO60" s="81"/>
      <c r="BP60" s="82">
        <f>BP65+BP67</f>
        <v>4.7229149797570855</v>
      </c>
      <c r="BQ60" s="81"/>
      <c r="BR60" s="82">
        <f>BR65+BR67+BR63+BR62</f>
        <v>5.05014875</v>
      </c>
      <c r="BS60" s="81"/>
      <c r="BT60" s="82">
        <f>BT65+BT67</f>
        <v>4.38</v>
      </c>
      <c r="BU60" s="81"/>
      <c r="BV60" s="82">
        <f>BV65+BV67</f>
        <v>4.38</v>
      </c>
      <c r="BW60" s="81"/>
      <c r="BX60" s="82">
        <f>BX65+BX67</f>
        <v>4.38</v>
      </c>
      <c r="BY60" s="81"/>
      <c r="BZ60" s="82">
        <f>BZ65+BZ67+BZ63+BZ62</f>
        <v>4.5522524999999998</v>
      </c>
      <c r="CA60" s="81"/>
      <c r="CB60" s="82">
        <f>CB65+CB67</f>
        <v>6.55</v>
      </c>
      <c r="CC60" s="81"/>
      <c r="CD60" s="82">
        <f>CD65+CD67</f>
        <v>6.55</v>
      </c>
      <c r="CE60" s="81"/>
      <c r="CF60" s="82">
        <f>CF65+CF67</f>
        <v>6.55</v>
      </c>
      <c r="CG60" s="81"/>
      <c r="CH60" s="82">
        <f>CH65+CH67+CH63+CH62</f>
        <v>6.5520187500000002</v>
      </c>
      <c r="CI60" s="81"/>
      <c r="CJ60" s="82">
        <f>CJ65+CJ67+CJ63+CJ62</f>
        <v>6.05</v>
      </c>
      <c r="CK60" s="81"/>
      <c r="CL60" s="82">
        <f>CL65+CL67+CL63+CL62</f>
        <v>6.05</v>
      </c>
      <c r="CM60" s="81"/>
      <c r="CN60" s="82">
        <f>CN65+CN67+CN63+CN62</f>
        <v>6.05</v>
      </c>
      <c r="CO60" s="81"/>
      <c r="CP60" s="82">
        <f>CP65+CP67+CP63+CP62</f>
        <v>4.3513089999999996</v>
      </c>
      <c r="CR60" s="81"/>
      <c r="CS60" s="82">
        <f>CS65+CS67+CS63+CS62</f>
        <v>6.05</v>
      </c>
      <c r="CT60" s="81"/>
      <c r="CU60" s="82">
        <f>CU65+CU67+CU63+CU62</f>
        <v>6.0428571428571427</v>
      </c>
      <c r="CV60" s="81"/>
      <c r="CW60" s="82">
        <f>CW65+CW67+CW63+CW62</f>
        <v>6.0428571428571427</v>
      </c>
      <c r="CX60" s="81"/>
      <c r="CY60" s="82">
        <f>CY65+CY67+CY63+CY62</f>
        <v>4.3999787500000007</v>
      </c>
      <c r="DA60" s="81"/>
      <c r="DB60" s="82">
        <f>DB65+DB67+DB63+DB62</f>
        <v>6.05</v>
      </c>
      <c r="DC60" s="81"/>
      <c r="DD60" s="82">
        <f>DD65+DD67+DD63+DD62</f>
        <v>6.0428571428571427</v>
      </c>
      <c r="DE60" s="81"/>
      <c r="DF60" s="82">
        <f>DF65+DF67+DF63+DF62</f>
        <v>6.0428571428571427</v>
      </c>
      <c r="DH60" s="81"/>
      <c r="DI60" s="82">
        <f>DI65+DI67+DI63+DI62</f>
        <v>6.0481731619222536</v>
      </c>
      <c r="DJ60" s="81"/>
      <c r="DK60" s="82">
        <f>DK65+DK67+DK63+DK62</f>
        <v>6.0459845492371702</v>
      </c>
      <c r="DL60" s="81"/>
      <c r="DM60" s="82">
        <f>DM65+DM67+DM63+DM62</f>
        <v>6.0481731619222536</v>
      </c>
      <c r="DO60" s="81"/>
      <c r="DP60" s="82">
        <f>DP65+DP67+DP63+DP62</f>
        <v>6.0481731619222536</v>
      </c>
      <c r="DQ60" s="81"/>
      <c r="DR60" s="82">
        <f>DR65+DR67+DR63+DR62</f>
        <v>6.0459845492371702</v>
      </c>
      <c r="DS60" s="81"/>
      <c r="DT60" s="82">
        <f>DT65+DT67+DT63+DT62</f>
        <v>6.0481731619222536</v>
      </c>
      <c r="DV60" s="81"/>
      <c r="DW60" s="82">
        <f>DW65+DW67+DW63+DW62</f>
        <v>6.0481731619222536</v>
      </c>
      <c r="DX60" s="81"/>
      <c r="DY60" s="82">
        <f>DY65+DY67+DY63+DY62</f>
        <v>6.0459845492371702</v>
      </c>
      <c r="EA60" s="81"/>
      <c r="EB60" s="82">
        <f>EB65+EB67+EB63+EB62</f>
        <v>6.0481731619222536</v>
      </c>
      <c r="ED60" s="81"/>
      <c r="EE60" s="82">
        <f>EE65+EE67+EE63+EE62</f>
        <v>6.0459845492371702</v>
      </c>
      <c r="EG60" s="81"/>
      <c r="EH60" s="82">
        <f>EH65+EH67+EH63+EH62</f>
        <v>6.0459845492371702</v>
      </c>
      <c r="EJ60" s="81"/>
      <c r="EK60" s="82">
        <f>EK65+EK67+EK63+EK62</f>
        <v>6.0481731619222536</v>
      </c>
      <c r="EM60" s="81"/>
      <c r="EN60" s="82">
        <f>EN65+EN67+EN63+EN62</f>
        <v>6.0459845492371702</v>
      </c>
      <c r="EP60" s="81"/>
      <c r="EQ60" s="82">
        <f>EQ65+EQ67+EQ63+EQ62</f>
        <v>6.0459845492371702</v>
      </c>
      <c r="ER60" s="81"/>
      <c r="ES60" s="82">
        <f>ES65+ES67+ES63+ES62</f>
        <v>6.0481731619222536</v>
      </c>
      <c r="EU60" s="81"/>
      <c r="EV60" s="82">
        <f>EV65+EV67+EV63+EV62</f>
        <v>6.0459845492371702</v>
      </c>
      <c r="EX60" s="81"/>
      <c r="EY60" s="82">
        <f>EY65+EY67+EY63+EY62</f>
        <v>6.0481731619222536</v>
      </c>
      <c r="EZ60" s="81"/>
      <c r="FA60" s="82">
        <f>FA65+FA67+FA63+FA62</f>
        <v>6.0459845492371702</v>
      </c>
      <c r="FB60" s="81"/>
      <c r="FC60" s="82">
        <f>FC65+FC67+FC63+FC62</f>
        <v>6.0481731619222536</v>
      </c>
    </row>
    <row r="61" spans="1:159" s="4" customFormat="1" ht="18" customHeight="1" outlineLevel="1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549"/>
      <c r="K61" s="368"/>
      <c r="L61" s="549"/>
      <c r="M61" s="368"/>
      <c r="N61" s="549"/>
      <c r="O61" s="368"/>
      <c r="P61" s="549"/>
      <c r="Q61" s="368"/>
      <c r="R61" s="630"/>
      <c r="S61" s="42"/>
      <c r="T61" s="88"/>
      <c r="U61" s="42"/>
      <c r="V61" s="88"/>
      <c r="W61" s="549"/>
      <c r="X61" s="368"/>
      <c r="Y61" s="549"/>
      <c r="Z61" s="368"/>
      <c r="AA61" s="549"/>
      <c r="AB61" s="368"/>
      <c r="AC61" s="549"/>
      <c r="AD61" s="368"/>
      <c r="AE61" s="359"/>
      <c r="AF61" s="372"/>
      <c r="AG61" s="630"/>
      <c r="AH61" s="42"/>
      <c r="AI61" s="88"/>
      <c r="AJ61" s="42"/>
      <c r="AK61" s="88"/>
      <c r="AL61" s="549"/>
      <c r="AM61" s="368"/>
      <c r="AN61" s="549"/>
      <c r="AO61" s="368"/>
      <c r="AP61" s="549"/>
      <c r="AQ61" s="368"/>
      <c r="AR61" s="549"/>
      <c r="AS61" s="368"/>
      <c r="AT61" s="359"/>
      <c r="AU61" s="372"/>
      <c r="AV61" s="632"/>
      <c r="AW61" s="359"/>
      <c r="AX61" s="372"/>
      <c r="AY61" s="270"/>
      <c r="AZ61" s="88"/>
      <c r="BA61" s="359"/>
      <c r="BB61" s="372"/>
      <c r="BC61" s="359"/>
      <c r="BD61" s="372"/>
      <c r="BE61" s="359"/>
      <c r="BF61" s="372"/>
      <c r="BG61" s="359"/>
      <c r="BH61" s="372"/>
      <c r="BI61" s="359"/>
      <c r="BJ61" s="372"/>
      <c r="BK61" s="42"/>
      <c r="BL61" s="88"/>
      <c r="BM61" s="359"/>
      <c r="BN61" s="372"/>
      <c r="BO61" s="359"/>
      <c r="BP61" s="372"/>
      <c r="BQ61" s="359"/>
      <c r="BR61" s="372"/>
      <c r="BS61" s="42"/>
      <c r="BT61" s="88"/>
      <c r="BU61" s="359"/>
      <c r="BV61" s="372"/>
      <c r="BW61" s="359"/>
      <c r="BX61" s="372"/>
      <c r="BY61" s="359"/>
      <c r="BZ61" s="372"/>
      <c r="CA61" s="42"/>
      <c r="CB61" s="88"/>
      <c r="CC61" s="359"/>
      <c r="CD61" s="372"/>
      <c r="CE61" s="359"/>
      <c r="CF61" s="372"/>
      <c r="CG61" s="359"/>
      <c r="CH61" s="372"/>
      <c r="CI61" s="359"/>
      <c r="CJ61" s="372"/>
      <c r="CK61" s="359"/>
      <c r="CL61" s="372"/>
      <c r="CM61" s="359"/>
      <c r="CN61" s="372"/>
      <c r="CO61" s="359"/>
      <c r="CP61" s="372"/>
      <c r="CR61" s="359"/>
      <c r="CS61" s="372"/>
      <c r="CT61" s="359"/>
      <c r="CU61" s="372"/>
      <c r="CV61" s="359"/>
      <c r="CW61" s="372"/>
      <c r="CX61" s="359"/>
      <c r="CY61" s="372"/>
      <c r="DA61" s="359"/>
      <c r="DB61" s="372"/>
      <c r="DC61" s="359"/>
      <c r="DD61" s="372"/>
      <c r="DE61" s="359"/>
      <c r="DF61" s="372"/>
      <c r="DH61" s="359"/>
      <c r="DI61" s="372"/>
      <c r="DJ61" s="359"/>
      <c r="DK61" s="372"/>
      <c r="DL61" s="359"/>
      <c r="DM61" s="372"/>
      <c r="DO61" s="359"/>
      <c r="DP61" s="372"/>
      <c r="DQ61" s="359"/>
      <c r="DR61" s="372"/>
      <c r="DS61" s="359"/>
      <c r="DT61" s="372"/>
      <c r="DV61" s="359"/>
      <c r="DW61" s="372"/>
      <c r="DX61" s="359"/>
      <c r="DY61" s="372"/>
      <c r="EA61" s="359"/>
      <c r="EB61" s="372"/>
      <c r="ED61" s="359"/>
      <c r="EE61" s="372"/>
      <c r="EG61" s="359"/>
      <c r="EH61" s="372"/>
      <c r="EJ61" s="359"/>
      <c r="EK61" s="372"/>
      <c r="EM61" s="359"/>
      <c r="EN61" s="372"/>
      <c r="EP61" s="359"/>
      <c r="EQ61" s="372"/>
      <c r="ER61" s="359"/>
      <c r="ES61" s="372"/>
      <c r="EU61" s="359"/>
      <c r="EV61" s="372"/>
      <c r="EX61" s="359"/>
      <c r="EY61" s="372"/>
      <c r="EZ61" s="359"/>
      <c r="FA61" s="372"/>
      <c r="FB61" s="359"/>
      <c r="FC61" s="372"/>
    </row>
    <row r="62" spans="1:159" s="4" customFormat="1" ht="18" customHeight="1" outlineLevel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3.0799999999999998E-3</v>
      </c>
      <c r="H62" s="89"/>
      <c r="I62" s="90">
        <f>0.055/100*(I67+(I64/I66))</f>
        <v>3.0799999999999998E-3</v>
      </c>
      <c r="J62" s="373"/>
      <c r="K62" s="374">
        <f>0.055/100*(K67+(K64/K66))</f>
        <v>3.3236315435457909E-3</v>
      </c>
      <c r="L62" s="373"/>
      <c r="M62" s="374">
        <f>0.055/100*(M67+(M64/M66))</f>
        <v>3.3274545454545462E-3</v>
      </c>
      <c r="N62" s="373"/>
      <c r="O62" s="374">
        <f>0.055/100*(O67+(O64/O66))</f>
        <v>3.3274545454545462E-3</v>
      </c>
      <c r="P62" s="373"/>
      <c r="Q62" s="374">
        <f>'Pricing Structure - GSS'!DK62</f>
        <v>0</v>
      </c>
      <c r="R62" s="639"/>
      <c r="S62" s="89"/>
      <c r="T62" s="90">
        <f>0.055/100*(T67+(T64/T66))</f>
        <v>3.0799999999999998E-3</v>
      </c>
      <c r="U62" s="89"/>
      <c r="V62" s="90">
        <f>0.055/100*(V67+(V64/V66))</f>
        <v>3.0799999999999998E-3</v>
      </c>
      <c r="W62" s="373"/>
      <c r="X62" s="374">
        <f>0.055/100*(X67+(X64/X66))</f>
        <v>3.3206423698653011E-3</v>
      </c>
      <c r="Y62" s="373"/>
      <c r="Z62" s="374">
        <f>0.055/100*(Z67+(Z64/Z66))</f>
        <v>3.3274545454545462E-3</v>
      </c>
      <c r="AA62" s="373"/>
      <c r="AB62" s="374">
        <f>0.055/100*(AB67+(AB64/AB66))</f>
        <v>3.3274545454545462E-3</v>
      </c>
      <c r="AC62" s="373"/>
      <c r="AD62" s="374">
        <f>'Pricing Structure - IIP'!DE62</f>
        <v>0</v>
      </c>
      <c r="AE62" s="373"/>
      <c r="AF62" s="374" t="e">
        <f>'Pricing Structure - IIP'!#REF!</f>
        <v>#REF!</v>
      </c>
      <c r="AG62" s="639"/>
      <c r="AH62" s="89"/>
      <c r="AI62" s="90">
        <f>0.055/100*(AI67+(AI64/AI66))</f>
        <v>3.0799999999999998E-3</v>
      </c>
      <c r="AJ62" s="89"/>
      <c r="AK62" s="90">
        <f>0.055/100*(AK67+(AK64/AK66))</f>
        <v>3.0799999999999998E-3</v>
      </c>
      <c r="AL62" s="373"/>
      <c r="AM62" s="374">
        <f>0.055/100*(AM67+(AM64/AM66))</f>
        <v>3.3245269951714578E-3</v>
      </c>
      <c r="AN62" s="373"/>
      <c r="AO62" s="374">
        <f>0.055/100*(AO67+(AO64/AO66))</f>
        <v>3.3275000000000002E-3</v>
      </c>
      <c r="AP62" s="373"/>
      <c r="AQ62" s="374">
        <f>0.055/100*(AQ67+(AQ64/AQ66))</f>
        <v>3.3275000000000002E-3</v>
      </c>
      <c r="AR62" s="373"/>
      <c r="AS62" s="374">
        <f>'Pricing Structure - IHAG'!DQ62</f>
        <v>0</v>
      </c>
      <c r="AT62" s="373"/>
      <c r="AU62" s="374" t="e">
        <f>'Pricing Structure - IHAG'!#REF!</f>
        <v>#REF!</v>
      </c>
      <c r="AV62" s="639"/>
      <c r="AW62" s="373"/>
      <c r="AX62" s="374">
        <f>0.055/100*(AX67+(AX64/AX66))</f>
        <v>3.3728943661971837E-3</v>
      </c>
      <c r="AY62" s="268"/>
      <c r="AZ62" s="90">
        <f>0.055/100*(AZ67+(AZ64/AZ66))</f>
        <v>3.0799999999999998E-3</v>
      </c>
      <c r="BA62" s="373"/>
      <c r="BB62" s="374">
        <f>0.055/100*(BB67+(BB64/BB66))</f>
        <v>3.3274545454545462E-3</v>
      </c>
      <c r="BC62" s="373"/>
      <c r="BD62" s="374">
        <v>0</v>
      </c>
      <c r="BE62" s="373"/>
      <c r="BF62" s="374">
        <v>0</v>
      </c>
      <c r="BG62" s="373"/>
      <c r="BH62" s="374">
        <v>0</v>
      </c>
      <c r="BI62" s="373"/>
      <c r="BJ62" s="374">
        <v>0</v>
      </c>
      <c r="BK62" s="89"/>
      <c r="BL62" s="90">
        <f>0.055/100*(BL67+(BL64/BL66))</f>
        <v>2.5976032388663971E-3</v>
      </c>
      <c r="BM62" s="373"/>
      <c r="BN62" s="374">
        <f>0.055/100*(BN67+(BN64/BN66))</f>
        <v>2.5976032388663971E-3</v>
      </c>
      <c r="BO62" s="373"/>
      <c r="BP62" s="374">
        <f>0.055/100*(BP67+(BP64/BP66))</f>
        <v>2.5976032388663971E-3</v>
      </c>
      <c r="BQ62" s="89">
        <f>5.05-BR60</f>
        <v>-1.4875000000014182E-4</v>
      </c>
      <c r="BR62" s="374">
        <v>5.0237702429152264E-3</v>
      </c>
      <c r="BS62" s="89"/>
      <c r="BT62" s="374">
        <v>0</v>
      </c>
      <c r="BU62" s="373"/>
      <c r="BV62" s="374">
        <v>0</v>
      </c>
      <c r="BW62" s="373"/>
      <c r="BX62" s="374">
        <v>0</v>
      </c>
      <c r="BY62" s="373"/>
      <c r="BZ62" s="374">
        <v>0</v>
      </c>
      <c r="CA62" s="89"/>
      <c r="CB62" s="90">
        <f>0.055/100*(CB67+(CB64/CB66))</f>
        <v>3.6025000000000002E-3</v>
      </c>
      <c r="CC62" s="373"/>
      <c r="CD62" s="374">
        <f>0.055/100*(CD67+(CD64/CD66))</f>
        <v>3.6025000000000002E-3</v>
      </c>
      <c r="CE62" s="373"/>
      <c r="CF62" s="374">
        <f>0.055/100*(CF67+(CF64/CF66))</f>
        <v>3.6025000000000002E-3</v>
      </c>
      <c r="CG62" s="373"/>
      <c r="CH62" s="374">
        <v>0</v>
      </c>
      <c r="CI62" s="617">
        <f>CJ60-6.05</f>
        <v>0</v>
      </c>
      <c r="CJ62" s="607">
        <v>1.1324537037040699E-3</v>
      </c>
      <c r="CK62" s="617">
        <f>CL60-6.05</f>
        <v>0</v>
      </c>
      <c r="CL62" s="607">
        <v>1.17144642857143E-2</v>
      </c>
      <c r="CM62" s="617">
        <f>CN60-6.05</f>
        <v>0</v>
      </c>
      <c r="CN62" s="607">
        <v>1.17144642857143E-2</v>
      </c>
      <c r="CO62" s="373">
        <f>CP60-4.4</f>
        <v>-4.8691000000000706E-2</v>
      </c>
      <c r="CP62" s="607">
        <v>0</v>
      </c>
      <c r="CR62" s="1145">
        <f>6.05-CS60</f>
        <v>0</v>
      </c>
      <c r="CS62" s="607">
        <v>1.2243564814815144E-2</v>
      </c>
      <c r="CT62" s="1145">
        <f>6.05-CU60</f>
        <v>7.1428571428571175E-3</v>
      </c>
      <c r="CU62" s="607">
        <v>1.17144642857143E-2</v>
      </c>
      <c r="CV62" s="1145">
        <f>6.05-CW60</f>
        <v>7.1428571428571175E-3</v>
      </c>
      <c r="CW62" s="607">
        <v>1.17144642857143E-2</v>
      </c>
      <c r="CX62" s="1145">
        <f>4.4-CY60</f>
        <v>2.1249999999639613E-5</v>
      </c>
      <c r="CY62" s="607">
        <v>-7.5589999999996493E-3</v>
      </c>
      <c r="DA62" s="1145">
        <f>6.05-DB60</f>
        <v>0</v>
      </c>
      <c r="DB62" s="607">
        <v>1.2243564814815144E-2</v>
      </c>
      <c r="DC62" s="1145">
        <f>6.05-DD60</f>
        <v>7.1428571428571175E-3</v>
      </c>
      <c r="DD62" s="607">
        <v>1.17144642857143E-2</v>
      </c>
      <c r="DE62" s="1145">
        <f>6.05-DF60</f>
        <v>7.1428571428571175E-3</v>
      </c>
      <c r="DF62" s="607">
        <v>1.17144642857143E-2</v>
      </c>
      <c r="DH62" s="1145">
        <f>6.05-DI60</f>
        <v>1.8268380777461957E-3</v>
      </c>
      <c r="DI62" s="607">
        <v>2.2435648148150999E-3</v>
      </c>
      <c r="DJ62" s="1145">
        <f>6.05-DK60</f>
        <v>4.0154507628296088E-3</v>
      </c>
      <c r="DK62" s="607">
        <v>1.17144642857143E-2</v>
      </c>
      <c r="DL62" s="1145">
        <f>6.05-DM60</f>
        <v>1.8268380777461957E-3</v>
      </c>
      <c r="DM62" s="607">
        <v>2.2435648148150999E-3</v>
      </c>
      <c r="DO62" s="1145">
        <f>6.05-DP60</f>
        <v>1.8268380777461957E-3</v>
      </c>
      <c r="DP62" s="607">
        <v>2.2435648148150999E-3</v>
      </c>
      <c r="DQ62" s="1145">
        <f>6.05-DR60</f>
        <v>4.0154507628296088E-3</v>
      </c>
      <c r="DR62" s="607">
        <v>1.17144642857143E-2</v>
      </c>
      <c r="DS62" s="1145">
        <f>6.05-DT60</f>
        <v>1.8268380777461957E-3</v>
      </c>
      <c r="DT62" s="607">
        <v>2.2435648148150999E-3</v>
      </c>
      <c r="DV62" s="1145">
        <f>6.05-DW60</f>
        <v>1.8268380777461957E-3</v>
      </c>
      <c r="DW62" s="607">
        <v>2.2435648148150999E-3</v>
      </c>
      <c r="DX62" s="1145">
        <f>6.05-DY60</f>
        <v>4.0154507628296088E-3</v>
      </c>
      <c r="DY62" s="607">
        <v>1.17144642857143E-2</v>
      </c>
      <c r="EA62" s="1145">
        <f>6.05-EB60</f>
        <v>1.8268380777461957E-3</v>
      </c>
      <c r="EB62" s="607">
        <v>2.2435648148150999E-3</v>
      </c>
      <c r="ED62" s="1145">
        <f>6.05-EE60</f>
        <v>4.0154507628296088E-3</v>
      </c>
      <c r="EE62" s="607">
        <v>1.17144642857143E-2</v>
      </c>
      <c r="EG62" s="1145">
        <f>6.05-EH60</f>
        <v>4.0154507628296088E-3</v>
      </c>
      <c r="EH62" s="607">
        <v>1.17144642857143E-2</v>
      </c>
      <c r="EJ62" s="1145">
        <f>6.05-EK60</f>
        <v>1.8268380777461957E-3</v>
      </c>
      <c r="EK62" s="607">
        <v>2.2435648148150999E-3</v>
      </c>
      <c r="EM62" s="1145">
        <f>6.05-EN60</f>
        <v>4.0154507628296088E-3</v>
      </c>
      <c r="EN62" s="607">
        <v>1.17144642857143E-2</v>
      </c>
      <c r="EP62" s="1145">
        <f>6.05-EQ60</f>
        <v>4.0154507628296088E-3</v>
      </c>
      <c r="EQ62" s="607">
        <v>1.17144642857143E-2</v>
      </c>
      <c r="ER62" s="1145">
        <f>6.05-ES60</f>
        <v>1.8268380777461957E-3</v>
      </c>
      <c r="ES62" s="607">
        <v>2.2435648148150999E-3</v>
      </c>
      <c r="EU62" s="1145">
        <f>6.05-EV60</f>
        <v>4.0154507628296088E-3</v>
      </c>
      <c r="EV62" s="607">
        <v>1.17144642857143E-2</v>
      </c>
      <c r="EX62" s="1145">
        <f>6.05-EY60</f>
        <v>1.8268380777461957E-3</v>
      </c>
      <c r="EY62" s="607">
        <v>2.2435648148150999E-3</v>
      </c>
      <c r="EZ62" s="1145">
        <f>6.05-FA60</f>
        <v>4.0154507628296088E-3</v>
      </c>
      <c r="FA62" s="607">
        <v>1.17144642857143E-2</v>
      </c>
      <c r="FB62" s="1145">
        <f>6.05-FC60</f>
        <v>1.8268380777461957E-3</v>
      </c>
      <c r="FC62" s="607">
        <v>2.2435648148150999E-3</v>
      </c>
    </row>
    <row r="63" spans="1:159" s="4" customFormat="1" ht="18" customHeight="1" outlineLevel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0.055/100*(G68+(G65/G67))</f>
        <v>2.7331211911166046E-3</v>
      </c>
      <c r="H63" s="89"/>
      <c r="I63" s="90">
        <f>0.055/100*(I68+(I65/I67))</f>
        <v>2.7146141961175716E-3</v>
      </c>
      <c r="J63" s="373"/>
      <c r="K63" s="374">
        <f>0.055/100*(K68+(K65/K67))</f>
        <v>2.7463775484083963E-3</v>
      </c>
      <c r="L63" s="373"/>
      <c r="M63" s="374">
        <f>0.055/100*(M68+(M65/M67))</f>
        <v>2.7466959138422557E-3</v>
      </c>
      <c r="N63" s="373"/>
      <c r="O63" s="374">
        <f>0.055/100*(O68+(O65/O67))</f>
        <v>2.7466959138422557E-3</v>
      </c>
      <c r="P63" s="373"/>
      <c r="Q63" s="374">
        <f>0.055/100*(Q68+(Q65/Q67))</f>
        <v>2.747923101342256E-3</v>
      </c>
      <c r="R63" s="639"/>
      <c r="S63" s="89"/>
      <c r="T63" s="90">
        <f>0.055/100*(T68+(T65/T67))</f>
        <v>2.7320617816091954E-3</v>
      </c>
      <c r="U63" s="89"/>
      <c r="V63" s="90">
        <f>0.055/100*(V68+(V65/V67))</f>
        <v>2.7316397058823527E-3</v>
      </c>
      <c r="W63" s="373"/>
      <c r="X63" s="374">
        <f>0.055/100*(X68+(X65/X67))</f>
        <v>2.746251364211201E-3</v>
      </c>
      <c r="Y63" s="373"/>
      <c r="Z63" s="374">
        <f>0.055/100*(Z68+(Z65/Z67))</f>
        <v>2.7466959138422557E-3</v>
      </c>
      <c r="AA63" s="373"/>
      <c r="AB63" s="374">
        <f>0.055/100*(AB68+(AB65/AB67))</f>
        <v>2.7466959138422557E-3</v>
      </c>
      <c r="AC63" s="373"/>
      <c r="AD63" s="374">
        <f>0.055/100*(AD68+(AD65/AD67))</f>
        <v>2.7466959138422557E-3</v>
      </c>
      <c r="AE63" s="373"/>
      <c r="AF63" s="374" t="e">
        <f>'Pricing Structure - IIP'!#REF!</f>
        <v>#REF!</v>
      </c>
      <c r="AG63" s="639"/>
      <c r="AH63" s="89"/>
      <c r="AI63" s="90">
        <f>0.055/100*(AI68+(AI65/AI67))</f>
        <v>2.7141187626804667E-3</v>
      </c>
      <c r="AJ63" s="89"/>
      <c r="AK63" s="90">
        <f>0.055/100*(AK68+(AK65/AK67))</f>
        <v>2.7050565743467966E-3</v>
      </c>
      <c r="AL63" s="373"/>
      <c r="AM63" s="374">
        <f>0.055/100*(AM68+(AM65/AM67))</f>
        <v>2.8145668503777401E-3</v>
      </c>
      <c r="AN63" s="373"/>
      <c r="AO63" s="374">
        <f>0.055/100*(AO68+(AO65/AO67))</f>
        <v>2.8157495621716289E-3</v>
      </c>
      <c r="AP63" s="373"/>
      <c r="AQ63" s="374">
        <f>0.055/100*(AQ68+(AQ65/AQ67))</f>
        <v>2.8157495621716289E-3</v>
      </c>
      <c r="AR63" s="373"/>
      <c r="AS63" s="374">
        <f>0.055/100*(AS68+(AS65/AS67))</f>
        <v>2.8170118121716289E-3</v>
      </c>
      <c r="AT63" s="373"/>
      <c r="AU63" s="374" t="e">
        <f>'Pricing Structure - IHAG'!#REF!</f>
        <v>#REF!</v>
      </c>
      <c r="AV63" s="639"/>
      <c r="AW63" s="373"/>
      <c r="AX63" s="374">
        <f>0.0425/100*(6.2-AX57)</f>
        <v>2.32475E-3</v>
      </c>
      <c r="AY63" s="268"/>
      <c r="AZ63" s="90">
        <f>0.0425/100*(6.2-AZ57)</f>
        <v>2.4650000000000002E-3</v>
      </c>
      <c r="BA63" s="373"/>
      <c r="BB63" s="374">
        <f>0.0425/100*(6.2-BB57)</f>
        <v>2.2950000000000002E-3</v>
      </c>
      <c r="BC63" s="373"/>
      <c r="BD63" s="374">
        <f>0.0425/100*(6.2-BD57)</f>
        <v>2.2950000000000002E-3</v>
      </c>
      <c r="BE63" s="373"/>
      <c r="BF63" s="374">
        <f>0.0425/100*(6.2-BF57)</f>
        <v>2.2950000000000002E-3</v>
      </c>
      <c r="BG63" s="373"/>
      <c r="BH63" s="374">
        <f>0.0425/100*(6.2-BH57)</f>
        <v>2.2950000000000002E-3</v>
      </c>
      <c r="BI63" s="373"/>
      <c r="BJ63" s="374">
        <f>0.0425/100*(6.2-BJ57)</f>
        <v>2.2950000000000002E-3</v>
      </c>
      <c r="BK63" s="89"/>
      <c r="BL63" s="90">
        <f>0.0425/100*(6.2-BL57)</f>
        <v>2.2014999999999999E-3</v>
      </c>
      <c r="BM63" s="373"/>
      <c r="BN63" s="374">
        <f>0.0425/100*(6.2-BN57)</f>
        <v>2.2014999999999999E-3</v>
      </c>
      <c r="BO63" s="373"/>
      <c r="BP63" s="374">
        <f>0.0425/100*(6.2-BP57)</f>
        <v>2.2014999999999999E-3</v>
      </c>
      <c r="BQ63" s="373"/>
      <c r="BR63" s="374">
        <f>0.0425/100*(6.2-BR57)</f>
        <v>2.2100000000000002E-3</v>
      </c>
      <c r="BS63" s="89"/>
      <c r="BT63" s="90">
        <f>0.0425/100*(6.2-BT57)</f>
        <v>2.19725E-3</v>
      </c>
      <c r="BU63" s="373"/>
      <c r="BV63" s="374">
        <f>0.0425/100*(6.2-BV57)</f>
        <v>2.19725E-3</v>
      </c>
      <c r="BW63" s="373"/>
      <c r="BX63" s="374">
        <f>0.0425/100*(6.2-BX57)</f>
        <v>2.19725E-3</v>
      </c>
      <c r="BY63" s="373"/>
      <c r="BZ63" s="374">
        <f>0.0425/100*(6.2-BZ57)</f>
        <v>2.2525000000000002E-3</v>
      </c>
      <c r="CA63" s="89"/>
      <c r="CB63" s="90">
        <f>0.0425/100*(6.2-CB57)</f>
        <v>1.8700000000000004E-3</v>
      </c>
      <c r="CC63" s="373"/>
      <c r="CD63" s="374">
        <f>0.0425/100*(6.2-CD57)</f>
        <v>1.8700000000000004E-3</v>
      </c>
      <c r="CE63" s="373"/>
      <c r="CF63" s="374">
        <f>0.0425/100*(6.2-CF57)</f>
        <v>1.8700000000000004E-3</v>
      </c>
      <c r="CG63" s="373"/>
      <c r="CH63" s="374">
        <f>0.0425/100*(6.2-CH57)</f>
        <v>2.0187500000000001E-3</v>
      </c>
      <c r="CI63" s="608"/>
      <c r="CJ63" s="607">
        <f>0.0425%*(6.05-CJ57)</f>
        <v>2.5712500000000002E-3</v>
      </c>
      <c r="CK63" s="608"/>
      <c r="CL63" s="607">
        <f>0.0425%*(6.05-CL57)</f>
        <v>2.5712500000000002E-3</v>
      </c>
      <c r="CM63" s="608"/>
      <c r="CN63" s="607">
        <f>0.0425%*(6.05-CN57)</f>
        <v>2.5712500000000002E-3</v>
      </c>
      <c r="CO63" s="373"/>
      <c r="CP63" s="607">
        <f>0.0425%*(4.38-CP57)</f>
        <v>1.3090000000000001E-3</v>
      </c>
      <c r="CR63" s="608"/>
      <c r="CS63" s="607">
        <f>0.0425%*(6.05-CS57)</f>
        <v>2.5712500000000002E-3</v>
      </c>
      <c r="CT63" s="608"/>
      <c r="CU63" s="607">
        <f>0.0425%*(6.05-CU57)</f>
        <v>2.5712500000000002E-3</v>
      </c>
      <c r="CV63" s="608"/>
      <c r="CW63" s="607">
        <f>0.0425%*(6.05-CW57)</f>
        <v>2.5712500000000002E-3</v>
      </c>
      <c r="CX63" s="373"/>
      <c r="CY63" s="607">
        <f>0.0425%*(4.38-CY57)</f>
        <v>1.28775E-3</v>
      </c>
      <c r="DA63" s="608"/>
      <c r="DB63" s="607">
        <f>0.0425%*(6.05-DB57)</f>
        <v>2.5712500000000002E-3</v>
      </c>
      <c r="DC63" s="608"/>
      <c r="DD63" s="607">
        <f>0.0425%*(6.05-DD57)</f>
        <v>2.5712500000000002E-3</v>
      </c>
      <c r="DE63" s="608"/>
      <c r="DF63" s="607">
        <f>0.0425%*(6.05-DF57)</f>
        <v>2.5712500000000002E-3</v>
      </c>
      <c r="DH63" s="608"/>
      <c r="DI63" s="607">
        <f>0.0425%*(6.05-DI57)</f>
        <v>2.2312500000000002E-3</v>
      </c>
      <c r="DJ63" s="608"/>
      <c r="DK63" s="607">
        <f>0.0425%*(6.05-DK57)</f>
        <v>2.2312500000000002E-3</v>
      </c>
      <c r="DL63" s="608"/>
      <c r="DM63" s="607">
        <f>0.0425%*(6.05-DM57)</f>
        <v>2.2312500000000002E-3</v>
      </c>
      <c r="DO63" s="608"/>
      <c r="DP63" s="607">
        <f>0.0425%*(6.05-DP57)</f>
        <v>2.2312500000000002E-3</v>
      </c>
      <c r="DQ63" s="608"/>
      <c r="DR63" s="607">
        <f>0.0425%*(6.05-DR57)</f>
        <v>2.2312500000000002E-3</v>
      </c>
      <c r="DS63" s="608"/>
      <c r="DT63" s="607">
        <f>0.0425%*(6.05-DT57)</f>
        <v>2.2312500000000002E-3</v>
      </c>
      <c r="DV63" s="608"/>
      <c r="DW63" s="607">
        <f>0.0425%*(6.05-DW57)</f>
        <v>2.2312500000000002E-3</v>
      </c>
      <c r="DX63" s="608"/>
      <c r="DY63" s="607">
        <f>0.0425%*(6.05-DY57)</f>
        <v>2.2312500000000002E-3</v>
      </c>
      <c r="EA63" s="608"/>
      <c r="EB63" s="607">
        <f>0.0425%*(6.05-EB57)</f>
        <v>2.2312500000000002E-3</v>
      </c>
      <c r="ED63" s="608"/>
      <c r="EE63" s="607">
        <f>0.0425%*(6.05-EE57)</f>
        <v>2.2312500000000002E-3</v>
      </c>
      <c r="EG63" s="608"/>
      <c r="EH63" s="607">
        <f>0.0425%*(6.05-EH57)</f>
        <v>2.2312500000000002E-3</v>
      </c>
      <c r="EJ63" s="608"/>
      <c r="EK63" s="607">
        <f>0.0425%*(6.05-EK57)</f>
        <v>2.2312500000000002E-3</v>
      </c>
      <c r="EM63" s="608"/>
      <c r="EN63" s="607">
        <f>0.0425%*(6.05-EN57)</f>
        <v>2.2312500000000002E-3</v>
      </c>
      <c r="EP63" s="608"/>
      <c r="EQ63" s="607">
        <f>0.0425%*(6.05-EQ57)</f>
        <v>2.2312500000000002E-3</v>
      </c>
      <c r="ER63" s="608"/>
      <c r="ES63" s="607">
        <f>0.0425%*(6.05-ES57)</f>
        <v>2.2312500000000002E-3</v>
      </c>
      <c r="EU63" s="608"/>
      <c r="EV63" s="607">
        <f>0.0425%*(6.05-EV57)</f>
        <v>2.2312500000000002E-3</v>
      </c>
      <c r="EX63" s="608"/>
      <c r="EY63" s="607">
        <f>0.0425%*(6.05-EY57)</f>
        <v>2.2312500000000002E-3</v>
      </c>
      <c r="EZ63" s="608"/>
      <c r="FA63" s="607">
        <f>0.0425%*(6.05-FA57)</f>
        <v>2.2312500000000002E-3</v>
      </c>
      <c r="FB63" s="608"/>
      <c r="FC63" s="607">
        <f>0.0425%*(6.05-FC57)</f>
        <v>2.2312500000000002E-3</v>
      </c>
    </row>
    <row r="64" spans="1:159" s="4" customFormat="1" ht="18" customHeight="1" outlineLevel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620</v>
      </c>
      <c r="H64" s="42"/>
      <c r="I64" s="91">
        <v>1150</v>
      </c>
      <c r="J64" s="359"/>
      <c r="K64" s="91">
        <f>'Pricing Structure - GSS'!DE64</f>
        <v>1199.4831156337875</v>
      </c>
      <c r="L64" s="359"/>
      <c r="M64" s="91">
        <f>'Pricing Structure - GSS'!DA64</f>
        <v>1200</v>
      </c>
      <c r="N64" s="359"/>
      <c r="O64" s="91">
        <f>'Pricing Structure - GSS'!DC64</f>
        <v>1200</v>
      </c>
      <c r="P64" s="359"/>
      <c r="Q64" s="91">
        <f>'Pricing Structure - GSS'!DK64</f>
        <v>1200</v>
      </c>
      <c r="R64" s="640"/>
      <c r="S64" s="42"/>
      <c r="T64" s="91">
        <v>650</v>
      </c>
      <c r="U64" s="42"/>
      <c r="V64" s="91">
        <v>1150</v>
      </c>
      <c r="W64" s="359"/>
      <c r="X64" s="91">
        <f>'Pricing Structure - IIP'!CY64</f>
        <v>1197.9359746958437</v>
      </c>
      <c r="Y64" s="359"/>
      <c r="Z64" s="91">
        <f>'Pricing Structure - IIP'!CU64</f>
        <v>1200</v>
      </c>
      <c r="AA64" s="359"/>
      <c r="AB64" s="91">
        <f>'Pricing Structure - IIP'!CW64</f>
        <v>1200</v>
      </c>
      <c r="AC64" s="359"/>
      <c r="AD64" s="91">
        <f>'Pricing Structure - IIP'!DE64</f>
        <v>1200</v>
      </c>
      <c r="AE64" s="359"/>
      <c r="AF64" s="91" t="e">
        <f>'Pricing Structure - IIP'!#REF!</f>
        <v>#REF!</v>
      </c>
      <c r="AG64" s="640"/>
      <c r="AH64" s="42"/>
      <c r="AI64" s="91">
        <v>720</v>
      </c>
      <c r="AJ64" s="42"/>
      <c r="AK64" s="91">
        <v>1150</v>
      </c>
      <c r="AL64" s="359"/>
      <c r="AM64" s="91">
        <f>'Pricing Structure - IHAG'!DE64</f>
        <v>1206.1471380087817</v>
      </c>
      <c r="AN64" s="359"/>
      <c r="AO64" s="91">
        <f>'Pricing Structure - IHAG'!DA64</f>
        <v>1207</v>
      </c>
      <c r="AP64" s="359"/>
      <c r="AQ64" s="91">
        <f>'Pricing Structure - IHAG'!DC64</f>
        <v>1207</v>
      </c>
      <c r="AR64" s="359"/>
      <c r="AS64" s="91">
        <f>'Pricing Structure - IHAG'!DQ64</f>
        <v>1207</v>
      </c>
      <c r="AT64" s="359"/>
      <c r="AU64" s="91" t="e">
        <f>'Pricing Structure - IHAG'!#REF!</f>
        <v>#REF!</v>
      </c>
      <c r="AV64" s="669"/>
      <c r="AW64" s="359"/>
      <c r="AX64" s="91">
        <v>1500</v>
      </c>
      <c r="AY64" s="270"/>
      <c r="AZ64" s="91">
        <v>1150</v>
      </c>
      <c r="BA64" s="359"/>
      <c r="BB64" s="91">
        <v>1200</v>
      </c>
      <c r="BC64" s="359"/>
      <c r="BD64" s="91">
        <v>1200</v>
      </c>
      <c r="BE64" s="359"/>
      <c r="BF64" s="91">
        <v>1200</v>
      </c>
      <c r="BG64" s="359"/>
      <c r="BH64" s="91">
        <v>1200</v>
      </c>
      <c r="BI64" s="359"/>
      <c r="BJ64" s="91">
        <v>1200</v>
      </c>
      <c r="BK64" s="42"/>
      <c r="BL64" s="91">
        <v>1200</v>
      </c>
      <c r="BM64" s="359"/>
      <c r="BN64" s="91">
        <v>1200</v>
      </c>
      <c r="BO64" s="359"/>
      <c r="BP64" s="91">
        <v>1200</v>
      </c>
      <c r="BQ64" s="359"/>
      <c r="BR64" s="91">
        <v>1200</v>
      </c>
      <c r="BS64" s="42"/>
      <c r="BT64" s="91">
        <v>1200</v>
      </c>
      <c r="BU64" s="359"/>
      <c r="BV64" s="91">
        <v>1200</v>
      </c>
      <c r="BW64" s="359"/>
      <c r="BX64" s="91">
        <v>1200</v>
      </c>
      <c r="BY64" s="359"/>
      <c r="BZ64" s="91">
        <v>1200</v>
      </c>
      <c r="CA64" s="42"/>
      <c r="CB64" s="91">
        <v>1200</v>
      </c>
      <c r="CC64" s="359"/>
      <c r="CD64" s="91">
        <v>1200</v>
      </c>
      <c r="CE64" s="359"/>
      <c r="CF64" s="91">
        <v>1200</v>
      </c>
      <c r="CG64" s="359"/>
      <c r="CH64" s="91">
        <v>1200</v>
      </c>
      <c r="CI64" s="359"/>
      <c r="CJ64" s="91">
        <v>1200</v>
      </c>
      <c r="CK64" s="359"/>
      <c r="CL64" s="91">
        <v>1200</v>
      </c>
      <c r="CM64" s="359"/>
      <c r="CN64" s="91">
        <v>1200</v>
      </c>
      <c r="CO64" s="359"/>
      <c r="CP64" s="91">
        <v>1200</v>
      </c>
      <c r="CR64" s="359"/>
      <c r="CS64" s="91">
        <v>750</v>
      </c>
      <c r="CT64" s="359"/>
      <c r="CU64" s="91">
        <v>750</v>
      </c>
      <c r="CV64" s="359"/>
      <c r="CW64" s="91">
        <v>750</v>
      </c>
      <c r="CX64" s="359"/>
      <c r="CY64" s="91">
        <v>750</v>
      </c>
      <c r="DA64" s="359"/>
      <c r="DB64" s="91">
        <v>750</v>
      </c>
      <c r="DC64" s="359"/>
      <c r="DD64" s="91">
        <v>750</v>
      </c>
      <c r="DE64" s="359"/>
      <c r="DF64" s="91">
        <v>750</v>
      </c>
      <c r="DH64" s="359"/>
      <c r="DI64" s="91">
        <v>750</v>
      </c>
      <c r="DJ64" s="359"/>
      <c r="DK64" s="91">
        <v>750</v>
      </c>
      <c r="DL64" s="359"/>
      <c r="DM64" s="91">
        <v>750</v>
      </c>
      <c r="DO64" s="359"/>
      <c r="DP64" s="91">
        <v>750</v>
      </c>
      <c r="DQ64" s="359"/>
      <c r="DR64" s="91">
        <v>750</v>
      </c>
      <c r="DS64" s="359"/>
      <c r="DT64" s="91">
        <v>750</v>
      </c>
      <c r="DV64" s="359"/>
      <c r="DW64" s="91">
        <v>750</v>
      </c>
      <c r="DX64" s="359"/>
      <c r="DY64" s="91">
        <v>750</v>
      </c>
      <c r="EA64" s="359"/>
      <c r="EB64" s="91">
        <v>750</v>
      </c>
      <c r="ED64" s="359"/>
      <c r="EE64" s="91">
        <v>750</v>
      </c>
      <c r="EG64" s="359"/>
      <c r="EH64" s="91">
        <v>750</v>
      </c>
      <c r="EJ64" s="359"/>
      <c r="EK64" s="91">
        <v>750</v>
      </c>
      <c r="EM64" s="359"/>
      <c r="EN64" s="91">
        <v>750</v>
      </c>
      <c r="EP64" s="359"/>
      <c r="EQ64" s="91">
        <v>750</v>
      </c>
      <c r="ER64" s="359"/>
      <c r="ES64" s="91">
        <v>750</v>
      </c>
      <c r="EU64" s="359"/>
      <c r="EV64" s="91">
        <v>750</v>
      </c>
      <c r="EX64" s="359"/>
      <c r="EY64" s="91">
        <v>750</v>
      </c>
      <c r="EZ64" s="359"/>
      <c r="FA64" s="91">
        <v>750</v>
      </c>
      <c r="FB64" s="359"/>
      <c r="FC64" s="91">
        <v>750</v>
      </c>
    </row>
    <row r="65" spans="1:159" s="97" customFormat="1" ht="18" customHeight="1" outlineLevel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0.16012396694214875</v>
      </c>
      <c r="H65" s="95"/>
      <c r="I65" s="96">
        <f>+I64/I66</f>
        <v>0.29700413223140498</v>
      </c>
      <c r="J65" s="375"/>
      <c r="K65" s="368">
        <f>+K64/K66</f>
        <v>0.30978386250872614</v>
      </c>
      <c r="L65" s="375"/>
      <c r="M65" s="368">
        <f>+M64/M66</f>
        <v>0.30991735537190085</v>
      </c>
      <c r="N65" s="375"/>
      <c r="O65" s="368">
        <f>+O64/O66</f>
        <v>0.30991735537190085</v>
      </c>
      <c r="P65" s="375"/>
      <c r="Q65" s="368">
        <f>+Q64/Q66</f>
        <v>0.30991735537190085</v>
      </c>
      <c r="R65" s="630"/>
      <c r="S65" s="95"/>
      <c r="T65" s="96">
        <f>+T64/T66</f>
        <v>0.16250000000000001</v>
      </c>
      <c r="U65" s="95"/>
      <c r="V65" s="96">
        <f>+V64/V66</f>
        <v>0.28749999999999998</v>
      </c>
      <c r="W65" s="375"/>
      <c r="X65" s="368">
        <f>+X64/X66</f>
        <v>0.3093842909854968</v>
      </c>
      <c r="Y65" s="375"/>
      <c r="Z65" s="368">
        <f>+Z64/Z66</f>
        <v>0.30991735537190085</v>
      </c>
      <c r="AA65" s="375"/>
      <c r="AB65" s="368">
        <f>+AB64/AB66</f>
        <v>0.30991735537190085</v>
      </c>
      <c r="AC65" s="375"/>
      <c r="AD65" s="368">
        <f>+AD64/AD66</f>
        <v>0.30991735537190085</v>
      </c>
      <c r="AE65" s="375"/>
      <c r="AF65" s="376" t="e">
        <f>'Pricing Structure - IIP'!#REF!</f>
        <v>#REF!</v>
      </c>
      <c r="AG65" s="630"/>
      <c r="AH65" s="95"/>
      <c r="AI65" s="96">
        <f>+AI64/AI66</f>
        <v>0.20281690140845071</v>
      </c>
      <c r="AJ65" s="95"/>
      <c r="AK65" s="96">
        <f>+AK64/AK66</f>
        <v>0.323943661971831</v>
      </c>
      <c r="AL65" s="375"/>
      <c r="AM65" s="368">
        <f>+AM64/AM66</f>
        <v>0.33975975718557228</v>
      </c>
      <c r="AN65" s="375"/>
      <c r="AO65" s="368">
        <f>+AO64/AO66</f>
        <v>0.34</v>
      </c>
      <c r="AP65" s="375"/>
      <c r="AQ65" s="368">
        <f>+AQ64/AQ66</f>
        <v>0.34</v>
      </c>
      <c r="AR65" s="375"/>
      <c r="AS65" s="368">
        <f>+AS64/AS66</f>
        <v>0.34</v>
      </c>
      <c r="AT65" s="375"/>
      <c r="AU65" s="376" t="e">
        <f>'Pricing Structure - IHAG'!#REF!</f>
        <v>#REF!</v>
      </c>
      <c r="AV65" s="662"/>
      <c r="AW65" s="375"/>
      <c r="AX65" s="376">
        <f>+AX64/AX66</f>
        <v>0.42253521126760563</v>
      </c>
      <c r="AY65" s="279"/>
      <c r="AZ65" s="96">
        <f>+AZ64/AZ66</f>
        <v>0.29700413223140498</v>
      </c>
      <c r="BA65" s="375"/>
      <c r="BB65" s="376">
        <f>+BB64/BB66</f>
        <v>0.30991735537190085</v>
      </c>
      <c r="BC65" s="375"/>
      <c r="BD65" s="376">
        <f>+BD64/BD66</f>
        <v>0.30991735537190085</v>
      </c>
      <c r="BE65" s="375"/>
      <c r="BF65" s="376">
        <f>+BF64/BF66</f>
        <v>0.30991735537190085</v>
      </c>
      <c r="BG65" s="375"/>
      <c r="BH65" s="376">
        <f>+BH64/BH66</f>
        <v>0.30991735537190085</v>
      </c>
      <c r="BI65" s="375"/>
      <c r="BJ65" s="376">
        <f>+BJ64/BJ66</f>
        <v>0.30991735537190085</v>
      </c>
      <c r="BK65" s="95"/>
      <c r="BL65" s="96">
        <f>+BL64/BL66</f>
        <v>0.24291497975708501</v>
      </c>
      <c r="BM65" s="375"/>
      <c r="BN65" s="376">
        <f>+BN64/BN66</f>
        <v>0.24291497975708501</v>
      </c>
      <c r="BO65" s="375"/>
      <c r="BP65" s="376">
        <f>+BP64/BP66</f>
        <v>0.24291497975708501</v>
      </c>
      <c r="BQ65" s="375"/>
      <c r="BR65" s="376">
        <f>+BR64/BR66</f>
        <v>0.24291497975708501</v>
      </c>
      <c r="BS65" s="95"/>
      <c r="BT65" s="96">
        <f>+BT64/BT66</f>
        <v>0.25</v>
      </c>
      <c r="BU65" s="375"/>
      <c r="BV65" s="376">
        <f>+BV64/BV66</f>
        <v>0.25</v>
      </c>
      <c r="BW65" s="375"/>
      <c r="BX65" s="376">
        <f>+BX64/BX66</f>
        <v>0.25</v>
      </c>
      <c r="BY65" s="375"/>
      <c r="BZ65" s="376">
        <f>+BZ64/BZ66</f>
        <v>0.25</v>
      </c>
      <c r="CA65" s="95"/>
      <c r="CB65" s="96">
        <f>+CB64/CB66</f>
        <v>0.5</v>
      </c>
      <c r="CC65" s="375"/>
      <c r="CD65" s="376">
        <f>+CD64/CD66</f>
        <v>0.5</v>
      </c>
      <c r="CE65" s="375"/>
      <c r="CF65" s="376">
        <f>+CF64/CF66</f>
        <v>0.5</v>
      </c>
      <c r="CG65" s="375"/>
      <c r="CH65" s="376">
        <f>+CH64/CH66</f>
        <v>0.5</v>
      </c>
      <c r="CI65" s="375"/>
      <c r="CJ65" s="376">
        <f>+CJ64/CJ66</f>
        <v>0.29629629629629628</v>
      </c>
      <c r="CK65" s="375"/>
      <c r="CL65" s="376">
        <f>+CL64/CL66</f>
        <v>0.2857142857142857</v>
      </c>
      <c r="CM65" s="375"/>
      <c r="CN65" s="376">
        <f>+CN64/CN66</f>
        <v>0.2857142857142857</v>
      </c>
      <c r="CO65" s="375"/>
      <c r="CP65" s="376">
        <f>+CP64/CP66</f>
        <v>0.25</v>
      </c>
      <c r="CR65" s="375"/>
      <c r="CS65" s="376">
        <f>+CS64/CS66</f>
        <v>0.18518518518518517</v>
      </c>
      <c r="CT65" s="375"/>
      <c r="CU65" s="376">
        <f>+CU64/CU66</f>
        <v>0.17857142857142858</v>
      </c>
      <c r="CV65" s="375"/>
      <c r="CW65" s="376">
        <f>+CW64/CW66</f>
        <v>0.17857142857142858</v>
      </c>
      <c r="CX65" s="375"/>
      <c r="CY65" s="376">
        <f>+CY64/CY66</f>
        <v>0.15625</v>
      </c>
      <c r="DA65" s="375"/>
      <c r="DB65" s="376">
        <f>+DB64/DB66</f>
        <v>0.18518518518518517</v>
      </c>
      <c r="DC65" s="375"/>
      <c r="DD65" s="376">
        <f>+DD64/DD66</f>
        <v>0.17857142857142858</v>
      </c>
      <c r="DE65" s="375"/>
      <c r="DF65" s="376">
        <f>+DF64/DF66</f>
        <v>0.17857142857142858</v>
      </c>
      <c r="DH65" s="375"/>
      <c r="DI65" s="376">
        <f>+DI64/DI66</f>
        <v>0.19369834710743802</v>
      </c>
      <c r="DJ65" s="375"/>
      <c r="DK65" s="376">
        <f>+DK64/DK66</f>
        <v>0.18203883495145631</v>
      </c>
      <c r="DL65" s="375"/>
      <c r="DM65" s="376">
        <f>+DM64/DM66</f>
        <v>0.19369834710743802</v>
      </c>
      <c r="DO65" s="375"/>
      <c r="DP65" s="376">
        <f>+DP64/DP66</f>
        <v>0.19369834710743802</v>
      </c>
      <c r="DQ65" s="375"/>
      <c r="DR65" s="376">
        <f>+DR64/DR66</f>
        <v>0.18203883495145631</v>
      </c>
      <c r="DS65" s="375"/>
      <c r="DT65" s="376">
        <f>+DT64/DT66</f>
        <v>0.19369834710743802</v>
      </c>
      <c r="DV65" s="375"/>
      <c r="DW65" s="376">
        <f>+DW64/DW66</f>
        <v>0.19369834710743802</v>
      </c>
      <c r="DX65" s="375"/>
      <c r="DY65" s="376">
        <f>+DY64/DY66</f>
        <v>0.18203883495145631</v>
      </c>
      <c r="EA65" s="375"/>
      <c r="EB65" s="376">
        <f>+EB64/EB66</f>
        <v>0.19369834710743802</v>
      </c>
      <c r="ED65" s="375"/>
      <c r="EE65" s="376">
        <f>+EE64/EE66</f>
        <v>0.18203883495145631</v>
      </c>
      <c r="EG65" s="375"/>
      <c r="EH65" s="376">
        <f>+EH64/EH66</f>
        <v>0.18203883495145631</v>
      </c>
      <c r="EJ65" s="375"/>
      <c r="EK65" s="376">
        <f>+EK64/EK66</f>
        <v>0.19369834710743802</v>
      </c>
      <c r="EM65" s="375"/>
      <c r="EN65" s="376">
        <f>+EN64/EN66</f>
        <v>0.18203883495145631</v>
      </c>
      <c r="EP65" s="375"/>
      <c r="EQ65" s="376">
        <f>+EQ64/EQ66</f>
        <v>0.18203883495145631</v>
      </c>
      <c r="ER65" s="375"/>
      <c r="ES65" s="376">
        <f>+ES64/ES66</f>
        <v>0.19369834710743802</v>
      </c>
      <c r="ET65" s="4"/>
      <c r="EU65" s="375"/>
      <c r="EV65" s="376">
        <f>+EV64/EV66</f>
        <v>0.18203883495145631</v>
      </c>
      <c r="EX65" s="375"/>
      <c r="EY65" s="376">
        <f>+EY64/EY66</f>
        <v>0.19369834710743802</v>
      </c>
      <c r="EZ65" s="375"/>
      <c r="FA65" s="376">
        <f>+FA64/FA66</f>
        <v>0.18203883495145631</v>
      </c>
      <c r="FB65" s="375"/>
      <c r="FC65" s="376">
        <f>+FC64/FC66</f>
        <v>0.19369834710743802</v>
      </c>
    </row>
    <row r="66" spans="1:159" s="4" customFormat="1" ht="18" customHeight="1" outlineLevel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3872</v>
      </c>
      <c r="H66" s="42"/>
      <c r="I66" s="88">
        <v>3872</v>
      </c>
      <c r="J66" s="359"/>
      <c r="K66" s="372">
        <v>3872</v>
      </c>
      <c r="L66" s="359"/>
      <c r="M66" s="372">
        <v>3872</v>
      </c>
      <c r="N66" s="359"/>
      <c r="O66" s="372">
        <v>3872</v>
      </c>
      <c r="P66" s="359"/>
      <c r="Q66" s="372">
        <v>3872</v>
      </c>
      <c r="R66" s="630"/>
      <c r="S66" s="42"/>
      <c r="T66" s="88">
        <v>4000</v>
      </c>
      <c r="U66" s="42"/>
      <c r="V66" s="88">
        <v>4000</v>
      </c>
      <c r="W66" s="359"/>
      <c r="X66" s="372">
        <v>3872</v>
      </c>
      <c r="Y66" s="359"/>
      <c r="Z66" s="372">
        <v>3872</v>
      </c>
      <c r="AA66" s="359"/>
      <c r="AB66" s="372">
        <v>3872</v>
      </c>
      <c r="AC66" s="359"/>
      <c r="AD66" s="372">
        <v>3872</v>
      </c>
      <c r="AE66" s="359"/>
      <c r="AF66" s="372" t="e">
        <f>'Pricing Structure - IIP'!#REF!</f>
        <v>#REF!</v>
      </c>
      <c r="AG66" s="630"/>
      <c r="AH66" s="42"/>
      <c r="AI66" s="88">
        <v>3550</v>
      </c>
      <c r="AJ66" s="42"/>
      <c r="AK66" s="88">
        <v>3550</v>
      </c>
      <c r="AL66" s="359"/>
      <c r="AM66" s="372">
        <v>3550</v>
      </c>
      <c r="AN66" s="359"/>
      <c r="AO66" s="372">
        <v>3550</v>
      </c>
      <c r="AP66" s="359"/>
      <c r="AQ66" s="372">
        <v>3550</v>
      </c>
      <c r="AR66" s="359"/>
      <c r="AS66" s="372">
        <v>3550</v>
      </c>
      <c r="AT66" s="359"/>
      <c r="AU66" s="372" t="e">
        <f>'Pricing Structure - IHAG'!#REF!</f>
        <v>#REF!</v>
      </c>
      <c r="AV66" s="632"/>
      <c r="AW66" s="359"/>
      <c r="AX66" s="372">
        <f>AM66</f>
        <v>3550</v>
      </c>
      <c r="AY66" s="270"/>
      <c r="AZ66" s="88">
        <v>3872</v>
      </c>
      <c r="BA66" s="359"/>
      <c r="BB66" s="372">
        <f>AZ66</f>
        <v>3872</v>
      </c>
      <c r="BC66" s="359"/>
      <c r="BD66" s="372">
        <f>AZ66</f>
        <v>3872</v>
      </c>
      <c r="BE66" s="359"/>
      <c r="BF66" s="372">
        <f>BB66</f>
        <v>3872</v>
      </c>
      <c r="BG66" s="359"/>
      <c r="BH66" s="372">
        <f>BB66</f>
        <v>3872</v>
      </c>
      <c r="BI66" s="359"/>
      <c r="BJ66" s="372">
        <f>BF66</f>
        <v>3872</v>
      </c>
      <c r="BK66" s="42"/>
      <c r="BL66" s="88">
        <v>4940</v>
      </c>
      <c r="BM66" s="359"/>
      <c r="BN66" s="372">
        <f>BL66</f>
        <v>4940</v>
      </c>
      <c r="BO66" s="359"/>
      <c r="BP66" s="372">
        <f>BN66</f>
        <v>4940</v>
      </c>
      <c r="BQ66" s="359"/>
      <c r="BR66" s="372">
        <f>BN66</f>
        <v>4940</v>
      </c>
      <c r="BS66" s="42"/>
      <c r="BT66" s="88">
        <v>4800</v>
      </c>
      <c r="BU66" s="359"/>
      <c r="BV66" s="372">
        <f>BT66</f>
        <v>4800</v>
      </c>
      <c r="BW66" s="359"/>
      <c r="BX66" s="372">
        <f>BV66</f>
        <v>4800</v>
      </c>
      <c r="BY66" s="359"/>
      <c r="BZ66" s="372">
        <f>BV66</f>
        <v>4800</v>
      </c>
      <c r="CA66" s="42"/>
      <c r="CB66" s="88">
        <v>2400</v>
      </c>
      <c r="CC66" s="359"/>
      <c r="CD66" s="372">
        <f>CB66</f>
        <v>2400</v>
      </c>
      <c r="CE66" s="359"/>
      <c r="CF66" s="372">
        <f>CD66</f>
        <v>2400</v>
      </c>
      <c r="CG66" s="359"/>
      <c r="CH66" s="372">
        <f>CD66</f>
        <v>2400</v>
      </c>
      <c r="CI66" s="359"/>
      <c r="CJ66" s="372">
        <v>4050</v>
      </c>
      <c r="CK66" s="359"/>
      <c r="CL66" s="372">
        <v>4200</v>
      </c>
      <c r="CM66" s="359"/>
      <c r="CN66" s="372">
        <v>4200</v>
      </c>
      <c r="CO66" s="359"/>
      <c r="CP66" s="372">
        <v>4800</v>
      </c>
      <c r="CR66" s="359"/>
      <c r="CS66" s="372">
        <v>4050</v>
      </c>
      <c r="CT66" s="359"/>
      <c r="CU66" s="372">
        <v>4200</v>
      </c>
      <c r="CV66" s="359"/>
      <c r="CW66" s="372">
        <v>4200</v>
      </c>
      <c r="CX66" s="359"/>
      <c r="CY66" s="372">
        <v>4800</v>
      </c>
      <c r="DA66" s="359"/>
      <c r="DB66" s="372">
        <v>4050</v>
      </c>
      <c r="DC66" s="359"/>
      <c r="DD66" s="372">
        <v>4200</v>
      </c>
      <c r="DE66" s="359"/>
      <c r="DF66" s="372">
        <v>4200</v>
      </c>
      <c r="DH66" s="359"/>
      <c r="DI66" s="372">
        <v>3872</v>
      </c>
      <c r="DJ66" s="359"/>
      <c r="DK66" s="372">
        <v>4120</v>
      </c>
      <c r="DL66" s="359"/>
      <c r="DM66" s="372">
        <v>3872</v>
      </c>
      <c r="DO66" s="359"/>
      <c r="DP66" s="372">
        <v>3872</v>
      </c>
      <c r="DQ66" s="359"/>
      <c r="DR66" s="372">
        <v>4120</v>
      </c>
      <c r="DS66" s="359"/>
      <c r="DT66" s="372">
        <v>3872</v>
      </c>
      <c r="DV66" s="359"/>
      <c r="DW66" s="372">
        <v>3872</v>
      </c>
      <c r="DX66" s="359"/>
      <c r="DY66" s="372">
        <v>4120</v>
      </c>
      <c r="EA66" s="359"/>
      <c r="EB66" s="372">
        <v>3872</v>
      </c>
      <c r="ED66" s="359"/>
      <c r="EE66" s="372">
        <v>4120</v>
      </c>
      <c r="EG66" s="359"/>
      <c r="EH66" s="372">
        <v>4120</v>
      </c>
      <c r="EJ66" s="359"/>
      <c r="EK66" s="372">
        <v>3872</v>
      </c>
      <c r="EM66" s="359"/>
      <c r="EN66" s="372">
        <v>4120</v>
      </c>
      <c r="EP66" s="359"/>
      <c r="EQ66" s="372">
        <v>4120</v>
      </c>
      <c r="ER66" s="359"/>
      <c r="ES66" s="372">
        <v>3872</v>
      </c>
      <c r="EU66" s="359"/>
      <c r="EV66" s="372">
        <v>4120</v>
      </c>
      <c r="EX66" s="359"/>
      <c r="EY66" s="372">
        <v>3872</v>
      </c>
      <c r="EZ66" s="359"/>
      <c r="FA66" s="372">
        <v>4120</v>
      </c>
      <c r="FB66" s="359"/>
      <c r="FC66" s="372">
        <v>3872</v>
      </c>
    </row>
    <row r="67" spans="1:159" s="7" customFormat="1" ht="18" customHeight="1" outlineLevel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f>G60-G65</f>
        <v>5.4398760330578506</v>
      </c>
      <c r="H67" s="81"/>
      <c r="I67" s="82">
        <f>I60-I65</f>
        <v>5.3029958677685949</v>
      </c>
      <c r="J67" s="81"/>
      <c r="K67" s="82">
        <f>'Pricing Structure - GSS'!DE67</f>
        <v>5.7331825803018024</v>
      </c>
      <c r="L67" s="81"/>
      <c r="M67" s="82">
        <f>'Pricing Structure - GSS'!DA67</f>
        <v>5.74</v>
      </c>
      <c r="N67" s="81"/>
      <c r="O67" s="82">
        <f>'Pricing Structure - GSS'!DC67</f>
        <v>5.74</v>
      </c>
      <c r="P67" s="81"/>
      <c r="Q67" s="82">
        <f>'Pricing Structure - GSS'!DK67</f>
        <v>5.74</v>
      </c>
      <c r="R67" s="276"/>
      <c r="S67" s="81"/>
      <c r="T67" s="82">
        <f>T60-T65</f>
        <v>5.4375</v>
      </c>
      <c r="U67" s="81"/>
      <c r="V67" s="82">
        <f>V60-V65</f>
        <v>5.3125</v>
      </c>
      <c r="W67" s="81"/>
      <c r="X67" s="82">
        <f>'Pricing Structure - IIP'!CY67</f>
        <v>5.7281472905877777</v>
      </c>
      <c r="Y67" s="81"/>
      <c r="Z67" s="82">
        <f>'Pricing Structure - IIP'!CU67</f>
        <v>5.74</v>
      </c>
      <c r="AA67" s="81"/>
      <c r="AB67" s="82">
        <f>'Pricing Structure - IIP'!CW67</f>
        <v>5.74</v>
      </c>
      <c r="AC67" s="81"/>
      <c r="AD67" s="82">
        <f>'Pricing Structure - IIP'!DE67</f>
        <v>5.74</v>
      </c>
      <c r="AE67" s="81"/>
      <c r="AF67" s="82" t="e">
        <f>'Pricing Structure - IIP'!#REF!</f>
        <v>#REF!</v>
      </c>
      <c r="AG67" s="276"/>
      <c r="AH67" s="81"/>
      <c r="AI67" s="82">
        <f>AI60-AI65</f>
        <v>5.3971830985915492</v>
      </c>
      <c r="AJ67" s="81"/>
      <c r="AK67" s="82">
        <f>AK60-AK65</f>
        <v>5.2760563380281686</v>
      </c>
      <c r="AL67" s="81"/>
      <c r="AM67" s="82">
        <f>'Pricing Structure - IHAG'!DE67</f>
        <v>5.7048347794898051</v>
      </c>
      <c r="AN67" s="81"/>
      <c r="AO67" s="82">
        <f>'Pricing Structure - IHAG'!DA67</f>
        <v>5.71</v>
      </c>
      <c r="AP67" s="81"/>
      <c r="AQ67" s="82">
        <f>'Pricing Structure - IHAG'!DC67</f>
        <v>5.71</v>
      </c>
      <c r="AR67" s="81"/>
      <c r="AS67" s="82">
        <f>'Pricing Structure - IHAG'!DQ67</f>
        <v>5.71</v>
      </c>
      <c r="AT67" s="81"/>
      <c r="AU67" s="82" t="e">
        <f>'Pricing Structure - IHAG'!#REF!</f>
        <v>#REF!</v>
      </c>
      <c r="AV67" s="276"/>
      <c r="AW67" s="81"/>
      <c r="AX67" s="82">
        <f>5.4+0.26+0.05</f>
        <v>5.71</v>
      </c>
      <c r="AY67" s="276"/>
      <c r="AZ67" s="82">
        <f>AZ60-AZ65</f>
        <v>5.3029958677685949</v>
      </c>
      <c r="BA67" s="81"/>
      <c r="BB67" s="82">
        <v>5.74</v>
      </c>
      <c r="BC67" s="81"/>
      <c r="BD67" s="82">
        <v>5.74</v>
      </c>
      <c r="BE67" s="81"/>
      <c r="BF67" s="82">
        <v>5.74</v>
      </c>
      <c r="BG67" s="81"/>
      <c r="BH67" s="82">
        <f>BF67</f>
        <v>5.74</v>
      </c>
      <c r="BI67" s="81"/>
      <c r="BJ67" s="82">
        <f>Q67</f>
        <v>5.74</v>
      </c>
      <c r="BK67" s="81"/>
      <c r="BL67" s="82">
        <v>4.4800000000000004</v>
      </c>
      <c r="BM67" s="81"/>
      <c r="BN67" s="82">
        <v>4.4800000000000004</v>
      </c>
      <c r="BO67" s="81"/>
      <c r="BP67" s="82">
        <v>4.4800000000000004</v>
      </c>
      <c r="BQ67" s="81"/>
      <c r="BR67" s="82">
        <v>4.8</v>
      </c>
      <c r="BS67" s="81"/>
      <c r="BT67" s="82">
        <v>4.13</v>
      </c>
      <c r="BU67" s="81"/>
      <c r="BV67" s="82">
        <v>4.13</v>
      </c>
      <c r="BW67" s="81"/>
      <c r="BX67" s="82">
        <v>4.13</v>
      </c>
      <c r="BY67" s="81"/>
      <c r="BZ67" s="82">
        <v>4.3</v>
      </c>
      <c r="CA67" s="81"/>
      <c r="CB67" s="82">
        <v>6.05</v>
      </c>
      <c r="CC67" s="81"/>
      <c r="CD67" s="82">
        <v>6.05</v>
      </c>
      <c r="CE67" s="81"/>
      <c r="CF67" s="82">
        <v>6.05</v>
      </c>
      <c r="CG67" s="81"/>
      <c r="CH67" s="82">
        <v>6.05</v>
      </c>
      <c r="CI67" s="81"/>
      <c r="CJ67" s="82">
        <f>5.44+0.31</f>
        <v>5.75</v>
      </c>
      <c r="CK67" s="81"/>
      <c r="CL67" s="82">
        <v>5.75</v>
      </c>
      <c r="CM67" s="81"/>
      <c r="CN67" s="82">
        <v>5.75</v>
      </c>
      <c r="CO67" s="81"/>
      <c r="CP67" s="82">
        <v>4.0999999999999996</v>
      </c>
      <c r="CR67" s="81"/>
      <c r="CS67" s="82">
        <f>5.44+0.31+0.1</f>
        <v>5.85</v>
      </c>
      <c r="CT67" s="81"/>
      <c r="CU67" s="82">
        <f>5.44+0.31+0.1</f>
        <v>5.85</v>
      </c>
      <c r="CV67" s="81"/>
      <c r="CW67" s="82">
        <f>5.44+0.31+0.1</f>
        <v>5.85</v>
      </c>
      <c r="CX67" s="81"/>
      <c r="CY67" s="82">
        <f>4.1+0.15</f>
        <v>4.25</v>
      </c>
      <c r="DA67" s="81"/>
      <c r="DB67" s="82">
        <f>5.44+0.31+0.1</f>
        <v>5.85</v>
      </c>
      <c r="DC67" s="81"/>
      <c r="DD67" s="82">
        <f>5.44+0.31+0.1</f>
        <v>5.85</v>
      </c>
      <c r="DE67" s="81"/>
      <c r="DF67" s="82">
        <f>5.44+0.31+0.1</f>
        <v>5.85</v>
      </c>
      <c r="DH67" s="81"/>
      <c r="DI67" s="82">
        <f>5.44+0.31+0.1</f>
        <v>5.85</v>
      </c>
      <c r="DJ67" s="81"/>
      <c r="DK67" s="82">
        <f>5.44+0.31+0.1</f>
        <v>5.85</v>
      </c>
      <c r="DL67" s="81"/>
      <c r="DM67" s="82">
        <f>5.44+0.31+0.1</f>
        <v>5.85</v>
      </c>
      <c r="DO67" s="81"/>
      <c r="DP67" s="82">
        <f>5.44+0.31+0.1</f>
        <v>5.85</v>
      </c>
      <c r="DQ67" s="81"/>
      <c r="DR67" s="82">
        <f>5.44+0.31+0.1</f>
        <v>5.85</v>
      </c>
      <c r="DS67" s="81"/>
      <c r="DT67" s="82">
        <f>5.44+0.31+0.1</f>
        <v>5.85</v>
      </c>
      <c r="DV67" s="81"/>
      <c r="DW67" s="82">
        <f>5.44+0.31+0.1</f>
        <v>5.85</v>
      </c>
      <c r="DX67" s="81"/>
      <c r="DY67" s="82">
        <f>5.44+0.31+0.1</f>
        <v>5.85</v>
      </c>
      <c r="EA67" s="81"/>
      <c r="EB67" s="82">
        <f>5.44+0.31+0.1</f>
        <v>5.85</v>
      </c>
      <c r="ED67" s="81"/>
      <c r="EE67" s="82">
        <f>5.44+0.31+0.1</f>
        <v>5.85</v>
      </c>
      <c r="EG67" s="81"/>
      <c r="EH67" s="82">
        <f>5.44+0.31+0.1</f>
        <v>5.85</v>
      </c>
      <c r="EJ67" s="81"/>
      <c r="EK67" s="82">
        <f>5.44+0.31+0.1</f>
        <v>5.85</v>
      </c>
      <c r="EM67" s="81"/>
      <c r="EN67" s="82">
        <f>5.44+0.31+0.1</f>
        <v>5.85</v>
      </c>
      <c r="EP67" s="81"/>
      <c r="EQ67" s="82">
        <f>5.44+0.31+0.1</f>
        <v>5.85</v>
      </c>
      <c r="ER67" s="81"/>
      <c r="ES67" s="82">
        <f>5.44+0.31+0.1</f>
        <v>5.85</v>
      </c>
      <c r="ET67" s="4"/>
      <c r="EU67" s="81"/>
      <c r="EV67" s="82">
        <f>5.44+0.31+0.1</f>
        <v>5.85</v>
      </c>
      <c r="EX67" s="81"/>
      <c r="EY67" s="82">
        <f>5.44+0.31+0.1</f>
        <v>5.85</v>
      </c>
      <c r="EZ67" s="81"/>
      <c r="FA67" s="82">
        <f>5.44+0.31+0.1</f>
        <v>5.85</v>
      </c>
      <c r="FB67" s="81"/>
      <c r="FC67" s="82">
        <f>5.44+0.31+0.1</f>
        <v>5.85</v>
      </c>
    </row>
    <row r="68" spans="1:159" s="7" customFormat="1" ht="18" customHeight="1" outlineLevel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4.9398760330578506</v>
      </c>
      <c r="H68" s="81"/>
      <c r="I68" s="82">
        <f>I56-I65</f>
        <v>4.8796553175718369</v>
      </c>
      <c r="J68" s="81"/>
      <c r="K68" s="82">
        <f>K56-K65</f>
        <v>4.9393802345728934</v>
      </c>
      <c r="L68" s="81"/>
      <c r="M68" s="82">
        <f>M56-M65</f>
        <v>4.9400000000000004</v>
      </c>
      <c r="N68" s="81"/>
      <c r="O68" s="82">
        <f>O56-O65</f>
        <v>4.9400000000000004</v>
      </c>
      <c r="P68" s="81"/>
      <c r="Q68" s="82">
        <f>Q56-Q65</f>
        <v>4.9422312500000007</v>
      </c>
      <c r="R68" s="276"/>
      <c r="S68" s="81"/>
      <c r="T68" s="82">
        <f>T56-T65</f>
        <v>4.9375</v>
      </c>
      <c r="U68" s="81"/>
      <c r="V68" s="82">
        <f>V56-V65</f>
        <v>4.9124999999999996</v>
      </c>
      <c r="W68" s="81"/>
      <c r="X68" s="82">
        <f>X56-X65</f>
        <v>4.9391730667851945</v>
      </c>
      <c r="Y68" s="81"/>
      <c r="Z68" s="82">
        <f>Z56-Z65</f>
        <v>4.9400000000000004</v>
      </c>
      <c r="AA68" s="81"/>
      <c r="AB68" s="82">
        <f>AB56-AB65</f>
        <v>4.9400000000000004</v>
      </c>
      <c r="AC68" s="81"/>
      <c r="AD68" s="82">
        <f>AD56-AD65</f>
        <v>4.9400000000000004</v>
      </c>
      <c r="AE68" s="81"/>
      <c r="AF68" s="82" t="e">
        <f>'Pricing Structure - IIP'!#REF!</f>
        <v>#REF!</v>
      </c>
      <c r="AG68" s="276"/>
      <c r="AH68" s="81"/>
      <c r="AI68" s="82">
        <f>AI56-AI65</f>
        <v>4.8971830985915492</v>
      </c>
      <c r="AJ68" s="81"/>
      <c r="AK68" s="82">
        <f>AK56-AK65</f>
        <v>4.8568858552167651</v>
      </c>
      <c r="AL68" s="81"/>
      <c r="AM68" s="82">
        <f>AM56-AM65</f>
        <v>5.057837814670151</v>
      </c>
      <c r="AN68" s="81"/>
      <c r="AO68" s="82">
        <f>AO56-AO65</f>
        <v>5.0599999999999996</v>
      </c>
      <c r="AP68" s="81"/>
      <c r="AQ68" s="82">
        <f>AQ56-AQ65</f>
        <v>5.0599999999999996</v>
      </c>
      <c r="AR68" s="81"/>
      <c r="AS68" s="82">
        <f>AS56-AS65</f>
        <v>5.0622949999999998</v>
      </c>
      <c r="AT68" s="81"/>
      <c r="AU68" s="82" t="e">
        <f>'Pricing Structure - IHAG'!#REF!</f>
        <v>#REF!</v>
      </c>
      <c r="AV68" s="276"/>
      <c r="AW68" s="81"/>
      <c r="AX68" s="82">
        <f>AX56-AX65</f>
        <v>4.9799999999999995</v>
      </c>
      <c r="AY68" s="276"/>
      <c r="AZ68" s="82">
        <f>AZ56-AZ65</f>
        <v>4.9029958677685945</v>
      </c>
      <c r="BA68" s="81"/>
      <c r="BB68" s="82">
        <f>BB56-BB65</f>
        <v>4.9400000000000004</v>
      </c>
      <c r="BC68" s="81"/>
      <c r="BD68" s="82">
        <f>BD56-BD65</f>
        <v>4.9400000000000004</v>
      </c>
      <c r="BE68" s="81"/>
      <c r="BF68" s="82">
        <f>BF56-BF65</f>
        <v>4.9400000000000004</v>
      </c>
      <c r="BG68" s="81"/>
      <c r="BH68" s="82">
        <f>BH56-BH65</f>
        <v>4.9422950000000005</v>
      </c>
      <c r="BI68" s="81"/>
      <c r="BJ68" s="82">
        <f>BJ56-BJ65</f>
        <v>4.9422950000000005</v>
      </c>
      <c r="BK68" s="81"/>
      <c r="BL68" s="82">
        <f>BL56-BL65</f>
        <v>3.4600000000000004</v>
      </c>
      <c r="BM68" s="81"/>
      <c r="BN68" s="82">
        <f>BN56-BN65</f>
        <v>3.4600000000000004</v>
      </c>
      <c r="BO68" s="81"/>
      <c r="BP68" s="82">
        <f>BP56-BP65</f>
        <v>3.4600000000000004</v>
      </c>
      <c r="BQ68" s="81"/>
      <c r="BR68" s="82">
        <f>BR56-BR65</f>
        <v>3.8072337702429149</v>
      </c>
      <c r="BS68" s="81"/>
      <c r="BT68" s="82">
        <f>BT56-BT65</f>
        <v>3.0999999999999996</v>
      </c>
      <c r="BU68" s="81"/>
      <c r="BV68" s="82">
        <f>BV56-BV65</f>
        <v>3.0999999999999996</v>
      </c>
      <c r="BW68" s="81"/>
      <c r="BX68" s="82">
        <f>BX56-BX65</f>
        <v>3.0999999999999996</v>
      </c>
      <c r="BY68" s="81"/>
      <c r="BZ68" s="82">
        <f>BZ56-BZ65</f>
        <v>3.4022524999999999</v>
      </c>
      <c r="CA68" s="81"/>
      <c r="CB68" s="82">
        <f>CB56-CB65</f>
        <v>4.25</v>
      </c>
      <c r="CC68" s="81"/>
      <c r="CD68" s="82">
        <f>CD56-CD65</f>
        <v>4.25</v>
      </c>
      <c r="CE68" s="81"/>
      <c r="CF68" s="82">
        <f>CF56-CF65</f>
        <v>4.25</v>
      </c>
      <c r="CG68" s="81"/>
      <c r="CH68" s="82">
        <f>CH56-CH65</f>
        <v>4.60201875</v>
      </c>
      <c r="CI68" s="81"/>
      <c r="CJ68" s="82">
        <f>CJ60-CJ57</f>
        <v>6.05</v>
      </c>
      <c r="CK68" s="81"/>
      <c r="CL68" s="82">
        <f>CL60-CL57</f>
        <v>6.05</v>
      </c>
      <c r="CM68" s="81"/>
      <c r="CN68" s="82">
        <f>CN60-CN57</f>
        <v>6.05</v>
      </c>
      <c r="CO68" s="81"/>
      <c r="CP68" s="82">
        <f>CP60-CP57</f>
        <v>3.0513089999999998</v>
      </c>
      <c r="CR68" s="81"/>
      <c r="CS68" s="82">
        <f>CS60-CS57</f>
        <v>6.05</v>
      </c>
      <c r="CT68" s="81"/>
      <c r="CU68" s="82">
        <f>CU60-CU57</f>
        <v>6.0428571428571427</v>
      </c>
      <c r="CV68" s="81"/>
      <c r="CW68" s="82">
        <f>CW60-CW57</f>
        <v>6.0428571428571427</v>
      </c>
      <c r="CX68" s="81"/>
      <c r="CY68" s="82">
        <f>CY60-CY57</f>
        <v>3.0499787500000006</v>
      </c>
      <c r="DA68" s="81"/>
      <c r="DB68" s="82">
        <f>DB60-DB57</f>
        <v>6.05</v>
      </c>
      <c r="DC68" s="81"/>
      <c r="DD68" s="82">
        <f>DD60-DD57</f>
        <v>6.0428571428571427</v>
      </c>
      <c r="DE68" s="81"/>
      <c r="DF68" s="82">
        <f>DF60-DF57</f>
        <v>6.0428571428571427</v>
      </c>
      <c r="DH68" s="81"/>
      <c r="DI68" s="82">
        <f>DI60-DI57</f>
        <v>5.2481731619222538</v>
      </c>
      <c r="DJ68" s="81"/>
      <c r="DK68" s="82">
        <f>DK60-DK57</f>
        <v>5.2459845492371704</v>
      </c>
      <c r="DL68" s="81"/>
      <c r="DM68" s="82">
        <f>DM60-DM57</f>
        <v>5.2481731619222538</v>
      </c>
      <c r="DO68" s="81"/>
      <c r="DP68" s="82">
        <f>DP60-DP57</f>
        <v>5.2481731619222538</v>
      </c>
      <c r="DQ68" s="81"/>
      <c r="DR68" s="82">
        <f>DR60-DR57</f>
        <v>5.2459845492371704</v>
      </c>
      <c r="DS68" s="81"/>
      <c r="DT68" s="82">
        <f>DT60-DT57</f>
        <v>5.2481731619222538</v>
      </c>
      <c r="DV68" s="81"/>
      <c r="DW68" s="82">
        <f>DW60-DW57</f>
        <v>5.2481731619222538</v>
      </c>
      <c r="DX68" s="81"/>
      <c r="DY68" s="82">
        <f>DY60-DY57</f>
        <v>5.2459845492371704</v>
      </c>
      <c r="EA68" s="81"/>
      <c r="EB68" s="82">
        <f>EB60-EB57</f>
        <v>5.2481731619222538</v>
      </c>
      <c r="ED68" s="81"/>
      <c r="EE68" s="82">
        <f>EE60-EE57</f>
        <v>5.2459845492371704</v>
      </c>
      <c r="EG68" s="81"/>
      <c r="EH68" s="82">
        <f>EH60-EH57</f>
        <v>5.2459845492371704</v>
      </c>
      <c r="EJ68" s="81"/>
      <c r="EK68" s="82">
        <f>EK60-EK57</f>
        <v>5.2481731619222538</v>
      </c>
      <c r="EM68" s="81"/>
      <c r="EN68" s="82">
        <f>EN60-EN57</f>
        <v>5.2459845492371704</v>
      </c>
      <c r="EP68" s="81"/>
      <c r="EQ68" s="82">
        <f>EQ60-EQ57</f>
        <v>5.2459845492371704</v>
      </c>
      <c r="ER68" s="81"/>
      <c r="ES68" s="82">
        <f>ES60-ES57</f>
        <v>5.2481731619222538</v>
      </c>
      <c r="ET68" s="4"/>
      <c r="EU68" s="81"/>
      <c r="EV68" s="82">
        <f>EV60-EV57</f>
        <v>5.2459845492371704</v>
      </c>
      <c r="EX68" s="81"/>
      <c r="EY68" s="82">
        <f>EY60-EY57</f>
        <v>5.2481731619222538</v>
      </c>
      <c r="EZ68" s="81"/>
      <c r="FA68" s="82">
        <f>FA60-FA57</f>
        <v>5.2459845492371704</v>
      </c>
      <c r="FB68" s="81"/>
      <c r="FC68" s="82">
        <f>FC60-FC57</f>
        <v>5.2481731619222538</v>
      </c>
    </row>
    <row r="69" spans="1:159" s="103" customFormat="1" ht="18" customHeight="1" outlineLevel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0.13599690082644628</v>
      </c>
      <c r="H69" s="101"/>
      <c r="I69" s="102">
        <f>+I67/I10</f>
        <v>0.13257489669421488</v>
      </c>
      <c r="J69" s="101"/>
      <c r="K69" s="82">
        <f>+K67/K10</f>
        <v>0.14332956450754505</v>
      </c>
      <c r="L69" s="101"/>
      <c r="M69" s="82">
        <f>+M67/M10</f>
        <v>0.14350000000000002</v>
      </c>
      <c r="N69" s="101"/>
      <c r="O69" s="82">
        <f>+O67/O10</f>
        <v>0.14350000000000002</v>
      </c>
      <c r="P69" s="101"/>
      <c r="Q69" s="82">
        <f>+Q67/Q10</f>
        <v>0.14350000000000002</v>
      </c>
      <c r="R69" s="276"/>
      <c r="S69" s="101"/>
      <c r="T69" s="102">
        <f>+T67/T10</f>
        <v>0.13593749999999999</v>
      </c>
      <c r="U69" s="101"/>
      <c r="V69" s="102">
        <f>+V67/V10</f>
        <v>0.1328125</v>
      </c>
      <c r="W69" s="101"/>
      <c r="X69" s="82">
        <f>+X67/X10</f>
        <v>0.14320368226469443</v>
      </c>
      <c r="Y69" s="101"/>
      <c r="Z69" s="82">
        <f>+Z67/Z10</f>
        <v>0.14350000000000002</v>
      </c>
      <c r="AA69" s="101"/>
      <c r="AB69" s="82">
        <f>+AB67/AB10</f>
        <v>0.14350000000000002</v>
      </c>
      <c r="AC69" s="101"/>
      <c r="AD69" s="82">
        <f>+AD67/AD10</f>
        <v>0.14350000000000002</v>
      </c>
      <c r="AE69" s="101"/>
      <c r="AF69" s="82" t="e">
        <f>'Pricing Structure - IIP'!#REF!</f>
        <v>#REF!</v>
      </c>
      <c r="AG69" s="276"/>
      <c r="AH69" s="101"/>
      <c r="AI69" s="102">
        <f>+AI67/AI10</f>
        <v>0.13492957746478873</v>
      </c>
      <c r="AJ69" s="101"/>
      <c r="AK69" s="102">
        <f>+AK67/AK10</f>
        <v>0.13190140845070422</v>
      </c>
      <c r="AL69" s="101"/>
      <c r="AM69" s="82">
        <f>+AM67/AM10</f>
        <v>0.14262086948724512</v>
      </c>
      <c r="AN69" s="101"/>
      <c r="AO69" s="82">
        <f>+AO67/AO10</f>
        <v>0.14274999999999999</v>
      </c>
      <c r="AP69" s="101"/>
      <c r="AQ69" s="82">
        <f>+AQ67/AQ10</f>
        <v>0.14274999999999999</v>
      </c>
      <c r="AR69" s="101"/>
      <c r="AS69" s="82">
        <f>+AS67/AS10</f>
        <v>0.14274999999999999</v>
      </c>
      <c r="AT69" s="101"/>
      <c r="AU69" s="82" t="e">
        <f>'Pricing Structure - IHAG'!#REF!</f>
        <v>#REF!</v>
      </c>
      <c r="AV69" s="99"/>
      <c r="AW69" s="101"/>
      <c r="AX69" s="102">
        <f>+AX67/AX10</f>
        <v>0.14274999999999999</v>
      </c>
      <c r="AY69" s="99"/>
      <c r="AZ69" s="102">
        <f>+AZ67/AZ10</f>
        <v>0.13257489669421488</v>
      </c>
      <c r="BA69" s="101"/>
      <c r="BB69" s="102">
        <f>+BB67/BB10</f>
        <v>0.14350000000000002</v>
      </c>
      <c r="BC69" s="101"/>
      <c r="BD69" s="102">
        <f>+BD67/BD10</f>
        <v>0.14350000000000002</v>
      </c>
      <c r="BE69" s="101"/>
      <c r="BF69" s="102">
        <f>+BF67/BF10</f>
        <v>0.14350000000000002</v>
      </c>
      <c r="BG69" s="101"/>
      <c r="BH69" s="82">
        <f>+BH67/BH10</f>
        <v>0.14350000000000002</v>
      </c>
      <c r="BI69" s="101"/>
      <c r="BJ69" s="82">
        <f>+BJ67/BJ10</f>
        <v>0.14350000000000002</v>
      </c>
      <c r="BK69" s="101"/>
      <c r="BL69" s="102">
        <f>+BL67/BL10</f>
        <v>0.37333333333333335</v>
      </c>
      <c r="BM69" s="101"/>
      <c r="BN69" s="102">
        <f>+BN67/BN10</f>
        <v>0.37333333333333335</v>
      </c>
      <c r="BO69" s="101"/>
      <c r="BP69" s="102">
        <f>+BP67/BP10</f>
        <v>0.37333333333333335</v>
      </c>
      <c r="BQ69" s="101"/>
      <c r="BR69" s="82">
        <f>+BR67/BR10</f>
        <v>0.39999999999999997</v>
      </c>
      <c r="BS69" s="101"/>
      <c r="BT69" s="102">
        <f>+BT67/BT10</f>
        <v>0.34416666666666668</v>
      </c>
      <c r="BU69" s="101"/>
      <c r="BV69" s="102">
        <f>+BV67/BV10</f>
        <v>0.34416666666666668</v>
      </c>
      <c r="BW69" s="101"/>
      <c r="BX69" s="102">
        <f>+BX67/BX10</f>
        <v>0.34416666666666668</v>
      </c>
      <c r="BY69" s="101"/>
      <c r="BZ69" s="82">
        <f>+BZ67/BZ10</f>
        <v>0.35833333333333334</v>
      </c>
      <c r="CA69" s="101"/>
      <c r="CB69" s="102">
        <f>+CB67/CB10</f>
        <v>0.25208333333333333</v>
      </c>
      <c r="CC69" s="101"/>
      <c r="CD69" s="102">
        <f>+CD67/CD10</f>
        <v>0.25208333333333333</v>
      </c>
      <c r="CE69" s="101"/>
      <c r="CF69" s="102">
        <f>+CF67/CF10</f>
        <v>0.25208333333333333</v>
      </c>
      <c r="CG69" s="101"/>
      <c r="CH69" s="82">
        <f>+CH67/CH10</f>
        <v>0.25208333333333333</v>
      </c>
      <c r="CI69" s="101"/>
      <c r="CJ69" s="102">
        <f>+CJ67/CJ10</f>
        <v>0.14374999999999999</v>
      </c>
      <c r="CK69" s="101"/>
      <c r="CL69" s="102">
        <f>+CL67/CL10</f>
        <v>0.14374999999999999</v>
      </c>
      <c r="CM69" s="101"/>
      <c r="CN69" s="102">
        <f>+CN67/CN10</f>
        <v>0.14374999999999999</v>
      </c>
      <c r="CO69" s="101"/>
      <c r="CP69" s="102">
        <f>+CP67/CP10</f>
        <v>0.34166666666666662</v>
      </c>
      <c r="CR69" s="101"/>
      <c r="CS69" s="102">
        <f>+CS67/CS10</f>
        <v>0.14624999999999999</v>
      </c>
      <c r="CT69" s="101"/>
      <c r="CU69" s="102">
        <f>+CU67/CU10</f>
        <v>0.14624999999999999</v>
      </c>
      <c r="CV69" s="101"/>
      <c r="CW69" s="102">
        <f>+CW67/CW10</f>
        <v>0.14624999999999999</v>
      </c>
      <c r="CX69" s="101"/>
      <c r="CY69" s="102">
        <f>+CY67/CY10</f>
        <v>0.35416666666666669</v>
      </c>
      <c r="DA69" s="101"/>
      <c r="DB69" s="102">
        <f>+DB67/DB10</f>
        <v>0.14624999999999999</v>
      </c>
      <c r="DC69" s="101"/>
      <c r="DD69" s="102">
        <f>+DD67/DD10</f>
        <v>0.14624999999999999</v>
      </c>
      <c r="DE69" s="101"/>
      <c r="DF69" s="102">
        <f>+DF67/DF10</f>
        <v>0.14624999999999999</v>
      </c>
      <c r="DH69" s="101"/>
      <c r="DI69" s="102">
        <f>+DI67/DI10</f>
        <v>0.14624999999999999</v>
      </c>
      <c r="DJ69" s="101"/>
      <c r="DK69" s="102">
        <f>+DK67/DK10</f>
        <v>0.14624999999999999</v>
      </c>
      <c r="DL69" s="101"/>
      <c r="DM69" s="102">
        <f>+DM67/DM10</f>
        <v>0.14624999999999999</v>
      </c>
      <c r="DO69" s="101"/>
      <c r="DP69" s="102">
        <f>+DP67/DP10</f>
        <v>0.14624999999999999</v>
      </c>
      <c r="DQ69" s="101"/>
      <c r="DR69" s="102">
        <f>+DR67/DR10</f>
        <v>0.14624999999999999</v>
      </c>
      <c r="DS69" s="101"/>
      <c r="DT69" s="102">
        <f>+DT67/DT10</f>
        <v>0.14624999999999999</v>
      </c>
      <c r="DV69" s="101"/>
      <c r="DW69" s="102">
        <f>+DW67/DW10</f>
        <v>0.14624999999999999</v>
      </c>
      <c r="DX69" s="101"/>
      <c r="DY69" s="102">
        <f>+DY67/DY10</f>
        <v>0.14624999999999999</v>
      </c>
      <c r="EA69" s="101"/>
      <c r="EB69" s="102">
        <f>+EB67/EB10</f>
        <v>0.14624999999999999</v>
      </c>
      <c r="ED69" s="101"/>
      <c r="EE69" s="102">
        <f>+EE67/EE10</f>
        <v>0.14624999999999999</v>
      </c>
      <c r="EG69" s="101"/>
      <c r="EH69" s="102">
        <f>+EH67/EH10</f>
        <v>0.14624999999999999</v>
      </c>
      <c r="EJ69" s="101"/>
      <c r="EK69" s="102">
        <f>+EK67/EK10</f>
        <v>0.14624999999999999</v>
      </c>
      <c r="EM69" s="101"/>
      <c r="EN69" s="102">
        <f>+EN67/EN10</f>
        <v>0.14624999999999999</v>
      </c>
      <c r="EP69" s="101"/>
      <c r="EQ69" s="102">
        <f>+EQ67/EQ10</f>
        <v>0.14624999999999999</v>
      </c>
      <c r="ER69" s="101"/>
      <c r="ES69" s="102">
        <f>+ES67/ES10</f>
        <v>0.14624999999999999</v>
      </c>
      <c r="ET69" s="4"/>
      <c r="EU69" s="101"/>
      <c r="EV69" s="102">
        <f>+EV67/EV10</f>
        <v>0.14624999999999999</v>
      </c>
      <c r="EX69" s="101"/>
      <c r="EY69" s="102">
        <f>+EY67/EY10</f>
        <v>0.14624999999999999</v>
      </c>
      <c r="EZ69" s="101"/>
      <c r="FA69" s="102">
        <f>+FA67/FA10</f>
        <v>0.14624999999999999</v>
      </c>
      <c r="FB69" s="101"/>
      <c r="FC69" s="102">
        <f>+FC67/FC10</f>
        <v>0.14624999999999999</v>
      </c>
    </row>
    <row r="70" spans="1:159" s="4" customFormat="1" ht="18" customHeight="1" outlineLevel="1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377"/>
      <c r="K70" s="595"/>
      <c r="L70" s="377"/>
      <c r="M70" s="595"/>
      <c r="N70" s="377"/>
      <c r="O70" s="595"/>
      <c r="P70" s="377"/>
      <c r="Q70" s="595"/>
      <c r="R70" s="641"/>
      <c r="S70" s="106"/>
      <c r="T70" s="107"/>
      <c r="U70" s="106"/>
      <c r="V70" s="107"/>
      <c r="W70" s="377"/>
      <c r="X70" s="595"/>
      <c r="Y70" s="377"/>
      <c r="Z70" s="595"/>
      <c r="AA70" s="377"/>
      <c r="AB70" s="595"/>
      <c r="AC70" s="377"/>
      <c r="AD70" s="595"/>
      <c r="AE70" s="377"/>
      <c r="AF70" s="378"/>
      <c r="AG70" s="641"/>
      <c r="AH70" s="106"/>
      <c r="AI70" s="107"/>
      <c r="AJ70" s="106"/>
      <c r="AK70" s="107"/>
      <c r="AL70" s="377"/>
      <c r="AM70" s="595"/>
      <c r="AN70" s="377"/>
      <c r="AO70" s="595"/>
      <c r="AP70" s="377"/>
      <c r="AQ70" s="595"/>
      <c r="AR70" s="377"/>
      <c r="AS70" s="595"/>
      <c r="AT70" s="377"/>
      <c r="AU70" s="378"/>
      <c r="AV70" s="670"/>
      <c r="AW70" s="377"/>
      <c r="AX70" s="378"/>
      <c r="AY70" s="280"/>
      <c r="AZ70" s="107"/>
      <c r="BA70" s="377"/>
      <c r="BB70" s="378"/>
      <c r="BC70" s="377"/>
      <c r="BD70" s="378"/>
      <c r="BE70" s="377"/>
      <c r="BF70" s="378"/>
      <c r="BG70" s="377"/>
      <c r="BH70" s="378"/>
      <c r="BI70" s="377"/>
      <c r="BJ70" s="378"/>
      <c r="BK70" s="106"/>
      <c r="BL70" s="107"/>
      <c r="BM70" s="377"/>
      <c r="BN70" s="378"/>
      <c r="BO70" s="377"/>
      <c r="BP70" s="378"/>
      <c r="BQ70" s="377"/>
      <c r="BR70" s="378"/>
      <c r="BS70" s="106"/>
      <c r="BT70" s="107"/>
      <c r="BU70" s="377"/>
      <c r="BV70" s="378"/>
      <c r="BW70" s="377"/>
      <c r="BX70" s="378"/>
      <c r="BY70" s="377"/>
      <c r="BZ70" s="378"/>
      <c r="CA70" s="106"/>
      <c r="CB70" s="107"/>
      <c r="CC70" s="377"/>
      <c r="CD70" s="378"/>
      <c r="CE70" s="377"/>
      <c r="CF70" s="378"/>
      <c r="CG70" s="377"/>
      <c r="CH70" s="378"/>
      <c r="CI70" s="377"/>
      <c r="CJ70" s="378"/>
      <c r="CK70" s="377"/>
      <c r="CL70" s="378"/>
      <c r="CM70" s="377"/>
      <c r="CN70" s="378"/>
      <c r="CO70" s="377"/>
      <c r="CP70" s="378"/>
      <c r="CR70" s="377"/>
      <c r="CS70" s="378"/>
      <c r="CT70" s="377"/>
      <c r="CU70" s="378"/>
      <c r="CV70" s="377"/>
      <c r="CW70" s="378"/>
      <c r="CX70" s="377"/>
      <c r="CY70" s="378"/>
      <c r="DA70" s="377"/>
      <c r="DB70" s="378"/>
      <c r="DC70" s="377"/>
      <c r="DD70" s="378"/>
      <c r="DE70" s="377"/>
      <c r="DF70" s="378"/>
      <c r="DH70" s="377"/>
      <c r="DI70" s="378"/>
      <c r="DJ70" s="377"/>
      <c r="DK70" s="378"/>
      <c r="DL70" s="377"/>
      <c r="DM70" s="378"/>
      <c r="DO70" s="377"/>
      <c r="DP70" s="378"/>
      <c r="DQ70" s="377"/>
      <c r="DR70" s="378"/>
      <c r="DS70" s="377"/>
      <c r="DT70" s="378"/>
      <c r="DV70" s="377"/>
      <c r="DW70" s="378"/>
      <c r="DX70" s="377"/>
      <c r="DY70" s="378"/>
      <c r="EA70" s="377"/>
      <c r="EB70" s="378"/>
      <c r="ED70" s="377"/>
      <c r="EE70" s="378"/>
      <c r="EG70" s="377"/>
      <c r="EH70" s="378"/>
      <c r="EJ70" s="377"/>
      <c r="EK70" s="378"/>
      <c r="EM70" s="377"/>
      <c r="EN70" s="378"/>
      <c r="EP70" s="377"/>
      <c r="EQ70" s="378"/>
      <c r="ER70" s="377"/>
      <c r="ES70" s="378"/>
      <c r="EU70" s="377"/>
      <c r="EV70" s="378"/>
      <c r="EX70" s="377"/>
      <c r="EY70" s="378"/>
      <c r="EZ70" s="377"/>
      <c r="FA70" s="378"/>
      <c r="FB70" s="377"/>
      <c r="FC70" s="378"/>
    </row>
    <row r="71" spans="1:159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3.4110736915610955</v>
      </c>
      <c r="H71" s="111"/>
      <c r="I71" s="112">
        <f>I74+I72</f>
        <v>3.6502966871344831</v>
      </c>
      <c r="J71" s="111"/>
      <c r="K71" s="112">
        <f>K74+K72</f>
        <v>4.0009668268821121</v>
      </c>
      <c r="L71" s="111"/>
      <c r="M71" s="112">
        <f>M74+M72</f>
        <v>3.9443322562190004</v>
      </c>
      <c r="N71" s="111"/>
      <c r="O71" s="112">
        <f>O74+O72</f>
        <v>3.8613079483713606</v>
      </c>
      <c r="P71" s="111"/>
      <c r="Q71" s="112">
        <f>Q74+Q72</f>
        <v>3.7643382514016634</v>
      </c>
      <c r="R71" s="642"/>
      <c r="S71" s="111"/>
      <c r="T71" s="112">
        <f>T74+T72</f>
        <v>3.8123467764639685</v>
      </c>
      <c r="U71" s="111"/>
      <c r="V71" s="112">
        <f>V74+V72</f>
        <v>4.0928084468176751</v>
      </c>
      <c r="W71" s="111"/>
      <c r="X71" s="112">
        <f>X74+X72</f>
        <v>4.390053836584209</v>
      </c>
      <c r="Y71" s="111"/>
      <c r="Z71" s="112">
        <f>Z74+Z72</f>
        <v>4.2920547375775451</v>
      </c>
      <c r="AA71" s="111"/>
      <c r="AB71" s="112">
        <f>AB74+AB72</f>
        <v>4.2535090432125564</v>
      </c>
      <c r="AC71" s="111"/>
      <c r="AD71" s="112">
        <f>AD74+AD72</f>
        <v>4.3868423765458893</v>
      </c>
      <c r="AE71" s="111"/>
      <c r="AF71" s="112" t="e">
        <f>'Pricing Structure - IIP'!#REF!</f>
        <v>#REF!</v>
      </c>
      <c r="AG71" s="642"/>
      <c r="AH71" s="111"/>
      <c r="AI71" s="112">
        <f>AI74+AI72</f>
        <v>4.550317616534282</v>
      </c>
      <c r="AJ71" s="111"/>
      <c r="AK71" s="112">
        <f>AK74+AK72</f>
        <v>4.7696056147048242</v>
      </c>
      <c r="AL71" s="111"/>
      <c r="AM71" s="112">
        <f>AM74+AM72</f>
        <v>5.1845479124583376</v>
      </c>
      <c r="AN71" s="111"/>
      <c r="AO71" s="112">
        <f>AO74+AO72</f>
        <v>5.189932202102967</v>
      </c>
      <c r="AP71" s="111"/>
      <c r="AQ71" s="112">
        <f>AQ74+AQ72</f>
        <v>4.6577394484150352</v>
      </c>
      <c r="AR71" s="111"/>
      <c r="AS71" s="112">
        <f>AS74+AS72</f>
        <v>4.9863455787624282</v>
      </c>
      <c r="AT71" s="111"/>
      <c r="AU71" s="112" t="e">
        <f>'Pricing Structure - IHAG'!#REF!</f>
        <v>#REF!</v>
      </c>
      <c r="AV71" s="642"/>
      <c r="AW71" s="111"/>
      <c r="AX71" s="112">
        <f>AX74+AX72</f>
        <v>5.2019624068632728</v>
      </c>
      <c r="AY71" s="293"/>
      <c r="AZ71" s="112">
        <f>AZ74+AZ72</f>
        <v>3.7939633365116694</v>
      </c>
      <c r="BA71" s="111"/>
      <c r="BB71" s="112">
        <f>BB74+BB72</f>
        <v>3.9970246131009284</v>
      </c>
      <c r="BC71" s="111"/>
      <c r="BD71" s="112">
        <f>BD74+BD72</f>
        <v>3.9447232352444064</v>
      </c>
      <c r="BE71" s="111"/>
      <c r="BF71" s="112">
        <f>BF74+BF72</f>
        <v>3.9940754650487853</v>
      </c>
      <c r="BG71" s="111"/>
      <c r="BH71" s="112">
        <f>BH74+BH72</f>
        <v>4.1692330243466609</v>
      </c>
      <c r="BI71" s="111"/>
      <c r="BJ71" s="112">
        <f>BJ74+BJ72</f>
        <v>4.304368159481796</v>
      </c>
      <c r="BK71" s="111"/>
      <c r="BL71" s="112">
        <f>BL74+BL72</f>
        <v>2.5999007767314506</v>
      </c>
      <c r="BM71" s="111"/>
      <c r="BN71" s="112">
        <f>BN74+BN72</f>
        <v>2.666536457503268</v>
      </c>
      <c r="BO71" s="111"/>
      <c r="BP71" s="112">
        <f>BP74+BP72</f>
        <v>2.7529337737620287</v>
      </c>
      <c r="BQ71" s="111"/>
      <c r="BR71" s="112">
        <f>BR74+BR72</f>
        <v>2.8745553953836502</v>
      </c>
      <c r="BS71" s="111"/>
      <c r="BT71" s="112">
        <f>BT74+BT72</f>
        <v>2.8411058881708757</v>
      </c>
      <c r="BU71" s="111"/>
      <c r="BV71" s="112">
        <f>BV74+BV72</f>
        <v>2.8872021597828121</v>
      </c>
      <c r="BW71" s="111"/>
      <c r="BX71" s="112">
        <f>BX74+BX72</f>
        <v>2.9573102562638884</v>
      </c>
      <c r="BY71" s="111"/>
      <c r="BZ71" s="112">
        <f>BZ74+BZ72</f>
        <v>3.0383913373449696</v>
      </c>
      <c r="CA71" s="111"/>
      <c r="CB71" s="112">
        <f>CB74+CB72</f>
        <v>4.322112615586164</v>
      </c>
      <c r="CC71" s="111"/>
      <c r="CD71" s="112">
        <f>CD74+CD72</f>
        <v>4.0235869364378276</v>
      </c>
      <c r="CE71" s="111"/>
      <c r="CF71" s="112">
        <f>CF74+CF72</f>
        <v>4.1367053578355284</v>
      </c>
      <c r="CG71" s="111"/>
      <c r="CH71" s="112">
        <f>CH74+CH72</f>
        <v>4.2988675199976898</v>
      </c>
      <c r="CI71" s="111"/>
      <c r="CJ71" s="112">
        <f>CJ74+CJ72</f>
        <v>3.2393634817541961</v>
      </c>
      <c r="CK71" s="111"/>
      <c r="CL71" s="112">
        <f>CL74+CL72</f>
        <v>0.10280803277843946</v>
      </c>
      <c r="CM71" s="111"/>
      <c r="CN71" s="112">
        <f>CN74+CN72</f>
        <v>2.6093634817541962</v>
      </c>
      <c r="CO71" s="111"/>
      <c r="CP71" s="112">
        <f>CP74+CP72</f>
        <v>2.3031250000000001</v>
      </c>
      <c r="CR71" s="111"/>
      <c r="CS71" s="112">
        <f>CS74+CS72</f>
        <v>3.260017566433453</v>
      </c>
      <c r="CT71" s="111"/>
      <c r="CU71" s="112">
        <f>CU74+CU72</f>
        <v>2.7994524825192872</v>
      </c>
      <c r="CV71" s="111"/>
      <c r="CW71" s="112">
        <f>CW74+CW72</f>
        <v>2.6200175664334528</v>
      </c>
      <c r="CX71" s="111"/>
      <c r="CY71" s="112">
        <f>CY74+CY72</f>
        <v>2.3210088780020914</v>
      </c>
      <c r="DA71" s="111"/>
      <c r="DB71" s="112">
        <f>DB74+DB72</f>
        <v>3.204777403276946</v>
      </c>
      <c r="DC71" s="111"/>
      <c r="DD71" s="112">
        <f>DD74+DD72</f>
        <v>2.9933870906950464</v>
      </c>
      <c r="DE71" s="111"/>
      <c r="DF71" s="112">
        <f>DF74+DF72</f>
        <v>2.5802422732981762</v>
      </c>
      <c r="DH71" s="111"/>
      <c r="DI71" s="112">
        <f>DI74+DI72</f>
        <v>3.3075952890687841</v>
      </c>
      <c r="DJ71" s="111"/>
      <c r="DK71" s="112">
        <f>DK74+DK72</f>
        <v>2.9944134125445889</v>
      </c>
      <c r="DL71" s="111"/>
      <c r="DM71" s="112">
        <f>DM74+DM72</f>
        <v>2.6247561156635717</v>
      </c>
      <c r="DO71" s="111"/>
      <c r="DP71" s="112">
        <f>DP74+DP72</f>
        <v>3.3908426918077401</v>
      </c>
      <c r="DQ71" s="111"/>
      <c r="DR71" s="112">
        <f>DR74+DR72</f>
        <v>2.9959633847572338</v>
      </c>
      <c r="DS71" s="111"/>
      <c r="DT71" s="112">
        <f>DT74+DT72</f>
        <v>2.7666786258246816</v>
      </c>
      <c r="DV71" s="111"/>
      <c r="DW71" s="112">
        <f>DW74+DW72</f>
        <v>3.3889322630005601</v>
      </c>
      <c r="DX71" s="111"/>
      <c r="DY71" s="112">
        <f>DY74+DY72</f>
        <v>3.5134265051418612</v>
      </c>
      <c r="EA71" s="111"/>
      <c r="EB71" s="112">
        <f>EB74+EB72</f>
        <v>3.3591238021195773</v>
      </c>
      <c r="ED71" s="111"/>
      <c r="EE71" s="112">
        <f>EE74+EE72</f>
        <v>3.1202053482853933</v>
      </c>
      <c r="EG71" s="111"/>
      <c r="EH71" s="112">
        <f>EH74+EH72</f>
        <v>3.1534705884383878</v>
      </c>
      <c r="EJ71" s="111"/>
      <c r="EK71" s="112">
        <f>EK74+EK72</f>
        <v>3.4090588456350299</v>
      </c>
      <c r="EM71" s="111"/>
      <c r="EN71" s="112">
        <f>EN74+EN72</f>
        <v>3.2127367201839507</v>
      </c>
      <c r="EP71" s="111"/>
      <c r="EQ71" s="112">
        <f>EQ74+EQ72</f>
        <v>2.9023883327827056</v>
      </c>
      <c r="ER71" s="111"/>
      <c r="ES71" s="112">
        <f>ES74+ES72</f>
        <v>3.3412240230611001</v>
      </c>
      <c r="EU71" s="111"/>
      <c r="EV71" s="112">
        <f>EV74+EV72</f>
        <v>3.2326611227722006</v>
      </c>
      <c r="EX71" s="111"/>
      <c r="EY71" s="112">
        <f>EY74+EY72</f>
        <v>3.3842295934022553</v>
      </c>
      <c r="EZ71" s="111"/>
      <c r="FA71" s="112">
        <f>FA74+FA72</f>
        <v>3.2448747546925776</v>
      </c>
      <c r="FB71" s="111"/>
      <c r="FC71" s="112">
        <f>FC74+FC72</f>
        <v>2.8010037869506421</v>
      </c>
    </row>
    <row r="72" spans="1:159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f>G115</f>
        <v>0.11589149097772992</v>
      </c>
      <c r="H72" s="116"/>
      <c r="I72" s="117">
        <f>I115</f>
        <v>0.11746356714276762</v>
      </c>
      <c r="J72" s="116"/>
      <c r="K72" s="596">
        <f>'Pricing Structure - GSS'!DE72</f>
        <v>0.13716873544496627</v>
      </c>
      <c r="L72" s="116"/>
      <c r="M72" s="596">
        <f>'Pricing Structure - GSS'!DA72</f>
        <v>0.12797461503802723</v>
      </c>
      <c r="N72" s="116"/>
      <c r="O72" s="596">
        <f>'Pricing Structure - GSS'!DC72</f>
        <v>0.12797461503802723</v>
      </c>
      <c r="P72" s="116"/>
      <c r="Q72" s="596">
        <f>'Pricing Structure - GSS'!DK72</f>
        <v>0.12797461503802723</v>
      </c>
      <c r="R72" s="643"/>
      <c r="S72" s="116"/>
      <c r="T72" s="117">
        <f>T115</f>
        <v>0.11234677646396847</v>
      </c>
      <c r="U72" s="116"/>
      <c r="V72" s="117">
        <f>V115</f>
        <v>0.11387218896785366</v>
      </c>
      <c r="W72" s="116"/>
      <c r="X72" s="596">
        <f>'Pricing Structure - IIP'!CY72</f>
        <v>0.10059002119906213</v>
      </c>
      <c r="Y72" s="116"/>
      <c r="Z72" s="596">
        <f>'Pricing Structure - IIP'!CU72</f>
        <v>0.12017570987922277</v>
      </c>
      <c r="AA72" s="116"/>
      <c r="AB72" s="596">
        <f>'Pricing Structure - IIP'!CW72</f>
        <v>0.12017570987922277</v>
      </c>
      <c r="AC72" s="116"/>
      <c r="AD72" s="596">
        <f>'Pricing Structure - IIP'!DE72</f>
        <v>0.12017570987922277</v>
      </c>
      <c r="AE72" s="116"/>
      <c r="AF72" s="117" t="e">
        <f>'Pricing Structure - IIP'!#REF!</f>
        <v>#REF!</v>
      </c>
      <c r="AG72" s="643"/>
      <c r="AH72" s="116"/>
      <c r="AI72" s="117">
        <f>AI115</f>
        <v>0.12593900922976509</v>
      </c>
      <c r="AJ72" s="116"/>
      <c r="AK72" s="117">
        <f>AK115</f>
        <v>0.12764335387095693</v>
      </c>
      <c r="AL72" s="116"/>
      <c r="AM72" s="596">
        <f>'Pricing Structure - IHAG'!DE72</f>
        <v>0.1095151363248206</v>
      </c>
      <c r="AN72" s="116"/>
      <c r="AO72" s="596">
        <f>'Pricing Structure - IHAG'!DA72</f>
        <v>0.12440611508170185</v>
      </c>
      <c r="AP72" s="116"/>
      <c r="AQ72" s="596">
        <f>'Pricing Structure - IHAG'!DC72</f>
        <v>0.12440611508170185</v>
      </c>
      <c r="AR72" s="116"/>
      <c r="AS72" s="596">
        <f>'Pricing Structure - IHAG'!DQ72</f>
        <v>0.11621570863255838</v>
      </c>
      <c r="AT72" s="116"/>
      <c r="AU72" s="117" t="e">
        <f>'Pricing Structure - IHAG'!#REF!</f>
        <v>#REF!</v>
      </c>
      <c r="AV72" s="671"/>
      <c r="AW72" s="116"/>
      <c r="AX72" s="117">
        <f>AX115</f>
        <v>0.12692963072975585</v>
      </c>
      <c r="AY72" s="294"/>
      <c r="AZ72" s="117">
        <f>AZ115</f>
        <v>0.11589149097772992</v>
      </c>
      <c r="BA72" s="116"/>
      <c r="BB72" s="117">
        <f>BB115</f>
        <v>0.11762591747095878</v>
      </c>
      <c r="BC72" s="116"/>
      <c r="BD72" s="117">
        <v>0.15669598644908106</v>
      </c>
      <c r="BE72" s="116"/>
      <c r="BF72" s="117">
        <f>BF115</f>
        <v>0.11447680284142735</v>
      </c>
      <c r="BG72" s="116"/>
      <c r="BH72" s="117">
        <f>BH115</f>
        <v>0.11517897029260665</v>
      </c>
      <c r="BI72" s="116"/>
      <c r="BJ72" s="117">
        <f>BJ115</f>
        <v>0.11517897029260665</v>
      </c>
      <c r="BK72" s="116"/>
      <c r="BL72" s="117">
        <v>4.0963349019381999E-2</v>
      </c>
      <c r="BM72" s="116"/>
      <c r="BN72" s="117">
        <v>3.6717557545812539E-2</v>
      </c>
      <c r="BO72" s="116"/>
      <c r="BP72" s="117">
        <f>BN72</f>
        <v>3.6717557545812539E-2</v>
      </c>
      <c r="BQ72" s="116"/>
      <c r="BR72" s="117">
        <f>BP72</f>
        <v>3.6717557545812539E-2</v>
      </c>
      <c r="BS72" s="116"/>
      <c r="BT72" s="117">
        <v>4.1738561002834872E-2</v>
      </c>
      <c r="BU72" s="116"/>
      <c r="BV72" s="117">
        <v>3.839133734496946E-2</v>
      </c>
      <c r="BW72" s="116"/>
      <c r="BX72" s="117">
        <v>3.839133734496946E-2</v>
      </c>
      <c r="BY72" s="116"/>
      <c r="BZ72" s="117">
        <v>3.839133734496946E-2</v>
      </c>
      <c r="CA72" s="116"/>
      <c r="CB72" s="117">
        <v>8.2051203600768244E-2</v>
      </c>
      <c r="CC72" s="116"/>
      <c r="CD72" s="117">
        <v>8.2651303781473659E-2</v>
      </c>
      <c r="CE72" s="116"/>
      <c r="CF72" s="117">
        <v>8.2651303781473659E-2</v>
      </c>
      <c r="CG72" s="116"/>
      <c r="CH72" s="117">
        <v>8.2651303781473659E-2</v>
      </c>
      <c r="CI72" s="116"/>
      <c r="CJ72" s="117">
        <v>0.119363481754196</v>
      </c>
      <c r="CK72" s="116"/>
      <c r="CL72" s="117">
        <f>CL115</f>
        <v>0.10280803277843946</v>
      </c>
      <c r="CM72" s="116"/>
      <c r="CN72" s="117">
        <v>0.119363481754196</v>
      </c>
      <c r="CO72" s="116"/>
      <c r="CP72" s="117">
        <f>CP115</f>
        <v>9.3124999999999999E-2</v>
      </c>
      <c r="CR72" s="116"/>
      <c r="CS72" s="117">
        <v>0.120017566433453</v>
      </c>
      <c r="CT72" s="116"/>
      <c r="CU72" s="117">
        <v>0.119452482519287</v>
      </c>
      <c r="CV72" s="116"/>
      <c r="CW72" s="117">
        <v>0.120017566433453</v>
      </c>
      <c r="CX72" s="116"/>
      <c r="CY72" s="117">
        <f>CY115</f>
        <v>9.3124999999999999E-2</v>
      </c>
      <c r="DA72" s="116"/>
      <c r="DB72" s="117">
        <v>0.12565791127422599</v>
      </c>
      <c r="DC72" s="116"/>
      <c r="DD72" s="117">
        <v>0.12565791127422599</v>
      </c>
      <c r="DE72" s="116"/>
      <c r="DF72" s="117">
        <v>0.12565791127422599</v>
      </c>
      <c r="DH72" s="116"/>
      <c r="DI72" s="117">
        <v>0.111599909784995</v>
      </c>
      <c r="DJ72" s="116"/>
      <c r="DK72" s="117">
        <v>0.111599909784995</v>
      </c>
      <c r="DL72" s="116"/>
      <c r="DM72" s="117">
        <v>0.111599909784994</v>
      </c>
      <c r="DO72" s="116"/>
      <c r="DP72" s="117">
        <v>0.119713464369997</v>
      </c>
      <c r="DQ72" s="116"/>
      <c r="DR72" s="117">
        <v>0.119713464369997</v>
      </c>
      <c r="DS72" s="116"/>
      <c r="DT72" s="117">
        <v>0.119713464369997</v>
      </c>
      <c r="DV72" s="116"/>
      <c r="DW72" s="117">
        <v>0.119713464369997</v>
      </c>
      <c r="DX72" s="116"/>
      <c r="DY72" s="117">
        <v>0.119713464369997</v>
      </c>
      <c r="EA72" s="116"/>
      <c r="EB72" s="117">
        <v>0.119713464369997</v>
      </c>
      <c r="ED72" s="116"/>
      <c r="EE72" s="117">
        <v>0.119713464369997</v>
      </c>
      <c r="EG72" s="116"/>
      <c r="EH72" s="117">
        <v>0.119713464369997</v>
      </c>
      <c r="EJ72" s="116"/>
      <c r="EK72" s="117">
        <v>0.119713464369997</v>
      </c>
      <c r="EM72" s="116"/>
      <c r="EN72" s="117">
        <v>0.119713464369997</v>
      </c>
      <c r="EP72" s="116"/>
      <c r="EQ72" s="117">
        <v>0.119713464369997</v>
      </c>
      <c r="ER72" s="116"/>
      <c r="ES72" s="117">
        <v>0.119713464369997</v>
      </c>
      <c r="EU72" s="116"/>
      <c r="EV72" s="117">
        <v>0.119713464369997</v>
      </c>
      <c r="EX72" s="116"/>
      <c r="EY72" s="117">
        <v>0.119713464369997</v>
      </c>
      <c r="EZ72" s="116"/>
      <c r="FA72" s="117">
        <v>0.119713464369997</v>
      </c>
      <c r="FB72" s="116"/>
      <c r="FC72" s="117">
        <v>0.119713464369997</v>
      </c>
    </row>
    <row r="73" spans="1:159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359"/>
      <c r="K73" s="597"/>
      <c r="L73" s="359"/>
      <c r="M73" s="597"/>
      <c r="N73" s="359"/>
      <c r="O73" s="597"/>
      <c r="P73" s="359"/>
      <c r="Q73" s="597"/>
      <c r="R73" s="644"/>
      <c r="S73" s="42"/>
      <c r="T73" s="88"/>
      <c r="U73" s="42"/>
      <c r="V73" s="88"/>
      <c r="W73" s="359"/>
      <c r="X73" s="597"/>
      <c r="Y73" s="359"/>
      <c r="Z73" s="597"/>
      <c r="AA73" s="359"/>
      <c r="AB73" s="597"/>
      <c r="AC73" s="359"/>
      <c r="AD73" s="597"/>
      <c r="AE73" s="359"/>
      <c r="AF73" s="560"/>
      <c r="AG73" s="644"/>
      <c r="AH73" s="42"/>
      <c r="AI73" s="88"/>
      <c r="AJ73" s="42"/>
      <c r="AK73" s="88"/>
      <c r="AL73" s="359"/>
      <c r="AM73" s="597"/>
      <c r="AN73" s="359"/>
      <c r="AO73" s="597"/>
      <c r="AP73" s="359"/>
      <c r="AQ73" s="597"/>
      <c r="AR73" s="359"/>
      <c r="AS73" s="597"/>
      <c r="AT73" s="359"/>
      <c r="AU73" s="685"/>
      <c r="AV73" s="679"/>
      <c r="AW73" s="359"/>
      <c r="AX73" s="379"/>
      <c r="AY73" s="270"/>
      <c r="AZ73" s="118"/>
      <c r="BA73" s="359"/>
      <c r="BB73" s="379"/>
      <c r="BC73" s="359"/>
      <c r="BD73" s="379"/>
      <c r="BE73" s="359"/>
      <c r="BF73" s="379"/>
      <c r="BG73" s="359"/>
      <c r="BH73" s="379"/>
      <c r="BI73" s="359"/>
      <c r="BJ73" s="379"/>
      <c r="BK73" s="42"/>
      <c r="BL73" s="118"/>
      <c r="BM73" s="359"/>
      <c r="BN73" s="379"/>
      <c r="BO73" s="359"/>
      <c r="BP73" s="379"/>
      <c r="BQ73" s="359"/>
      <c r="BR73" s="379"/>
      <c r="BS73" s="42"/>
      <c r="BT73" s="118"/>
      <c r="BU73" s="359"/>
      <c r="BV73" s="379"/>
      <c r="BW73" s="359"/>
      <c r="BX73" s="379"/>
      <c r="BY73" s="359"/>
      <c r="BZ73" s="379"/>
      <c r="CA73" s="42"/>
      <c r="CB73" s="118"/>
      <c r="CC73" s="359"/>
      <c r="CD73" s="379"/>
      <c r="CE73" s="359"/>
      <c r="CF73" s="379"/>
      <c r="CG73" s="359"/>
      <c r="CH73" s="379"/>
      <c r="CI73" s="359"/>
      <c r="CJ73" s="560"/>
      <c r="CK73" s="359"/>
      <c r="CL73" s="560"/>
      <c r="CM73" s="359"/>
      <c r="CN73" s="560"/>
      <c r="CO73" s="359"/>
      <c r="CP73" s="379"/>
      <c r="CR73" s="359"/>
      <c r="CS73" s="560"/>
      <c r="CT73" s="359"/>
      <c r="CU73" s="560"/>
      <c r="CV73" s="359"/>
      <c r="CW73" s="560"/>
      <c r="CX73" s="359"/>
      <c r="CY73" s="379"/>
      <c r="DA73" s="359"/>
      <c r="DB73" s="560"/>
      <c r="DC73" s="359"/>
      <c r="DD73" s="560"/>
      <c r="DE73" s="359"/>
      <c r="DF73" s="560"/>
      <c r="DH73" s="359"/>
      <c r="DI73" s="560"/>
      <c r="DJ73" s="359"/>
      <c r="DK73" s="560"/>
      <c r="DL73" s="359"/>
      <c r="DM73" s="560"/>
      <c r="DO73" s="359"/>
      <c r="DP73" s="560"/>
      <c r="DQ73" s="359"/>
      <c r="DR73" s="560"/>
      <c r="DS73" s="359"/>
      <c r="DT73" s="560"/>
      <c r="DV73" s="359"/>
      <c r="DW73" s="560"/>
      <c r="DX73" s="359"/>
      <c r="DY73" s="560"/>
      <c r="EA73" s="359"/>
      <c r="EB73" s="560"/>
      <c r="ED73" s="359"/>
      <c r="EE73" s="560"/>
      <c r="EG73" s="359"/>
      <c r="EH73" s="560"/>
      <c r="EJ73" s="359"/>
      <c r="EK73" s="560"/>
      <c r="EM73" s="359"/>
      <c r="EN73" s="560"/>
      <c r="EP73" s="359"/>
      <c r="EQ73" s="560"/>
      <c r="ER73" s="359"/>
      <c r="ES73" s="560"/>
      <c r="EU73" s="359"/>
      <c r="EV73" s="560"/>
      <c r="EX73" s="359"/>
      <c r="EY73" s="560"/>
      <c r="EZ73" s="359"/>
      <c r="FA73" s="560"/>
      <c r="FB73" s="359"/>
      <c r="FC73" s="560"/>
    </row>
    <row r="74" spans="1:159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3.2951822005833655</v>
      </c>
      <c r="H74" s="66"/>
      <c r="I74" s="70">
        <v>3.5328331199917153</v>
      </c>
      <c r="J74" s="552"/>
      <c r="K74" s="70">
        <f>K76/K79</f>
        <v>3.8637980914371459</v>
      </c>
      <c r="L74" s="552"/>
      <c r="M74" s="70">
        <f>M76/M79</f>
        <v>3.8163576411809732</v>
      </c>
      <c r="N74" s="552"/>
      <c r="O74" s="70">
        <f>O76/O79</f>
        <v>3.7333333333333334</v>
      </c>
      <c r="P74" s="552"/>
      <c r="Q74" s="70">
        <f>Q76/Q79</f>
        <v>3.6363636363636362</v>
      </c>
      <c r="R74" s="271"/>
      <c r="S74" s="66"/>
      <c r="T74" s="70">
        <v>3.7</v>
      </c>
      <c r="U74" s="66"/>
      <c r="V74" s="70">
        <v>3.9789362578498215</v>
      </c>
      <c r="W74" s="552"/>
      <c r="X74" s="70">
        <f>X76/X79</f>
        <v>4.2894638153851465</v>
      </c>
      <c r="Y74" s="552"/>
      <c r="Z74" s="70">
        <f>Z76/Z79</f>
        <v>4.1718790276983224</v>
      </c>
      <c r="AA74" s="552"/>
      <c r="AB74" s="70">
        <f>AB76/AB79</f>
        <v>4.1333333333333337</v>
      </c>
      <c r="AC74" s="552"/>
      <c r="AD74" s="70">
        <f>AD76/AD79</f>
        <v>4.2666666666666666</v>
      </c>
      <c r="AE74" s="66"/>
      <c r="AF74" s="70" t="e">
        <f>'Pricing Structure - IIP'!#REF!</f>
        <v>#REF!</v>
      </c>
      <c r="AG74" s="271"/>
      <c r="AH74" s="66"/>
      <c r="AI74" s="70">
        <v>4.4243786073045168</v>
      </c>
      <c r="AJ74" s="66"/>
      <c r="AK74" s="70">
        <v>4.6419622608338678</v>
      </c>
      <c r="AL74" s="552"/>
      <c r="AM74" s="70">
        <f>AM76/AM79</f>
        <v>5.0750327761335168</v>
      </c>
      <c r="AN74" s="552"/>
      <c r="AO74" s="70">
        <f>AO76/AO79</f>
        <v>5.0655260870212651</v>
      </c>
      <c r="AP74" s="552"/>
      <c r="AQ74" s="70">
        <f>AQ76/AQ79</f>
        <v>4.5333333333333332</v>
      </c>
      <c r="AR74" s="552"/>
      <c r="AS74" s="70">
        <f>AS76/AS79</f>
        <v>4.8701298701298699</v>
      </c>
      <c r="AT74" s="552"/>
      <c r="AU74" s="70" t="e">
        <f>'Pricing Structure - IHAG'!#REF!</f>
        <v>#REF!</v>
      </c>
      <c r="AV74" s="271"/>
      <c r="AW74" s="552"/>
      <c r="AX74" s="70">
        <f>AM74</f>
        <v>5.0750327761335168</v>
      </c>
      <c r="AY74" s="271"/>
      <c r="AZ74" s="70">
        <v>3.6780718455339394</v>
      </c>
      <c r="BA74" s="66"/>
      <c r="BB74" s="70">
        <f>BB76/BB79</f>
        <v>3.8793986956299698</v>
      </c>
      <c r="BC74" s="66"/>
      <c r="BD74" s="70">
        <f>BD76/BD79</f>
        <v>3.7880272487953253</v>
      </c>
      <c r="BE74" s="66"/>
      <c r="BF74" s="70">
        <f>BF76/BF79</f>
        <v>3.8795986622073579</v>
      </c>
      <c r="BG74" s="66"/>
      <c r="BH74" s="70">
        <f>BH76/BH79</f>
        <v>4.0540540540540544</v>
      </c>
      <c r="BI74" s="66"/>
      <c r="BJ74" s="70">
        <f>BJ76/BJ79</f>
        <v>4.1891891891891895</v>
      </c>
      <c r="BK74" s="66"/>
      <c r="BL74" s="70">
        <f>BL76/BL79</f>
        <v>2.5589374277120687</v>
      </c>
      <c r="BM74" s="66"/>
      <c r="BN74" s="70">
        <f>BN76/BN79</f>
        <v>2.6298188999574554</v>
      </c>
      <c r="BO74" s="66"/>
      <c r="BP74" s="70">
        <f>BP76/BP79</f>
        <v>2.7162162162162162</v>
      </c>
      <c r="BQ74" s="66"/>
      <c r="BR74" s="70">
        <f>BR76/BR79</f>
        <v>2.8378378378378377</v>
      </c>
      <c r="BS74" s="66"/>
      <c r="BT74" s="70">
        <f>BT76/BT79</f>
        <v>2.7993673271680408</v>
      </c>
      <c r="BU74" s="66"/>
      <c r="BV74" s="70">
        <f>BV76/BV79</f>
        <v>2.8488108224378426</v>
      </c>
      <c r="BW74" s="66"/>
      <c r="BX74" s="70">
        <f>BX76/BX79</f>
        <v>2.9189189189189189</v>
      </c>
      <c r="BY74" s="1073"/>
      <c r="BZ74" s="70">
        <f>BZ76/BZ79</f>
        <v>3</v>
      </c>
      <c r="CA74" s="66"/>
      <c r="CB74" s="70">
        <f>CB76/CB79</f>
        <v>4.2400614119853959</v>
      </c>
      <c r="CC74" s="66"/>
      <c r="CD74" s="70">
        <f>CD76/CD79</f>
        <v>3.940935632656354</v>
      </c>
      <c r="CE74" s="66"/>
      <c r="CF74" s="70">
        <f>CF76/CF79</f>
        <v>4.0540540540540544</v>
      </c>
      <c r="CG74" s="1073"/>
      <c r="CH74" s="70">
        <f>CH76/CH79</f>
        <v>4.2162162162162158</v>
      </c>
      <c r="CI74" s="552"/>
      <c r="CJ74" s="70">
        <v>3.12</v>
      </c>
      <c r="CK74" s="552"/>
      <c r="CL74" s="70"/>
      <c r="CM74" s="552"/>
      <c r="CN74" s="70">
        <v>2.4900000000000002</v>
      </c>
      <c r="CO74" s="66"/>
      <c r="CP74" s="70">
        <v>2.21</v>
      </c>
      <c r="CR74" s="552"/>
      <c r="CS74" s="70">
        <v>3.14</v>
      </c>
      <c r="CT74" s="552"/>
      <c r="CU74" s="70">
        <v>2.68</v>
      </c>
      <c r="CV74" s="552"/>
      <c r="CW74" s="70">
        <v>2.5</v>
      </c>
      <c r="CX74" s="66"/>
      <c r="CY74" s="70">
        <v>2.2278838780020913</v>
      </c>
      <c r="DA74" s="552"/>
      <c r="DB74" s="70">
        <v>3.0791194920027198</v>
      </c>
      <c r="DC74" s="552"/>
      <c r="DD74" s="70">
        <v>2.8677291794208202</v>
      </c>
      <c r="DE74" s="552"/>
      <c r="DF74" s="70">
        <v>2.45458436202395</v>
      </c>
      <c r="DH74" s="552"/>
      <c r="DI74" s="70">
        <f>DI77/DI79*DI10</f>
        <v>3.1959953792837892</v>
      </c>
      <c r="DJ74" s="552"/>
      <c r="DK74" s="70">
        <f>DK77/DK79*DK10</f>
        <v>2.882813502759594</v>
      </c>
      <c r="DL74" s="552"/>
      <c r="DM74" s="70">
        <f>DM77/DM79*DM10</f>
        <v>2.5131562058785777</v>
      </c>
      <c r="DO74" s="552"/>
      <c r="DP74" s="70">
        <f>DP77/DP79*DP10</f>
        <v>3.271129227437743</v>
      </c>
      <c r="DQ74" s="552"/>
      <c r="DR74" s="70">
        <f>DR77/DR79*DR10</f>
        <v>2.8762499203872367</v>
      </c>
      <c r="DS74" s="552"/>
      <c r="DT74" s="70">
        <f>DT77/DT79*DT10</f>
        <v>2.6469651614546845</v>
      </c>
      <c r="DV74" s="552"/>
      <c r="DW74" s="70">
        <f>DW77/DW79*DW10</f>
        <v>3.269218798630563</v>
      </c>
      <c r="DX74" s="552"/>
      <c r="DY74" s="70">
        <f>DY77/DY79*DY10</f>
        <v>3.3937130407718641</v>
      </c>
      <c r="EA74" s="552"/>
      <c r="EB74" s="70">
        <f>EB77/EB79*EB10</f>
        <v>3.2394103377495802</v>
      </c>
      <c r="ED74" s="552"/>
      <c r="EE74" s="70">
        <f>EE77/EE79*EE10</f>
        <v>3.0004918839153962</v>
      </c>
      <c r="EG74" s="552"/>
      <c r="EH74" s="70">
        <f>EH77/EH79*EH10</f>
        <v>3.0337571240683907</v>
      </c>
      <c r="EJ74" s="552"/>
      <c r="EK74" s="70">
        <f>EK77/EK79*EK10</f>
        <v>3.2893453812650328</v>
      </c>
      <c r="EM74" s="552"/>
      <c r="EN74" s="70">
        <f>EN77/EN79*EN10</f>
        <v>3.0930232558139537</v>
      </c>
      <c r="EP74" s="552"/>
      <c r="EQ74" s="70">
        <f>EQ77/EQ79*EQ10</f>
        <v>2.7826748684127085</v>
      </c>
      <c r="ER74" s="552"/>
      <c r="ES74" s="70">
        <f>ES77/ES79*ES10</f>
        <v>3.221510558691103</v>
      </c>
      <c r="EU74" s="552"/>
      <c r="EV74" s="70">
        <f>EV77/EV79*EV10</f>
        <v>3.1129476584022036</v>
      </c>
      <c r="EX74" s="552"/>
      <c r="EY74" s="70">
        <f>EY77/EY79*EY10</f>
        <v>3.2645161290322582</v>
      </c>
      <c r="EZ74" s="552"/>
      <c r="FA74" s="70">
        <f>FA77/FA79*FA10</f>
        <v>3.1251612903225805</v>
      </c>
      <c r="FB74" s="552"/>
      <c r="FC74" s="70">
        <f>FC77/FC79*FC10</f>
        <v>2.681290322580645</v>
      </c>
    </row>
    <row r="75" spans="1:159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8.2379555014584133E-2</v>
      </c>
      <c r="H75" s="124"/>
      <c r="I75" s="125">
        <f>+I74/I10</f>
        <v>8.8320827999792878E-2</v>
      </c>
      <c r="J75" s="124"/>
      <c r="K75" s="70">
        <f>+K74/K10</f>
        <v>9.6594952285928654E-2</v>
      </c>
      <c r="L75" s="124"/>
      <c r="M75" s="70">
        <f>+M74/M10</f>
        <v>9.5408941029524325E-2</v>
      </c>
      <c r="N75" s="124"/>
      <c r="O75" s="70">
        <f>+O74/O10</f>
        <v>9.3333333333333338E-2</v>
      </c>
      <c r="P75" s="124"/>
      <c r="Q75" s="70">
        <f>+Q74/Q10</f>
        <v>9.0909090909090912E-2</v>
      </c>
      <c r="R75" s="271"/>
      <c r="S75" s="124"/>
      <c r="T75" s="125">
        <f>+T74/T10</f>
        <v>9.2499999999999999E-2</v>
      </c>
      <c r="U75" s="124"/>
      <c r="V75" s="125">
        <f>+V74/V10</f>
        <v>9.9473406446245541E-2</v>
      </c>
      <c r="W75" s="124"/>
      <c r="X75" s="70">
        <f>+X74/X10</f>
        <v>0.10723659538462867</v>
      </c>
      <c r="Y75" s="124"/>
      <c r="Z75" s="70">
        <f>+Z74/Z10</f>
        <v>0.10429697569245806</v>
      </c>
      <c r="AA75" s="124"/>
      <c r="AB75" s="70">
        <f>+AB74/AB10</f>
        <v>0.10333333333333335</v>
      </c>
      <c r="AC75" s="124"/>
      <c r="AD75" s="70">
        <f>+AD74/AD10</f>
        <v>0.10666666666666666</v>
      </c>
      <c r="AE75" s="124"/>
      <c r="AF75" s="125" t="e">
        <f>'Pricing Structure - IIP'!#REF!</f>
        <v>#REF!</v>
      </c>
      <c r="AG75" s="271"/>
      <c r="AH75" s="124"/>
      <c r="AI75" s="125">
        <f>+AI74/AI10</f>
        <v>0.11060946518261291</v>
      </c>
      <c r="AJ75" s="124"/>
      <c r="AK75" s="125">
        <f>+AK74/AK10</f>
        <v>0.1160490565208467</v>
      </c>
      <c r="AL75" s="124"/>
      <c r="AM75" s="70">
        <f>+AM74/AM10</f>
        <v>0.12687581940333792</v>
      </c>
      <c r="AN75" s="124"/>
      <c r="AO75" s="70">
        <f>+AO74/AO10</f>
        <v>0.12663815217553162</v>
      </c>
      <c r="AP75" s="124"/>
      <c r="AQ75" s="70">
        <f>+AQ74/AQ10</f>
        <v>0.11333333333333333</v>
      </c>
      <c r="AR75" s="124"/>
      <c r="AS75" s="70">
        <f>+AS74/AS10</f>
        <v>0.12175324675324675</v>
      </c>
      <c r="AT75" s="124"/>
      <c r="AU75" s="125" t="e">
        <f>'Pricing Structure - IHAG'!#REF!</f>
        <v>#REF!</v>
      </c>
      <c r="AV75" s="122"/>
      <c r="AW75" s="124"/>
      <c r="AX75" s="125">
        <f>+AX74/AX10</f>
        <v>0.12687581940333792</v>
      </c>
      <c r="AY75" s="122"/>
      <c r="AZ75" s="125">
        <f>+AZ74/AZ10</f>
        <v>9.1951796138348488E-2</v>
      </c>
      <c r="BA75" s="124"/>
      <c r="BB75" s="125">
        <f>+BB74/BB10</f>
        <v>9.6984967390749244E-2</v>
      </c>
      <c r="BC75" s="124"/>
      <c r="BD75" s="125">
        <f>+BD74/BD10</f>
        <v>9.4700681219883134E-2</v>
      </c>
      <c r="BE75" s="124"/>
      <c r="BF75" s="125">
        <f>+BF74/BF10</f>
        <v>9.6989966555183951E-2</v>
      </c>
      <c r="BG75" s="124"/>
      <c r="BH75" s="125">
        <f>+BH74/BH10</f>
        <v>0.10135135135135136</v>
      </c>
      <c r="BI75" s="124"/>
      <c r="BJ75" s="125">
        <f>+BJ74/BJ10</f>
        <v>0.10472972972972974</v>
      </c>
      <c r="BK75" s="124"/>
      <c r="BL75" s="125">
        <f>+BL74/BL10</f>
        <v>0.21324478564267238</v>
      </c>
      <c r="BM75" s="124"/>
      <c r="BN75" s="125">
        <f>+BN74/BN10</f>
        <v>0.21915157499645463</v>
      </c>
      <c r="BO75" s="124"/>
      <c r="BP75" s="125">
        <f>+BP74/BP10</f>
        <v>0.22635135135135134</v>
      </c>
      <c r="BQ75" s="124"/>
      <c r="BR75" s="125">
        <f>+BR74/BR10</f>
        <v>0.23648648648648649</v>
      </c>
      <c r="BS75" s="124"/>
      <c r="BT75" s="125">
        <f>+BT74/BT10</f>
        <v>0.23328061059733673</v>
      </c>
      <c r="BU75" s="124"/>
      <c r="BV75" s="125">
        <f>+BV74/BV10</f>
        <v>0.23740090186982021</v>
      </c>
      <c r="BW75" s="124"/>
      <c r="BX75" s="125">
        <f>+BX74/BX10</f>
        <v>0.24324324324324323</v>
      </c>
      <c r="BY75" s="124"/>
      <c r="BZ75" s="125">
        <f>+BZ74/BZ10</f>
        <v>0.25</v>
      </c>
      <c r="CA75" s="124"/>
      <c r="CB75" s="125">
        <f>+CB74/CB10</f>
        <v>0.17666922549939149</v>
      </c>
      <c r="CC75" s="124"/>
      <c r="CD75" s="125">
        <f>+CD74/CD10</f>
        <v>0.16420565136068141</v>
      </c>
      <c r="CE75" s="124"/>
      <c r="CF75" s="125">
        <f>+CF74/CF10</f>
        <v>0.16891891891891894</v>
      </c>
      <c r="CG75" s="124"/>
      <c r="CH75" s="125">
        <f>+CH74/CH10</f>
        <v>0.17567567567567566</v>
      </c>
      <c r="CI75" s="124"/>
      <c r="CJ75" s="125">
        <f>+CJ74/CJ10</f>
        <v>7.8E-2</v>
      </c>
      <c r="CK75" s="124"/>
      <c r="CL75" s="125">
        <f>+CL74/CL10</f>
        <v>0</v>
      </c>
      <c r="CM75" s="124"/>
      <c r="CN75" s="125">
        <f>+CN74/CN10</f>
        <v>6.2250000000000007E-2</v>
      </c>
      <c r="CO75" s="124"/>
      <c r="CP75" s="125">
        <f>+CP74/CP10</f>
        <v>0.18416666666666667</v>
      </c>
      <c r="CR75" s="124"/>
      <c r="CS75" s="125">
        <f>+CS74/CS10</f>
        <v>7.85E-2</v>
      </c>
      <c r="CT75" s="124"/>
      <c r="CU75" s="125">
        <f>+CU74/CU10</f>
        <v>6.7000000000000004E-2</v>
      </c>
      <c r="CV75" s="124"/>
      <c r="CW75" s="125">
        <f>+CW74/CW10</f>
        <v>6.25E-2</v>
      </c>
      <c r="CX75" s="124"/>
      <c r="CY75" s="125">
        <f>+CY74/CY10</f>
        <v>0.18565698983350762</v>
      </c>
      <c r="DA75" s="124"/>
      <c r="DB75" s="125">
        <f>+DB74/DB10</f>
        <v>7.6977987300067996E-2</v>
      </c>
      <c r="DC75" s="124"/>
      <c r="DD75" s="125">
        <f>+DD74/DD10</f>
        <v>7.169322948552051E-2</v>
      </c>
      <c r="DE75" s="124"/>
      <c r="DF75" s="125">
        <f>+DF74/DF10</f>
        <v>6.1364609050598748E-2</v>
      </c>
      <c r="DH75" s="124"/>
      <c r="DI75" s="125">
        <f>+DI74/DI10</f>
        <v>7.989988448209473E-2</v>
      </c>
      <c r="DJ75" s="124"/>
      <c r="DK75" s="125">
        <f>+DK74/DK10</f>
        <v>7.2070337568989853E-2</v>
      </c>
      <c r="DL75" s="124"/>
      <c r="DM75" s="125">
        <f>+DM74/DM10</f>
        <v>6.2828905146964445E-2</v>
      </c>
      <c r="DO75" s="124"/>
      <c r="DP75" s="125">
        <f>+DP74/DP10</f>
        <v>8.1778230685943573E-2</v>
      </c>
      <c r="DQ75" s="124"/>
      <c r="DR75" s="125">
        <f>+DR74/DR10</f>
        <v>7.1906248009680915E-2</v>
      </c>
      <c r="DS75" s="124"/>
      <c r="DT75" s="125">
        <f>+DT74/DT10</f>
        <v>6.6174129036367116E-2</v>
      </c>
      <c r="DV75" s="124"/>
      <c r="DW75" s="125">
        <f>+DW74/DW10</f>
        <v>8.173046996576408E-2</v>
      </c>
      <c r="DX75" s="124"/>
      <c r="DY75" s="125">
        <f>+DY74/DY10</f>
        <v>8.4842826019296602E-2</v>
      </c>
      <c r="EA75" s="124"/>
      <c r="EB75" s="125">
        <f>+EB74/EB10</f>
        <v>8.0985258443739508E-2</v>
      </c>
      <c r="ED75" s="124"/>
      <c r="EE75" s="125">
        <f>+EE74/EE10</f>
        <v>7.50122970978849E-2</v>
      </c>
      <c r="EG75" s="124"/>
      <c r="EH75" s="125">
        <f>+EH74/EH10</f>
        <v>7.5843928101709771E-2</v>
      </c>
      <c r="EJ75" s="124"/>
      <c r="EK75" s="125">
        <f>+EK74/EK10</f>
        <v>8.2233634531625827E-2</v>
      </c>
      <c r="EM75" s="124"/>
      <c r="EN75" s="125">
        <f>+EN74/EN10</f>
        <v>7.7325581395348841E-2</v>
      </c>
      <c r="EP75" s="124"/>
      <c r="EQ75" s="125">
        <f>+EQ74/EQ10</f>
        <v>6.956687171031771E-2</v>
      </c>
      <c r="ER75" s="124"/>
      <c r="ES75" s="125">
        <f>+ES74/ES10</f>
        <v>8.0537763967277576E-2</v>
      </c>
      <c r="ET75" s="4"/>
      <c r="EU75" s="124"/>
      <c r="EV75" s="125">
        <f>+EV74/EV10</f>
        <v>7.7823691460055092E-2</v>
      </c>
      <c r="EX75" s="124"/>
      <c r="EY75" s="125">
        <f>+EY74/EY10</f>
        <v>8.1612903225806457E-2</v>
      </c>
      <c r="EZ75" s="124"/>
      <c r="FA75" s="125">
        <f>+FA74/FA10</f>
        <v>7.8129032258064515E-2</v>
      </c>
      <c r="FB75" s="124"/>
      <c r="FC75" s="125">
        <f>+FC74/FC10</f>
        <v>6.7032258064516126E-2</v>
      </c>
    </row>
    <row r="76" spans="1:159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90">
        <f>G74*G79</f>
        <v>48277.168145441676</v>
      </c>
      <c r="H76" s="127"/>
      <c r="I76" s="90">
        <f>I74*I79</f>
        <v>50633.007010367859</v>
      </c>
      <c r="J76" s="380"/>
      <c r="K76" s="374">
        <f>K77*K10</f>
        <v>55779.587654038245</v>
      </c>
      <c r="L76" s="380"/>
      <c r="M76" s="374">
        <f>M77*M10</f>
        <v>57204.663133283982</v>
      </c>
      <c r="N76" s="380"/>
      <c r="O76" s="374">
        <f>O77*O10</f>
        <v>56000</v>
      </c>
      <c r="P76" s="380"/>
      <c r="Q76" s="374">
        <f>Q77*Q10</f>
        <v>56000</v>
      </c>
      <c r="R76" s="639"/>
      <c r="S76" s="127"/>
      <c r="T76" s="90">
        <f>T74*T79</f>
        <v>54208.086614000007</v>
      </c>
      <c r="U76" s="127"/>
      <c r="V76" s="90">
        <f>V74*V79</f>
        <v>57026.613087795471</v>
      </c>
      <c r="W76" s="380"/>
      <c r="X76" s="374">
        <f>X77*X10</f>
        <v>62032.86808987445</v>
      </c>
      <c r="Y76" s="380"/>
      <c r="Z76" s="374">
        <f>Z77*Z10</f>
        <v>62732.544939499676</v>
      </c>
      <c r="AA76" s="380"/>
      <c r="AB76" s="374">
        <f>AB77*AB10</f>
        <v>62000</v>
      </c>
      <c r="AC76" s="380"/>
      <c r="AD76" s="374">
        <f>AD77*AD10</f>
        <v>64000</v>
      </c>
      <c r="AE76" s="380"/>
      <c r="AF76" s="374" t="e">
        <f>'Pricing Structure - IIP'!#REF!</f>
        <v>#REF!</v>
      </c>
      <c r="AG76" s="639"/>
      <c r="AH76" s="127"/>
      <c r="AI76" s="90">
        <f>AI74*AI79</f>
        <v>64820.837502132963</v>
      </c>
      <c r="AJ76" s="127"/>
      <c r="AK76" s="90">
        <f>AK74*AK79</f>
        <v>66529.184852981518</v>
      </c>
      <c r="AL76" s="380"/>
      <c r="AM76" s="374">
        <f>AM77*AM10</f>
        <v>73404.700739190434</v>
      </c>
      <c r="AN76" s="380"/>
      <c r="AO76" s="374">
        <f>AO77*AO10</f>
        <v>75888.397360430812</v>
      </c>
      <c r="AP76" s="380"/>
      <c r="AQ76" s="374">
        <f>AQ77*AQ10</f>
        <v>68000</v>
      </c>
      <c r="AR76" s="380"/>
      <c r="AS76" s="374">
        <f>AS77*AS10</f>
        <v>75000</v>
      </c>
      <c r="AT76" s="380"/>
      <c r="AU76" s="374" t="e">
        <f>'Pricing Structure - IHAG'!#REF!</f>
        <v>#REF!</v>
      </c>
      <c r="AV76" s="639"/>
      <c r="AW76" s="380"/>
      <c r="AX76" s="374">
        <f>AX74*AX79</f>
        <v>73404.700739190434</v>
      </c>
      <c r="AY76" s="278"/>
      <c r="AZ76" s="90">
        <f>AZ74*AZ79</f>
        <v>53886.820858167193</v>
      </c>
      <c r="BA76" s="380"/>
      <c r="BB76" s="374">
        <f>BB77*BB10</f>
        <v>55475.401347508567</v>
      </c>
      <c r="BC76" s="380"/>
      <c r="BD76" s="374">
        <f>BD77*BD10</f>
        <v>54346.826938466533</v>
      </c>
      <c r="BE76" s="380"/>
      <c r="BF76" s="374">
        <f>BF77*BF10</f>
        <v>58000</v>
      </c>
      <c r="BG76" s="380"/>
      <c r="BH76" s="374">
        <f>BH77*BH10</f>
        <v>60000</v>
      </c>
      <c r="BI76" s="380"/>
      <c r="BJ76" s="374">
        <f>BJ77*BJ10</f>
        <v>62000</v>
      </c>
      <c r="BK76" s="127"/>
      <c r="BL76" s="374">
        <f>BL77*BL10</f>
        <v>36825.64545208693</v>
      </c>
      <c r="BM76" s="380"/>
      <c r="BN76" s="374">
        <f>BN77*BN10</f>
        <v>39464.765967894848</v>
      </c>
      <c r="BO76" s="380"/>
      <c r="BP76" s="374">
        <f>BP77*BP10</f>
        <v>40200</v>
      </c>
      <c r="BQ76" s="380"/>
      <c r="BR76" s="374">
        <f>BR77*BR10</f>
        <v>42000</v>
      </c>
      <c r="BS76" s="127"/>
      <c r="BT76" s="374">
        <f>BT77*BT10</f>
        <v>40535.156134121404</v>
      </c>
      <c r="BU76" s="380"/>
      <c r="BV76" s="374">
        <f>BV77*BV10</f>
        <v>42640.446839222364</v>
      </c>
      <c r="BW76" s="380"/>
      <c r="BX76" s="374">
        <f>BX77*BX10</f>
        <v>43200</v>
      </c>
      <c r="BY76" s="380"/>
      <c r="BZ76" s="374">
        <f>BZ77*BZ10</f>
        <v>44400</v>
      </c>
      <c r="CA76" s="127"/>
      <c r="CB76" s="374">
        <f>CB77*CB10</f>
        <v>61276.907760317663</v>
      </c>
      <c r="CC76" s="380"/>
      <c r="CD76" s="374">
        <f>CD77*CD10</f>
        <v>58893.101622143731</v>
      </c>
      <c r="CE76" s="380"/>
      <c r="CF76" s="374">
        <f>CF77*CF10</f>
        <v>60000</v>
      </c>
      <c r="CG76" s="380"/>
      <c r="CH76" s="374">
        <f>CH77*CH10</f>
        <v>62400</v>
      </c>
      <c r="CI76" s="380"/>
      <c r="CJ76" s="374">
        <f>CJ77*CJ10</f>
        <v>49024.56</v>
      </c>
      <c r="CK76" s="380"/>
      <c r="CL76" s="374">
        <f>CL77*CL10</f>
        <v>0</v>
      </c>
      <c r="CM76" s="380"/>
      <c r="CN76" s="374">
        <f>CN77*CN10</f>
        <v>39125.370000000003</v>
      </c>
      <c r="CO76" s="380"/>
      <c r="CP76" s="374">
        <f>CP77*CP10</f>
        <v>37800</v>
      </c>
      <c r="CR76" s="380"/>
      <c r="CS76" s="374">
        <f>CS77*CS10</f>
        <v>49263.459999999992</v>
      </c>
      <c r="CT76" s="380"/>
      <c r="CU76" s="374">
        <f>CU77*CU10</f>
        <v>42046.520000000004</v>
      </c>
      <c r="CV76" s="380"/>
      <c r="CW76" s="374">
        <f>CW77*CW10</f>
        <v>39222.5</v>
      </c>
      <c r="CX76" s="380"/>
      <c r="CY76" s="374">
        <f>CY77*CY10</f>
        <v>37800</v>
      </c>
      <c r="DA76" s="380"/>
      <c r="DB76" s="374">
        <f>DB77*DB10</f>
        <v>47787.934515882211</v>
      </c>
      <c r="DC76" s="380"/>
      <c r="DD76" s="374">
        <f>DD77*DD10</f>
        <v>44507.156864611126</v>
      </c>
      <c r="DE76" s="380"/>
      <c r="DF76" s="374">
        <f>DF77*DF10</f>
        <v>38095.149298611701</v>
      </c>
      <c r="DH76" s="380"/>
      <c r="DI76" s="374">
        <f>DI77*DI10</f>
        <v>49800</v>
      </c>
      <c r="DJ76" s="380"/>
      <c r="DK76" s="374">
        <f>DK77*DK10</f>
        <v>44920</v>
      </c>
      <c r="DL76" s="380"/>
      <c r="DM76" s="374">
        <f>DM77*DM10</f>
        <v>39160</v>
      </c>
      <c r="DO76" s="380"/>
      <c r="DP76" s="374">
        <f>DP77*DP10</f>
        <v>51360</v>
      </c>
      <c r="DQ76" s="380"/>
      <c r="DR76" s="374">
        <f>DR77*DR10</f>
        <v>45160</v>
      </c>
      <c r="DS76" s="380"/>
      <c r="DT76" s="374">
        <f>DT77*DT10</f>
        <v>41560</v>
      </c>
      <c r="DV76" s="380"/>
      <c r="DW76" s="374">
        <f>DW77*DW10</f>
        <v>52520</v>
      </c>
      <c r="DX76" s="380"/>
      <c r="DY76" s="374">
        <f>DY77*DY10</f>
        <v>54520</v>
      </c>
      <c r="EA76" s="380"/>
      <c r="EB76" s="374">
        <f>EB77*EB10</f>
        <v>52080</v>
      </c>
      <c r="ED76" s="380"/>
      <c r="EE76" s="374">
        <f>EE77*EE10</f>
        <v>48800</v>
      </c>
      <c r="EG76" s="380"/>
      <c r="EH76" s="374">
        <f>EH77*EH10</f>
        <v>48440</v>
      </c>
      <c r="EJ76" s="380"/>
      <c r="EK76" s="374">
        <f>EK77*EK10</f>
        <v>50600</v>
      </c>
      <c r="EM76" s="380"/>
      <c r="EN76" s="374">
        <f>EN77*EN10</f>
        <v>47880</v>
      </c>
      <c r="EP76" s="380"/>
      <c r="EQ76" s="374">
        <f>EQ77*EQ10</f>
        <v>43880</v>
      </c>
      <c r="ER76" s="380"/>
      <c r="ES76" s="374">
        <f>ES77*ES10</f>
        <v>50800</v>
      </c>
      <c r="EU76" s="380"/>
      <c r="EV76" s="374">
        <f>EV77*EV10</f>
        <v>49720</v>
      </c>
      <c r="EX76" s="380"/>
      <c r="EY76" s="374">
        <f>EY77*EY10</f>
        <v>50600</v>
      </c>
      <c r="EZ76" s="380"/>
      <c r="FA76" s="374">
        <f>FA77*FA10</f>
        <v>48440</v>
      </c>
      <c r="FB76" s="380"/>
      <c r="FC76" s="374">
        <f>FC77*FC10</f>
        <v>41560</v>
      </c>
    </row>
    <row r="77" spans="1:159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G76/G10</f>
        <v>1206.9292036360418</v>
      </c>
      <c r="H77" s="127"/>
      <c r="I77" s="90">
        <f>I76/I10</f>
        <v>1265.8251752591964</v>
      </c>
      <c r="J77" s="380"/>
      <c r="K77" s="374">
        <f>'Pricing Structure - GSS'!DE77</f>
        <v>1394.489691350956</v>
      </c>
      <c r="L77" s="380"/>
      <c r="M77" s="374">
        <f>'Pricing Structure - GSS'!DA77</f>
        <v>1430.1165783320996</v>
      </c>
      <c r="N77" s="380"/>
      <c r="O77" s="374">
        <f>'Pricing Structure - GSS'!DC77</f>
        <v>1400</v>
      </c>
      <c r="P77" s="380"/>
      <c r="Q77" s="374">
        <f>'Pricing Structure - GSS'!DK77</f>
        <v>1400</v>
      </c>
      <c r="R77" s="639"/>
      <c r="S77" s="127"/>
      <c r="T77" s="90">
        <f>T76/T10</f>
        <v>1355.2021653500001</v>
      </c>
      <c r="U77" s="127"/>
      <c r="V77" s="90">
        <f>V76/V10</f>
        <v>1425.6653271948867</v>
      </c>
      <c r="W77" s="380"/>
      <c r="X77" s="374">
        <f>'Pricing Structure - IIP'!CY77</f>
        <v>1550.8217022468612</v>
      </c>
      <c r="Y77" s="380"/>
      <c r="Z77" s="374">
        <f>'Pricing Structure - IIP'!CU77</f>
        <v>1568.3136234874919</v>
      </c>
      <c r="AA77" s="380"/>
      <c r="AB77" s="374">
        <f>'Pricing Structure - IIP'!CW77</f>
        <v>1550</v>
      </c>
      <c r="AC77" s="380"/>
      <c r="AD77" s="374">
        <f>'Pricing Structure - IIP'!DE77</f>
        <v>1600</v>
      </c>
      <c r="AE77" s="380"/>
      <c r="AF77" s="622" t="e">
        <f>'Pricing Structure - IIP'!#REF!</f>
        <v>#REF!</v>
      </c>
      <c r="AG77" s="639"/>
      <c r="AH77" s="127"/>
      <c r="AI77" s="90">
        <f>AI76/AI10</f>
        <v>1620.5209375533241</v>
      </c>
      <c r="AJ77" s="127"/>
      <c r="AK77" s="90">
        <f>AK76/AK10</f>
        <v>1663.2296213245379</v>
      </c>
      <c r="AL77" s="380"/>
      <c r="AM77" s="374">
        <f>'Pricing Structure - IHAG'!DE77</f>
        <v>1835.117518479761</v>
      </c>
      <c r="AN77" s="380"/>
      <c r="AO77" s="374">
        <f>'Pricing Structure - IHAG'!DA77</f>
        <v>1897.2099340107702</v>
      </c>
      <c r="AP77" s="380"/>
      <c r="AQ77" s="374">
        <f>'Pricing Structure - IHAG'!DC77</f>
        <v>1700</v>
      </c>
      <c r="AR77" s="380"/>
      <c r="AS77" s="374">
        <f>'Pricing Structure - IHAG'!DQ77</f>
        <v>1875</v>
      </c>
      <c r="AT77" s="684"/>
      <c r="AU77" s="622" t="e">
        <f>'Pricing Structure - IHAG'!#REF!</f>
        <v>#REF!</v>
      </c>
      <c r="AV77" s="639"/>
      <c r="AW77" s="380"/>
      <c r="AX77" s="374">
        <f>AX76/AX10</f>
        <v>1835.1175184797607</v>
      </c>
      <c r="AY77" s="278"/>
      <c r="AZ77" s="90">
        <f>AZ76/AZ10</f>
        <v>1347.1705214541798</v>
      </c>
      <c r="BA77" s="380"/>
      <c r="BB77" s="374">
        <v>1386.8850336877142</v>
      </c>
      <c r="BC77" s="380"/>
      <c r="BD77" s="374">
        <v>1358.6706734616632</v>
      </c>
      <c r="BE77" s="380"/>
      <c r="BF77" s="374">
        <v>1450</v>
      </c>
      <c r="BG77" s="380"/>
      <c r="BH77" s="374">
        <v>1500</v>
      </c>
      <c r="BI77" s="380"/>
      <c r="BJ77" s="374">
        <v>1550</v>
      </c>
      <c r="BK77" s="127"/>
      <c r="BL77" s="90">
        <v>3068.8037876739108</v>
      </c>
      <c r="BM77" s="380"/>
      <c r="BN77" s="374">
        <v>3288.7304973245705</v>
      </c>
      <c r="BO77" s="380"/>
      <c r="BP77" s="374">
        <v>3350</v>
      </c>
      <c r="BQ77" s="977"/>
      <c r="BR77" s="622">
        <v>3500</v>
      </c>
      <c r="BS77" s="127"/>
      <c r="BT77" s="90">
        <v>3377.9296778434505</v>
      </c>
      <c r="BU77" s="380"/>
      <c r="BV77" s="374">
        <v>3553.3705699351972</v>
      </c>
      <c r="BW77" s="380"/>
      <c r="BX77" s="374">
        <v>3600</v>
      </c>
      <c r="BY77" s="977"/>
      <c r="BZ77" s="622">
        <v>3700</v>
      </c>
      <c r="CA77" s="127"/>
      <c r="CB77" s="90">
        <v>2553.204490013236</v>
      </c>
      <c r="CC77" s="380"/>
      <c r="CD77" s="374">
        <v>2453.8792342559886</v>
      </c>
      <c r="CE77" s="380"/>
      <c r="CF77" s="374">
        <v>2500</v>
      </c>
      <c r="CG77" s="977"/>
      <c r="CH77" s="622">
        <v>2600</v>
      </c>
      <c r="CI77" s="380"/>
      <c r="CJ77" s="374">
        <f>CJ74*CJ79/CJ10</f>
        <v>1225.614</v>
      </c>
      <c r="CK77" s="380"/>
      <c r="CL77" s="374">
        <f>CL74*CL79/CL10</f>
        <v>0</v>
      </c>
      <c r="CM77" s="380"/>
      <c r="CN77" s="374">
        <f>CN74*CN79/CN10</f>
        <v>978.13425000000007</v>
      </c>
      <c r="CO77" s="380"/>
      <c r="CP77" s="374">
        <v>3150</v>
      </c>
      <c r="CR77" s="380"/>
      <c r="CS77" s="374">
        <f>CS74*CS79/CS10</f>
        <v>1231.5864999999999</v>
      </c>
      <c r="CT77" s="380"/>
      <c r="CU77" s="374">
        <f>CU74*CU79/CU10</f>
        <v>1051.163</v>
      </c>
      <c r="CV77" s="380"/>
      <c r="CW77" s="374">
        <f>CW74*CW79/CW10</f>
        <v>980.5625</v>
      </c>
      <c r="CX77" s="380"/>
      <c r="CY77" s="374">
        <v>3150</v>
      </c>
      <c r="DA77" s="380"/>
      <c r="DB77" s="374">
        <f>DB74*DB79/DB10</f>
        <v>1194.6983628970552</v>
      </c>
      <c r="DC77" s="380"/>
      <c r="DD77" s="374">
        <f>DD74*DD79/DD10</f>
        <v>1112.6789216152781</v>
      </c>
      <c r="DE77" s="380"/>
      <c r="DF77" s="374">
        <f>DF74*DF79/DF10</f>
        <v>952.3787324652925</v>
      </c>
      <c r="DH77" s="380"/>
      <c r="DI77" s="374">
        <v>1245</v>
      </c>
      <c r="DJ77" s="380"/>
      <c r="DK77" s="374">
        <v>1123</v>
      </c>
      <c r="DL77" s="380"/>
      <c r="DM77" s="374">
        <v>979</v>
      </c>
      <c r="DO77" s="380"/>
      <c r="DP77" s="374">
        <v>1284</v>
      </c>
      <c r="DQ77" s="380"/>
      <c r="DR77" s="374">
        <v>1129</v>
      </c>
      <c r="DS77" s="380"/>
      <c r="DT77" s="374">
        <v>1039</v>
      </c>
      <c r="DV77" s="380"/>
      <c r="DW77" s="374">
        <v>1313</v>
      </c>
      <c r="DX77" s="380"/>
      <c r="DY77" s="374">
        <v>1363</v>
      </c>
      <c r="EA77" s="380"/>
      <c r="EB77" s="374">
        <v>1302</v>
      </c>
      <c r="ED77" s="380"/>
      <c r="EE77" s="374">
        <v>1220</v>
      </c>
      <c r="EG77" s="380"/>
      <c r="EH77" s="374">
        <v>1211</v>
      </c>
      <c r="EJ77" s="380"/>
      <c r="EK77" s="374">
        <v>1265</v>
      </c>
      <c r="EM77" s="380"/>
      <c r="EN77" s="374">
        <v>1197</v>
      </c>
      <c r="EP77" s="380"/>
      <c r="EQ77" s="374">
        <v>1097</v>
      </c>
      <c r="ER77" s="380"/>
      <c r="ES77" s="374">
        <v>1270</v>
      </c>
      <c r="EU77" s="380"/>
      <c r="EV77" s="374">
        <v>1243</v>
      </c>
      <c r="EX77" s="380"/>
      <c r="EY77" s="374">
        <v>1265</v>
      </c>
      <c r="EZ77" s="380"/>
      <c r="FA77" s="374">
        <v>1211</v>
      </c>
      <c r="FB77" s="380"/>
      <c r="FC77" s="374">
        <v>1039</v>
      </c>
    </row>
    <row r="78" spans="1:159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380"/>
      <c r="K78" s="374"/>
      <c r="L78" s="380"/>
      <c r="M78" s="374"/>
      <c r="N78" s="380"/>
      <c r="O78" s="374"/>
      <c r="P78" s="380"/>
      <c r="Q78" s="374"/>
      <c r="R78" s="639"/>
      <c r="S78" s="127"/>
      <c r="T78" s="90"/>
      <c r="U78" s="127"/>
      <c r="V78" s="90"/>
      <c r="W78" s="380"/>
      <c r="X78" s="374"/>
      <c r="Y78" s="380"/>
      <c r="Z78" s="374"/>
      <c r="AA78" s="380"/>
      <c r="AB78" s="374"/>
      <c r="AC78" s="380"/>
      <c r="AD78" s="374"/>
      <c r="AE78" s="380"/>
      <c r="AF78" s="374"/>
      <c r="AG78" s="639"/>
      <c r="AH78" s="127"/>
      <c r="AI78" s="90"/>
      <c r="AJ78" s="127"/>
      <c r="AK78" s="90"/>
      <c r="AL78" s="380"/>
      <c r="AM78" s="374"/>
      <c r="AN78" s="380"/>
      <c r="AO78" s="374"/>
      <c r="AP78" s="380"/>
      <c r="AQ78" s="374"/>
      <c r="AR78" s="380"/>
      <c r="AS78" s="374"/>
      <c r="AT78" s="380"/>
      <c r="AU78" s="374"/>
      <c r="AV78" s="639"/>
      <c r="AW78" s="380"/>
      <c r="AX78" s="374"/>
      <c r="AY78" s="278"/>
      <c r="AZ78" s="90"/>
      <c r="BA78" s="380"/>
      <c r="BB78" s="374"/>
      <c r="BC78" s="380"/>
      <c r="BD78" s="374"/>
      <c r="BE78" s="380"/>
      <c r="BF78" s="374"/>
      <c r="BG78" s="380"/>
      <c r="BH78" s="374"/>
      <c r="BI78" s="380"/>
      <c r="BJ78" s="374"/>
      <c r="BK78" s="127"/>
      <c r="BL78" s="90"/>
      <c r="BM78" s="380"/>
      <c r="BN78" s="374"/>
      <c r="BO78" s="380"/>
      <c r="BP78" s="374"/>
      <c r="BQ78" s="380"/>
      <c r="BR78" s="374"/>
      <c r="BS78" s="127"/>
      <c r="BT78" s="90"/>
      <c r="BU78" s="380"/>
      <c r="BV78" s="374"/>
      <c r="BW78" s="380"/>
      <c r="BX78" s="374"/>
      <c r="BY78" s="380"/>
      <c r="BZ78" s="374"/>
      <c r="CA78" s="127"/>
      <c r="CB78" s="90"/>
      <c r="CC78" s="380"/>
      <c r="CD78" s="374"/>
      <c r="CE78" s="380"/>
      <c r="CF78" s="374"/>
      <c r="CG78" s="380"/>
      <c r="CH78" s="374"/>
      <c r="CI78" s="380"/>
      <c r="CJ78" s="374"/>
      <c r="CK78" s="380"/>
      <c r="CL78" s="374"/>
      <c r="CM78" s="380"/>
      <c r="CN78" s="374"/>
      <c r="CO78" s="380"/>
      <c r="CP78" s="374"/>
      <c r="CR78" s="380"/>
      <c r="CS78" s="374"/>
      <c r="CT78" s="380"/>
      <c r="CU78" s="374"/>
      <c r="CV78" s="380"/>
      <c r="CW78" s="374"/>
      <c r="CX78" s="380"/>
      <c r="CY78" s="374"/>
      <c r="DA78" s="380"/>
      <c r="DB78" s="374"/>
      <c r="DC78" s="380"/>
      <c r="DD78" s="374"/>
      <c r="DE78" s="380"/>
      <c r="DF78" s="374"/>
      <c r="DH78" s="380"/>
      <c r="DI78" s="374"/>
      <c r="DJ78" s="380"/>
      <c r="DK78" s="374"/>
      <c r="DL78" s="380"/>
      <c r="DM78" s="374"/>
      <c r="DO78" s="380"/>
      <c r="DP78" s="374"/>
      <c r="DQ78" s="380"/>
      <c r="DR78" s="374"/>
      <c r="DS78" s="380"/>
      <c r="DT78" s="374"/>
      <c r="DV78" s="380"/>
      <c r="DW78" s="374"/>
      <c r="DX78" s="380"/>
      <c r="DY78" s="374"/>
      <c r="EA78" s="380"/>
      <c r="EB78" s="374"/>
      <c r="ED78" s="380"/>
      <c r="EE78" s="374"/>
      <c r="EG78" s="380"/>
      <c r="EH78" s="374"/>
      <c r="EJ78" s="380"/>
      <c r="EK78" s="374"/>
      <c r="EM78" s="380"/>
      <c r="EN78" s="374"/>
      <c r="EP78" s="380"/>
      <c r="EQ78" s="374"/>
      <c r="ER78" s="380"/>
      <c r="ES78" s="374"/>
      <c r="EU78" s="380"/>
      <c r="EV78" s="374"/>
      <c r="EX78" s="380"/>
      <c r="EY78" s="374"/>
      <c r="EZ78" s="380"/>
      <c r="FA78" s="374"/>
      <c r="FB78" s="380"/>
      <c r="FC78" s="374"/>
    </row>
    <row r="79" spans="1:159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v>14650.834220000001</v>
      </c>
      <c r="H79" s="42"/>
      <c r="I79" s="88">
        <v>14332.125319999999</v>
      </c>
      <c r="J79" s="359"/>
      <c r="K79" s="372">
        <f>'Pricing Structure - GSS'!DE79</f>
        <v>14436.465450318326</v>
      </c>
      <c r="L79" s="359"/>
      <c r="M79" s="372">
        <f>'Pricing Structure - GSS'!DA79</f>
        <v>14989.334992089991</v>
      </c>
      <c r="N79" s="359"/>
      <c r="O79" s="372">
        <f>'Pricing Structure - GSS'!DC79</f>
        <v>15000</v>
      </c>
      <c r="P79" s="359"/>
      <c r="Q79" s="372">
        <f>'Pricing Structure - GSS'!DK79</f>
        <v>15400</v>
      </c>
      <c r="R79" s="630"/>
      <c r="S79" s="42"/>
      <c r="T79" s="88">
        <f>G79</f>
        <v>14650.834220000001</v>
      </c>
      <c r="U79" s="42"/>
      <c r="V79" s="88">
        <f>I79</f>
        <v>14332.125319999999</v>
      </c>
      <c r="W79" s="359"/>
      <c r="X79" s="372">
        <f>'Pricing Structure - IIP'!CY79</f>
        <v>14461.683501648698</v>
      </c>
      <c r="Y79" s="359"/>
      <c r="Z79" s="372">
        <f>'Pricing Structure - IIP'!CU79</f>
        <v>15037</v>
      </c>
      <c r="AA79" s="359"/>
      <c r="AB79" s="372">
        <f>'Pricing Structure - IIP'!CW79</f>
        <v>15000</v>
      </c>
      <c r="AC79" s="359"/>
      <c r="AD79" s="372">
        <f>'Pricing Structure - IIP'!DE79</f>
        <v>15000</v>
      </c>
      <c r="AE79" s="359"/>
      <c r="AF79" s="372" t="e">
        <f>'Pricing Structure - IIP'!#REF!</f>
        <v>#REF!</v>
      </c>
      <c r="AG79" s="630"/>
      <c r="AH79" s="42"/>
      <c r="AI79" s="88">
        <f>T79</f>
        <v>14650.834220000001</v>
      </c>
      <c r="AJ79" s="42"/>
      <c r="AK79" s="88">
        <f>V79</f>
        <v>14332.125319999999</v>
      </c>
      <c r="AL79" s="359"/>
      <c r="AM79" s="372">
        <f>'Pricing Structure - IHAG'!DE79</f>
        <v>14463.887028354291</v>
      </c>
      <c r="AN79" s="359"/>
      <c r="AO79" s="372">
        <f>'Pricing Structure - IHAG'!DA79</f>
        <v>14981.345679942253</v>
      </c>
      <c r="AP79" s="359"/>
      <c r="AQ79" s="372">
        <f>'Pricing Structure - IHAG'!DC79</f>
        <v>15000</v>
      </c>
      <c r="AR79" s="359"/>
      <c r="AS79" s="372">
        <f>'Pricing Structure - IHAG'!DQ79</f>
        <v>15400</v>
      </c>
      <c r="AT79" s="359"/>
      <c r="AU79" s="372" t="e">
        <f>'Pricing Structure - IHAG'!#REF!</f>
        <v>#REF!</v>
      </c>
      <c r="AV79" s="632"/>
      <c r="AW79" s="359"/>
      <c r="AX79" s="372">
        <f>AM79</f>
        <v>14463.887028354291</v>
      </c>
      <c r="AY79" s="270"/>
      <c r="AZ79" s="88">
        <f>AI79</f>
        <v>14650.834220000001</v>
      </c>
      <c r="BA79" s="359"/>
      <c r="BB79" s="372">
        <v>14300</v>
      </c>
      <c r="BC79" s="359"/>
      <c r="BD79" s="372">
        <v>14347</v>
      </c>
      <c r="BE79" s="359"/>
      <c r="BF79" s="372">
        <v>14950</v>
      </c>
      <c r="BG79" s="359"/>
      <c r="BH79" s="372">
        <v>14800</v>
      </c>
      <c r="BI79" s="359"/>
      <c r="BJ79" s="372">
        <f>BH79</f>
        <v>14800</v>
      </c>
      <c r="BK79" s="42"/>
      <c r="BL79" s="88">
        <v>14390.990984493328</v>
      </c>
      <c r="BM79" s="359"/>
      <c r="BN79" s="372">
        <v>15006.647784200386</v>
      </c>
      <c r="BO79" s="359"/>
      <c r="BP79" s="372">
        <v>14800</v>
      </c>
      <c r="BQ79" s="359"/>
      <c r="BR79" s="372">
        <f>BH79</f>
        <v>14800</v>
      </c>
      <c r="BS79" s="42"/>
      <c r="BT79" s="88">
        <v>14480.113324437667</v>
      </c>
      <c r="BU79" s="359"/>
      <c r="BV79" s="372">
        <v>14967.805690492713</v>
      </c>
      <c r="BW79" s="359"/>
      <c r="BX79" s="372">
        <v>14800</v>
      </c>
      <c r="BY79" s="359"/>
      <c r="BZ79" s="372">
        <f>BR79</f>
        <v>14800</v>
      </c>
      <c r="CA79" s="42"/>
      <c r="CB79" s="88">
        <v>14451.89156626506</v>
      </c>
      <c r="CC79" s="359"/>
      <c r="CD79" s="372">
        <v>14943.938980918432</v>
      </c>
      <c r="CE79" s="359"/>
      <c r="CF79" s="372">
        <v>14800</v>
      </c>
      <c r="CG79" s="359"/>
      <c r="CH79" s="372">
        <f>BZ79</f>
        <v>14800</v>
      </c>
      <c r="CI79" s="359"/>
      <c r="CJ79" s="372">
        <v>15713</v>
      </c>
      <c r="CK79" s="359"/>
      <c r="CL79" s="372">
        <v>15713</v>
      </c>
      <c r="CM79" s="359"/>
      <c r="CN79" s="372">
        <v>15713</v>
      </c>
      <c r="CO79" s="359"/>
      <c r="CP79" s="372">
        <v>15000</v>
      </c>
      <c r="CR79" s="359"/>
      <c r="CS79" s="372">
        <v>15689</v>
      </c>
      <c r="CT79" s="359"/>
      <c r="CU79" s="372">
        <v>15689</v>
      </c>
      <c r="CV79" s="359"/>
      <c r="CW79" s="372">
        <v>15689</v>
      </c>
      <c r="CX79" s="359"/>
      <c r="CY79" s="372">
        <v>15000</v>
      </c>
      <c r="DA79" s="359"/>
      <c r="DB79" s="372">
        <v>15520</v>
      </c>
      <c r="DC79" s="359"/>
      <c r="DD79" s="372">
        <v>15520</v>
      </c>
      <c r="DE79" s="359"/>
      <c r="DF79" s="372">
        <v>15520</v>
      </c>
      <c r="DH79" s="359"/>
      <c r="DI79" s="372">
        <v>15582</v>
      </c>
      <c r="DJ79" s="359"/>
      <c r="DK79" s="372">
        <v>15582</v>
      </c>
      <c r="DL79" s="359"/>
      <c r="DM79" s="372">
        <v>15582</v>
      </c>
      <c r="DO79" s="359"/>
      <c r="DP79" s="372">
        <v>15701</v>
      </c>
      <c r="DQ79" s="359"/>
      <c r="DR79" s="372">
        <v>15701</v>
      </c>
      <c r="DS79" s="359"/>
      <c r="DT79" s="372">
        <v>15701</v>
      </c>
      <c r="DV79" s="359"/>
      <c r="DW79" s="372">
        <v>16065</v>
      </c>
      <c r="DX79" s="359"/>
      <c r="DY79" s="372">
        <v>16065</v>
      </c>
      <c r="EA79" s="359"/>
      <c r="EB79" s="372">
        <v>16077</v>
      </c>
      <c r="ED79" s="359"/>
      <c r="EE79" s="372">
        <v>16264</v>
      </c>
      <c r="EG79" s="359"/>
      <c r="EH79" s="372">
        <v>15967</v>
      </c>
      <c r="EJ79" s="359"/>
      <c r="EK79" s="372">
        <v>15383</v>
      </c>
      <c r="EM79" s="359"/>
      <c r="EN79" s="372">
        <v>15480</v>
      </c>
      <c r="EP79" s="359"/>
      <c r="EQ79" s="372">
        <v>15769</v>
      </c>
      <c r="ER79" s="359"/>
      <c r="ES79" s="372">
        <v>15769</v>
      </c>
      <c r="EU79" s="359"/>
      <c r="EV79" s="372">
        <v>15972</v>
      </c>
      <c r="EX79" s="359"/>
      <c r="EY79" s="372">
        <v>15500</v>
      </c>
      <c r="EZ79" s="359"/>
      <c r="FA79" s="372">
        <v>15500</v>
      </c>
      <c r="FB79" s="359"/>
      <c r="FC79" s="372">
        <v>15500</v>
      </c>
    </row>
    <row r="80" spans="1:159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368">
        <f>+G67-G74</f>
        <v>2.1446938324744851</v>
      </c>
      <c r="H80" s="50"/>
      <c r="I80" s="72">
        <f>+I67-I74</f>
        <v>1.7701627477768795</v>
      </c>
      <c r="J80" s="363"/>
      <c r="K80" s="368">
        <f>+K67-K74</f>
        <v>1.8693844888646565</v>
      </c>
      <c r="L80" s="363"/>
      <c r="M80" s="368">
        <f>+M67-M74</f>
        <v>1.923642358819027</v>
      </c>
      <c r="N80" s="363"/>
      <c r="O80" s="368">
        <f>+O67-O74</f>
        <v>2.0066666666666668</v>
      </c>
      <c r="P80" s="363"/>
      <c r="Q80" s="368">
        <f>+Q67-Q74</f>
        <v>2.103636363636364</v>
      </c>
      <c r="R80" s="630"/>
      <c r="S80" s="50"/>
      <c r="T80" s="368">
        <f>+T67-T74</f>
        <v>1.7374999999999998</v>
      </c>
      <c r="U80" s="50"/>
      <c r="V80" s="72">
        <f>+V67-V74</f>
        <v>1.3335637421501785</v>
      </c>
      <c r="W80" s="363"/>
      <c r="X80" s="368">
        <f>+X67-X74</f>
        <v>1.4386834752026312</v>
      </c>
      <c r="Y80" s="363"/>
      <c r="Z80" s="368">
        <f>+Z67-Z74</f>
        <v>1.5681209723016778</v>
      </c>
      <c r="AA80" s="363"/>
      <c r="AB80" s="368">
        <f>+AB67-AB74</f>
        <v>1.6066666666666665</v>
      </c>
      <c r="AC80" s="363"/>
      <c r="AD80" s="368">
        <f>+AD67-AD74</f>
        <v>1.4733333333333336</v>
      </c>
      <c r="AE80" s="363"/>
      <c r="AF80" s="368" t="e">
        <f>'Pricing Structure - IIP'!#REF!</f>
        <v>#REF!</v>
      </c>
      <c r="AG80" s="630"/>
      <c r="AH80" s="50"/>
      <c r="AI80" s="368">
        <f>+AI67-AI74</f>
        <v>0.97280449128703239</v>
      </c>
      <c r="AJ80" s="50"/>
      <c r="AK80" s="72">
        <f>+AK67-AK74</f>
        <v>0.63409407719430089</v>
      </c>
      <c r="AL80" s="363"/>
      <c r="AM80" s="368">
        <f>+AM67-AM74</f>
        <v>0.62980200335628833</v>
      </c>
      <c r="AN80" s="363"/>
      <c r="AO80" s="368">
        <f>+AO67-AO74</f>
        <v>0.64447391297873491</v>
      </c>
      <c r="AP80" s="363"/>
      <c r="AQ80" s="368">
        <f>+AQ67-AQ74</f>
        <v>1.1766666666666667</v>
      </c>
      <c r="AR80" s="363"/>
      <c r="AS80" s="368">
        <f>+AS67-AS74</f>
        <v>0.8398701298701301</v>
      </c>
      <c r="AT80" s="363"/>
      <c r="AU80" s="368" t="e">
        <f>'Pricing Structure - IHAG'!#REF!</f>
        <v>#REF!</v>
      </c>
      <c r="AV80" s="630"/>
      <c r="AW80" s="363"/>
      <c r="AX80" s="368">
        <f>+AX67-AX74</f>
        <v>0.63496722386648319</v>
      </c>
      <c r="AY80" s="269"/>
      <c r="AZ80" s="72">
        <f>+AZ67-AZ74</f>
        <v>1.6249240222346555</v>
      </c>
      <c r="BA80" s="363"/>
      <c r="BB80" s="368">
        <f>+BB67-BB74</f>
        <v>1.8606013043700305</v>
      </c>
      <c r="BC80" s="363"/>
      <c r="BD80" s="368">
        <f>+BD67-BD74</f>
        <v>1.9519727512046749</v>
      </c>
      <c r="BE80" s="363"/>
      <c r="BF80" s="368">
        <f>+BF67-BF74</f>
        <v>1.8604013377926423</v>
      </c>
      <c r="BG80" s="363"/>
      <c r="BH80" s="368">
        <f>+BH67-BH74</f>
        <v>1.6859459459459458</v>
      </c>
      <c r="BI80" s="363"/>
      <c r="BJ80" s="368">
        <f>+BJ67-BJ74</f>
        <v>1.5508108108108107</v>
      </c>
      <c r="BK80" s="50"/>
      <c r="BL80" s="72">
        <f>+BL67-BL74</f>
        <v>1.9210625722879318</v>
      </c>
      <c r="BM80" s="363"/>
      <c r="BN80" s="368">
        <f>+BN67-BN74</f>
        <v>1.850181100042545</v>
      </c>
      <c r="BO80" s="363"/>
      <c r="BP80" s="368">
        <f>+BP67-BP74</f>
        <v>1.7637837837837842</v>
      </c>
      <c r="BQ80" s="363"/>
      <c r="BR80" s="368">
        <f>+BR67-BR74</f>
        <v>1.9621621621621621</v>
      </c>
      <c r="BS80" s="50"/>
      <c r="BT80" s="72">
        <f>+BT67-BT74</f>
        <v>1.3306326728319591</v>
      </c>
      <c r="BU80" s="363"/>
      <c r="BV80" s="368">
        <f>+BV67-BV74</f>
        <v>1.2811891775621573</v>
      </c>
      <c r="BW80" s="363"/>
      <c r="BX80" s="368">
        <f>+BX67-BX74</f>
        <v>1.211081081081081</v>
      </c>
      <c r="BY80" s="363"/>
      <c r="BZ80" s="368">
        <f>+BZ67-BZ74</f>
        <v>1.2999999999999998</v>
      </c>
      <c r="CA80" s="50"/>
      <c r="CB80" s="72">
        <f>+CB67-CB74</f>
        <v>1.8099385880146039</v>
      </c>
      <c r="CC80" s="363"/>
      <c r="CD80" s="368">
        <f>+CD67-CD74</f>
        <v>2.1090643673436458</v>
      </c>
      <c r="CE80" s="363"/>
      <c r="CF80" s="368">
        <f>+CF67-CF74</f>
        <v>1.9959459459459454</v>
      </c>
      <c r="CG80" s="363"/>
      <c r="CH80" s="368">
        <f>+CH67-CH74</f>
        <v>1.833783783783784</v>
      </c>
      <c r="CI80" s="363"/>
      <c r="CJ80" s="368">
        <f>+CJ67-CJ74</f>
        <v>2.63</v>
      </c>
      <c r="CK80" s="363"/>
      <c r="CL80" s="368">
        <f>+CL67-CL74</f>
        <v>5.75</v>
      </c>
      <c r="CM80" s="363"/>
      <c r="CN80" s="368">
        <f>+CN67-CN74</f>
        <v>3.26</v>
      </c>
      <c r="CO80" s="363"/>
      <c r="CP80" s="368">
        <f>+CP67-CP74</f>
        <v>1.8899999999999997</v>
      </c>
      <c r="CR80" s="363"/>
      <c r="CS80" s="368">
        <f>+CS67-CS74</f>
        <v>2.7099999999999995</v>
      </c>
      <c r="CT80" s="363"/>
      <c r="CU80" s="368">
        <f>+CU67-CU74</f>
        <v>3.1699999999999995</v>
      </c>
      <c r="CV80" s="363"/>
      <c r="CW80" s="368">
        <f>+CW67-CW74</f>
        <v>3.3499999999999996</v>
      </c>
      <c r="CX80" s="363"/>
      <c r="CY80" s="368">
        <f>+CY67-CY74</f>
        <v>2.0221161219979087</v>
      </c>
      <c r="DA80" s="363"/>
      <c r="DB80" s="368">
        <f>+DB67-DB74</f>
        <v>2.7708805079972798</v>
      </c>
      <c r="DC80" s="363"/>
      <c r="DD80" s="368">
        <f>+DD67-DD74</f>
        <v>2.9822708205791795</v>
      </c>
      <c r="DE80" s="363"/>
      <c r="DF80" s="368">
        <f>+DF67-DF74</f>
        <v>3.3954156379760496</v>
      </c>
      <c r="DH80" s="363"/>
      <c r="DI80" s="368">
        <f>+DI67-DI74</f>
        <v>2.6540046207162105</v>
      </c>
      <c r="DJ80" s="363"/>
      <c r="DK80" s="368">
        <f>+DK67-DK74</f>
        <v>2.9671864972404056</v>
      </c>
      <c r="DL80" s="363"/>
      <c r="DM80" s="368">
        <f>+DM67-DM74</f>
        <v>3.336843794121422</v>
      </c>
      <c r="DO80" s="363"/>
      <c r="DP80" s="368">
        <f>+DP67-DP74</f>
        <v>2.5788707725622566</v>
      </c>
      <c r="DQ80" s="363"/>
      <c r="DR80" s="368">
        <f>+DR67-DR74</f>
        <v>2.9737500796127629</v>
      </c>
      <c r="DS80" s="363"/>
      <c r="DT80" s="368">
        <f>+DT67-DT74</f>
        <v>3.2030348385453151</v>
      </c>
      <c r="DV80" s="363"/>
      <c r="DW80" s="368">
        <f>+DW67-DW74</f>
        <v>2.5807812013694367</v>
      </c>
      <c r="DX80" s="363"/>
      <c r="DY80" s="368">
        <f>+DY67-DY74</f>
        <v>2.4562869592281356</v>
      </c>
      <c r="EA80" s="363"/>
      <c r="EB80" s="368">
        <f>+EB67-EB74</f>
        <v>2.6105896622504194</v>
      </c>
      <c r="ED80" s="363"/>
      <c r="EE80" s="368">
        <f>+EE67-EE74</f>
        <v>2.8495081160846034</v>
      </c>
      <c r="EG80" s="363"/>
      <c r="EH80" s="368">
        <f>+EH67-EH74</f>
        <v>2.8162428759316089</v>
      </c>
      <c r="EJ80" s="363"/>
      <c r="EK80" s="368">
        <f>+EK67-EK74</f>
        <v>2.5606546187349668</v>
      </c>
      <c r="EM80" s="363"/>
      <c r="EN80" s="368">
        <f>+EN67-EN74</f>
        <v>2.756976744186046</v>
      </c>
      <c r="EP80" s="363"/>
      <c r="EQ80" s="368">
        <f>+EQ67-EQ74</f>
        <v>3.0673251315872911</v>
      </c>
      <c r="ER80" s="363"/>
      <c r="ES80" s="368">
        <f>+ES67-ES74</f>
        <v>2.6284894413088966</v>
      </c>
      <c r="EU80" s="363"/>
      <c r="EV80" s="368">
        <f>+EV67-EV74</f>
        <v>2.7370523415977961</v>
      </c>
      <c r="EX80" s="363"/>
      <c r="EY80" s="368">
        <f>+EY67-EY74</f>
        <v>2.5854838709677415</v>
      </c>
      <c r="EZ80" s="363"/>
      <c r="FA80" s="368">
        <f>+FA67-FA74</f>
        <v>2.7248387096774191</v>
      </c>
      <c r="FB80" s="363"/>
      <c r="FC80" s="368">
        <f>+FC67-FC74</f>
        <v>3.1687096774193546</v>
      </c>
    </row>
    <row r="81" spans="1:159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5.361734581186213E-2</v>
      </c>
      <c r="H81" s="50"/>
      <c r="I81" s="72">
        <f>+I80/I10</f>
        <v>4.4254068694421986E-2</v>
      </c>
      <c r="J81" s="363"/>
      <c r="K81" s="368">
        <f>+K80/K10</f>
        <v>4.6734612221616414E-2</v>
      </c>
      <c r="L81" s="363"/>
      <c r="M81" s="368">
        <f>+M80/M10</f>
        <v>4.8091058970475678E-2</v>
      </c>
      <c r="N81" s="363"/>
      <c r="O81" s="368">
        <f>+O80/O10</f>
        <v>5.0166666666666672E-2</v>
      </c>
      <c r="P81" s="363"/>
      <c r="Q81" s="368">
        <f>+Q80/Q10</f>
        <v>5.2590909090909098E-2</v>
      </c>
      <c r="R81" s="630"/>
      <c r="S81" s="50"/>
      <c r="T81" s="72">
        <f>+T80/T10</f>
        <v>4.3437499999999997E-2</v>
      </c>
      <c r="U81" s="50"/>
      <c r="V81" s="72">
        <f>+V80/V10</f>
        <v>3.3339093553754459E-2</v>
      </c>
      <c r="W81" s="363"/>
      <c r="X81" s="368">
        <f>+X80/X10</f>
        <v>3.5967086880065779E-2</v>
      </c>
      <c r="Y81" s="363"/>
      <c r="Z81" s="368">
        <f>+Z80/Z10</f>
        <v>3.9203024307541946E-2</v>
      </c>
      <c r="AA81" s="363"/>
      <c r="AB81" s="368">
        <f>+AB80/AB10</f>
        <v>4.0166666666666663E-2</v>
      </c>
      <c r="AC81" s="363"/>
      <c r="AD81" s="368">
        <f>+AD80/AD10</f>
        <v>3.6833333333333343E-2</v>
      </c>
      <c r="AE81" s="363"/>
      <c r="AF81" s="368" t="e">
        <f>'Pricing Structure - IIP'!#REF!</f>
        <v>#REF!</v>
      </c>
      <c r="AG81" s="630"/>
      <c r="AH81" s="50"/>
      <c r="AI81" s="72">
        <f>+AI80/AI10</f>
        <v>2.4320112282175808E-2</v>
      </c>
      <c r="AJ81" s="50"/>
      <c r="AK81" s="72">
        <f>+AK80/AK10</f>
        <v>1.5852351929857521E-2</v>
      </c>
      <c r="AL81" s="363"/>
      <c r="AM81" s="368">
        <f>+AM80/AM10</f>
        <v>1.5745050083907208E-2</v>
      </c>
      <c r="AN81" s="363"/>
      <c r="AO81" s="368">
        <f>+AO80/AO10</f>
        <v>1.6111847824468374E-2</v>
      </c>
      <c r="AP81" s="363"/>
      <c r="AQ81" s="368">
        <f>+AQ80/AQ10</f>
        <v>2.9416666666666667E-2</v>
      </c>
      <c r="AR81" s="363"/>
      <c r="AS81" s="368">
        <f>+AS80/AS10</f>
        <v>2.0996753246753253E-2</v>
      </c>
      <c r="AT81" s="363"/>
      <c r="AU81" s="368" t="e">
        <f>'Pricing Structure - IHAG'!#REF!</f>
        <v>#REF!</v>
      </c>
      <c r="AV81" s="630"/>
      <c r="AW81" s="363"/>
      <c r="AX81" s="368">
        <f>+AX80/AX10</f>
        <v>1.5874180596662079E-2</v>
      </c>
      <c r="AY81" s="269"/>
      <c r="AZ81" s="72">
        <f>+AZ80/AZ10</f>
        <v>4.062310055586639E-2</v>
      </c>
      <c r="BA81" s="363"/>
      <c r="BB81" s="368">
        <f>+BB80/BB10</f>
        <v>4.6515032609250759E-2</v>
      </c>
      <c r="BC81" s="363"/>
      <c r="BD81" s="368">
        <f>+BD80/BD10</f>
        <v>4.8799318780116875E-2</v>
      </c>
      <c r="BE81" s="363"/>
      <c r="BF81" s="368">
        <f>+BF80/BF10</f>
        <v>4.6510033444816058E-2</v>
      </c>
      <c r="BG81" s="363"/>
      <c r="BH81" s="368">
        <f>+BH80/BH10</f>
        <v>4.2148648648648646E-2</v>
      </c>
      <c r="BI81" s="363"/>
      <c r="BJ81" s="368">
        <f>+BJ80/BJ10</f>
        <v>3.8770270270270267E-2</v>
      </c>
      <c r="BK81" s="50"/>
      <c r="BL81" s="72">
        <f>+BL80/BL10</f>
        <v>0.16008854769066097</v>
      </c>
      <c r="BM81" s="363"/>
      <c r="BN81" s="368">
        <f>+BN80/BN10</f>
        <v>0.15418175833687875</v>
      </c>
      <c r="BO81" s="363"/>
      <c r="BP81" s="368">
        <f>+BP80/BP10</f>
        <v>0.14698198198198201</v>
      </c>
      <c r="BQ81" s="363"/>
      <c r="BR81" s="368">
        <f>+BR80/BR10</f>
        <v>0.16351351351351351</v>
      </c>
      <c r="BS81" s="50"/>
      <c r="BT81" s="72">
        <f>+BT80/BT10</f>
        <v>0.11088605606932993</v>
      </c>
      <c r="BU81" s="363"/>
      <c r="BV81" s="368">
        <f>+BV80/BV10</f>
        <v>0.10676576479684645</v>
      </c>
      <c r="BW81" s="363"/>
      <c r="BX81" s="368">
        <f>+BX80/BX10</f>
        <v>0.10092342342342342</v>
      </c>
      <c r="BY81" s="1074"/>
      <c r="BZ81" s="368">
        <f>+BZ80/BZ10</f>
        <v>0.10833333333333332</v>
      </c>
      <c r="CA81" s="50"/>
      <c r="CB81" s="72">
        <f>+CB80/CB10</f>
        <v>7.5414107833941826E-2</v>
      </c>
      <c r="CC81" s="363"/>
      <c r="CD81" s="368">
        <f>+CD80/CD10</f>
        <v>8.7877681972651903E-2</v>
      </c>
      <c r="CE81" s="363"/>
      <c r="CF81" s="368">
        <f>+CF80/CF10</f>
        <v>8.3164414414414398E-2</v>
      </c>
      <c r="CG81" s="1074"/>
      <c r="CH81" s="368">
        <f>+CH80/CH10</f>
        <v>7.6407657657657668E-2</v>
      </c>
      <c r="CI81" s="363"/>
      <c r="CJ81" s="368">
        <f>+CJ80/CJ10</f>
        <v>6.5750000000000003E-2</v>
      </c>
      <c r="CK81" s="363"/>
      <c r="CL81" s="368">
        <f>+CL80/CL10</f>
        <v>0.14374999999999999</v>
      </c>
      <c r="CM81" s="363"/>
      <c r="CN81" s="368">
        <f>+CN80/CN10</f>
        <v>8.1499999999999989E-2</v>
      </c>
      <c r="CO81" s="363"/>
      <c r="CP81" s="368">
        <f>+CP80/CP10</f>
        <v>0.15749999999999997</v>
      </c>
      <c r="CR81" s="363"/>
      <c r="CS81" s="368">
        <f>+CS80/CS10</f>
        <v>6.7749999999999991E-2</v>
      </c>
      <c r="CT81" s="363"/>
      <c r="CU81" s="368">
        <f>+CU80/CU10</f>
        <v>7.9249999999999987E-2</v>
      </c>
      <c r="CV81" s="363"/>
      <c r="CW81" s="368">
        <f>+CW80/CW10</f>
        <v>8.3749999999999991E-2</v>
      </c>
      <c r="CX81" s="363"/>
      <c r="CY81" s="368">
        <f>+CY80/CY10</f>
        <v>0.16850967683315907</v>
      </c>
      <c r="DA81" s="363"/>
      <c r="DB81" s="368">
        <f>+DB80/DB10</f>
        <v>6.9272012699931995E-2</v>
      </c>
      <c r="DC81" s="363"/>
      <c r="DD81" s="368">
        <f>+DD80/DD10</f>
        <v>7.4556770514479481E-2</v>
      </c>
      <c r="DE81" s="363"/>
      <c r="DF81" s="368">
        <f>+DF80/DF10</f>
        <v>8.4885390949401243E-2</v>
      </c>
      <c r="DH81" s="363"/>
      <c r="DI81" s="368">
        <f>+DI80/DI10</f>
        <v>6.6350115517905262E-2</v>
      </c>
      <c r="DJ81" s="363"/>
      <c r="DK81" s="368">
        <f>+DK80/DK10</f>
        <v>7.4179662431010138E-2</v>
      </c>
      <c r="DL81" s="363"/>
      <c r="DM81" s="368">
        <f>+DM80/DM10</f>
        <v>8.3421094853035546E-2</v>
      </c>
      <c r="DO81" s="363"/>
      <c r="DP81" s="368">
        <f>+DP80/DP10</f>
        <v>6.4471769314056418E-2</v>
      </c>
      <c r="DQ81" s="363"/>
      <c r="DR81" s="368">
        <f>+DR80/DR10</f>
        <v>7.4343751990319076E-2</v>
      </c>
      <c r="DS81" s="363"/>
      <c r="DT81" s="368">
        <f>+DT80/DT10</f>
        <v>8.0075870963632875E-2</v>
      </c>
      <c r="DV81" s="363"/>
      <c r="DW81" s="368">
        <f>+DW80/DW10</f>
        <v>6.4519530034235911E-2</v>
      </c>
      <c r="DX81" s="363"/>
      <c r="DY81" s="368">
        <f>+DY80/DY10</f>
        <v>6.1407173980703389E-2</v>
      </c>
      <c r="EA81" s="363"/>
      <c r="EB81" s="368">
        <f>+EB80/EB10</f>
        <v>6.5264741556260483E-2</v>
      </c>
      <c r="ED81" s="363"/>
      <c r="EE81" s="368">
        <f>+EE80/EE10</f>
        <v>7.1237702902115091E-2</v>
      </c>
      <c r="EG81" s="363"/>
      <c r="EH81" s="368">
        <f>+EH80/EH10</f>
        <v>7.0406071898290221E-2</v>
      </c>
      <c r="EJ81" s="363"/>
      <c r="EK81" s="368">
        <f>+EK80/EK10</f>
        <v>6.4016365468374165E-2</v>
      </c>
      <c r="EM81" s="363"/>
      <c r="EN81" s="368">
        <f>+EN80/EN10</f>
        <v>6.892441860465115E-2</v>
      </c>
      <c r="EP81" s="363"/>
      <c r="EQ81" s="368">
        <f>+EQ80/EQ10</f>
        <v>7.6683128289682281E-2</v>
      </c>
      <c r="ER81" s="363"/>
      <c r="ES81" s="368">
        <f>+ES80/ES10</f>
        <v>6.5712236032722415E-2</v>
      </c>
      <c r="EU81" s="363"/>
      <c r="EV81" s="368">
        <f>+EV80/EV10</f>
        <v>6.8426308539944899E-2</v>
      </c>
      <c r="EX81" s="363"/>
      <c r="EY81" s="368">
        <f>+EY80/EY10</f>
        <v>6.4637096774193534E-2</v>
      </c>
      <c r="EZ81" s="363"/>
      <c r="FA81" s="368">
        <f>+FA80/FA10</f>
        <v>6.8120967741935476E-2</v>
      </c>
      <c r="FB81" s="363"/>
      <c r="FC81" s="368">
        <f>+FC80/FC10</f>
        <v>7.9217741935483865E-2</v>
      </c>
    </row>
    <row r="82" spans="1:159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382">
        <f>+G80/G67</f>
        <v>0.39425417407332253</v>
      </c>
      <c r="H82" s="132"/>
      <c r="I82" s="133">
        <f>+I80/I67</f>
        <v>0.33380428571250842</v>
      </c>
      <c r="J82" s="1125"/>
      <c r="K82" s="611">
        <f>+K80/K67</f>
        <v>0.32606400767481741</v>
      </c>
      <c r="L82" s="1125"/>
      <c r="M82" s="611">
        <f>+M80/M67</f>
        <v>0.33512933080470853</v>
      </c>
      <c r="N82" s="1125"/>
      <c r="O82" s="611">
        <f>+O80/O67</f>
        <v>0.34959349593495936</v>
      </c>
      <c r="P82" s="381"/>
      <c r="Q82" s="611">
        <f>+Q80/Q67</f>
        <v>0.36648717136522019</v>
      </c>
      <c r="R82" s="645"/>
      <c r="S82" s="132"/>
      <c r="T82" s="382">
        <f>+T80/T67</f>
        <v>0.31954022988505743</v>
      </c>
      <c r="U82" s="132"/>
      <c r="V82" s="133">
        <f>+V80/V67</f>
        <v>0.25102376322826891</v>
      </c>
      <c r="W82" s="381"/>
      <c r="X82" s="611">
        <f>+X80/X67</f>
        <v>0.25116034944956955</v>
      </c>
      <c r="Y82" s="381"/>
      <c r="Z82" s="611">
        <f>+Z80/Z67</f>
        <v>0.27319180702119822</v>
      </c>
      <c r="AA82" s="381"/>
      <c r="AB82" s="611">
        <f>+AB80/AB67</f>
        <v>0.27990708478513354</v>
      </c>
      <c r="AC82" s="381"/>
      <c r="AD82" s="611">
        <f>+AD80/AD67</f>
        <v>0.25667828106852503</v>
      </c>
      <c r="AE82" s="381"/>
      <c r="AF82" s="611" t="e">
        <f>'Pricing Structure - IIP'!#REF!</f>
        <v>#REF!</v>
      </c>
      <c r="AG82" s="645"/>
      <c r="AH82" s="132"/>
      <c r="AI82" s="382">
        <f>+AI80/AI67</f>
        <v>0.18024300334389171</v>
      </c>
      <c r="AJ82" s="132"/>
      <c r="AK82" s="133">
        <f>+AK80/AK67</f>
        <v>0.12018334084568971</v>
      </c>
      <c r="AL82" s="381"/>
      <c r="AM82" s="611">
        <f>+AM80/AM67</f>
        <v>0.11039793923928727</v>
      </c>
      <c r="AN82" s="381"/>
      <c r="AO82" s="611">
        <f>+AO80/AO67</f>
        <v>0.11286758546037388</v>
      </c>
      <c r="AP82" s="381"/>
      <c r="AQ82" s="611">
        <f>+AQ80/AQ67</f>
        <v>0.20607122008172798</v>
      </c>
      <c r="AR82" s="381"/>
      <c r="AS82" s="611">
        <f>+AS80/AS67</f>
        <v>0.14708758841858671</v>
      </c>
      <c r="AT82" s="381"/>
      <c r="AU82" s="611" t="e">
        <f>'Pricing Structure - IHAG'!#REF!</f>
        <v>#REF!</v>
      </c>
      <c r="AV82" s="672"/>
      <c r="AW82" s="381"/>
      <c r="AX82" s="382">
        <f>+AX80/AX67</f>
        <v>0.11120266617626676</v>
      </c>
      <c r="AY82" s="131"/>
      <c r="AZ82" s="133">
        <f>+AZ80/AZ67</f>
        <v>0.30641623390862538</v>
      </c>
      <c r="BA82" s="381"/>
      <c r="BB82" s="382">
        <f>+BB80/BB67</f>
        <v>0.32414656870558023</v>
      </c>
      <c r="BC82" s="381"/>
      <c r="BD82" s="382">
        <f>+BD80/BD67</f>
        <v>0.3400649392342639</v>
      </c>
      <c r="BE82" s="381"/>
      <c r="BF82" s="382">
        <f>+BF80/BF67</f>
        <v>0.32411173132275994</v>
      </c>
      <c r="BG82" s="381"/>
      <c r="BH82" s="611">
        <f>+BH80/BH67</f>
        <v>0.29371880591392785</v>
      </c>
      <c r="BI82" s="381"/>
      <c r="BJ82" s="611">
        <f>+BJ80/BJ67</f>
        <v>0.27017609944439208</v>
      </c>
      <c r="BK82" s="132"/>
      <c r="BL82" s="133">
        <f>+BL80/BL67</f>
        <v>0.42880860988569902</v>
      </c>
      <c r="BM82" s="381"/>
      <c r="BN82" s="382">
        <f>+BN80/BN67</f>
        <v>0.41298685268806806</v>
      </c>
      <c r="BO82" s="381"/>
      <c r="BP82" s="382">
        <f>+BP80/BP67</f>
        <v>0.39370173745173753</v>
      </c>
      <c r="BQ82" s="381"/>
      <c r="BR82" s="611">
        <f>+BR80/BR67</f>
        <v>0.40878378378378377</v>
      </c>
      <c r="BS82" s="132"/>
      <c r="BT82" s="133">
        <f>+BT80/BT67</f>
        <v>0.32218708785277461</v>
      </c>
      <c r="BU82" s="381"/>
      <c r="BV82" s="382">
        <f>+BV80/BV67</f>
        <v>0.31021529723054658</v>
      </c>
      <c r="BW82" s="381"/>
      <c r="BX82" s="382">
        <f>+BX80/BX67</f>
        <v>0.29323997120607292</v>
      </c>
      <c r="BY82" s="1075"/>
      <c r="BZ82" s="611">
        <f>+BZ80/BZ67</f>
        <v>0.30232558139534882</v>
      </c>
      <c r="CA82" s="132"/>
      <c r="CB82" s="133">
        <f>+CB80/CB67</f>
        <v>0.29916340297762051</v>
      </c>
      <c r="CC82" s="381"/>
      <c r="CD82" s="382">
        <f>+CD80/CD67</f>
        <v>0.34860568055266872</v>
      </c>
      <c r="CE82" s="381"/>
      <c r="CF82" s="382">
        <f>+CF80/CF67</f>
        <v>0.32990842081751165</v>
      </c>
      <c r="CG82" s="1075"/>
      <c r="CH82" s="611">
        <f>+CH80/CH67</f>
        <v>0.30310475765021222</v>
      </c>
      <c r="CI82" s="612"/>
      <c r="CJ82" s="611">
        <f>+CJ80/CJ67</f>
        <v>0.45739130434782604</v>
      </c>
      <c r="CK82" s="612"/>
      <c r="CL82" s="611">
        <f>+CL80/CL67</f>
        <v>1</v>
      </c>
      <c r="CM82" s="612"/>
      <c r="CN82" s="611">
        <f>+CN80/CN67</f>
        <v>0.56695652173913036</v>
      </c>
      <c r="CO82" s="381"/>
      <c r="CP82" s="611">
        <f>+CP80/CP67</f>
        <v>0.46097560975609753</v>
      </c>
      <c r="CR82" s="612"/>
      <c r="CS82" s="611">
        <f>+CS80/CS67</f>
        <v>0.46324786324786321</v>
      </c>
      <c r="CT82" s="612"/>
      <c r="CU82" s="611">
        <f>+CU80/CU67</f>
        <v>0.54188034188034184</v>
      </c>
      <c r="CV82" s="612"/>
      <c r="CW82" s="611">
        <f>+CW80/CW67</f>
        <v>0.57264957264957261</v>
      </c>
      <c r="CX82" s="381"/>
      <c r="CY82" s="611">
        <f>+CY80/CY67</f>
        <v>0.47579202870539028</v>
      </c>
      <c r="DA82" s="612"/>
      <c r="DB82" s="611">
        <f>+DB80/DB67</f>
        <v>0.47365478769184272</v>
      </c>
      <c r="DC82" s="612"/>
      <c r="DD82" s="611">
        <f>+DD80/DD67</f>
        <v>0.50978988385968882</v>
      </c>
      <c r="DE82" s="612"/>
      <c r="DF82" s="611">
        <f>+DF80/DF67</f>
        <v>0.5804129295685555</v>
      </c>
      <c r="DH82" s="612"/>
      <c r="DI82" s="611">
        <f>+DI80/DI67</f>
        <v>0.45367600354123261</v>
      </c>
      <c r="DJ82" s="612"/>
      <c r="DK82" s="611">
        <f>+DK80/DK67</f>
        <v>0.50721136704964198</v>
      </c>
      <c r="DL82" s="612"/>
      <c r="DM82" s="611">
        <f>+DM80/DM67</f>
        <v>0.57040064856776451</v>
      </c>
      <c r="DO82" s="612"/>
      <c r="DP82" s="611">
        <f>+DP80/DP67</f>
        <v>0.44083261069440288</v>
      </c>
      <c r="DQ82" s="612"/>
      <c r="DR82" s="611">
        <f>+DR80/DR67</f>
        <v>0.50833334694235266</v>
      </c>
      <c r="DS82" s="612"/>
      <c r="DT82" s="611">
        <f>+DT80/DT67</f>
        <v>0.547527322828259</v>
      </c>
      <c r="DV82" s="612"/>
      <c r="DW82" s="611">
        <f>+DW80/DW67</f>
        <v>0.44115917972127128</v>
      </c>
      <c r="DX82" s="612"/>
      <c r="DY82" s="611">
        <f>+DY80/DY67</f>
        <v>0.41987811268857023</v>
      </c>
      <c r="EA82" s="612"/>
      <c r="EB82" s="611">
        <f>+EB80/EB67</f>
        <v>0.44625464311972984</v>
      </c>
      <c r="ED82" s="612"/>
      <c r="EE82" s="611">
        <f>+EE80/EE67</f>
        <v>0.48709540445890659</v>
      </c>
      <c r="EG82" s="612"/>
      <c r="EH82" s="611">
        <f>+EH80/EH67</f>
        <v>0.48140903862078788</v>
      </c>
      <c r="EJ82" s="612"/>
      <c r="EK82" s="611">
        <f>+EK80/EK67</f>
        <v>0.4377187382452935</v>
      </c>
      <c r="EM82" s="612"/>
      <c r="EN82" s="611">
        <f>+EN80/EN67</f>
        <v>0.47127807592923865</v>
      </c>
      <c r="EP82" s="612"/>
      <c r="EQ82" s="611">
        <f>+EQ80/EQ67</f>
        <v>0.52432908232261388</v>
      </c>
      <c r="ER82" s="612"/>
      <c r="ES82" s="611">
        <f>+ES80/ES67</f>
        <v>0.44931443441177721</v>
      </c>
      <c r="ET82" s="4"/>
      <c r="EU82" s="612"/>
      <c r="EV82" s="611">
        <f>+EV80/EV67</f>
        <v>0.46787219514492245</v>
      </c>
      <c r="EX82" s="612"/>
      <c r="EY82" s="611">
        <f>+EY80/EY67</f>
        <v>0.44196305486628062</v>
      </c>
      <c r="EZ82" s="612"/>
      <c r="FA82" s="611">
        <f>+FA80/FA67</f>
        <v>0.46578439481665285</v>
      </c>
      <c r="FB82" s="612"/>
      <c r="FC82" s="611">
        <f>+FC80/FC67</f>
        <v>0.54165977391783848</v>
      </c>
    </row>
    <row r="83" spans="1:159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1.6446938324744851</v>
      </c>
      <c r="H83" s="137"/>
      <c r="I83" s="138">
        <f>I80-I57</f>
        <v>1.3468221975801218</v>
      </c>
      <c r="J83" s="137"/>
      <c r="K83" s="138">
        <f>K80-K57</f>
        <v>1.075582143135748</v>
      </c>
      <c r="L83" s="137"/>
      <c r="M83" s="138">
        <f>M80-M57</f>
        <v>1.123642358819027</v>
      </c>
      <c r="N83" s="137"/>
      <c r="O83" s="138">
        <f>O80-O57</f>
        <v>1.2066666666666668</v>
      </c>
      <c r="P83" s="137"/>
      <c r="Q83" s="138">
        <f>Q80-Q57</f>
        <v>1.3036363636363639</v>
      </c>
      <c r="R83" s="281"/>
      <c r="S83" s="137"/>
      <c r="T83" s="138">
        <f>T80-T57</f>
        <v>1.2374999999999998</v>
      </c>
      <c r="U83" s="137"/>
      <c r="V83" s="138">
        <f>V80-V57</f>
        <v>0.93356374215017845</v>
      </c>
      <c r="W83" s="137"/>
      <c r="X83" s="138">
        <f>X80-X57</f>
        <v>0.64970925140004765</v>
      </c>
      <c r="Y83" s="137"/>
      <c r="Z83" s="138">
        <f>Z80-Z57</f>
        <v>0.76812097230167775</v>
      </c>
      <c r="AA83" s="137"/>
      <c r="AB83" s="138">
        <f>AB80-AB57</f>
        <v>0.80666666666666642</v>
      </c>
      <c r="AC83" s="137"/>
      <c r="AD83" s="138">
        <f>AD80-AD57</f>
        <v>0.67333333333333356</v>
      </c>
      <c r="AE83" s="137"/>
      <c r="AF83" s="138" t="e">
        <f>'Pricing Structure - IIP'!#REF!</f>
        <v>#REF!</v>
      </c>
      <c r="AG83" s="281"/>
      <c r="AH83" s="137"/>
      <c r="AI83" s="138">
        <f>AI80-AI57</f>
        <v>0.47280449128703239</v>
      </c>
      <c r="AJ83" s="137"/>
      <c r="AK83" s="138">
        <f>AK80-AK57</f>
        <v>0.2149235943828971</v>
      </c>
      <c r="AL83" s="137"/>
      <c r="AM83" s="138">
        <f>AM80-AM57</f>
        <v>-1.7194961463366076E-2</v>
      </c>
      <c r="AN83" s="137"/>
      <c r="AO83" s="138">
        <f>AO80-AO57</f>
        <v>-5.5260870212652247E-3</v>
      </c>
      <c r="AP83" s="137"/>
      <c r="AQ83" s="138">
        <f>AQ80-AQ57</f>
        <v>0.52666666666666673</v>
      </c>
      <c r="AR83" s="137"/>
      <c r="AS83" s="138">
        <f>AS80-AS57</f>
        <v>0.18987012987013008</v>
      </c>
      <c r="AT83" s="137"/>
      <c r="AU83" s="138" t="e">
        <f>'Pricing Structure - IHAG'!#REF!</f>
        <v>#REF!</v>
      </c>
      <c r="AV83" s="281"/>
      <c r="AW83" s="137"/>
      <c r="AX83" s="138">
        <f>AX80-AX57</f>
        <v>-9.5032776133516905E-2</v>
      </c>
      <c r="AY83" s="281"/>
      <c r="AZ83" s="138">
        <f>AZ80-AZ57</f>
        <v>1.2249240222346556</v>
      </c>
      <c r="BA83" s="137"/>
      <c r="BB83" s="138">
        <f>BB80-BB57</f>
        <v>1.0606013043700304</v>
      </c>
      <c r="BC83" s="137"/>
      <c r="BD83" s="138">
        <f>BD80-BD57</f>
        <v>1.1519727512046749</v>
      </c>
      <c r="BE83" s="137"/>
      <c r="BF83" s="138">
        <f>BF80-BF57</f>
        <v>1.0604013377926422</v>
      </c>
      <c r="BG83" s="137"/>
      <c r="BH83" s="138">
        <f>BH80-BH57</f>
        <v>0.88594594594594578</v>
      </c>
      <c r="BI83" s="137"/>
      <c r="BJ83" s="138">
        <f>BJ80-BJ57</f>
        <v>0.75081081081081069</v>
      </c>
      <c r="BK83" s="137"/>
      <c r="BL83" s="138">
        <f>BL80-BL57</f>
        <v>0.90106257228793174</v>
      </c>
      <c r="BM83" s="137"/>
      <c r="BN83" s="138">
        <f>BN80-BN57</f>
        <v>0.83018110004254497</v>
      </c>
      <c r="BO83" s="137"/>
      <c r="BP83" s="138">
        <f>BP80-BP57</f>
        <v>0.74378378378378418</v>
      </c>
      <c r="BQ83" s="137"/>
      <c r="BR83" s="138">
        <f>BR80-BR57</f>
        <v>0.9621621621621621</v>
      </c>
      <c r="BS83" s="137"/>
      <c r="BT83" s="138">
        <f>BT80-BT57</f>
        <v>0.30063267283195905</v>
      </c>
      <c r="BU83" s="137"/>
      <c r="BV83" s="138">
        <f>BV80-BV57</f>
        <v>0.25118917756215731</v>
      </c>
      <c r="BW83" s="137"/>
      <c r="BX83" s="138">
        <f>BX80-BX57</f>
        <v>0.18108108108108101</v>
      </c>
      <c r="BY83" s="1076"/>
      <c r="BZ83" s="138">
        <f>BZ80-BZ57</f>
        <v>0.3999999999999998</v>
      </c>
      <c r="CA83" s="137"/>
      <c r="CB83" s="138">
        <f>CB80-CB57</f>
        <v>9.9385880146038996E-3</v>
      </c>
      <c r="CC83" s="137"/>
      <c r="CD83" s="138">
        <f>CD80-CD57</f>
        <v>0.30906436734364573</v>
      </c>
      <c r="CE83" s="137"/>
      <c r="CF83" s="138">
        <f>CF80-CF57</f>
        <v>0.19594594594594539</v>
      </c>
      <c r="CG83" s="1076"/>
      <c r="CH83" s="138">
        <f>CH80-CH57</f>
        <v>0.38378378378378408</v>
      </c>
      <c r="CI83" s="137"/>
      <c r="CJ83" s="138">
        <f>CJ80-CJ57</f>
        <v>2.63</v>
      </c>
      <c r="CK83" s="137"/>
      <c r="CL83" s="138">
        <f>CL80-CL57</f>
        <v>5.75</v>
      </c>
      <c r="CM83" s="137"/>
      <c r="CN83" s="138">
        <f>CN80-CN57</f>
        <v>3.26</v>
      </c>
      <c r="CO83" s="137"/>
      <c r="CP83" s="138">
        <f>CP80-CP57</f>
        <v>0.58999999999999964</v>
      </c>
      <c r="CR83" s="137"/>
      <c r="CS83" s="138">
        <f>CS80-CS57</f>
        <v>2.7099999999999995</v>
      </c>
      <c r="CT83" s="137"/>
      <c r="CU83" s="138">
        <f>CU80-CU57</f>
        <v>3.1699999999999995</v>
      </c>
      <c r="CV83" s="137"/>
      <c r="CW83" s="138">
        <f>CW80-CW57</f>
        <v>3.3499999999999996</v>
      </c>
      <c r="CX83" s="137"/>
      <c r="CY83" s="138">
        <f>CY80-CY57</f>
        <v>0.6721161219979086</v>
      </c>
      <c r="DA83" s="137"/>
      <c r="DB83" s="138">
        <f>DB80-DB57</f>
        <v>2.7708805079972798</v>
      </c>
      <c r="DC83" s="137"/>
      <c r="DD83" s="138">
        <f>DD80-DD57</f>
        <v>2.9822708205791795</v>
      </c>
      <c r="DE83" s="137"/>
      <c r="DF83" s="138">
        <f>DF80-DF57</f>
        <v>3.3954156379760496</v>
      </c>
      <c r="DH83" s="137"/>
      <c r="DI83" s="138">
        <f>DI80-DI57</f>
        <v>1.8540046207162104</v>
      </c>
      <c r="DJ83" s="137"/>
      <c r="DK83" s="138">
        <f>DK80-DK57</f>
        <v>2.1671864972404054</v>
      </c>
      <c r="DL83" s="137"/>
      <c r="DM83" s="138">
        <f>DM80-DM57</f>
        <v>2.5368437941214221</v>
      </c>
      <c r="DO83" s="137"/>
      <c r="DP83" s="138">
        <f>DP80-DP57</f>
        <v>1.7788707725622566</v>
      </c>
      <c r="DQ83" s="137"/>
      <c r="DR83" s="138">
        <f>DR80-DR57</f>
        <v>2.1737500796127627</v>
      </c>
      <c r="DS83" s="137"/>
      <c r="DT83" s="138">
        <f>DT80-DT57</f>
        <v>2.4030348385453149</v>
      </c>
      <c r="DV83" s="137"/>
      <c r="DW83" s="138">
        <f>DW80-DW57</f>
        <v>1.7807812013694366</v>
      </c>
      <c r="DX83" s="137"/>
      <c r="DY83" s="138">
        <f>DY80-DY57</f>
        <v>1.6562869592281355</v>
      </c>
      <c r="EA83" s="137"/>
      <c r="EB83" s="138">
        <f>EB80-EB57</f>
        <v>1.8105896622504194</v>
      </c>
      <c r="ED83" s="137"/>
      <c r="EE83" s="138">
        <f>EE80-EE57</f>
        <v>2.0495081160846036</v>
      </c>
      <c r="EG83" s="137"/>
      <c r="EH83" s="138">
        <f>EH80-EH57</f>
        <v>2.0162428759316091</v>
      </c>
      <c r="EJ83" s="137"/>
      <c r="EK83" s="138">
        <f>EK80-EK57</f>
        <v>1.7606546187349668</v>
      </c>
      <c r="EM83" s="137"/>
      <c r="EN83" s="138">
        <f>EN80-EN57</f>
        <v>1.9569767441860459</v>
      </c>
      <c r="EP83" s="137"/>
      <c r="EQ83" s="138">
        <f>EQ80-EQ57</f>
        <v>2.2673251315872909</v>
      </c>
      <c r="ER83" s="137"/>
      <c r="ES83" s="138">
        <f>ES80-ES57</f>
        <v>1.8284894413088966</v>
      </c>
      <c r="ET83" s="4"/>
      <c r="EU83" s="137"/>
      <c r="EV83" s="138">
        <f>EV80-EV57</f>
        <v>1.937052341597796</v>
      </c>
      <c r="EX83" s="137"/>
      <c r="EY83" s="138">
        <f>EY80-EY57</f>
        <v>1.7854838709677414</v>
      </c>
      <c r="EZ83" s="137"/>
      <c r="FA83" s="138">
        <f>FA80-FA57</f>
        <v>1.9248387096774191</v>
      </c>
      <c r="FB83" s="137"/>
      <c r="FC83" s="138">
        <f>FC80-FC57</f>
        <v>2.3687096774193543</v>
      </c>
    </row>
    <row r="84" spans="1:159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0.30234031483066232</v>
      </c>
      <c r="H84" s="132"/>
      <c r="I84" s="133">
        <f>I83/I67</f>
        <v>0.2539738350101412</v>
      </c>
      <c r="J84" s="381"/>
      <c r="K84" s="611">
        <f>K83/K67</f>
        <v>0.18760646954298252</v>
      </c>
      <c r="L84" s="381"/>
      <c r="M84" s="611">
        <f>M83/M67</f>
        <v>0.19575650850505696</v>
      </c>
      <c r="N84" s="381"/>
      <c r="O84" s="611">
        <f>O83/O67</f>
        <v>0.2102206736353078</v>
      </c>
      <c r="P84" s="381"/>
      <c r="Q84" s="611">
        <f>Q83/Q67</f>
        <v>0.22711434906556863</v>
      </c>
      <c r="R84" s="645"/>
      <c r="S84" s="132"/>
      <c r="T84" s="133">
        <f>T83/T67</f>
        <v>0.22758620689655168</v>
      </c>
      <c r="U84" s="132"/>
      <c r="V84" s="133">
        <f>V83/V67</f>
        <v>0.17572964558121007</v>
      </c>
      <c r="W84" s="381"/>
      <c r="X84" s="611">
        <f>X83/X67</f>
        <v>0.11342397784840821</v>
      </c>
      <c r="Y84" s="381"/>
      <c r="Z84" s="611">
        <f>Z83/Z67</f>
        <v>0.13381898472154663</v>
      </c>
      <c r="AA84" s="381"/>
      <c r="AB84" s="611">
        <f>AB83/AB67</f>
        <v>0.14053426248548195</v>
      </c>
      <c r="AC84" s="381"/>
      <c r="AD84" s="611">
        <f>AD83/AD67</f>
        <v>0.11730545876887344</v>
      </c>
      <c r="AE84" s="381"/>
      <c r="AF84" s="611" t="e">
        <f>'Pricing Structure - IIP'!#REF!</f>
        <v>#REF!</v>
      </c>
      <c r="AG84" s="645"/>
      <c r="AH84" s="132"/>
      <c r="AI84" s="133">
        <f>AI83/AI67</f>
        <v>8.7602084763515914E-2</v>
      </c>
      <c r="AJ84" s="132"/>
      <c r="AK84" s="133">
        <f>AK83/AK67</f>
        <v>4.0735651898520277E-2</v>
      </c>
      <c r="AL84" s="381"/>
      <c r="AM84" s="611">
        <f>AM83/AM67</f>
        <v>-3.0141033225337083E-3</v>
      </c>
      <c r="AN84" s="381"/>
      <c r="AO84" s="611">
        <f>AO83/AO67</f>
        <v>-9.6779107202543343E-4</v>
      </c>
      <c r="AP84" s="381"/>
      <c r="AQ84" s="611">
        <f>AQ83/AQ67</f>
        <v>9.2235843549328678E-2</v>
      </c>
      <c r="AR84" s="381"/>
      <c r="AS84" s="611">
        <f>AS83/AS67</f>
        <v>3.3252211886187405E-2</v>
      </c>
      <c r="AT84" s="381"/>
      <c r="AU84" s="611" t="e">
        <f>'Pricing Structure - IHAG'!#REF!</f>
        <v>#REF!</v>
      </c>
      <c r="AV84" s="672"/>
      <c r="AW84" s="381"/>
      <c r="AX84" s="382">
        <f>AX83/AX67</f>
        <v>-1.664321823704324E-2</v>
      </c>
      <c r="AY84" s="131"/>
      <c r="AZ84" s="133">
        <f>AZ83/AZ67</f>
        <v>0.23098717268095506</v>
      </c>
      <c r="BA84" s="381"/>
      <c r="BB84" s="382">
        <f>BB83/BB67</f>
        <v>0.18477374640592864</v>
      </c>
      <c r="BC84" s="381"/>
      <c r="BD84" s="382">
        <f>BD83/BD67</f>
        <v>0.20069211693461234</v>
      </c>
      <c r="BE84" s="381"/>
      <c r="BF84" s="382">
        <f>BF83/BF67</f>
        <v>0.18473890902310838</v>
      </c>
      <c r="BG84" s="381"/>
      <c r="BH84" s="611">
        <f>BH83/BH67</f>
        <v>0.15434598361427626</v>
      </c>
      <c r="BI84" s="381"/>
      <c r="BJ84" s="611">
        <f>BJ83/BJ67</f>
        <v>0.13080327714474052</v>
      </c>
      <c r="BK84" s="132"/>
      <c r="BL84" s="133">
        <f>BL83/BL67</f>
        <v>0.2011300384571276</v>
      </c>
      <c r="BM84" s="381"/>
      <c r="BN84" s="382">
        <f>BN83/BN67</f>
        <v>0.18530828125949664</v>
      </c>
      <c r="BO84" s="381"/>
      <c r="BP84" s="382">
        <f>BP83/BP67</f>
        <v>0.16602316602316611</v>
      </c>
      <c r="BQ84" s="381"/>
      <c r="BR84" s="611">
        <f>BR83/BR67</f>
        <v>0.20045045045045046</v>
      </c>
      <c r="BS84" s="132"/>
      <c r="BT84" s="133">
        <f>BT83/BT67</f>
        <v>7.2792414729287908E-2</v>
      </c>
      <c r="BU84" s="381"/>
      <c r="BV84" s="382">
        <f>BV83/BV67</f>
        <v>6.0820624107059885E-2</v>
      </c>
      <c r="BW84" s="381"/>
      <c r="BX84" s="382">
        <f>BX83/BX67</f>
        <v>4.38452980825862E-2</v>
      </c>
      <c r="BY84" s="1075"/>
      <c r="BZ84" s="611">
        <f>BZ83/BZ67</f>
        <v>9.3023255813953445E-2</v>
      </c>
      <c r="CA84" s="132"/>
      <c r="CB84" s="133">
        <f>CB83/CB67</f>
        <v>1.6427418205956859E-3</v>
      </c>
      <c r="CC84" s="381"/>
      <c r="CD84" s="382">
        <f>CD83/CD67</f>
        <v>5.1085019395643923E-2</v>
      </c>
      <c r="CE84" s="381"/>
      <c r="CF84" s="382">
        <f>CF83/CF67</f>
        <v>3.2387759660486841E-2</v>
      </c>
      <c r="CG84" s="1075"/>
      <c r="CH84" s="611">
        <f>CH83/CH67</f>
        <v>6.3435336162608935E-2</v>
      </c>
      <c r="CI84" s="612"/>
      <c r="CJ84" s="611">
        <f>CJ83/CJ67</f>
        <v>0.45739130434782604</v>
      </c>
      <c r="CK84" s="612"/>
      <c r="CL84" s="611">
        <f>CL83/CL67</f>
        <v>1</v>
      </c>
      <c r="CM84" s="612"/>
      <c r="CN84" s="611">
        <f>CN83/CN67</f>
        <v>0.56695652173913036</v>
      </c>
      <c r="CO84" s="381"/>
      <c r="CP84" s="611">
        <f>CP83/CP67</f>
        <v>0.14390243902439018</v>
      </c>
      <c r="CR84" s="612"/>
      <c r="CS84" s="611">
        <f>CS83/CS67</f>
        <v>0.46324786324786321</v>
      </c>
      <c r="CT84" s="612"/>
      <c r="CU84" s="611">
        <f>CU83/CU67</f>
        <v>0.54188034188034184</v>
      </c>
      <c r="CV84" s="612"/>
      <c r="CW84" s="611">
        <f>CW83/CW67</f>
        <v>0.57264957264957261</v>
      </c>
      <c r="CX84" s="381"/>
      <c r="CY84" s="611">
        <f>CY83/CY67</f>
        <v>0.15814496988186086</v>
      </c>
      <c r="DA84" s="612"/>
      <c r="DB84" s="611">
        <f>DB83/DB67</f>
        <v>0.47365478769184272</v>
      </c>
      <c r="DC84" s="612"/>
      <c r="DD84" s="611">
        <f>DD83/DD67</f>
        <v>0.50978988385968882</v>
      </c>
      <c r="DE84" s="612"/>
      <c r="DF84" s="611">
        <f>DF83/DF67</f>
        <v>0.5804129295685555</v>
      </c>
      <c r="DH84" s="612"/>
      <c r="DI84" s="611">
        <f>DI83/DI67</f>
        <v>0.31692386678909584</v>
      </c>
      <c r="DJ84" s="612"/>
      <c r="DK84" s="611">
        <f>DK83/DK67</f>
        <v>0.37045923029750522</v>
      </c>
      <c r="DL84" s="612"/>
      <c r="DM84" s="611">
        <f>DM83/DM67</f>
        <v>0.43364851181562775</v>
      </c>
      <c r="DO84" s="612"/>
      <c r="DP84" s="611">
        <f>DP83/DP67</f>
        <v>0.30408047394226612</v>
      </c>
      <c r="DQ84" s="612"/>
      <c r="DR84" s="611">
        <f>DR83/DR67</f>
        <v>0.37158121019021584</v>
      </c>
      <c r="DS84" s="612"/>
      <c r="DT84" s="611">
        <f>DT83/DT67</f>
        <v>0.41077518607612223</v>
      </c>
      <c r="DV84" s="612"/>
      <c r="DW84" s="611">
        <f>DW83/DW67</f>
        <v>0.30440704296913451</v>
      </c>
      <c r="DX84" s="612"/>
      <c r="DY84" s="611">
        <f>DY83/DY67</f>
        <v>0.28312597593643346</v>
      </c>
      <c r="EA84" s="612"/>
      <c r="EB84" s="611">
        <f>EB83/EB67</f>
        <v>0.30950250636759308</v>
      </c>
      <c r="ED84" s="612"/>
      <c r="EE84" s="611">
        <f>EE83/EE67</f>
        <v>0.35034326770676988</v>
      </c>
      <c r="EG84" s="612"/>
      <c r="EH84" s="611">
        <f>EH83/EH67</f>
        <v>0.34465690186865117</v>
      </c>
      <c r="EJ84" s="612"/>
      <c r="EK84" s="611">
        <f>EK83/EK67</f>
        <v>0.30096660149315674</v>
      </c>
      <c r="EM84" s="612"/>
      <c r="EN84" s="611">
        <f>EN83/EN67</f>
        <v>0.33452593917710188</v>
      </c>
      <c r="EP84" s="612"/>
      <c r="EQ84" s="611">
        <f>EQ83/EQ67</f>
        <v>0.38757694557047712</v>
      </c>
      <c r="ER84" s="612"/>
      <c r="ES84" s="611">
        <f>ES83/ES67</f>
        <v>0.31256229765964044</v>
      </c>
      <c r="ET84" s="4"/>
      <c r="EU84" s="612"/>
      <c r="EV84" s="611">
        <f>EV83/EV67</f>
        <v>0.33112005839278569</v>
      </c>
      <c r="EX84" s="612"/>
      <c r="EY84" s="611">
        <f>EY83/EY67</f>
        <v>0.30521091811414386</v>
      </c>
      <c r="EZ84" s="612"/>
      <c r="FA84" s="611">
        <f>FA83/FA67</f>
        <v>0.32903225806451608</v>
      </c>
      <c r="FB84" s="612"/>
      <c r="FC84" s="611">
        <f>FC83/FC67</f>
        <v>0.40490763716570161</v>
      </c>
    </row>
    <row r="85" spans="1:159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381"/>
      <c r="K85" s="383"/>
      <c r="L85" s="381"/>
      <c r="M85" s="383"/>
      <c r="N85" s="381"/>
      <c r="O85" s="383"/>
      <c r="P85" s="381"/>
      <c r="Q85" s="383"/>
      <c r="R85" s="646"/>
      <c r="S85" s="132"/>
      <c r="T85" s="133"/>
      <c r="U85" s="132"/>
      <c r="V85" s="133"/>
      <c r="W85" s="381"/>
      <c r="X85" s="383"/>
      <c r="Y85" s="381"/>
      <c r="Z85" s="383"/>
      <c r="AA85" s="381"/>
      <c r="AB85" s="383"/>
      <c r="AC85" s="381"/>
      <c r="AD85" s="383"/>
      <c r="AE85" s="381"/>
      <c r="AF85" s="383"/>
      <c r="AG85" s="646"/>
      <c r="AH85" s="132"/>
      <c r="AI85" s="133"/>
      <c r="AJ85" s="132"/>
      <c r="AK85" s="133"/>
      <c r="AL85" s="381"/>
      <c r="AM85" s="383"/>
      <c r="AN85" s="381"/>
      <c r="AO85" s="383"/>
      <c r="AP85" s="381"/>
      <c r="AQ85" s="383"/>
      <c r="AR85" s="381"/>
      <c r="AS85" s="383"/>
      <c r="AT85" s="381"/>
      <c r="AU85" s="383"/>
      <c r="AV85" s="672"/>
      <c r="AW85" s="381"/>
      <c r="AX85" s="382"/>
      <c r="AY85" s="131"/>
      <c r="AZ85" s="133"/>
      <c r="BA85" s="381"/>
      <c r="BB85" s="382"/>
      <c r="BC85" s="381"/>
      <c r="BD85" s="382"/>
      <c r="BE85" s="381"/>
      <c r="BF85" s="382"/>
      <c r="BG85" s="381"/>
      <c r="BH85" s="383"/>
      <c r="BI85" s="381"/>
      <c r="BJ85" s="383"/>
      <c r="BK85" s="132"/>
      <c r="BL85" s="133"/>
      <c r="BM85" s="381"/>
      <c r="BN85" s="382"/>
      <c r="BO85" s="381"/>
      <c r="BP85" s="382"/>
      <c r="BQ85" s="381"/>
      <c r="BR85" s="383"/>
      <c r="BS85" s="132"/>
      <c r="BT85" s="133"/>
      <c r="BU85" s="381"/>
      <c r="BV85" s="382"/>
      <c r="BW85" s="381"/>
      <c r="BX85" s="382"/>
      <c r="BY85" s="1075"/>
      <c r="BZ85" s="383"/>
      <c r="CA85" s="132"/>
      <c r="CB85" s="133"/>
      <c r="CC85" s="381"/>
      <c r="CD85" s="382"/>
      <c r="CE85" s="381"/>
      <c r="CF85" s="382"/>
      <c r="CG85" s="1075"/>
      <c r="CH85" s="383"/>
      <c r="CI85" s="614"/>
      <c r="CJ85" s="613"/>
      <c r="CK85" s="614"/>
      <c r="CL85" s="613"/>
      <c r="CM85" s="614"/>
      <c r="CN85" s="613"/>
      <c r="CO85" s="381"/>
      <c r="CP85" s="613"/>
      <c r="CR85" s="614"/>
      <c r="CS85" s="613"/>
      <c r="CT85" s="614"/>
      <c r="CU85" s="613"/>
      <c r="CV85" s="614"/>
      <c r="CW85" s="613"/>
      <c r="CX85" s="381"/>
      <c r="CY85" s="613"/>
      <c r="DA85" s="614"/>
      <c r="DB85" s="613"/>
      <c r="DC85" s="614"/>
      <c r="DD85" s="613"/>
      <c r="DE85" s="614"/>
      <c r="DF85" s="613"/>
      <c r="DH85" s="614"/>
      <c r="DI85" s="613"/>
      <c r="DJ85" s="614"/>
      <c r="DK85" s="613"/>
      <c r="DL85" s="614"/>
      <c r="DM85" s="613"/>
      <c r="DO85" s="614"/>
      <c r="DP85" s="613"/>
      <c r="DQ85" s="614"/>
      <c r="DR85" s="613"/>
      <c r="DS85" s="614"/>
      <c r="DT85" s="613"/>
      <c r="DV85" s="614"/>
      <c r="DW85" s="613"/>
      <c r="DX85" s="614"/>
      <c r="DY85" s="613"/>
      <c r="EA85" s="614"/>
      <c r="EB85" s="613"/>
      <c r="ED85" s="614"/>
      <c r="EE85" s="613"/>
      <c r="EG85" s="614"/>
      <c r="EH85" s="613"/>
      <c r="EJ85" s="614"/>
      <c r="EK85" s="613"/>
      <c r="EM85" s="614"/>
      <c r="EN85" s="613"/>
      <c r="EP85" s="614"/>
      <c r="EQ85" s="613"/>
      <c r="ER85" s="614"/>
      <c r="ES85" s="613"/>
      <c r="ET85" s="4"/>
      <c r="EU85" s="614"/>
      <c r="EV85" s="613"/>
      <c r="EX85" s="614"/>
      <c r="EY85" s="613"/>
      <c r="EZ85" s="614"/>
      <c r="FA85" s="613"/>
      <c r="FB85" s="614"/>
      <c r="FC85" s="613"/>
    </row>
    <row r="86" spans="1:159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1.5288023414967551</v>
      </c>
      <c r="H86" s="141"/>
      <c r="I86" s="142">
        <f>I83-I72</f>
        <v>1.2293586304373543</v>
      </c>
      <c r="J86" s="141"/>
      <c r="K86" s="599">
        <f>K83-K72</f>
        <v>0.93841340769078174</v>
      </c>
      <c r="L86" s="141"/>
      <c r="M86" s="599">
        <f>M83-M72</f>
        <v>0.99566774378099976</v>
      </c>
      <c r="N86" s="141"/>
      <c r="O86" s="599">
        <f>O83-O72</f>
        <v>1.0786920516286396</v>
      </c>
      <c r="P86" s="141"/>
      <c r="Q86" s="599">
        <f>Q83-Q72</f>
        <v>1.1756617485983367</v>
      </c>
      <c r="R86" s="647"/>
      <c r="S86" s="141"/>
      <c r="T86" s="142">
        <f>T83-T72</f>
        <v>1.1251532235360313</v>
      </c>
      <c r="U86" s="141"/>
      <c r="V86" s="142">
        <f>V83-V72</f>
        <v>0.81969155318232478</v>
      </c>
      <c r="W86" s="141"/>
      <c r="X86" s="599">
        <f>X83-X72</f>
        <v>0.54911923020098552</v>
      </c>
      <c r="Y86" s="141"/>
      <c r="Z86" s="599">
        <f>Z83-Z72</f>
        <v>0.64794526242245498</v>
      </c>
      <c r="AA86" s="141"/>
      <c r="AB86" s="599">
        <f>AB83-AB72</f>
        <v>0.68649095678744365</v>
      </c>
      <c r="AC86" s="141"/>
      <c r="AD86" s="599">
        <f>AD83-AD72</f>
        <v>0.55315762345411079</v>
      </c>
      <c r="AE86" s="141"/>
      <c r="AF86" s="599" t="e">
        <f>'Pricing Structure - IIP'!#REF!</f>
        <v>#REF!</v>
      </c>
      <c r="AG86" s="647"/>
      <c r="AH86" s="141"/>
      <c r="AI86" s="142">
        <f>AI83-AI72</f>
        <v>0.3468654820572673</v>
      </c>
      <c r="AJ86" s="141"/>
      <c r="AK86" s="142">
        <f>AK83-AK72</f>
        <v>8.7280240511940166E-2</v>
      </c>
      <c r="AL86" s="141"/>
      <c r="AM86" s="599">
        <f>AM83-AM72</f>
        <v>-0.12671009778818668</v>
      </c>
      <c r="AN86" s="141"/>
      <c r="AO86" s="599">
        <f>AO83-AO72</f>
        <v>-0.12993220210296708</v>
      </c>
      <c r="AP86" s="141"/>
      <c r="AQ86" s="599">
        <f>AQ83-AQ72</f>
        <v>0.40226055158496488</v>
      </c>
      <c r="AR86" s="141"/>
      <c r="AS86" s="599">
        <f>AS83-AS72</f>
        <v>7.3654421237571696E-2</v>
      </c>
      <c r="AT86" s="141"/>
      <c r="AU86" s="599" t="e">
        <f>'Pricing Structure - IHAG'!#REF!</f>
        <v>#REF!</v>
      </c>
      <c r="AV86" s="673"/>
      <c r="AW86" s="141"/>
      <c r="AX86" s="142">
        <f>AX83-AX72</f>
        <v>-0.22196240686327276</v>
      </c>
      <c r="AY86" s="140"/>
      <c r="AZ86" s="142">
        <f>AZ83-AZ72</f>
        <v>1.1090325312569256</v>
      </c>
      <c r="BA86" s="141"/>
      <c r="BB86" s="142">
        <f>BB83-BB72</f>
        <v>0.94297538689907168</v>
      </c>
      <c r="BC86" s="141"/>
      <c r="BD86" s="142">
        <f>BD83-BD72</f>
        <v>0.99527676475559379</v>
      </c>
      <c r="BE86" s="141"/>
      <c r="BF86" s="142">
        <f>BF83-BF72</f>
        <v>0.94592453495121487</v>
      </c>
      <c r="BG86" s="141"/>
      <c r="BH86" s="599">
        <f>BH83-BH72</f>
        <v>0.77076697565333907</v>
      </c>
      <c r="BI86" s="141"/>
      <c r="BJ86" s="599">
        <f>BJ83-BJ72</f>
        <v>0.63563184051820398</v>
      </c>
      <c r="BK86" s="141"/>
      <c r="BL86" s="142">
        <f>BL83-BL72</f>
        <v>0.86009922326854971</v>
      </c>
      <c r="BM86" s="141"/>
      <c r="BN86" s="142">
        <f>BN83-BN72</f>
        <v>0.79346354249673245</v>
      </c>
      <c r="BO86" s="141"/>
      <c r="BP86" s="142">
        <f>BP83-BP72</f>
        <v>0.70706622623797166</v>
      </c>
      <c r="BQ86" s="137"/>
      <c r="BR86" s="599">
        <f>BR83-BR72</f>
        <v>0.92544460461634959</v>
      </c>
      <c r="BS86" s="141"/>
      <c r="BT86" s="142">
        <f>BT83-BT72</f>
        <v>0.2588941118291242</v>
      </c>
      <c r="BU86" s="141"/>
      <c r="BV86" s="142">
        <f>BV83-BV72</f>
        <v>0.21279784021718784</v>
      </c>
      <c r="BW86" s="141"/>
      <c r="BX86" s="142">
        <f>BX83-BX72</f>
        <v>0.14268974373611154</v>
      </c>
      <c r="BY86" s="1077"/>
      <c r="BZ86" s="599">
        <f>BZ83-BZ72</f>
        <v>0.36160866265503033</v>
      </c>
      <c r="CA86" s="141"/>
      <c r="CB86" s="142">
        <f>CB83-CB72</f>
        <v>-7.2112615586164344E-2</v>
      </c>
      <c r="CC86" s="141"/>
      <c r="CD86" s="142">
        <f>CD83-CD72</f>
        <v>0.22641306356217206</v>
      </c>
      <c r="CE86" s="141"/>
      <c r="CF86" s="142">
        <f>CF83-CF72</f>
        <v>0.11329464216447173</v>
      </c>
      <c r="CG86" s="1077"/>
      <c r="CH86" s="599">
        <f>CH83-CH72</f>
        <v>0.30113248000231041</v>
      </c>
      <c r="CI86" s="600"/>
      <c r="CJ86" s="599">
        <f>CJ83-CJ72</f>
        <v>2.5106365182458039</v>
      </c>
      <c r="CK86" s="600"/>
      <c r="CL86" s="599">
        <f>CL83-CL72</f>
        <v>5.6471919672215609</v>
      </c>
      <c r="CM86" s="600"/>
      <c r="CN86" s="599">
        <f>CN83-CN72</f>
        <v>3.1406365182458038</v>
      </c>
      <c r="CO86" s="141"/>
      <c r="CP86" s="599">
        <f>CP83-CP72</f>
        <v>0.49687499999999962</v>
      </c>
      <c r="CR86" s="600"/>
      <c r="CS86" s="599">
        <f>CS83-CS72</f>
        <v>2.5899824335665467</v>
      </c>
      <c r="CT86" s="600"/>
      <c r="CU86" s="599">
        <f>CU83-CU72</f>
        <v>3.0505475174807124</v>
      </c>
      <c r="CV86" s="600"/>
      <c r="CW86" s="599">
        <f>CW83-CW72</f>
        <v>3.2299824335665468</v>
      </c>
      <c r="CX86" s="141"/>
      <c r="CY86" s="599">
        <f>CY83-CY72</f>
        <v>0.57899112199790859</v>
      </c>
      <c r="DA86" s="600"/>
      <c r="DB86" s="599">
        <f>DB83-DB72</f>
        <v>2.6452225967230536</v>
      </c>
      <c r="DC86" s="600"/>
      <c r="DD86" s="599">
        <f>DD83-DD72</f>
        <v>2.8566129093049533</v>
      </c>
      <c r="DE86" s="600"/>
      <c r="DF86" s="599">
        <f>DF83-DF72</f>
        <v>3.2697577267018234</v>
      </c>
      <c r="DH86" s="600"/>
      <c r="DI86" s="599">
        <f>DI83-DI72</f>
        <v>1.7424047109312155</v>
      </c>
      <c r="DJ86" s="600"/>
      <c r="DK86" s="599">
        <f>DK83-DK72</f>
        <v>2.0555865874554105</v>
      </c>
      <c r="DL86" s="600"/>
      <c r="DM86" s="599">
        <f>DM83-DM72</f>
        <v>2.4252438843364281</v>
      </c>
      <c r="DO86" s="600"/>
      <c r="DP86" s="599">
        <f>DP83-DP72</f>
        <v>1.6591573081922595</v>
      </c>
      <c r="DQ86" s="600"/>
      <c r="DR86" s="599">
        <f>DR83-DR72</f>
        <v>2.0540366152427656</v>
      </c>
      <c r="DS86" s="600"/>
      <c r="DT86" s="599">
        <f>DT83-DT72</f>
        <v>2.2833213741753178</v>
      </c>
      <c r="DV86" s="600"/>
      <c r="DW86" s="599">
        <f>DW83-DW72</f>
        <v>1.6610677369994395</v>
      </c>
      <c r="DX86" s="600"/>
      <c r="DY86" s="599">
        <f>DY83-DY72</f>
        <v>1.5365734948581384</v>
      </c>
      <c r="EA86" s="600"/>
      <c r="EB86" s="599">
        <f>EB83-EB72</f>
        <v>1.6908761978804223</v>
      </c>
      <c r="ED86" s="600"/>
      <c r="EE86" s="599">
        <f>EE83-EE72</f>
        <v>1.9297946517146065</v>
      </c>
      <c r="EG86" s="600"/>
      <c r="EH86" s="599">
        <f>EH83-EH72</f>
        <v>1.896529411561612</v>
      </c>
      <c r="EJ86" s="600"/>
      <c r="EK86" s="599">
        <f>EK83-EK72</f>
        <v>1.6409411543649697</v>
      </c>
      <c r="EM86" s="600"/>
      <c r="EN86" s="599">
        <f>EN83-EN72</f>
        <v>1.8372632798160489</v>
      </c>
      <c r="EP86" s="600"/>
      <c r="EQ86" s="599">
        <f>EQ83-EQ72</f>
        <v>2.1476116672172938</v>
      </c>
      <c r="ER86" s="600"/>
      <c r="ES86" s="599">
        <f>ES83-ES72</f>
        <v>1.7087759769388995</v>
      </c>
      <c r="ET86" s="4"/>
      <c r="EU86" s="600"/>
      <c r="EV86" s="599">
        <f>EV83-EV72</f>
        <v>1.817338877227799</v>
      </c>
      <c r="EX86" s="600"/>
      <c r="EY86" s="599">
        <f>EY83-EY72</f>
        <v>1.6657704065977443</v>
      </c>
      <c r="EZ86" s="600"/>
      <c r="FA86" s="599">
        <f>FA83-FA72</f>
        <v>1.805125245307422</v>
      </c>
      <c r="FB86" s="600"/>
      <c r="FC86" s="599">
        <f>FC83-FC72</f>
        <v>2.2489962130493573</v>
      </c>
    </row>
    <row r="87" spans="1:159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0.28103624645236414</v>
      </c>
      <c r="H87" s="132"/>
      <c r="I87" s="133">
        <f>I86/I67</f>
        <v>0.23182341851506028</v>
      </c>
      <c r="J87" s="381"/>
      <c r="K87" s="611">
        <f>K86/K67</f>
        <v>0.16368106100702315</v>
      </c>
      <c r="L87" s="381"/>
      <c r="M87" s="611">
        <f>M86/M67</f>
        <v>0.17346127940435535</v>
      </c>
      <c r="N87" s="381"/>
      <c r="O87" s="611">
        <f>O86/O67</f>
        <v>0.18792544453460619</v>
      </c>
      <c r="P87" s="381"/>
      <c r="Q87" s="611">
        <f>Q86/Q67</f>
        <v>0.20481911996486701</v>
      </c>
      <c r="R87" s="645"/>
      <c r="S87" s="132"/>
      <c r="T87" s="133">
        <f>T86/T67</f>
        <v>0.20692473076524714</v>
      </c>
      <c r="U87" s="132"/>
      <c r="V87" s="133">
        <f>V86/V67</f>
        <v>0.15429488059902585</v>
      </c>
      <c r="W87" s="381"/>
      <c r="X87" s="611">
        <f>X86/X67</f>
        <v>9.5863322352634409E-2</v>
      </c>
      <c r="Y87" s="381"/>
      <c r="Z87" s="611">
        <f>Z86/Z67</f>
        <v>0.1128824498993824</v>
      </c>
      <c r="AA87" s="381"/>
      <c r="AB87" s="611">
        <f>AB86/AB67</f>
        <v>0.11959772766331771</v>
      </c>
      <c r="AC87" s="381"/>
      <c r="AD87" s="611">
        <f>AD86/AD67</f>
        <v>9.6368923946709192E-2</v>
      </c>
      <c r="AE87" s="381"/>
      <c r="AF87" s="611" t="e">
        <f>'Pricing Structure - IIP'!#REF!</f>
        <v>#REF!</v>
      </c>
      <c r="AG87" s="645"/>
      <c r="AH87" s="132"/>
      <c r="AI87" s="133">
        <f>AI86/AI67</f>
        <v>6.4267873763220199E-2</v>
      </c>
      <c r="AJ87" s="132"/>
      <c r="AK87" s="133">
        <f>AK86/AK67</f>
        <v>1.654270442164376E-2</v>
      </c>
      <c r="AL87" s="381"/>
      <c r="AM87" s="611">
        <f>AM86/AM67</f>
        <v>-2.2211002191288458E-2</v>
      </c>
      <c r="AN87" s="381"/>
      <c r="AO87" s="611">
        <f>AO86/AO67</f>
        <v>-2.2755201769346249E-2</v>
      </c>
      <c r="AP87" s="381"/>
      <c r="AQ87" s="611">
        <f>AQ86/AQ67</f>
        <v>7.0448432852007858E-2</v>
      </c>
      <c r="AR87" s="381"/>
      <c r="AS87" s="611">
        <f>AS86/AS67</f>
        <v>1.2899198115161417E-2</v>
      </c>
      <c r="AT87" s="381"/>
      <c r="AU87" s="611" t="e">
        <f>'Pricing Structure - IHAG'!#REF!</f>
        <v>#REF!</v>
      </c>
      <c r="AV87" s="672"/>
      <c r="AW87" s="381"/>
      <c r="AX87" s="382">
        <f>AX86/AX67</f>
        <v>-3.8872575632797328E-2</v>
      </c>
      <c r="AY87" s="131"/>
      <c r="AZ87" s="133">
        <f>AZ86/AZ67</f>
        <v>0.20913320675914207</v>
      </c>
      <c r="BA87" s="381"/>
      <c r="BB87" s="382">
        <f>BB86/BB67</f>
        <v>0.16428142628903686</v>
      </c>
      <c r="BC87" s="381"/>
      <c r="BD87" s="382">
        <f>BD86/BD67</f>
        <v>0.17339316459156687</v>
      </c>
      <c r="BE87" s="381"/>
      <c r="BF87" s="382">
        <f>BF86/BF67</f>
        <v>0.16479521514829526</v>
      </c>
      <c r="BG87" s="381"/>
      <c r="BH87" s="611">
        <f>BH86/BH67</f>
        <v>0.13427996091521585</v>
      </c>
      <c r="BI87" s="381"/>
      <c r="BJ87" s="611">
        <f>BJ86/BJ67</f>
        <v>0.11073725444568014</v>
      </c>
      <c r="BK87" s="132"/>
      <c r="BL87" s="133">
        <f>BL86/BL67</f>
        <v>0.19198643376530125</v>
      </c>
      <c r="BM87" s="381"/>
      <c r="BN87" s="382">
        <f>BN86/BN67</f>
        <v>0.1771123978787349</v>
      </c>
      <c r="BO87" s="381"/>
      <c r="BP87" s="382">
        <f>BP86/BP67</f>
        <v>0.15782728264240437</v>
      </c>
      <c r="BQ87" s="381"/>
      <c r="BR87" s="611">
        <f>BR86/BR67</f>
        <v>0.19280095929507285</v>
      </c>
      <c r="BS87" s="132"/>
      <c r="BT87" s="133">
        <f>BT86/BT67</f>
        <v>6.2686225624485281E-2</v>
      </c>
      <c r="BU87" s="381"/>
      <c r="BV87" s="382">
        <f>BV86/BV67</f>
        <v>5.1524900778980108E-2</v>
      </c>
      <c r="BW87" s="381"/>
      <c r="BX87" s="382">
        <f>BX86/BX67</f>
        <v>3.4549574754506429E-2</v>
      </c>
      <c r="BY87" s="1075"/>
      <c r="BZ87" s="611">
        <f>BZ86/BZ67</f>
        <v>8.4095037826751248E-2</v>
      </c>
      <c r="CA87" s="132"/>
      <c r="CB87" s="133">
        <f>CB86/CB67</f>
        <v>-1.1919440592754437E-2</v>
      </c>
      <c r="CC87" s="381"/>
      <c r="CD87" s="382">
        <f>CD86/CD67</f>
        <v>3.7423646869780509E-2</v>
      </c>
      <c r="CE87" s="381"/>
      <c r="CF87" s="382">
        <f>CF86/CF67</f>
        <v>1.8726387134623428E-2</v>
      </c>
      <c r="CG87" s="1075"/>
      <c r="CH87" s="611">
        <f>CH86/CH67</f>
        <v>4.9773963636745522E-2</v>
      </c>
      <c r="CI87" s="612"/>
      <c r="CJ87" s="611">
        <f>CJ86/CJ67</f>
        <v>0.43663243795579199</v>
      </c>
      <c r="CK87" s="612"/>
      <c r="CL87" s="611">
        <f>CL86/CL67</f>
        <v>0.98212034212548882</v>
      </c>
      <c r="CM87" s="612"/>
      <c r="CN87" s="611">
        <f>CN86/CN67</f>
        <v>0.5461976553470963</v>
      </c>
      <c r="CO87" s="381"/>
      <c r="CP87" s="611">
        <f>CP86/CP67</f>
        <v>0.12118902439024382</v>
      </c>
      <c r="CR87" s="612"/>
      <c r="CS87" s="611">
        <f>CS86/CS67</f>
        <v>0.44273203992590543</v>
      </c>
      <c r="CT87" s="612"/>
      <c r="CU87" s="611">
        <f>CU86/CU67</f>
        <v>0.5214611140992671</v>
      </c>
      <c r="CV87" s="612"/>
      <c r="CW87" s="611">
        <f>CW86/CW67</f>
        <v>0.55213374932761483</v>
      </c>
      <c r="CX87" s="381"/>
      <c r="CY87" s="611">
        <f>CY86/CY67</f>
        <v>0.13623320517597848</v>
      </c>
      <c r="DA87" s="612"/>
      <c r="DB87" s="611">
        <f>DB86/DB67</f>
        <v>0.45217480285864164</v>
      </c>
      <c r="DC87" s="612"/>
      <c r="DD87" s="611">
        <f>DD86/DD67</f>
        <v>0.48830989902648775</v>
      </c>
      <c r="DE87" s="612"/>
      <c r="DF87" s="611">
        <f>DF86/DF67</f>
        <v>0.55893294473535449</v>
      </c>
      <c r="DH87" s="612"/>
      <c r="DI87" s="611">
        <f>DI86/DI67</f>
        <v>0.29784695913354114</v>
      </c>
      <c r="DJ87" s="612"/>
      <c r="DK87" s="611">
        <f>DK86/DK67</f>
        <v>0.35138232264195052</v>
      </c>
      <c r="DL87" s="612"/>
      <c r="DM87" s="611">
        <f>DM86/DM67</f>
        <v>0.41457160416007321</v>
      </c>
      <c r="DO87" s="612"/>
      <c r="DP87" s="611">
        <f>DP86/DP67</f>
        <v>0.28361663387901875</v>
      </c>
      <c r="DQ87" s="612"/>
      <c r="DR87" s="611">
        <f>DR86/DR67</f>
        <v>0.35111737012696848</v>
      </c>
      <c r="DS87" s="612"/>
      <c r="DT87" s="611">
        <f>DT86/DT67</f>
        <v>0.39031134601287487</v>
      </c>
      <c r="DV87" s="612"/>
      <c r="DW87" s="611">
        <f>DW86/DW67</f>
        <v>0.28394320290588709</v>
      </c>
      <c r="DX87" s="612"/>
      <c r="DY87" s="611">
        <f>DY86/DY67</f>
        <v>0.2626621358731861</v>
      </c>
      <c r="EA87" s="612"/>
      <c r="EB87" s="611">
        <f>EB86/EB67</f>
        <v>0.28903866630434571</v>
      </c>
      <c r="ED87" s="612"/>
      <c r="EE87" s="611">
        <f>EE86/EE67</f>
        <v>0.32987942764352252</v>
      </c>
      <c r="EG87" s="612"/>
      <c r="EH87" s="611">
        <f>EH86/EH67</f>
        <v>0.3241930618054038</v>
      </c>
      <c r="EJ87" s="612"/>
      <c r="EK87" s="611">
        <f>EK86/EK67</f>
        <v>0.28050276142990938</v>
      </c>
      <c r="EM87" s="612"/>
      <c r="EN87" s="611">
        <f>EN86/EN67</f>
        <v>0.31406209911385452</v>
      </c>
      <c r="EP87" s="612"/>
      <c r="EQ87" s="611">
        <f>EQ86/EQ67</f>
        <v>0.36711310550722975</v>
      </c>
      <c r="ER87" s="612"/>
      <c r="ES87" s="611">
        <f>ES86/ES67</f>
        <v>0.29209845759639308</v>
      </c>
      <c r="ET87" s="4"/>
      <c r="EU87" s="612"/>
      <c r="EV87" s="611">
        <f>EV86/EV67</f>
        <v>0.31065621832953833</v>
      </c>
      <c r="EX87" s="612"/>
      <c r="EY87" s="611">
        <f>EY86/EY67</f>
        <v>0.2847470780508965</v>
      </c>
      <c r="EZ87" s="612"/>
      <c r="FA87" s="611">
        <f>FA86/FA67</f>
        <v>0.30856841800126872</v>
      </c>
      <c r="FB87" s="612"/>
      <c r="FC87" s="611">
        <f>FC86/FC67</f>
        <v>0.38444379710245424</v>
      </c>
    </row>
    <row r="88" spans="1:159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381"/>
      <c r="K88" s="383"/>
      <c r="L88" s="381"/>
      <c r="M88" s="383"/>
      <c r="N88" s="381"/>
      <c r="O88" s="383"/>
      <c r="P88" s="381"/>
      <c r="Q88" s="383"/>
      <c r="R88" s="646"/>
      <c r="S88" s="132"/>
      <c r="T88" s="133"/>
      <c r="U88" s="132"/>
      <c r="V88" s="133"/>
      <c r="W88" s="381"/>
      <c r="X88" s="383"/>
      <c r="Y88" s="381"/>
      <c r="Z88" s="383"/>
      <c r="AA88" s="381"/>
      <c r="AB88" s="383"/>
      <c r="AC88" s="381"/>
      <c r="AD88" s="383"/>
      <c r="AE88" s="381"/>
      <c r="AF88" s="383"/>
      <c r="AG88" s="646"/>
      <c r="AH88" s="132"/>
      <c r="AI88" s="133"/>
      <c r="AJ88" s="132"/>
      <c r="AK88" s="133"/>
      <c r="AL88" s="381"/>
      <c r="AM88" s="383"/>
      <c r="AN88" s="381"/>
      <c r="AO88" s="383"/>
      <c r="AP88" s="381"/>
      <c r="AQ88" s="383"/>
      <c r="AR88" s="381"/>
      <c r="AS88" s="383"/>
      <c r="AT88" s="381"/>
      <c r="AU88" s="383"/>
      <c r="AV88" s="672"/>
      <c r="AW88" s="381"/>
      <c r="AX88" s="382"/>
      <c r="AY88" s="131"/>
      <c r="AZ88" s="133"/>
      <c r="BA88" s="381"/>
      <c r="BB88" s="382"/>
      <c r="BC88" s="381"/>
      <c r="BD88" s="382"/>
      <c r="BE88" s="381"/>
      <c r="BF88" s="382"/>
      <c r="BG88" s="381"/>
      <c r="BH88" s="383"/>
      <c r="BI88" s="381"/>
      <c r="BJ88" s="383"/>
      <c r="BK88" s="132"/>
      <c r="BL88" s="133"/>
      <c r="BM88" s="381"/>
      <c r="BN88" s="382"/>
      <c r="BO88" s="381"/>
      <c r="BP88" s="382"/>
      <c r="BQ88" s="381"/>
      <c r="BR88" s="383"/>
      <c r="BS88" s="132"/>
      <c r="BT88" s="133"/>
      <c r="BU88" s="381"/>
      <c r="BV88" s="382"/>
      <c r="BW88" s="381"/>
      <c r="BX88" s="382"/>
      <c r="BY88" s="1075"/>
      <c r="BZ88" s="383"/>
      <c r="CA88" s="132"/>
      <c r="CB88" s="133"/>
      <c r="CC88" s="381"/>
      <c r="CD88" s="382"/>
      <c r="CE88" s="381"/>
      <c r="CF88" s="382"/>
      <c r="CG88" s="1075"/>
      <c r="CH88" s="383"/>
      <c r="CI88" s="614"/>
      <c r="CJ88" s="613"/>
      <c r="CK88" s="614"/>
      <c r="CL88" s="613"/>
      <c r="CM88" s="614"/>
      <c r="CN88" s="613"/>
      <c r="CO88" s="381"/>
      <c r="CP88" s="613"/>
      <c r="CR88" s="614"/>
      <c r="CS88" s="613"/>
      <c r="CT88" s="614"/>
      <c r="CU88" s="613"/>
      <c r="CV88" s="614"/>
      <c r="CW88" s="613"/>
      <c r="CX88" s="381"/>
      <c r="CY88" s="613"/>
      <c r="DA88" s="614"/>
      <c r="DB88" s="613"/>
      <c r="DC88" s="614"/>
      <c r="DD88" s="613"/>
      <c r="DE88" s="614"/>
      <c r="DF88" s="613"/>
      <c r="DH88" s="614"/>
      <c r="DI88" s="613"/>
      <c r="DJ88" s="614"/>
      <c r="DK88" s="613"/>
      <c r="DL88" s="614"/>
      <c r="DM88" s="613"/>
      <c r="DO88" s="614"/>
      <c r="DP88" s="613"/>
      <c r="DQ88" s="614"/>
      <c r="DR88" s="613"/>
      <c r="DS88" s="614"/>
      <c r="DT88" s="613"/>
      <c r="DV88" s="614"/>
      <c r="DW88" s="613"/>
      <c r="DX88" s="614"/>
      <c r="DY88" s="613"/>
      <c r="EA88" s="614"/>
      <c r="EB88" s="613"/>
      <c r="ED88" s="614"/>
      <c r="EE88" s="613"/>
      <c r="EG88" s="614"/>
      <c r="EH88" s="613"/>
      <c r="EJ88" s="614"/>
      <c r="EK88" s="613"/>
      <c r="EM88" s="614"/>
      <c r="EN88" s="613"/>
      <c r="EP88" s="614"/>
      <c r="EQ88" s="613"/>
      <c r="ER88" s="614"/>
      <c r="ES88" s="613"/>
      <c r="ET88" s="4"/>
      <c r="EU88" s="614"/>
      <c r="EV88" s="613"/>
      <c r="EX88" s="614"/>
      <c r="EY88" s="613"/>
      <c r="EZ88" s="614"/>
      <c r="FA88" s="613"/>
      <c r="FB88" s="614"/>
      <c r="FC88" s="613"/>
    </row>
    <row r="89" spans="1:159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1.5288023414967551</v>
      </c>
      <c r="H89" s="146"/>
      <c r="I89" s="147">
        <f>I86</f>
        <v>1.2293586304373543</v>
      </c>
      <c r="J89" s="424"/>
      <c r="K89" s="601">
        <f>K86</f>
        <v>0.93841340769078174</v>
      </c>
      <c r="L89" s="424"/>
      <c r="M89" s="601">
        <f>M86</f>
        <v>0.99566774378099976</v>
      </c>
      <c r="N89" s="424"/>
      <c r="O89" s="601">
        <f>O86</f>
        <v>1.0786920516286396</v>
      </c>
      <c r="P89" s="424"/>
      <c r="Q89" s="601">
        <f>Q86</f>
        <v>1.1756617485983367</v>
      </c>
      <c r="R89" s="648"/>
      <c r="S89" s="146"/>
      <c r="T89" s="147">
        <f>T86</f>
        <v>1.1251532235360313</v>
      </c>
      <c r="U89" s="146"/>
      <c r="V89" s="147">
        <f>V86</f>
        <v>0.81969155318232478</v>
      </c>
      <c r="W89" s="424"/>
      <c r="X89" s="601">
        <f>X86</f>
        <v>0.54911923020098552</v>
      </c>
      <c r="Y89" s="424"/>
      <c r="Z89" s="601">
        <f>Z86</f>
        <v>0.64794526242245498</v>
      </c>
      <c r="AA89" s="424"/>
      <c r="AB89" s="601">
        <f>AB86</f>
        <v>0.68649095678744365</v>
      </c>
      <c r="AC89" s="424"/>
      <c r="AD89" s="601">
        <f>AD86</f>
        <v>0.55315762345411079</v>
      </c>
      <c r="AE89" s="146"/>
      <c r="AF89" s="601" t="e">
        <f>'Pricing Structure - IIP'!#REF!</f>
        <v>#REF!</v>
      </c>
      <c r="AG89" s="648"/>
      <c r="AH89" s="146"/>
      <c r="AI89" s="147">
        <f>AI86</f>
        <v>0.3468654820572673</v>
      </c>
      <c r="AJ89" s="146"/>
      <c r="AK89" s="147">
        <f>AK86</f>
        <v>8.7280240511940166E-2</v>
      </c>
      <c r="AL89" s="424"/>
      <c r="AM89" s="601">
        <f>AM86</f>
        <v>-0.12671009778818668</v>
      </c>
      <c r="AN89" s="424"/>
      <c r="AO89" s="601">
        <f>AO86</f>
        <v>-0.12993220210296708</v>
      </c>
      <c r="AP89" s="424"/>
      <c r="AQ89" s="601">
        <f>AQ86</f>
        <v>0.40226055158496488</v>
      </c>
      <c r="AR89" s="424"/>
      <c r="AS89" s="601">
        <f>AS86</f>
        <v>7.3654421237571696E-2</v>
      </c>
      <c r="AT89" s="146"/>
      <c r="AU89" s="601" t="e">
        <f>'Pricing Structure - IHAG'!#REF!</f>
        <v>#REF!</v>
      </c>
      <c r="AV89" s="674"/>
      <c r="AW89" s="146"/>
      <c r="AX89" s="147">
        <f>AX86</f>
        <v>-0.22196240686327276</v>
      </c>
      <c r="AY89" s="144"/>
      <c r="AZ89" s="147">
        <f>AZ86</f>
        <v>1.1090325312569256</v>
      </c>
      <c r="BA89" s="146"/>
      <c r="BB89" s="147">
        <f>BB86</f>
        <v>0.94297538689907168</v>
      </c>
      <c r="BC89" s="146"/>
      <c r="BD89" s="147">
        <f>BD86</f>
        <v>0.99527676475559379</v>
      </c>
      <c r="BE89" s="146"/>
      <c r="BF89" s="147">
        <f>BF86</f>
        <v>0.94592453495121487</v>
      </c>
      <c r="BG89" s="146"/>
      <c r="BH89" s="601">
        <f>BH86</f>
        <v>0.77076697565333907</v>
      </c>
      <c r="BI89" s="146"/>
      <c r="BJ89" s="601">
        <f>BJ86</f>
        <v>0.63563184051820398</v>
      </c>
      <c r="BK89" s="146"/>
      <c r="BL89" s="147">
        <f>BL86</f>
        <v>0.86009922326854971</v>
      </c>
      <c r="BM89" s="146"/>
      <c r="BN89" s="147">
        <f>BN86</f>
        <v>0.79346354249673245</v>
      </c>
      <c r="BO89" s="146"/>
      <c r="BP89" s="147">
        <f>BP86</f>
        <v>0.70706622623797166</v>
      </c>
      <c r="BQ89" s="1072"/>
      <c r="BR89" s="601">
        <f>BR86</f>
        <v>0.92544460461634959</v>
      </c>
      <c r="BS89" s="146"/>
      <c r="BT89" s="147">
        <f>BT86</f>
        <v>0.2588941118291242</v>
      </c>
      <c r="BU89" s="146"/>
      <c r="BV89" s="147">
        <f>BV86</f>
        <v>0.21279784021718784</v>
      </c>
      <c r="BW89" s="146"/>
      <c r="BX89" s="147">
        <f>BX86</f>
        <v>0.14268974373611154</v>
      </c>
      <c r="BY89" s="1072"/>
      <c r="BZ89" s="601">
        <f>BZ86</f>
        <v>0.36160866265503033</v>
      </c>
      <c r="CA89" s="146"/>
      <c r="CB89" s="147">
        <f>CB86</f>
        <v>-7.2112615586164344E-2</v>
      </c>
      <c r="CC89" s="146"/>
      <c r="CD89" s="147">
        <f>CD86</f>
        <v>0.22641306356217206</v>
      </c>
      <c r="CE89" s="146"/>
      <c r="CF89" s="147">
        <f>CF86</f>
        <v>0.11329464216447173</v>
      </c>
      <c r="CG89" s="1072"/>
      <c r="CH89" s="601">
        <f>CH86</f>
        <v>0.30113248000231041</v>
      </c>
      <c r="CI89" s="603"/>
      <c r="CJ89" s="601">
        <f>CJ86</f>
        <v>2.5106365182458039</v>
      </c>
      <c r="CK89" s="603"/>
      <c r="CL89" s="601">
        <f>CL86</f>
        <v>5.6471919672215609</v>
      </c>
      <c r="CM89" s="603"/>
      <c r="CN89" s="601">
        <f>CN86</f>
        <v>3.1406365182458038</v>
      </c>
      <c r="CO89" s="146"/>
      <c r="CP89" s="601">
        <f>CP86</f>
        <v>0.49687499999999962</v>
      </c>
      <c r="CR89" s="603"/>
      <c r="CS89" s="601">
        <f>CS86</f>
        <v>2.5899824335665467</v>
      </c>
      <c r="CT89" s="603"/>
      <c r="CU89" s="601">
        <f>CU86</f>
        <v>3.0505475174807124</v>
      </c>
      <c r="CV89" s="603"/>
      <c r="CW89" s="601">
        <f>CW86</f>
        <v>3.2299824335665468</v>
      </c>
      <c r="CX89" s="146"/>
      <c r="CY89" s="601">
        <f>CY86</f>
        <v>0.57899112199790859</v>
      </c>
      <c r="DA89" s="603"/>
      <c r="DB89" s="601">
        <f>DB86</f>
        <v>2.6452225967230536</v>
      </c>
      <c r="DC89" s="603"/>
      <c r="DD89" s="601">
        <f>DD86</f>
        <v>2.8566129093049533</v>
      </c>
      <c r="DE89" s="603"/>
      <c r="DF89" s="601">
        <f>DF86</f>
        <v>3.2697577267018234</v>
      </c>
      <c r="DH89" s="603"/>
      <c r="DI89" s="601">
        <f>DI86</f>
        <v>1.7424047109312155</v>
      </c>
      <c r="DJ89" s="603"/>
      <c r="DK89" s="601">
        <f>DK86</f>
        <v>2.0555865874554105</v>
      </c>
      <c r="DL89" s="603"/>
      <c r="DM89" s="601">
        <f>DM86</f>
        <v>2.4252438843364281</v>
      </c>
      <c r="DO89" s="603"/>
      <c r="DP89" s="601">
        <f>DP86</f>
        <v>1.6591573081922595</v>
      </c>
      <c r="DQ89" s="603"/>
      <c r="DR89" s="601">
        <f>DR86</f>
        <v>2.0540366152427656</v>
      </c>
      <c r="DS89" s="603"/>
      <c r="DT89" s="601">
        <f>DT86</f>
        <v>2.2833213741753178</v>
      </c>
      <c r="DV89" s="603"/>
      <c r="DW89" s="601">
        <f>DW86</f>
        <v>1.6610677369994395</v>
      </c>
      <c r="DX89" s="603"/>
      <c r="DY89" s="601">
        <f>DY86</f>
        <v>1.5365734948581384</v>
      </c>
      <c r="EA89" s="603"/>
      <c r="EB89" s="601">
        <f>EB86</f>
        <v>1.6908761978804223</v>
      </c>
      <c r="ED89" s="603"/>
      <c r="EE89" s="601">
        <f>EE86</f>
        <v>1.9297946517146065</v>
      </c>
      <c r="EG89" s="603"/>
      <c r="EH89" s="601">
        <f>EH86</f>
        <v>1.896529411561612</v>
      </c>
      <c r="EJ89" s="603"/>
      <c r="EK89" s="601">
        <f>EK86</f>
        <v>1.6409411543649697</v>
      </c>
      <c r="EM89" s="603"/>
      <c r="EN89" s="601">
        <f>EN86</f>
        <v>1.8372632798160489</v>
      </c>
      <c r="EP89" s="603"/>
      <c r="EQ89" s="601">
        <f>EQ86</f>
        <v>2.1476116672172938</v>
      </c>
      <c r="ER89" s="603"/>
      <c r="ES89" s="601">
        <f>ES86</f>
        <v>1.7087759769388995</v>
      </c>
      <c r="ET89" s="4"/>
      <c r="EU89" s="603"/>
      <c r="EV89" s="601">
        <f>EV86</f>
        <v>1.817338877227799</v>
      </c>
      <c r="EX89" s="603"/>
      <c r="EY89" s="601">
        <f>EY86</f>
        <v>1.6657704065977443</v>
      </c>
      <c r="EZ89" s="603"/>
      <c r="FA89" s="601">
        <f>FA86</f>
        <v>1.805125245307422</v>
      </c>
      <c r="FB89" s="603"/>
      <c r="FC89" s="601">
        <f>FC86</f>
        <v>2.2489962130493573</v>
      </c>
    </row>
    <row r="90" spans="1:159" s="283" customFormat="1" ht="18" customHeight="1" outlineLevel="1" x14ac:dyDescent="0.45">
      <c r="A90" s="561"/>
      <c r="B90" s="1131"/>
      <c r="C90" s="1132" t="s">
        <v>91</v>
      </c>
      <c r="D90" s="1133"/>
      <c r="E90" s="1133"/>
      <c r="F90" s="1132"/>
      <c r="G90" s="1134">
        <f>G89/G67</f>
        <v>0.28103624645236414</v>
      </c>
      <c r="H90" s="1132"/>
      <c r="I90" s="1134">
        <f>I89/I67</f>
        <v>0.23182341851506028</v>
      </c>
      <c r="J90" s="1135"/>
      <c r="K90" s="1136">
        <f>K89/K67</f>
        <v>0.16368106100702315</v>
      </c>
      <c r="L90" s="1135"/>
      <c r="M90" s="1136">
        <f>M89/M67</f>
        <v>0.17346127940435535</v>
      </c>
      <c r="N90" s="1135"/>
      <c r="O90" s="1136">
        <f>O89/O67</f>
        <v>0.18792544453460619</v>
      </c>
      <c r="P90" s="1135"/>
      <c r="Q90" s="1136">
        <f>Q89/Q67</f>
        <v>0.20481911996486701</v>
      </c>
      <c r="R90" s="1137"/>
      <c r="S90" s="1132"/>
      <c r="T90" s="1134">
        <f>T89/T67</f>
        <v>0.20692473076524714</v>
      </c>
      <c r="U90" s="1132"/>
      <c r="V90" s="1134">
        <f>V89/V67</f>
        <v>0.15429488059902585</v>
      </c>
      <c r="W90" s="1135"/>
      <c r="X90" s="1136">
        <f>X89/X67</f>
        <v>9.5863322352634409E-2</v>
      </c>
      <c r="Y90" s="1135"/>
      <c r="Z90" s="1136">
        <f>Z89/Z67</f>
        <v>0.1128824498993824</v>
      </c>
      <c r="AA90" s="1135"/>
      <c r="AB90" s="1136">
        <f>AB89/AB67</f>
        <v>0.11959772766331771</v>
      </c>
      <c r="AC90" s="1135"/>
      <c r="AD90" s="1136">
        <f>AD89/AD67</f>
        <v>9.6368923946709192E-2</v>
      </c>
      <c r="AE90" s="1135"/>
      <c r="AF90" s="1136" t="e">
        <f>'Pricing Structure - IIP'!#REF!</f>
        <v>#REF!</v>
      </c>
      <c r="AG90" s="1137"/>
      <c r="AH90" s="1132"/>
      <c r="AI90" s="1134">
        <f>AI89/AI67</f>
        <v>6.4267873763220199E-2</v>
      </c>
      <c r="AJ90" s="1132"/>
      <c r="AK90" s="1134">
        <f>AK89/AK67</f>
        <v>1.654270442164376E-2</v>
      </c>
      <c r="AL90" s="1135"/>
      <c r="AM90" s="1136">
        <f>AM89/AM67</f>
        <v>-2.2211002191288458E-2</v>
      </c>
      <c r="AN90" s="1135"/>
      <c r="AO90" s="1136">
        <f>AO89/AO67</f>
        <v>-2.2755201769346249E-2</v>
      </c>
      <c r="AP90" s="1135"/>
      <c r="AQ90" s="1136">
        <f>AQ89/AQ67</f>
        <v>7.0448432852007858E-2</v>
      </c>
      <c r="AR90" s="381"/>
      <c r="AS90" s="611">
        <f>AS89/AS67</f>
        <v>1.2899198115161417E-2</v>
      </c>
      <c r="AT90" s="381"/>
      <c r="AU90" s="611" t="e">
        <f>'Pricing Structure - IHAG'!#REF!</f>
        <v>#REF!</v>
      </c>
      <c r="AV90" s="672"/>
      <c r="AW90" s="381"/>
      <c r="AX90" s="382">
        <f>AX89/AX67</f>
        <v>-3.8872575632797328E-2</v>
      </c>
      <c r="AY90" s="131"/>
      <c r="AZ90" s="133">
        <f>AZ89/AZ67</f>
        <v>0.20913320675914207</v>
      </c>
      <c r="BA90" s="381"/>
      <c r="BB90" s="382">
        <f>BB89/BB67</f>
        <v>0.16428142628903686</v>
      </c>
      <c r="BC90" s="381"/>
      <c r="BD90" s="382">
        <f>BD89/BD67</f>
        <v>0.17339316459156687</v>
      </c>
      <c r="BE90" s="381"/>
      <c r="BF90" s="382">
        <f>BF89/BF67</f>
        <v>0.16479521514829526</v>
      </c>
      <c r="BG90" s="381"/>
      <c r="BH90" s="611">
        <f>BH89/BH67</f>
        <v>0.13427996091521585</v>
      </c>
      <c r="BI90" s="381"/>
      <c r="BJ90" s="611">
        <f>BJ89/BJ67</f>
        <v>0.11073725444568014</v>
      </c>
      <c r="BK90" s="132"/>
      <c r="BL90" s="133">
        <f>BL89/BL67</f>
        <v>0.19198643376530125</v>
      </c>
      <c r="BM90" s="381"/>
      <c r="BN90" s="382">
        <f>BN89/BN67</f>
        <v>0.1771123978787349</v>
      </c>
      <c r="BO90" s="381"/>
      <c r="BP90" s="382">
        <f>BP89/BP67</f>
        <v>0.15782728264240437</v>
      </c>
      <c r="BQ90" s="381"/>
      <c r="BR90" s="611">
        <f>BR89/BR67</f>
        <v>0.19280095929507285</v>
      </c>
      <c r="BS90" s="132"/>
      <c r="BT90" s="133">
        <f>BT89/BT67</f>
        <v>6.2686225624485281E-2</v>
      </c>
      <c r="BU90" s="381"/>
      <c r="BV90" s="382">
        <f>BV89/BV67</f>
        <v>5.1524900778980108E-2</v>
      </c>
      <c r="BW90" s="381"/>
      <c r="BX90" s="382">
        <f>BX89/BX67</f>
        <v>3.4549574754506429E-2</v>
      </c>
      <c r="BY90" s="1075"/>
      <c r="BZ90" s="611">
        <f>BZ89/BZ67</f>
        <v>8.4095037826751248E-2</v>
      </c>
      <c r="CA90" s="132"/>
      <c r="CB90" s="133">
        <f>CB89/CB67</f>
        <v>-1.1919440592754437E-2</v>
      </c>
      <c r="CC90" s="381"/>
      <c r="CD90" s="382">
        <f>CD89/CD67</f>
        <v>3.7423646869780509E-2</v>
      </c>
      <c r="CE90" s="381"/>
      <c r="CF90" s="382">
        <f>CF89/CF67</f>
        <v>1.8726387134623428E-2</v>
      </c>
      <c r="CG90" s="1075"/>
      <c r="CH90" s="611">
        <f>CH89/CH67</f>
        <v>4.9773963636745522E-2</v>
      </c>
      <c r="CI90" s="612"/>
      <c r="CJ90" s="611">
        <f>CJ89/CJ67</f>
        <v>0.43663243795579199</v>
      </c>
      <c r="CK90" s="612"/>
      <c r="CL90" s="611">
        <f>CL89/CL67</f>
        <v>0.98212034212548882</v>
      </c>
      <c r="CM90" s="612"/>
      <c r="CN90" s="611">
        <f>CN89/CN67</f>
        <v>0.5461976553470963</v>
      </c>
      <c r="CO90" s="381"/>
      <c r="CP90" s="611">
        <f>CP89/CP67</f>
        <v>0.12118902439024382</v>
      </c>
      <c r="CR90" s="612"/>
      <c r="CS90" s="611">
        <f>CS89/CS67</f>
        <v>0.44273203992590543</v>
      </c>
      <c r="CT90" s="612"/>
      <c r="CU90" s="611">
        <f>CU89/CU67</f>
        <v>0.5214611140992671</v>
      </c>
      <c r="CV90" s="612"/>
      <c r="CW90" s="611">
        <f>CW89/CW67</f>
        <v>0.55213374932761483</v>
      </c>
      <c r="CX90" s="381"/>
      <c r="CY90" s="611">
        <f>CY89/CY67</f>
        <v>0.13623320517597848</v>
      </c>
      <c r="DA90" s="612"/>
      <c r="DB90" s="611">
        <f>DB89/DB67</f>
        <v>0.45217480285864164</v>
      </c>
      <c r="DC90" s="612"/>
      <c r="DD90" s="611">
        <f>DD89/DD67</f>
        <v>0.48830989902648775</v>
      </c>
      <c r="DE90" s="612"/>
      <c r="DF90" s="611">
        <f>DF89/DF67</f>
        <v>0.55893294473535449</v>
      </c>
      <c r="DH90" s="612"/>
      <c r="DI90" s="611">
        <f>DI89/DI67</f>
        <v>0.29784695913354114</v>
      </c>
      <c r="DJ90" s="612"/>
      <c r="DK90" s="611">
        <f>DK89/DK67</f>
        <v>0.35138232264195052</v>
      </c>
      <c r="DL90" s="612"/>
      <c r="DM90" s="611">
        <f>DM89/DM67</f>
        <v>0.41457160416007321</v>
      </c>
      <c r="DO90" s="612"/>
      <c r="DP90" s="611">
        <f>DP89/DP67</f>
        <v>0.28361663387901875</v>
      </c>
      <c r="DQ90" s="612"/>
      <c r="DR90" s="611">
        <f>DR89/DR67</f>
        <v>0.35111737012696848</v>
      </c>
      <c r="DS90" s="612"/>
      <c r="DT90" s="611">
        <f>DT89/DT67</f>
        <v>0.39031134601287487</v>
      </c>
      <c r="DV90" s="612"/>
      <c r="DW90" s="611">
        <f>DW89/DW67</f>
        <v>0.28394320290588709</v>
      </c>
      <c r="DX90" s="612"/>
      <c r="DY90" s="611">
        <f>DY89/DY67</f>
        <v>0.2626621358731861</v>
      </c>
      <c r="EA90" s="612"/>
      <c r="EB90" s="611">
        <f>EB89/EB67</f>
        <v>0.28903866630434571</v>
      </c>
      <c r="ED90" s="612"/>
      <c r="EE90" s="611">
        <f>EE89/EE67</f>
        <v>0.32987942764352252</v>
      </c>
      <c r="EG90" s="612"/>
      <c r="EH90" s="611">
        <f>EH89/EH67</f>
        <v>0.3241930618054038</v>
      </c>
      <c r="EJ90" s="612"/>
      <c r="EK90" s="611">
        <f>EK89/EK67</f>
        <v>0.28050276142990938</v>
      </c>
      <c r="EM90" s="612"/>
      <c r="EN90" s="611">
        <f>EN89/EN67</f>
        <v>0.31406209911385452</v>
      </c>
      <c r="EP90" s="612"/>
      <c r="EQ90" s="611">
        <f>EQ89/EQ67</f>
        <v>0.36711310550722975</v>
      </c>
      <c r="ER90" s="612"/>
      <c r="ES90" s="611">
        <f>ES89/ES67</f>
        <v>0.29209845759639308</v>
      </c>
      <c r="ET90" s="4"/>
      <c r="EU90" s="612"/>
      <c r="EV90" s="611">
        <f>EV89/EV67</f>
        <v>0.31065621832953833</v>
      </c>
      <c r="EX90" s="612"/>
      <c r="EY90" s="611">
        <f>EY89/EY67</f>
        <v>0.2847470780508965</v>
      </c>
      <c r="EZ90" s="612"/>
      <c r="FA90" s="611">
        <f>FA89/FA67</f>
        <v>0.30856841800126872</v>
      </c>
      <c r="FB90" s="612"/>
      <c r="FC90" s="611">
        <f>FC89/FC67</f>
        <v>0.38444379710245424</v>
      </c>
    </row>
    <row r="91" spans="1:159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381"/>
      <c r="K91" s="383"/>
      <c r="L91" s="381"/>
      <c r="M91" s="383"/>
      <c r="N91" s="381"/>
      <c r="O91" s="383"/>
      <c r="P91" s="381"/>
      <c r="Q91" s="383"/>
      <c r="R91" s="646"/>
      <c r="S91" s="132"/>
      <c r="T91" s="133"/>
      <c r="U91" s="132"/>
      <c r="V91" s="133"/>
      <c r="W91" s="381"/>
      <c r="X91" s="383"/>
      <c r="Y91" s="381"/>
      <c r="Z91" s="383"/>
      <c r="AA91" s="381"/>
      <c r="AB91" s="383"/>
      <c r="AC91" s="381"/>
      <c r="AD91" s="383"/>
      <c r="AE91" s="381"/>
      <c r="AF91" s="383"/>
      <c r="AG91" s="646"/>
      <c r="AH91" s="132"/>
      <c r="AI91" s="133"/>
      <c r="AJ91" s="132"/>
      <c r="AK91" s="133"/>
      <c r="AL91" s="381"/>
      <c r="AM91" s="383"/>
      <c r="AN91" s="381"/>
      <c r="AO91" s="383"/>
      <c r="AP91" s="381"/>
      <c r="AQ91" s="383"/>
      <c r="AR91" s="381"/>
      <c r="AS91" s="383"/>
      <c r="AT91" s="381"/>
      <c r="AU91" s="383"/>
      <c r="AV91" s="672"/>
      <c r="AW91" s="381"/>
      <c r="AX91" s="382"/>
      <c r="AY91" s="131"/>
      <c r="AZ91" s="133"/>
      <c r="BA91" s="381"/>
      <c r="BB91" s="382"/>
      <c r="BC91" s="381"/>
      <c r="BD91" s="382"/>
      <c r="BE91" s="381"/>
      <c r="BF91" s="382"/>
      <c r="BG91" s="381"/>
      <c r="BH91" s="383"/>
      <c r="BI91" s="381"/>
      <c r="BJ91" s="383"/>
      <c r="BK91" s="132"/>
      <c r="BL91" s="133"/>
      <c r="BM91" s="381"/>
      <c r="BN91" s="382"/>
      <c r="BO91" s="381"/>
      <c r="BP91" s="382"/>
      <c r="BQ91" s="381"/>
      <c r="BR91" s="383"/>
      <c r="BS91" s="132"/>
      <c r="BT91" s="133"/>
      <c r="BU91" s="381"/>
      <c r="BV91" s="382"/>
      <c r="BW91" s="381"/>
      <c r="BX91" s="382"/>
      <c r="BY91" s="1075"/>
      <c r="BZ91" s="383"/>
      <c r="CA91" s="132"/>
      <c r="CB91" s="133"/>
      <c r="CC91" s="381"/>
      <c r="CD91" s="382"/>
      <c r="CE91" s="381"/>
      <c r="CF91" s="382"/>
      <c r="CG91" s="1075"/>
      <c r="CH91" s="383"/>
      <c r="CI91" s="614"/>
      <c r="CJ91" s="613"/>
      <c r="CK91" s="614"/>
      <c r="CL91" s="613"/>
      <c r="CM91" s="614"/>
      <c r="CN91" s="613"/>
      <c r="CO91" s="381"/>
      <c r="CP91" s="613"/>
      <c r="CR91" s="614"/>
      <c r="CS91" s="613"/>
      <c r="CT91" s="614"/>
      <c r="CU91" s="613"/>
      <c r="CV91" s="614"/>
      <c r="CW91" s="613"/>
      <c r="CX91" s="381"/>
      <c r="CY91" s="613"/>
      <c r="DA91" s="614"/>
      <c r="DB91" s="613"/>
      <c r="DC91" s="614"/>
      <c r="DD91" s="613"/>
      <c r="DE91" s="614"/>
      <c r="DF91" s="613"/>
      <c r="DH91" s="614"/>
      <c r="DI91" s="613"/>
      <c r="DJ91" s="614"/>
      <c r="DK91" s="613"/>
      <c r="DL91" s="614"/>
      <c r="DM91" s="613"/>
      <c r="DO91" s="614"/>
      <c r="DP91" s="613"/>
      <c r="DQ91" s="614"/>
      <c r="DR91" s="613"/>
      <c r="DS91" s="614"/>
      <c r="DT91" s="613"/>
      <c r="DV91" s="614"/>
      <c r="DW91" s="613"/>
      <c r="DX91" s="614"/>
      <c r="DY91" s="613"/>
      <c r="EA91" s="614"/>
      <c r="EB91" s="613"/>
      <c r="ED91" s="614"/>
      <c r="EE91" s="613"/>
      <c r="EG91" s="614"/>
      <c r="EH91" s="613"/>
      <c r="EJ91" s="614"/>
      <c r="EK91" s="613"/>
      <c r="EM91" s="614"/>
      <c r="EN91" s="613"/>
      <c r="EP91" s="614"/>
      <c r="EQ91" s="613"/>
      <c r="ER91" s="614"/>
      <c r="ES91" s="613"/>
      <c r="ET91" s="4"/>
      <c r="EU91" s="614"/>
      <c r="EV91" s="613"/>
      <c r="EX91" s="614"/>
      <c r="EY91" s="613"/>
      <c r="EZ91" s="614"/>
      <c r="FA91" s="613"/>
      <c r="FB91" s="614"/>
      <c r="FC91" s="613"/>
    </row>
    <row r="92" spans="1:159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1.0331207698739986</v>
      </c>
      <c r="H92" s="256"/>
      <c r="I92" s="257">
        <v>0.82389228695456818</v>
      </c>
      <c r="J92" s="256"/>
      <c r="K92" s="604">
        <f>'Pricing Structure - GSS'!DE92</f>
        <v>0.88511290471026527</v>
      </c>
      <c r="L92" s="256"/>
      <c r="M92" s="604">
        <f>'Pricing Structure - GSS'!DA92</f>
        <v>0.52495895749915777</v>
      </c>
      <c r="N92" s="256"/>
      <c r="O92" s="604">
        <f>'Pricing Structure - GSS'!DC92</f>
        <v>1</v>
      </c>
      <c r="P92" s="256"/>
      <c r="Q92" s="604">
        <f>'Pricing Structure - GSS'!DK92</f>
        <v>1</v>
      </c>
      <c r="R92" s="649"/>
      <c r="S92" s="256"/>
      <c r="T92" s="257">
        <v>0.9</v>
      </c>
      <c r="U92" s="256"/>
      <c r="V92" s="257">
        <v>0.55000000000000004</v>
      </c>
      <c r="W92" s="256"/>
      <c r="X92" s="604">
        <f>'Pricing Structure - IIP'!CY92</f>
        <v>0.39456601511220452</v>
      </c>
      <c r="Y92" s="256"/>
      <c r="Z92" s="604">
        <f>'Pricing Structure - IIP'!CU92</f>
        <v>6.278015663701729E-2</v>
      </c>
      <c r="AA92" s="256"/>
      <c r="AB92" s="604">
        <f>'Pricing Structure - IIP'!CW92</f>
        <v>0.5</v>
      </c>
      <c r="AC92" s="256"/>
      <c r="AD92" s="604">
        <f>'Pricing Structure - IIP'!DE92</f>
        <v>0.5</v>
      </c>
      <c r="AE92" s="256"/>
      <c r="AF92" s="604" t="e">
        <f>'Pricing Structure - IIP'!#REF!</f>
        <v>#REF!</v>
      </c>
      <c r="AG92" s="649"/>
      <c r="AH92" s="256"/>
      <c r="AI92" s="257">
        <v>0</v>
      </c>
      <c r="AJ92" s="256"/>
      <c r="AK92" s="257">
        <v>0</v>
      </c>
      <c r="AL92" s="256"/>
      <c r="AM92" s="604">
        <f>'Pricing Structure - IHAG'!DE92</f>
        <v>0</v>
      </c>
      <c r="AN92" s="256"/>
      <c r="AO92" s="604">
        <f>'Pricing Structure - IHAG'!DA92</f>
        <v>0</v>
      </c>
      <c r="AP92" s="256"/>
      <c r="AQ92" s="604">
        <f>'Pricing Structure - IHAG'!DC92</f>
        <v>0</v>
      </c>
      <c r="AR92" s="256"/>
      <c r="AS92" s="604">
        <f>'Pricing Structure - IHAG'!DQ92</f>
        <v>0</v>
      </c>
      <c r="AT92" s="256"/>
      <c r="AU92" s="604" t="e">
        <f>'Pricing Structure - IHAG'!#REF!</f>
        <v>#REF!</v>
      </c>
      <c r="AV92" s="675"/>
      <c r="AW92" s="256"/>
      <c r="AX92" s="257">
        <v>0</v>
      </c>
      <c r="AY92" s="254"/>
      <c r="AZ92" s="257">
        <v>0</v>
      </c>
      <c r="BA92" s="256"/>
      <c r="BB92" s="257">
        <v>0</v>
      </c>
      <c r="BC92" s="256"/>
      <c r="BD92" s="257">
        <v>0</v>
      </c>
      <c r="BE92" s="256"/>
      <c r="BF92" s="257">
        <v>0</v>
      </c>
      <c r="BG92" s="256"/>
      <c r="BH92" s="604">
        <v>0</v>
      </c>
      <c r="BI92" s="256"/>
      <c r="BJ92" s="604">
        <v>0</v>
      </c>
      <c r="BK92" s="256"/>
      <c r="BL92" s="257">
        <v>0</v>
      </c>
      <c r="BM92" s="256"/>
      <c r="BN92" s="257">
        <v>0</v>
      </c>
      <c r="BO92" s="256"/>
      <c r="BP92" s="257">
        <v>0</v>
      </c>
      <c r="BQ92" s="256"/>
      <c r="BR92" s="604">
        <v>0</v>
      </c>
      <c r="BS92" s="256"/>
      <c r="BT92" s="257">
        <v>0</v>
      </c>
      <c r="BU92" s="256"/>
      <c r="BV92" s="257">
        <v>0</v>
      </c>
      <c r="BW92" s="256"/>
      <c r="BX92" s="257">
        <v>0</v>
      </c>
      <c r="BY92" s="1078"/>
      <c r="BZ92" s="604">
        <v>0</v>
      </c>
      <c r="CA92" s="256"/>
      <c r="CB92" s="257">
        <v>0</v>
      </c>
      <c r="CC92" s="256"/>
      <c r="CD92" s="257">
        <v>0</v>
      </c>
      <c r="CE92" s="256"/>
      <c r="CF92" s="257">
        <v>0</v>
      </c>
      <c r="CG92" s="1078"/>
      <c r="CH92" s="604">
        <v>0</v>
      </c>
      <c r="CI92" s="616"/>
      <c r="CJ92" s="615">
        <v>2</v>
      </c>
      <c r="CK92" s="616"/>
      <c r="CL92" s="615">
        <v>2</v>
      </c>
      <c r="CM92" s="616"/>
      <c r="CN92" s="615">
        <v>2</v>
      </c>
      <c r="CO92" s="256"/>
      <c r="CP92" s="604">
        <v>0</v>
      </c>
      <c r="CR92" s="616"/>
      <c r="CS92" s="615">
        <v>2</v>
      </c>
      <c r="CT92" s="616"/>
      <c r="CU92" s="615">
        <v>2</v>
      </c>
      <c r="CV92" s="616"/>
      <c r="CW92" s="615">
        <v>2</v>
      </c>
      <c r="CX92" s="256"/>
      <c r="CY92" s="604">
        <v>0</v>
      </c>
      <c r="DA92" s="616"/>
      <c r="DB92" s="615">
        <v>2</v>
      </c>
      <c r="DC92" s="616"/>
      <c r="DD92" s="615">
        <v>2</v>
      </c>
      <c r="DE92" s="616"/>
      <c r="DF92" s="615">
        <v>2</v>
      </c>
      <c r="DH92" s="616"/>
      <c r="DI92" s="615">
        <v>1.2</v>
      </c>
      <c r="DJ92" s="616"/>
      <c r="DK92" s="615">
        <v>1.2</v>
      </c>
      <c r="DL92" s="616"/>
      <c r="DM92" s="615">
        <v>1.2</v>
      </c>
      <c r="DO92" s="616"/>
      <c r="DP92" s="615">
        <v>1.2</v>
      </c>
      <c r="DQ92" s="616"/>
      <c r="DR92" s="615">
        <v>1.2</v>
      </c>
      <c r="DS92" s="616"/>
      <c r="DT92" s="615">
        <v>1.2</v>
      </c>
      <c r="DV92" s="616"/>
      <c r="DW92" s="615">
        <v>1.2</v>
      </c>
      <c r="DX92" s="616"/>
      <c r="DY92" s="615">
        <v>1.2</v>
      </c>
      <c r="EA92" s="616"/>
      <c r="EB92" s="615">
        <v>1.2</v>
      </c>
      <c r="ED92" s="616"/>
      <c r="EE92" s="615">
        <v>1.2</v>
      </c>
      <c r="EG92" s="616"/>
      <c r="EH92" s="615">
        <v>1.2</v>
      </c>
      <c r="EJ92" s="616"/>
      <c r="EK92" s="615">
        <v>1.2</v>
      </c>
      <c r="EM92" s="616"/>
      <c r="EN92" s="615">
        <v>1.2</v>
      </c>
      <c r="EP92" s="616"/>
      <c r="EQ92" s="615">
        <v>1.2</v>
      </c>
      <c r="ER92" s="616"/>
      <c r="ES92" s="615">
        <v>1.2</v>
      </c>
      <c r="ET92" s="4"/>
      <c r="EU92" s="616"/>
      <c r="EV92" s="615">
        <v>1.2</v>
      </c>
      <c r="EX92" s="616"/>
      <c r="EY92" s="615">
        <v>1.2</v>
      </c>
      <c r="EZ92" s="616"/>
      <c r="FA92" s="615">
        <v>1.2</v>
      </c>
      <c r="FB92" s="616"/>
      <c r="FC92" s="615">
        <v>1.2</v>
      </c>
    </row>
    <row r="93" spans="1:159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0.4956815716227565</v>
      </c>
      <c r="H93" s="146"/>
      <c r="I93" s="147">
        <f>I89-I92</f>
        <v>0.4054663434827861</v>
      </c>
      <c r="J93" s="146"/>
      <c r="K93" s="601">
        <f>K89-K92</f>
        <v>5.3300502980516473E-2</v>
      </c>
      <c r="L93" s="146"/>
      <c r="M93" s="601">
        <f>M89-M92</f>
        <v>0.47070878628184198</v>
      </c>
      <c r="N93" s="146"/>
      <c r="O93" s="601">
        <f>O89-O92</f>
        <v>7.869205162863957E-2</v>
      </c>
      <c r="P93" s="146"/>
      <c r="Q93" s="601">
        <f>Q89-Q92</f>
        <v>0.17566174859833672</v>
      </c>
      <c r="R93" s="648"/>
      <c r="S93" s="146"/>
      <c r="T93" s="147">
        <f>T89-T92</f>
        <v>0.22515322353603129</v>
      </c>
      <c r="U93" s="146"/>
      <c r="V93" s="147">
        <f>V89-V92</f>
        <v>0.26969155318232474</v>
      </c>
      <c r="W93" s="146"/>
      <c r="X93" s="601">
        <f>X89-X92</f>
        <v>0.154553215088781</v>
      </c>
      <c r="Y93" s="146"/>
      <c r="Z93" s="601">
        <f>Z89-Z92</f>
        <v>0.58516510578543768</v>
      </c>
      <c r="AA93" s="146"/>
      <c r="AB93" s="601">
        <f>AB89-AB92</f>
        <v>0.18649095678744365</v>
      </c>
      <c r="AC93" s="146"/>
      <c r="AD93" s="601">
        <f>AD89-AD92</f>
        <v>5.3157623454110792E-2</v>
      </c>
      <c r="AE93" s="146"/>
      <c r="AF93" s="601" t="e">
        <f>'Pricing Structure - IIP'!#REF!</f>
        <v>#REF!</v>
      </c>
      <c r="AG93" s="648"/>
      <c r="AH93" s="146"/>
      <c r="AI93" s="147">
        <f>AI89-AI92</f>
        <v>0.3468654820572673</v>
      </c>
      <c r="AJ93" s="146"/>
      <c r="AK93" s="147">
        <f>AK89-AK92</f>
        <v>8.7280240511940166E-2</v>
      </c>
      <c r="AL93" s="146"/>
      <c r="AM93" s="601">
        <f>AM89-AM92</f>
        <v>-0.12671009778818668</v>
      </c>
      <c r="AN93" s="146"/>
      <c r="AO93" s="601">
        <f>AO89-AO92</f>
        <v>-0.12993220210296708</v>
      </c>
      <c r="AP93" s="146"/>
      <c r="AQ93" s="601">
        <f>AQ89-AQ92</f>
        <v>0.40226055158496488</v>
      </c>
      <c r="AR93" s="146"/>
      <c r="AS93" s="601">
        <f>AS89-AS92</f>
        <v>7.3654421237571696E-2</v>
      </c>
      <c r="AT93" s="146"/>
      <c r="AU93" s="601" t="e">
        <f>'Pricing Structure - IHAG'!#REF!</f>
        <v>#REF!</v>
      </c>
      <c r="AV93" s="674"/>
      <c r="AW93" s="146"/>
      <c r="AX93" s="147">
        <f>AX89-AX92</f>
        <v>-0.22196240686327276</v>
      </c>
      <c r="AY93" s="144"/>
      <c r="AZ93" s="147">
        <f>AZ89-AZ92</f>
        <v>1.1090325312569256</v>
      </c>
      <c r="BA93" s="146"/>
      <c r="BB93" s="147">
        <f>BB89-BB92</f>
        <v>0.94297538689907168</v>
      </c>
      <c r="BC93" s="146"/>
      <c r="BD93" s="147">
        <f>BD89-BD92</f>
        <v>0.99527676475559379</v>
      </c>
      <c r="BE93" s="146"/>
      <c r="BF93" s="147">
        <f>BF89-BF92</f>
        <v>0.94592453495121487</v>
      </c>
      <c r="BG93" s="146"/>
      <c r="BH93" s="601">
        <f>BH89-BH92</f>
        <v>0.77076697565333907</v>
      </c>
      <c r="BI93" s="146"/>
      <c r="BJ93" s="601">
        <f>BJ89-BJ92</f>
        <v>0.63563184051820398</v>
      </c>
      <c r="BK93" s="146"/>
      <c r="BL93" s="147">
        <f>BL89-BL92</f>
        <v>0.86009922326854971</v>
      </c>
      <c r="BM93" s="146"/>
      <c r="BN93" s="147">
        <f>BN89-BN92</f>
        <v>0.79346354249673245</v>
      </c>
      <c r="BO93" s="146"/>
      <c r="BP93" s="147">
        <f>BP89-BP92</f>
        <v>0.70706622623797166</v>
      </c>
      <c r="BQ93" s="1072"/>
      <c r="BR93" s="601">
        <f>BR89-BR92</f>
        <v>0.92544460461634959</v>
      </c>
      <c r="BS93" s="146"/>
      <c r="BT93" s="147">
        <f>BT89-BT92</f>
        <v>0.2588941118291242</v>
      </c>
      <c r="BU93" s="146"/>
      <c r="BV93" s="147">
        <f>BV89-BV92</f>
        <v>0.21279784021718784</v>
      </c>
      <c r="BW93" s="146"/>
      <c r="BX93" s="147">
        <f>BX89-BX92</f>
        <v>0.14268974373611154</v>
      </c>
      <c r="BY93" s="1072"/>
      <c r="BZ93" s="601">
        <f>BZ89-BZ92</f>
        <v>0.36160866265503033</v>
      </c>
      <c r="CA93" s="146"/>
      <c r="CB93" s="147">
        <f>CB89-CB92</f>
        <v>-7.2112615586164344E-2</v>
      </c>
      <c r="CC93" s="146"/>
      <c r="CD93" s="147">
        <f>CD89-CD92</f>
        <v>0.22641306356217206</v>
      </c>
      <c r="CE93" s="146"/>
      <c r="CF93" s="147">
        <f>CF89-CF92</f>
        <v>0.11329464216447173</v>
      </c>
      <c r="CG93" s="1072"/>
      <c r="CH93" s="601">
        <f>CH89-CH92</f>
        <v>0.30113248000231041</v>
      </c>
      <c r="CI93" s="602"/>
      <c r="CJ93" s="601">
        <f>CJ89-CJ92</f>
        <v>0.51063651824580392</v>
      </c>
      <c r="CK93" s="602"/>
      <c r="CL93" s="601">
        <f>CL89-CL92</f>
        <v>3.6471919672215609</v>
      </c>
      <c r="CM93" s="602"/>
      <c r="CN93" s="601">
        <f>CN89-CN92</f>
        <v>1.1406365182458038</v>
      </c>
      <c r="CO93" s="146"/>
      <c r="CP93" s="601">
        <f>CP89-CP92</f>
        <v>0.49687499999999962</v>
      </c>
      <c r="CR93" s="602"/>
      <c r="CS93" s="601">
        <f>CS89-CS92</f>
        <v>0.58998243356654667</v>
      </c>
      <c r="CT93" s="602"/>
      <c r="CU93" s="601">
        <f>CU89-CU92</f>
        <v>1.0505475174807124</v>
      </c>
      <c r="CV93" s="602"/>
      <c r="CW93" s="601">
        <f>CW89-CW92</f>
        <v>1.2299824335665468</v>
      </c>
      <c r="CX93" s="146"/>
      <c r="CY93" s="601">
        <f>CY89-CY92</f>
        <v>0.57899112199790859</v>
      </c>
      <c r="DA93" s="602"/>
      <c r="DB93" s="601">
        <f>DB89-DB92</f>
        <v>0.6452225967230536</v>
      </c>
      <c r="DC93" s="602"/>
      <c r="DD93" s="601">
        <f>DD89-DD92</f>
        <v>0.85661290930495326</v>
      </c>
      <c r="DE93" s="602"/>
      <c r="DF93" s="601">
        <f>DF89-DF92</f>
        <v>1.2697577267018234</v>
      </c>
      <c r="DH93" s="602"/>
      <c r="DI93" s="601">
        <f>DI89-DI92</f>
        <v>0.54240471093121556</v>
      </c>
      <c r="DJ93" s="602"/>
      <c r="DK93" s="601">
        <f>DK89-DK92</f>
        <v>0.8555865874554105</v>
      </c>
      <c r="DL93" s="602"/>
      <c r="DM93" s="601">
        <f>DM89-DM92</f>
        <v>1.2252438843364282</v>
      </c>
      <c r="DO93" s="602"/>
      <c r="DP93" s="601">
        <f>DP89-DP92</f>
        <v>0.45915730819225953</v>
      </c>
      <c r="DQ93" s="602"/>
      <c r="DR93" s="601">
        <f>DR89-DR92</f>
        <v>0.85403661524276564</v>
      </c>
      <c r="DS93" s="602"/>
      <c r="DT93" s="601">
        <f>DT89-DT92</f>
        <v>1.0833213741753178</v>
      </c>
      <c r="DV93" s="602"/>
      <c r="DW93" s="601">
        <f>DW89-DW92</f>
        <v>0.46106773699943959</v>
      </c>
      <c r="DX93" s="602"/>
      <c r="DY93" s="601">
        <f>DY89-DY92</f>
        <v>0.33657349485813848</v>
      </c>
      <c r="EA93" s="602"/>
      <c r="EB93" s="601">
        <f>EB89-EB92</f>
        <v>0.49087619788042236</v>
      </c>
      <c r="ED93" s="602"/>
      <c r="EE93" s="601">
        <f>EE89-EE92</f>
        <v>0.72979465171460656</v>
      </c>
      <c r="EG93" s="602"/>
      <c r="EH93" s="601">
        <f>EH89-EH92</f>
        <v>0.69652941156161208</v>
      </c>
      <c r="EJ93" s="602"/>
      <c r="EK93" s="601">
        <f>EK89-EK92</f>
        <v>0.44094115436496972</v>
      </c>
      <c r="EM93" s="602"/>
      <c r="EN93" s="601">
        <f>EN89-EN92</f>
        <v>0.63726327981604891</v>
      </c>
      <c r="EP93" s="602"/>
      <c r="EQ93" s="601">
        <f>EQ89-EQ92</f>
        <v>0.94761166721729384</v>
      </c>
      <c r="ER93" s="602"/>
      <c r="ES93" s="601">
        <f>ES89-ES92</f>
        <v>0.50877597693889953</v>
      </c>
      <c r="ET93" s="4"/>
      <c r="EU93" s="602"/>
      <c r="EV93" s="601">
        <f>EV89-EV92</f>
        <v>0.61733887722779901</v>
      </c>
      <c r="EX93" s="602"/>
      <c r="EY93" s="601">
        <f>EY89-EY92</f>
        <v>0.46577040659774438</v>
      </c>
      <c r="EZ93" s="602"/>
      <c r="FA93" s="601">
        <f>FA89-FA92</f>
        <v>0.60512524530742207</v>
      </c>
      <c r="FB93" s="602"/>
      <c r="FC93" s="601">
        <f>FC89-FC92</f>
        <v>1.0489962130493573</v>
      </c>
    </row>
    <row r="94" spans="1:159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9.1120012406629258E-2</v>
      </c>
      <c r="H94" s="132"/>
      <c r="I94" s="133">
        <f>I93/I67</f>
        <v>7.6459864120806686E-2</v>
      </c>
      <c r="J94" s="381"/>
      <c r="K94" s="611">
        <f>K93/K67</f>
        <v>9.2968438095182137E-3</v>
      </c>
      <c r="L94" s="381"/>
      <c r="M94" s="611">
        <f>M93/M67</f>
        <v>8.2005015031679784E-2</v>
      </c>
      <c r="N94" s="381"/>
      <c r="O94" s="611">
        <f>O93/O67</f>
        <v>1.3709416660041737E-2</v>
      </c>
      <c r="P94" s="381"/>
      <c r="Q94" s="611">
        <f>Q93/Q67</f>
        <v>3.0603092090302562E-2</v>
      </c>
      <c r="R94" s="645"/>
      <c r="S94" s="132"/>
      <c r="T94" s="133">
        <f>T93/T67</f>
        <v>4.1407489385936788E-2</v>
      </c>
      <c r="U94" s="132"/>
      <c r="V94" s="133">
        <f>V93/V67</f>
        <v>5.0765468834319948E-2</v>
      </c>
      <c r="W94" s="381"/>
      <c r="X94" s="611">
        <f>X93/X67</f>
        <v>2.6981361904351794E-2</v>
      </c>
      <c r="Y94" s="381"/>
      <c r="Z94" s="611">
        <f>Z93/Z67</f>
        <v>0.10194514038073826</v>
      </c>
      <c r="AA94" s="381"/>
      <c r="AB94" s="611">
        <f>AB93/AB67</f>
        <v>3.2489713726035478E-2</v>
      </c>
      <c r="AC94" s="381"/>
      <c r="AD94" s="611">
        <f>AD93/AD67</f>
        <v>9.2609100094269668E-3</v>
      </c>
      <c r="AE94" s="381"/>
      <c r="AF94" s="611" t="e">
        <f>'Pricing Structure - IIP'!#REF!</f>
        <v>#REF!</v>
      </c>
      <c r="AG94" s="645"/>
      <c r="AH94" s="132"/>
      <c r="AI94" s="133">
        <f>AI93/AI67</f>
        <v>6.4267873763220199E-2</v>
      </c>
      <c r="AJ94" s="132"/>
      <c r="AK94" s="133">
        <f>AK93/AK67</f>
        <v>1.654270442164376E-2</v>
      </c>
      <c r="AL94" s="381"/>
      <c r="AM94" s="611">
        <f>AM93/AM67</f>
        <v>-2.2211002191288458E-2</v>
      </c>
      <c r="AN94" s="381"/>
      <c r="AO94" s="611">
        <f>AO93/AO67</f>
        <v>-2.2755201769346249E-2</v>
      </c>
      <c r="AP94" s="381"/>
      <c r="AQ94" s="611">
        <f>AQ93/AQ67</f>
        <v>7.0448432852007858E-2</v>
      </c>
      <c r="AR94" s="381"/>
      <c r="AS94" s="611">
        <f>AS93/AS67</f>
        <v>1.2899198115161417E-2</v>
      </c>
      <c r="AT94" s="548"/>
      <c r="AU94" s="611" t="e">
        <f>'Pricing Structure - IHAG'!#REF!</f>
        <v>#REF!</v>
      </c>
      <c r="AV94" s="645"/>
      <c r="AW94" s="548"/>
      <c r="AX94" s="547">
        <f>AX93/AX67</f>
        <v>-3.8872575632797328E-2</v>
      </c>
      <c r="AY94" s="131"/>
      <c r="AZ94" s="133">
        <f>AZ93/AZ67</f>
        <v>0.20913320675914207</v>
      </c>
      <c r="BA94" s="381"/>
      <c r="BB94" s="382">
        <f>BB93/BB67</f>
        <v>0.16428142628903686</v>
      </c>
      <c r="BC94" s="381"/>
      <c r="BD94" s="382">
        <f>BD93/BD67</f>
        <v>0.17339316459156687</v>
      </c>
      <c r="BE94" s="381"/>
      <c r="BF94" s="382">
        <f>BF93/BF67</f>
        <v>0.16479521514829526</v>
      </c>
      <c r="BG94" s="381"/>
      <c r="BH94" s="611">
        <f>BH93/BH67</f>
        <v>0.13427996091521585</v>
      </c>
      <c r="BI94" s="381"/>
      <c r="BJ94" s="611">
        <f>BJ93/BJ67</f>
        <v>0.11073725444568014</v>
      </c>
      <c r="BK94" s="132"/>
      <c r="BL94" s="133">
        <f>BL93/BL67</f>
        <v>0.19198643376530125</v>
      </c>
      <c r="BM94" s="381"/>
      <c r="BN94" s="382">
        <f>BN93/BN67</f>
        <v>0.1771123978787349</v>
      </c>
      <c r="BO94" s="381"/>
      <c r="BP94" s="382">
        <f>BP93/BP67</f>
        <v>0.15782728264240437</v>
      </c>
      <c r="BQ94" s="381"/>
      <c r="BR94" s="611">
        <f>BR93/BR67</f>
        <v>0.19280095929507285</v>
      </c>
      <c r="BS94" s="132"/>
      <c r="BT94" s="133">
        <f>BT93/BT67</f>
        <v>6.2686225624485281E-2</v>
      </c>
      <c r="BU94" s="381"/>
      <c r="BV94" s="382">
        <f>BV93/BV67</f>
        <v>5.1524900778980108E-2</v>
      </c>
      <c r="BW94" s="381"/>
      <c r="BX94" s="382">
        <f>BX93/BX67</f>
        <v>3.4549574754506429E-2</v>
      </c>
      <c r="BY94" s="1075"/>
      <c r="BZ94" s="611">
        <f>BZ93/BZ67</f>
        <v>8.4095037826751248E-2</v>
      </c>
      <c r="CA94" s="132"/>
      <c r="CB94" s="133">
        <f>CB93/CB67</f>
        <v>-1.1919440592754437E-2</v>
      </c>
      <c r="CC94" s="381"/>
      <c r="CD94" s="382">
        <f>CD93/CD67</f>
        <v>3.7423646869780509E-2</v>
      </c>
      <c r="CE94" s="381"/>
      <c r="CF94" s="382">
        <f>CF93/CF67</f>
        <v>1.8726387134623428E-2</v>
      </c>
      <c r="CG94" s="1075"/>
      <c r="CH94" s="611">
        <f>CH93/CH67</f>
        <v>4.9773963636745522E-2</v>
      </c>
      <c r="CI94" s="612"/>
      <c r="CJ94" s="611">
        <f>CJ93/CJ67</f>
        <v>8.8806350999270242E-2</v>
      </c>
      <c r="CK94" s="612"/>
      <c r="CL94" s="611">
        <f>CL93/CL67</f>
        <v>0.63429425516896709</v>
      </c>
      <c r="CM94" s="612"/>
      <c r="CN94" s="611">
        <f>CN93/CN67</f>
        <v>0.19837156839057457</v>
      </c>
      <c r="CO94" s="381"/>
      <c r="CP94" s="611">
        <f>CP93/CP67</f>
        <v>0.12118902439024382</v>
      </c>
      <c r="CR94" s="612"/>
      <c r="CS94" s="611">
        <f>CS93/CS67</f>
        <v>0.10085169804556354</v>
      </c>
      <c r="CT94" s="612"/>
      <c r="CU94" s="611">
        <f>CU93/CU67</f>
        <v>0.17958077221892521</v>
      </c>
      <c r="CV94" s="612"/>
      <c r="CW94" s="611">
        <f>CW93/CW67</f>
        <v>0.21025340744727297</v>
      </c>
      <c r="CX94" s="381"/>
      <c r="CY94" s="611">
        <f>CY93/CY67</f>
        <v>0.13623320517597848</v>
      </c>
      <c r="DA94" s="612"/>
      <c r="DB94" s="611">
        <f>DB93/DB67</f>
        <v>0.11029446097829977</v>
      </c>
      <c r="DC94" s="612"/>
      <c r="DD94" s="611">
        <f>DD93/DD67</f>
        <v>0.14642955714614586</v>
      </c>
      <c r="DE94" s="612"/>
      <c r="DF94" s="611">
        <f>DF93/DF67</f>
        <v>0.21705260285501257</v>
      </c>
      <c r="DH94" s="612"/>
      <c r="DI94" s="611">
        <f>DI93/DI67</f>
        <v>9.2718754005335996E-2</v>
      </c>
      <c r="DJ94" s="612"/>
      <c r="DK94" s="611">
        <f>DK93/DK67</f>
        <v>0.1462541175137454</v>
      </c>
      <c r="DL94" s="612"/>
      <c r="DM94" s="611">
        <f>DM93/DM67</f>
        <v>0.20944339903186807</v>
      </c>
      <c r="DO94" s="612"/>
      <c r="DP94" s="611">
        <f>DP93/DP67</f>
        <v>7.8488428750813605E-2</v>
      </c>
      <c r="DQ94" s="612"/>
      <c r="DR94" s="611">
        <f>DR93/DR67</f>
        <v>0.14598916499876335</v>
      </c>
      <c r="DS94" s="612"/>
      <c r="DT94" s="611">
        <f>DT93/DT67</f>
        <v>0.18518314088466972</v>
      </c>
      <c r="DV94" s="612"/>
      <c r="DW94" s="611">
        <f>DW93/DW67</f>
        <v>7.8814997777681986E-2</v>
      </c>
      <c r="DX94" s="612"/>
      <c r="DY94" s="611">
        <f>DY93/DY67</f>
        <v>5.7533930744980942E-2</v>
      </c>
      <c r="EA94" s="612"/>
      <c r="EB94" s="611">
        <f>EB93/EB67</f>
        <v>8.391046117614058E-2</v>
      </c>
      <c r="ED94" s="612"/>
      <c r="EE94" s="611">
        <f>EE93/EE67</f>
        <v>0.12475122251531737</v>
      </c>
      <c r="EG94" s="612"/>
      <c r="EH94" s="611">
        <f>EH93/EH67</f>
        <v>0.11906485667719865</v>
      </c>
      <c r="EJ94" s="612"/>
      <c r="EK94" s="611">
        <f>EK93/EK67</f>
        <v>7.5374556301704226E-2</v>
      </c>
      <c r="EM94" s="612"/>
      <c r="EN94" s="611">
        <f>EN93/EN67</f>
        <v>0.1089338939856494</v>
      </c>
      <c r="EP94" s="612"/>
      <c r="EQ94" s="611">
        <f>EQ93/EQ67</f>
        <v>0.1619849003790246</v>
      </c>
      <c r="ER94" s="612"/>
      <c r="ES94" s="611">
        <f>ES93/ES67</f>
        <v>8.6970252468187959E-2</v>
      </c>
      <c r="ET94" s="4"/>
      <c r="EU94" s="612"/>
      <c r="EV94" s="611">
        <f>EV93/EV67</f>
        <v>0.10552801320133318</v>
      </c>
      <c r="EX94" s="612"/>
      <c r="EY94" s="611">
        <f>EY93/EY67</f>
        <v>7.9618872922691347E-2</v>
      </c>
      <c r="EZ94" s="612"/>
      <c r="FA94" s="611">
        <f>FA93/FA67</f>
        <v>0.10344021287306361</v>
      </c>
      <c r="FB94" s="612"/>
      <c r="FC94" s="611">
        <f>FC93/FC67</f>
        <v>0.17931559197424912</v>
      </c>
    </row>
    <row r="95" spans="1:159" s="65" customFormat="1" ht="6.75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381"/>
      <c r="K95" s="383"/>
      <c r="L95" s="381"/>
      <c r="M95" s="383"/>
      <c r="N95" s="381"/>
      <c r="O95" s="383"/>
      <c r="P95" s="381"/>
      <c r="Q95" s="383"/>
      <c r="R95" s="646"/>
      <c r="S95" s="132"/>
      <c r="T95" s="133"/>
      <c r="U95" s="132"/>
      <c r="V95" s="133"/>
      <c r="W95" s="381"/>
      <c r="X95" s="383"/>
      <c r="Y95" s="381"/>
      <c r="Z95" s="383"/>
      <c r="AA95" s="381"/>
      <c r="AB95" s="383"/>
      <c r="AC95" s="381"/>
      <c r="AD95" s="383"/>
      <c r="AE95" s="381"/>
      <c r="AF95" s="383"/>
      <c r="AG95" s="646"/>
      <c r="AH95" s="132"/>
      <c r="AI95" s="133"/>
      <c r="AJ95" s="132"/>
      <c r="AK95" s="133"/>
      <c r="AL95" s="381"/>
      <c r="AM95" s="383"/>
      <c r="AN95" s="381"/>
      <c r="AO95" s="383"/>
      <c r="AP95" s="381"/>
      <c r="AQ95" s="383"/>
      <c r="AR95" s="381"/>
      <c r="AS95" s="383"/>
      <c r="AT95" s="381"/>
      <c r="AU95" s="383"/>
      <c r="AV95" s="672"/>
      <c r="AW95" s="381"/>
      <c r="AX95" s="382"/>
      <c r="AY95" s="131"/>
      <c r="AZ95" s="133"/>
      <c r="BA95" s="381"/>
      <c r="BB95" s="382"/>
      <c r="BC95" s="381"/>
      <c r="BD95" s="382"/>
      <c r="BE95" s="381"/>
      <c r="BF95" s="382"/>
      <c r="BG95" s="381"/>
      <c r="BH95" s="383"/>
      <c r="BI95" s="381"/>
      <c r="BJ95" s="383"/>
      <c r="BK95" s="132"/>
      <c r="BL95" s="133"/>
      <c r="BM95" s="381"/>
      <c r="BN95" s="382"/>
      <c r="BO95" s="381"/>
      <c r="BP95" s="382"/>
      <c r="BQ95" s="381"/>
      <c r="BR95" s="383"/>
      <c r="BS95" s="132"/>
      <c r="BT95" s="133"/>
      <c r="BU95" s="381"/>
      <c r="BV95" s="382"/>
      <c r="BW95" s="381"/>
      <c r="BX95" s="382"/>
      <c r="BY95" s="1075"/>
      <c r="BZ95" s="383"/>
      <c r="CA95" s="132"/>
      <c r="CB95" s="133"/>
      <c r="CC95" s="381"/>
      <c r="CD95" s="382"/>
      <c r="CE95" s="381"/>
      <c r="CF95" s="382"/>
      <c r="CG95" s="1075"/>
      <c r="CH95" s="383"/>
      <c r="CI95" s="614"/>
      <c r="CJ95" s="613"/>
      <c r="CK95" s="614"/>
      <c r="CL95" s="613"/>
      <c r="CM95" s="614"/>
      <c r="CN95" s="613"/>
      <c r="CO95" s="381"/>
      <c r="CP95" s="613"/>
      <c r="CR95" s="614"/>
      <c r="CS95" s="613"/>
      <c r="CT95" s="614"/>
      <c r="CU95" s="613"/>
      <c r="CV95" s="614"/>
      <c r="CW95" s="613"/>
      <c r="CX95" s="381"/>
      <c r="CY95" s="613"/>
      <c r="DA95" s="614"/>
      <c r="DB95" s="613"/>
      <c r="DC95" s="614"/>
      <c r="DD95" s="613"/>
      <c r="DE95" s="614"/>
      <c r="DF95" s="613"/>
      <c r="DH95" s="614"/>
      <c r="DI95" s="613"/>
      <c r="DJ95" s="614"/>
      <c r="DK95" s="613"/>
      <c r="DL95" s="614"/>
      <c r="DM95" s="613"/>
      <c r="DO95" s="614"/>
      <c r="DP95" s="613"/>
      <c r="DQ95" s="614"/>
      <c r="DR95" s="613"/>
      <c r="DS95" s="614"/>
      <c r="DT95" s="613"/>
      <c r="DV95" s="614"/>
      <c r="DW95" s="613"/>
      <c r="DX95" s="614"/>
      <c r="DY95" s="613"/>
      <c r="EA95" s="614"/>
      <c r="EB95" s="613"/>
      <c r="ED95" s="614"/>
      <c r="EE95" s="613"/>
      <c r="EG95" s="614"/>
      <c r="EH95" s="613"/>
      <c r="EJ95" s="614"/>
      <c r="EK95" s="613"/>
      <c r="EM95" s="614"/>
      <c r="EN95" s="613"/>
      <c r="EP95" s="614"/>
      <c r="EQ95" s="613"/>
      <c r="ER95" s="614"/>
      <c r="ES95" s="613"/>
      <c r="ET95" s="4"/>
      <c r="EU95" s="614"/>
      <c r="EV95" s="613"/>
      <c r="EX95" s="614"/>
      <c r="EY95" s="613"/>
      <c r="EZ95" s="614"/>
      <c r="FA95" s="613"/>
      <c r="FB95" s="614"/>
      <c r="FC95" s="613"/>
    </row>
    <row r="96" spans="1:159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151">
        <f>(G137-G135)/G66</f>
        <v>0.14979338842975207</v>
      </c>
      <c r="H96" s="132"/>
      <c r="I96" s="151">
        <f>(I137-I135)/I66</f>
        <v>1.2913223140495868E-2</v>
      </c>
      <c r="J96" s="381"/>
      <c r="K96" s="383">
        <f>(K136-K135)/K66</f>
        <v>-4.5096112572401564E-3</v>
      </c>
      <c r="L96" s="381"/>
      <c r="M96" s="383">
        <f>(M136-M135)/M66</f>
        <v>-5.4090566042482399E-2</v>
      </c>
      <c r="N96" s="381"/>
      <c r="O96" s="383">
        <f>(O136-O135)/O66</f>
        <v>-0.15495867768595042</v>
      </c>
      <c r="P96" s="381"/>
      <c r="Q96" s="383">
        <f>(Q136-Q135)/Q66</f>
        <v>-0.10330578512396695</v>
      </c>
      <c r="R96" s="646"/>
      <c r="S96" s="132"/>
      <c r="T96" s="151">
        <f>(T137-T135)/T66</f>
        <v>0.13737077890844687</v>
      </c>
      <c r="U96" s="132"/>
      <c r="V96" s="151">
        <f>(V137-V135)/V66</f>
        <v>1.2370778908446879E-2</v>
      </c>
      <c r="W96" s="381"/>
      <c r="X96" s="383">
        <f>(X136-X135)/X66</f>
        <v>2.7076246801900999E-2</v>
      </c>
      <c r="Y96" s="381"/>
      <c r="Z96" s="383">
        <f>(Z136-Z135)/Z66</f>
        <v>-3.3315876796358113E-2</v>
      </c>
      <c r="AA96" s="381"/>
      <c r="AB96" s="383">
        <f>(AB136-AB135)/AB66</f>
        <v>-0.15495867768595042</v>
      </c>
      <c r="AC96" s="381"/>
      <c r="AD96" s="383">
        <f>(AD136-AD135)/AD66</f>
        <v>-7.7479338842975212E-2</v>
      </c>
      <c r="AE96" s="381"/>
      <c r="AF96" s="383" t="e">
        <f>'Pricing Structure - IIP'!#REF!</f>
        <v>#REF!</v>
      </c>
      <c r="AG96" s="646"/>
      <c r="AH96" s="132"/>
      <c r="AI96" s="383">
        <f>(AI136-AI135)/AI66</f>
        <v>0.16416202882050826</v>
      </c>
      <c r="AJ96" s="132"/>
      <c r="AK96" s="383">
        <f>(AK136-AK135)/AK66</f>
        <v>4.3035268257127994E-2</v>
      </c>
      <c r="AL96" s="381"/>
      <c r="AM96" s="383">
        <f>(AM136-AM135)/AM66</f>
        <v>-8.9872835513708678E-3</v>
      </c>
      <c r="AN96" s="381"/>
      <c r="AO96" s="383">
        <f>(AO136-AO135)/AO66</f>
        <v>-4.8325246923074994E-2</v>
      </c>
      <c r="AP96" s="381"/>
      <c r="AQ96" s="383">
        <f>(AQ136-AQ135)/AQ66</f>
        <v>-0.17098591549295775</v>
      </c>
      <c r="AR96" s="381"/>
      <c r="AS96" s="383">
        <f>(AS136-AS135)/AS66</f>
        <v>-8.6478873239436621E-2</v>
      </c>
      <c r="AT96" s="381"/>
      <c r="AU96" s="383" t="e">
        <f>'Pricing Structure - IHAG'!#REF!</f>
        <v>#REF!</v>
      </c>
      <c r="AV96" s="646"/>
      <c r="AW96" s="381"/>
      <c r="AX96" s="383">
        <f>(AX136-AX135)/AX66</f>
        <v>-7.255695379883075E-3</v>
      </c>
      <c r="AY96" s="131"/>
      <c r="AZ96" s="383">
        <f>(AZ136-AZ135)/AZ66</f>
        <v>6.2609197834233169E-3</v>
      </c>
      <c r="BA96" s="381"/>
      <c r="BB96" s="383">
        <f>(BB136-BB135)/BB66</f>
        <v>-6.6523033570725504E-3</v>
      </c>
      <c r="BC96" s="381"/>
      <c r="BD96" s="383">
        <f>(BD136-BD135)/BD66</f>
        <v>-4.3301232046149038E-2</v>
      </c>
      <c r="BE96" s="381"/>
      <c r="BF96" s="383">
        <f>(BF136-BF135)/BF66</f>
        <v>-6.4566115702479332E-2</v>
      </c>
      <c r="BG96" s="381"/>
      <c r="BH96" s="383">
        <f>(BH136-BH135)/BH66</f>
        <v>-7.7479338842975212E-2</v>
      </c>
      <c r="BI96" s="381"/>
      <c r="BJ96" s="383">
        <f>(BJ136-BJ135)/BJ66</f>
        <v>-7.7479338842975212E-2</v>
      </c>
      <c r="BK96" s="132"/>
      <c r="BL96" s="383">
        <f>(BL136-BL135)/BL66</f>
        <v>2.279212446263364E-2</v>
      </c>
      <c r="BM96" s="381"/>
      <c r="BN96" s="383">
        <f>(BN136-BN135)/BN66</f>
        <v>2.6609260805193446E-2</v>
      </c>
      <c r="BO96" s="381"/>
      <c r="BP96" s="383">
        <f>(BP136-BP135)/BP66</f>
        <v>-6.0728744939271252E-2</v>
      </c>
      <c r="BQ96" s="381"/>
      <c r="BR96" s="383">
        <f>(BR136-BR135)/BR66</f>
        <v>-6.0728744939271252E-2</v>
      </c>
      <c r="BS96" s="132"/>
      <c r="BT96" s="383">
        <f>(BT136-BT135)/BT66</f>
        <v>4.0847469077679888E-2</v>
      </c>
      <c r="BU96" s="381"/>
      <c r="BV96" s="383">
        <f>(BV136-BV135)/BV66</f>
        <v>8.2140919624958519E-3</v>
      </c>
      <c r="BW96" s="381"/>
      <c r="BX96" s="383">
        <f>(BX136-BX135)/BX66</f>
        <v>-6.25E-2</v>
      </c>
      <c r="BY96" s="1075"/>
      <c r="BZ96" s="383">
        <f>(BZ136-BZ135)/BZ66</f>
        <v>-6.25E-2</v>
      </c>
      <c r="CA96" s="132"/>
      <c r="CB96" s="383">
        <f>(CB136-CB135)/CB66</f>
        <v>-0.16745422726092626</v>
      </c>
      <c r="CC96" s="381"/>
      <c r="CD96" s="383">
        <f>(CD136-CD135)/CD66</f>
        <v>-0.23874773976562963</v>
      </c>
      <c r="CE96" s="381"/>
      <c r="CF96" s="383">
        <f>(CF136-CF135)/CF66</f>
        <v>-0.125</v>
      </c>
      <c r="CG96" s="1075"/>
      <c r="CH96" s="383">
        <f>(CH136-CH135)/CH66</f>
        <v>-0.125</v>
      </c>
      <c r="CI96" s="598"/>
      <c r="CJ96" s="383">
        <f>(CJ136-CJ135)/CJ66</f>
        <v>-0.2814814814814815</v>
      </c>
      <c r="CK96" s="598"/>
      <c r="CL96" s="383">
        <f>(CL136-CL135)/CL66</f>
        <v>-0.27142857142857141</v>
      </c>
      <c r="CM96" s="598"/>
      <c r="CN96" s="383">
        <f>(CN136-CN135)/CN66</f>
        <v>-0.27142857142857141</v>
      </c>
      <c r="CO96" s="381"/>
      <c r="CP96" s="383">
        <f>(CP136-CP135)/CP66</f>
        <v>-0.19791666666666666</v>
      </c>
      <c r="CR96" s="598"/>
      <c r="CS96" s="383">
        <f>(CS136-CS135)/CS66</f>
        <v>-0.2814814814814815</v>
      </c>
      <c r="CT96" s="598"/>
      <c r="CU96" s="383">
        <f>(CU136-CU135)/CU66</f>
        <v>-0.27142857142857141</v>
      </c>
      <c r="CV96" s="598"/>
      <c r="CW96" s="383">
        <f>(CW136-CW135)/CW66</f>
        <v>-0.27142857142857141</v>
      </c>
      <c r="CX96" s="381"/>
      <c r="CY96" s="383">
        <f>(CY136-CY135)/CY66</f>
        <v>-0.19791666666666666</v>
      </c>
      <c r="DA96" s="598"/>
      <c r="DB96" s="383">
        <f>(DB136-DB135)/DB66</f>
        <v>-0.28271604938271605</v>
      </c>
      <c r="DC96" s="598"/>
      <c r="DD96" s="383">
        <f>(DD136-DD135)/DD66</f>
        <v>-0.27261904761904759</v>
      </c>
      <c r="DE96" s="598"/>
      <c r="DF96" s="383">
        <f>(DF136-DF135)/DF66</f>
        <v>-0.27261904761904759</v>
      </c>
      <c r="DH96" s="598"/>
      <c r="DI96" s="383">
        <f>(DI136-DI135)/DI66</f>
        <v>-0.29028925619834711</v>
      </c>
      <c r="DJ96" s="598"/>
      <c r="DK96" s="383">
        <f>(DK136-DK135)/DK66</f>
        <v>-0.2728155339805825</v>
      </c>
      <c r="DL96" s="598"/>
      <c r="DM96" s="383">
        <f>(DM136-DM135)/DM66</f>
        <v>-0.29028925619834711</v>
      </c>
      <c r="DO96" s="598"/>
      <c r="DP96" s="383">
        <f>(DP136-DP135)/DP66</f>
        <v>-0.29726239669421489</v>
      </c>
      <c r="DQ96" s="598"/>
      <c r="DR96" s="383">
        <f>(DR136-DR135)/DR66</f>
        <v>-0.27936893203883495</v>
      </c>
      <c r="DS96" s="598"/>
      <c r="DT96" s="383">
        <f>(DT136-DT135)/DT66</f>
        <v>-0.29726239669421489</v>
      </c>
      <c r="DV96" s="598"/>
      <c r="DW96" s="383">
        <f>(DW136-DW135)/DW66</f>
        <v>-0.29442148760330578</v>
      </c>
      <c r="DX96" s="598"/>
      <c r="DY96" s="383">
        <f>(DY136-DY135)/DY66</f>
        <v>-0.27669902912621358</v>
      </c>
      <c r="EA96" s="598"/>
      <c r="EB96" s="383">
        <f>(EB136-EB135)/EB66</f>
        <v>-0.30681818181818182</v>
      </c>
      <c r="ED96" s="598"/>
      <c r="EE96" s="383">
        <f>(EE136-EE135)/EE66</f>
        <v>-0.21958623275969832</v>
      </c>
      <c r="EG96" s="598"/>
      <c r="EH96" s="383">
        <f>(EH136-EH135)/EH66</f>
        <v>-0.23980582524271846</v>
      </c>
      <c r="EJ96" s="598"/>
      <c r="EK96" s="383">
        <f>(EK136-EK135)/EK66</f>
        <v>-0.29726239669421489</v>
      </c>
      <c r="EM96" s="598"/>
      <c r="EN96" s="383">
        <f>(EN136-EN135)/EN66</f>
        <v>-0.27627263185515616</v>
      </c>
      <c r="EP96" s="598"/>
      <c r="EQ96" s="383">
        <f>(EQ136-EQ135)/EQ66</f>
        <v>-0.28762135922330095</v>
      </c>
      <c r="ER96" s="598"/>
      <c r="ES96" s="383">
        <f>(ES136-ES135)/ES66</f>
        <v>-0.30604338842975204</v>
      </c>
      <c r="ET96" s="4"/>
      <c r="EU96" s="598"/>
      <c r="EV96" s="383">
        <f>(EV136-EV135)/EV66</f>
        <v>-0.28956310679611652</v>
      </c>
      <c r="EX96" s="598"/>
      <c r="EY96" s="383">
        <f>(EY136-EY135)/EY66</f>
        <v>-0.14204545454545456</v>
      </c>
      <c r="EZ96" s="598"/>
      <c r="FA96" s="383">
        <f>(FA136-FA135)/FA66</f>
        <v>-0.13349514563106796</v>
      </c>
      <c r="FB96" s="598"/>
      <c r="FC96" s="383">
        <f>(FC136-FC135)/FC66</f>
        <v>-0.14204545454545456</v>
      </c>
    </row>
    <row r="97" spans="1:159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381"/>
      <c r="K97" s="383"/>
      <c r="L97" s="381"/>
      <c r="M97" s="383"/>
      <c r="N97" s="381"/>
      <c r="O97" s="383"/>
      <c r="P97" s="381"/>
      <c r="Q97" s="383"/>
      <c r="R97" s="646"/>
      <c r="S97" s="132"/>
      <c r="T97" s="133"/>
      <c r="U97" s="132"/>
      <c r="V97" s="133"/>
      <c r="W97" s="381"/>
      <c r="X97" s="383"/>
      <c r="Y97" s="381"/>
      <c r="Z97" s="383"/>
      <c r="AA97" s="381"/>
      <c r="AB97" s="383"/>
      <c r="AC97" s="381"/>
      <c r="AD97" s="383"/>
      <c r="AE97" s="381"/>
      <c r="AF97" s="383"/>
      <c r="AG97" s="646"/>
      <c r="AH97" s="132"/>
      <c r="AI97" s="133"/>
      <c r="AJ97" s="132"/>
      <c r="AK97" s="133"/>
      <c r="AL97" s="381"/>
      <c r="AM97" s="383"/>
      <c r="AN97" s="381"/>
      <c r="AO97" s="383"/>
      <c r="AP97" s="381"/>
      <c r="AQ97" s="383"/>
      <c r="AR97" s="381"/>
      <c r="AS97" s="383"/>
      <c r="AT97" s="381"/>
      <c r="AU97" s="383"/>
      <c r="AV97" s="672"/>
      <c r="AW97" s="381"/>
      <c r="AX97" s="382"/>
      <c r="AY97" s="131"/>
      <c r="AZ97" s="133"/>
      <c r="BA97" s="381"/>
      <c r="BB97" s="382"/>
      <c r="BC97" s="381"/>
      <c r="BD97" s="382"/>
      <c r="BE97" s="381"/>
      <c r="BF97" s="382"/>
      <c r="BG97" s="381"/>
      <c r="BH97" s="383"/>
      <c r="BI97" s="381"/>
      <c r="BJ97" s="383"/>
      <c r="BK97" s="132"/>
      <c r="BL97" s="133"/>
      <c r="BM97" s="381"/>
      <c r="BN97" s="382"/>
      <c r="BO97" s="381"/>
      <c r="BP97" s="382"/>
      <c r="BQ97" s="381"/>
      <c r="BR97" s="383"/>
      <c r="BS97" s="132"/>
      <c r="BT97" s="133"/>
      <c r="BU97" s="381"/>
      <c r="BV97" s="382"/>
      <c r="BW97" s="381"/>
      <c r="BX97" s="382"/>
      <c r="BY97" s="1075"/>
      <c r="BZ97" s="383"/>
      <c r="CA97" s="132"/>
      <c r="CB97" s="133"/>
      <c r="CC97" s="381"/>
      <c r="CD97" s="382"/>
      <c r="CE97" s="381"/>
      <c r="CF97" s="382"/>
      <c r="CG97" s="1075"/>
      <c r="CH97" s="383"/>
      <c r="CI97" s="598"/>
      <c r="CJ97" s="383"/>
      <c r="CK97" s="598"/>
      <c r="CL97" s="383"/>
      <c r="CM97" s="598"/>
      <c r="CN97" s="383"/>
      <c r="CO97" s="381"/>
      <c r="CP97" s="383"/>
      <c r="CR97" s="598"/>
      <c r="CS97" s="383"/>
      <c r="CT97" s="598"/>
      <c r="CU97" s="383"/>
      <c r="CV97" s="598"/>
      <c r="CW97" s="383"/>
      <c r="CX97" s="381"/>
      <c r="CY97" s="383"/>
      <c r="DA97" s="598"/>
      <c r="DB97" s="383"/>
      <c r="DC97" s="598"/>
      <c r="DD97" s="383"/>
      <c r="DE97" s="598"/>
      <c r="DF97" s="383"/>
      <c r="DH97" s="598"/>
      <c r="DI97" s="383"/>
      <c r="DJ97" s="598"/>
      <c r="DK97" s="383"/>
      <c r="DL97" s="598"/>
      <c r="DM97" s="383"/>
      <c r="DO97" s="598"/>
      <c r="DP97" s="383"/>
      <c r="DQ97" s="598"/>
      <c r="DR97" s="383"/>
      <c r="DS97" s="598"/>
      <c r="DT97" s="383"/>
      <c r="DV97" s="598"/>
      <c r="DW97" s="383"/>
      <c r="DX97" s="598"/>
      <c r="DY97" s="383"/>
      <c r="EA97" s="598"/>
      <c r="EB97" s="383"/>
      <c r="ED97" s="598"/>
      <c r="EE97" s="383"/>
      <c r="EG97" s="598"/>
      <c r="EH97" s="383"/>
      <c r="EJ97" s="598"/>
      <c r="EK97" s="383"/>
      <c r="EM97" s="598"/>
      <c r="EN97" s="383"/>
      <c r="EP97" s="598"/>
      <c r="EQ97" s="383"/>
      <c r="ER97" s="598"/>
      <c r="ES97" s="383"/>
      <c r="ET97" s="4"/>
      <c r="EU97" s="598"/>
      <c r="EV97" s="383"/>
      <c r="EX97" s="598"/>
      <c r="EY97" s="383"/>
      <c r="EZ97" s="598"/>
      <c r="FA97" s="383"/>
      <c r="FB97" s="598"/>
      <c r="FC97" s="383"/>
    </row>
    <row r="98" spans="1:159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155"/>
      <c r="G98" s="156">
        <f>G93-G96</f>
        <v>0.34588818319300441</v>
      </c>
      <c r="H98" s="155"/>
      <c r="I98" s="156">
        <f>I93-I96</f>
        <v>0.39255312034229023</v>
      </c>
      <c r="J98" s="155"/>
      <c r="K98" s="590">
        <f>K93-K96</f>
        <v>5.781011423775663E-2</v>
      </c>
      <c r="L98" s="155"/>
      <c r="M98" s="590">
        <f>M93-M96</f>
        <v>0.5247993523243244</v>
      </c>
      <c r="N98" s="155"/>
      <c r="O98" s="590">
        <f>O93-O96</f>
        <v>0.23365072931458999</v>
      </c>
      <c r="P98" s="155"/>
      <c r="Q98" s="590">
        <f>Q93-Q96</f>
        <v>0.27896753372230365</v>
      </c>
      <c r="R98" s="650"/>
      <c r="S98" s="591"/>
      <c r="T98" s="590">
        <f>T93-T96</f>
        <v>8.7782444627584416E-2</v>
      </c>
      <c r="U98" s="591"/>
      <c r="V98" s="590">
        <f>V93-V96</f>
        <v>0.25732077427387784</v>
      </c>
      <c r="W98" s="155"/>
      <c r="X98" s="590">
        <f>X93-X96</f>
        <v>0.12747696828688002</v>
      </c>
      <c r="Y98" s="155"/>
      <c r="Z98" s="590">
        <f>Z93-Z96</f>
        <v>0.61848098258179585</v>
      </c>
      <c r="AA98" s="155"/>
      <c r="AB98" s="590">
        <f>AB93-AB96</f>
        <v>0.34144963447339405</v>
      </c>
      <c r="AC98" s="155"/>
      <c r="AD98" s="590">
        <f>AD93-AD96</f>
        <v>0.13063696229708599</v>
      </c>
      <c r="AE98" s="591"/>
      <c r="AF98" s="590" t="e">
        <f>'Pricing Structure - IIP'!#REF!</f>
        <v>#REF!</v>
      </c>
      <c r="AG98" s="650"/>
      <c r="AH98" s="591"/>
      <c r="AI98" s="590">
        <f>AI93-AI96</f>
        <v>0.18270345323675904</v>
      </c>
      <c r="AJ98" s="591"/>
      <c r="AK98" s="590">
        <f>AK93-AK96</f>
        <v>4.4244972254812172E-2</v>
      </c>
      <c r="AL98" s="155"/>
      <c r="AM98" s="590">
        <f>AM93-AM96</f>
        <v>-0.11772281423681581</v>
      </c>
      <c r="AN98" s="155"/>
      <c r="AO98" s="590">
        <f>AO93-AO96</f>
        <v>-8.1606955179892082E-2</v>
      </c>
      <c r="AP98" s="155"/>
      <c r="AQ98" s="590">
        <f>AQ93-AQ96</f>
        <v>0.57324646707792259</v>
      </c>
      <c r="AR98" s="155"/>
      <c r="AS98" s="590">
        <f>AS93-AS96</f>
        <v>0.1601332944770083</v>
      </c>
      <c r="AT98" s="591"/>
      <c r="AU98" s="590" t="e">
        <f>'Pricing Structure - IHAG'!#REF!</f>
        <v>#REF!</v>
      </c>
      <c r="AV98" s="592"/>
      <c r="AW98" s="591"/>
      <c r="AX98" s="590">
        <f>AX93-AX96</f>
        <v>-0.21470671148338968</v>
      </c>
      <c r="AY98" s="592"/>
      <c r="AZ98" s="590">
        <f>AZ93-AZ96</f>
        <v>1.1027716114735022</v>
      </c>
      <c r="BA98" s="591"/>
      <c r="BB98" s="590">
        <f>BB93-BB96</f>
        <v>0.94962769025614424</v>
      </c>
      <c r="BC98" s="591"/>
      <c r="BD98" s="590">
        <f>BD93-BD96</f>
        <v>1.0385779968017428</v>
      </c>
      <c r="BE98" s="591"/>
      <c r="BF98" s="590">
        <f>BF93-BF96</f>
        <v>1.0104906506536941</v>
      </c>
      <c r="BG98" s="591"/>
      <c r="BH98" s="590">
        <f>BH93-BH96</f>
        <v>0.84824631449631427</v>
      </c>
      <c r="BI98" s="591"/>
      <c r="BJ98" s="590">
        <f>BJ93-BJ96</f>
        <v>0.71311117936117918</v>
      </c>
      <c r="BK98" s="591"/>
      <c r="BL98" s="590">
        <f>BL93-BL96</f>
        <v>0.83730709880591603</v>
      </c>
      <c r="BM98" s="591"/>
      <c r="BN98" s="590">
        <f>BN93-BN96</f>
        <v>0.76685428169153902</v>
      </c>
      <c r="BO98" s="591"/>
      <c r="BP98" s="590">
        <f>BP93-BP96</f>
        <v>0.76779497117724294</v>
      </c>
      <c r="BQ98" s="1079"/>
      <c r="BR98" s="590">
        <f>BR93-BR96</f>
        <v>0.98617334955562086</v>
      </c>
      <c r="BS98" s="591"/>
      <c r="BT98" s="590">
        <f>BT93-BT96</f>
        <v>0.21804664275144431</v>
      </c>
      <c r="BU98" s="591"/>
      <c r="BV98" s="590">
        <f>BV93-BV96</f>
        <v>0.204583748254692</v>
      </c>
      <c r="BW98" s="591"/>
      <c r="BX98" s="590">
        <f>BX93-BX96</f>
        <v>0.20518974373611154</v>
      </c>
      <c r="BY98" s="1079"/>
      <c r="BZ98" s="590">
        <f>BZ93-BZ96</f>
        <v>0.42410866265503033</v>
      </c>
      <c r="CA98" s="155"/>
      <c r="CB98" s="590">
        <f>CB93-CB96</f>
        <v>9.534161167476192E-2</v>
      </c>
      <c r="CC98" s="155"/>
      <c r="CD98" s="590">
        <f>CD93-CD96</f>
        <v>0.46516080332780169</v>
      </c>
      <c r="CE98" s="155"/>
      <c r="CF98" s="590">
        <f>CF93-CF96</f>
        <v>0.23829464216447171</v>
      </c>
      <c r="CG98" s="1079"/>
      <c r="CH98" s="590">
        <f>CH93-CH96</f>
        <v>0.42613248000231041</v>
      </c>
      <c r="CI98" s="618"/>
      <c r="CJ98" s="590">
        <f>CJ93-CJ96</f>
        <v>0.79211799972728536</v>
      </c>
      <c r="CK98" s="618"/>
      <c r="CL98" s="590">
        <f>CL93-CL96</f>
        <v>3.9186205386501323</v>
      </c>
      <c r="CM98" s="618"/>
      <c r="CN98" s="590">
        <f>CN93-CN96</f>
        <v>1.4120650896743752</v>
      </c>
      <c r="CO98" s="155"/>
      <c r="CP98" s="590">
        <f>CP93-CP96</f>
        <v>0.69479166666666625</v>
      </c>
      <c r="CR98" s="618"/>
      <c r="CS98" s="590">
        <f>CS93-CS96</f>
        <v>0.87146391504802811</v>
      </c>
      <c r="CT98" s="618"/>
      <c r="CU98" s="590">
        <f>CU93-CU96</f>
        <v>1.3219760889092838</v>
      </c>
      <c r="CV98" s="618"/>
      <c r="CW98" s="590">
        <f>CW93-CW96</f>
        <v>1.5014110049951181</v>
      </c>
      <c r="CX98" s="155"/>
      <c r="CY98" s="590">
        <f>CY93-CY96</f>
        <v>0.77690778866457522</v>
      </c>
      <c r="DA98" s="618"/>
      <c r="DB98" s="590">
        <f>DB93-DB96</f>
        <v>0.9279386461057697</v>
      </c>
      <c r="DC98" s="618"/>
      <c r="DD98" s="590">
        <f>DD93-DD96</f>
        <v>1.1292319569240008</v>
      </c>
      <c r="DE98" s="618"/>
      <c r="DF98" s="590">
        <f>DF93-DF96</f>
        <v>1.5423767743208709</v>
      </c>
      <c r="DH98" s="618"/>
      <c r="DI98" s="590">
        <f>DI93-DI96</f>
        <v>0.83269396712956267</v>
      </c>
      <c r="DJ98" s="618"/>
      <c r="DK98" s="590">
        <f>DK93-DK96</f>
        <v>1.1284021214359929</v>
      </c>
      <c r="DL98" s="618"/>
      <c r="DM98" s="590">
        <f>DM93-DM96</f>
        <v>1.5155331405347754</v>
      </c>
      <c r="DO98" s="618"/>
      <c r="DP98" s="590">
        <f>DP93-DP96</f>
        <v>0.75641970488647448</v>
      </c>
      <c r="DQ98" s="618"/>
      <c r="DR98" s="590">
        <f>DR93-DR96</f>
        <v>1.1334055472816007</v>
      </c>
      <c r="DS98" s="618"/>
      <c r="DT98" s="590">
        <f>DT93-DT96</f>
        <v>1.3805837708695328</v>
      </c>
      <c r="DV98" s="618"/>
      <c r="DW98" s="590">
        <f>DW93-DW96</f>
        <v>0.75548922460274537</v>
      </c>
      <c r="DX98" s="618"/>
      <c r="DY98" s="590">
        <f>DY93-DY96</f>
        <v>0.61327252398435206</v>
      </c>
      <c r="EA98" s="618"/>
      <c r="EB98" s="590">
        <f>EB93-EB96</f>
        <v>0.79769437969860424</v>
      </c>
      <c r="ED98" s="618"/>
      <c r="EE98" s="590">
        <f>EE93-EE96</f>
        <v>0.94938088447430491</v>
      </c>
      <c r="EG98" s="618"/>
      <c r="EH98" s="590">
        <f>EH93-EH96</f>
        <v>0.93633523680433051</v>
      </c>
      <c r="EJ98" s="618"/>
      <c r="EK98" s="590">
        <f>EK93-EK96</f>
        <v>0.73820355105918467</v>
      </c>
      <c r="EM98" s="618"/>
      <c r="EN98" s="590">
        <f>EN93-EN96</f>
        <v>0.91353591167120507</v>
      </c>
      <c r="EP98" s="618"/>
      <c r="EQ98" s="590">
        <f>EQ93-EQ96</f>
        <v>1.2352330264405949</v>
      </c>
      <c r="ER98" s="618"/>
      <c r="ES98" s="590">
        <f>ES93-ES96</f>
        <v>0.81481936536865152</v>
      </c>
      <c r="ET98" s="4"/>
      <c r="EU98" s="618"/>
      <c r="EV98" s="590">
        <f>EV93-EV96</f>
        <v>0.90690198402391553</v>
      </c>
      <c r="EX98" s="618"/>
      <c r="EY98" s="590">
        <f>EY93-EY96</f>
        <v>0.60781586114319897</v>
      </c>
      <c r="EZ98" s="618"/>
      <c r="FA98" s="590">
        <f>FA93-FA96</f>
        <v>0.73862039093849008</v>
      </c>
      <c r="FB98" s="618"/>
      <c r="FC98" s="590">
        <f>FC93-FC96</f>
        <v>1.1910416675948119</v>
      </c>
    </row>
    <row r="99" spans="1:159" s="65" customFormat="1" ht="18" customHeight="1" outlineLevel="1" thickBot="1" x14ac:dyDescent="0.5">
      <c r="A99" s="1121"/>
      <c r="B99" s="1122"/>
      <c r="C99" s="158" t="s">
        <v>96</v>
      </c>
      <c r="D99" s="158"/>
      <c r="E99" s="158"/>
      <c r="F99" s="159"/>
      <c r="G99" s="1097">
        <f>G98/G67</f>
        <v>6.3583835567402547E-2</v>
      </c>
      <c r="H99" s="159"/>
      <c r="I99" s="1097">
        <f>I98/I67</f>
        <v>7.4024783373529107E-2</v>
      </c>
      <c r="J99" s="159"/>
      <c r="K99" s="609">
        <f>K98/K67</f>
        <v>1.0083424594985325E-2</v>
      </c>
      <c r="L99" s="159"/>
      <c r="M99" s="609">
        <f>M98/M67</f>
        <v>9.1428458593087875E-2</v>
      </c>
      <c r="N99" s="159"/>
      <c r="O99" s="609">
        <f>O98/O67</f>
        <v>4.0705701971182923E-2</v>
      </c>
      <c r="P99" s="159"/>
      <c r="Q99" s="609">
        <f>Q98/Q67</f>
        <v>4.8600615631063354E-2</v>
      </c>
      <c r="R99" s="1120"/>
      <c r="S99" s="159"/>
      <c r="T99" s="1097">
        <f>T98/T67</f>
        <v>1.6143897862544259E-2</v>
      </c>
      <c r="U99" s="159"/>
      <c r="V99" s="1097">
        <f>V98/V67</f>
        <v>4.8436851628024066E-2</v>
      </c>
      <c r="W99" s="159"/>
      <c r="X99" s="609">
        <f>X98/X67</f>
        <v>2.2254485057733097E-2</v>
      </c>
      <c r="Y99" s="159"/>
      <c r="Z99" s="609">
        <f>Z98/Z67</f>
        <v>0.10774930010135816</v>
      </c>
      <c r="AA99" s="159"/>
      <c r="AB99" s="609">
        <f>AB98/AB67</f>
        <v>5.9485999037176662E-2</v>
      </c>
      <c r="AC99" s="159"/>
      <c r="AD99" s="609">
        <f>AD98/AD67</f>
        <v>2.2759052664997559E-2</v>
      </c>
      <c r="AE99" s="159"/>
      <c r="AF99" s="609" t="e">
        <f>'Pricing Structure - IIP'!#REF!</f>
        <v>#REF!</v>
      </c>
      <c r="AG99" s="1120"/>
      <c r="AH99" s="159"/>
      <c r="AI99" s="1097">
        <f>AI98/AI67</f>
        <v>3.3851631471320177E-2</v>
      </c>
      <c r="AJ99" s="159"/>
      <c r="AK99" s="1097">
        <f>AK98/AK67</f>
        <v>8.3859931395933382E-3</v>
      </c>
      <c r="AL99" s="159"/>
      <c r="AM99" s="609">
        <f>AM98/AM67</f>
        <v>-2.0635622027136778E-2</v>
      </c>
      <c r="AN99" s="159"/>
      <c r="AO99" s="609">
        <f>AO98/AO67</f>
        <v>-1.4291936108562536E-2</v>
      </c>
      <c r="AP99" s="159"/>
      <c r="AQ99" s="609">
        <f>AQ98/AQ67</f>
        <v>0.10039342680874301</v>
      </c>
      <c r="AR99" s="159"/>
      <c r="AS99" s="609">
        <f>AS98/AS67</f>
        <v>2.804435980332895E-2</v>
      </c>
      <c r="AT99" s="159"/>
      <c r="AU99" s="609" t="e">
        <f>'Pricing Structure - IHAG'!#REF!</f>
        <v>#REF!</v>
      </c>
      <c r="AV99" s="1123"/>
      <c r="AW99" s="159"/>
      <c r="AX99" s="1097">
        <f>AX98/AX67</f>
        <v>-3.7601875916530594E-2</v>
      </c>
      <c r="AY99" s="158"/>
      <c r="AZ99" s="1097">
        <f>AZ98/AZ67</f>
        <v>0.20795256850492863</v>
      </c>
      <c r="BA99" s="159"/>
      <c r="BB99" s="1097">
        <f>BB98/BB67</f>
        <v>0.16544036415612268</v>
      </c>
      <c r="BC99" s="159"/>
      <c r="BD99" s="1097">
        <f>BD98/BD67</f>
        <v>0.18093693324072174</v>
      </c>
      <c r="BE99" s="159"/>
      <c r="BF99" s="1097">
        <f>BF98/BF67</f>
        <v>0.17604366736127075</v>
      </c>
      <c r="BG99" s="159"/>
      <c r="BH99" s="609">
        <f>BH98/BH67</f>
        <v>0.14777810357078644</v>
      </c>
      <c r="BI99" s="159"/>
      <c r="BJ99" s="609">
        <f>BJ98/BJ67</f>
        <v>0.12423539710125073</v>
      </c>
      <c r="BK99" s="159"/>
      <c r="BL99" s="1097">
        <f>BL98/BL67</f>
        <v>0.18689890598346337</v>
      </c>
      <c r="BM99" s="159"/>
      <c r="BN99" s="1097">
        <f>BN98/BN67</f>
        <v>0.17117283073471851</v>
      </c>
      <c r="BO99" s="159"/>
      <c r="BP99" s="1097">
        <f>BP98/BP67</f>
        <v>0.17138280606634884</v>
      </c>
      <c r="BQ99" s="159"/>
      <c r="BR99" s="609">
        <f>BR98/BR67</f>
        <v>0.20545278115742102</v>
      </c>
      <c r="BS99" s="159"/>
      <c r="BT99" s="1097">
        <f>BT98/BT67</f>
        <v>5.2795797276378766E-2</v>
      </c>
      <c r="BU99" s="159"/>
      <c r="BV99" s="1097">
        <f>BV98/BV67</f>
        <v>4.9536016526559805E-2</v>
      </c>
      <c r="BW99" s="159"/>
      <c r="BX99" s="1097">
        <f>BX98/BX67</f>
        <v>4.9682746667339357E-2</v>
      </c>
      <c r="BY99" s="159"/>
      <c r="BZ99" s="609">
        <f>BZ98/BZ67</f>
        <v>9.8629921547681479E-2</v>
      </c>
      <c r="CA99" s="159"/>
      <c r="CB99" s="1097">
        <f>CB98/CB67</f>
        <v>1.5758944078473044E-2</v>
      </c>
      <c r="CC99" s="159"/>
      <c r="CD99" s="1097">
        <f>CD98/CD67</f>
        <v>7.6886083194677962E-2</v>
      </c>
      <c r="CE99" s="159"/>
      <c r="CF99" s="1097">
        <f>CF98/CF67</f>
        <v>3.9387544159416817E-2</v>
      </c>
      <c r="CG99" s="159"/>
      <c r="CH99" s="609">
        <f>CH98/CH67</f>
        <v>7.0435120661538911E-2</v>
      </c>
      <c r="CI99" s="610"/>
      <c r="CJ99" s="609">
        <f>CJ98/CJ67</f>
        <v>0.13775965212648442</v>
      </c>
      <c r="CK99" s="610"/>
      <c r="CL99" s="609">
        <f>CL98/CL67</f>
        <v>0.68149922411306652</v>
      </c>
      <c r="CM99" s="610"/>
      <c r="CN99" s="609">
        <f>CN98/CN67</f>
        <v>0.24557653733467394</v>
      </c>
      <c r="CO99" s="159"/>
      <c r="CP99" s="609">
        <f>CP98/CP67</f>
        <v>0.16946138211382106</v>
      </c>
      <c r="CR99" s="610"/>
      <c r="CS99" s="609">
        <f>CS98/CS67</f>
        <v>0.14896819060650054</v>
      </c>
      <c r="CT99" s="610"/>
      <c r="CU99" s="609">
        <f>CU98/CU67</f>
        <v>0.22597881861697158</v>
      </c>
      <c r="CV99" s="610"/>
      <c r="CW99" s="609">
        <f>CW98/CW67</f>
        <v>0.25665145384531934</v>
      </c>
      <c r="CX99" s="159"/>
      <c r="CY99" s="609">
        <f>CY98/CY67</f>
        <v>0.18280183262695887</v>
      </c>
      <c r="DA99" s="610"/>
      <c r="DB99" s="609">
        <f>DB98/DB67</f>
        <v>0.15862199078731107</v>
      </c>
      <c r="DC99" s="610"/>
      <c r="DD99" s="609">
        <f>DD98/DD67</f>
        <v>0.19303110374769245</v>
      </c>
      <c r="DE99" s="610"/>
      <c r="DF99" s="609">
        <f>DF98/DF67</f>
        <v>0.26365414945655913</v>
      </c>
      <c r="DH99" s="610"/>
      <c r="DI99" s="609">
        <f>DI98/DI67</f>
        <v>0.14234084908197653</v>
      </c>
      <c r="DJ99" s="610"/>
      <c r="DK99" s="609">
        <f>DK98/DK67</f>
        <v>0.19288925152752018</v>
      </c>
      <c r="DL99" s="610"/>
      <c r="DM99" s="609">
        <f>DM98/DM67</f>
        <v>0.25906549410850865</v>
      </c>
      <c r="DO99" s="610"/>
      <c r="DP99" s="609">
        <f>DP98/DP67</f>
        <v>0.12930251365580761</v>
      </c>
      <c r="DQ99" s="610"/>
      <c r="DR99" s="609">
        <f>DR98/DR67</f>
        <v>0.19374453799685484</v>
      </c>
      <c r="DS99" s="610"/>
      <c r="DT99" s="609">
        <f>DT98/DT67</f>
        <v>0.23599722578966373</v>
      </c>
      <c r="DV99" s="610"/>
      <c r="DW99" s="609">
        <f>DW98/DW67</f>
        <v>0.1291434571970505</v>
      </c>
      <c r="DX99" s="610"/>
      <c r="DY99" s="609">
        <f>DY98/DY67</f>
        <v>0.10483291008279523</v>
      </c>
      <c r="EA99" s="610"/>
      <c r="EB99" s="609">
        <f>EB98/EB67</f>
        <v>0.13635801362369304</v>
      </c>
      <c r="ED99" s="610"/>
      <c r="EE99" s="609">
        <f>EE98/EE67</f>
        <v>0.16228733067936837</v>
      </c>
      <c r="EG99" s="610"/>
      <c r="EH99" s="609">
        <f>EH98/EH67</f>
        <v>0.16005730543663771</v>
      </c>
      <c r="EJ99" s="610"/>
      <c r="EK99" s="609">
        <f>EK98/EK67</f>
        <v>0.12618864120669823</v>
      </c>
      <c r="EM99" s="610"/>
      <c r="EN99" s="609">
        <f>EN98/EN67</f>
        <v>0.1561599849010607</v>
      </c>
      <c r="EP99" s="610"/>
      <c r="EQ99" s="609">
        <f>EQ98/EQ67</f>
        <v>0.21115094469069998</v>
      </c>
      <c r="ER99" s="610"/>
      <c r="ES99" s="609">
        <f>ES98/ES67</f>
        <v>0.13928536160147889</v>
      </c>
      <c r="ET99" s="4"/>
      <c r="EU99" s="610"/>
      <c r="EV99" s="609">
        <f>EV98/EV67</f>
        <v>0.15502598017502831</v>
      </c>
      <c r="EX99" s="610"/>
      <c r="EY99" s="609">
        <f>EY98/EY67</f>
        <v>0.10390014720396565</v>
      </c>
      <c r="EZ99" s="610"/>
      <c r="FA99" s="609">
        <f>FA98/FA67</f>
        <v>0.12625989588692138</v>
      </c>
      <c r="FB99" s="610"/>
      <c r="FC99" s="609">
        <f>FC98/FC67</f>
        <v>0.20359686625552342</v>
      </c>
    </row>
    <row r="100" spans="1:159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f>G64</f>
        <v>620</v>
      </c>
      <c r="H100" s="251"/>
      <c r="I100" s="167">
        <f>I64</f>
        <v>1150</v>
      </c>
      <c r="J100" s="251"/>
      <c r="K100" s="167">
        <f>K64</f>
        <v>1199.4831156337875</v>
      </c>
      <c r="L100" s="251"/>
      <c r="M100" s="167">
        <f>M64</f>
        <v>1200</v>
      </c>
      <c r="N100" s="251"/>
      <c r="O100" s="167">
        <f>O64</f>
        <v>1200</v>
      </c>
      <c r="P100" s="251"/>
      <c r="Q100" s="167">
        <f>Q64</f>
        <v>1200</v>
      </c>
      <c r="R100" s="652"/>
      <c r="S100" s="251"/>
      <c r="T100" s="167">
        <v>620</v>
      </c>
      <c r="U100" s="251"/>
      <c r="V100" s="167">
        <v>620</v>
      </c>
      <c r="W100" s="251"/>
      <c r="X100" s="167">
        <f>X64</f>
        <v>1197.9359746958437</v>
      </c>
      <c r="Y100" s="251"/>
      <c r="Z100" s="167">
        <f>Z64</f>
        <v>1200</v>
      </c>
      <c r="AA100" s="251"/>
      <c r="AB100" s="167">
        <f>AB64</f>
        <v>1200</v>
      </c>
      <c r="AC100" s="251"/>
      <c r="AD100" s="167">
        <f>AD64</f>
        <v>1200</v>
      </c>
      <c r="AE100" s="251"/>
      <c r="AF100" s="167" t="e">
        <f>AF64</f>
        <v>#REF!</v>
      </c>
      <c r="AG100" s="652"/>
      <c r="AH100" s="251"/>
      <c r="AI100" s="167">
        <v>620</v>
      </c>
      <c r="AJ100" s="251"/>
      <c r="AK100" s="167">
        <v>620</v>
      </c>
      <c r="AL100" s="251"/>
      <c r="AM100" s="167">
        <f>AM64</f>
        <v>1206.1471380087817</v>
      </c>
      <c r="AN100" s="251"/>
      <c r="AO100" s="167">
        <f>AO64</f>
        <v>1207</v>
      </c>
      <c r="AP100" s="251"/>
      <c r="AQ100" s="167">
        <f>AQ64</f>
        <v>1207</v>
      </c>
      <c r="AR100" s="251"/>
      <c r="AS100" s="167">
        <f>AS64</f>
        <v>1207</v>
      </c>
      <c r="AT100" s="251"/>
      <c r="AU100" s="167">
        <v>620</v>
      </c>
      <c r="AV100" s="652"/>
      <c r="AW100" s="251"/>
      <c r="AX100" s="167">
        <v>620</v>
      </c>
      <c r="AY100" s="295"/>
      <c r="AZ100" s="167">
        <v>620</v>
      </c>
      <c r="BA100" s="251"/>
      <c r="BB100" s="167">
        <v>620</v>
      </c>
      <c r="BC100" s="251"/>
      <c r="BD100" s="167">
        <v>620</v>
      </c>
      <c r="BE100" s="251"/>
      <c r="BF100" s="167">
        <v>620</v>
      </c>
      <c r="BG100" s="251"/>
      <c r="BH100" s="167">
        <v>620</v>
      </c>
      <c r="BI100" s="251"/>
      <c r="BJ100" s="167">
        <v>620</v>
      </c>
      <c r="BK100" s="251"/>
      <c r="BL100" s="167">
        <v>620</v>
      </c>
      <c r="BM100" s="251"/>
      <c r="BN100" s="167">
        <v>620</v>
      </c>
      <c r="BO100" s="251"/>
      <c r="BP100" s="167">
        <v>620</v>
      </c>
      <c r="BQ100" s="251"/>
      <c r="BR100" s="167">
        <v>620</v>
      </c>
      <c r="BS100" s="251"/>
      <c r="BT100" s="167">
        <v>620</v>
      </c>
      <c r="BU100" s="251"/>
      <c r="BV100" s="167">
        <v>620</v>
      </c>
      <c r="BW100" s="251"/>
      <c r="BX100" s="167">
        <v>620</v>
      </c>
      <c r="BY100" s="251"/>
      <c r="BZ100" s="167">
        <v>620</v>
      </c>
      <c r="CA100" s="251"/>
      <c r="CB100" s="167">
        <v>620</v>
      </c>
      <c r="CC100" s="251"/>
      <c r="CD100" s="167">
        <v>620</v>
      </c>
      <c r="CE100" s="251"/>
      <c r="CF100" s="167">
        <v>620</v>
      </c>
      <c r="CG100" s="251"/>
      <c r="CH100" s="167">
        <v>620</v>
      </c>
      <c r="CI100" s="251"/>
      <c r="CJ100" s="167">
        <f>CJ64</f>
        <v>1200</v>
      </c>
      <c r="CK100" s="251"/>
      <c r="CL100" s="167">
        <f>CL64</f>
        <v>1200</v>
      </c>
      <c r="CM100" s="251"/>
      <c r="CN100" s="167">
        <f>CN64</f>
        <v>1200</v>
      </c>
      <c r="CO100" s="251"/>
      <c r="CP100" s="167">
        <v>1200</v>
      </c>
      <c r="CR100" s="251"/>
      <c r="CS100" s="167">
        <f>CS64</f>
        <v>750</v>
      </c>
      <c r="CT100" s="251"/>
      <c r="CU100" s="167">
        <f>CU64</f>
        <v>750</v>
      </c>
      <c r="CV100" s="251"/>
      <c r="CW100" s="167">
        <f>CW64</f>
        <v>750</v>
      </c>
      <c r="CX100" s="251"/>
      <c r="CY100" s="167">
        <v>1200</v>
      </c>
      <c r="DA100" s="251"/>
      <c r="DB100" s="167">
        <f>DB64</f>
        <v>750</v>
      </c>
      <c r="DC100" s="251"/>
      <c r="DD100" s="167">
        <f>DD64</f>
        <v>750</v>
      </c>
      <c r="DE100" s="251"/>
      <c r="DF100" s="167">
        <f>DF64</f>
        <v>750</v>
      </c>
      <c r="DH100" s="251"/>
      <c r="DI100" s="167">
        <f>DI64</f>
        <v>750</v>
      </c>
      <c r="DJ100" s="251"/>
      <c r="DK100" s="167">
        <f>DK64</f>
        <v>750</v>
      </c>
      <c r="DL100" s="251"/>
      <c r="DM100" s="167">
        <f>DM64</f>
        <v>750</v>
      </c>
      <c r="DO100" s="251"/>
      <c r="DP100" s="167">
        <f>DP64</f>
        <v>750</v>
      </c>
      <c r="DQ100" s="251"/>
      <c r="DR100" s="167">
        <f>DR64</f>
        <v>750</v>
      </c>
      <c r="DS100" s="251"/>
      <c r="DT100" s="167">
        <f>DT64</f>
        <v>750</v>
      </c>
      <c r="DV100" s="251"/>
      <c r="DW100" s="167">
        <f>DW64</f>
        <v>750</v>
      </c>
      <c r="DX100" s="251"/>
      <c r="DY100" s="167">
        <f>DY64</f>
        <v>750</v>
      </c>
      <c r="EA100" s="251"/>
      <c r="EB100" s="167">
        <f>EB64</f>
        <v>750</v>
      </c>
      <c r="ED100" s="251"/>
      <c r="EE100" s="167">
        <f>EE64</f>
        <v>750</v>
      </c>
      <c r="EG100" s="251"/>
      <c r="EH100" s="167">
        <f>EH64</f>
        <v>750</v>
      </c>
      <c r="EJ100" s="251"/>
      <c r="EK100" s="167">
        <f>EK64</f>
        <v>750</v>
      </c>
      <c r="EM100" s="251"/>
      <c r="EN100" s="167">
        <f>EN64</f>
        <v>750</v>
      </c>
      <c r="EP100" s="251"/>
      <c r="EQ100" s="167">
        <f>EQ64</f>
        <v>750</v>
      </c>
      <c r="ER100" s="251"/>
      <c r="ES100" s="167">
        <f>ES64</f>
        <v>750</v>
      </c>
      <c r="EU100" s="251"/>
      <c r="EV100" s="167">
        <f>EV64</f>
        <v>750</v>
      </c>
      <c r="EX100" s="251"/>
      <c r="EY100" s="167">
        <f>EY64</f>
        <v>750</v>
      </c>
      <c r="EZ100" s="251"/>
      <c r="FA100" s="167">
        <f>FA64</f>
        <v>750</v>
      </c>
      <c r="FB100" s="251"/>
      <c r="FC100" s="167">
        <f>FC64</f>
        <v>750</v>
      </c>
    </row>
    <row r="101" spans="1:159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9"/>
      <c r="S101" s="164"/>
      <c r="T101" s="168">
        <v>1150</v>
      </c>
      <c r="U101" s="164"/>
      <c r="V101" s="168">
        <v>1150</v>
      </c>
      <c r="W101" s="164"/>
      <c r="X101" s="168">
        <v>1150</v>
      </c>
      <c r="Y101" s="164"/>
      <c r="Z101" s="168">
        <v>1150</v>
      </c>
      <c r="AA101" s="164"/>
      <c r="AB101" s="168">
        <v>1150</v>
      </c>
      <c r="AC101" s="164"/>
      <c r="AD101" s="168">
        <v>1150</v>
      </c>
      <c r="AE101" s="164"/>
      <c r="AF101" s="168">
        <v>1150</v>
      </c>
      <c r="AG101" s="169"/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9"/>
      <c r="AW101" s="164"/>
      <c r="AX101" s="168">
        <v>1150</v>
      </c>
      <c r="AY101" s="172"/>
      <c r="AZ101" s="168">
        <v>1150</v>
      </c>
      <c r="BA101" s="164"/>
      <c r="BB101" s="168">
        <v>1150</v>
      </c>
      <c r="BC101" s="164"/>
      <c r="BD101" s="168">
        <v>1150</v>
      </c>
      <c r="BE101" s="164"/>
      <c r="BF101" s="168">
        <v>1150</v>
      </c>
      <c r="BG101" s="164"/>
      <c r="BH101" s="168">
        <v>1150</v>
      </c>
      <c r="BI101" s="164"/>
      <c r="BJ101" s="168">
        <v>1150</v>
      </c>
      <c r="BK101" s="164"/>
      <c r="BL101" s="168">
        <v>1150</v>
      </c>
      <c r="BM101" s="164"/>
      <c r="BN101" s="168">
        <v>1150</v>
      </c>
      <c r="BO101" s="164"/>
      <c r="BP101" s="168">
        <v>1150</v>
      </c>
      <c r="BQ101" s="164"/>
      <c r="BR101" s="168">
        <v>1150</v>
      </c>
      <c r="BS101" s="164"/>
      <c r="BT101" s="168">
        <v>1150</v>
      </c>
      <c r="BU101" s="164"/>
      <c r="BV101" s="168">
        <v>1150</v>
      </c>
      <c r="BW101" s="164"/>
      <c r="BX101" s="168">
        <v>1150</v>
      </c>
      <c r="BY101" s="164"/>
      <c r="BZ101" s="168">
        <v>1150</v>
      </c>
      <c r="CA101" s="164"/>
      <c r="CB101" s="168">
        <v>1150</v>
      </c>
      <c r="CC101" s="164"/>
      <c r="CD101" s="168">
        <v>1150</v>
      </c>
      <c r="CE101" s="164"/>
      <c r="CF101" s="168">
        <v>1150</v>
      </c>
      <c r="CG101" s="164"/>
      <c r="CH101" s="168">
        <v>1150</v>
      </c>
      <c r="CI101" s="164"/>
      <c r="CJ101" s="168">
        <v>1150</v>
      </c>
      <c r="CK101" s="164"/>
      <c r="CL101" s="168">
        <v>1150</v>
      </c>
      <c r="CM101" s="164"/>
      <c r="CN101" s="168">
        <v>1150</v>
      </c>
      <c r="CO101" s="164"/>
      <c r="CP101" s="168">
        <v>1150</v>
      </c>
      <c r="CR101" s="164"/>
      <c r="CS101" s="168">
        <v>1150</v>
      </c>
      <c r="CT101" s="164"/>
      <c r="CU101" s="168">
        <v>1150</v>
      </c>
      <c r="CV101" s="164"/>
      <c r="CW101" s="168">
        <v>1150</v>
      </c>
      <c r="CX101" s="164"/>
      <c r="CY101" s="168">
        <v>1150</v>
      </c>
      <c r="DA101" s="164"/>
      <c r="DB101" s="168">
        <v>1150</v>
      </c>
      <c r="DC101" s="164"/>
      <c r="DD101" s="168">
        <v>1150</v>
      </c>
      <c r="DE101" s="164"/>
      <c r="DF101" s="168">
        <v>1150</v>
      </c>
      <c r="DH101" s="164"/>
      <c r="DI101" s="168">
        <v>1150</v>
      </c>
      <c r="DJ101" s="164"/>
      <c r="DK101" s="168">
        <v>1150</v>
      </c>
      <c r="DL101" s="164"/>
      <c r="DM101" s="168">
        <v>1150</v>
      </c>
      <c r="DO101" s="164"/>
      <c r="DP101" s="168">
        <v>1150</v>
      </c>
      <c r="DQ101" s="164"/>
      <c r="DR101" s="168">
        <v>1150</v>
      </c>
      <c r="DS101" s="164"/>
      <c r="DT101" s="168">
        <v>1150</v>
      </c>
      <c r="DV101" s="164"/>
      <c r="DW101" s="168">
        <v>1150</v>
      </c>
      <c r="DX101" s="164"/>
      <c r="DY101" s="168">
        <v>1150</v>
      </c>
      <c r="EA101" s="164"/>
      <c r="EB101" s="168">
        <v>1150</v>
      </c>
      <c r="ED101" s="164"/>
      <c r="EE101" s="168">
        <v>1150</v>
      </c>
      <c r="EG101" s="164"/>
      <c r="EH101" s="168">
        <v>1150</v>
      </c>
      <c r="EJ101" s="164"/>
      <c r="EK101" s="168">
        <v>1150</v>
      </c>
      <c r="EM101" s="164"/>
      <c r="EN101" s="168">
        <v>1150</v>
      </c>
      <c r="EP101" s="164"/>
      <c r="EQ101" s="168">
        <v>1150</v>
      </c>
      <c r="ER101" s="164"/>
      <c r="ES101" s="168">
        <v>1150</v>
      </c>
      <c r="EU101" s="164"/>
      <c r="EV101" s="168">
        <v>1150</v>
      </c>
      <c r="EX101" s="164"/>
      <c r="EY101" s="168">
        <v>1150</v>
      </c>
      <c r="EZ101" s="164"/>
      <c r="FA101" s="168">
        <v>1150</v>
      </c>
      <c r="FB101" s="164"/>
      <c r="FC101" s="168">
        <v>1150</v>
      </c>
    </row>
    <row r="102" spans="1:159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9"/>
      <c r="S102" s="164"/>
      <c r="T102" s="168">
        <v>750</v>
      </c>
      <c r="U102" s="164"/>
      <c r="V102" s="168">
        <v>750</v>
      </c>
      <c r="W102" s="164"/>
      <c r="X102" s="168">
        <v>750</v>
      </c>
      <c r="Y102" s="164"/>
      <c r="Z102" s="168">
        <v>750</v>
      </c>
      <c r="AA102" s="164"/>
      <c r="AB102" s="168">
        <v>750</v>
      </c>
      <c r="AC102" s="164"/>
      <c r="AD102" s="168">
        <v>750</v>
      </c>
      <c r="AE102" s="164"/>
      <c r="AF102" s="168">
        <v>750</v>
      </c>
      <c r="AG102" s="169"/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9"/>
      <c r="AW102" s="164"/>
      <c r="AX102" s="168">
        <v>750</v>
      </c>
      <c r="AY102" s="172"/>
      <c r="AZ102" s="168">
        <v>750</v>
      </c>
      <c r="BA102" s="164"/>
      <c r="BB102" s="168">
        <v>750</v>
      </c>
      <c r="BC102" s="164"/>
      <c r="BD102" s="168">
        <v>750</v>
      </c>
      <c r="BE102" s="164"/>
      <c r="BF102" s="168">
        <v>750</v>
      </c>
      <c r="BG102" s="164"/>
      <c r="BH102" s="168">
        <v>750</v>
      </c>
      <c r="BI102" s="164"/>
      <c r="BJ102" s="168">
        <v>750</v>
      </c>
      <c r="BK102" s="164"/>
      <c r="BL102" s="168">
        <v>750</v>
      </c>
      <c r="BM102" s="164"/>
      <c r="BN102" s="168">
        <v>750</v>
      </c>
      <c r="BO102" s="164"/>
      <c r="BP102" s="168">
        <v>750</v>
      </c>
      <c r="BQ102" s="164"/>
      <c r="BR102" s="168">
        <v>750</v>
      </c>
      <c r="BS102" s="164"/>
      <c r="BT102" s="168">
        <v>750</v>
      </c>
      <c r="BU102" s="164"/>
      <c r="BV102" s="168">
        <v>750</v>
      </c>
      <c r="BW102" s="164"/>
      <c r="BX102" s="168">
        <v>750</v>
      </c>
      <c r="BY102" s="164"/>
      <c r="BZ102" s="168">
        <v>750</v>
      </c>
      <c r="CA102" s="164"/>
      <c r="CB102" s="168">
        <v>750</v>
      </c>
      <c r="CC102" s="164"/>
      <c r="CD102" s="168">
        <v>750</v>
      </c>
      <c r="CE102" s="164"/>
      <c r="CF102" s="168">
        <v>750</v>
      </c>
      <c r="CG102" s="164"/>
      <c r="CH102" s="168">
        <v>750</v>
      </c>
      <c r="CI102" s="164"/>
      <c r="CJ102" s="168">
        <v>750</v>
      </c>
      <c r="CK102" s="164"/>
      <c r="CL102" s="168">
        <v>750</v>
      </c>
      <c r="CM102" s="164"/>
      <c r="CN102" s="168">
        <v>750</v>
      </c>
      <c r="CO102" s="164"/>
      <c r="CP102" s="168">
        <v>750</v>
      </c>
      <c r="CR102" s="164"/>
      <c r="CS102" s="168">
        <v>750</v>
      </c>
      <c r="CT102" s="164"/>
      <c r="CU102" s="168">
        <v>750</v>
      </c>
      <c r="CV102" s="164"/>
      <c r="CW102" s="168">
        <v>750</v>
      </c>
      <c r="CX102" s="164"/>
      <c r="CY102" s="168">
        <v>750</v>
      </c>
      <c r="DA102" s="164"/>
      <c r="DB102" s="168">
        <v>750</v>
      </c>
      <c r="DC102" s="164"/>
      <c r="DD102" s="168">
        <v>750</v>
      </c>
      <c r="DE102" s="164"/>
      <c r="DF102" s="168">
        <v>750</v>
      </c>
      <c r="DH102" s="164"/>
      <c r="DI102" s="168">
        <v>750</v>
      </c>
      <c r="DJ102" s="164"/>
      <c r="DK102" s="168">
        <v>750</v>
      </c>
      <c r="DL102" s="164"/>
      <c r="DM102" s="168">
        <v>750</v>
      </c>
      <c r="DO102" s="164"/>
      <c r="DP102" s="168">
        <v>750</v>
      </c>
      <c r="DQ102" s="164"/>
      <c r="DR102" s="168">
        <v>750</v>
      </c>
      <c r="DS102" s="164"/>
      <c r="DT102" s="168">
        <v>750</v>
      </c>
      <c r="DV102" s="164"/>
      <c r="DW102" s="168">
        <v>750</v>
      </c>
      <c r="DX102" s="164"/>
      <c r="DY102" s="168">
        <v>750</v>
      </c>
      <c r="EA102" s="164"/>
      <c r="EB102" s="168">
        <v>750</v>
      </c>
      <c r="ED102" s="164"/>
      <c r="EE102" s="168">
        <v>750</v>
      </c>
      <c r="EG102" s="164"/>
      <c r="EH102" s="168">
        <v>750</v>
      </c>
      <c r="EJ102" s="164"/>
      <c r="EK102" s="168">
        <v>750</v>
      </c>
      <c r="EM102" s="164"/>
      <c r="EN102" s="168">
        <v>750</v>
      </c>
      <c r="EP102" s="164"/>
      <c r="EQ102" s="168">
        <v>750</v>
      </c>
      <c r="ER102" s="164"/>
      <c r="ES102" s="168">
        <v>750</v>
      </c>
      <c r="EU102" s="164"/>
      <c r="EV102" s="168">
        <v>750</v>
      </c>
      <c r="EX102" s="164"/>
      <c r="EY102" s="168">
        <v>750</v>
      </c>
      <c r="EZ102" s="164"/>
      <c r="FA102" s="168">
        <v>750</v>
      </c>
      <c r="FB102" s="164"/>
      <c r="FC102" s="168">
        <v>750</v>
      </c>
    </row>
    <row r="103" spans="1:159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72"/>
      <c r="S103" s="164"/>
      <c r="T103" s="171"/>
      <c r="U103" s="164"/>
      <c r="V103" s="171"/>
      <c r="W103" s="164"/>
      <c r="X103" s="171"/>
      <c r="Y103" s="164"/>
      <c r="Z103" s="171"/>
      <c r="AA103" s="164"/>
      <c r="AB103" s="171"/>
      <c r="AC103" s="164"/>
      <c r="AD103" s="171"/>
      <c r="AE103" s="164"/>
      <c r="AF103" s="171"/>
      <c r="AG103" s="172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72"/>
      <c r="AW103" s="164"/>
      <c r="AX103" s="171"/>
      <c r="AY103" s="172"/>
      <c r="AZ103" s="171"/>
      <c r="BA103" s="164"/>
      <c r="BB103" s="171"/>
      <c r="BC103" s="164"/>
      <c r="BD103" s="171"/>
      <c r="BE103" s="164"/>
      <c r="BF103" s="171"/>
      <c r="BG103" s="164"/>
      <c r="BH103" s="171"/>
      <c r="BI103" s="164"/>
      <c r="BJ103" s="171"/>
      <c r="BK103" s="164"/>
      <c r="BL103" s="171"/>
      <c r="BM103" s="164"/>
      <c r="BN103" s="171"/>
      <c r="BO103" s="164"/>
      <c r="BP103" s="171"/>
      <c r="BQ103" s="164"/>
      <c r="BR103" s="171"/>
      <c r="BS103" s="164"/>
      <c r="BT103" s="171"/>
      <c r="BU103" s="164"/>
      <c r="BV103" s="171"/>
      <c r="BW103" s="164"/>
      <c r="BX103" s="171"/>
      <c r="BY103" s="164"/>
      <c r="BZ103" s="171"/>
      <c r="CA103" s="164"/>
      <c r="CB103" s="171"/>
      <c r="CC103" s="164"/>
      <c r="CD103" s="171"/>
      <c r="CE103" s="164"/>
      <c r="CF103" s="171"/>
      <c r="CG103" s="164"/>
      <c r="CH103" s="171"/>
      <c r="CI103" s="164"/>
      <c r="CJ103" s="171"/>
      <c r="CK103" s="164"/>
      <c r="CL103" s="171"/>
      <c r="CM103" s="164"/>
      <c r="CN103" s="171"/>
      <c r="CO103" s="164"/>
      <c r="CP103" s="171"/>
      <c r="CR103" s="164"/>
      <c r="CS103" s="171"/>
      <c r="CT103" s="164"/>
      <c r="CU103" s="171"/>
      <c r="CV103" s="164"/>
      <c r="CW103" s="171"/>
      <c r="CX103" s="164"/>
      <c r="CY103" s="171"/>
      <c r="DA103" s="164"/>
      <c r="DB103" s="171"/>
      <c r="DC103" s="164"/>
      <c r="DD103" s="171"/>
      <c r="DE103" s="164"/>
      <c r="DF103" s="171"/>
      <c r="DH103" s="164"/>
      <c r="DI103" s="171"/>
      <c r="DJ103" s="164"/>
      <c r="DK103" s="171"/>
      <c r="DL103" s="164"/>
      <c r="DM103" s="171"/>
      <c r="DO103" s="164"/>
      <c r="DP103" s="171"/>
      <c r="DQ103" s="164"/>
      <c r="DR103" s="171"/>
      <c r="DS103" s="164"/>
      <c r="DT103" s="171"/>
      <c r="DV103" s="164"/>
      <c r="DW103" s="171"/>
      <c r="DX103" s="164"/>
      <c r="DY103" s="171"/>
      <c r="EA103" s="164"/>
      <c r="EB103" s="171"/>
      <c r="ED103" s="164"/>
      <c r="EE103" s="171"/>
      <c r="EG103" s="164"/>
      <c r="EH103" s="171"/>
      <c r="EJ103" s="164"/>
      <c r="EK103" s="171"/>
      <c r="EM103" s="164"/>
      <c r="EN103" s="171"/>
      <c r="EP103" s="164"/>
      <c r="EQ103" s="171"/>
      <c r="ER103" s="164"/>
      <c r="ES103" s="171"/>
      <c r="EU103" s="164"/>
      <c r="EV103" s="171"/>
      <c r="EX103" s="164"/>
      <c r="EY103" s="171"/>
      <c r="EZ103" s="164"/>
      <c r="FA103" s="171"/>
      <c r="FB103" s="164"/>
      <c r="FC103" s="171"/>
    </row>
    <row r="104" spans="1:159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0</v>
      </c>
      <c r="J104" s="173"/>
      <c r="K104" s="165">
        <f>K101-K100</f>
        <v>-49.48311563378752</v>
      </c>
      <c r="L104" s="173"/>
      <c r="M104" s="165">
        <f>M101-M100</f>
        <v>-50</v>
      </c>
      <c r="N104" s="173"/>
      <c r="O104" s="165">
        <f>O101-O100</f>
        <v>-50</v>
      </c>
      <c r="P104" s="173"/>
      <c r="Q104" s="165">
        <f>Q101-Q100</f>
        <v>-50</v>
      </c>
      <c r="R104" s="166"/>
      <c r="S104" s="173"/>
      <c r="T104" s="165">
        <f>T101-T100</f>
        <v>530</v>
      </c>
      <c r="U104" s="173"/>
      <c r="V104" s="165">
        <f>V101-V100</f>
        <v>530</v>
      </c>
      <c r="W104" s="173"/>
      <c r="X104" s="165">
        <f>X101-X100</f>
        <v>-47.935974695843697</v>
      </c>
      <c r="Y104" s="173"/>
      <c r="Z104" s="165">
        <f>Z101-Z100</f>
        <v>-50</v>
      </c>
      <c r="AA104" s="173"/>
      <c r="AB104" s="165">
        <f>AB101-AB100</f>
        <v>-50</v>
      </c>
      <c r="AC104" s="173"/>
      <c r="AD104" s="165">
        <f>AD101-AD100</f>
        <v>-50</v>
      </c>
      <c r="AE104" s="173"/>
      <c r="AF104" s="165" t="e">
        <f>AF101-AF100</f>
        <v>#REF!</v>
      </c>
      <c r="AG104" s="166"/>
      <c r="AH104" s="173"/>
      <c r="AI104" s="165">
        <f>AI101-AI100</f>
        <v>530</v>
      </c>
      <c r="AJ104" s="173"/>
      <c r="AK104" s="165">
        <f>AK101-AK100</f>
        <v>530</v>
      </c>
      <c r="AL104" s="173"/>
      <c r="AM104" s="165">
        <f>AM101-AM100</f>
        <v>-56.147138008781667</v>
      </c>
      <c r="AN104" s="173"/>
      <c r="AO104" s="165">
        <f>AO101-AO100</f>
        <v>-57</v>
      </c>
      <c r="AP104" s="173"/>
      <c r="AQ104" s="165">
        <f>AQ101-AQ100</f>
        <v>-57</v>
      </c>
      <c r="AR104" s="173"/>
      <c r="AS104" s="165">
        <f>AS101-AS100</f>
        <v>-57</v>
      </c>
      <c r="AT104" s="173"/>
      <c r="AU104" s="165">
        <f>AU101-AU100</f>
        <v>530</v>
      </c>
      <c r="AV104" s="166"/>
      <c r="AW104" s="173"/>
      <c r="AX104" s="165">
        <f>AX101-AX100</f>
        <v>530</v>
      </c>
      <c r="AY104" s="166"/>
      <c r="AZ104" s="165">
        <f>AZ101-AZ100</f>
        <v>530</v>
      </c>
      <c r="BA104" s="173"/>
      <c r="BB104" s="165">
        <f>BB101-BB100</f>
        <v>530</v>
      </c>
      <c r="BC104" s="173"/>
      <c r="BD104" s="165">
        <f>BD101-BD100</f>
        <v>530</v>
      </c>
      <c r="BE104" s="173"/>
      <c r="BF104" s="165">
        <f>BF101-BF100</f>
        <v>530</v>
      </c>
      <c r="BG104" s="173"/>
      <c r="BH104" s="165">
        <f>BH101-BH100</f>
        <v>530</v>
      </c>
      <c r="BI104" s="173"/>
      <c r="BJ104" s="165">
        <f>BJ101-BJ100</f>
        <v>530</v>
      </c>
      <c r="BK104" s="173"/>
      <c r="BL104" s="165">
        <f>BL101-BL100</f>
        <v>530</v>
      </c>
      <c r="BM104" s="173"/>
      <c r="BN104" s="165">
        <f>BN101-BN100</f>
        <v>530</v>
      </c>
      <c r="BO104" s="173"/>
      <c r="BP104" s="165">
        <f>BP101-BP100</f>
        <v>530</v>
      </c>
      <c r="BQ104" s="173"/>
      <c r="BR104" s="165">
        <f>BR101-BR100</f>
        <v>530</v>
      </c>
      <c r="BS104" s="173"/>
      <c r="BT104" s="165">
        <f>BT101-BT100</f>
        <v>530</v>
      </c>
      <c r="BU104" s="173"/>
      <c r="BV104" s="165">
        <f>BV101-BV100</f>
        <v>530</v>
      </c>
      <c r="BW104" s="173"/>
      <c r="BX104" s="165">
        <f>BX101-BX100</f>
        <v>530</v>
      </c>
      <c r="BY104" s="173"/>
      <c r="BZ104" s="165">
        <f>BZ101-BZ100</f>
        <v>530</v>
      </c>
      <c r="CA104" s="173"/>
      <c r="CB104" s="165">
        <f>CB101-CB100</f>
        <v>530</v>
      </c>
      <c r="CC104" s="173"/>
      <c r="CD104" s="165">
        <f>CD101-CD100</f>
        <v>530</v>
      </c>
      <c r="CE104" s="173"/>
      <c r="CF104" s="165">
        <f>CF101-CF100</f>
        <v>530</v>
      </c>
      <c r="CG104" s="173"/>
      <c r="CH104" s="165">
        <f>CH101-CH100</f>
        <v>530</v>
      </c>
      <c r="CI104" s="173"/>
      <c r="CJ104" s="165">
        <f>CJ101-CJ100</f>
        <v>-50</v>
      </c>
      <c r="CK104" s="173"/>
      <c r="CL104" s="165">
        <f>CL101-CL100</f>
        <v>-50</v>
      </c>
      <c r="CM104" s="173"/>
      <c r="CN104" s="165">
        <f>CN101-CN100</f>
        <v>-50</v>
      </c>
      <c r="CO104" s="173"/>
      <c r="CP104" s="165">
        <f>CP101-CP100</f>
        <v>-50</v>
      </c>
      <c r="CR104" s="173"/>
      <c r="CS104" s="165">
        <f>CS101-CS100</f>
        <v>400</v>
      </c>
      <c r="CT104" s="173"/>
      <c r="CU104" s="165">
        <f>CU101-CU100</f>
        <v>400</v>
      </c>
      <c r="CV104" s="173"/>
      <c r="CW104" s="165">
        <f>CW101-CW100</f>
        <v>400</v>
      </c>
      <c r="CX104" s="173"/>
      <c r="CY104" s="165">
        <f>CY101-CY100</f>
        <v>-50</v>
      </c>
      <c r="DA104" s="173"/>
      <c r="DB104" s="165">
        <f>DB101-DB100</f>
        <v>400</v>
      </c>
      <c r="DC104" s="173"/>
      <c r="DD104" s="165">
        <f>DD101-DD100</f>
        <v>400</v>
      </c>
      <c r="DE104" s="173"/>
      <c r="DF104" s="165">
        <f>DF101-DF100</f>
        <v>400</v>
      </c>
      <c r="DH104" s="173"/>
      <c r="DI104" s="165">
        <f>DI101-DI100</f>
        <v>400</v>
      </c>
      <c r="DJ104" s="173"/>
      <c r="DK104" s="165">
        <f>DK101-DK100</f>
        <v>400</v>
      </c>
      <c r="DL104" s="173"/>
      <c r="DM104" s="165">
        <f>DM101-DM100</f>
        <v>400</v>
      </c>
      <c r="DO104" s="173"/>
      <c r="DP104" s="165">
        <f>DP101-DP100</f>
        <v>400</v>
      </c>
      <c r="DQ104" s="173"/>
      <c r="DR104" s="165">
        <f>DR101-DR100</f>
        <v>400</v>
      </c>
      <c r="DS104" s="173"/>
      <c r="DT104" s="165">
        <f>DT101-DT100</f>
        <v>400</v>
      </c>
      <c r="DV104" s="173"/>
      <c r="DW104" s="165">
        <f>DW101-DW100</f>
        <v>400</v>
      </c>
      <c r="DX104" s="173"/>
      <c r="DY104" s="165">
        <f>DY101-DY100</f>
        <v>400</v>
      </c>
      <c r="EA104" s="173"/>
      <c r="EB104" s="165">
        <f>EB101-EB100</f>
        <v>400</v>
      </c>
      <c r="ED104" s="173"/>
      <c r="EE104" s="165">
        <f>EE101-EE100</f>
        <v>400</v>
      </c>
      <c r="EG104" s="173"/>
      <c r="EH104" s="165">
        <f>EH101-EH100</f>
        <v>400</v>
      </c>
      <c r="EJ104" s="173"/>
      <c r="EK104" s="165">
        <f>EK101-EK100</f>
        <v>400</v>
      </c>
      <c r="EM104" s="173"/>
      <c r="EN104" s="165">
        <f>EN101-EN100</f>
        <v>400</v>
      </c>
      <c r="EP104" s="173"/>
      <c r="EQ104" s="165">
        <f>EQ101-EQ100</f>
        <v>400</v>
      </c>
      <c r="ER104" s="173"/>
      <c r="ES104" s="165">
        <f>ES101-ES100</f>
        <v>400</v>
      </c>
      <c r="EU104" s="173"/>
      <c r="EV104" s="165">
        <f>EV101-EV100</f>
        <v>400</v>
      </c>
      <c r="EX104" s="173"/>
      <c r="EY104" s="165">
        <f>EY101-EY100</f>
        <v>400</v>
      </c>
      <c r="EZ104" s="173"/>
      <c r="FA104" s="165">
        <f>FA101-FA100</f>
        <v>400</v>
      </c>
      <c r="FB104" s="173"/>
      <c r="FC104" s="165">
        <f>FC101-FC100</f>
        <v>400</v>
      </c>
    </row>
    <row r="105" spans="1:159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65">
        <f>G104/G66</f>
        <v>0.1368801652892562</v>
      </c>
      <c r="H105" s="177"/>
      <c r="I105" s="178">
        <f>I104/I66</f>
        <v>0</v>
      </c>
      <c r="J105" s="177"/>
      <c r="K105" s="178">
        <f>K104/K66</f>
        <v>-1.2779730277321157E-2</v>
      </c>
      <c r="L105" s="177"/>
      <c r="M105" s="178">
        <f>M104/M66</f>
        <v>-1.2913223140495868E-2</v>
      </c>
      <c r="N105" s="177"/>
      <c r="O105" s="178">
        <f>O104/O66</f>
        <v>-1.2913223140495868E-2</v>
      </c>
      <c r="P105" s="177"/>
      <c r="Q105" s="178">
        <f>Q104/Q66</f>
        <v>-1.2913223140495868E-2</v>
      </c>
      <c r="R105" s="175"/>
      <c r="S105" s="177"/>
      <c r="T105" s="178">
        <f>T104/T66</f>
        <v>0.13250000000000001</v>
      </c>
      <c r="U105" s="177"/>
      <c r="V105" s="178">
        <f>V104/V66</f>
        <v>0.13250000000000001</v>
      </c>
      <c r="W105" s="177"/>
      <c r="X105" s="178">
        <f>X104/X66</f>
        <v>-1.2380158754091864E-2</v>
      </c>
      <c r="Y105" s="177"/>
      <c r="Z105" s="178">
        <f>Z104/Z66</f>
        <v>-1.2913223140495868E-2</v>
      </c>
      <c r="AA105" s="177"/>
      <c r="AB105" s="178">
        <f>AB104/AB66</f>
        <v>-1.2913223140495868E-2</v>
      </c>
      <c r="AC105" s="177"/>
      <c r="AD105" s="178">
        <f>AD104/AD66</f>
        <v>-1.2913223140495868E-2</v>
      </c>
      <c r="AE105" s="177"/>
      <c r="AF105" s="178" t="e">
        <f>AF104/AF66</f>
        <v>#REF!</v>
      </c>
      <c r="AG105" s="175"/>
      <c r="AH105" s="177"/>
      <c r="AI105" s="178">
        <f>AI104/AI66</f>
        <v>0.14929577464788732</v>
      </c>
      <c r="AJ105" s="177"/>
      <c r="AK105" s="178">
        <f>AK104/AK66</f>
        <v>0.14929577464788732</v>
      </c>
      <c r="AL105" s="177"/>
      <c r="AM105" s="178">
        <f>AM104/AM66</f>
        <v>-1.5816095213741315E-2</v>
      </c>
      <c r="AN105" s="177"/>
      <c r="AO105" s="178">
        <f>AO104/AO66</f>
        <v>-1.6056338028169016E-2</v>
      </c>
      <c r="AP105" s="177"/>
      <c r="AQ105" s="178">
        <f>AQ104/AQ66</f>
        <v>-1.6056338028169016E-2</v>
      </c>
      <c r="AR105" s="177"/>
      <c r="AS105" s="178">
        <f>AS104/AS66</f>
        <v>-1.6056338028169016E-2</v>
      </c>
      <c r="AT105" s="177"/>
      <c r="AU105" s="178" t="e">
        <f>AU104/AU66</f>
        <v>#REF!</v>
      </c>
      <c r="AV105" s="175"/>
      <c r="AW105" s="177"/>
      <c r="AX105" s="178">
        <f>AX104/AX66</f>
        <v>0.14929577464788732</v>
      </c>
      <c r="AY105" s="175"/>
      <c r="AZ105" s="178">
        <f>AZ104/AZ66</f>
        <v>0.1368801652892562</v>
      </c>
      <c r="BA105" s="177"/>
      <c r="BB105" s="178">
        <f>BB104/BB66</f>
        <v>0.1368801652892562</v>
      </c>
      <c r="BC105" s="177"/>
      <c r="BD105" s="178">
        <f>BD104/BD66</f>
        <v>0.1368801652892562</v>
      </c>
      <c r="BE105" s="177"/>
      <c r="BF105" s="178">
        <f>BF104/BF66</f>
        <v>0.1368801652892562</v>
      </c>
      <c r="BG105" s="177"/>
      <c r="BH105" s="178">
        <f>BH104/BH66</f>
        <v>0.1368801652892562</v>
      </c>
      <c r="BI105" s="177"/>
      <c r="BJ105" s="178">
        <f>BJ104/BJ66</f>
        <v>0.1368801652892562</v>
      </c>
      <c r="BK105" s="177"/>
      <c r="BL105" s="178">
        <f>BL104/BL66</f>
        <v>0.10728744939271255</v>
      </c>
      <c r="BM105" s="177"/>
      <c r="BN105" s="178">
        <f>BN104/BN66</f>
        <v>0.10728744939271255</v>
      </c>
      <c r="BO105" s="177"/>
      <c r="BP105" s="178">
        <f>BP104/BP66</f>
        <v>0.10728744939271255</v>
      </c>
      <c r="BQ105" s="177"/>
      <c r="BR105" s="178">
        <f>BR104/BR66</f>
        <v>0.10728744939271255</v>
      </c>
      <c r="BS105" s="177"/>
      <c r="BT105" s="178">
        <f>BT104/BT66</f>
        <v>0.11041666666666666</v>
      </c>
      <c r="BU105" s="177"/>
      <c r="BV105" s="178">
        <f>BV104/BV66</f>
        <v>0.11041666666666666</v>
      </c>
      <c r="BW105" s="177"/>
      <c r="BX105" s="178">
        <f>BX104/BX66</f>
        <v>0.11041666666666666</v>
      </c>
      <c r="BY105" s="177"/>
      <c r="BZ105" s="178">
        <f>BZ104/BZ66</f>
        <v>0.11041666666666666</v>
      </c>
      <c r="CA105" s="177"/>
      <c r="CB105" s="178">
        <f>CB104/CB66</f>
        <v>0.22083333333333333</v>
      </c>
      <c r="CC105" s="177"/>
      <c r="CD105" s="178">
        <f>CD104/CD66</f>
        <v>0.22083333333333333</v>
      </c>
      <c r="CE105" s="177"/>
      <c r="CF105" s="178">
        <f>CF104/CF66</f>
        <v>0.22083333333333333</v>
      </c>
      <c r="CG105" s="177"/>
      <c r="CH105" s="178">
        <f>CH104/CH66</f>
        <v>0.22083333333333333</v>
      </c>
      <c r="CI105" s="177"/>
      <c r="CJ105" s="178">
        <f>CJ104/CJ66</f>
        <v>-1.2345679012345678E-2</v>
      </c>
      <c r="CK105" s="177"/>
      <c r="CL105" s="178">
        <f>CL104/CL66</f>
        <v>-1.1904761904761904E-2</v>
      </c>
      <c r="CM105" s="177"/>
      <c r="CN105" s="178">
        <f>CN104/CN66</f>
        <v>-1.1904761904761904E-2</v>
      </c>
      <c r="CO105" s="177"/>
      <c r="CP105" s="178">
        <f>CP104/CP66</f>
        <v>-1.0416666666666666E-2</v>
      </c>
      <c r="CR105" s="177"/>
      <c r="CS105" s="178">
        <f>CS104/CS66</f>
        <v>9.8765432098765427E-2</v>
      </c>
      <c r="CT105" s="177"/>
      <c r="CU105" s="178">
        <f>CU104/CU66</f>
        <v>9.5238095238095233E-2</v>
      </c>
      <c r="CV105" s="177"/>
      <c r="CW105" s="178">
        <f>CW104/CW66</f>
        <v>9.5238095238095233E-2</v>
      </c>
      <c r="CX105" s="177"/>
      <c r="CY105" s="178">
        <f>CY104/CY66</f>
        <v>-1.0416666666666666E-2</v>
      </c>
      <c r="DA105" s="177"/>
      <c r="DB105" s="178">
        <f>DB104/DB66</f>
        <v>9.8765432098765427E-2</v>
      </c>
      <c r="DC105" s="177"/>
      <c r="DD105" s="178">
        <f>DD104/DD66</f>
        <v>9.5238095238095233E-2</v>
      </c>
      <c r="DE105" s="177"/>
      <c r="DF105" s="178">
        <f>DF104/DF66</f>
        <v>9.5238095238095233E-2</v>
      </c>
      <c r="DH105" s="177"/>
      <c r="DI105" s="178">
        <f>DI104/DI66</f>
        <v>0.10330578512396695</v>
      </c>
      <c r="DJ105" s="177"/>
      <c r="DK105" s="178">
        <f>DK104/DK66</f>
        <v>9.7087378640776698E-2</v>
      </c>
      <c r="DL105" s="177"/>
      <c r="DM105" s="178">
        <f>DM104/DM66</f>
        <v>0.10330578512396695</v>
      </c>
      <c r="DO105" s="177"/>
      <c r="DP105" s="178">
        <f>DP104/DP66</f>
        <v>0.10330578512396695</v>
      </c>
      <c r="DQ105" s="177"/>
      <c r="DR105" s="178">
        <f>DR104/DR66</f>
        <v>9.7087378640776698E-2</v>
      </c>
      <c r="DS105" s="177"/>
      <c r="DT105" s="178">
        <f>DT104/DT66</f>
        <v>0.10330578512396695</v>
      </c>
      <c r="DV105" s="177"/>
      <c r="DW105" s="178">
        <f>DW104/DW66</f>
        <v>0.10330578512396695</v>
      </c>
      <c r="DX105" s="177"/>
      <c r="DY105" s="178">
        <f>DY104/DY66</f>
        <v>9.7087378640776698E-2</v>
      </c>
      <c r="EA105" s="177"/>
      <c r="EB105" s="178">
        <f>EB104/EB66</f>
        <v>0.10330578512396695</v>
      </c>
      <c r="ED105" s="177"/>
      <c r="EE105" s="178">
        <f>EE104/EE66</f>
        <v>9.7087378640776698E-2</v>
      </c>
      <c r="EG105" s="177"/>
      <c r="EH105" s="178">
        <f>EH104/EH66</f>
        <v>9.7087378640776698E-2</v>
      </c>
      <c r="EJ105" s="177"/>
      <c r="EK105" s="178">
        <f>EK104/EK66</f>
        <v>0.10330578512396695</v>
      </c>
      <c r="EM105" s="177"/>
      <c r="EN105" s="178">
        <f>EN104/EN66</f>
        <v>9.7087378640776698E-2</v>
      </c>
      <c r="EP105" s="177"/>
      <c r="EQ105" s="178">
        <f>EQ104/EQ66</f>
        <v>9.7087378640776698E-2</v>
      </c>
      <c r="ER105" s="177"/>
      <c r="ES105" s="178">
        <f>ES104/ES66</f>
        <v>0.10330578512396695</v>
      </c>
      <c r="ET105" s="4"/>
      <c r="EU105" s="177"/>
      <c r="EV105" s="178">
        <f>EV104/EV66</f>
        <v>9.7087378640776698E-2</v>
      </c>
      <c r="EX105" s="177"/>
      <c r="EY105" s="178">
        <f>EY104/EY66</f>
        <v>0.10330578512396695</v>
      </c>
      <c r="EZ105" s="177"/>
      <c r="FA105" s="178">
        <f>FA104/FA66</f>
        <v>9.7087378640776698E-2</v>
      </c>
      <c r="FB105" s="177"/>
      <c r="FC105" s="178">
        <f>FC104/FC66</f>
        <v>0.10330578512396695</v>
      </c>
    </row>
    <row r="106" spans="1:159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0.10330578512396695</v>
      </c>
      <c r="H106" s="177"/>
      <c r="I106" s="178">
        <f>(I101-I102)/I66</f>
        <v>0.10330578512396695</v>
      </c>
      <c r="J106" s="177"/>
      <c r="K106" s="178">
        <f>(K101-K102)/K66</f>
        <v>0.10330578512396695</v>
      </c>
      <c r="L106" s="177"/>
      <c r="M106" s="178">
        <f>(M101-M102)/M66</f>
        <v>0.10330578512396695</v>
      </c>
      <c r="N106" s="177"/>
      <c r="O106" s="178">
        <f>(O101-O102)/O66</f>
        <v>0.10330578512396695</v>
      </c>
      <c r="P106" s="177"/>
      <c r="Q106" s="178">
        <f>(Q101-Q102)/Q66</f>
        <v>0.10330578512396695</v>
      </c>
      <c r="R106" s="175"/>
      <c r="S106" s="177"/>
      <c r="T106" s="178">
        <f>(T101-T102)/T66</f>
        <v>0.1</v>
      </c>
      <c r="U106" s="177"/>
      <c r="V106" s="178">
        <f>(V101-V102)/V66</f>
        <v>0.1</v>
      </c>
      <c r="W106" s="177"/>
      <c r="X106" s="178">
        <f>(X101-X102)/X66</f>
        <v>0.10330578512396695</v>
      </c>
      <c r="Y106" s="177"/>
      <c r="Z106" s="178">
        <f>(Z101-Z102)/Z66</f>
        <v>0.10330578512396695</v>
      </c>
      <c r="AA106" s="177"/>
      <c r="AB106" s="178">
        <f>(AB101-AB102)/AB66</f>
        <v>0.10330578512396695</v>
      </c>
      <c r="AC106" s="177"/>
      <c r="AD106" s="178">
        <f>(AD101-AD102)/AD66</f>
        <v>0.10330578512396695</v>
      </c>
      <c r="AE106" s="177"/>
      <c r="AF106" s="178" t="e">
        <f>(AF101-AF102)/AF66</f>
        <v>#REF!</v>
      </c>
      <c r="AG106" s="175"/>
      <c r="AH106" s="177"/>
      <c r="AI106" s="178">
        <f>(AI101-AI102)/AI66</f>
        <v>0.11267605633802817</v>
      </c>
      <c r="AJ106" s="177"/>
      <c r="AK106" s="178">
        <f>(AK101-AK102)/AK66</f>
        <v>0.11267605633802817</v>
      </c>
      <c r="AL106" s="177"/>
      <c r="AM106" s="178">
        <f>(AM101-AM102)/AM66</f>
        <v>0.11267605633802817</v>
      </c>
      <c r="AN106" s="177"/>
      <c r="AO106" s="178">
        <f>(AO101-AO102)/AO66</f>
        <v>0.11267605633802817</v>
      </c>
      <c r="AP106" s="177"/>
      <c r="AQ106" s="178">
        <f>(AQ101-AQ102)/AQ66</f>
        <v>0.11267605633802817</v>
      </c>
      <c r="AR106" s="177"/>
      <c r="AS106" s="178">
        <f>(AS101-AS102)/AS66</f>
        <v>0.11267605633802817</v>
      </c>
      <c r="AT106" s="177"/>
      <c r="AU106" s="178" t="e">
        <f>(AU101-AU102)/AU66</f>
        <v>#REF!</v>
      </c>
      <c r="AV106" s="175"/>
      <c r="AW106" s="177"/>
      <c r="AX106" s="178">
        <f>(AX101-AX102)/AX66</f>
        <v>0.11267605633802817</v>
      </c>
      <c r="AY106" s="175"/>
      <c r="AZ106" s="178">
        <f>(AZ101-AZ102)/AZ66</f>
        <v>0.10330578512396695</v>
      </c>
      <c r="BA106" s="177"/>
      <c r="BB106" s="178">
        <f>(BB101-BB102)/BB66</f>
        <v>0.10330578512396695</v>
      </c>
      <c r="BC106" s="177"/>
      <c r="BD106" s="178">
        <f>(BD101-BD102)/BD66</f>
        <v>0.10330578512396695</v>
      </c>
      <c r="BE106" s="177"/>
      <c r="BF106" s="178">
        <f>(BF101-BF102)/BF66</f>
        <v>0.10330578512396695</v>
      </c>
      <c r="BG106" s="177"/>
      <c r="BH106" s="178">
        <f>(BH101-BH102)/BH66</f>
        <v>0.10330578512396695</v>
      </c>
      <c r="BI106" s="177"/>
      <c r="BJ106" s="178">
        <f>(BJ101-BJ102)/BJ66</f>
        <v>0.10330578512396695</v>
      </c>
      <c r="BK106" s="177"/>
      <c r="BL106" s="178">
        <f>(BL101-BL102)/BL66</f>
        <v>8.0971659919028341E-2</v>
      </c>
      <c r="BM106" s="177"/>
      <c r="BN106" s="178">
        <f>(BN101-BN102)/BN66</f>
        <v>8.0971659919028341E-2</v>
      </c>
      <c r="BO106" s="177"/>
      <c r="BP106" s="178">
        <f>(BP101-BP102)/BP66</f>
        <v>8.0971659919028341E-2</v>
      </c>
      <c r="BQ106" s="177"/>
      <c r="BR106" s="178">
        <f>(BR101-BR102)/BR66</f>
        <v>8.0971659919028341E-2</v>
      </c>
      <c r="BS106" s="177"/>
      <c r="BT106" s="178">
        <f>(BT101-BT102)/BT66</f>
        <v>8.3333333333333329E-2</v>
      </c>
      <c r="BU106" s="177"/>
      <c r="BV106" s="178">
        <f>(BV101-BV102)/BV66</f>
        <v>8.3333333333333329E-2</v>
      </c>
      <c r="BW106" s="177"/>
      <c r="BX106" s="178">
        <f>(BX101-BX102)/BX66</f>
        <v>8.3333333333333329E-2</v>
      </c>
      <c r="BY106" s="177"/>
      <c r="BZ106" s="178">
        <f>(BZ101-BZ102)/BZ66</f>
        <v>8.3333333333333329E-2</v>
      </c>
      <c r="CA106" s="177"/>
      <c r="CB106" s="178">
        <f>(CB101-CB102)/CB66</f>
        <v>0.16666666666666666</v>
      </c>
      <c r="CC106" s="177"/>
      <c r="CD106" s="178">
        <f>(CD101-CD102)/CD66</f>
        <v>0.16666666666666666</v>
      </c>
      <c r="CE106" s="177"/>
      <c r="CF106" s="178">
        <f>(CF101-CF102)/CF66</f>
        <v>0.16666666666666666</v>
      </c>
      <c r="CG106" s="177"/>
      <c r="CH106" s="178">
        <f>(CH101-CH102)/CH66</f>
        <v>0.16666666666666666</v>
      </c>
      <c r="CI106" s="177"/>
      <c r="CJ106" s="178">
        <f>(CJ101-CJ102)/CJ66</f>
        <v>9.8765432098765427E-2</v>
      </c>
      <c r="CK106" s="177"/>
      <c r="CL106" s="178">
        <f>(CL101-CL102)/CL66</f>
        <v>9.5238095238095233E-2</v>
      </c>
      <c r="CM106" s="177"/>
      <c r="CN106" s="178">
        <f>(CN101-CN102)/CN66</f>
        <v>9.5238095238095233E-2</v>
      </c>
      <c r="CO106" s="177"/>
      <c r="CP106" s="178">
        <f>(CP101-CP102)/CP66</f>
        <v>8.3333333333333329E-2</v>
      </c>
      <c r="CR106" s="177"/>
      <c r="CS106" s="178">
        <f>(CS101-CS102)/CS66</f>
        <v>9.8765432098765427E-2</v>
      </c>
      <c r="CT106" s="177"/>
      <c r="CU106" s="178">
        <f>(CU101-CU102)/CU66</f>
        <v>9.5238095238095233E-2</v>
      </c>
      <c r="CV106" s="177"/>
      <c r="CW106" s="178">
        <f>(CW101-CW102)/CW66</f>
        <v>9.5238095238095233E-2</v>
      </c>
      <c r="CX106" s="177"/>
      <c r="CY106" s="178">
        <f>(CY101-CY102)/CY66</f>
        <v>8.3333333333333329E-2</v>
      </c>
      <c r="DA106" s="177"/>
      <c r="DB106" s="178">
        <f>(DB101-DB102)/DB66</f>
        <v>9.8765432098765427E-2</v>
      </c>
      <c r="DC106" s="177"/>
      <c r="DD106" s="178">
        <f>(DD101-DD102)/DD66</f>
        <v>9.5238095238095233E-2</v>
      </c>
      <c r="DE106" s="177"/>
      <c r="DF106" s="178">
        <f>(DF101-DF102)/DF66</f>
        <v>9.5238095238095233E-2</v>
      </c>
      <c r="DH106" s="177"/>
      <c r="DI106" s="178">
        <f>(DI101-DI102)/DI66</f>
        <v>0.10330578512396695</v>
      </c>
      <c r="DJ106" s="177"/>
      <c r="DK106" s="178">
        <f>(DK101-DK102)/DK66</f>
        <v>9.7087378640776698E-2</v>
      </c>
      <c r="DL106" s="177"/>
      <c r="DM106" s="178">
        <f>(DM101-DM102)/DM66</f>
        <v>0.10330578512396695</v>
      </c>
      <c r="DO106" s="177"/>
      <c r="DP106" s="178">
        <f>(DP101-DP102)/DP66</f>
        <v>0.10330578512396695</v>
      </c>
      <c r="DQ106" s="177"/>
      <c r="DR106" s="178">
        <f>(DR101-DR102)/DR66</f>
        <v>9.7087378640776698E-2</v>
      </c>
      <c r="DS106" s="177"/>
      <c r="DT106" s="178">
        <f>(DT101-DT102)/DT66</f>
        <v>0.10330578512396695</v>
      </c>
      <c r="DV106" s="177"/>
      <c r="DW106" s="178">
        <f>(DW101-DW102)/DW66</f>
        <v>0.10330578512396695</v>
      </c>
      <c r="DX106" s="177"/>
      <c r="DY106" s="178">
        <f>(DY101-DY102)/DY66</f>
        <v>9.7087378640776698E-2</v>
      </c>
      <c r="EA106" s="177"/>
      <c r="EB106" s="178">
        <f>(EB101-EB102)/EB66</f>
        <v>0.10330578512396695</v>
      </c>
      <c r="ED106" s="177"/>
      <c r="EE106" s="178">
        <f>(EE101-EE102)/EE66</f>
        <v>9.7087378640776698E-2</v>
      </c>
      <c r="EG106" s="177"/>
      <c r="EH106" s="178">
        <f>(EH101-EH102)/EH66</f>
        <v>9.7087378640776698E-2</v>
      </c>
      <c r="EJ106" s="177"/>
      <c r="EK106" s="178">
        <f>(EK101-EK102)/EK66</f>
        <v>0.10330578512396695</v>
      </c>
      <c r="EM106" s="177"/>
      <c r="EN106" s="178">
        <f>(EN101-EN102)/EN66</f>
        <v>9.7087378640776698E-2</v>
      </c>
      <c r="EP106" s="177"/>
      <c r="EQ106" s="178">
        <f>(EQ101-EQ102)/EQ66</f>
        <v>9.7087378640776698E-2</v>
      </c>
      <c r="ER106" s="177"/>
      <c r="ES106" s="178">
        <f>(ES101-ES102)/ES66</f>
        <v>0.10330578512396695</v>
      </c>
      <c r="ET106" s="4"/>
      <c r="EU106" s="177"/>
      <c r="EV106" s="178">
        <f>(EV101-EV102)/EV66</f>
        <v>9.7087378640776698E-2</v>
      </c>
      <c r="EX106" s="177"/>
      <c r="EY106" s="178">
        <f>(EY101-EY102)/EY66</f>
        <v>0.10330578512396695</v>
      </c>
      <c r="EZ106" s="177"/>
      <c r="FA106" s="178">
        <f>(FA101-FA102)/FA66</f>
        <v>9.7087378640776698E-2</v>
      </c>
      <c r="FB106" s="177"/>
      <c r="FC106" s="178">
        <f>(FC101-FC102)/FC66</f>
        <v>0.10330578512396695</v>
      </c>
    </row>
    <row r="107" spans="1:159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2"/>
      <c r="S107" s="180"/>
      <c r="T107" s="181"/>
      <c r="U107" s="180"/>
      <c r="V107" s="181"/>
      <c r="W107" s="180"/>
      <c r="X107" s="181"/>
      <c r="Y107" s="180"/>
      <c r="Z107" s="181"/>
      <c r="AA107" s="180"/>
      <c r="AB107" s="181"/>
      <c r="AC107" s="180"/>
      <c r="AD107" s="181"/>
      <c r="AE107" s="180"/>
      <c r="AF107" s="181"/>
      <c r="AG107" s="182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2"/>
      <c r="AW107" s="180"/>
      <c r="AX107" s="181"/>
      <c r="AY107" s="182"/>
      <c r="AZ107" s="181"/>
      <c r="BA107" s="180"/>
      <c r="BB107" s="181"/>
      <c r="BC107" s="180"/>
      <c r="BD107" s="181"/>
      <c r="BE107" s="180"/>
      <c r="BF107" s="181"/>
      <c r="BG107" s="180"/>
      <c r="BH107" s="181"/>
      <c r="BI107" s="180"/>
      <c r="BJ107" s="181"/>
      <c r="BK107" s="180"/>
      <c r="BL107" s="181"/>
      <c r="BM107" s="180"/>
      <c r="BN107" s="181"/>
      <c r="BO107" s="180"/>
      <c r="BP107" s="181"/>
      <c r="BQ107" s="180"/>
      <c r="BR107" s="181"/>
      <c r="BS107" s="180"/>
      <c r="BT107" s="181"/>
      <c r="BU107" s="180"/>
      <c r="BV107" s="181"/>
      <c r="BW107" s="180"/>
      <c r="BX107" s="181"/>
      <c r="BY107" s="180"/>
      <c r="BZ107" s="181"/>
      <c r="CA107" s="180"/>
      <c r="CB107" s="181"/>
      <c r="CC107" s="180"/>
      <c r="CD107" s="181"/>
      <c r="CE107" s="180"/>
      <c r="CF107" s="181"/>
      <c r="CG107" s="180"/>
      <c r="CH107" s="181"/>
      <c r="CI107" s="180"/>
      <c r="CJ107" s="181"/>
      <c r="CK107" s="180"/>
      <c r="CL107" s="181"/>
      <c r="CM107" s="180"/>
      <c r="CN107" s="181"/>
      <c r="CO107" s="180"/>
      <c r="CP107" s="181"/>
      <c r="CR107" s="180"/>
      <c r="CS107" s="181"/>
      <c r="CT107" s="180"/>
      <c r="CU107" s="181"/>
      <c r="CV107" s="180"/>
      <c r="CW107" s="181"/>
      <c r="CX107" s="180"/>
      <c r="CY107" s="181"/>
      <c r="DA107" s="180"/>
      <c r="DB107" s="181"/>
      <c r="DC107" s="180"/>
      <c r="DD107" s="181"/>
      <c r="DE107" s="180"/>
      <c r="DF107" s="181"/>
      <c r="DH107" s="180"/>
      <c r="DI107" s="181"/>
      <c r="DJ107" s="180"/>
      <c r="DK107" s="181"/>
      <c r="DL107" s="180"/>
      <c r="DM107" s="181"/>
      <c r="DO107" s="180"/>
      <c r="DP107" s="181"/>
      <c r="DQ107" s="180"/>
      <c r="DR107" s="181"/>
      <c r="DS107" s="180"/>
      <c r="DT107" s="181"/>
      <c r="DV107" s="180"/>
      <c r="DW107" s="181"/>
      <c r="DX107" s="180"/>
      <c r="DY107" s="181"/>
      <c r="EA107" s="180"/>
      <c r="EB107" s="181"/>
      <c r="ED107" s="180"/>
      <c r="EE107" s="181"/>
      <c r="EG107" s="180"/>
      <c r="EH107" s="181"/>
      <c r="EJ107" s="180"/>
      <c r="EK107" s="181"/>
      <c r="EM107" s="180"/>
      <c r="EN107" s="181"/>
      <c r="EP107" s="180"/>
      <c r="EQ107" s="181"/>
      <c r="ER107" s="180"/>
      <c r="ES107" s="181"/>
      <c r="EU107" s="180"/>
      <c r="EV107" s="181"/>
      <c r="EX107" s="180"/>
      <c r="EY107" s="181"/>
      <c r="EZ107" s="180"/>
      <c r="FA107" s="181"/>
      <c r="FB107" s="180"/>
      <c r="FC107" s="181"/>
    </row>
    <row r="108" spans="1:159" s="4" customFormat="1" ht="18" customHeight="1" outlineLevel="3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2.0078136671852294</v>
      </c>
      <c r="H108" s="186"/>
      <c r="I108" s="187">
        <f>I60-(I101/I66)-I74</f>
        <v>1.7701627477768795</v>
      </c>
      <c r="J108" s="186"/>
      <c r="K108" s="187">
        <f>K60-(K101/K66)-K74</f>
        <v>1.8821642191419778</v>
      </c>
      <c r="L108" s="186"/>
      <c r="M108" s="187">
        <f>M60-(M101/M66)-M74</f>
        <v>1.9365555819595235</v>
      </c>
      <c r="N108" s="186"/>
      <c r="O108" s="187">
        <f>O60-(O101/O66)-O74</f>
        <v>2.0195798898071633</v>
      </c>
      <c r="P108" s="186"/>
      <c r="Q108" s="187">
        <f>Q60-(Q101/Q66)-Q74</f>
        <v>2.1187808367768608</v>
      </c>
      <c r="R108" s="653"/>
      <c r="S108" s="186"/>
      <c r="T108" s="187">
        <f>T60-(T101/T66)-T74</f>
        <v>1.6124999999999998</v>
      </c>
      <c r="U108" s="186"/>
      <c r="V108" s="187">
        <f>V60-(V101/V66)-V74</f>
        <v>1.3335637421501785</v>
      </c>
      <c r="W108" s="186"/>
      <c r="X108" s="187">
        <f>X60-(X101/X66)-X74</f>
        <v>1.4510636339567231</v>
      </c>
      <c r="Y108" s="186"/>
      <c r="Z108" s="187">
        <f>Z60-(Z101/Z66)-Z74</f>
        <v>1.5810341954421743</v>
      </c>
      <c r="AA108" s="186"/>
      <c r="AB108" s="187">
        <f>AB60-(AB101/AB66)-AB74</f>
        <v>1.6195798898071629</v>
      </c>
      <c r="AC108" s="186"/>
      <c r="AD108" s="187">
        <f>AD60-(AD101/AD66)-AD74</f>
        <v>1.4862465564738301</v>
      </c>
      <c r="AE108" s="186"/>
      <c r="AF108" s="187" t="e">
        <f>AF60-(AF101/AF66)-AF74</f>
        <v>#REF!</v>
      </c>
      <c r="AG108" s="653"/>
      <c r="AH108" s="186"/>
      <c r="AI108" s="187">
        <f>AI60-(AI101/AI66)-AI74</f>
        <v>0.85167773072365183</v>
      </c>
      <c r="AJ108" s="186"/>
      <c r="AK108" s="187">
        <f>AK60-(AK101/AK66)-AK74</f>
        <v>0.63409407719430089</v>
      </c>
      <c r="AL108" s="186"/>
      <c r="AM108" s="187">
        <f>AM60-(AM101/AM66)-AM74</f>
        <v>0.64561809857002928</v>
      </c>
      <c r="AN108" s="186"/>
      <c r="AO108" s="187">
        <f>AO60-(AO101/AO66)-AO74</f>
        <v>0.66053025100690377</v>
      </c>
      <c r="AP108" s="186"/>
      <c r="AQ108" s="187">
        <f>AQ60-(AQ101/AQ66)-AQ74</f>
        <v>1.1927230046948356</v>
      </c>
      <c r="AR108" s="186"/>
      <c r="AS108" s="187">
        <f>AS60-(AS101/AS66)-AS74</f>
        <v>0.85822146789829912</v>
      </c>
      <c r="AT108" s="186"/>
      <c r="AU108" s="187" t="e">
        <f>AU60-(AU101/AU66)-AU74</f>
        <v>#REF!</v>
      </c>
      <c r="AV108" s="653"/>
      <c r="AW108" s="186"/>
      <c r="AX108" s="187">
        <f>AX60-(AX101/AX66)-AX74</f>
        <v>0.73355877316225815</v>
      </c>
      <c r="AY108" s="188"/>
      <c r="AZ108" s="187">
        <f>AZ60-(AZ101/AZ66)-AZ74</f>
        <v>1.6249240222346555</v>
      </c>
      <c r="BA108" s="186"/>
      <c r="BB108" s="187">
        <f>BB60-(BB101/BB66)-BB74</f>
        <v>1.8735145275105269</v>
      </c>
      <c r="BC108" s="186"/>
      <c r="BD108" s="187">
        <f>BD60-(BD101/BD66)-BD74</f>
        <v>1.9648859743451714</v>
      </c>
      <c r="BE108" s="186"/>
      <c r="BF108" s="187">
        <f>BF60-(BF101/BF66)-BF74</f>
        <v>1.8733145609331388</v>
      </c>
      <c r="BG108" s="186"/>
      <c r="BH108" s="187">
        <f>BH60-(BH101/BH66)-BH74</f>
        <v>1.7011541690864425</v>
      </c>
      <c r="BI108" s="186"/>
      <c r="BJ108" s="187">
        <f>BJ60-(BJ101/BJ66)-BJ74</f>
        <v>1.5660190339513074</v>
      </c>
      <c r="BK108" s="186"/>
      <c r="BL108" s="187">
        <f>BL60-(BL101/BL66)-BL74</f>
        <v>1.9311840297778105</v>
      </c>
      <c r="BM108" s="186"/>
      <c r="BN108" s="187">
        <f>BN60-(BN101/BN66)-BN74</f>
        <v>1.8603025575324237</v>
      </c>
      <c r="BO108" s="186"/>
      <c r="BP108" s="187">
        <f>BP60-(BP101/BP66)-BP74</f>
        <v>1.7739052412736629</v>
      </c>
      <c r="BQ108" s="186"/>
      <c r="BR108" s="187">
        <f>BR60-(BR101/BR66)-BR74</f>
        <v>1.9795173898949558</v>
      </c>
      <c r="BS108" s="186"/>
      <c r="BT108" s="187">
        <f>BT60-(BT101/BT66)-BT74</f>
        <v>1.341049339498626</v>
      </c>
      <c r="BU108" s="186"/>
      <c r="BV108" s="187">
        <f>BV60-(BV101/BV66)-BV74</f>
        <v>1.2916058442288243</v>
      </c>
      <c r="BW108" s="186"/>
      <c r="BX108" s="187">
        <f>BX60-(BX101/BX66)-BX74</f>
        <v>1.221497747747748</v>
      </c>
      <c r="BY108" s="186"/>
      <c r="BZ108" s="187">
        <f>BZ60-(BZ101/BZ66)-BZ74</f>
        <v>1.3126691666666668</v>
      </c>
      <c r="CA108" s="186"/>
      <c r="CB108" s="187">
        <f>CB60-(CB101/CB66)-CB74</f>
        <v>1.830771921347937</v>
      </c>
      <c r="CC108" s="186"/>
      <c r="CD108" s="187">
        <f>CD60-(CD101/CD66)-CD74</f>
        <v>2.1298977006769788</v>
      </c>
      <c r="CE108" s="186"/>
      <c r="CF108" s="187">
        <f>CF60-(CF101/CF66)-CF74</f>
        <v>2.0167792792792785</v>
      </c>
      <c r="CG108" s="186"/>
      <c r="CH108" s="187">
        <f>CH60-(CH101/CH66)-CH74</f>
        <v>1.8566358671171175</v>
      </c>
      <c r="CI108" s="186"/>
      <c r="CJ108" s="187">
        <f>CJ60-(CJ101/CJ66)-CJ74</f>
        <v>2.6460493827160487</v>
      </c>
      <c r="CK108" s="186"/>
      <c r="CL108" s="187">
        <f>CL60-(CL101/CL66)-CL74</f>
        <v>5.7761904761904761</v>
      </c>
      <c r="CM108" s="186"/>
      <c r="CN108" s="187">
        <f>CN60-(CN101/CN66)-CN74</f>
        <v>3.2861904761904759</v>
      </c>
      <c r="CO108" s="186"/>
      <c r="CP108" s="187">
        <f>CP60-(CP101/CP66)-CP74</f>
        <v>1.9017256666666666</v>
      </c>
      <c r="CR108" s="186"/>
      <c r="CS108" s="187">
        <f>CS60-(CS101/CS66)-CS74</f>
        <v>2.6260493827160487</v>
      </c>
      <c r="CT108" s="186"/>
      <c r="CU108" s="187">
        <f>CU60-(CU101/CU66)-CU74</f>
        <v>3.0890476190476188</v>
      </c>
      <c r="CV108" s="186"/>
      <c r="CW108" s="187">
        <f>CW60-(CW101/CW66)-CW74</f>
        <v>3.269047619047619</v>
      </c>
      <c r="CX108" s="186"/>
      <c r="CY108" s="187">
        <f>CY60-(CY101/CY66)-CY74</f>
        <v>1.9325115386645764</v>
      </c>
      <c r="DA108" s="186"/>
      <c r="DB108" s="187">
        <f>DB60-(DB101/DB66)-DB74</f>
        <v>2.686929890713329</v>
      </c>
      <c r="DC108" s="186"/>
      <c r="DD108" s="187">
        <f>DD60-(DD101/DD66)-DD74</f>
        <v>2.9013184396267988</v>
      </c>
      <c r="DE108" s="186"/>
      <c r="DF108" s="187">
        <f>DF60-(DF101/DF66)-DF74</f>
        <v>3.314463257023669</v>
      </c>
      <c r="DH108" s="186"/>
      <c r="DI108" s="187">
        <f>DI60-(DI101/DI66)-DI74</f>
        <v>2.5551736504070597</v>
      </c>
      <c r="DJ108" s="186"/>
      <c r="DK108" s="187">
        <f>DK60-(DK101/DK66)-DK74</f>
        <v>2.8840448328853427</v>
      </c>
      <c r="DL108" s="186"/>
      <c r="DM108" s="187">
        <f>DM60-(DM101/DM66)-DM74</f>
        <v>3.2380128238122712</v>
      </c>
      <c r="DO108" s="186"/>
      <c r="DP108" s="187">
        <f>DP60-(DP101/DP66)-DP74</f>
        <v>2.4800398022531058</v>
      </c>
      <c r="DQ108" s="186"/>
      <c r="DR108" s="187">
        <f>DR60-(DR101/DR66)-DR74</f>
        <v>2.8906084152577001</v>
      </c>
      <c r="DS108" s="186"/>
      <c r="DT108" s="187">
        <f>DT60-(DT101/DT66)-DT74</f>
        <v>3.1042038682361643</v>
      </c>
      <c r="DV108" s="186"/>
      <c r="DW108" s="187">
        <f>DW60-(DW101/DW66)-DW74</f>
        <v>2.4819502310602859</v>
      </c>
      <c r="DX108" s="186"/>
      <c r="DY108" s="187">
        <f>DY60-(DY101/DY66)-DY74</f>
        <v>2.3731452948730727</v>
      </c>
      <c r="EA108" s="186"/>
      <c r="EB108" s="187">
        <f>EB60-(EB101/EB66)-EB74</f>
        <v>2.5117586919412687</v>
      </c>
      <c r="ED108" s="186"/>
      <c r="EE108" s="187">
        <f>EE60-(EE101/EE66)-EE74</f>
        <v>2.7663664517295405</v>
      </c>
      <c r="EG108" s="186"/>
      <c r="EH108" s="187">
        <f>EH60-(EH101/EH66)-EH74</f>
        <v>2.7331012115765461</v>
      </c>
      <c r="EJ108" s="186"/>
      <c r="EK108" s="187">
        <f>EK60-(EK101/EK66)-EK74</f>
        <v>2.461823648425816</v>
      </c>
      <c r="EM108" s="186"/>
      <c r="EN108" s="187">
        <f>EN60-(EN101/EN66)-EN74</f>
        <v>2.6738350798309831</v>
      </c>
      <c r="EP108" s="186"/>
      <c r="EQ108" s="187">
        <f>EQ60-(EQ101/EQ66)-EQ74</f>
        <v>2.9841834672322283</v>
      </c>
      <c r="ER108" s="186"/>
      <c r="ES108" s="187">
        <f>ES60-(ES101/ES66)-ES74</f>
        <v>2.5296584709997458</v>
      </c>
      <c r="EU108" s="186"/>
      <c r="EV108" s="187">
        <f>EV60-(EV101/EV66)-EV74</f>
        <v>2.6539106772427332</v>
      </c>
      <c r="EX108" s="186"/>
      <c r="EY108" s="187">
        <f>EY60-(EY101/EY66)-EY74</f>
        <v>2.4866529006585907</v>
      </c>
      <c r="EZ108" s="186"/>
      <c r="FA108" s="187">
        <f>FA60-(FA101/FA66)-FA74</f>
        <v>2.6416970453223563</v>
      </c>
      <c r="FB108" s="186"/>
      <c r="FC108" s="187">
        <f>FC60-(FC101/FC66)-FC74</f>
        <v>3.0698787071102038</v>
      </c>
    </row>
    <row r="109" spans="1:159" s="4" customFormat="1" ht="18" customHeight="1" outlineLevel="3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0.36909180558230509</v>
      </c>
      <c r="H109" s="192"/>
      <c r="I109" s="193">
        <f>I108/I67</f>
        <v>0.33380428571250842</v>
      </c>
      <c r="J109" s="192"/>
      <c r="K109" s="193">
        <f>K108/K67</f>
        <v>0.32829308900936804</v>
      </c>
      <c r="L109" s="192"/>
      <c r="M109" s="193">
        <f>M108/M67</f>
        <v>0.33737902124730373</v>
      </c>
      <c r="N109" s="192"/>
      <c r="O109" s="193">
        <f>O108/O67</f>
        <v>0.35184318637755457</v>
      </c>
      <c r="P109" s="192"/>
      <c r="Q109" s="193">
        <f>Q108/Q67</f>
        <v>0.36912558132001055</v>
      </c>
      <c r="R109" s="654"/>
      <c r="S109" s="192"/>
      <c r="T109" s="193">
        <f>T108/T67</f>
        <v>0.29655172413793102</v>
      </c>
      <c r="U109" s="192"/>
      <c r="V109" s="193">
        <f>V108/V67</f>
        <v>0.25102376322826891</v>
      </c>
      <c r="W109" s="192"/>
      <c r="X109" s="193">
        <f>X108/X67</f>
        <v>0.25332163443859806</v>
      </c>
      <c r="Y109" s="192"/>
      <c r="Z109" s="193">
        <f>Z108/Z67</f>
        <v>0.27544149746379343</v>
      </c>
      <c r="AA109" s="192"/>
      <c r="AB109" s="193">
        <f>AB108/AB67</f>
        <v>0.28215677522772875</v>
      </c>
      <c r="AC109" s="192"/>
      <c r="AD109" s="193">
        <f>AD108/AD67</f>
        <v>0.25892797151112024</v>
      </c>
      <c r="AE109" s="192"/>
      <c r="AF109" s="193" t="e">
        <f>AF108/AF67</f>
        <v>#REF!</v>
      </c>
      <c r="AG109" s="654"/>
      <c r="AH109" s="192"/>
      <c r="AI109" s="193">
        <f>AI108/AI67</f>
        <v>0.15780041461737809</v>
      </c>
      <c r="AJ109" s="192"/>
      <c r="AK109" s="193">
        <f>AK108/AK67</f>
        <v>0.12018334084568971</v>
      </c>
      <c r="AL109" s="192"/>
      <c r="AM109" s="193">
        <f>AM108/AM67</f>
        <v>0.11317034121499452</v>
      </c>
      <c r="AN109" s="192"/>
      <c r="AO109" s="193">
        <f>AO108/AO67</f>
        <v>0.11567955359140171</v>
      </c>
      <c r="AP109" s="192"/>
      <c r="AQ109" s="193">
        <f>AQ108/AQ67</f>
        <v>0.20888318821275581</v>
      </c>
      <c r="AR109" s="192"/>
      <c r="AS109" s="193">
        <f>AS108/AS67</f>
        <v>0.15030148299444818</v>
      </c>
      <c r="AT109" s="192"/>
      <c r="AU109" s="193" t="e">
        <f>AU108/AU67</f>
        <v>#REF!</v>
      </c>
      <c r="AV109" s="654"/>
      <c r="AW109" s="192"/>
      <c r="AX109" s="193">
        <f>AX108/AX67</f>
        <v>0.12846913715626238</v>
      </c>
      <c r="AY109" s="194"/>
      <c r="AZ109" s="193">
        <f>AZ108/AZ67</f>
        <v>0.30641623390862538</v>
      </c>
      <c r="BA109" s="192"/>
      <c r="BB109" s="193">
        <f>BB108/BB67</f>
        <v>0.32639625914817544</v>
      </c>
      <c r="BC109" s="192"/>
      <c r="BD109" s="193">
        <f>BD108/BD67</f>
        <v>0.34231462967685911</v>
      </c>
      <c r="BE109" s="192"/>
      <c r="BF109" s="193">
        <f>BF108/BF67</f>
        <v>0.32636142176535515</v>
      </c>
      <c r="BG109" s="192"/>
      <c r="BH109" s="193">
        <f>BH108/BH67</f>
        <v>0.29636832214049519</v>
      </c>
      <c r="BI109" s="192"/>
      <c r="BJ109" s="193">
        <f>BJ108/BJ67</f>
        <v>0.27282561567095948</v>
      </c>
      <c r="BK109" s="192"/>
      <c r="BL109" s="193">
        <f>BL108/BL67</f>
        <v>0.43106786378968981</v>
      </c>
      <c r="BM109" s="192"/>
      <c r="BN109" s="193">
        <f>BN108/BN67</f>
        <v>0.41524610659205879</v>
      </c>
      <c r="BO109" s="192"/>
      <c r="BP109" s="193">
        <f>BP108/BP67</f>
        <v>0.39596099135572826</v>
      </c>
      <c r="BQ109" s="192"/>
      <c r="BR109" s="193">
        <f>BR108/BR67</f>
        <v>0.4123994562281158</v>
      </c>
      <c r="BS109" s="192"/>
      <c r="BT109" s="193">
        <f>BT108/BT67</f>
        <v>0.32470928317158015</v>
      </c>
      <c r="BU109" s="192"/>
      <c r="BV109" s="193">
        <f>BV108/BV67</f>
        <v>0.31273749254935213</v>
      </c>
      <c r="BW109" s="192"/>
      <c r="BX109" s="193">
        <f>BX108/BX67</f>
        <v>0.29576216652487847</v>
      </c>
      <c r="BY109" s="192"/>
      <c r="BZ109" s="193">
        <f>BZ108/BZ67</f>
        <v>0.30527189922480624</v>
      </c>
      <c r="CA109" s="192"/>
      <c r="CB109" s="193">
        <f>CB108/CB67</f>
        <v>0.30260692914841936</v>
      </c>
      <c r="CC109" s="192"/>
      <c r="CD109" s="193">
        <f>CD108/CD67</f>
        <v>0.35204920672346757</v>
      </c>
      <c r="CE109" s="192"/>
      <c r="CF109" s="193">
        <f>CF108/CF67</f>
        <v>0.3333519469883105</v>
      </c>
      <c r="CG109" s="192"/>
      <c r="CH109" s="193">
        <f>CH108/CH67</f>
        <v>0.30688196150696156</v>
      </c>
      <c r="CI109" s="192"/>
      <c r="CJ109" s="193">
        <f>CJ108/CJ67</f>
        <v>0.46018250134192151</v>
      </c>
      <c r="CK109" s="192"/>
      <c r="CL109" s="193">
        <f>CL108/CL67</f>
        <v>1.0045548654244307</v>
      </c>
      <c r="CM109" s="192"/>
      <c r="CN109" s="193">
        <f>CN108/CN67</f>
        <v>0.57151138716356098</v>
      </c>
      <c r="CO109" s="192"/>
      <c r="CP109" s="193">
        <f>CP108/CP67</f>
        <v>0.46383552845528458</v>
      </c>
      <c r="CR109" s="192"/>
      <c r="CS109" s="193">
        <f>CS108/CS67</f>
        <v>0.4488973303788118</v>
      </c>
      <c r="CT109" s="192"/>
      <c r="CU109" s="193">
        <f>CU108/CU67</f>
        <v>0.52804232804232809</v>
      </c>
      <c r="CV109" s="192"/>
      <c r="CW109" s="193">
        <f>CW108/CW67</f>
        <v>0.55881155881155886</v>
      </c>
      <c r="CX109" s="192"/>
      <c r="CY109" s="193">
        <f>CY108/CY67</f>
        <v>0.45470859733284152</v>
      </c>
      <c r="DA109" s="192"/>
      <c r="DB109" s="193">
        <f>DB108/DB67</f>
        <v>0.4593042548227913</v>
      </c>
      <c r="DC109" s="192"/>
      <c r="DD109" s="193">
        <f>DD108/DD67</f>
        <v>0.49595187002167507</v>
      </c>
      <c r="DE109" s="192"/>
      <c r="DF109" s="193">
        <f>DF108/DF67</f>
        <v>0.56657491573054175</v>
      </c>
      <c r="DH109" s="192"/>
      <c r="DI109" s="193">
        <f>DI108/DI67</f>
        <v>0.43678182058240339</v>
      </c>
      <c r="DJ109" s="192"/>
      <c r="DK109" s="193">
        <f>DK108/DK67</f>
        <v>0.49299911673253727</v>
      </c>
      <c r="DL109" s="192"/>
      <c r="DM109" s="193">
        <f>DM108/DM67</f>
        <v>0.55350646560893524</v>
      </c>
      <c r="DO109" s="192"/>
      <c r="DP109" s="193">
        <f>DP108/DP67</f>
        <v>0.42393842773557366</v>
      </c>
      <c r="DQ109" s="192"/>
      <c r="DR109" s="193">
        <f>DR108/DR67</f>
        <v>0.49412109662524789</v>
      </c>
      <c r="DS109" s="192"/>
      <c r="DT109" s="193">
        <f>DT108/DT67</f>
        <v>0.53063313986942984</v>
      </c>
      <c r="DV109" s="192"/>
      <c r="DW109" s="193">
        <f>DW108/DW67</f>
        <v>0.42426499676244206</v>
      </c>
      <c r="DX109" s="192"/>
      <c r="DY109" s="193">
        <f>DY108/DY67</f>
        <v>0.40566586237146546</v>
      </c>
      <c r="EA109" s="192"/>
      <c r="EB109" s="193">
        <f>EB108/EB67</f>
        <v>0.42936046016090063</v>
      </c>
      <c r="ED109" s="192"/>
      <c r="EE109" s="193">
        <f>EE108/EE67</f>
        <v>0.47288315414180182</v>
      </c>
      <c r="EG109" s="192"/>
      <c r="EH109" s="193">
        <f>EH108/EH67</f>
        <v>0.46719678830368311</v>
      </c>
      <c r="EJ109" s="192"/>
      <c r="EK109" s="193">
        <f>EK108/EK67</f>
        <v>0.42082455528646429</v>
      </c>
      <c r="EM109" s="192"/>
      <c r="EN109" s="193">
        <f>EN108/EN67</f>
        <v>0.45706582561213388</v>
      </c>
      <c r="EP109" s="192"/>
      <c r="EQ109" s="193">
        <f>EQ108/EQ67</f>
        <v>0.51011683200550917</v>
      </c>
      <c r="ER109" s="192"/>
      <c r="ES109" s="193">
        <f>ES108/ES67</f>
        <v>0.43242025145294805</v>
      </c>
      <c r="EU109" s="192"/>
      <c r="EV109" s="193">
        <f>EV108/EV67</f>
        <v>0.45365994482781768</v>
      </c>
      <c r="EX109" s="192"/>
      <c r="EY109" s="193">
        <f>EY108/EY67</f>
        <v>0.42506887190745141</v>
      </c>
      <c r="EZ109" s="192"/>
      <c r="FA109" s="193">
        <f>FA108/FA67</f>
        <v>0.45157214449954813</v>
      </c>
      <c r="FB109" s="192"/>
      <c r="FC109" s="193">
        <f>FC108/FC67</f>
        <v>0.52476559095900921</v>
      </c>
    </row>
    <row r="110" spans="1:159" s="162" customFormat="1" ht="18" customHeight="1" outlineLevel="3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655"/>
      <c r="S110" s="164"/>
      <c r="T110" s="198"/>
      <c r="U110" s="164"/>
      <c r="V110" s="198"/>
      <c r="W110" s="164"/>
      <c r="X110" s="198"/>
      <c r="Y110" s="164"/>
      <c r="Z110" s="198"/>
      <c r="AA110" s="164"/>
      <c r="AB110" s="198"/>
      <c r="AC110" s="164"/>
      <c r="AD110" s="198"/>
      <c r="AE110" s="164"/>
      <c r="AF110" s="198"/>
      <c r="AG110" s="655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655"/>
      <c r="AW110" s="164"/>
      <c r="AX110" s="198"/>
      <c r="AY110" s="172"/>
      <c r="AZ110" s="198"/>
      <c r="BA110" s="164"/>
      <c r="BB110" s="198"/>
      <c r="BC110" s="164"/>
      <c r="BD110" s="198"/>
      <c r="BE110" s="164"/>
      <c r="BF110" s="198"/>
      <c r="BG110" s="164"/>
      <c r="BH110" s="198"/>
      <c r="BI110" s="164"/>
      <c r="BJ110" s="198"/>
      <c r="BK110" s="164"/>
      <c r="BL110" s="198"/>
      <c r="BM110" s="164"/>
      <c r="BN110" s="198"/>
      <c r="BO110" s="164"/>
      <c r="BP110" s="198"/>
      <c r="BQ110" s="164"/>
      <c r="BR110" s="198"/>
      <c r="BS110" s="164"/>
      <c r="BT110" s="198"/>
      <c r="BU110" s="164"/>
      <c r="BV110" s="198"/>
      <c r="BW110" s="164"/>
      <c r="BX110" s="198"/>
      <c r="BY110" s="164"/>
      <c r="BZ110" s="198"/>
      <c r="CA110" s="164"/>
      <c r="CB110" s="198"/>
      <c r="CC110" s="164"/>
      <c r="CD110" s="198"/>
      <c r="CE110" s="164"/>
      <c r="CF110" s="198"/>
      <c r="CG110" s="164"/>
      <c r="CH110" s="198"/>
      <c r="CI110" s="164"/>
      <c r="CJ110" s="198"/>
      <c r="CK110" s="164"/>
      <c r="CL110" s="198"/>
      <c r="CM110" s="164"/>
      <c r="CN110" s="198"/>
      <c r="CO110" s="164"/>
      <c r="CP110" s="198"/>
      <c r="CR110" s="164"/>
      <c r="CS110" s="198"/>
      <c r="CT110" s="164"/>
      <c r="CU110" s="198"/>
      <c r="CV110" s="164"/>
      <c r="CW110" s="198"/>
      <c r="CX110" s="164"/>
      <c r="CY110" s="198"/>
      <c r="DA110" s="164"/>
      <c r="DB110" s="198"/>
      <c r="DC110" s="164"/>
      <c r="DD110" s="198"/>
      <c r="DE110" s="164"/>
      <c r="DF110" s="198"/>
      <c r="DH110" s="164"/>
      <c r="DI110" s="198"/>
      <c r="DJ110" s="164"/>
      <c r="DK110" s="198"/>
      <c r="DL110" s="164"/>
      <c r="DM110" s="198"/>
      <c r="DO110" s="164"/>
      <c r="DP110" s="198"/>
      <c r="DQ110" s="164"/>
      <c r="DR110" s="198"/>
      <c r="DS110" s="164"/>
      <c r="DT110" s="198"/>
      <c r="DV110" s="164"/>
      <c r="DW110" s="198"/>
      <c r="DX110" s="164"/>
      <c r="DY110" s="198"/>
      <c r="EA110" s="164"/>
      <c r="EB110" s="198"/>
      <c r="ED110" s="164"/>
      <c r="EE110" s="198"/>
      <c r="EG110" s="164"/>
      <c r="EH110" s="198"/>
      <c r="EJ110" s="164"/>
      <c r="EK110" s="198"/>
      <c r="EM110" s="164"/>
      <c r="EN110" s="198"/>
      <c r="EP110" s="164"/>
      <c r="EQ110" s="198"/>
      <c r="ER110" s="164"/>
      <c r="ES110" s="198"/>
      <c r="ET110" s="4"/>
      <c r="EU110" s="164"/>
      <c r="EV110" s="198"/>
      <c r="EX110" s="164"/>
      <c r="EY110" s="198"/>
      <c r="EZ110" s="164"/>
      <c r="FA110" s="198"/>
      <c r="FB110" s="164"/>
      <c r="FC110" s="198"/>
    </row>
    <row r="111" spans="1:159" s="4" customFormat="1" ht="18" customHeight="1" outlineLevel="3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2.1111194523091958</v>
      </c>
      <c r="H111" s="186"/>
      <c r="I111" s="187">
        <f>I60-(I102/I66)-I74</f>
        <v>1.873468532900846</v>
      </c>
      <c r="J111" s="186"/>
      <c r="K111" s="187">
        <f>K60-(K102/K66)-K74</f>
        <v>1.9854700042659443</v>
      </c>
      <c r="L111" s="186"/>
      <c r="M111" s="187">
        <f>M60-(M102/M66)-M74</f>
        <v>2.03986136708349</v>
      </c>
      <c r="N111" s="186"/>
      <c r="O111" s="187">
        <f>O60-(O102/O66)-O74</f>
        <v>2.1228856749311298</v>
      </c>
      <c r="P111" s="186"/>
      <c r="Q111" s="187">
        <f>Q60-(Q102/Q66)-Q74</f>
        <v>2.2220866219008273</v>
      </c>
      <c r="R111" s="653"/>
      <c r="S111" s="186"/>
      <c r="T111" s="187">
        <f>T60-(T102/T66)-T74</f>
        <v>1.7124999999999995</v>
      </c>
      <c r="U111" s="186"/>
      <c r="V111" s="187">
        <f>V60-(V102/V66)-V74</f>
        <v>1.4335637421501781</v>
      </c>
      <c r="W111" s="186"/>
      <c r="X111" s="187">
        <f>X60-(X102/X66)-X74</f>
        <v>1.5543694190806896</v>
      </c>
      <c r="Y111" s="186"/>
      <c r="Z111" s="187">
        <f>Z60-(Z102/Z66)-Z74</f>
        <v>1.6843399805661408</v>
      </c>
      <c r="AA111" s="186"/>
      <c r="AB111" s="187">
        <f>AB60-(AB102/AB66)-AB74</f>
        <v>1.7228856749311294</v>
      </c>
      <c r="AC111" s="186"/>
      <c r="AD111" s="187">
        <f>AD60-(AD102/AD66)-AD74</f>
        <v>1.5895523415977966</v>
      </c>
      <c r="AE111" s="186"/>
      <c r="AF111" s="187" t="e">
        <f>AF60-(AF102/AF66)-AF74</f>
        <v>#REF!</v>
      </c>
      <c r="AG111" s="653"/>
      <c r="AH111" s="186"/>
      <c r="AI111" s="187">
        <f>AI60-(AI102/AI66)-AI74</f>
        <v>0.96435378706167985</v>
      </c>
      <c r="AJ111" s="186"/>
      <c r="AK111" s="187">
        <f>AK60-(AK102/AK66)-AK74</f>
        <v>0.74677013353232891</v>
      </c>
      <c r="AL111" s="186"/>
      <c r="AM111" s="187">
        <f>AM60-(AM102/AM66)-AM74</f>
        <v>0.75829415490805729</v>
      </c>
      <c r="AN111" s="186"/>
      <c r="AO111" s="187">
        <f>AO60-(AO102/AO66)-AO74</f>
        <v>0.77320630734493179</v>
      </c>
      <c r="AP111" s="186"/>
      <c r="AQ111" s="187">
        <f>AQ60-(AQ102/AQ66)-AQ74</f>
        <v>1.3053990610328636</v>
      </c>
      <c r="AR111" s="186"/>
      <c r="AS111" s="187">
        <f>AS60-(AS102/AS66)-AS74</f>
        <v>0.97089752423632714</v>
      </c>
      <c r="AT111" s="186"/>
      <c r="AU111" s="187" t="e">
        <f>AU60-(AU102/AU66)-AU74</f>
        <v>#REF!</v>
      </c>
      <c r="AV111" s="653"/>
      <c r="AW111" s="186"/>
      <c r="AX111" s="187">
        <f>AX60-(AX102/AX66)-AX74</f>
        <v>0.84623482950028617</v>
      </c>
      <c r="AY111" s="188"/>
      <c r="AZ111" s="187">
        <f>AZ60-(AZ102/AZ66)-AZ74</f>
        <v>1.728229807358622</v>
      </c>
      <c r="BA111" s="186"/>
      <c r="BB111" s="187">
        <f>BB60-(BB102/BB66)-BB74</f>
        <v>1.9768203126344934</v>
      </c>
      <c r="BC111" s="186"/>
      <c r="BD111" s="187">
        <f>BD60-(BD102/BD66)-BD74</f>
        <v>2.0681917594691379</v>
      </c>
      <c r="BE111" s="186"/>
      <c r="BF111" s="187">
        <f>BF60-(BF102/BF66)-BF74</f>
        <v>1.9766203460571052</v>
      </c>
      <c r="BG111" s="186"/>
      <c r="BH111" s="187">
        <f>BH60-(BH102/BH66)-BH74</f>
        <v>1.8044599542104089</v>
      </c>
      <c r="BI111" s="186"/>
      <c r="BJ111" s="187">
        <f>BJ60-(BJ102/BJ66)-BJ74</f>
        <v>1.6693248190752739</v>
      </c>
      <c r="BK111" s="186"/>
      <c r="BL111" s="187">
        <f>BL60-(BL102/BL66)-BL74</f>
        <v>2.0121556896968391</v>
      </c>
      <c r="BM111" s="186"/>
      <c r="BN111" s="187">
        <f>BN60-(BN102/BN66)-BN74</f>
        <v>1.9412742174514523</v>
      </c>
      <c r="BO111" s="186"/>
      <c r="BP111" s="187">
        <f>BP60-(BP102/BP66)-BP74</f>
        <v>1.8548769011926916</v>
      </c>
      <c r="BQ111" s="186"/>
      <c r="BR111" s="187">
        <f>BR60-(BR102/BR66)-BR74</f>
        <v>2.0604890498139845</v>
      </c>
      <c r="BS111" s="186"/>
      <c r="BT111" s="187">
        <f>BT60-(BT102/BT66)-BT74</f>
        <v>1.4243826728319591</v>
      </c>
      <c r="BU111" s="186"/>
      <c r="BV111" s="187">
        <f>BV60-(BV102/BV66)-BV74</f>
        <v>1.3749391775621573</v>
      </c>
      <c r="BW111" s="186"/>
      <c r="BX111" s="187">
        <f>BX60-(BX102/BX66)-BX74</f>
        <v>1.304831081081081</v>
      </c>
      <c r="BY111" s="186"/>
      <c r="BZ111" s="187">
        <f>BZ60-(BZ102/BZ66)-BZ74</f>
        <v>1.3960024999999998</v>
      </c>
      <c r="CA111" s="186"/>
      <c r="CB111" s="187">
        <f>CB60-(CB102/CB66)-CB74</f>
        <v>1.9974385880146039</v>
      </c>
      <c r="CC111" s="186"/>
      <c r="CD111" s="187">
        <f>CD60-(CD102/CD66)-CD74</f>
        <v>2.2965643673436458</v>
      </c>
      <c r="CE111" s="186"/>
      <c r="CF111" s="187">
        <f>CF60-(CF102/CF66)-CF74</f>
        <v>2.1834459459459454</v>
      </c>
      <c r="CG111" s="186"/>
      <c r="CH111" s="187">
        <f>CH60-(CH102/CH66)-CH74</f>
        <v>2.0233025337837844</v>
      </c>
      <c r="CI111" s="186"/>
      <c r="CJ111" s="187">
        <f>CJ60-(CJ102/CJ66)-CJ74</f>
        <v>2.7448148148148146</v>
      </c>
      <c r="CK111" s="186"/>
      <c r="CL111" s="187">
        <f>CL60-(CL102/CL66)-CL74</f>
        <v>5.871428571428571</v>
      </c>
      <c r="CM111" s="186"/>
      <c r="CN111" s="187">
        <f>CN60-(CN102/CN66)-CN74</f>
        <v>3.3814285714285708</v>
      </c>
      <c r="CO111" s="186"/>
      <c r="CP111" s="187">
        <f>CP60-(CP102/CP66)-CP74</f>
        <v>1.9850589999999997</v>
      </c>
      <c r="CR111" s="186"/>
      <c r="CS111" s="187">
        <f>CS60-(CS102/CS66)-CS74</f>
        <v>2.7248148148148146</v>
      </c>
      <c r="CT111" s="186"/>
      <c r="CU111" s="187">
        <f>CU60-(CU102/CU66)-CU74</f>
        <v>3.1842857142857137</v>
      </c>
      <c r="CV111" s="186"/>
      <c r="CW111" s="187">
        <f>CW60-(CW102/CW66)-CW74</f>
        <v>3.3642857142857139</v>
      </c>
      <c r="CX111" s="186"/>
      <c r="CY111" s="187">
        <f>CY60-(CY102/CY66)-CY74</f>
        <v>2.0158448719979094</v>
      </c>
      <c r="DA111" s="186"/>
      <c r="DB111" s="187">
        <f>DB60-(DB102/DB66)-DB74</f>
        <v>2.7856953228120949</v>
      </c>
      <c r="DC111" s="186"/>
      <c r="DD111" s="187">
        <f>DD60-(DD102/DD66)-DD74</f>
        <v>2.9965565348648937</v>
      </c>
      <c r="DE111" s="186"/>
      <c r="DF111" s="187">
        <f>DF60-(DF102/DF66)-DF74</f>
        <v>3.4097013522617639</v>
      </c>
      <c r="DH111" s="186"/>
      <c r="DI111" s="187">
        <f>DI60-(DI102/DI66)-DI74</f>
        <v>2.6584794355310262</v>
      </c>
      <c r="DJ111" s="186"/>
      <c r="DK111" s="187">
        <f>DK60-(DK102/DK66)-DK74</f>
        <v>2.9811322115261203</v>
      </c>
      <c r="DL111" s="186"/>
      <c r="DM111" s="187">
        <f>DM60-(DM102/DM66)-DM74</f>
        <v>3.3413186089362377</v>
      </c>
      <c r="DO111" s="186"/>
      <c r="DP111" s="187">
        <f>DP60-(DP102/DP66)-DP74</f>
        <v>2.5833455873770723</v>
      </c>
      <c r="DQ111" s="186"/>
      <c r="DR111" s="187">
        <f>DR60-(DR102/DR66)-DR74</f>
        <v>2.9876957938984776</v>
      </c>
      <c r="DS111" s="186"/>
      <c r="DT111" s="187">
        <f>DT60-(DT102/DT66)-DT74</f>
        <v>3.2075096533601308</v>
      </c>
      <c r="DV111" s="186"/>
      <c r="DW111" s="187">
        <f>DW60-(DW102/DW66)-DW74</f>
        <v>2.5852560161842524</v>
      </c>
      <c r="DX111" s="186"/>
      <c r="DY111" s="187">
        <f>DY60-(DY102/DY66)-DY74</f>
        <v>2.4702326735138502</v>
      </c>
      <c r="EA111" s="186"/>
      <c r="EB111" s="187">
        <f>EB60-(EB102/EB66)-EB74</f>
        <v>2.6150644770652351</v>
      </c>
      <c r="ED111" s="186"/>
      <c r="EE111" s="187">
        <f>EE60-(EE102/EE66)-EE74</f>
        <v>2.8634538303703181</v>
      </c>
      <c r="EG111" s="186"/>
      <c r="EH111" s="187">
        <f>EH60-(EH102/EH66)-EH74</f>
        <v>2.8301885902173236</v>
      </c>
      <c r="EJ111" s="186"/>
      <c r="EK111" s="187">
        <f>EK60-(EK102/EK66)-EK74</f>
        <v>2.5651294335497825</v>
      </c>
      <c r="EM111" s="186"/>
      <c r="EN111" s="187">
        <f>EN60-(EN102/EN66)-EN74</f>
        <v>2.7709224584717607</v>
      </c>
      <c r="EP111" s="186"/>
      <c r="EQ111" s="187">
        <f>EQ60-(EQ102/EQ66)-EQ74</f>
        <v>3.0812708458730058</v>
      </c>
      <c r="ER111" s="186"/>
      <c r="ES111" s="187">
        <f>ES60-(ES102/ES66)-ES74</f>
        <v>2.6329642561237123</v>
      </c>
      <c r="EU111" s="186"/>
      <c r="EV111" s="187">
        <f>EV60-(EV102/EV66)-EV74</f>
        <v>2.7509980558835108</v>
      </c>
      <c r="EX111" s="186"/>
      <c r="EY111" s="187">
        <f>EY60-(EY102/EY66)-EY74</f>
        <v>2.5899586857825572</v>
      </c>
      <c r="EZ111" s="186"/>
      <c r="FA111" s="187">
        <f>FA60-(FA102/FA66)-FA74</f>
        <v>2.7387844239631338</v>
      </c>
      <c r="FB111" s="186"/>
      <c r="FC111" s="187">
        <f>FC60-(FC102/FC66)-FC74</f>
        <v>3.1731844922341703</v>
      </c>
    </row>
    <row r="112" spans="1:159" s="4" customFormat="1" ht="18" customHeight="1" outlineLevel="3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0.3880822723679786</v>
      </c>
      <c r="H112" s="192"/>
      <c r="I112" s="193">
        <f>I111/I67</f>
        <v>0.35328493169072894</v>
      </c>
      <c r="J112" s="192"/>
      <c r="K112" s="193">
        <f>K111/K67</f>
        <v>0.34631201369509262</v>
      </c>
      <c r="L112" s="192"/>
      <c r="M112" s="193">
        <f>M111/M67</f>
        <v>0.35537654478806446</v>
      </c>
      <c r="N112" s="192"/>
      <c r="O112" s="193">
        <f>O111/O67</f>
        <v>0.3698407099183153</v>
      </c>
      <c r="P112" s="192"/>
      <c r="Q112" s="193">
        <f>Q111/Q67</f>
        <v>0.38712310486077128</v>
      </c>
      <c r="R112" s="654"/>
      <c r="S112" s="192"/>
      <c r="T112" s="193">
        <f>T111/T67</f>
        <v>0.31494252873563211</v>
      </c>
      <c r="U112" s="192"/>
      <c r="V112" s="193">
        <f>V111/V67</f>
        <v>0.26984729264003354</v>
      </c>
      <c r="W112" s="192"/>
      <c r="X112" s="193">
        <f>X111/X67</f>
        <v>0.27135639854002291</v>
      </c>
      <c r="Y112" s="192"/>
      <c r="Z112" s="193">
        <f>Z111/Z67</f>
        <v>0.2934390210045541</v>
      </c>
      <c r="AA112" s="192"/>
      <c r="AB112" s="193">
        <f>AB111/AB67</f>
        <v>0.30015429876848942</v>
      </c>
      <c r="AC112" s="192"/>
      <c r="AD112" s="193">
        <f>AD111/AD67</f>
        <v>0.27692549505188091</v>
      </c>
      <c r="AE112" s="192"/>
      <c r="AF112" s="193" t="e">
        <f>AF111/AF67</f>
        <v>#REF!</v>
      </c>
      <c r="AG112" s="654"/>
      <c r="AH112" s="192"/>
      <c r="AI112" s="193">
        <f>AI111/AI67</f>
        <v>0.17867724133971627</v>
      </c>
      <c r="AJ112" s="192"/>
      <c r="AK112" s="193">
        <f>AK111/AK67</f>
        <v>0.14153945403308957</v>
      </c>
      <c r="AL112" s="192"/>
      <c r="AM112" s="193">
        <f>AM111/AM67</f>
        <v>0.13292131748219937</v>
      </c>
      <c r="AN112" s="192"/>
      <c r="AO112" s="193">
        <f>AO111/AO67</f>
        <v>0.13541266328282517</v>
      </c>
      <c r="AP112" s="192"/>
      <c r="AQ112" s="193">
        <f>AQ111/AQ67</f>
        <v>0.22861629790417928</v>
      </c>
      <c r="AR112" s="192"/>
      <c r="AS112" s="193">
        <f>AS111/AS67</f>
        <v>0.17003459268587165</v>
      </c>
      <c r="AT112" s="192"/>
      <c r="AU112" s="193" t="e">
        <f>AU111/AU67</f>
        <v>#REF!</v>
      </c>
      <c r="AV112" s="654"/>
      <c r="AW112" s="192"/>
      <c r="AX112" s="193">
        <f>AX111/AX67</f>
        <v>0.14820224684768585</v>
      </c>
      <c r="AY112" s="194"/>
      <c r="AZ112" s="193">
        <f>AZ111/AZ67</f>
        <v>0.3258968798868459</v>
      </c>
      <c r="BA112" s="192"/>
      <c r="BB112" s="193">
        <f>BB111/BB67</f>
        <v>0.34439378268893611</v>
      </c>
      <c r="BC112" s="192"/>
      <c r="BD112" s="193">
        <f>BD111/BD67</f>
        <v>0.36031215321761983</v>
      </c>
      <c r="BE112" s="192"/>
      <c r="BF112" s="193">
        <f>BF111/BF67</f>
        <v>0.34435894530611588</v>
      </c>
      <c r="BG112" s="192"/>
      <c r="BH112" s="193">
        <f>BH111/BH67</f>
        <v>0.31436584568125592</v>
      </c>
      <c r="BI112" s="192"/>
      <c r="BJ112" s="193">
        <f>BJ111/BJ67</f>
        <v>0.29082313921172015</v>
      </c>
      <c r="BK112" s="192"/>
      <c r="BL112" s="193">
        <f>BL111/BL67</f>
        <v>0.44914189502161583</v>
      </c>
      <c r="BM112" s="192"/>
      <c r="BN112" s="193">
        <f>BN111/BN67</f>
        <v>0.43332013782398487</v>
      </c>
      <c r="BO112" s="192"/>
      <c r="BP112" s="193">
        <f>BP111/BP67</f>
        <v>0.41403502258765434</v>
      </c>
      <c r="BQ112" s="192"/>
      <c r="BR112" s="193">
        <f>BR111/BR67</f>
        <v>0.42926855204458014</v>
      </c>
      <c r="BS112" s="192"/>
      <c r="BT112" s="193">
        <f>BT111/BT67</f>
        <v>0.34488684572202399</v>
      </c>
      <c r="BU112" s="192"/>
      <c r="BV112" s="193">
        <f>BV111/BV67</f>
        <v>0.33291505509979596</v>
      </c>
      <c r="BW112" s="192"/>
      <c r="BX112" s="193">
        <f>BX111/BX67</f>
        <v>0.31593972907532231</v>
      </c>
      <c r="BY112" s="192"/>
      <c r="BZ112" s="193">
        <f>BZ111/BZ67</f>
        <v>0.32465174418604648</v>
      </c>
      <c r="CA112" s="192"/>
      <c r="CB112" s="193">
        <f>CB111/CB67</f>
        <v>0.3301551385148106</v>
      </c>
      <c r="CC112" s="192"/>
      <c r="CD112" s="193">
        <f>CD111/CD67</f>
        <v>0.37959741608985881</v>
      </c>
      <c r="CE112" s="192"/>
      <c r="CF112" s="193">
        <f>CF111/CF67</f>
        <v>0.36090015635470174</v>
      </c>
      <c r="CG112" s="192"/>
      <c r="CH112" s="193">
        <f>CH111/CH67</f>
        <v>0.33443017087335281</v>
      </c>
      <c r="CI112" s="192"/>
      <c r="CJ112" s="193">
        <f>CJ111/CJ67</f>
        <v>0.4773590982286634</v>
      </c>
      <c r="CK112" s="192"/>
      <c r="CL112" s="193">
        <f>CL111/CL67</f>
        <v>1.0211180124223602</v>
      </c>
      <c r="CM112" s="192"/>
      <c r="CN112" s="193">
        <f>CN111/CN67</f>
        <v>0.58807453416149058</v>
      </c>
      <c r="CO112" s="192"/>
      <c r="CP112" s="193">
        <f>CP111/CP67</f>
        <v>0.48416073170731705</v>
      </c>
      <c r="CR112" s="192"/>
      <c r="CS112" s="193">
        <f>CS111/CS67</f>
        <v>0.46578031022475463</v>
      </c>
      <c r="CT112" s="192"/>
      <c r="CU112" s="193">
        <f>CU111/CU67</f>
        <v>0.54432234432234428</v>
      </c>
      <c r="CV112" s="192"/>
      <c r="CW112" s="193">
        <f>CW111/CW67</f>
        <v>0.57509157509157505</v>
      </c>
      <c r="CX112" s="192"/>
      <c r="CY112" s="193">
        <f>CY111/CY67</f>
        <v>0.47431644047009636</v>
      </c>
      <c r="DA112" s="192"/>
      <c r="DB112" s="193">
        <f>DB111/DB67</f>
        <v>0.47618723466873419</v>
      </c>
      <c r="DC112" s="192"/>
      <c r="DD112" s="193">
        <f>DD111/DD67</f>
        <v>0.51223188630169125</v>
      </c>
      <c r="DE112" s="192"/>
      <c r="DF112" s="193">
        <f>DF111/DF67</f>
        <v>0.58285493201055794</v>
      </c>
      <c r="DH112" s="192"/>
      <c r="DI112" s="193">
        <f>DI111/DI67</f>
        <v>0.4544409291506028</v>
      </c>
      <c r="DJ112" s="192"/>
      <c r="DK112" s="193">
        <f>DK111/DK67</f>
        <v>0.50959524983352489</v>
      </c>
      <c r="DL112" s="192"/>
      <c r="DM112" s="193">
        <f>DM111/DM67</f>
        <v>0.57116557417713465</v>
      </c>
      <c r="DO112" s="192"/>
      <c r="DP112" s="193">
        <f>DP111/DP67</f>
        <v>0.44159753630377307</v>
      </c>
      <c r="DQ112" s="192"/>
      <c r="DR112" s="193">
        <f>DR111/DR67</f>
        <v>0.51071722972623557</v>
      </c>
      <c r="DS112" s="192"/>
      <c r="DT112" s="193">
        <f>DT111/DT67</f>
        <v>0.54829224843762925</v>
      </c>
      <c r="DV112" s="192"/>
      <c r="DW112" s="193">
        <f>DW111/DW67</f>
        <v>0.44192410533064147</v>
      </c>
      <c r="DX112" s="192"/>
      <c r="DY112" s="193">
        <f>DY111/DY67</f>
        <v>0.42226199547245308</v>
      </c>
      <c r="EA112" s="192"/>
      <c r="EB112" s="193">
        <f>EB111/EB67</f>
        <v>0.44701956872910004</v>
      </c>
      <c r="ED112" s="192"/>
      <c r="EE112" s="193">
        <f>EE111/EE67</f>
        <v>0.48947928724278944</v>
      </c>
      <c r="EG112" s="192"/>
      <c r="EH112" s="193">
        <f>EH111/EH67</f>
        <v>0.48379292140467073</v>
      </c>
      <c r="EJ112" s="192"/>
      <c r="EK112" s="193">
        <f>EK111/EK67</f>
        <v>0.4384836638546637</v>
      </c>
      <c r="EM112" s="192"/>
      <c r="EN112" s="193">
        <f>EN111/EN67</f>
        <v>0.4736619587131215</v>
      </c>
      <c r="EP112" s="192"/>
      <c r="EQ112" s="193">
        <f>EQ111/EQ67</f>
        <v>0.52671296510649679</v>
      </c>
      <c r="ER112" s="192"/>
      <c r="ES112" s="193">
        <f>ES111/ES67</f>
        <v>0.45007936002114746</v>
      </c>
      <c r="EU112" s="192"/>
      <c r="EV112" s="193">
        <f>EV111/EV67</f>
        <v>0.4702560779288053</v>
      </c>
      <c r="EX112" s="192"/>
      <c r="EY112" s="193">
        <f>EY111/EY67</f>
        <v>0.44272798047565082</v>
      </c>
      <c r="EZ112" s="192"/>
      <c r="FA112" s="193">
        <f>FA111/FA67</f>
        <v>0.4681682776005357</v>
      </c>
      <c r="FB112" s="192"/>
      <c r="FC112" s="193">
        <f>FC111/FC67</f>
        <v>0.54242469952720862</v>
      </c>
    </row>
    <row r="113" spans="1:159" s="4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66"/>
      <c r="S113" s="173"/>
      <c r="T113" s="165"/>
      <c r="U113" s="173"/>
      <c r="V113" s="165"/>
      <c r="W113" s="173"/>
      <c r="X113" s="165"/>
      <c r="Y113" s="173"/>
      <c r="Z113" s="165"/>
      <c r="AA113" s="173"/>
      <c r="AB113" s="165"/>
      <c r="AC113" s="173"/>
      <c r="AD113" s="165"/>
      <c r="AE113" s="173"/>
      <c r="AF113" s="165"/>
      <c r="AG113" s="166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66"/>
      <c r="AW113" s="173"/>
      <c r="AX113" s="165"/>
      <c r="AY113" s="166"/>
      <c r="AZ113" s="165"/>
      <c r="BA113" s="173"/>
      <c r="BB113" s="165"/>
      <c r="BC113" s="173"/>
      <c r="BD113" s="165"/>
      <c r="BE113" s="173"/>
      <c r="BF113" s="165"/>
      <c r="BG113" s="173"/>
      <c r="BH113" s="165"/>
      <c r="BI113" s="173"/>
      <c r="BJ113" s="165"/>
      <c r="BK113" s="173"/>
      <c r="BL113" s="165"/>
      <c r="BM113" s="173"/>
      <c r="BN113" s="165"/>
      <c r="BO113" s="173"/>
      <c r="BP113" s="165"/>
      <c r="BQ113" s="173"/>
      <c r="BR113" s="165"/>
      <c r="BS113" s="173"/>
      <c r="BT113" s="165"/>
      <c r="BU113" s="173"/>
      <c r="BV113" s="165"/>
      <c r="BW113" s="173"/>
      <c r="BX113" s="165"/>
      <c r="BY113" s="173"/>
      <c r="BZ113" s="165"/>
      <c r="CA113" s="173"/>
      <c r="CB113" s="165"/>
      <c r="CC113" s="173"/>
      <c r="CD113" s="165"/>
      <c r="CE113" s="173"/>
      <c r="CF113" s="165"/>
      <c r="CG113" s="173"/>
      <c r="CH113" s="165"/>
      <c r="CI113" s="173"/>
      <c r="CJ113" s="165"/>
      <c r="CK113" s="173"/>
      <c r="CL113" s="165"/>
      <c r="CM113" s="173"/>
      <c r="CN113" s="165"/>
      <c r="CO113" s="173"/>
      <c r="CP113" s="165"/>
      <c r="CR113" s="173"/>
      <c r="CS113" s="165"/>
      <c r="CT113" s="173"/>
      <c r="CU113" s="165"/>
      <c r="CV113" s="173"/>
      <c r="CW113" s="165"/>
      <c r="CX113" s="173"/>
      <c r="CY113" s="165"/>
      <c r="DA113" s="173"/>
      <c r="DB113" s="165"/>
      <c r="DC113" s="173"/>
      <c r="DD113" s="165"/>
      <c r="DE113" s="173"/>
      <c r="DF113" s="165"/>
      <c r="DH113" s="173"/>
      <c r="DI113" s="165"/>
      <c r="DJ113" s="173"/>
      <c r="DK113" s="165"/>
      <c r="DL113" s="173"/>
      <c r="DM113" s="165"/>
      <c r="DO113" s="173"/>
      <c r="DP113" s="165"/>
      <c r="DQ113" s="173"/>
      <c r="DR113" s="165"/>
      <c r="DS113" s="173"/>
      <c r="DT113" s="165"/>
      <c r="DV113" s="173"/>
      <c r="DW113" s="165"/>
      <c r="DX113" s="173"/>
      <c r="DY113" s="165"/>
      <c r="EA113" s="173"/>
      <c r="EB113" s="165"/>
      <c r="ED113" s="173"/>
      <c r="EE113" s="165"/>
      <c r="EG113" s="173"/>
      <c r="EH113" s="165"/>
      <c r="EJ113" s="173"/>
      <c r="EK113" s="165"/>
      <c r="EM113" s="173"/>
      <c r="EN113" s="165"/>
      <c r="EP113" s="173"/>
      <c r="EQ113" s="165"/>
      <c r="ER113" s="173"/>
      <c r="ES113" s="165"/>
      <c r="EU113" s="173"/>
      <c r="EV113" s="165"/>
      <c r="EX113" s="173"/>
      <c r="EY113" s="165"/>
      <c r="EZ113" s="173"/>
      <c r="FA113" s="165"/>
      <c r="FB113" s="173"/>
      <c r="FC113" s="165"/>
    </row>
    <row r="114" spans="1:159" s="65" customFormat="1" ht="18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448.73185306577028</v>
      </c>
      <c r="H114" s="202" t="s">
        <v>111</v>
      </c>
      <c r="I114" s="203">
        <f>I116/I79</f>
        <v>454.81893197679625</v>
      </c>
      <c r="J114" s="202" t="s">
        <v>111</v>
      </c>
      <c r="K114" s="203">
        <f>K116/K79</f>
        <v>452.79652947609617</v>
      </c>
      <c r="L114" s="202" t="s">
        <v>111</v>
      </c>
      <c r="M114" s="203">
        <f>M116/M79</f>
        <v>442.55022835344755</v>
      </c>
      <c r="N114" s="202" t="s">
        <v>111</v>
      </c>
      <c r="O114" s="203">
        <f>O116/O79</f>
        <v>442.35999999999996</v>
      </c>
      <c r="P114" s="202" t="s">
        <v>111</v>
      </c>
      <c r="Q114" s="203">
        <f>Q116/Q79</f>
        <v>435.41558441558436</v>
      </c>
      <c r="R114" s="656"/>
      <c r="S114" s="202" t="s">
        <v>111</v>
      </c>
      <c r="T114" s="203">
        <f>T116/T79</f>
        <v>449.38710585587387</v>
      </c>
      <c r="U114" s="202" t="s">
        <v>111</v>
      </c>
      <c r="V114" s="203">
        <f>V116/V79</f>
        <v>455.48875587141464</v>
      </c>
      <c r="W114" s="202" t="s">
        <v>111</v>
      </c>
      <c r="X114" s="203">
        <f>X116/X79</f>
        <v>452.3121123514282</v>
      </c>
      <c r="Y114" s="202" t="s">
        <v>111</v>
      </c>
      <c r="Z114" s="203">
        <f>Z116/Z79</f>
        <v>441.70213473432193</v>
      </c>
      <c r="AA114" s="202" t="s">
        <v>111</v>
      </c>
      <c r="AB114" s="203">
        <f>AB116/AB79</f>
        <v>442.35999999999996</v>
      </c>
      <c r="AC114" s="202" t="s">
        <v>111</v>
      </c>
      <c r="AD114" s="203">
        <f>AD116/AD79</f>
        <v>442.35999999999996</v>
      </c>
      <c r="AE114" s="202" t="s">
        <v>111</v>
      </c>
      <c r="AF114" s="203" t="e">
        <f>AF116/AF79</f>
        <v>#REF!</v>
      </c>
      <c r="AG114" s="656"/>
      <c r="AH114" s="202" t="s">
        <v>111</v>
      </c>
      <c r="AI114" s="203">
        <f>AI116/AI79</f>
        <v>447.08348276566608</v>
      </c>
      <c r="AJ114" s="202" t="s">
        <v>111</v>
      </c>
      <c r="AK114" s="203">
        <f>AK116/AK79</f>
        <v>453.13390624189714</v>
      </c>
      <c r="AL114" s="202" t="s">
        <v>111</v>
      </c>
      <c r="AM114" s="203">
        <f>AM116/AM79</f>
        <v>450.60018909063331</v>
      </c>
      <c r="AN114" s="202" t="s">
        <v>111</v>
      </c>
      <c r="AO114" s="203">
        <f>AO116/AO79</f>
        <v>441.08090388949392</v>
      </c>
      <c r="AP114" s="202" t="s">
        <v>111</v>
      </c>
      <c r="AQ114" s="203">
        <f>AQ116/AQ79</f>
        <v>440.75</v>
      </c>
      <c r="AR114" s="202" t="s">
        <v>111</v>
      </c>
      <c r="AS114" s="203">
        <f>AS116/AS79</f>
        <v>433.84740259740266</v>
      </c>
      <c r="AT114" s="202" t="s">
        <v>111</v>
      </c>
      <c r="AU114" s="203" t="e">
        <f>AU116/AU79</f>
        <v>#REF!</v>
      </c>
      <c r="AV114" s="656"/>
      <c r="AW114" s="202" t="s">
        <v>111</v>
      </c>
      <c r="AX114" s="203">
        <f>AX116/AX79</f>
        <v>450.60018909063331</v>
      </c>
      <c r="AY114" s="201" t="s">
        <v>111</v>
      </c>
      <c r="AZ114" s="203">
        <f>AZ116/AZ79</f>
        <v>448.73185306577028</v>
      </c>
      <c r="BA114" s="202" t="s">
        <v>111</v>
      </c>
      <c r="BB114" s="203">
        <f>BB116/BB79</f>
        <v>455.44755244755243</v>
      </c>
      <c r="BC114" s="202" t="s">
        <v>111</v>
      </c>
      <c r="BD114" s="203">
        <f>BD116/BD79</f>
        <v>454.52882135638112</v>
      </c>
      <c r="BE114" s="202" t="s">
        <v>111</v>
      </c>
      <c r="BF114" s="203">
        <f>BF116/BF79</f>
        <v>443.25418060200667</v>
      </c>
      <c r="BG114" s="202" t="s">
        <v>111</v>
      </c>
      <c r="BH114" s="203">
        <f>BH116/BH79</f>
        <v>445.97297297297297</v>
      </c>
      <c r="BI114" s="202" t="s">
        <v>111</v>
      </c>
      <c r="BJ114" s="203">
        <f>BJ116/BJ79</f>
        <v>445.97297297297297</v>
      </c>
      <c r="BK114" s="202" t="s">
        <v>111</v>
      </c>
      <c r="BL114" s="203">
        <f>BL116/BL79</f>
        <v>459.24032816139083</v>
      </c>
      <c r="BM114" s="202" t="s">
        <v>111</v>
      </c>
      <c r="BN114" s="203">
        <f>BN116/BN79</f>
        <v>447.57919682146775</v>
      </c>
      <c r="BO114" s="202" t="s">
        <v>111</v>
      </c>
      <c r="BP114" s="203">
        <f>BP116/BP79</f>
        <v>451.38513513513504</v>
      </c>
      <c r="BQ114" s="202" t="s">
        <v>111</v>
      </c>
      <c r="BR114" s="203">
        <f>BR116/BR79</f>
        <v>451.38513513513504</v>
      </c>
      <c r="BS114" s="202" t="s">
        <v>111</v>
      </c>
      <c r="BT114" s="203">
        <f>BT116/BT79</f>
        <v>456.76575062532856</v>
      </c>
      <c r="BU114" s="202" t="s">
        <v>111</v>
      </c>
      <c r="BV114" s="203">
        <f>BV116/BV79</f>
        <v>447.58504582215039</v>
      </c>
      <c r="BW114" s="202" t="s">
        <v>111</v>
      </c>
      <c r="BX114" s="203">
        <f>BX116/BX79</f>
        <v>450.67567567567573</v>
      </c>
      <c r="BY114" s="202" t="s">
        <v>111</v>
      </c>
      <c r="BZ114" s="203">
        <f>BZ116/BZ79</f>
        <v>450.67567567567573</v>
      </c>
      <c r="CA114" s="202" t="s">
        <v>111</v>
      </c>
      <c r="CB114" s="203">
        <f>CB116/CB79</f>
        <v>444.86086783987088</v>
      </c>
      <c r="CC114" s="202" t="s">
        <v>111</v>
      </c>
      <c r="CD114" s="203">
        <f>CD116/CD79</f>
        <v>435.97536967862482</v>
      </c>
      <c r="CE114" s="202" t="s">
        <v>111</v>
      </c>
      <c r="CF114" s="203">
        <f>CF116/CF79</f>
        <v>438.5135135135136</v>
      </c>
      <c r="CG114" s="202" t="s">
        <v>111</v>
      </c>
      <c r="CH114" s="203">
        <f>CH116/CH79</f>
        <v>438.5135135135136</v>
      </c>
      <c r="CI114" s="202" t="s">
        <v>111</v>
      </c>
      <c r="CJ114" s="203">
        <f>CJ116/CJ79</f>
        <v>431.07776999936362</v>
      </c>
      <c r="CK114" s="202" t="s">
        <v>111</v>
      </c>
      <c r="CL114" s="203">
        <f>CL116/CL79</f>
        <v>431.7937376694457</v>
      </c>
      <c r="CM114" s="202" t="s">
        <v>111</v>
      </c>
      <c r="CN114" s="203">
        <f>CN116/CN79</f>
        <v>431.7937376694457</v>
      </c>
      <c r="CO114" s="202" t="s">
        <v>111</v>
      </c>
      <c r="CP114" s="203">
        <f>CP116/CP79</f>
        <v>447</v>
      </c>
      <c r="CR114" s="202" t="s">
        <v>111</v>
      </c>
      <c r="CS114" s="203">
        <f>CS116/CS79</f>
        <v>431.4695009242144</v>
      </c>
      <c r="CT114" s="202" t="s">
        <v>111</v>
      </c>
      <c r="CU114" s="203">
        <f>CU116/CU79</f>
        <v>432.18656383453373</v>
      </c>
      <c r="CV114" s="202" t="s">
        <v>111</v>
      </c>
      <c r="CW114" s="203">
        <f>CW116/CW79</f>
        <v>432.18656383453373</v>
      </c>
      <c r="CX114" s="202" t="s">
        <v>111</v>
      </c>
      <c r="CY114" s="203">
        <f>CY116/CY79</f>
        <v>447</v>
      </c>
      <c r="DA114" s="202" t="s">
        <v>111</v>
      </c>
      <c r="DB114" s="203">
        <f>DB116/DB79</f>
        <v>434.26224226804123</v>
      </c>
      <c r="DC114" s="202" t="s">
        <v>111</v>
      </c>
      <c r="DD114" s="203">
        <f>DD116/DD79</f>
        <v>434.98711340206188</v>
      </c>
      <c r="DE114" s="202" t="s">
        <v>111</v>
      </c>
      <c r="DF114" s="203">
        <f>DF116/DF79</f>
        <v>434.98711340206188</v>
      </c>
      <c r="DH114" s="202" t="s">
        <v>111</v>
      </c>
      <c r="DI114" s="203">
        <f>DI116/DI79</f>
        <v>432.37389295340779</v>
      </c>
      <c r="DJ114" s="202" t="s">
        <v>111</v>
      </c>
      <c r="DK114" s="203">
        <f>DK116/DK79</f>
        <v>433.56757797458607</v>
      </c>
      <c r="DL114" s="202" t="s">
        <v>111</v>
      </c>
      <c r="DM114" s="203">
        <f>DM116/DM79</f>
        <v>432.37389295340779</v>
      </c>
      <c r="DO114" s="202" t="s">
        <v>111</v>
      </c>
      <c r="DP114" s="203">
        <f>DP116/DP79</f>
        <v>430.42322145086297</v>
      </c>
      <c r="DQ114" s="202" t="s">
        <v>111</v>
      </c>
      <c r="DR114" s="203">
        <f>DR116/DR79</f>
        <v>431.6078593720145</v>
      </c>
      <c r="DS114" s="202" t="s">
        <v>111</v>
      </c>
      <c r="DT114" s="203">
        <f>DT116/DT79</f>
        <v>430.42322145086297</v>
      </c>
      <c r="DV114" s="202" t="s">
        <v>111</v>
      </c>
      <c r="DW114" s="203">
        <f>DW116/DW79</f>
        <v>424.63585434173672</v>
      </c>
      <c r="DX114" s="202" t="s">
        <v>111</v>
      </c>
      <c r="DY114" s="203">
        <f>DY116/DY79</f>
        <v>425.79365079365084</v>
      </c>
      <c r="EA114" s="202" t="s">
        <v>111</v>
      </c>
      <c r="EB114" s="203">
        <f>EB116/EB79</f>
        <v>424.44952416495613</v>
      </c>
      <c r="ED114" s="202" t="s">
        <v>111</v>
      </c>
      <c r="EE114" s="203">
        <f>EE116/EE79</f>
        <v>422.72503689129371</v>
      </c>
      <c r="EG114" s="202" t="s">
        <v>111</v>
      </c>
      <c r="EH114" s="203">
        <f>EH116/EH79</f>
        <v>427.33293668190652</v>
      </c>
      <c r="EJ114" s="202" t="s">
        <v>111</v>
      </c>
      <c r="EK114" s="203">
        <f>EK116/EK79</f>
        <v>435.70337385425466</v>
      </c>
      <c r="EM114" s="202" t="s">
        <v>111</v>
      </c>
      <c r="EN114" s="203">
        <f>EN116/EN79</f>
        <v>435.27131782945742</v>
      </c>
      <c r="EP114" s="202" t="s">
        <v>111</v>
      </c>
      <c r="EQ114" s="203">
        <f>EQ116/EQ79</f>
        <v>430.50130001902471</v>
      </c>
      <c r="ER114" s="202" t="s">
        <v>111</v>
      </c>
      <c r="ES114" s="203">
        <f>ES116/ES79</f>
        <v>429.32177056249606</v>
      </c>
      <c r="ET114" s="4"/>
      <c r="EU114" s="202" t="s">
        <v>111</v>
      </c>
      <c r="EV114" s="203">
        <f>EV116/EV79</f>
        <v>427.2539444027048</v>
      </c>
      <c r="EX114" s="202" t="s">
        <v>111</v>
      </c>
      <c r="EY114" s="203">
        <f>EY116/EY79</f>
        <v>433.73548387096776</v>
      </c>
      <c r="EZ114" s="202" t="s">
        <v>111</v>
      </c>
      <c r="FA114" s="203">
        <f>FA116/FA79</f>
        <v>434.93548387096774</v>
      </c>
      <c r="FB114" s="202" t="s">
        <v>111</v>
      </c>
      <c r="FC114" s="203">
        <f>FC116/FC79</f>
        <v>433.73548387096776</v>
      </c>
    </row>
    <row r="115" spans="1:159" s="65" customFormat="1" ht="18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0.11589149097772992</v>
      </c>
      <c r="H115" s="202" t="s">
        <v>111</v>
      </c>
      <c r="I115" s="203">
        <f>I114/I66</f>
        <v>0.11746356714276762</v>
      </c>
      <c r="J115" s="202" t="s">
        <v>111</v>
      </c>
      <c r="K115" s="203">
        <f>K114/K66</f>
        <v>0.11694125244733888</v>
      </c>
      <c r="L115" s="202" t="s">
        <v>111</v>
      </c>
      <c r="M115" s="203">
        <f>M114/M66</f>
        <v>0.11429499699210939</v>
      </c>
      <c r="N115" s="202" t="s">
        <v>111</v>
      </c>
      <c r="O115" s="203">
        <f>O114/O66</f>
        <v>0.11424586776859504</v>
      </c>
      <c r="P115" s="202" t="s">
        <v>111</v>
      </c>
      <c r="Q115" s="203">
        <f>Q114/Q66</f>
        <v>0.11245237200815712</v>
      </c>
      <c r="R115" s="656"/>
      <c r="S115" s="202" t="s">
        <v>111</v>
      </c>
      <c r="T115" s="203">
        <f>T114/T66</f>
        <v>0.11234677646396847</v>
      </c>
      <c r="U115" s="202" t="s">
        <v>111</v>
      </c>
      <c r="V115" s="203">
        <f>V114/V66</f>
        <v>0.11387218896785366</v>
      </c>
      <c r="W115" s="202" t="s">
        <v>111</v>
      </c>
      <c r="X115" s="203">
        <f>X114/X66</f>
        <v>0.11681614471886059</v>
      </c>
      <c r="Y115" s="202" t="s">
        <v>111</v>
      </c>
      <c r="Z115" s="203">
        <f>Z114/Z66</f>
        <v>0.11407596454915339</v>
      </c>
      <c r="AA115" s="202" t="s">
        <v>111</v>
      </c>
      <c r="AB115" s="203">
        <f>AB114/AB66</f>
        <v>0.11424586776859504</v>
      </c>
      <c r="AC115" s="202" t="s">
        <v>111</v>
      </c>
      <c r="AD115" s="203">
        <f>AD114/AD66</f>
        <v>0.11424586776859504</v>
      </c>
      <c r="AE115" s="202" t="s">
        <v>111</v>
      </c>
      <c r="AF115" s="203" t="e">
        <f>AF114/AF66</f>
        <v>#REF!</v>
      </c>
      <c r="AG115" s="656"/>
      <c r="AH115" s="202" t="s">
        <v>111</v>
      </c>
      <c r="AI115" s="203">
        <f>AI114/AI66</f>
        <v>0.12593900922976509</v>
      </c>
      <c r="AJ115" s="202" t="s">
        <v>111</v>
      </c>
      <c r="AK115" s="203">
        <f>AK114/AK66</f>
        <v>0.12764335387095693</v>
      </c>
      <c r="AL115" s="202" t="s">
        <v>111</v>
      </c>
      <c r="AM115" s="203">
        <f>AM114/AM66</f>
        <v>0.12692963072975585</v>
      </c>
      <c r="AN115" s="202" t="s">
        <v>111</v>
      </c>
      <c r="AO115" s="203">
        <f>AO114/AO66</f>
        <v>0.12424814194070251</v>
      </c>
      <c r="AP115" s="202" t="s">
        <v>111</v>
      </c>
      <c r="AQ115" s="203">
        <f>AQ114/AQ66</f>
        <v>0.1241549295774648</v>
      </c>
      <c r="AR115" s="202" t="s">
        <v>111</v>
      </c>
      <c r="AS115" s="203">
        <f>AS114/AS66</f>
        <v>0.12221053594293033</v>
      </c>
      <c r="AT115" s="202" t="s">
        <v>111</v>
      </c>
      <c r="AU115" s="203" t="e">
        <f>AU114/AU66</f>
        <v>#REF!</v>
      </c>
      <c r="AV115" s="656"/>
      <c r="AW115" s="202" t="s">
        <v>111</v>
      </c>
      <c r="AX115" s="203">
        <f>AX114/AX66</f>
        <v>0.12692963072975585</v>
      </c>
      <c r="AY115" s="201" t="s">
        <v>111</v>
      </c>
      <c r="AZ115" s="203">
        <f>AZ114/AZ66</f>
        <v>0.11589149097772992</v>
      </c>
      <c r="BA115" s="202" t="s">
        <v>111</v>
      </c>
      <c r="BB115" s="203">
        <f>BB114/BB66</f>
        <v>0.11762591747095878</v>
      </c>
      <c r="BC115" s="202" t="s">
        <v>111</v>
      </c>
      <c r="BD115" s="203">
        <f>BD114/BD66</f>
        <v>0.11738864187923066</v>
      </c>
      <c r="BE115" s="202" t="s">
        <v>111</v>
      </c>
      <c r="BF115" s="203">
        <f>BF114/BF66</f>
        <v>0.11447680284142735</v>
      </c>
      <c r="BG115" s="202" t="s">
        <v>111</v>
      </c>
      <c r="BH115" s="203">
        <f>BH114/BH66</f>
        <v>0.11517897029260665</v>
      </c>
      <c r="BI115" s="202" t="s">
        <v>111</v>
      </c>
      <c r="BJ115" s="203">
        <f>BJ114/BJ66</f>
        <v>0.11517897029260665</v>
      </c>
      <c r="BK115" s="202" t="s">
        <v>111</v>
      </c>
      <c r="BL115" s="203">
        <f>BL114/BL66</f>
        <v>9.2963629182467783E-2</v>
      </c>
      <c r="BM115" s="202" t="s">
        <v>111</v>
      </c>
      <c r="BN115" s="203">
        <f>BN114/BN66</f>
        <v>9.0603076279649336E-2</v>
      </c>
      <c r="BO115" s="202" t="s">
        <v>111</v>
      </c>
      <c r="BP115" s="203">
        <f>BP114/BP66</f>
        <v>9.1373509136667017E-2</v>
      </c>
      <c r="BQ115" s="202" t="s">
        <v>111</v>
      </c>
      <c r="BR115" s="203">
        <f>BR114/BR66</f>
        <v>9.1373509136667017E-2</v>
      </c>
      <c r="BS115" s="202" t="s">
        <v>111</v>
      </c>
      <c r="BT115" s="203">
        <f>BT114/BT66</f>
        <v>9.5159531380276788E-2</v>
      </c>
      <c r="BU115" s="202" t="s">
        <v>111</v>
      </c>
      <c r="BV115" s="203">
        <f>BV114/BV66</f>
        <v>9.3246884546281328E-2</v>
      </c>
      <c r="BW115" s="202" t="s">
        <v>111</v>
      </c>
      <c r="BX115" s="203">
        <f>BX114/BX66</f>
        <v>9.3890765765765771E-2</v>
      </c>
      <c r="BY115" s="202" t="s">
        <v>111</v>
      </c>
      <c r="BZ115" s="203">
        <f>BZ114/BZ66</f>
        <v>9.3890765765765771E-2</v>
      </c>
      <c r="CA115" s="202" t="s">
        <v>111</v>
      </c>
      <c r="CB115" s="203">
        <f>CB114/CB66</f>
        <v>0.18535869493327953</v>
      </c>
      <c r="CC115" s="202" t="s">
        <v>111</v>
      </c>
      <c r="CD115" s="203">
        <f>CD114/CD66</f>
        <v>0.18165640403276034</v>
      </c>
      <c r="CE115" s="202" t="s">
        <v>111</v>
      </c>
      <c r="CF115" s="203">
        <f>CF114/CF66</f>
        <v>0.182713963963964</v>
      </c>
      <c r="CG115" s="202" t="s">
        <v>111</v>
      </c>
      <c r="CH115" s="203">
        <f>CH114/CH66</f>
        <v>0.182713963963964</v>
      </c>
      <c r="CI115" s="202" t="s">
        <v>111</v>
      </c>
      <c r="CJ115" s="203">
        <f>CJ114/CJ66</f>
        <v>0.10643895555539842</v>
      </c>
      <c r="CK115" s="202" t="s">
        <v>111</v>
      </c>
      <c r="CL115" s="203">
        <f>CL114/CL66</f>
        <v>0.10280803277843946</v>
      </c>
      <c r="CM115" s="202" t="s">
        <v>111</v>
      </c>
      <c r="CN115" s="203">
        <f>CN114/CN66</f>
        <v>0.10280803277843946</v>
      </c>
      <c r="CO115" s="202" t="s">
        <v>111</v>
      </c>
      <c r="CP115" s="203">
        <f>CP114/CP66</f>
        <v>9.3124999999999999E-2</v>
      </c>
      <c r="CR115" s="202" t="s">
        <v>111</v>
      </c>
      <c r="CS115" s="203">
        <f>CS114/CS66</f>
        <v>0.10653567924054677</v>
      </c>
      <c r="CT115" s="202" t="s">
        <v>111</v>
      </c>
      <c r="CU115" s="203">
        <f>CU114/CU66</f>
        <v>0.10290156281774612</v>
      </c>
      <c r="CV115" s="202" t="s">
        <v>111</v>
      </c>
      <c r="CW115" s="203">
        <f>CW114/CW66</f>
        <v>0.10290156281774612</v>
      </c>
      <c r="CX115" s="202" t="s">
        <v>111</v>
      </c>
      <c r="CY115" s="203">
        <f>CY114/CY66</f>
        <v>9.3124999999999999E-2</v>
      </c>
      <c r="DA115" s="202" t="s">
        <v>111</v>
      </c>
      <c r="DB115" s="203">
        <f>DB114/DB66</f>
        <v>0.10722524500445463</v>
      </c>
      <c r="DC115" s="202" t="s">
        <v>111</v>
      </c>
      <c r="DD115" s="203">
        <f>DD114/DD66</f>
        <v>0.10356836033382426</v>
      </c>
      <c r="DE115" s="202" t="s">
        <v>111</v>
      </c>
      <c r="DF115" s="203">
        <f>DF114/DF66</f>
        <v>0.10356836033382426</v>
      </c>
      <c r="DH115" s="202" t="s">
        <v>111</v>
      </c>
      <c r="DI115" s="203">
        <f>DI114/DI66</f>
        <v>0.11166681119664458</v>
      </c>
      <c r="DJ115" s="202" t="s">
        <v>111</v>
      </c>
      <c r="DK115" s="203">
        <f>DK114/DK66</f>
        <v>0.10523484902295778</v>
      </c>
      <c r="DL115" s="202" t="s">
        <v>111</v>
      </c>
      <c r="DM115" s="203">
        <f>DM114/DM66</f>
        <v>0.11166681119664458</v>
      </c>
      <c r="DO115" s="202" t="s">
        <v>111</v>
      </c>
      <c r="DP115" s="203">
        <f>DP114/DP66</f>
        <v>0.11116302206892122</v>
      </c>
      <c r="DQ115" s="202" t="s">
        <v>111</v>
      </c>
      <c r="DR115" s="203">
        <f>DR114/DR66</f>
        <v>0.10475918916796469</v>
      </c>
      <c r="DS115" s="202" t="s">
        <v>111</v>
      </c>
      <c r="DT115" s="203">
        <f>DT114/DT66</f>
        <v>0.11116302206892122</v>
      </c>
      <c r="DV115" s="202" t="s">
        <v>111</v>
      </c>
      <c r="DW115" s="203">
        <f>DW114/DW66</f>
        <v>0.10966835081139895</v>
      </c>
      <c r="DX115" s="202" t="s">
        <v>111</v>
      </c>
      <c r="DY115" s="203">
        <f>DY114/DY66</f>
        <v>0.10334797349360457</v>
      </c>
      <c r="EA115" s="202" t="s">
        <v>111</v>
      </c>
      <c r="EB115" s="203">
        <f>EB114/EB66</f>
        <v>0.10962022834838743</v>
      </c>
      <c r="ED115" s="202" t="s">
        <v>111</v>
      </c>
      <c r="EE115" s="203">
        <f>EE114/EE66</f>
        <v>0.10260316429400333</v>
      </c>
      <c r="EG115" s="202" t="s">
        <v>111</v>
      </c>
      <c r="EH115" s="203">
        <f>EH114/EH66</f>
        <v>0.10372158657327828</v>
      </c>
      <c r="EJ115" s="202" t="s">
        <v>111</v>
      </c>
      <c r="EK115" s="203">
        <f>EK114/EK66</f>
        <v>0.11252669779293767</v>
      </c>
      <c r="EM115" s="202" t="s">
        <v>111</v>
      </c>
      <c r="EN115" s="203">
        <f>EN114/EN66</f>
        <v>0.10564837811394598</v>
      </c>
      <c r="EP115" s="202" t="s">
        <v>111</v>
      </c>
      <c r="EQ115" s="203">
        <f>EQ114/EQ66</f>
        <v>0.10449060680073416</v>
      </c>
      <c r="ER115" s="202" t="s">
        <v>111</v>
      </c>
      <c r="ES115" s="203">
        <f>ES114/ES66</f>
        <v>0.11087855644692564</v>
      </c>
      <c r="ET115" s="4"/>
      <c r="EU115" s="202" t="s">
        <v>111</v>
      </c>
      <c r="EV115" s="203">
        <f>EV114/EV66</f>
        <v>0.10370241368997689</v>
      </c>
      <c r="EX115" s="202" t="s">
        <v>111</v>
      </c>
      <c r="EY115" s="203">
        <f>EY114/EY66</f>
        <v>0.11201846174353507</v>
      </c>
      <c r="EZ115" s="202" t="s">
        <v>111</v>
      </c>
      <c r="FA115" s="203">
        <f>FA114/FA66</f>
        <v>0.10556686501722518</v>
      </c>
      <c r="FB115" s="202" t="s">
        <v>111</v>
      </c>
      <c r="FC115" s="203">
        <f>FC114/FC66</f>
        <v>0.11201846174353507</v>
      </c>
    </row>
    <row r="116" spans="1:159" s="65" customFormat="1" ht="18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6574295.988499999</v>
      </c>
      <c r="H116" s="202" t="s">
        <v>114</v>
      </c>
      <c r="I116" s="204">
        <f>I117*I66</f>
        <v>6518521.9309999989</v>
      </c>
      <c r="J116" s="202" t="s">
        <v>114</v>
      </c>
      <c r="K116" s="204">
        <f>K117*K66</f>
        <v>6536781.4538057065</v>
      </c>
      <c r="L116" s="202" t="s">
        <v>114</v>
      </c>
      <c r="M116" s="204">
        <f>M117*M66</f>
        <v>6633533.6236157473</v>
      </c>
      <c r="N116" s="202" t="s">
        <v>114</v>
      </c>
      <c r="O116" s="204">
        <f>O117*O66</f>
        <v>6635399.9999999991</v>
      </c>
      <c r="P116" s="202" t="s">
        <v>114</v>
      </c>
      <c r="Q116" s="204">
        <f>Q117*Q66</f>
        <v>6705399.9999999991</v>
      </c>
      <c r="R116" s="657"/>
      <c r="S116" s="202" t="s">
        <v>114</v>
      </c>
      <c r="T116" s="204">
        <f>T117*T66</f>
        <v>6583895.9885</v>
      </c>
      <c r="U116" s="202" t="s">
        <v>114</v>
      </c>
      <c r="V116" s="204">
        <f>V117*V66</f>
        <v>6528121.9309999999</v>
      </c>
      <c r="W116" s="202" t="s">
        <v>114</v>
      </c>
      <c r="X116" s="204">
        <f>X117*X66</f>
        <v>6541194.6127885217</v>
      </c>
      <c r="Y116" s="202" t="s">
        <v>114</v>
      </c>
      <c r="Z116" s="204">
        <f>Z117*Z66</f>
        <v>6641874.9999999991</v>
      </c>
      <c r="AA116" s="202" t="s">
        <v>114</v>
      </c>
      <c r="AB116" s="204">
        <f>AB117*AB66</f>
        <v>6635399.9999999991</v>
      </c>
      <c r="AC116" s="202" t="s">
        <v>114</v>
      </c>
      <c r="AD116" s="204">
        <f>AD117*AD66</f>
        <v>6635399.9999999991</v>
      </c>
      <c r="AE116" s="202" t="s">
        <v>114</v>
      </c>
      <c r="AF116" s="204" t="e">
        <f>AF117*AF66</f>
        <v>#REF!</v>
      </c>
      <c r="AG116" s="657"/>
      <c r="AH116" s="202" t="s">
        <v>114</v>
      </c>
      <c r="AI116" s="204">
        <f>AI117*AI66</f>
        <v>6550145.9885000009</v>
      </c>
      <c r="AJ116" s="202" t="s">
        <v>114</v>
      </c>
      <c r="AK116" s="204">
        <f>AK117*AK66</f>
        <v>6494371.9309999999</v>
      </c>
      <c r="AL116" s="202" t="s">
        <v>114</v>
      </c>
      <c r="AM116" s="204">
        <f>AM117*AM66</f>
        <v>6517430.2299620016</v>
      </c>
      <c r="AN116" s="202" t="s">
        <v>114</v>
      </c>
      <c r="AO116" s="204">
        <f>AO117*AO66</f>
        <v>6607985.4939898942</v>
      </c>
      <c r="AP116" s="202" t="s">
        <v>114</v>
      </c>
      <c r="AQ116" s="204">
        <f>AQ117*AQ66</f>
        <v>6611250</v>
      </c>
      <c r="AR116" s="202" t="s">
        <v>114</v>
      </c>
      <c r="AS116" s="204">
        <f>AS117*AS66</f>
        <v>6681250.0000000009</v>
      </c>
      <c r="AT116" s="202" t="s">
        <v>114</v>
      </c>
      <c r="AU116" s="204" t="e">
        <f>AU117*AU66</f>
        <v>#REF!</v>
      </c>
      <c r="AV116" s="657"/>
      <c r="AW116" s="202" t="s">
        <v>114</v>
      </c>
      <c r="AX116" s="204">
        <f>AX117*AX66</f>
        <v>6517430.2299620016</v>
      </c>
      <c r="AY116" s="201" t="s">
        <v>114</v>
      </c>
      <c r="AZ116" s="204">
        <f>AZ117*AZ66</f>
        <v>6574295.988499999</v>
      </c>
      <c r="BA116" s="202" t="s">
        <v>114</v>
      </c>
      <c r="BB116" s="204">
        <f>BB117*BB66</f>
        <v>6512900</v>
      </c>
      <c r="BC116" s="202" t="s">
        <v>114</v>
      </c>
      <c r="BD116" s="204">
        <f>BD117*BD66</f>
        <v>6521125</v>
      </c>
      <c r="BE116" s="202" t="s">
        <v>114</v>
      </c>
      <c r="BF116" s="204">
        <f>BF117*BF66</f>
        <v>6626650</v>
      </c>
      <c r="BG116" s="202" t="s">
        <v>114</v>
      </c>
      <c r="BH116" s="204">
        <f>BH117*BH66</f>
        <v>6600400</v>
      </c>
      <c r="BI116" s="202" t="s">
        <v>114</v>
      </c>
      <c r="BJ116" s="204">
        <f>BJ117*BJ66</f>
        <v>6600400</v>
      </c>
      <c r="BK116" s="202" t="s">
        <v>114</v>
      </c>
      <c r="BL116" s="204">
        <f>BL117*BL66</f>
        <v>6608923.4222863326</v>
      </c>
      <c r="BM116" s="202" t="s">
        <v>114</v>
      </c>
      <c r="BN116" s="204">
        <f>BN117*BN66</f>
        <v>6716663.3622350674</v>
      </c>
      <c r="BO116" s="202" t="s">
        <v>114</v>
      </c>
      <c r="BP116" s="204">
        <f>BP117*BP66</f>
        <v>6680499.9999999991</v>
      </c>
      <c r="BQ116" s="202" t="s">
        <v>114</v>
      </c>
      <c r="BR116" s="204">
        <f>BR117*BR66</f>
        <v>6680499.9999999991</v>
      </c>
      <c r="BS116" s="202" t="s">
        <v>114</v>
      </c>
      <c r="BT116" s="204">
        <f>BT117*BT66</f>
        <v>6614019.8317765929</v>
      </c>
      <c r="BU116" s="202" t="s">
        <v>114</v>
      </c>
      <c r="BV116" s="204">
        <f>BV117*BV66</f>
        <v>6699365.9958362244</v>
      </c>
      <c r="BW116" s="202" t="s">
        <v>114</v>
      </c>
      <c r="BX116" s="204">
        <f>BX117*BX66</f>
        <v>6670000.0000000009</v>
      </c>
      <c r="BY116" s="202" t="s">
        <v>114</v>
      </c>
      <c r="BZ116" s="204">
        <f>BZ117*BZ66</f>
        <v>6670000.0000000009</v>
      </c>
      <c r="CA116" s="202" t="s">
        <v>114</v>
      </c>
      <c r="CB116" s="204">
        <f>CB117*CB66</f>
        <v>6429081.0240963856</v>
      </c>
      <c r="CC116" s="202" t="s">
        <v>114</v>
      </c>
      <c r="CD116" s="204">
        <f>CD117*CD66</f>
        <v>6515189.3216607254</v>
      </c>
      <c r="CE116" s="202" t="s">
        <v>114</v>
      </c>
      <c r="CF116" s="204">
        <f>CF117*CF66</f>
        <v>6490000.0000000009</v>
      </c>
      <c r="CG116" s="202" t="s">
        <v>114</v>
      </c>
      <c r="CH116" s="204">
        <f>CH117*CH66</f>
        <v>6490000.0000000009</v>
      </c>
      <c r="CI116" s="202" t="s">
        <v>114</v>
      </c>
      <c r="CJ116" s="204">
        <f>CJ117*CJ66</f>
        <v>6773525.0000000009</v>
      </c>
      <c r="CK116" s="202" t="s">
        <v>114</v>
      </c>
      <c r="CL116" s="204">
        <f>CL117*CL66</f>
        <v>6784775</v>
      </c>
      <c r="CM116" s="202" t="s">
        <v>114</v>
      </c>
      <c r="CN116" s="204">
        <f>CN117*CN66</f>
        <v>6784775</v>
      </c>
      <c r="CO116" s="202" t="s">
        <v>114</v>
      </c>
      <c r="CP116" s="204">
        <f>CP117*CP66</f>
        <v>6705000</v>
      </c>
      <c r="CR116" s="202" t="s">
        <v>114</v>
      </c>
      <c r="CS116" s="204">
        <f>CS117*CS66</f>
        <v>6769325</v>
      </c>
      <c r="CT116" s="202" t="s">
        <v>114</v>
      </c>
      <c r="CU116" s="204">
        <f>CU117*CU66</f>
        <v>6780575</v>
      </c>
      <c r="CV116" s="202" t="s">
        <v>114</v>
      </c>
      <c r="CW116" s="204">
        <f>CW117*CW66</f>
        <v>6780575</v>
      </c>
      <c r="CX116" s="202" t="s">
        <v>114</v>
      </c>
      <c r="CY116" s="204">
        <f>CY117*CY66</f>
        <v>6705000</v>
      </c>
      <c r="DA116" s="202" t="s">
        <v>114</v>
      </c>
      <c r="DB116" s="204">
        <f>DB117*DB66</f>
        <v>6739750</v>
      </c>
      <c r="DC116" s="202" t="s">
        <v>114</v>
      </c>
      <c r="DD116" s="204">
        <f>DD117*DD66</f>
        <v>6751000</v>
      </c>
      <c r="DE116" s="202" t="s">
        <v>114</v>
      </c>
      <c r="DF116" s="204">
        <f>DF117*DF66</f>
        <v>6751000</v>
      </c>
      <c r="DH116" s="202" t="s">
        <v>114</v>
      </c>
      <c r="DI116" s="204">
        <f>DI117*DI66</f>
        <v>6737250</v>
      </c>
      <c r="DJ116" s="202" t="s">
        <v>114</v>
      </c>
      <c r="DK116" s="204">
        <f>DK117*DK66</f>
        <v>6755850</v>
      </c>
      <c r="DL116" s="202" t="s">
        <v>114</v>
      </c>
      <c r="DM116" s="204">
        <f>DM117*DM66</f>
        <v>6737250</v>
      </c>
      <c r="DO116" s="202" t="s">
        <v>114</v>
      </c>
      <c r="DP116" s="204">
        <f>DP117*DP66</f>
        <v>6758074.9999999991</v>
      </c>
      <c r="DQ116" s="202" t="s">
        <v>114</v>
      </c>
      <c r="DR116" s="204">
        <f>DR117*DR66</f>
        <v>6776675</v>
      </c>
      <c r="DS116" s="202" t="s">
        <v>114</v>
      </c>
      <c r="DT116" s="204">
        <f>DT117*DT66</f>
        <v>6758074.9999999991</v>
      </c>
      <c r="DV116" s="202" t="s">
        <v>114</v>
      </c>
      <c r="DW116" s="204">
        <f>DW117*DW66</f>
        <v>6821775</v>
      </c>
      <c r="DX116" s="202" t="s">
        <v>114</v>
      </c>
      <c r="DY116" s="204">
        <f>DY117*DY66</f>
        <v>6840375.0000000009</v>
      </c>
      <c r="EA116" s="202" t="s">
        <v>114</v>
      </c>
      <c r="EB116" s="204">
        <f>EB117*EB66</f>
        <v>6823875</v>
      </c>
      <c r="ED116" s="202" t="s">
        <v>114</v>
      </c>
      <c r="EE116" s="204">
        <f>EE117*EE66</f>
        <v>6875200.0000000009</v>
      </c>
      <c r="EG116" s="202" t="s">
        <v>114</v>
      </c>
      <c r="EH116" s="204">
        <f>EH117*EH66</f>
        <v>6823225.0000000009</v>
      </c>
      <c r="EJ116" s="202" t="s">
        <v>114</v>
      </c>
      <c r="EK116" s="204">
        <f>EK117*EK66</f>
        <v>6702424.9999999991</v>
      </c>
      <c r="EM116" s="202" t="s">
        <v>114</v>
      </c>
      <c r="EN116" s="204">
        <f>EN117*EN66</f>
        <v>6738000.0000000009</v>
      </c>
      <c r="EP116" s="202" t="s">
        <v>114</v>
      </c>
      <c r="EQ116" s="204">
        <f>EQ117*EQ66</f>
        <v>6788575.0000000009</v>
      </c>
      <c r="ER116" s="202" t="s">
        <v>114</v>
      </c>
      <c r="ES116" s="204">
        <f>ES117*ES66</f>
        <v>6769975</v>
      </c>
      <c r="ET116" s="4"/>
      <c r="EU116" s="202" t="s">
        <v>114</v>
      </c>
      <c r="EV116" s="204">
        <f>EV117*EV66</f>
        <v>6824100.0000000009</v>
      </c>
      <c r="EX116" s="202" t="s">
        <v>114</v>
      </c>
      <c r="EY116" s="204">
        <f>EY117*EY66</f>
        <v>6722900</v>
      </c>
      <c r="EZ116" s="202" t="s">
        <v>114</v>
      </c>
      <c r="FA116" s="204">
        <f>FA117*FA66</f>
        <v>6741500</v>
      </c>
      <c r="FB116" s="202" t="s">
        <v>114</v>
      </c>
      <c r="FC116" s="204">
        <f>FC117*FC66</f>
        <v>6722900</v>
      </c>
    </row>
    <row r="117" spans="1:159" s="65" customFormat="1" ht="18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1697.9070218233469</v>
      </c>
      <c r="H117" s="202" t="s">
        <v>114</v>
      </c>
      <c r="I117" s="204">
        <f>SUM(I118:I123)</f>
        <v>1683.50256482438</v>
      </c>
      <c r="J117" s="202" t="s">
        <v>114</v>
      </c>
      <c r="K117" s="204">
        <f>SUM(K118:K123)</f>
        <v>1688.2183506729614</v>
      </c>
      <c r="L117" s="202" t="s">
        <v>114</v>
      </c>
      <c r="M117" s="204">
        <f>SUM(M118:M123)</f>
        <v>1713.2059978346456</v>
      </c>
      <c r="N117" s="202" t="s">
        <v>114</v>
      </c>
      <c r="O117" s="204">
        <f>SUM(O118:O123)</f>
        <v>1713.6880165289253</v>
      </c>
      <c r="P117" s="202" t="s">
        <v>114</v>
      </c>
      <c r="Q117" s="204">
        <f>SUM(Q118:Q123)</f>
        <v>1731.7665289256197</v>
      </c>
      <c r="R117" s="657"/>
      <c r="S117" s="202" t="s">
        <v>114</v>
      </c>
      <c r="T117" s="204">
        <f>SUM(T118:T123)</f>
        <v>1645.9739971250001</v>
      </c>
      <c r="U117" s="202" t="s">
        <v>114</v>
      </c>
      <c r="V117" s="204">
        <f>SUM(V118:V123)</f>
        <v>1632.0304827499999</v>
      </c>
      <c r="W117" s="202" t="s">
        <v>114</v>
      </c>
      <c r="X117" s="204">
        <f>SUM(X118:X123)</f>
        <v>1689.3581128069529</v>
      </c>
      <c r="Y117" s="202" t="s">
        <v>114</v>
      </c>
      <c r="Z117" s="204">
        <f>SUM(Z118:Z123)</f>
        <v>1715.3602789256197</v>
      </c>
      <c r="AA117" s="202" t="s">
        <v>114</v>
      </c>
      <c r="AB117" s="204">
        <f>SUM(AB118:AB123)</f>
        <v>1713.6880165289253</v>
      </c>
      <c r="AC117" s="202" t="s">
        <v>114</v>
      </c>
      <c r="AD117" s="204">
        <f>SUM(AD118:AD123)</f>
        <v>1713.6880165289253</v>
      </c>
      <c r="AE117" s="202" t="s">
        <v>114</v>
      </c>
      <c r="AF117" s="204" t="e">
        <f>SUM(AF118:AF123)</f>
        <v>#REF!</v>
      </c>
      <c r="AG117" s="657"/>
      <c r="AH117" s="202" t="s">
        <v>114</v>
      </c>
      <c r="AI117" s="204">
        <f>SUM(AI118:AI123)</f>
        <v>1845.1115460563383</v>
      </c>
      <c r="AJ117" s="202" t="s">
        <v>114</v>
      </c>
      <c r="AK117" s="204">
        <f>SUM(AK118:AK123)</f>
        <v>1829.4005439436619</v>
      </c>
      <c r="AL117" s="202" t="s">
        <v>114</v>
      </c>
      <c r="AM117" s="204">
        <f>SUM(AM118:AM123)</f>
        <v>1835.8958394259159</v>
      </c>
      <c r="AN117" s="202" t="s">
        <v>114</v>
      </c>
      <c r="AO117" s="204">
        <f>SUM(AO118:AO123)</f>
        <v>1861.4043645041957</v>
      </c>
      <c r="AP117" s="202" t="s">
        <v>114</v>
      </c>
      <c r="AQ117" s="204">
        <f>SUM(AQ118:AQ123)</f>
        <v>1862.323943661972</v>
      </c>
      <c r="AR117" s="202" t="s">
        <v>114</v>
      </c>
      <c r="AS117" s="204">
        <f>SUM(AS118:AS123)</f>
        <v>1882.0422535211269</v>
      </c>
      <c r="AT117" s="202" t="s">
        <v>114</v>
      </c>
      <c r="AU117" s="204" t="e">
        <f>SUM(AU118:AU123)</f>
        <v>#REF!</v>
      </c>
      <c r="AV117" s="657"/>
      <c r="AW117" s="202" t="s">
        <v>114</v>
      </c>
      <c r="AX117" s="204">
        <f>SUM(AX118:AX123)</f>
        <v>1835.8958394259159</v>
      </c>
      <c r="AY117" s="201" t="s">
        <v>114</v>
      </c>
      <c r="AZ117" s="204">
        <f>SUM(AZ118:AZ123)</f>
        <v>1697.9070218233469</v>
      </c>
      <c r="BA117" s="202" t="s">
        <v>114</v>
      </c>
      <c r="BB117" s="204">
        <f>SUM(BB118:BB123)</f>
        <v>1682.0506198347107</v>
      </c>
      <c r="BC117" s="202" t="s">
        <v>114</v>
      </c>
      <c r="BD117" s="204">
        <f>SUM(BD118:BD123)</f>
        <v>1684.1748450413222</v>
      </c>
      <c r="BE117" s="202" t="s">
        <v>114</v>
      </c>
      <c r="BF117" s="204">
        <f>SUM(BF118:BF123)</f>
        <v>1711.4282024793388</v>
      </c>
      <c r="BG117" s="202" t="s">
        <v>114</v>
      </c>
      <c r="BH117" s="204">
        <f>SUM(BH118:BH123)</f>
        <v>1704.6487603305784</v>
      </c>
      <c r="BI117" s="202" t="s">
        <v>114</v>
      </c>
      <c r="BJ117" s="204">
        <f>SUM(BJ118:BJ123)</f>
        <v>1704.6487603305784</v>
      </c>
      <c r="BK117" s="202" t="s">
        <v>114</v>
      </c>
      <c r="BL117" s="204">
        <f>SUM(BL118:BL123)</f>
        <v>1337.8387494506746</v>
      </c>
      <c r="BM117" s="202" t="s">
        <v>114</v>
      </c>
      <c r="BN117" s="204">
        <f>SUM(BN118:BN123)</f>
        <v>1359.6484538937384</v>
      </c>
      <c r="BO117" s="202" t="s">
        <v>114</v>
      </c>
      <c r="BP117" s="204">
        <f>SUM(BP118:BP123)</f>
        <v>1352.3279352226718</v>
      </c>
      <c r="BQ117" s="202" t="s">
        <v>114</v>
      </c>
      <c r="BR117" s="204">
        <f>SUM(BR118:BR123)</f>
        <v>1352.3279352226718</v>
      </c>
      <c r="BS117" s="202" t="s">
        <v>114</v>
      </c>
      <c r="BT117" s="204">
        <f>SUM(BT118:BT123)</f>
        <v>1377.9207982867902</v>
      </c>
      <c r="BU117" s="202" t="s">
        <v>114</v>
      </c>
      <c r="BV117" s="204">
        <f>SUM(BV118:BV123)</f>
        <v>1395.7012491325468</v>
      </c>
      <c r="BW117" s="202" t="s">
        <v>114</v>
      </c>
      <c r="BX117" s="204">
        <f>SUM(BX118:BX123)</f>
        <v>1389.5833333333335</v>
      </c>
      <c r="BY117" s="202" t="s">
        <v>114</v>
      </c>
      <c r="BZ117" s="204">
        <f>SUM(BZ118:BZ123)</f>
        <v>1389.5833333333335</v>
      </c>
      <c r="CA117" s="202" t="s">
        <v>114</v>
      </c>
      <c r="CB117" s="204">
        <f>SUM(CB118:CB123)</f>
        <v>2678.7837600401608</v>
      </c>
      <c r="CC117" s="202" t="s">
        <v>114</v>
      </c>
      <c r="CD117" s="204">
        <f>SUM(CD118:CD123)</f>
        <v>2714.6622173586356</v>
      </c>
      <c r="CE117" s="202" t="s">
        <v>114</v>
      </c>
      <c r="CF117" s="204">
        <f>SUM(CF118:CF123)</f>
        <v>2704.166666666667</v>
      </c>
      <c r="CG117" s="202" t="s">
        <v>114</v>
      </c>
      <c r="CH117" s="204">
        <f>SUM(CH118:CH123)</f>
        <v>2704.166666666667</v>
      </c>
      <c r="CI117" s="202" t="s">
        <v>114</v>
      </c>
      <c r="CJ117" s="204">
        <f>SUM(CJ118:CJ123)</f>
        <v>1672.4753086419755</v>
      </c>
      <c r="CK117" s="202" t="s">
        <v>114</v>
      </c>
      <c r="CL117" s="204">
        <f>SUM(CL118:CL123)</f>
        <v>1615.422619047619</v>
      </c>
      <c r="CM117" s="202" t="s">
        <v>114</v>
      </c>
      <c r="CN117" s="204">
        <f>SUM(CN118:CN123)</f>
        <v>1615.422619047619</v>
      </c>
      <c r="CO117" s="202" t="s">
        <v>114</v>
      </c>
      <c r="CP117" s="204">
        <f>SUM(CP118:CP123)</f>
        <v>1396.875</v>
      </c>
      <c r="CR117" s="202" t="s">
        <v>114</v>
      </c>
      <c r="CS117" s="204">
        <f>SUM(CS118:CS123)</f>
        <v>1671.4382716049383</v>
      </c>
      <c r="CT117" s="202" t="s">
        <v>114</v>
      </c>
      <c r="CU117" s="204">
        <f>SUM(CU118:CU123)</f>
        <v>1614.422619047619</v>
      </c>
      <c r="CV117" s="202" t="s">
        <v>114</v>
      </c>
      <c r="CW117" s="204">
        <f>SUM(CW118:CW123)</f>
        <v>1614.422619047619</v>
      </c>
      <c r="CX117" s="202" t="s">
        <v>114</v>
      </c>
      <c r="CY117" s="204">
        <f>SUM(CY118:CY123)</f>
        <v>1396.875</v>
      </c>
      <c r="DA117" s="202" t="s">
        <v>114</v>
      </c>
      <c r="DB117" s="204">
        <f>SUM(DB118:DB123)</f>
        <v>1664.1358024691358</v>
      </c>
      <c r="DC117" s="202" t="s">
        <v>114</v>
      </c>
      <c r="DD117" s="204">
        <f>SUM(DD118:DD123)</f>
        <v>1607.3809523809523</v>
      </c>
      <c r="DE117" s="202" t="s">
        <v>114</v>
      </c>
      <c r="DF117" s="204">
        <f>SUM(DF118:DF123)</f>
        <v>1607.3809523809523</v>
      </c>
      <c r="DH117" s="202" t="s">
        <v>114</v>
      </c>
      <c r="DI117" s="204">
        <f>SUM(DI118:DI123)</f>
        <v>1739.9922520661157</v>
      </c>
      <c r="DJ117" s="202" t="s">
        <v>114</v>
      </c>
      <c r="DK117" s="204">
        <f>SUM(DK118:DK123)</f>
        <v>1639.7694174757282</v>
      </c>
      <c r="DL117" s="202" t="s">
        <v>114</v>
      </c>
      <c r="DM117" s="204">
        <f>SUM(DM118:DM123)</f>
        <v>1739.9922520661157</v>
      </c>
      <c r="DO117" s="202" t="s">
        <v>114</v>
      </c>
      <c r="DP117" s="204">
        <f>SUM(DP118:DP123)</f>
        <v>1745.3706095041321</v>
      </c>
      <c r="DQ117" s="202" t="s">
        <v>114</v>
      </c>
      <c r="DR117" s="204">
        <f>SUM(DR118:DR123)</f>
        <v>1644.8240291262136</v>
      </c>
      <c r="DS117" s="202" t="s">
        <v>114</v>
      </c>
      <c r="DT117" s="204">
        <f>SUM(DT118:DT123)</f>
        <v>1745.3706095041321</v>
      </c>
      <c r="DV117" s="202" t="s">
        <v>114</v>
      </c>
      <c r="DW117" s="204">
        <f>SUM(DW118:DW123)</f>
        <v>1761.8220557851239</v>
      </c>
      <c r="DX117" s="202" t="s">
        <v>114</v>
      </c>
      <c r="DY117" s="204">
        <f>SUM(DY118:DY123)</f>
        <v>1660.2851941747574</v>
      </c>
      <c r="EA117" s="202" t="s">
        <v>114</v>
      </c>
      <c r="EB117" s="204">
        <f>SUM(EB118:EB123)</f>
        <v>1762.3644111570247</v>
      </c>
      <c r="ED117" s="202" t="s">
        <v>114</v>
      </c>
      <c r="EE117" s="204">
        <f>SUM(EE118:EE123)</f>
        <v>1668.7378640776701</v>
      </c>
      <c r="EG117" s="202" t="s">
        <v>114</v>
      </c>
      <c r="EH117" s="204">
        <f>SUM(EH118:EH123)</f>
        <v>1656.1225728155341</v>
      </c>
      <c r="EJ117" s="202" t="s">
        <v>114</v>
      </c>
      <c r="EK117" s="204">
        <f>SUM(EK118:EK123)</f>
        <v>1730.9981921487602</v>
      </c>
      <c r="EM117" s="202" t="s">
        <v>114</v>
      </c>
      <c r="EN117" s="204">
        <f>SUM(EN118:EN123)</f>
        <v>1635.4368932038838</v>
      </c>
      <c r="EP117" s="202" t="s">
        <v>114</v>
      </c>
      <c r="EQ117" s="204">
        <f>SUM(EQ118:EQ123)</f>
        <v>1647.7123786407769</v>
      </c>
      <c r="ER117" s="202" t="s">
        <v>114</v>
      </c>
      <c r="ES117" s="204">
        <f>SUM(ES118:ES123)</f>
        <v>1748.4439566115702</v>
      </c>
      <c r="ET117" s="4"/>
      <c r="EU117" s="202" t="s">
        <v>114</v>
      </c>
      <c r="EV117" s="204">
        <f>SUM(EV118:EV123)</f>
        <v>1656.3349514563108</v>
      </c>
      <c r="EX117" s="202" t="s">
        <v>114</v>
      </c>
      <c r="EY117" s="204">
        <f>SUM(EY118:EY123)</f>
        <v>1736.2861570247933</v>
      </c>
      <c r="EZ117" s="202" t="s">
        <v>114</v>
      </c>
      <c r="FA117" s="204">
        <f>SUM(FA118:FA123)</f>
        <v>1636.2864077669904</v>
      </c>
      <c r="FB117" s="202" t="s">
        <v>114</v>
      </c>
      <c r="FC117" s="204">
        <f>SUM(FC118:FC123)</f>
        <v>1736.2861570247933</v>
      </c>
    </row>
    <row r="118" spans="1:159" s="65" customFormat="1" ht="18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657"/>
      <c r="S118" s="202" t="s">
        <v>114</v>
      </c>
      <c r="T118" s="204">
        <v>75</v>
      </c>
      <c r="U118" s="202" t="s">
        <v>114</v>
      </c>
      <c r="V118" s="204">
        <v>75</v>
      </c>
      <c r="W118" s="202" t="s">
        <v>114</v>
      </c>
      <c r="X118" s="204">
        <v>75</v>
      </c>
      <c r="Y118" s="202" t="s">
        <v>114</v>
      </c>
      <c r="Z118" s="204">
        <v>75</v>
      </c>
      <c r="AA118" s="202" t="s">
        <v>114</v>
      </c>
      <c r="AB118" s="204">
        <v>75</v>
      </c>
      <c r="AC118" s="202" t="s">
        <v>114</v>
      </c>
      <c r="AD118" s="204">
        <v>75</v>
      </c>
      <c r="AE118" s="202" t="s">
        <v>114</v>
      </c>
      <c r="AF118" s="204">
        <v>75</v>
      </c>
      <c r="AG118" s="657"/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657"/>
      <c r="AW118" s="202" t="s">
        <v>114</v>
      </c>
      <c r="AX118" s="204">
        <v>75</v>
      </c>
      <c r="AY118" s="201" t="s">
        <v>114</v>
      </c>
      <c r="AZ118" s="204">
        <v>75</v>
      </c>
      <c r="BA118" s="202" t="s">
        <v>114</v>
      </c>
      <c r="BB118" s="204">
        <v>75</v>
      </c>
      <c r="BC118" s="202" t="s">
        <v>114</v>
      </c>
      <c r="BD118" s="204">
        <v>75</v>
      </c>
      <c r="BE118" s="202" t="s">
        <v>114</v>
      </c>
      <c r="BF118" s="204">
        <v>75</v>
      </c>
      <c r="BG118" s="202" t="s">
        <v>114</v>
      </c>
      <c r="BH118" s="204">
        <v>75</v>
      </c>
      <c r="BI118" s="202" t="s">
        <v>114</v>
      </c>
      <c r="BJ118" s="204">
        <v>75</v>
      </c>
      <c r="BK118" s="202" t="s">
        <v>114</v>
      </c>
      <c r="BL118" s="204">
        <v>75</v>
      </c>
      <c r="BM118" s="202" t="s">
        <v>114</v>
      </c>
      <c r="BN118" s="204">
        <v>75</v>
      </c>
      <c r="BO118" s="202" t="s">
        <v>114</v>
      </c>
      <c r="BP118" s="204">
        <v>75</v>
      </c>
      <c r="BQ118" s="202" t="s">
        <v>114</v>
      </c>
      <c r="BR118" s="204">
        <v>75</v>
      </c>
      <c r="BS118" s="202" t="s">
        <v>114</v>
      </c>
      <c r="BT118" s="204">
        <v>75</v>
      </c>
      <c r="BU118" s="202" t="s">
        <v>114</v>
      </c>
      <c r="BV118" s="204">
        <v>75</v>
      </c>
      <c r="BW118" s="202" t="s">
        <v>114</v>
      </c>
      <c r="BX118" s="204">
        <v>75</v>
      </c>
      <c r="BY118" s="202" t="s">
        <v>114</v>
      </c>
      <c r="BZ118" s="204">
        <v>75</v>
      </c>
      <c r="CA118" s="202" t="s">
        <v>114</v>
      </c>
      <c r="CB118" s="204">
        <v>75</v>
      </c>
      <c r="CC118" s="202" t="s">
        <v>114</v>
      </c>
      <c r="CD118" s="204">
        <v>75</v>
      </c>
      <c r="CE118" s="202" t="s">
        <v>114</v>
      </c>
      <c r="CF118" s="204">
        <v>75</v>
      </c>
      <c r="CG118" s="202" t="s">
        <v>114</v>
      </c>
      <c r="CH118" s="204">
        <v>75</v>
      </c>
      <c r="CI118" s="202" t="s">
        <v>114</v>
      </c>
      <c r="CJ118" s="204">
        <v>75</v>
      </c>
      <c r="CK118" s="202" t="s">
        <v>114</v>
      </c>
      <c r="CL118" s="204">
        <v>75</v>
      </c>
      <c r="CM118" s="202" t="s">
        <v>114</v>
      </c>
      <c r="CN118" s="204">
        <v>75</v>
      </c>
      <c r="CO118" s="202" t="s">
        <v>114</v>
      </c>
      <c r="CP118" s="204">
        <v>75</v>
      </c>
      <c r="CR118" s="202" t="s">
        <v>114</v>
      </c>
      <c r="CS118" s="204">
        <v>75</v>
      </c>
      <c r="CT118" s="202" t="s">
        <v>114</v>
      </c>
      <c r="CU118" s="204">
        <v>75</v>
      </c>
      <c r="CV118" s="202" t="s">
        <v>114</v>
      </c>
      <c r="CW118" s="204">
        <v>75</v>
      </c>
      <c r="CX118" s="202" t="s">
        <v>114</v>
      </c>
      <c r="CY118" s="204">
        <v>75</v>
      </c>
      <c r="DA118" s="202" t="s">
        <v>114</v>
      </c>
      <c r="DB118" s="204">
        <v>75</v>
      </c>
      <c r="DC118" s="202" t="s">
        <v>114</v>
      </c>
      <c r="DD118" s="204">
        <v>75</v>
      </c>
      <c r="DE118" s="202" t="s">
        <v>114</v>
      </c>
      <c r="DF118" s="204">
        <v>75</v>
      </c>
      <c r="DH118" s="202" t="s">
        <v>114</v>
      </c>
      <c r="DI118" s="204">
        <v>75</v>
      </c>
      <c r="DJ118" s="202" t="s">
        <v>114</v>
      </c>
      <c r="DK118" s="204">
        <v>75</v>
      </c>
      <c r="DL118" s="202" t="s">
        <v>114</v>
      </c>
      <c r="DM118" s="204">
        <v>75</v>
      </c>
      <c r="DO118" s="202" t="s">
        <v>114</v>
      </c>
      <c r="DP118" s="204">
        <v>75</v>
      </c>
      <c r="DQ118" s="202" t="s">
        <v>114</v>
      </c>
      <c r="DR118" s="204">
        <v>75</v>
      </c>
      <c r="DS118" s="202" t="s">
        <v>114</v>
      </c>
      <c r="DT118" s="204">
        <v>75</v>
      </c>
      <c r="DV118" s="202" t="s">
        <v>114</v>
      </c>
      <c r="DW118" s="204">
        <v>75</v>
      </c>
      <c r="DX118" s="202" t="s">
        <v>114</v>
      </c>
      <c r="DY118" s="204">
        <v>75</v>
      </c>
      <c r="EA118" s="202" t="s">
        <v>114</v>
      </c>
      <c r="EB118" s="204">
        <v>75</v>
      </c>
      <c r="ED118" s="202" t="s">
        <v>114</v>
      </c>
      <c r="EE118" s="204">
        <v>75</v>
      </c>
      <c r="EG118" s="202" t="s">
        <v>114</v>
      </c>
      <c r="EH118" s="204">
        <v>75</v>
      </c>
      <c r="EJ118" s="202" t="s">
        <v>114</v>
      </c>
      <c r="EK118" s="204">
        <v>75</v>
      </c>
      <c r="EM118" s="202" t="s">
        <v>114</v>
      </c>
      <c r="EN118" s="204">
        <v>75</v>
      </c>
      <c r="EP118" s="202" t="s">
        <v>114</v>
      </c>
      <c r="EQ118" s="204">
        <v>75</v>
      </c>
      <c r="ER118" s="202" t="s">
        <v>114</v>
      </c>
      <c r="ES118" s="204">
        <v>75</v>
      </c>
      <c r="ET118" s="4"/>
      <c r="EU118" s="202" t="s">
        <v>114</v>
      </c>
      <c r="EV118" s="204">
        <v>75</v>
      </c>
      <c r="EX118" s="202" t="s">
        <v>114</v>
      </c>
      <c r="EY118" s="204">
        <v>75</v>
      </c>
      <c r="EZ118" s="202" t="s">
        <v>114</v>
      </c>
      <c r="FA118" s="204">
        <v>75</v>
      </c>
      <c r="FB118" s="202" t="s">
        <v>114</v>
      </c>
      <c r="FC118" s="204">
        <v>75</v>
      </c>
    </row>
    <row r="119" spans="1:159" s="65" customFormat="1" ht="18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501.03305785123968</v>
      </c>
      <c r="H119" s="202" t="s">
        <v>114</v>
      </c>
      <c r="I119" s="204">
        <f>1940000/I66</f>
        <v>501.03305785123968</v>
      </c>
      <c r="J119" s="202" t="s">
        <v>114</v>
      </c>
      <c r="K119" s="204">
        <f>1940000/K66</f>
        <v>501.03305785123968</v>
      </c>
      <c r="L119" s="202" t="s">
        <v>114</v>
      </c>
      <c r="M119" s="204">
        <f>1940000/M66</f>
        <v>501.03305785123968</v>
      </c>
      <c r="N119" s="202" t="s">
        <v>114</v>
      </c>
      <c r="O119" s="204">
        <f>1940000/O66</f>
        <v>501.03305785123968</v>
      </c>
      <c r="P119" s="202" t="s">
        <v>114</v>
      </c>
      <c r="Q119" s="204">
        <f>1940000/Q66</f>
        <v>501.03305785123968</v>
      </c>
      <c r="R119" s="657"/>
      <c r="S119" s="202" t="s">
        <v>114</v>
      </c>
      <c r="T119" s="204">
        <f>1940000/T66</f>
        <v>485</v>
      </c>
      <c r="U119" s="202" t="s">
        <v>114</v>
      </c>
      <c r="V119" s="204">
        <f>1940000/V66</f>
        <v>485</v>
      </c>
      <c r="W119" s="202" t="s">
        <v>114</v>
      </c>
      <c r="X119" s="204">
        <f>1940000/X66</f>
        <v>501.03305785123968</v>
      </c>
      <c r="Y119" s="202" t="s">
        <v>114</v>
      </c>
      <c r="Z119" s="204">
        <f>1940000/Z66</f>
        <v>501.03305785123968</v>
      </c>
      <c r="AA119" s="202" t="s">
        <v>114</v>
      </c>
      <c r="AB119" s="204">
        <f>1940000/AB66</f>
        <v>501.03305785123968</v>
      </c>
      <c r="AC119" s="202" t="s">
        <v>114</v>
      </c>
      <c r="AD119" s="204">
        <f>1940000/AD66</f>
        <v>501.03305785123968</v>
      </c>
      <c r="AE119" s="202" t="s">
        <v>114</v>
      </c>
      <c r="AF119" s="204" t="e">
        <f>1940000/AF66</f>
        <v>#REF!</v>
      </c>
      <c r="AG119" s="657"/>
      <c r="AH119" s="202" t="s">
        <v>114</v>
      </c>
      <c r="AI119" s="204">
        <f>1940000/AI66</f>
        <v>546.47887323943667</v>
      </c>
      <c r="AJ119" s="202" t="s">
        <v>114</v>
      </c>
      <c r="AK119" s="204">
        <f>1940000/AK66</f>
        <v>546.47887323943667</v>
      </c>
      <c r="AL119" s="202" t="s">
        <v>114</v>
      </c>
      <c r="AM119" s="204">
        <f>1940000/AM66</f>
        <v>546.47887323943667</v>
      </c>
      <c r="AN119" s="202" t="s">
        <v>114</v>
      </c>
      <c r="AO119" s="204">
        <f>1940000/AO66</f>
        <v>546.47887323943667</v>
      </c>
      <c r="AP119" s="202" t="s">
        <v>114</v>
      </c>
      <c r="AQ119" s="204">
        <f>1940000/AQ66</f>
        <v>546.47887323943667</v>
      </c>
      <c r="AR119" s="202" t="s">
        <v>114</v>
      </c>
      <c r="AS119" s="204">
        <f>1940000/AS66</f>
        <v>546.47887323943667</v>
      </c>
      <c r="AT119" s="202" t="s">
        <v>114</v>
      </c>
      <c r="AU119" s="204" t="e">
        <f>1940000/AU66</f>
        <v>#REF!</v>
      </c>
      <c r="AV119" s="657"/>
      <c r="AW119" s="202" t="s">
        <v>114</v>
      </c>
      <c r="AX119" s="204">
        <f>1940000/AX66</f>
        <v>546.47887323943667</v>
      </c>
      <c r="AY119" s="201" t="s">
        <v>114</v>
      </c>
      <c r="AZ119" s="204">
        <f>1940000/AZ66</f>
        <v>501.03305785123968</v>
      </c>
      <c r="BA119" s="202" t="s">
        <v>114</v>
      </c>
      <c r="BB119" s="204">
        <f>1940000/BB66</f>
        <v>501.03305785123968</v>
      </c>
      <c r="BC119" s="202" t="s">
        <v>114</v>
      </c>
      <c r="BD119" s="204">
        <f>1940000/BD66</f>
        <v>501.03305785123968</v>
      </c>
      <c r="BE119" s="202" t="s">
        <v>114</v>
      </c>
      <c r="BF119" s="204">
        <f>1940000/BF66</f>
        <v>501.03305785123968</v>
      </c>
      <c r="BG119" s="202" t="s">
        <v>114</v>
      </c>
      <c r="BH119" s="204">
        <f>1940000/BH66</f>
        <v>501.03305785123968</v>
      </c>
      <c r="BI119" s="202" t="s">
        <v>114</v>
      </c>
      <c r="BJ119" s="204">
        <f>1940000/BJ66</f>
        <v>501.03305785123968</v>
      </c>
      <c r="BK119" s="202" t="s">
        <v>114</v>
      </c>
      <c r="BL119" s="204">
        <f>1940000/BL66</f>
        <v>392.71255060728743</v>
      </c>
      <c r="BM119" s="202" t="s">
        <v>114</v>
      </c>
      <c r="BN119" s="204">
        <f>1940000/BN66</f>
        <v>392.71255060728743</v>
      </c>
      <c r="BO119" s="202" t="s">
        <v>114</v>
      </c>
      <c r="BP119" s="204">
        <f>1940000/BP66</f>
        <v>392.71255060728743</v>
      </c>
      <c r="BQ119" s="202" t="s">
        <v>114</v>
      </c>
      <c r="BR119" s="204">
        <f>1940000/BR66</f>
        <v>392.71255060728743</v>
      </c>
      <c r="BS119" s="202" t="s">
        <v>114</v>
      </c>
      <c r="BT119" s="204">
        <f>1940000/BT66</f>
        <v>404.16666666666669</v>
      </c>
      <c r="BU119" s="202" t="s">
        <v>114</v>
      </c>
      <c r="BV119" s="204">
        <f>1940000/BV66</f>
        <v>404.16666666666669</v>
      </c>
      <c r="BW119" s="202" t="s">
        <v>114</v>
      </c>
      <c r="BX119" s="204">
        <f>1940000/BX66</f>
        <v>404.16666666666669</v>
      </c>
      <c r="BY119" s="202" t="s">
        <v>114</v>
      </c>
      <c r="BZ119" s="204">
        <f>1940000/BZ66</f>
        <v>404.16666666666669</v>
      </c>
      <c r="CA119" s="202" t="s">
        <v>114</v>
      </c>
      <c r="CB119" s="204">
        <f>1940000/CB66</f>
        <v>808.33333333333337</v>
      </c>
      <c r="CC119" s="202" t="s">
        <v>114</v>
      </c>
      <c r="CD119" s="204">
        <f>1940000/CD66</f>
        <v>808.33333333333337</v>
      </c>
      <c r="CE119" s="202" t="s">
        <v>114</v>
      </c>
      <c r="CF119" s="204">
        <f>1940000/CF66</f>
        <v>808.33333333333337</v>
      </c>
      <c r="CG119" s="202" t="s">
        <v>114</v>
      </c>
      <c r="CH119" s="204">
        <f>1940000/CH66</f>
        <v>808.33333333333337</v>
      </c>
      <c r="CI119" s="202" t="s">
        <v>114</v>
      </c>
      <c r="CJ119" s="204">
        <f>1940000/CJ66</f>
        <v>479.01234567901236</v>
      </c>
      <c r="CK119" s="202" t="s">
        <v>114</v>
      </c>
      <c r="CL119" s="204">
        <f>1940000/CL66</f>
        <v>461.90476190476193</v>
      </c>
      <c r="CM119" s="202" t="s">
        <v>114</v>
      </c>
      <c r="CN119" s="204">
        <f>1940000/CN66</f>
        <v>461.90476190476193</v>
      </c>
      <c r="CO119" s="202" t="s">
        <v>114</v>
      </c>
      <c r="CP119" s="204">
        <f>1940000/CP66</f>
        <v>404.16666666666669</v>
      </c>
      <c r="CR119" s="202" t="s">
        <v>114</v>
      </c>
      <c r="CS119" s="204">
        <f>1940000/CS66</f>
        <v>479.01234567901236</v>
      </c>
      <c r="CT119" s="202" t="s">
        <v>114</v>
      </c>
      <c r="CU119" s="204">
        <f>1940000/CU66</f>
        <v>461.90476190476193</v>
      </c>
      <c r="CV119" s="202" t="s">
        <v>114</v>
      </c>
      <c r="CW119" s="204">
        <f>1940000/CW66</f>
        <v>461.90476190476193</v>
      </c>
      <c r="CX119" s="202" t="s">
        <v>114</v>
      </c>
      <c r="CY119" s="204">
        <f>1940000/CY66</f>
        <v>404.16666666666669</v>
      </c>
      <c r="DA119" s="202" t="s">
        <v>114</v>
      </c>
      <c r="DB119" s="204">
        <f>1940000/DB66</f>
        <v>479.01234567901236</v>
      </c>
      <c r="DC119" s="202" t="s">
        <v>114</v>
      </c>
      <c r="DD119" s="204">
        <f>1940000/DD66</f>
        <v>461.90476190476193</v>
      </c>
      <c r="DE119" s="202" t="s">
        <v>114</v>
      </c>
      <c r="DF119" s="204">
        <f>1940000/DF66</f>
        <v>461.90476190476193</v>
      </c>
      <c r="DH119" s="202" t="s">
        <v>114</v>
      </c>
      <c r="DI119" s="204">
        <f>1940000/DI66</f>
        <v>501.03305785123968</v>
      </c>
      <c r="DJ119" s="202" t="s">
        <v>114</v>
      </c>
      <c r="DK119" s="204">
        <f>1940000/DK66</f>
        <v>470.873786407767</v>
      </c>
      <c r="DL119" s="202" t="s">
        <v>114</v>
      </c>
      <c r="DM119" s="204">
        <f>1940000/DM66</f>
        <v>501.03305785123968</v>
      </c>
      <c r="DO119" s="202" t="s">
        <v>114</v>
      </c>
      <c r="DP119" s="204">
        <f>1940000/DP66</f>
        <v>501.03305785123968</v>
      </c>
      <c r="DQ119" s="202" t="s">
        <v>114</v>
      </c>
      <c r="DR119" s="204">
        <f>1940000/DR66</f>
        <v>470.873786407767</v>
      </c>
      <c r="DS119" s="202" t="s">
        <v>114</v>
      </c>
      <c r="DT119" s="204">
        <f>1940000/DT66</f>
        <v>501.03305785123968</v>
      </c>
      <c r="DV119" s="202" t="s">
        <v>114</v>
      </c>
      <c r="DW119" s="204">
        <f>1940000/DW66</f>
        <v>501.03305785123968</v>
      </c>
      <c r="DX119" s="202" t="s">
        <v>114</v>
      </c>
      <c r="DY119" s="204">
        <f>1940000/DY66</f>
        <v>470.873786407767</v>
      </c>
      <c r="EA119" s="202" t="s">
        <v>114</v>
      </c>
      <c r="EB119" s="204">
        <f>1940000/EB66</f>
        <v>501.03305785123968</v>
      </c>
      <c r="ED119" s="202" t="s">
        <v>114</v>
      </c>
      <c r="EE119" s="204">
        <f>1940000/EE66</f>
        <v>470.873786407767</v>
      </c>
      <c r="EG119" s="202" t="s">
        <v>114</v>
      </c>
      <c r="EH119" s="204">
        <f>1940000/EH66</f>
        <v>470.873786407767</v>
      </c>
      <c r="EJ119" s="202" t="s">
        <v>114</v>
      </c>
      <c r="EK119" s="204">
        <f>1940000/EK66</f>
        <v>501.03305785123968</v>
      </c>
      <c r="EM119" s="202" t="s">
        <v>114</v>
      </c>
      <c r="EN119" s="204">
        <f>1940000/EN66</f>
        <v>470.873786407767</v>
      </c>
      <c r="EP119" s="202" t="s">
        <v>114</v>
      </c>
      <c r="EQ119" s="204">
        <f>1940000/EQ66</f>
        <v>470.873786407767</v>
      </c>
      <c r="ER119" s="202" t="s">
        <v>114</v>
      </c>
      <c r="ES119" s="204">
        <f t="shared" ref="ES119" si="259">1940000/ES66</f>
        <v>501.03305785123968</v>
      </c>
      <c r="ET119" s="4"/>
      <c r="EU119" s="202" t="s">
        <v>114</v>
      </c>
      <c r="EV119" s="204">
        <f t="shared" ref="EV119" si="260">1940000/EV66</f>
        <v>470.873786407767</v>
      </c>
      <c r="EX119" s="202" t="s">
        <v>114</v>
      </c>
      <c r="EY119" s="204">
        <f>1940000/EY66</f>
        <v>501.03305785123968</v>
      </c>
      <c r="EZ119" s="202" t="s">
        <v>114</v>
      </c>
      <c r="FA119" s="204">
        <f>1940000/FA66</f>
        <v>470.873786407767</v>
      </c>
      <c r="FB119" s="202" t="s">
        <v>114</v>
      </c>
      <c r="FC119" s="204">
        <f>1940000/FC66</f>
        <v>501.03305785123968</v>
      </c>
    </row>
    <row r="120" spans="1:159" s="65" customFormat="1" ht="18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71.022727272727266</v>
      </c>
      <c r="H120" s="202" t="s">
        <v>114</v>
      </c>
      <c r="I120" s="204">
        <f>275000/I66</f>
        <v>71.022727272727266</v>
      </c>
      <c r="J120" s="202" t="s">
        <v>114</v>
      </c>
      <c r="K120" s="204">
        <f>275000/K66</f>
        <v>71.022727272727266</v>
      </c>
      <c r="L120" s="202" t="s">
        <v>114</v>
      </c>
      <c r="M120" s="204">
        <f>275000/M66</f>
        <v>71.022727272727266</v>
      </c>
      <c r="N120" s="202" t="s">
        <v>114</v>
      </c>
      <c r="O120" s="204">
        <f>275000/O66</f>
        <v>71.022727272727266</v>
      </c>
      <c r="P120" s="202" t="s">
        <v>114</v>
      </c>
      <c r="Q120" s="204">
        <f>275000/Q66</f>
        <v>71.022727272727266</v>
      </c>
      <c r="R120" s="657"/>
      <c r="S120" s="202" t="s">
        <v>114</v>
      </c>
      <c r="T120" s="204">
        <f>275000/T66</f>
        <v>68.75</v>
      </c>
      <c r="U120" s="202" t="s">
        <v>114</v>
      </c>
      <c r="V120" s="204">
        <f>275000/V66</f>
        <v>68.75</v>
      </c>
      <c r="W120" s="202" t="s">
        <v>114</v>
      </c>
      <c r="X120" s="204">
        <f>275000/X66</f>
        <v>71.022727272727266</v>
      </c>
      <c r="Y120" s="202" t="s">
        <v>114</v>
      </c>
      <c r="Z120" s="204">
        <f>275000/Z66</f>
        <v>71.022727272727266</v>
      </c>
      <c r="AA120" s="202" t="s">
        <v>114</v>
      </c>
      <c r="AB120" s="204">
        <f>275000/AB66</f>
        <v>71.022727272727266</v>
      </c>
      <c r="AC120" s="202" t="s">
        <v>114</v>
      </c>
      <c r="AD120" s="204">
        <f>275000/AD66</f>
        <v>71.022727272727266</v>
      </c>
      <c r="AE120" s="202" t="s">
        <v>114</v>
      </c>
      <c r="AF120" s="204" t="e">
        <f>275000/AF66</f>
        <v>#REF!</v>
      </c>
      <c r="AG120" s="657"/>
      <c r="AH120" s="202" t="s">
        <v>114</v>
      </c>
      <c r="AI120" s="204">
        <f>275000/AI66</f>
        <v>77.464788732394368</v>
      </c>
      <c r="AJ120" s="202" t="s">
        <v>114</v>
      </c>
      <c r="AK120" s="204">
        <f>275000/AK66</f>
        <v>77.464788732394368</v>
      </c>
      <c r="AL120" s="202" t="s">
        <v>114</v>
      </c>
      <c r="AM120" s="204">
        <f>275000/AM66</f>
        <v>77.464788732394368</v>
      </c>
      <c r="AN120" s="202" t="s">
        <v>114</v>
      </c>
      <c r="AO120" s="204">
        <f>275000/AO66</f>
        <v>77.464788732394368</v>
      </c>
      <c r="AP120" s="202" t="s">
        <v>114</v>
      </c>
      <c r="AQ120" s="204">
        <f>275000/AQ66</f>
        <v>77.464788732394368</v>
      </c>
      <c r="AR120" s="202" t="s">
        <v>114</v>
      </c>
      <c r="AS120" s="204">
        <f>275000/AS66</f>
        <v>77.464788732394368</v>
      </c>
      <c r="AT120" s="202" t="s">
        <v>114</v>
      </c>
      <c r="AU120" s="204" t="e">
        <f>275000/AU66</f>
        <v>#REF!</v>
      </c>
      <c r="AV120" s="657"/>
      <c r="AW120" s="202" t="s">
        <v>114</v>
      </c>
      <c r="AX120" s="204">
        <f>275000/AX66</f>
        <v>77.464788732394368</v>
      </c>
      <c r="AY120" s="201" t="s">
        <v>114</v>
      </c>
      <c r="AZ120" s="204">
        <f>275000/AZ66</f>
        <v>71.022727272727266</v>
      </c>
      <c r="BA120" s="202" t="s">
        <v>114</v>
      </c>
      <c r="BB120" s="204">
        <f>275000/BB66</f>
        <v>71.022727272727266</v>
      </c>
      <c r="BC120" s="202" t="s">
        <v>114</v>
      </c>
      <c r="BD120" s="204">
        <f>275000/BD66</f>
        <v>71.022727272727266</v>
      </c>
      <c r="BE120" s="202" t="s">
        <v>114</v>
      </c>
      <c r="BF120" s="204">
        <f>275000/BF66</f>
        <v>71.022727272727266</v>
      </c>
      <c r="BG120" s="202" t="s">
        <v>114</v>
      </c>
      <c r="BH120" s="204">
        <f>275000/BH66</f>
        <v>71.022727272727266</v>
      </c>
      <c r="BI120" s="202" t="s">
        <v>114</v>
      </c>
      <c r="BJ120" s="204">
        <f>275000/BJ66</f>
        <v>71.022727272727266</v>
      </c>
      <c r="BK120" s="202" t="s">
        <v>114</v>
      </c>
      <c r="BL120" s="204">
        <f>275000/BL66</f>
        <v>55.668016194331983</v>
      </c>
      <c r="BM120" s="202" t="s">
        <v>114</v>
      </c>
      <c r="BN120" s="204">
        <f>275000/BN66</f>
        <v>55.668016194331983</v>
      </c>
      <c r="BO120" s="202" t="s">
        <v>114</v>
      </c>
      <c r="BP120" s="204">
        <f>275000/BP66</f>
        <v>55.668016194331983</v>
      </c>
      <c r="BQ120" s="202" t="s">
        <v>114</v>
      </c>
      <c r="BR120" s="204">
        <f>275000/BR66</f>
        <v>55.668016194331983</v>
      </c>
      <c r="BS120" s="202" t="s">
        <v>114</v>
      </c>
      <c r="BT120" s="204">
        <f>275000/BT66</f>
        <v>57.291666666666664</v>
      </c>
      <c r="BU120" s="202" t="s">
        <v>114</v>
      </c>
      <c r="BV120" s="204">
        <f>275000/BV66</f>
        <v>57.291666666666664</v>
      </c>
      <c r="BW120" s="202" t="s">
        <v>114</v>
      </c>
      <c r="BX120" s="204">
        <f>275000/BX66</f>
        <v>57.291666666666664</v>
      </c>
      <c r="BY120" s="202" t="s">
        <v>114</v>
      </c>
      <c r="BZ120" s="204">
        <f>275000/BZ66</f>
        <v>57.291666666666664</v>
      </c>
      <c r="CA120" s="202" t="s">
        <v>114</v>
      </c>
      <c r="CB120" s="204">
        <f>275000/CB66</f>
        <v>114.58333333333333</v>
      </c>
      <c r="CC120" s="202" t="s">
        <v>114</v>
      </c>
      <c r="CD120" s="204">
        <f>275000/CD66</f>
        <v>114.58333333333333</v>
      </c>
      <c r="CE120" s="202" t="s">
        <v>114</v>
      </c>
      <c r="CF120" s="204">
        <f>275000/CF66</f>
        <v>114.58333333333333</v>
      </c>
      <c r="CG120" s="202" t="s">
        <v>114</v>
      </c>
      <c r="CH120" s="204">
        <f>275000/CH66</f>
        <v>114.58333333333333</v>
      </c>
      <c r="CI120" s="202" t="s">
        <v>114</v>
      </c>
      <c r="CJ120" s="204">
        <f>275000/CJ66</f>
        <v>67.901234567901241</v>
      </c>
      <c r="CK120" s="202" t="s">
        <v>114</v>
      </c>
      <c r="CL120" s="204">
        <f>275000/CL66</f>
        <v>65.476190476190482</v>
      </c>
      <c r="CM120" s="202" t="s">
        <v>114</v>
      </c>
      <c r="CN120" s="204">
        <f>275000/CN66</f>
        <v>65.476190476190482</v>
      </c>
      <c r="CO120" s="202" t="s">
        <v>114</v>
      </c>
      <c r="CP120" s="204">
        <f>275000/CP66</f>
        <v>57.291666666666664</v>
      </c>
      <c r="CR120" s="202" t="s">
        <v>114</v>
      </c>
      <c r="CS120" s="204">
        <f>275000/CS66</f>
        <v>67.901234567901241</v>
      </c>
      <c r="CT120" s="202" t="s">
        <v>114</v>
      </c>
      <c r="CU120" s="204">
        <f>275000/CU66</f>
        <v>65.476190476190482</v>
      </c>
      <c r="CV120" s="202" t="s">
        <v>114</v>
      </c>
      <c r="CW120" s="204">
        <f>275000/CW66</f>
        <v>65.476190476190482</v>
      </c>
      <c r="CX120" s="202" t="s">
        <v>114</v>
      </c>
      <c r="CY120" s="204">
        <f>275000/CY66</f>
        <v>57.291666666666664</v>
      </c>
      <c r="DA120" s="202" t="s">
        <v>114</v>
      </c>
      <c r="DB120" s="204">
        <f>275000/DB66</f>
        <v>67.901234567901241</v>
      </c>
      <c r="DC120" s="202" t="s">
        <v>114</v>
      </c>
      <c r="DD120" s="204">
        <f>275000/DD66</f>
        <v>65.476190476190482</v>
      </c>
      <c r="DE120" s="202" t="s">
        <v>114</v>
      </c>
      <c r="DF120" s="204">
        <f>275000/DF66</f>
        <v>65.476190476190482</v>
      </c>
      <c r="DH120" s="202" t="s">
        <v>114</v>
      </c>
      <c r="DI120" s="204">
        <f>275000/DI66</f>
        <v>71.022727272727266</v>
      </c>
      <c r="DJ120" s="202" t="s">
        <v>114</v>
      </c>
      <c r="DK120" s="204">
        <f>275000/DK66</f>
        <v>66.747572815533985</v>
      </c>
      <c r="DL120" s="202" t="s">
        <v>114</v>
      </c>
      <c r="DM120" s="204">
        <f>275000/DM66</f>
        <v>71.022727272727266</v>
      </c>
      <c r="DO120" s="202" t="s">
        <v>114</v>
      </c>
      <c r="DP120" s="204">
        <f>275000/DP66</f>
        <v>71.022727272727266</v>
      </c>
      <c r="DQ120" s="202" t="s">
        <v>114</v>
      </c>
      <c r="DR120" s="204">
        <f>275000/DR66</f>
        <v>66.747572815533985</v>
      </c>
      <c r="DS120" s="202" t="s">
        <v>114</v>
      </c>
      <c r="DT120" s="204">
        <f>275000/DT66</f>
        <v>71.022727272727266</v>
      </c>
      <c r="DV120" s="202" t="s">
        <v>114</v>
      </c>
      <c r="DW120" s="204">
        <f>275000/DW66</f>
        <v>71.022727272727266</v>
      </c>
      <c r="DX120" s="202" t="s">
        <v>114</v>
      </c>
      <c r="DY120" s="204">
        <f>275000/DY66</f>
        <v>66.747572815533985</v>
      </c>
      <c r="EA120" s="202" t="s">
        <v>114</v>
      </c>
      <c r="EB120" s="204">
        <f>275000/EB66</f>
        <v>71.022727272727266</v>
      </c>
      <c r="ED120" s="202" t="s">
        <v>114</v>
      </c>
      <c r="EE120" s="204">
        <f>275000/EE66</f>
        <v>66.747572815533985</v>
      </c>
      <c r="EG120" s="202" t="s">
        <v>114</v>
      </c>
      <c r="EH120" s="204">
        <f>275000/EH66</f>
        <v>66.747572815533985</v>
      </c>
      <c r="EJ120" s="202" t="s">
        <v>114</v>
      </c>
      <c r="EK120" s="204">
        <f>275000/EK66</f>
        <v>71.022727272727266</v>
      </c>
      <c r="EM120" s="202" t="s">
        <v>114</v>
      </c>
      <c r="EN120" s="204">
        <f>275000/EN66</f>
        <v>66.747572815533985</v>
      </c>
      <c r="EP120" s="202" t="s">
        <v>114</v>
      </c>
      <c r="EQ120" s="204">
        <f>275000/EQ66</f>
        <v>66.747572815533985</v>
      </c>
      <c r="ER120" s="202" t="s">
        <v>114</v>
      </c>
      <c r="ES120" s="204">
        <f t="shared" ref="ES120" si="261">275000/ES66</f>
        <v>71.022727272727266</v>
      </c>
      <c r="ET120" s="4"/>
      <c r="EU120" s="202" t="s">
        <v>114</v>
      </c>
      <c r="EV120" s="204">
        <f t="shared" ref="EV120" si="262">275000/EV66</f>
        <v>66.747572815533985</v>
      </c>
      <c r="EX120" s="202" t="s">
        <v>114</v>
      </c>
      <c r="EY120" s="204">
        <f>275000/EY66</f>
        <v>71.022727272727266</v>
      </c>
      <c r="EZ120" s="202" t="s">
        <v>114</v>
      </c>
      <c r="FA120" s="204">
        <f>275000/FA66</f>
        <v>66.747572815533985</v>
      </c>
      <c r="FB120" s="202" t="s">
        <v>114</v>
      </c>
      <c r="FC120" s="204">
        <f>275000/FC66</f>
        <v>71.022727272727266</v>
      </c>
    </row>
    <row r="121" spans="1:159" s="65" customFormat="1" ht="18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330.57851239669424</v>
      </c>
      <c r="H121" s="202" t="s">
        <v>114</v>
      </c>
      <c r="I121" s="204">
        <f>1280000/I66</f>
        <v>330.57851239669424</v>
      </c>
      <c r="J121" s="202" t="s">
        <v>114</v>
      </c>
      <c r="K121" s="204">
        <f>1280000/K66</f>
        <v>330.57851239669424</v>
      </c>
      <c r="L121" s="202" t="s">
        <v>114</v>
      </c>
      <c r="M121" s="204">
        <f>1280000/M66</f>
        <v>330.57851239669424</v>
      </c>
      <c r="N121" s="202" t="s">
        <v>114</v>
      </c>
      <c r="O121" s="204">
        <f>1280000/O66</f>
        <v>330.57851239669424</v>
      </c>
      <c r="P121" s="202" t="s">
        <v>114</v>
      </c>
      <c r="Q121" s="204">
        <f>1280000/Q66</f>
        <v>330.57851239669424</v>
      </c>
      <c r="R121" s="657"/>
      <c r="S121" s="202" t="s">
        <v>114</v>
      </c>
      <c r="T121" s="204">
        <f>1280000/T66</f>
        <v>320</v>
      </c>
      <c r="U121" s="202" t="s">
        <v>114</v>
      </c>
      <c r="V121" s="204">
        <f>1280000/V66</f>
        <v>320</v>
      </c>
      <c r="W121" s="202" t="s">
        <v>114</v>
      </c>
      <c r="X121" s="204">
        <f>1280000/X66</f>
        <v>330.57851239669424</v>
      </c>
      <c r="Y121" s="202" t="s">
        <v>114</v>
      </c>
      <c r="Z121" s="204">
        <f>1280000/Z66</f>
        <v>330.57851239669424</v>
      </c>
      <c r="AA121" s="202" t="s">
        <v>114</v>
      </c>
      <c r="AB121" s="204">
        <f>1280000/AB66</f>
        <v>330.57851239669424</v>
      </c>
      <c r="AC121" s="202" t="s">
        <v>114</v>
      </c>
      <c r="AD121" s="204">
        <f>1280000/AD66</f>
        <v>330.57851239669424</v>
      </c>
      <c r="AE121" s="202" t="s">
        <v>114</v>
      </c>
      <c r="AF121" s="204" t="e">
        <f>1280000/AF66</f>
        <v>#REF!</v>
      </c>
      <c r="AG121" s="657"/>
      <c r="AH121" s="202" t="s">
        <v>114</v>
      </c>
      <c r="AI121" s="204">
        <f>1280000/AI66</f>
        <v>360.56338028169012</v>
      </c>
      <c r="AJ121" s="202" t="s">
        <v>114</v>
      </c>
      <c r="AK121" s="204">
        <f>1280000/AK66</f>
        <v>360.56338028169012</v>
      </c>
      <c r="AL121" s="202" t="s">
        <v>114</v>
      </c>
      <c r="AM121" s="204">
        <f>1280000/AM66</f>
        <v>360.56338028169012</v>
      </c>
      <c r="AN121" s="202" t="s">
        <v>114</v>
      </c>
      <c r="AO121" s="204">
        <f>1280000/AO66</f>
        <v>360.56338028169012</v>
      </c>
      <c r="AP121" s="202" t="s">
        <v>114</v>
      </c>
      <c r="AQ121" s="204">
        <f>1280000/AQ66</f>
        <v>360.56338028169012</v>
      </c>
      <c r="AR121" s="202" t="s">
        <v>114</v>
      </c>
      <c r="AS121" s="204">
        <f>1280000/AS66</f>
        <v>360.56338028169012</v>
      </c>
      <c r="AT121" s="202" t="s">
        <v>114</v>
      </c>
      <c r="AU121" s="204" t="e">
        <f>1280000/AU66</f>
        <v>#REF!</v>
      </c>
      <c r="AV121" s="657"/>
      <c r="AW121" s="202" t="s">
        <v>114</v>
      </c>
      <c r="AX121" s="204">
        <f>1280000/AX66</f>
        <v>360.56338028169012</v>
      </c>
      <c r="AY121" s="201" t="s">
        <v>114</v>
      </c>
      <c r="AZ121" s="204">
        <f>1280000/AZ66</f>
        <v>330.57851239669424</v>
      </c>
      <c r="BA121" s="202" t="s">
        <v>114</v>
      </c>
      <c r="BB121" s="204">
        <f>1280000/BB66</f>
        <v>330.57851239669424</v>
      </c>
      <c r="BC121" s="202" t="s">
        <v>114</v>
      </c>
      <c r="BD121" s="204">
        <f>1280000/BD66</f>
        <v>330.57851239669424</v>
      </c>
      <c r="BE121" s="202" t="s">
        <v>114</v>
      </c>
      <c r="BF121" s="204">
        <f>1280000/BF66</f>
        <v>330.57851239669424</v>
      </c>
      <c r="BG121" s="202" t="s">
        <v>114</v>
      </c>
      <c r="BH121" s="204">
        <f>1280000/BH66</f>
        <v>330.57851239669424</v>
      </c>
      <c r="BI121" s="202" t="s">
        <v>114</v>
      </c>
      <c r="BJ121" s="204">
        <f>1280000/BJ66</f>
        <v>330.57851239669424</v>
      </c>
      <c r="BK121" s="202" t="s">
        <v>114</v>
      </c>
      <c r="BL121" s="204">
        <f>1280000/BL66</f>
        <v>259.10931174089069</v>
      </c>
      <c r="BM121" s="202" t="s">
        <v>114</v>
      </c>
      <c r="BN121" s="204">
        <f>1280000/BN66</f>
        <v>259.10931174089069</v>
      </c>
      <c r="BO121" s="202" t="s">
        <v>114</v>
      </c>
      <c r="BP121" s="204">
        <f>1280000/BP66</f>
        <v>259.10931174089069</v>
      </c>
      <c r="BQ121" s="202" t="s">
        <v>114</v>
      </c>
      <c r="BR121" s="204">
        <f>1280000/BR66</f>
        <v>259.10931174089069</v>
      </c>
      <c r="BS121" s="202" t="s">
        <v>114</v>
      </c>
      <c r="BT121" s="204">
        <f>1280000/BT66</f>
        <v>266.66666666666669</v>
      </c>
      <c r="BU121" s="202" t="s">
        <v>114</v>
      </c>
      <c r="BV121" s="204">
        <f>1280000/BV66</f>
        <v>266.66666666666669</v>
      </c>
      <c r="BW121" s="202" t="s">
        <v>114</v>
      </c>
      <c r="BX121" s="204">
        <f>1280000/BX66</f>
        <v>266.66666666666669</v>
      </c>
      <c r="BY121" s="202" t="s">
        <v>114</v>
      </c>
      <c r="BZ121" s="204">
        <f>1280000/BZ66</f>
        <v>266.66666666666669</v>
      </c>
      <c r="CA121" s="202" t="s">
        <v>114</v>
      </c>
      <c r="CB121" s="204">
        <f>1280000/CB66</f>
        <v>533.33333333333337</v>
      </c>
      <c r="CC121" s="202" t="s">
        <v>114</v>
      </c>
      <c r="CD121" s="204">
        <f>1280000/CD66</f>
        <v>533.33333333333337</v>
      </c>
      <c r="CE121" s="202" t="s">
        <v>114</v>
      </c>
      <c r="CF121" s="204">
        <f>1280000/CF66</f>
        <v>533.33333333333337</v>
      </c>
      <c r="CG121" s="202" t="s">
        <v>114</v>
      </c>
      <c r="CH121" s="204">
        <f>1280000/CH66</f>
        <v>533.33333333333337</v>
      </c>
      <c r="CI121" s="202" t="s">
        <v>114</v>
      </c>
      <c r="CJ121" s="204">
        <f>1280000/CJ66</f>
        <v>316.04938271604937</v>
      </c>
      <c r="CK121" s="202" t="s">
        <v>114</v>
      </c>
      <c r="CL121" s="204">
        <f>1280000/CL66</f>
        <v>304.76190476190476</v>
      </c>
      <c r="CM121" s="202" t="s">
        <v>114</v>
      </c>
      <c r="CN121" s="204">
        <f>1280000/CN66</f>
        <v>304.76190476190476</v>
      </c>
      <c r="CO121" s="202" t="s">
        <v>114</v>
      </c>
      <c r="CP121" s="204">
        <f>1280000/CP66</f>
        <v>266.66666666666669</v>
      </c>
      <c r="CR121" s="202" t="s">
        <v>114</v>
      </c>
      <c r="CS121" s="204">
        <f>1280000/CS66</f>
        <v>316.04938271604937</v>
      </c>
      <c r="CT121" s="202" t="s">
        <v>114</v>
      </c>
      <c r="CU121" s="204">
        <f>1280000/CU66</f>
        <v>304.76190476190476</v>
      </c>
      <c r="CV121" s="202" t="s">
        <v>114</v>
      </c>
      <c r="CW121" s="204">
        <f>1280000/CW66</f>
        <v>304.76190476190476</v>
      </c>
      <c r="CX121" s="202" t="s">
        <v>114</v>
      </c>
      <c r="CY121" s="204">
        <f>1280000/CY66</f>
        <v>266.66666666666669</v>
      </c>
      <c r="DA121" s="202" t="s">
        <v>114</v>
      </c>
      <c r="DB121" s="204">
        <f>1280000/DB66</f>
        <v>316.04938271604937</v>
      </c>
      <c r="DC121" s="202" t="s">
        <v>114</v>
      </c>
      <c r="DD121" s="204">
        <f>1280000/DD66</f>
        <v>304.76190476190476</v>
      </c>
      <c r="DE121" s="202" t="s">
        <v>114</v>
      </c>
      <c r="DF121" s="204">
        <f>1280000/DF66</f>
        <v>304.76190476190476</v>
      </c>
      <c r="DH121" s="202" t="s">
        <v>114</v>
      </c>
      <c r="DI121" s="204">
        <f>1280000/DI66</f>
        <v>330.57851239669424</v>
      </c>
      <c r="DJ121" s="202" t="s">
        <v>114</v>
      </c>
      <c r="DK121" s="204">
        <f>1280000/DK66</f>
        <v>310.67961165048541</v>
      </c>
      <c r="DL121" s="202" t="s">
        <v>114</v>
      </c>
      <c r="DM121" s="204">
        <f>1280000/DM66</f>
        <v>330.57851239669424</v>
      </c>
      <c r="DO121" s="202" t="s">
        <v>114</v>
      </c>
      <c r="DP121" s="204">
        <f>1280000/DP66</f>
        <v>330.57851239669424</v>
      </c>
      <c r="DQ121" s="202" t="s">
        <v>114</v>
      </c>
      <c r="DR121" s="204">
        <f>1280000/DR66</f>
        <v>310.67961165048541</v>
      </c>
      <c r="DS121" s="202" t="s">
        <v>114</v>
      </c>
      <c r="DT121" s="204">
        <f>1280000/DT66</f>
        <v>330.57851239669424</v>
      </c>
      <c r="DV121" s="202" t="s">
        <v>114</v>
      </c>
      <c r="DW121" s="204">
        <f>1280000/DW66</f>
        <v>330.57851239669424</v>
      </c>
      <c r="DX121" s="202" t="s">
        <v>114</v>
      </c>
      <c r="DY121" s="204">
        <f>1280000/DY66</f>
        <v>310.67961165048541</v>
      </c>
      <c r="EA121" s="202" t="s">
        <v>114</v>
      </c>
      <c r="EB121" s="204">
        <f>1280000/EB66</f>
        <v>330.57851239669424</v>
      </c>
      <c r="ED121" s="202" t="s">
        <v>114</v>
      </c>
      <c r="EE121" s="204">
        <f>1280000/EE66</f>
        <v>310.67961165048541</v>
      </c>
      <c r="EG121" s="202" t="s">
        <v>114</v>
      </c>
      <c r="EH121" s="204">
        <f>1280000/EH66</f>
        <v>310.67961165048541</v>
      </c>
      <c r="EJ121" s="202" t="s">
        <v>114</v>
      </c>
      <c r="EK121" s="204">
        <f>1280000/EK66</f>
        <v>330.57851239669424</v>
      </c>
      <c r="EM121" s="202" t="s">
        <v>114</v>
      </c>
      <c r="EN121" s="204">
        <f>1280000/EN66</f>
        <v>310.67961165048541</v>
      </c>
      <c r="EP121" s="202" t="s">
        <v>114</v>
      </c>
      <c r="EQ121" s="204">
        <f>1280000/EQ66</f>
        <v>310.67961165048541</v>
      </c>
      <c r="ER121" s="202" t="s">
        <v>114</v>
      </c>
      <c r="ES121" s="204">
        <f t="shared" ref="ES121" si="263">1280000/ES66</f>
        <v>330.57851239669424</v>
      </c>
      <c r="ET121" s="4"/>
      <c r="EU121" s="202" t="s">
        <v>114</v>
      </c>
      <c r="EV121" s="204">
        <f t="shared" ref="EV121" si="264">1280000/EV66</f>
        <v>310.67961165048541</v>
      </c>
      <c r="EX121" s="202" t="s">
        <v>114</v>
      </c>
      <c r="EY121" s="204">
        <f>1280000/EY66</f>
        <v>330.57851239669424</v>
      </c>
      <c r="EZ121" s="202" t="s">
        <v>114</v>
      </c>
      <c r="FA121" s="204">
        <f>1280000/FA66</f>
        <v>310.67961165048541</v>
      </c>
      <c r="FB121" s="202" t="s">
        <v>114</v>
      </c>
      <c r="FC121" s="204">
        <f>1280000/FC66</f>
        <v>330.57851239669424</v>
      </c>
    </row>
    <row r="122" spans="1:159" s="65" customFormat="1" ht="18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58.109504132231407</v>
      </c>
      <c r="H122" s="202" t="s">
        <v>114</v>
      </c>
      <c r="I122" s="204">
        <f>225000/I66</f>
        <v>58.109504132231407</v>
      </c>
      <c r="J122" s="202" t="s">
        <v>114</v>
      </c>
      <c r="K122" s="204">
        <f>225000/K66</f>
        <v>58.109504132231407</v>
      </c>
      <c r="L122" s="202" t="s">
        <v>114</v>
      </c>
      <c r="M122" s="204">
        <f>225000/M66</f>
        <v>58.109504132231407</v>
      </c>
      <c r="N122" s="202" t="s">
        <v>114</v>
      </c>
      <c r="O122" s="204">
        <f>225000/O66</f>
        <v>58.109504132231407</v>
      </c>
      <c r="P122" s="202" t="s">
        <v>114</v>
      </c>
      <c r="Q122" s="204">
        <f>225000/Q66</f>
        <v>58.109504132231407</v>
      </c>
      <c r="R122" s="657"/>
      <c r="S122" s="202" t="s">
        <v>114</v>
      </c>
      <c r="T122" s="204">
        <f>225000/T66</f>
        <v>56.25</v>
      </c>
      <c r="U122" s="202" t="s">
        <v>114</v>
      </c>
      <c r="V122" s="204">
        <f>225000/V66</f>
        <v>56.25</v>
      </c>
      <c r="W122" s="202" t="s">
        <v>114</v>
      </c>
      <c r="X122" s="204">
        <f>225000/X66</f>
        <v>58.109504132231407</v>
      </c>
      <c r="Y122" s="202" t="s">
        <v>114</v>
      </c>
      <c r="Z122" s="204">
        <f>225000/Z66</f>
        <v>58.109504132231407</v>
      </c>
      <c r="AA122" s="202" t="s">
        <v>114</v>
      </c>
      <c r="AB122" s="204">
        <f>225000/AB66</f>
        <v>58.109504132231407</v>
      </c>
      <c r="AC122" s="202" t="s">
        <v>114</v>
      </c>
      <c r="AD122" s="204">
        <f>225000/AD66</f>
        <v>58.109504132231407</v>
      </c>
      <c r="AE122" s="202" t="s">
        <v>114</v>
      </c>
      <c r="AF122" s="204" t="e">
        <f>225000/AF66</f>
        <v>#REF!</v>
      </c>
      <c r="AG122" s="657"/>
      <c r="AH122" s="202" t="s">
        <v>114</v>
      </c>
      <c r="AI122" s="204">
        <f>225000/AI66</f>
        <v>63.380281690140848</v>
      </c>
      <c r="AJ122" s="202" t="s">
        <v>114</v>
      </c>
      <c r="AK122" s="204">
        <f>225000/AK66</f>
        <v>63.380281690140848</v>
      </c>
      <c r="AL122" s="202" t="s">
        <v>114</v>
      </c>
      <c r="AM122" s="204">
        <f>225000/AM66</f>
        <v>63.380281690140848</v>
      </c>
      <c r="AN122" s="202" t="s">
        <v>114</v>
      </c>
      <c r="AO122" s="204">
        <f>225000/AO66</f>
        <v>63.380281690140848</v>
      </c>
      <c r="AP122" s="202" t="s">
        <v>114</v>
      </c>
      <c r="AQ122" s="204">
        <f>225000/AQ66</f>
        <v>63.380281690140848</v>
      </c>
      <c r="AR122" s="202" t="s">
        <v>114</v>
      </c>
      <c r="AS122" s="204">
        <f>225000/AS66</f>
        <v>63.380281690140848</v>
      </c>
      <c r="AT122" s="202" t="s">
        <v>114</v>
      </c>
      <c r="AU122" s="204" t="e">
        <f>225000/AU66</f>
        <v>#REF!</v>
      </c>
      <c r="AV122" s="657"/>
      <c r="AW122" s="202" t="s">
        <v>114</v>
      </c>
      <c r="AX122" s="204">
        <f>225000/AX66</f>
        <v>63.380281690140848</v>
      </c>
      <c r="AY122" s="201" t="s">
        <v>114</v>
      </c>
      <c r="AZ122" s="204">
        <f>225000/AZ66</f>
        <v>58.109504132231407</v>
      </c>
      <c r="BA122" s="202" t="s">
        <v>114</v>
      </c>
      <c r="BB122" s="204">
        <f>225000/BB66</f>
        <v>58.109504132231407</v>
      </c>
      <c r="BC122" s="202" t="s">
        <v>114</v>
      </c>
      <c r="BD122" s="204">
        <f>225000/BD66</f>
        <v>58.109504132231407</v>
      </c>
      <c r="BE122" s="202" t="s">
        <v>114</v>
      </c>
      <c r="BF122" s="204">
        <f>225000/BF66</f>
        <v>58.109504132231407</v>
      </c>
      <c r="BG122" s="202" t="s">
        <v>114</v>
      </c>
      <c r="BH122" s="204">
        <f>225000/BH66</f>
        <v>58.109504132231407</v>
      </c>
      <c r="BI122" s="202" t="s">
        <v>114</v>
      </c>
      <c r="BJ122" s="204">
        <f>225000/BJ66</f>
        <v>58.109504132231407</v>
      </c>
      <c r="BK122" s="202" t="s">
        <v>114</v>
      </c>
      <c r="BL122" s="204">
        <f>225000/BL66</f>
        <v>45.546558704453439</v>
      </c>
      <c r="BM122" s="202" t="s">
        <v>114</v>
      </c>
      <c r="BN122" s="204">
        <f>225000/BN66</f>
        <v>45.546558704453439</v>
      </c>
      <c r="BO122" s="202" t="s">
        <v>114</v>
      </c>
      <c r="BP122" s="204">
        <f>225000/BP66</f>
        <v>45.546558704453439</v>
      </c>
      <c r="BQ122" s="202" t="s">
        <v>114</v>
      </c>
      <c r="BR122" s="204">
        <f>225000/BR66</f>
        <v>45.546558704453439</v>
      </c>
      <c r="BS122" s="202" t="s">
        <v>114</v>
      </c>
      <c r="BT122" s="204">
        <f>225000/BT66</f>
        <v>46.875</v>
      </c>
      <c r="BU122" s="202" t="s">
        <v>114</v>
      </c>
      <c r="BV122" s="204">
        <f>225000/BV66</f>
        <v>46.875</v>
      </c>
      <c r="BW122" s="202" t="s">
        <v>114</v>
      </c>
      <c r="BX122" s="204">
        <f>225000/BX66</f>
        <v>46.875</v>
      </c>
      <c r="BY122" s="202" t="s">
        <v>114</v>
      </c>
      <c r="BZ122" s="204">
        <f>225000/BZ66</f>
        <v>46.875</v>
      </c>
      <c r="CA122" s="202" t="s">
        <v>114</v>
      </c>
      <c r="CB122" s="204">
        <f>225000/CB66</f>
        <v>93.75</v>
      </c>
      <c r="CC122" s="202" t="s">
        <v>114</v>
      </c>
      <c r="CD122" s="204">
        <f>225000/CD66</f>
        <v>93.75</v>
      </c>
      <c r="CE122" s="202" t="s">
        <v>114</v>
      </c>
      <c r="CF122" s="204">
        <f>225000/CF66</f>
        <v>93.75</v>
      </c>
      <c r="CG122" s="202" t="s">
        <v>114</v>
      </c>
      <c r="CH122" s="204">
        <f>225000/CH66</f>
        <v>93.75</v>
      </c>
      <c r="CI122" s="202" t="s">
        <v>114</v>
      </c>
      <c r="CJ122" s="204">
        <f>225000/CJ66</f>
        <v>55.555555555555557</v>
      </c>
      <c r="CK122" s="202" t="s">
        <v>114</v>
      </c>
      <c r="CL122" s="204">
        <f>225000/CL66</f>
        <v>53.571428571428569</v>
      </c>
      <c r="CM122" s="202" t="s">
        <v>114</v>
      </c>
      <c r="CN122" s="204">
        <f>225000/CN66</f>
        <v>53.571428571428569</v>
      </c>
      <c r="CO122" s="202" t="s">
        <v>114</v>
      </c>
      <c r="CP122" s="204">
        <f>225000/CP66</f>
        <v>46.875</v>
      </c>
      <c r="CR122" s="202" t="s">
        <v>114</v>
      </c>
      <c r="CS122" s="204">
        <f>225000/CS66</f>
        <v>55.555555555555557</v>
      </c>
      <c r="CT122" s="202" t="s">
        <v>114</v>
      </c>
      <c r="CU122" s="204">
        <f>225000/CU66</f>
        <v>53.571428571428569</v>
      </c>
      <c r="CV122" s="202" t="s">
        <v>114</v>
      </c>
      <c r="CW122" s="204">
        <f>225000/CW66</f>
        <v>53.571428571428569</v>
      </c>
      <c r="CX122" s="202" t="s">
        <v>114</v>
      </c>
      <c r="CY122" s="204">
        <f>225000/CY66</f>
        <v>46.875</v>
      </c>
      <c r="DA122" s="202" t="s">
        <v>114</v>
      </c>
      <c r="DB122" s="204">
        <f>225000/DB66</f>
        <v>55.555555555555557</v>
      </c>
      <c r="DC122" s="202" t="s">
        <v>114</v>
      </c>
      <c r="DD122" s="204">
        <f>225000/DD66</f>
        <v>53.571428571428569</v>
      </c>
      <c r="DE122" s="202" t="s">
        <v>114</v>
      </c>
      <c r="DF122" s="204">
        <f>225000/DF66</f>
        <v>53.571428571428569</v>
      </c>
      <c r="DH122" s="202" t="s">
        <v>114</v>
      </c>
      <c r="DI122" s="204">
        <f>225000/DI66</f>
        <v>58.109504132231407</v>
      </c>
      <c r="DJ122" s="202" t="s">
        <v>114</v>
      </c>
      <c r="DK122" s="204">
        <f>225000/DK66</f>
        <v>54.61165048543689</v>
      </c>
      <c r="DL122" s="202" t="s">
        <v>114</v>
      </c>
      <c r="DM122" s="204">
        <f>225000/DM66</f>
        <v>58.109504132231407</v>
      </c>
      <c r="DO122" s="202" t="s">
        <v>114</v>
      </c>
      <c r="DP122" s="204">
        <f>225000/DP66</f>
        <v>58.109504132231407</v>
      </c>
      <c r="DQ122" s="202" t="s">
        <v>114</v>
      </c>
      <c r="DR122" s="204">
        <f>225000/DR66</f>
        <v>54.61165048543689</v>
      </c>
      <c r="DS122" s="202" t="s">
        <v>114</v>
      </c>
      <c r="DT122" s="204">
        <f>225000/DT66</f>
        <v>58.109504132231407</v>
      </c>
      <c r="DV122" s="202" t="s">
        <v>114</v>
      </c>
      <c r="DW122" s="204">
        <f>225000/DW66</f>
        <v>58.109504132231407</v>
      </c>
      <c r="DX122" s="202" t="s">
        <v>114</v>
      </c>
      <c r="DY122" s="204">
        <f>225000/DY66</f>
        <v>54.61165048543689</v>
      </c>
      <c r="EA122" s="202" t="s">
        <v>114</v>
      </c>
      <c r="EB122" s="204">
        <f>225000/EB66</f>
        <v>58.109504132231407</v>
      </c>
      <c r="ED122" s="202" t="s">
        <v>114</v>
      </c>
      <c r="EE122" s="204">
        <f>225000/EE66</f>
        <v>54.61165048543689</v>
      </c>
      <c r="EG122" s="202" t="s">
        <v>114</v>
      </c>
      <c r="EH122" s="204">
        <f>225000/EH66</f>
        <v>54.61165048543689</v>
      </c>
      <c r="EJ122" s="202" t="s">
        <v>114</v>
      </c>
      <c r="EK122" s="204">
        <f>225000/EK66</f>
        <v>58.109504132231407</v>
      </c>
      <c r="EM122" s="202" t="s">
        <v>114</v>
      </c>
      <c r="EN122" s="204">
        <f>225000/EN66</f>
        <v>54.61165048543689</v>
      </c>
      <c r="EP122" s="202" t="s">
        <v>114</v>
      </c>
      <c r="EQ122" s="204">
        <f>225000/EQ66</f>
        <v>54.61165048543689</v>
      </c>
      <c r="ER122" s="202" t="s">
        <v>114</v>
      </c>
      <c r="ES122" s="204">
        <f t="shared" ref="ES122" si="265">225000/ES66</f>
        <v>58.109504132231407</v>
      </c>
      <c r="ET122" s="4"/>
      <c r="EU122" s="202" t="s">
        <v>114</v>
      </c>
      <c r="EV122" s="204">
        <f t="shared" ref="EV122" si="266">225000/EV66</f>
        <v>54.61165048543689</v>
      </c>
      <c r="EX122" s="202" t="s">
        <v>114</v>
      </c>
      <c r="EY122" s="204">
        <f>225000/EY66</f>
        <v>58.109504132231407</v>
      </c>
      <c r="EZ122" s="202" t="s">
        <v>114</v>
      </c>
      <c r="FA122" s="204">
        <f>225000/FA66</f>
        <v>54.61165048543689</v>
      </c>
      <c r="FB122" s="202" t="s">
        <v>114</v>
      </c>
      <c r="FC122" s="204">
        <f>225000/FC66</f>
        <v>58.109504132231407</v>
      </c>
    </row>
    <row r="123" spans="1:159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662.16322017045457</v>
      </c>
      <c r="H123" s="208" t="s">
        <v>114</v>
      </c>
      <c r="I123" s="209">
        <f>(175*I79)/I66</f>
        <v>647.75876317148754</v>
      </c>
      <c r="J123" s="208" t="s">
        <v>114</v>
      </c>
      <c r="K123" s="209">
        <f>(175*K79)/K66</f>
        <v>652.47454902006893</v>
      </c>
      <c r="L123" s="208" t="s">
        <v>114</v>
      </c>
      <c r="M123" s="209">
        <f>(175*M79)/M66</f>
        <v>677.46219618175314</v>
      </c>
      <c r="N123" s="208" t="s">
        <v>114</v>
      </c>
      <c r="O123" s="209">
        <f>(175*O79)/O66</f>
        <v>677.94421487603302</v>
      </c>
      <c r="P123" s="208" t="s">
        <v>114</v>
      </c>
      <c r="Q123" s="209">
        <f>(175*Q79)/Q66</f>
        <v>696.02272727272725</v>
      </c>
      <c r="R123" s="658"/>
      <c r="S123" s="208" t="s">
        <v>114</v>
      </c>
      <c r="T123" s="209">
        <f>(175*T79)/T66</f>
        <v>640.97399712499998</v>
      </c>
      <c r="U123" s="208" t="s">
        <v>114</v>
      </c>
      <c r="V123" s="209">
        <f>(175*V79)/V66</f>
        <v>627.03048274999992</v>
      </c>
      <c r="W123" s="208" t="s">
        <v>114</v>
      </c>
      <c r="X123" s="209">
        <f>(175*X79)/X66</f>
        <v>653.61431115406049</v>
      </c>
      <c r="Y123" s="208" t="s">
        <v>114</v>
      </c>
      <c r="Z123" s="209">
        <f>(175*Z79)/Z66</f>
        <v>679.61647727272725</v>
      </c>
      <c r="AA123" s="208" t="s">
        <v>114</v>
      </c>
      <c r="AB123" s="209">
        <f>(175*AB79)/AB66</f>
        <v>677.94421487603302</v>
      </c>
      <c r="AC123" s="208" t="s">
        <v>114</v>
      </c>
      <c r="AD123" s="209">
        <f>(175*AD79)/AD66</f>
        <v>677.94421487603302</v>
      </c>
      <c r="AE123" s="208" t="s">
        <v>114</v>
      </c>
      <c r="AF123" s="209" t="e">
        <f>(175*AF79)/AF66</f>
        <v>#REF!</v>
      </c>
      <c r="AG123" s="658"/>
      <c r="AH123" s="208" t="s">
        <v>114</v>
      </c>
      <c r="AI123" s="209">
        <f>(175*AI79)/AI66</f>
        <v>722.2242221126761</v>
      </c>
      <c r="AJ123" s="208" t="s">
        <v>114</v>
      </c>
      <c r="AK123" s="209">
        <f>(175*AK79)/AK66</f>
        <v>706.51321999999993</v>
      </c>
      <c r="AL123" s="208" t="s">
        <v>114</v>
      </c>
      <c r="AM123" s="209">
        <f>(175*AM79)/AM66</f>
        <v>713.00851548225387</v>
      </c>
      <c r="AN123" s="208" t="s">
        <v>114</v>
      </c>
      <c r="AO123" s="209">
        <f>(175*AO79)/AO66</f>
        <v>738.51704056053359</v>
      </c>
      <c r="AP123" s="208" t="s">
        <v>114</v>
      </c>
      <c r="AQ123" s="209">
        <f>(175*AQ79)/AQ66</f>
        <v>739.43661971830988</v>
      </c>
      <c r="AR123" s="208" t="s">
        <v>114</v>
      </c>
      <c r="AS123" s="209">
        <f>(175*AS79)/AS66</f>
        <v>759.15492957746483</v>
      </c>
      <c r="AT123" s="208" t="s">
        <v>114</v>
      </c>
      <c r="AU123" s="209" t="e">
        <f>(175*AU79)/AU66</f>
        <v>#REF!</v>
      </c>
      <c r="AV123" s="658"/>
      <c r="AW123" s="208" t="s">
        <v>114</v>
      </c>
      <c r="AX123" s="209">
        <f>(175*AX79)/AX66</f>
        <v>713.00851548225387</v>
      </c>
      <c r="AY123" s="296" t="s">
        <v>114</v>
      </c>
      <c r="AZ123" s="209">
        <f>(175*AZ79)/AZ66</f>
        <v>662.16322017045457</v>
      </c>
      <c r="BA123" s="208" t="s">
        <v>114</v>
      </c>
      <c r="BB123" s="209">
        <f>(175*BB79)/BB66</f>
        <v>646.30681818181813</v>
      </c>
      <c r="BC123" s="208" t="s">
        <v>114</v>
      </c>
      <c r="BD123" s="209">
        <f>(175*BD79)/BD66</f>
        <v>648.43104338842977</v>
      </c>
      <c r="BE123" s="208" t="s">
        <v>114</v>
      </c>
      <c r="BF123" s="209">
        <f>(175*BF79)/BF66</f>
        <v>675.68440082644634</v>
      </c>
      <c r="BG123" s="208" t="s">
        <v>114</v>
      </c>
      <c r="BH123" s="209">
        <f>(175*BH79)/BH66</f>
        <v>668.90495867768595</v>
      </c>
      <c r="BI123" s="208" t="s">
        <v>114</v>
      </c>
      <c r="BJ123" s="209">
        <f>(175*BJ79)/BJ66</f>
        <v>668.90495867768595</v>
      </c>
      <c r="BK123" s="208" t="s">
        <v>114</v>
      </c>
      <c r="BL123" s="209">
        <f>(175*BL79)/BL66</f>
        <v>509.80231220371104</v>
      </c>
      <c r="BM123" s="208" t="s">
        <v>114</v>
      </c>
      <c r="BN123" s="209">
        <f>(175*BN79)/BN66</f>
        <v>531.6120166467748</v>
      </c>
      <c r="BO123" s="208" t="s">
        <v>114</v>
      </c>
      <c r="BP123" s="209">
        <f>(175*BP79)/BP66</f>
        <v>524.29149797570847</v>
      </c>
      <c r="BQ123" s="208" t="s">
        <v>114</v>
      </c>
      <c r="BR123" s="209">
        <f>(175*BR79)/BR66</f>
        <v>524.29149797570847</v>
      </c>
      <c r="BS123" s="208" t="s">
        <v>114</v>
      </c>
      <c r="BT123" s="209">
        <f>(175*BT79)/BT66</f>
        <v>527.92079828679005</v>
      </c>
      <c r="BU123" s="208" t="s">
        <v>114</v>
      </c>
      <c r="BV123" s="209">
        <f>(175*BV79)/BV66</f>
        <v>545.70124913254688</v>
      </c>
      <c r="BW123" s="208" t="s">
        <v>114</v>
      </c>
      <c r="BX123" s="209">
        <f>(175*BX79)/BX66</f>
        <v>539.58333333333337</v>
      </c>
      <c r="BY123" s="208" t="s">
        <v>114</v>
      </c>
      <c r="BZ123" s="209">
        <f>(175*BZ79)/BZ66</f>
        <v>539.58333333333337</v>
      </c>
      <c r="CA123" s="208" t="s">
        <v>114</v>
      </c>
      <c r="CB123" s="209">
        <f>(175*CB79)/CB66</f>
        <v>1053.7837600401606</v>
      </c>
      <c r="CC123" s="208" t="s">
        <v>114</v>
      </c>
      <c r="CD123" s="209">
        <f>(175*CD79)/CD66</f>
        <v>1089.6622173586359</v>
      </c>
      <c r="CE123" s="208" t="s">
        <v>114</v>
      </c>
      <c r="CF123" s="209">
        <f>(175*CF79)/CF66</f>
        <v>1079.1666666666667</v>
      </c>
      <c r="CG123" s="208" t="s">
        <v>114</v>
      </c>
      <c r="CH123" s="209">
        <f>(175*CH79)/CH66</f>
        <v>1079.1666666666667</v>
      </c>
      <c r="CI123" s="208" t="s">
        <v>114</v>
      </c>
      <c r="CJ123" s="209">
        <f>(175*CJ79)/CJ66</f>
        <v>678.95679012345681</v>
      </c>
      <c r="CK123" s="208" t="s">
        <v>114</v>
      </c>
      <c r="CL123" s="209">
        <f>(175*CL79)/CL66</f>
        <v>654.70833333333337</v>
      </c>
      <c r="CM123" s="208" t="s">
        <v>114</v>
      </c>
      <c r="CN123" s="209">
        <f>(175*CN79)/CN66</f>
        <v>654.70833333333337</v>
      </c>
      <c r="CO123" s="208" t="s">
        <v>114</v>
      </c>
      <c r="CP123" s="209">
        <f>(175*CP79)/CP66</f>
        <v>546.875</v>
      </c>
      <c r="CR123" s="208" t="s">
        <v>114</v>
      </c>
      <c r="CS123" s="209">
        <f>(175*CS79)/CS66</f>
        <v>677.91975308641975</v>
      </c>
      <c r="CT123" s="208" t="s">
        <v>114</v>
      </c>
      <c r="CU123" s="209">
        <f>(175*CU79)/CU66</f>
        <v>653.70833333333337</v>
      </c>
      <c r="CV123" s="208" t="s">
        <v>114</v>
      </c>
      <c r="CW123" s="209">
        <f>(175*CW79)/CW66</f>
        <v>653.70833333333337</v>
      </c>
      <c r="CX123" s="208" t="s">
        <v>114</v>
      </c>
      <c r="CY123" s="209">
        <f>(175*CY79)/CY66</f>
        <v>546.875</v>
      </c>
      <c r="DA123" s="208" t="s">
        <v>114</v>
      </c>
      <c r="DB123" s="209">
        <f>(175*DB79)/DB66</f>
        <v>670.61728395061732</v>
      </c>
      <c r="DC123" s="208" t="s">
        <v>114</v>
      </c>
      <c r="DD123" s="209">
        <f>(175*DD79)/DD66</f>
        <v>646.66666666666663</v>
      </c>
      <c r="DE123" s="208" t="s">
        <v>114</v>
      </c>
      <c r="DF123" s="209">
        <f>(175*DF79)/DF66</f>
        <v>646.66666666666663</v>
      </c>
      <c r="DH123" s="208" t="s">
        <v>114</v>
      </c>
      <c r="DI123" s="209">
        <f>(175*DI79)/DI66</f>
        <v>704.24845041322317</v>
      </c>
      <c r="DJ123" s="208" t="s">
        <v>114</v>
      </c>
      <c r="DK123" s="209">
        <f>(175*DK79)/DK66</f>
        <v>661.85679611650482</v>
      </c>
      <c r="DL123" s="208" t="s">
        <v>114</v>
      </c>
      <c r="DM123" s="209">
        <f>(175*DM79)/DM66</f>
        <v>704.24845041322317</v>
      </c>
      <c r="DO123" s="208" t="s">
        <v>114</v>
      </c>
      <c r="DP123" s="209">
        <f>(175*DP79)/DP66</f>
        <v>709.62680785123962</v>
      </c>
      <c r="DQ123" s="208" t="s">
        <v>114</v>
      </c>
      <c r="DR123" s="209">
        <f>(175*DR79)/DR66</f>
        <v>666.91140776699024</v>
      </c>
      <c r="DS123" s="208" t="s">
        <v>114</v>
      </c>
      <c r="DT123" s="209">
        <f>(175*DT79)/DT66</f>
        <v>709.62680785123962</v>
      </c>
      <c r="DV123" s="208" t="s">
        <v>114</v>
      </c>
      <c r="DW123" s="209">
        <f>(175*DW79)/DW66</f>
        <v>726.07825413223145</v>
      </c>
      <c r="DX123" s="208" t="s">
        <v>114</v>
      </c>
      <c r="DY123" s="209">
        <f>(175*DY79)/DY66</f>
        <v>682.372572815534</v>
      </c>
      <c r="EA123" s="208" t="s">
        <v>114</v>
      </c>
      <c r="EB123" s="209">
        <f>(175*EB79)/EB66</f>
        <v>726.62060950413218</v>
      </c>
      <c r="ED123" s="208" t="s">
        <v>114</v>
      </c>
      <c r="EE123" s="209">
        <f>(175*EE79)/EE66</f>
        <v>690.82524271844659</v>
      </c>
      <c r="EG123" s="208" t="s">
        <v>114</v>
      </c>
      <c r="EH123" s="209">
        <f>(175*EH79)/EH66</f>
        <v>678.2099514563107</v>
      </c>
      <c r="EJ123" s="208" t="s">
        <v>114</v>
      </c>
      <c r="EK123" s="209">
        <f>(175*EK79)/EK66</f>
        <v>695.25439049586782</v>
      </c>
      <c r="EM123" s="208" t="s">
        <v>114</v>
      </c>
      <c r="EN123" s="209">
        <f>(175*EN79)/EN66</f>
        <v>657.52427184466023</v>
      </c>
      <c r="EP123" s="208" t="s">
        <v>114</v>
      </c>
      <c r="EQ123" s="209">
        <f>(175*EQ79)/EQ66</f>
        <v>669.79975728155341</v>
      </c>
      <c r="ER123" s="208" t="s">
        <v>114</v>
      </c>
      <c r="ES123" s="209">
        <f t="shared" ref="ES123" si="267">(175*ES79)/ES66</f>
        <v>712.70015495867767</v>
      </c>
      <c r="EU123" s="208" t="s">
        <v>114</v>
      </c>
      <c r="EV123" s="209">
        <f t="shared" ref="EV123" si="268">(175*EV79)/EV66</f>
        <v>678.42233009708741</v>
      </c>
      <c r="EX123" s="208" t="s">
        <v>114</v>
      </c>
      <c r="EY123" s="209">
        <f>(175*EY79)/EY66</f>
        <v>700.54235537190084</v>
      </c>
      <c r="EZ123" s="208" t="s">
        <v>114</v>
      </c>
      <c r="FA123" s="209">
        <f>(175*FA79)/FA66</f>
        <v>658.37378640776694</v>
      </c>
      <c r="FB123" s="208" t="s">
        <v>114</v>
      </c>
      <c r="FC123" s="209">
        <f>(175*FC79)/FC66</f>
        <v>700.54235537190084</v>
      </c>
    </row>
    <row r="124" spans="1:159" ht="15" customHeight="1" outlineLevel="2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359"/>
      <c r="K124" s="368"/>
      <c r="L124" s="359"/>
      <c r="M124" s="368"/>
      <c r="N124" s="359"/>
      <c r="O124" s="368"/>
      <c r="P124" s="359"/>
      <c r="Q124" s="368"/>
      <c r="R124" s="630"/>
      <c r="S124" s="164"/>
      <c r="T124" s="165"/>
      <c r="U124" s="164"/>
      <c r="V124" s="165"/>
      <c r="W124" s="359"/>
      <c r="X124" s="368"/>
      <c r="Y124" s="359"/>
      <c r="Z124" s="368"/>
      <c r="AA124" s="359"/>
      <c r="AB124" s="368"/>
      <c r="AC124" s="359"/>
      <c r="AD124" s="368"/>
      <c r="AE124" s="359"/>
      <c r="AF124" s="368"/>
      <c r="AG124" s="630"/>
      <c r="AH124" s="164"/>
      <c r="AI124" s="165"/>
      <c r="AJ124" s="164"/>
      <c r="AK124" s="165"/>
      <c r="AL124" s="359"/>
      <c r="AM124" s="368"/>
      <c r="AN124" s="359"/>
      <c r="AO124" s="368"/>
      <c r="AP124" s="359"/>
      <c r="AQ124" s="368"/>
      <c r="AR124" s="359"/>
      <c r="AS124" s="368"/>
      <c r="AT124" s="359"/>
      <c r="AU124" s="368"/>
      <c r="AV124" s="630"/>
      <c r="AW124" s="359"/>
      <c r="AX124" s="368"/>
      <c r="AY124" s="172"/>
      <c r="AZ124" s="165"/>
      <c r="BA124" s="359"/>
      <c r="BB124" s="368"/>
      <c r="BC124" s="359"/>
      <c r="BD124" s="368"/>
      <c r="BE124" s="359"/>
      <c r="BF124" s="368"/>
      <c r="BG124" s="359"/>
      <c r="BH124" s="368"/>
      <c r="BI124" s="359"/>
      <c r="BJ124" s="368"/>
      <c r="BK124" s="164"/>
      <c r="BL124" s="165"/>
      <c r="BM124" s="359"/>
      <c r="BN124" s="368"/>
      <c r="BO124" s="359"/>
      <c r="BP124" s="368"/>
      <c r="BQ124" s="359"/>
      <c r="BR124" s="368"/>
      <c r="BS124" s="164"/>
      <c r="BT124" s="165"/>
      <c r="BU124" s="359"/>
      <c r="BV124" s="368"/>
      <c r="BW124" s="359"/>
      <c r="BX124" s="368"/>
      <c r="BY124" s="359"/>
      <c r="BZ124" s="368"/>
      <c r="CA124" s="164"/>
      <c r="CB124" s="165"/>
      <c r="CC124" s="359"/>
      <c r="CD124" s="368"/>
      <c r="CE124" s="359"/>
      <c r="CF124" s="368"/>
      <c r="CG124" s="359"/>
      <c r="CH124" s="368"/>
      <c r="CI124" s="359"/>
      <c r="CJ124" s="368"/>
      <c r="CK124" s="359"/>
      <c r="CL124" s="368"/>
      <c r="CM124" s="359"/>
      <c r="CN124" s="368"/>
      <c r="CO124" s="359"/>
      <c r="CP124" s="368"/>
      <c r="CR124" s="359"/>
      <c r="CS124" s="368"/>
      <c r="CT124" s="359"/>
      <c r="CU124" s="368"/>
      <c r="CV124" s="359"/>
      <c r="CW124" s="368"/>
      <c r="CX124" s="359"/>
      <c r="CY124" s="368"/>
      <c r="DA124" s="359"/>
      <c r="DB124" s="368"/>
      <c r="DC124" s="359"/>
      <c r="DD124" s="368"/>
      <c r="DE124" s="359"/>
      <c r="DF124" s="368"/>
      <c r="DH124" s="359"/>
      <c r="DI124" s="368"/>
      <c r="DJ124" s="359"/>
      <c r="DK124" s="368"/>
      <c r="DL124" s="359"/>
      <c r="DM124" s="368"/>
      <c r="DO124" s="359"/>
      <c r="DP124" s="368"/>
      <c r="DQ124" s="359"/>
      <c r="DR124" s="368"/>
      <c r="DS124" s="359"/>
      <c r="DT124" s="368"/>
      <c r="DV124" s="359"/>
      <c r="DW124" s="368"/>
      <c r="DX124" s="359"/>
      <c r="DY124" s="368"/>
      <c r="EA124" s="359"/>
      <c r="EB124" s="368"/>
      <c r="ED124" s="359"/>
      <c r="EE124" s="368"/>
      <c r="EG124" s="359"/>
      <c r="EH124" s="368"/>
      <c r="EJ124" s="359"/>
      <c r="EK124" s="368"/>
      <c r="EM124" s="359"/>
      <c r="EN124" s="368"/>
      <c r="EP124" s="359"/>
      <c r="EQ124" s="368"/>
      <c r="ER124" s="359"/>
      <c r="ES124" s="368"/>
      <c r="EU124" s="359"/>
      <c r="EV124" s="368"/>
      <c r="EX124" s="359"/>
      <c r="EY124" s="368"/>
      <c r="EZ124" s="359"/>
      <c r="FA124" s="368"/>
      <c r="FB124" s="359"/>
      <c r="FC124" s="368"/>
    </row>
    <row r="125" spans="1:159" ht="15" customHeight="1" outlineLevel="3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33580560</v>
      </c>
      <c r="H125" s="214"/>
      <c r="I125" s="215">
        <v>33580560</v>
      </c>
      <c r="J125" s="214"/>
      <c r="K125" s="215">
        <v>33580560</v>
      </c>
      <c r="L125" s="214"/>
      <c r="M125" s="215">
        <v>33580560</v>
      </c>
      <c r="N125" s="214"/>
      <c r="O125" s="215">
        <v>33580560</v>
      </c>
      <c r="P125" s="214"/>
      <c r="Q125" s="215">
        <v>33580560</v>
      </c>
      <c r="R125" s="659"/>
      <c r="S125" s="214"/>
      <c r="T125" s="215">
        <v>8114880</v>
      </c>
      <c r="U125" s="214"/>
      <c r="V125" s="215">
        <v>8114880</v>
      </c>
      <c r="W125" s="214"/>
      <c r="X125" s="215">
        <v>33580560</v>
      </c>
      <c r="Y125" s="214"/>
      <c r="Z125" s="215">
        <v>33580560</v>
      </c>
      <c r="AA125" s="214"/>
      <c r="AB125" s="215">
        <v>33580560</v>
      </c>
      <c r="AC125" s="214"/>
      <c r="AD125" s="215">
        <v>33580560</v>
      </c>
      <c r="AE125" s="214"/>
      <c r="AF125" s="215">
        <v>33580560</v>
      </c>
      <c r="AG125" s="659"/>
      <c r="AH125" s="214"/>
      <c r="AI125" s="215">
        <v>11492280</v>
      </c>
      <c r="AJ125" s="214"/>
      <c r="AK125" s="215">
        <v>11492280</v>
      </c>
      <c r="AL125" s="214"/>
      <c r="AM125" s="215">
        <v>33580560</v>
      </c>
      <c r="AN125" s="214"/>
      <c r="AO125" s="215">
        <v>33580560</v>
      </c>
      <c r="AP125" s="214"/>
      <c r="AQ125" s="215">
        <v>33580560</v>
      </c>
      <c r="AR125" s="214"/>
      <c r="AS125" s="215">
        <v>33580560</v>
      </c>
      <c r="AT125" s="214"/>
      <c r="AU125" s="215">
        <v>11492280</v>
      </c>
      <c r="AV125" s="659"/>
      <c r="AW125" s="214"/>
      <c r="AX125" s="215">
        <v>11492280</v>
      </c>
      <c r="AY125" s="297"/>
      <c r="AZ125" s="215">
        <v>429560</v>
      </c>
      <c r="BA125" s="214"/>
      <c r="BB125" s="215">
        <v>429560</v>
      </c>
      <c r="BC125" s="214"/>
      <c r="BD125" s="215">
        <v>429560</v>
      </c>
      <c r="BE125" s="214"/>
      <c r="BF125" s="215">
        <v>429560</v>
      </c>
      <c r="BG125" s="214"/>
      <c r="BH125" s="215">
        <v>429560</v>
      </c>
      <c r="BI125" s="214"/>
      <c r="BJ125" s="215">
        <v>429560</v>
      </c>
      <c r="BK125" s="214"/>
      <c r="BL125" s="215">
        <v>154272</v>
      </c>
      <c r="BM125" s="214"/>
      <c r="BN125" s="215">
        <v>154272</v>
      </c>
      <c r="BO125" s="214"/>
      <c r="BP125" s="215">
        <v>154272</v>
      </c>
      <c r="BQ125" s="214"/>
      <c r="BR125" s="215">
        <v>154272</v>
      </c>
      <c r="BS125" s="214"/>
      <c r="BT125" s="215">
        <v>291156</v>
      </c>
      <c r="BU125" s="214"/>
      <c r="BV125" s="215">
        <v>291156</v>
      </c>
      <c r="BW125" s="214"/>
      <c r="BX125" s="215">
        <v>291156</v>
      </c>
      <c r="BY125" s="214"/>
      <c r="BZ125" s="215">
        <v>291156</v>
      </c>
      <c r="CA125" s="214"/>
      <c r="CB125" s="215">
        <v>271128</v>
      </c>
      <c r="CC125" s="214"/>
      <c r="CD125" s="215">
        <v>271128</v>
      </c>
      <c r="CE125" s="214"/>
      <c r="CF125" s="215">
        <v>271128</v>
      </c>
      <c r="CG125" s="214"/>
      <c r="CH125" s="215">
        <v>271128</v>
      </c>
      <c r="CI125" s="214"/>
      <c r="CJ125" s="215">
        <v>0</v>
      </c>
      <c r="CK125" s="214"/>
      <c r="CL125" s="215">
        <v>0</v>
      </c>
      <c r="CM125" s="214"/>
      <c r="CN125" s="215">
        <v>0</v>
      </c>
      <c r="CO125" s="214"/>
      <c r="CP125" s="215">
        <v>0</v>
      </c>
      <c r="CR125" s="214"/>
      <c r="CS125" s="215">
        <v>0</v>
      </c>
      <c r="CT125" s="214"/>
      <c r="CU125" s="215">
        <v>0</v>
      </c>
      <c r="CV125" s="214"/>
      <c r="CW125" s="215">
        <v>0</v>
      </c>
      <c r="CX125" s="214"/>
      <c r="CY125" s="215">
        <v>0</v>
      </c>
      <c r="DA125" s="214"/>
      <c r="DB125" s="215">
        <v>0</v>
      </c>
      <c r="DC125" s="214"/>
      <c r="DD125" s="215">
        <v>0</v>
      </c>
      <c r="DE125" s="214"/>
      <c r="DF125" s="215">
        <v>0</v>
      </c>
      <c r="DH125" s="214"/>
      <c r="DI125" s="215">
        <v>0</v>
      </c>
      <c r="DJ125" s="214"/>
      <c r="DK125" s="215">
        <v>0</v>
      </c>
      <c r="DL125" s="214"/>
      <c r="DM125" s="215">
        <v>0</v>
      </c>
      <c r="DO125" s="214"/>
      <c r="DP125" s="215">
        <v>0</v>
      </c>
      <c r="DQ125" s="214"/>
      <c r="DR125" s="215">
        <v>0</v>
      </c>
      <c r="DS125" s="214"/>
      <c r="DT125" s="215">
        <v>0</v>
      </c>
      <c r="DV125" s="214"/>
      <c r="DW125" s="215">
        <v>0</v>
      </c>
      <c r="DX125" s="214"/>
      <c r="DY125" s="215">
        <v>0</v>
      </c>
      <c r="EA125" s="214"/>
      <c r="EB125" s="215">
        <v>0</v>
      </c>
      <c r="ED125" s="214"/>
      <c r="EE125" s="215">
        <v>0</v>
      </c>
      <c r="EG125" s="214"/>
      <c r="EH125" s="215">
        <v>0</v>
      </c>
      <c r="EJ125" s="214"/>
      <c r="EK125" s="215">
        <v>0</v>
      </c>
      <c r="EM125" s="214"/>
      <c r="EN125" s="215">
        <v>0</v>
      </c>
      <c r="EP125" s="214"/>
      <c r="EQ125" s="215">
        <v>0</v>
      </c>
      <c r="ER125" s="214"/>
      <c r="ES125" s="215">
        <v>0</v>
      </c>
      <c r="EU125" s="214"/>
      <c r="EV125" s="215">
        <v>0</v>
      </c>
      <c r="EX125" s="214"/>
      <c r="EY125" s="215">
        <v>0</v>
      </c>
      <c r="EZ125" s="214"/>
      <c r="FA125" s="215">
        <v>0</v>
      </c>
      <c r="FB125" s="214"/>
      <c r="FC125" s="215">
        <v>0</v>
      </c>
    </row>
    <row r="126" spans="1:159" ht="15" customHeight="1" outlineLevel="3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>
        <f>K125/K10</f>
        <v>839514</v>
      </c>
      <c r="L126" s="214"/>
      <c r="M126" s="215">
        <f>M125/M10</f>
        <v>839514</v>
      </c>
      <c r="N126" s="214"/>
      <c r="O126" s="215">
        <f>O125/O10</f>
        <v>839514</v>
      </c>
      <c r="P126" s="214"/>
      <c r="Q126" s="215">
        <f>Q125/Q10</f>
        <v>839514</v>
      </c>
      <c r="R126" s="659"/>
      <c r="S126" s="214"/>
      <c r="T126" s="215"/>
      <c r="U126" s="214"/>
      <c r="V126" s="215"/>
      <c r="W126" s="214"/>
      <c r="X126" s="215">
        <f>X125/X10</f>
        <v>839514</v>
      </c>
      <c r="Y126" s="214"/>
      <c r="Z126" s="215">
        <f>Z125/Z10</f>
        <v>839514</v>
      </c>
      <c r="AA126" s="214"/>
      <c r="AB126" s="215">
        <f>AB125/AB10</f>
        <v>839514</v>
      </c>
      <c r="AC126" s="214"/>
      <c r="AD126" s="215">
        <f>AD125/AD10</f>
        <v>839514</v>
      </c>
      <c r="AE126" s="214"/>
      <c r="AF126" s="215">
        <f>AF125/AF10</f>
        <v>839514</v>
      </c>
      <c r="AG126" s="659"/>
      <c r="AH126" s="214"/>
      <c r="AI126" s="215"/>
      <c r="AJ126" s="214"/>
      <c r="AK126" s="215"/>
      <c r="AL126" s="214"/>
      <c r="AM126" s="215">
        <f>AM125/AM10</f>
        <v>839514</v>
      </c>
      <c r="AN126" s="214"/>
      <c r="AO126" s="215">
        <f>AO125/AO10</f>
        <v>839514</v>
      </c>
      <c r="AP126" s="214"/>
      <c r="AQ126" s="215">
        <f>AQ125/AQ10</f>
        <v>839514</v>
      </c>
      <c r="AR126" s="214"/>
      <c r="AS126" s="215">
        <f>AS125/AS10</f>
        <v>839514</v>
      </c>
      <c r="AT126" s="214"/>
      <c r="AU126" s="215">
        <f>AU125/AU10</f>
        <v>287307</v>
      </c>
      <c r="AV126" s="659"/>
      <c r="AW126" s="214"/>
      <c r="AX126" s="215">
        <f>AX125/AX10</f>
        <v>287307</v>
      </c>
      <c r="AY126" s="297"/>
      <c r="AZ126" s="215"/>
      <c r="BA126" s="214"/>
      <c r="BB126" s="215">
        <f>BB125/BB10</f>
        <v>10739</v>
      </c>
      <c r="BC126" s="214"/>
      <c r="BD126" s="215">
        <f>BD125/BD10</f>
        <v>10739</v>
      </c>
      <c r="BE126" s="214"/>
      <c r="BF126" s="215">
        <f>BF125/BF10</f>
        <v>10739</v>
      </c>
      <c r="BG126" s="214"/>
      <c r="BH126" s="215">
        <f>BH125/BH10</f>
        <v>10739</v>
      </c>
      <c r="BI126" s="214"/>
      <c r="BJ126" s="215">
        <f>BJ125/BJ10</f>
        <v>10739</v>
      </c>
      <c r="BK126" s="214"/>
      <c r="BL126" s="215"/>
      <c r="BM126" s="214"/>
      <c r="BN126" s="215">
        <f>BN125/BN10</f>
        <v>12856</v>
      </c>
      <c r="BO126" s="214"/>
      <c r="BP126" s="215">
        <f>BP125/BP10</f>
        <v>12856</v>
      </c>
      <c r="BQ126" s="214"/>
      <c r="BR126" s="215">
        <f>BR125/BR10</f>
        <v>12856</v>
      </c>
      <c r="BS126" s="214"/>
      <c r="BT126" s="215"/>
      <c r="BU126" s="214"/>
      <c r="BV126" s="215">
        <f>BV125/BV10</f>
        <v>24263</v>
      </c>
      <c r="BW126" s="214"/>
      <c r="BX126" s="215">
        <f>BX125/BX10</f>
        <v>24263</v>
      </c>
      <c r="BY126" s="214"/>
      <c r="BZ126" s="215">
        <f>BZ125/BZ10</f>
        <v>24263</v>
      </c>
      <c r="CA126" s="214"/>
      <c r="CB126" s="215"/>
      <c r="CC126" s="214"/>
      <c r="CD126" s="215">
        <f>CD125/CD10</f>
        <v>11297</v>
      </c>
      <c r="CE126" s="214"/>
      <c r="CF126" s="215">
        <f>CF125/CF10</f>
        <v>11297</v>
      </c>
      <c r="CG126" s="214"/>
      <c r="CH126" s="215">
        <f>CH125/CH10</f>
        <v>11297</v>
      </c>
      <c r="CI126" s="214"/>
      <c r="CJ126" s="215"/>
      <c r="CK126" s="214"/>
      <c r="CL126" s="215"/>
      <c r="CM126" s="214"/>
      <c r="CN126" s="215"/>
      <c r="CO126" s="214"/>
      <c r="CP126" s="215"/>
      <c r="CR126" s="214"/>
      <c r="CS126" s="215"/>
      <c r="CT126" s="214"/>
      <c r="CU126" s="215"/>
      <c r="CV126" s="214"/>
      <c r="CW126" s="215"/>
      <c r="CX126" s="214"/>
      <c r="CY126" s="215"/>
      <c r="DA126" s="214"/>
      <c r="DB126" s="215"/>
      <c r="DC126" s="214"/>
      <c r="DD126" s="215"/>
      <c r="DE126" s="214"/>
      <c r="DF126" s="215"/>
      <c r="DH126" s="214"/>
      <c r="DI126" s="215"/>
      <c r="DJ126" s="214"/>
      <c r="DK126" s="215"/>
      <c r="DL126" s="214"/>
      <c r="DM126" s="215"/>
      <c r="DO126" s="214"/>
      <c r="DP126" s="215"/>
      <c r="DQ126" s="214"/>
      <c r="DR126" s="215"/>
      <c r="DS126" s="214"/>
      <c r="DT126" s="215"/>
      <c r="DV126" s="214"/>
      <c r="DW126" s="215"/>
      <c r="DX126" s="214"/>
      <c r="DY126" s="215"/>
      <c r="EA126" s="214"/>
      <c r="EB126" s="215"/>
      <c r="ED126" s="214"/>
      <c r="EE126" s="215"/>
      <c r="EG126" s="214"/>
      <c r="EH126" s="215"/>
      <c r="EJ126" s="214"/>
      <c r="EK126" s="215"/>
      <c r="EM126" s="214"/>
      <c r="EN126" s="215"/>
      <c r="EP126" s="214"/>
      <c r="EQ126" s="215"/>
      <c r="ER126" s="214"/>
      <c r="ES126" s="215"/>
      <c r="EU126" s="214"/>
      <c r="EV126" s="215"/>
      <c r="EX126" s="214"/>
      <c r="EY126" s="215"/>
      <c r="EZ126" s="214"/>
      <c r="FA126" s="215"/>
      <c r="FB126" s="214"/>
      <c r="FC126" s="215"/>
    </row>
    <row r="127" spans="1:159" ht="15" customHeight="1" outlineLevel="3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>
        <f>K126/K66</f>
        <v>216.81663223140495</v>
      </c>
      <c r="L127" s="214"/>
      <c r="M127" s="215">
        <f>M126/M66</f>
        <v>216.81663223140495</v>
      </c>
      <c r="N127" s="214"/>
      <c r="O127" s="215">
        <f>O126/O66</f>
        <v>216.81663223140495</v>
      </c>
      <c r="P127" s="214"/>
      <c r="Q127" s="215">
        <f>Q126/Q66</f>
        <v>216.81663223140495</v>
      </c>
      <c r="R127" s="659"/>
      <c r="S127" s="214"/>
      <c r="T127" s="215"/>
      <c r="U127" s="214"/>
      <c r="V127" s="215"/>
      <c r="W127" s="214"/>
      <c r="X127" s="215">
        <f>X126/X66</f>
        <v>216.81663223140495</v>
      </c>
      <c r="Y127" s="214"/>
      <c r="Z127" s="215">
        <f>Z126/Z66</f>
        <v>216.81663223140495</v>
      </c>
      <c r="AA127" s="214"/>
      <c r="AB127" s="215">
        <f>AB126/AB66</f>
        <v>216.81663223140495</v>
      </c>
      <c r="AC127" s="214"/>
      <c r="AD127" s="215">
        <f>AD126/AD66</f>
        <v>216.81663223140495</v>
      </c>
      <c r="AE127" s="214"/>
      <c r="AF127" s="215" t="e">
        <f>AF126/AF66</f>
        <v>#REF!</v>
      </c>
      <c r="AG127" s="659"/>
      <c r="AH127" s="214"/>
      <c r="AI127" s="215"/>
      <c r="AJ127" s="214"/>
      <c r="AK127" s="215"/>
      <c r="AL127" s="214"/>
      <c r="AM127" s="215">
        <f>AM126/AM66</f>
        <v>236.48281690140846</v>
      </c>
      <c r="AN127" s="214"/>
      <c r="AO127" s="215">
        <f>AO126/AO66</f>
        <v>236.48281690140846</v>
      </c>
      <c r="AP127" s="214"/>
      <c r="AQ127" s="215">
        <f>AQ126/AQ66</f>
        <v>236.48281690140846</v>
      </c>
      <c r="AR127" s="214"/>
      <c r="AS127" s="215">
        <f>AS126/AS66</f>
        <v>236.48281690140846</v>
      </c>
      <c r="AT127" s="214"/>
      <c r="AU127" s="215" t="e">
        <f>AU126/AU66</f>
        <v>#REF!</v>
      </c>
      <c r="AV127" s="659"/>
      <c r="AW127" s="214"/>
      <c r="AX127" s="215">
        <f>AX126/AX66</f>
        <v>80.931549295774644</v>
      </c>
      <c r="AY127" s="297"/>
      <c r="AZ127" s="215"/>
      <c r="BA127" s="214"/>
      <c r="BB127" s="215">
        <f>BB126/BB66</f>
        <v>2.7735020661157024</v>
      </c>
      <c r="BC127" s="214"/>
      <c r="BD127" s="215">
        <f>BD126/BD66</f>
        <v>2.7735020661157024</v>
      </c>
      <c r="BE127" s="214"/>
      <c r="BF127" s="215">
        <f>BF126/BF66</f>
        <v>2.7735020661157024</v>
      </c>
      <c r="BG127" s="214"/>
      <c r="BH127" s="215">
        <f>BH126/BH66</f>
        <v>2.7735020661157024</v>
      </c>
      <c r="BI127" s="214"/>
      <c r="BJ127" s="215">
        <f>BJ126/BJ66</f>
        <v>2.7735020661157024</v>
      </c>
      <c r="BK127" s="214"/>
      <c r="BL127" s="215"/>
      <c r="BM127" s="214"/>
      <c r="BN127" s="215">
        <f>BN126/BN66</f>
        <v>2.6024291497975707</v>
      </c>
      <c r="BO127" s="214"/>
      <c r="BP127" s="215">
        <f>BP126/BP66</f>
        <v>2.6024291497975707</v>
      </c>
      <c r="BQ127" s="214"/>
      <c r="BR127" s="215">
        <f>BR126/BR66</f>
        <v>2.6024291497975707</v>
      </c>
      <c r="BS127" s="214"/>
      <c r="BT127" s="215"/>
      <c r="BU127" s="214"/>
      <c r="BV127" s="215">
        <f>BV126/BV66</f>
        <v>5.0547916666666666</v>
      </c>
      <c r="BW127" s="214"/>
      <c r="BX127" s="215">
        <f>BX126/BX66</f>
        <v>5.0547916666666666</v>
      </c>
      <c r="BY127" s="214"/>
      <c r="BZ127" s="215">
        <f>BZ126/BZ66</f>
        <v>5.0547916666666666</v>
      </c>
      <c r="CA127" s="214"/>
      <c r="CB127" s="215"/>
      <c r="CC127" s="214"/>
      <c r="CD127" s="215">
        <f>CD126/CD66</f>
        <v>4.7070833333333333</v>
      </c>
      <c r="CE127" s="214"/>
      <c r="CF127" s="215">
        <f>CF126/CF66</f>
        <v>4.7070833333333333</v>
      </c>
      <c r="CG127" s="214"/>
      <c r="CH127" s="215">
        <f>CH126/CH66</f>
        <v>4.7070833333333333</v>
      </c>
      <c r="CI127" s="214"/>
      <c r="CJ127" s="215"/>
      <c r="CK127" s="214"/>
      <c r="CL127" s="215"/>
      <c r="CM127" s="214"/>
      <c r="CN127" s="215"/>
      <c r="CO127" s="214"/>
      <c r="CP127" s="215"/>
      <c r="CR127" s="214"/>
      <c r="CS127" s="215"/>
      <c r="CT127" s="214"/>
      <c r="CU127" s="215"/>
      <c r="CV127" s="214"/>
      <c r="CW127" s="215"/>
      <c r="CX127" s="214"/>
      <c r="CY127" s="215"/>
      <c r="DA127" s="214"/>
      <c r="DB127" s="215"/>
      <c r="DC127" s="214"/>
      <c r="DD127" s="215"/>
      <c r="DE127" s="214"/>
      <c r="DF127" s="215"/>
      <c r="DH127" s="214"/>
      <c r="DI127" s="215"/>
      <c r="DJ127" s="214"/>
      <c r="DK127" s="215"/>
      <c r="DL127" s="214"/>
      <c r="DM127" s="215"/>
      <c r="DO127" s="214"/>
      <c r="DP127" s="215"/>
      <c r="DQ127" s="214"/>
      <c r="DR127" s="215"/>
      <c r="DS127" s="214"/>
      <c r="DT127" s="215"/>
      <c r="DV127" s="214"/>
      <c r="DW127" s="215"/>
      <c r="DX127" s="214"/>
      <c r="DY127" s="215"/>
      <c r="EA127" s="214"/>
      <c r="EB127" s="215"/>
      <c r="ED127" s="214"/>
      <c r="EE127" s="215"/>
      <c r="EG127" s="214"/>
      <c r="EH127" s="215"/>
      <c r="EJ127" s="214"/>
      <c r="EK127" s="215"/>
      <c r="EM127" s="214"/>
      <c r="EN127" s="215"/>
      <c r="EP127" s="214"/>
      <c r="EQ127" s="215"/>
      <c r="ER127" s="214"/>
      <c r="ES127" s="215"/>
      <c r="EU127" s="214"/>
      <c r="EV127" s="215"/>
      <c r="EX127" s="214"/>
      <c r="EY127" s="215"/>
      <c r="EZ127" s="214"/>
      <c r="FA127" s="215"/>
      <c r="FB127" s="214"/>
      <c r="FC127" s="215"/>
    </row>
    <row r="128" spans="1:159" ht="15.75" customHeight="1" outlineLevel="3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44653360</v>
      </c>
      <c r="H128" s="219"/>
      <c r="I128" s="220">
        <f>G128</f>
        <v>44653360</v>
      </c>
      <c r="J128" s="219"/>
      <c r="K128" s="220">
        <f>I128</f>
        <v>44653360</v>
      </c>
      <c r="L128" s="219"/>
      <c r="M128" s="220">
        <f>K128</f>
        <v>44653360</v>
      </c>
      <c r="N128" s="219"/>
      <c r="O128" s="220">
        <f>M128</f>
        <v>44653360</v>
      </c>
      <c r="P128" s="219"/>
      <c r="Q128" s="220">
        <f>O128</f>
        <v>44653360</v>
      </c>
      <c r="R128" s="660"/>
      <c r="S128" s="219"/>
      <c r="T128" s="220">
        <v>11767440</v>
      </c>
      <c r="U128" s="219"/>
      <c r="V128" s="220">
        <f>T128</f>
        <v>11767440</v>
      </c>
      <c r="W128" s="219"/>
      <c r="X128" s="220">
        <f>V128</f>
        <v>11767440</v>
      </c>
      <c r="Y128" s="219"/>
      <c r="Z128" s="220">
        <f>X128</f>
        <v>11767440</v>
      </c>
      <c r="AA128" s="219"/>
      <c r="AB128" s="220">
        <f>Z128</f>
        <v>11767440</v>
      </c>
      <c r="AC128" s="219"/>
      <c r="AD128" s="220">
        <f>AB128</f>
        <v>11767440</v>
      </c>
      <c r="AE128" s="219"/>
      <c r="AF128" s="220" t="e">
        <f>#REF!</f>
        <v>#REF!</v>
      </c>
      <c r="AG128" s="660"/>
      <c r="AH128" s="219"/>
      <c r="AI128" s="220">
        <v>36131400</v>
      </c>
      <c r="AJ128" s="219"/>
      <c r="AK128" s="220">
        <f>AI128</f>
        <v>36131400</v>
      </c>
      <c r="AL128" s="219"/>
      <c r="AM128" s="220">
        <f>AK128</f>
        <v>36131400</v>
      </c>
      <c r="AN128" s="219"/>
      <c r="AO128" s="220">
        <f>AM128</f>
        <v>36131400</v>
      </c>
      <c r="AP128" s="219"/>
      <c r="AQ128" s="220">
        <f>AO128</f>
        <v>36131400</v>
      </c>
      <c r="AR128" s="219"/>
      <c r="AS128" s="220">
        <f>AQ128</f>
        <v>36131400</v>
      </c>
      <c r="AT128" s="219"/>
      <c r="AU128" s="220">
        <f>AR128</f>
        <v>0</v>
      </c>
      <c r="AV128" s="660"/>
      <c r="AW128" s="219"/>
      <c r="AX128" s="220">
        <f>AM128</f>
        <v>36131400</v>
      </c>
      <c r="AY128" s="282"/>
      <c r="AZ128" s="220">
        <v>426920</v>
      </c>
      <c r="BA128" s="219"/>
      <c r="BB128" s="220">
        <v>426920</v>
      </c>
      <c r="BC128" s="219"/>
      <c r="BD128" s="220">
        <v>426920</v>
      </c>
      <c r="BE128" s="219"/>
      <c r="BF128" s="220">
        <v>426920</v>
      </c>
      <c r="BG128" s="219"/>
      <c r="BH128" s="220">
        <v>426920</v>
      </c>
      <c r="BI128" s="219"/>
      <c r="BJ128" s="220">
        <v>426920</v>
      </c>
      <c r="BK128" s="219"/>
      <c r="BL128" s="220">
        <v>192132</v>
      </c>
      <c r="BM128" s="219"/>
      <c r="BN128" s="220">
        <v>192132</v>
      </c>
      <c r="BO128" s="219"/>
      <c r="BP128" s="220">
        <v>192132</v>
      </c>
      <c r="BQ128" s="219"/>
      <c r="BR128" s="220">
        <v>192132</v>
      </c>
      <c r="BS128" s="219"/>
      <c r="BT128" s="220">
        <v>413556</v>
      </c>
      <c r="BU128" s="219"/>
      <c r="BV128" s="220">
        <v>413556</v>
      </c>
      <c r="BW128" s="219"/>
      <c r="BX128" s="220">
        <v>413556</v>
      </c>
      <c r="BY128" s="219"/>
      <c r="BZ128" s="220">
        <v>413556</v>
      </c>
      <c r="CA128" s="219"/>
      <c r="CB128" s="220">
        <v>293304</v>
      </c>
      <c r="CC128" s="219"/>
      <c r="CD128" s="220">
        <v>293304</v>
      </c>
      <c r="CE128" s="219"/>
      <c r="CF128" s="220">
        <v>293304</v>
      </c>
      <c r="CG128" s="219"/>
      <c r="CH128" s="220">
        <v>293304</v>
      </c>
      <c r="CI128" s="219"/>
      <c r="CJ128" s="220">
        <v>0</v>
      </c>
      <c r="CK128" s="219"/>
      <c r="CL128" s="220">
        <v>0</v>
      </c>
      <c r="CM128" s="219"/>
      <c r="CN128" s="220">
        <v>0</v>
      </c>
      <c r="CO128" s="219"/>
      <c r="CP128" s="220">
        <v>0</v>
      </c>
      <c r="CR128" s="219"/>
      <c r="CS128" s="220">
        <v>0</v>
      </c>
      <c r="CT128" s="219"/>
      <c r="CU128" s="220">
        <v>0</v>
      </c>
      <c r="CV128" s="219"/>
      <c r="CW128" s="220">
        <v>0</v>
      </c>
      <c r="CX128" s="219"/>
      <c r="CY128" s="220">
        <v>0</v>
      </c>
      <c r="DA128" s="219"/>
      <c r="DB128" s="220">
        <v>0</v>
      </c>
      <c r="DC128" s="219"/>
      <c r="DD128" s="220">
        <v>0</v>
      </c>
      <c r="DE128" s="219"/>
      <c r="DF128" s="220">
        <v>0</v>
      </c>
      <c r="DH128" s="219"/>
      <c r="DI128" s="220">
        <v>0</v>
      </c>
      <c r="DJ128" s="219"/>
      <c r="DK128" s="220">
        <v>0</v>
      </c>
      <c r="DL128" s="219"/>
      <c r="DM128" s="220">
        <v>0</v>
      </c>
      <c r="DO128" s="219"/>
      <c r="DP128" s="220">
        <v>0</v>
      </c>
      <c r="DQ128" s="219"/>
      <c r="DR128" s="220">
        <v>0</v>
      </c>
      <c r="DS128" s="219"/>
      <c r="DT128" s="220">
        <v>0</v>
      </c>
      <c r="DV128" s="219"/>
      <c r="DW128" s="220">
        <v>0</v>
      </c>
      <c r="DX128" s="219"/>
      <c r="DY128" s="220">
        <v>0</v>
      </c>
      <c r="EA128" s="219"/>
      <c r="EB128" s="220">
        <v>0</v>
      </c>
      <c r="ED128" s="219"/>
      <c r="EE128" s="220">
        <v>0</v>
      </c>
      <c r="EG128" s="219"/>
      <c r="EH128" s="220">
        <v>0</v>
      </c>
      <c r="EJ128" s="219"/>
      <c r="EK128" s="220">
        <v>0</v>
      </c>
      <c r="EM128" s="219"/>
      <c r="EN128" s="220">
        <v>0</v>
      </c>
      <c r="EP128" s="219"/>
      <c r="EQ128" s="220">
        <v>0</v>
      </c>
      <c r="ER128" s="219"/>
      <c r="ES128" s="220">
        <v>0</v>
      </c>
      <c r="EU128" s="219"/>
      <c r="EV128" s="220">
        <v>0</v>
      </c>
      <c r="EX128" s="219"/>
      <c r="EY128" s="220">
        <v>0</v>
      </c>
      <c r="EZ128" s="219"/>
      <c r="FA128" s="220">
        <v>0</v>
      </c>
      <c r="FB128" s="219"/>
      <c r="FC128" s="220">
        <v>0</v>
      </c>
    </row>
    <row r="129" spans="1:159" ht="15.75" customHeight="1" outlineLevel="3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1116334</v>
      </c>
      <c r="H129" s="219"/>
      <c r="I129" s="221">
        <f>I128/I10</f>
        <v>1116334</v>
      </c>
      <c r="J129" s="219"/>
      <c r="K129" s="221">
        <f>K128/K10</f>
        <v>1116334</v>
      </c>
      <c r="L129" s="219"/>
      <c r="M129" s="221">
        <f>M128/M10</f>
        <v>1116334</v>
      </c>
      <c r="N129" s="219"/>
      <c r="O129" s="221">
        <f>O128/O10</f>
        <v>1116334</v>
      </c>
      <c r="P129" s="219"/>
      <c r="Q129" s="221">
        <f>Q128/Q10</f>
        <v>1116334</v>
      </c>
      <c r="R129" s="282"/>
      <c r="S129" s="219"/>
      <c r="T129" s="221">
        <f>T128/T10</f>
        <v>294186</v>
      </c>
      <c r="U129" s="219"/>
      <c r="V129" s="221">
        <f>V128/V10</f>
        <v>294186</v>
      </c>
      <c r="W129" s="219"/>
      <c r="X129" s="221">
        <f>X128/X10</f>
        <v>294186</v>
      </c>
      <c r="Y129" s="219"/>
      <c r="Z129" s="221">
        <f>Z128/Z10</f>
        <v>294186</v>
      </c>
      <c r="AA129" s="219"/>
      <c r="AB129" s="221">
        <f>AB128/AB10</f>
        <v>294186</v>
      </c>
      <c r="AC129" s="219"/>
      <c r="AD129" s="221">
        <f>AD128/AD10</f>
        <v>294186</v>
      </c>
      <c r="AE129" s="219"/>
      <c r="AF129" s="221" t="e">
        <f>AF128/AF10</f>
        <v>#REF!</v>
      </c>
      <c r="AG129" s="282"/>
      <c r="AH129" s="219"/>
      <c r="AI129" s="221">
        <f>AI128/AI10</f>
        <v>903285</v>
      </c>
      <c r="AJ129" s="219"/>
      <c r="AK129" s="221">
        <f>AK128/AK10</f>
        <v>903285</v>
      </c>
      <c r="AL129" s="219"/>
      <c r="AM129" s="221">
        <f>AM128/AM10</f>
        <v>903285</v>
      </c>
      <c r="AN129" s="219"/>
      <c r="AO129" s="221">
        <f>AO128/AO10</f>
        <v>903285</v>
      </c>
      <c r="AP129" s="219"/>
      <c r="AQ129" s="221">
        <f>AQ128/AQ10</f>
        <v>903285</v>
      </c>
      <c r="AR129" s="219"/>
      <c r="AS129" s="221">
        <f>AS128/AS10</f>
        <v>903285</v>
      </c>
      <c r="AT129" s="219"/>
      <c r="AU129" s="221">
        <f>AU128/AU10</f>
        <v>0</v>
      </c>
      <c r="AV129" s="282"/>
      <c r="AW129" s="219"/>
      <c r="AX129" s="221">
        <f>AX128/AX10</f>
        <v>903285</v>
      </c>
      <c r="AY129" s="282"/>
      <c r="AZ129" s="221">
        <f>AZ128/AZ10</f>
        <v>10673</v>
      </c>
      <c r="BA129" s="219"/>
      <c r="BB129" s="221">
        <f>BB128/BB10</f>
        <v>10673</v>
      </c>
      <c r="BC129" s="219"/>
      <c r="BD129" s="221">
        <f>BD128/BD10</f>
        <v>10673</v>
      </c>
      <c r="BE129" s="219"/>
      <c r="BF129" s="221">
        <f>BF128/BF10</f>
        <v>10673</v>
      </c>
      <c r="BG129" s="219"/>
      <c r="BH129" s="221">
        <f>BH128/BH10</f>
        <v>10673</v>
      </c>
      <c r="BI129" s="219"/>
      <c r="BJ129" s="221">
        <f>BJ128/BJ10</f>
        <v>10673</v>
      </c>
      <c r="BK129" s="219"/>
      <c r="BL129" s="221">
        <f>BL128/BL10</f>
        <v>16011</v>
      </c>
      <c r="BM129" s="219"/>
      <c r="BN129" s="221">
        <f>BN128/BN10</f>
        <v>16011</v>
      </c>
      <c r="BO129" s="219"/>
      <c r="BP129" s="221">
        <f>BP128/BP10</f>
        <v>16011</v>
      </c>
      <c r="BQ129" s="219"/>
      <c r="BR129" s="221">
        <f>BR128/BR10</f>
        <v>16011</v>
      </c>
      <c r="BS129" s="219"/>
      <c r="BT129" s="221">
        <f>BT128/BT10</f>
        <v>34463</v>
      </c>
      <c r="BU129" s="219"/>
      <c r="BV129" s="221">
        <f>BV128/BV10</f>
        <v>34463</v>
      </c>
      <c r="BW129" s="219"/>
      <c r="BX129" s="221">
        <f>BX128/BX10</f>
        <v>34463</v>
      </c>
      <c r="BY129" s="219"/>
      <c r="BZ129" s="221">
        <f>BZ128/BZ10</f>
        <v>34463</v>
      </c>
      <c r="CA129" s="219"/>
      <c r="CB129" s="221">
        <f>CB128/CB10</f>
        <v>12221</v>
      </c>
      <c r="CC129" s="219"/>
      <c r="CD129" s="221">
        <f>CD128/CD10</f>
        <v>12221</v>
      </c>
      <c r="CE129" s="219"/>
      <c r="CF129" s="221">
        <f>CF128/CF10</f>
        <v>12221</v>
      </c>
      <c r="CG129" s="219"/>
      <c r="CH129" s="221">
        <f>CH128/CH10</f>
        <v>12221</v>
      </c>
      <c r="CI129" s="219"/>
      <c r="CJ129" s="221">
        <f>CJ128/CJ10</f>
        <v>0</v>
      </c>
      <c r="CK129" s="219"/>
      <c r="CL129" s="221">
        <f>CL128/CL10</f>
        <v>0</v>
      </c>
      <c r="CM129" s="219"/>
      <c r="CN129" s="221">
        <f>CN128/CN10</f>
        <v>0</v>
      </c>
      <c r="CO129" s="219"/>
      <c r="CP129" s="221">
        <f>CP128/CP10</f>
        <v>0</v>
      </c>
      <c r="CR129" s="219"/>
      <c r="CS129" s="221">
        <f>CS128/CS10</f>
        <v>0</v>
      </c>
      <c r="CT129" s="219"/>
      <c r="CU129" s="221">
        <f>CU128/CU10</f>
        <v>0</v>
      </c>
      <c r="CV129" s="219"/>
      <c r="CW129" s="221">
        <f>CW128/CW10</f>
        <v>0</v>
      </c>
      <c r="CX129" s="219"/>
      <c r="CY129" s="221">
        <f>CY128/CY10</f>
        <v>0</v>
      </c>
      <c r="DA129" s="219"/>
      <c r="DB129" s="221">
        <f>DB128/DB10</f>
        <v>0</v>
      </c>
      <c r="DC129" s="219"/>
      <c r="DD129" s="221">
        <f>DD128/DD10</f>
        <v>0</v>
      </c>
      <c r="DE129" s="219"/>
      <c r="DF129" s="221">
        <f>DF128/DF10</f>
        <v>0</v>
      </c>
      <c r="DH129" s="219"/>
      <c r="DI129" s="221">
        <f>DI128/DI10</f>
        <v>0</v>
      </c>
      <c r="DJ129" s="219"/>
      <c r="DK129" s="221">
        <f>DK128/DK10</f>
        <v>0</v>
      </c>
      <c r="DL129" s="219"/>
      <c r="DM129" s="221">
        <f>DM128/DM10</f>
        <v>0</v>
      </c>
      <c r="DO129" s="219"/>
      <c r="DP129" s="221">
        <f>DP128/DP10</f>
        <v>0</v>
      </c>
      <c r="DQ129" s="219"/>
      <c r="DR129" s="221">
        <f>DR128/DR10</f>
        <v>0</v>
      </c>
      <c r="DS129" s="219"/>
      <c r="DT129" s="221">
        <f>DT128/DT10</f>
        <v>0</v>
      </c>
      <c r="DV129" s="219"/>
      <c r="DW129" s="221">
        <f>DW128/DW10</f>
        <v>0</v>
      </c>
      <c r="DX129" s="219"/>
      <c r="DY129" s="221">
        <f>DY128/DY10</f>
        <v>0</v>
      </c>
      <c r="EA129" s="219"/>
      <c r="EB129" s="221">
        <f>EB128/EB10</f>
        <v>0</v>
      </c>
      <c r="ED129" s="219"/>
      <c r="EE129" s="221">
        <f>EE128/EE10</f>
        <v>0</v>
      </c>
      <c r="EG129" s="219"/>
      <c r="EH129" s="221">
        <f>EH128/EH10</f>
        <v>0</v>
      </c>
      <c r="EJ129" s="219"/>
      <c r="EK129" s="221">
        <f>EK128/EK10</f>
        <v>0</v>
      </c>
      <c r="EM129" s="219"/>
      <c r="EN129" s="221">
        <f>EN128/EN10</f>
        <v>0</v>
      </c>
      <c r="EP129" s="219"/>
      <c r="EQ129" s="221">
        <f>EQ128/EQ10</f>
        <v>0</v>
      </c>
      <c r="ER129" s="219"/>
      <c r="ES129" s="221">
        <f>ES128/ES10</f>
        <v>0</v>
      </c>
      <c r="EU129" s="219"/>
      <c r="EV129" s="221">
        <f>EV128/EV10</f>
        <v>0</v>
      </c>
      <c r="EX129" s="219"/>
      <c r="EY129" s="221">
        <f>EY128/EY10</f>
        <v>0</v>
      </c>
      <c r="EZ129" s="219"/>
      <c r="FA129" s="221">
        <f>FA128/FA10</f>
        <v>0</v>
      </c>
      <c r="FB129" s="219"/>
      <c r="FC129" s="221">
        <f>FC128/FC10</f>
        <v>0</v>
      </c>
    </row>
    <row r="130" spans="1:159" ht="15.75" customHeight="1" outlineLevel="3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288.30940082644628</v>
      </c>
      <c r="H130" s="222"/>
      <c r="I130" s="220">
        <f>I129/I66</f>
        <v>288.30940082644628</v>
      </c>
      <c r="J130" s="222"/>
      <c r="K130" s="220">
        <f>K129/K66</f>
        <v>288.30940082644628</v>
      </c>
      <c r="L130" s="222"/>
      <c r="M130" s="220">
        <f>M129/M66</f>
        <v>288.30940082644628</v>
      </c>
      <c r="N130" s="222"/>
      <c r="O130" s="220">
        <f>O129/O66</f>
        <v>288.30940082644628</v>
      </c>
      <c r="P130" s="222"/>
      <c r="Q130" s="220">
        <f>Q129/Q66</f>
        <v>288.30940082644628</v>
      </c>
      <c r="R130" s="660"/>
      <c r="S130" s="222"/>
      <c r="T130" s="220">
        <f>T129/T66</f>
        <v>73.546499999999995</v>
      </c>
      <c r="U130" s="222"/>
      <c r="V130" s="220">
        <f>V129/V66</f>
        <v>73.546499999999995</v>
      </c>
      <c r="W130" s="222"/>
      <c r="X130" s="220">
        <f>X129/X66</f>
        <v>75.977789256198349</v>
      </c>
      <c r="Y130" s="222"/>
      <c r="Z130" s="220">
        <f>Z129/Z66</f>
        <v>75.977789256198349</v>
      </c>
      <c r="AA130" s="222"/>
      <c r="AB130" s="220">
        <f>AB129/AB66</f>
        <v>75.977789256198349</v>
      </c>
      <c r="AC130" s="222"/>
      <c r="AD130" s="220">
        <f>AD129/AD66</f>
        <v>75.977789256198349</v>
      </c>
      <c r="AE130" s="222"/>
      <c r="AF130" s="220" t="e">
        <f>AF129/AF66</f>
        <v>#REF!</v>
      </c>
      <c r="AG130" s="660"/>
      <c r="AH130" s="222"/>
      <c r="AI130" s="220">
        <f>AI129/AI66</f>
        <v>254.44647887323944</v>
      </c>
      <c r="AJ130" s="222"/>
      <c r="AK130" s="220">
        <f>AK129/AK66</f>
        <v>254.44647887323944</v>
      </c>
      <c r="AL130" s="222"/>
      <c r="AM130" s="220">
        <f>AM129/AM66</f>
        <v>254.44647887323944</v>
      </c>
      <c r="AN130" s="222"/>
      <c r="AO130" s="220">
        <f>AO129/AO66</f>
        <v>254.44647887323944</v>
      </c>
      <c r="AP130" s="222"/>
      <c r="AQ130" s="220">
        <f>AQ129/AQ66</f>
        <v>254.44647887323944</v>
      </c>
      <c r="AR130" s="222"/>
      <c r="AS130" s="220">
        <f>AS129/AS66</f>
        <v>254.44647887323944</v>
      </c>
      <c r="AT130" s="222"/>
      <c r="AU130" s="220" t="e">
        <f>AU129/AU66</f>
        <v>#REF!</v>
      </c>
      <c r="AV130" s="660"/>
      <c r="AW130" s="222"/>
      <c r="AX130" s="220">
        <f>AX129/AX66</f>
        <v>254.44647887323944</v>
      </c>
      <c r="AY130" s="298"/>
      <c r="AZ130" s="220">
        <f>AZ129/AZ66</f>
        <v>2.7564566115702478</v>
      </c>
      <c r="BA130" s="222"/>
      <c r="BB130" s="220">
        <f>BB129/BB66</f>
        <v>2.7564566115702478</v>
      </c>
      <c r="BC130" s="222"/>
      <c r="BD130" s="220">
        <f>BD129/BD66</f>
        <v>2.7564566115702478</v>
      </c>
      <c r="BE130" s="222"/>
      <c r="BF130" s="220">
        <f>BF129/BF66</f>
        <v>2.7564566115702478</v>
      </c>
      <c r="BG130" s="222"/>
      <c r="BH130" s="220">
        <f>BH129/BH66</f>
        <v>2.7564566115702478</v>
      </c>
      <c r="BI130" s="222"/>
      <c r="BJ130" s="220">
        <f>BJ129/BJ66</f>
        <v>2.7564566115702478</v>
      </c>
      <c r="BK130" s="222"/>
      <c r="BL130" s="220">
        <f>BL129/BL66</f>
        <v>3.2410931174089068</v>
      </c>
      <c r="BM130" s="222"/>
      <c r="BN130" s="220">
        <f>BN129/BN66</f>
        <v>3.2410931174089068</v>
      </c>
      <c r="BO130" s="222"/>
      <c r="BP130" s="220">
        <f>BP129/BP66</f>
        <v>3.2410931174089068</v>
      </c>
      <c r="BQ130" s="222"/>
      <c r="BR130" s="220">
        <f>BR129/BR66</f>
        <v>3.2410931174089068</v>
      </c>
      <c r="BS130" s="222"/>
      <c r="BT130" s="220">
        <f>BT129/BT66</f>
        <v>7.1797916666666666</v>
      </c>
      <c r="BU130" s="222"/>
      <c r="BV130" s="220">
        <f>BV129/BV66</f>
        <v>7.1797916666666666</v>
      </c>
      <c r="BW130" s="222"/>
      <c r="BX130" s="220">
        <f>BX129/BX66</f>
        <v>7.1797916666666666</v>
      </c>
      <c r="BY130" s="222"/>
      <c r="BZ130" s="220">
        <f>BZ129/BZ66</f>
        <v>7.1797916666666666</v>
      </c>
      <c r="CA130" s="222"/>
      <c r="CB130" s="220">
        <f>CB129/CB66</f>
        <v>5.0920833333333331</v>
      </c>
      <c r="CC130" s="222"/>
      <c r="CD130" s="220">
        <f>CD129/CD66</f>
        <v>5.0920833333333331</v>
      </c>
      <c r="CE130" s="222"/>
      <c r="CF130" s="220">
        <f>CF129/CF66</f>
        <v>5.0920833333333331</v>
      </c>
      <c r="CG130" s="222"/>
      <c r="CH130" s="220">
        <f>CH129/CH66</f>
        <v>5.0920833333333331</v>
      </c>
      <c r="CI130" s="222"/>
      <c r="CJ130" s="220">
        <f>CJ129/CJ66</f>
        <v>0</v>
      </c>
      <c r="CK130" s="222"/>
      <c r="CL130" s="220">
        <f>CL129/CL66</f>
        <v>0</v>
      </c>
      <c r="CM130" s="222"/>
      <c r="CN130" s="220">
        <f>CN129/CN66</f>
        <v>0</v>
      </c>
      <c r="CO130" s="222"/>
      <c r="CP130" s="220">
        <f>CP129/CP66</f>
        <v>0</v>
      </c>
      <c r="CR130" s="222"/>
      <c r="CS130" s="220">
        <f>CS129/CS66</f>
        <v>0</v>
      </c>
      <c r="CT130" s="222"/>
      <c r="CU130" s="220">
        <f>CU129/CU66</f>
        <v>0</v>
      </c>
      <c r="CV130" s="222"/>
      <c r="CW130" s="220">
        <f>CW129/CW66</f>
        <v>0</v>
      </c>
      <c r="CX130" s="222"/>
      <c r="CY130" s="220">
        <f>CY129/CY66</f>
        <v>0</v>
      </c>
      <c r="DA130" s="222"/>
      <c r="DB130" s="220">
        <f>DB129/DB66</f>
        <v>0</v>
      </c>
      <c r="DC130" s="222"/>
      <c r="DD130" s="220">
        <f>DD129/DD66</f>
        <v>0</v>
      </c>
      <c r="DE130" s="222"/>
      <c r="DF130" s="220">
        <f>DF129/DF66</f>
        <v>0</v>
      </c>
      <c r="DH130" s="222"/>
      <c r="DI130" s="220">
        <f>DI129/DI66</f>
        <v>0</v>
      </c>
      <c r="DJ130" s="222"/>
      <c r="DK130" s="220">
        <f>DK129/DK66</f>
        <v>0</v>
      </c>
      <c r="DL130" s="222"/>
      <c r="DM130" s="220">
        <f>DM129/DM66</f>
        <v>0</v>
      </c>
      <c r="DO130" s="222"/>
      <c r="DP130" s="220">
        <f>DP129/DP66</f>
        <v>0</v>
      </c>
      <c r="DQ130" s="222"/>
      <c r="DR130" s="220">
        <f>DR129/DR66</f>
        <v>0</v>
      </c>
      <c r="DS130" s="222"/>
      <c r="DT130" s="220">
        <f>DT129/DT66</f>
        <v>0</v>
      </c>
      <c r="DV130" s="222"/>
      <c r="DW130" s="220">
        <f>DW129/DW66</f>
        <v>0</v>
      </c>
      <c r="DX130" s="222"/>
      <c r="DY130" s="220">
        <f>DY129/DY66</f>
        <v>0</v>
      </c>
      <c r="EA130" s="222"/>
      <c r="EB130" s="220">
        <f>EB129/EB66</f>
        <v>0</v>
      </c>
      <c r="ED130" s="222"/>
      <c r="EE130" s="220">
        <f>EE129/EE66</f>
        <v>0</v>
      </c>
      <c r="EG130" s="222"/>
      <c r="EH130" s="220">
        <f>EH129/EH66</f>
        <v>0</v>
      </c>
      <c r="EJ130" s="222"/>
      <c r="EK130" s="220">
        <f>EK129/EK66</f>
        <v>0</v>
      </c>
      <c r="EM130" s="222"/>
      <c r="EN130" s="220">
        <f>EN129/EN66</f>
        <v>0</v>
      </c>
      <c r="EP130" s="222"/>
      <c r="EQ130" s="220">
        <f>EQ129/EQ66</f>
        <v>0</v>
      </c>
      <c r="ER130" s="222"/>
      <c r="ES130" s="220">
        <f>ES129/ES66</f>
        <v>0</v>
      </c>
      <c r="EU130" s="222"/>
      <c r="EV130" s="220">
        <f>EV129/EV66</f>
        <v>0</v>
      </c>
      <c r="EX130" s="222"/>
      <c r="EY130" s="220">
        <f>EY129/EY66</f>
        <v>0</v>
      </c>
      <c r="EZ130" s="222"/>
      <c r="FA130" s="220">
        <f>FA129/FA66</f>
        <v>0</v>
      </c>
      <c r="FB130" s="222"/>
      <c r="FC130" s="220">
        <f>FC129/FC66</f>
        <v>0</v>
      </c>
    </row>
    <row r="131" spans="1:159" ht="15.75" customHeight="1" outlineLevel="3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>
        <v>33580560</v>
      </c>
      <c r="H131" s="585"/>
      <c r="I131" s="586">
        <v>44155840</v>
      </c>
      <c r="J131" s="585"/>
      <c r="K131" s="586">
        <f>'Pricing Structure - GSS'!DE131</f>
        <v>39984160</v>
      </c>
      <c r="L131" s="585"/>
      <c r="M131" s="586">
        <f>'Pricing Structure - GSS'!DA131</f>
        <v>9380520</v>
      </c>
      <c r="N131" s="585"/>
      <c r="O131" s="586">
        <f>'Pricing Structure - GSS'!DC131</f>
        <v>16853920</v>
      </c>
      <c r="P131" s="585"/>
      <c r="Q131" s="586">
        <f>'Pricing Structure - GSS'!DK131</f>
        <v>72532448</v>
      </c>
      <c r="R131" s="661"/>
      <c r="S131" s="585"/>
      <c r="T131" s="586">
        <v>8114880</v>
      </c>
      <c r="U131" s="585"/>
      <c r="V131" s="586">
        <v>12167440</v>
      </c>
      <c r="W131" s="585"/>
      <c r="X131" s="586">
        <f>'Pricing Structure - IIP'!CY131</f>
        <v>11609160</v>
      </c>
      <c r="Y131" s="585"/>
      <c r="Z131" s="586">
        <f>'Pricing Structure - IIP'!CU131</f>
        <v>3988840</v>
      </c>
      <c r="AA131" s="585"/>
      <c r="AB131" s="586">
        <f>'Pricing Structure - IIP'!CW131</f>
        <v>4240000</v>
      </c>
      <c r="AC131" s="585"/>
      <c r="AD131" s="586">
        <f>'Pricing Structure - IIP'!DE131</f>
        <v>24917775</v>
      </c>
      <c r="AE131" s="585"/>
      <c r="AF131" s="586">
        <v>65620800</v>
      </c>
      <c r="AG131" s="661"/>
      <c r="AH131" s="585"/>
      <c r="AI131" s="586">
        <v>11492280</v>
      </c>
      <c r="AJ131" s="585"/>
      <c r="AK131" s="586">
        <v>34493800</v>
      </c>
      <c r="AL131" s="585"/>
      <c r="AM131" s="586">
        <f>'Pricing Structure - IHAG'!DE131</f>
        <v>35464120</v>
      </c>
      <c r="AN131" s="585"/>
      <c r="AO131" s="586">
        <f>'Pricing Structure - IHAG'!DA131</f>
        <v>12745200</v>
      </c>
      <c r="AP131" s="585"/>
      <c r="AQ131" s="586">
        <f>'Pricing Structure - IHAG'!DC131</f>
        <v>16268000</v>
      </c>
      <c r="AR131" s="585"/>
      <c r="AS131" s="586">
        <f>'Pricing Structure - IHAG'!DQ131</f>
        <v>16268000</v>
      </c>
      <c r="AT131" s="585"/>
      <c r="AU131" s="586">
        <v>64181200</v>
      </c>
      <c r="AV131" s="661"/>
      <c r="AW131" s="585"/>
      <c r="AX131" s="586">
        <v>64181200</v>
      </c>
      <c r="AY131" s="587"/>
      <c r="AZ131" s="586"/>
      <c r="BA131" s="585"/>
      <c r="BB131" s="586">
        <v>64000</v>
      </c>
      <c r="BC131" s="585"/>
      <c r="BD131" s="586">
        <v>66040</v>
      </c>
      <c r="BE131" s="585"/>
      <c r="BF131" s="586">
        <v>0</v>
      </c>
      <c r="BG131" s="585"/>
      <c r="BH131" s="586">
        <v>160000</v>
      </c>
      <c r="BI131" s="585"/>
      <c r="BJ131" s="586">
        <v>0</v>
      </c>
      <c r="BK131" s="585"/>
      <c r="BL131" s="586">
        <v>66552</v>
      </c>
      <c r="BM131" s="585"/>
      <c r="BN131" s="586">
        <v>62280</v>
      </c>
      <c r="BO131" s="585"/>
      <c r="BP131" s="586">
        <v>72768</v>
      </c>
      <c r="BQ131" s="585"/>
      <c r="BR131" s="586">
        <v>0</v>
      </c>
      <c r="BS131" s="585"/>
      <c r="BT131" s="586">
        <v>251808</v>
      </c>
      <c r="BU131" s="585"/>
      <c r="BV131" s="586">
        <v>172920</v>
      </c>
      <c r="BW131" s="585"/>
      <c r="BX131" s="586">
        <v>161100</v>
      </c>
      <c r="BY131" s="585"/>
      <c r="BZ131" s="586">
        <v>0</v>
      </c>
      <c r="CA131" s="585"/>
      <c r="CB131" s="586">
        <v>143424</v>
      </c>
      <c r="CC131" s="585"/>
      <c r="CD131" s="586">
        <v>114456</v>
      </c>
      <c r="CE131" s="585"/>
      <c r="CF131" s="586">
        <v>93600</v>
      </c>
      <c r="CG131" s="585"/>
      <c r="CH131" s="586">
        <v>0</v>
      </c>
      <c r="CI131" s="585"/>
      <c r="CJ131" s="586">
        <v>0</v>
      </c>
      <c r="CK131" s="585"/>
      <c r="CL131" s="586">
        <v>0</v>
      </c>
      <c r="CM131" s="585"/>
      <c r="CN131" s="586">
        <v>0</v>
      </c>
      <c r="CO131" s="585"/>
      <c r="CP131" s="586">
        <v>0</v>
      </c>
      <c r="CR131" s="585"/>
      <c r="CS131" s="586">
        <v>0</v>
      </c>
      <c r="CT131" s="585"/>
      <c r="CU131" s="586">
        <v>0</v>
      </c>
      <c r="CV131" s="585"/>
      <c r="CW131" s="586">
        <v>0</v>
      </c>
      <c r="CX131" s="585"/>
      <c r="CY131" s="586">
        <v>0</v>
      </c>
      <c r="DA131" s="585"/>
      <c r="DB131" s="586">
        <v>0</v>
      </c>
      <c r="DC131" s="585"/>
      <c r="DD131" s="586">
        <v>0</v>
      </c>
      <c r="DE131" s="585"/>
      <c r="DF131" s="586">
        <v>0</v>
      </c>
      <c r="DH131" s="585"/>
      <c r="DI131" s="586">
        <v>0</v>
      </c>
      <c r="DJ131" s="585"/>
      <c r="DK131" s="586">
        <v>0</v>
      </c>
      <c r="DL131" s="585"/>
      <c r="DM131" s="586">
        <v>0</v>
      </c>
      <c r="DO131" s="585"/>
      <c r="DP131" s="586">
        <v>0</v>
      </c>
      <c r="DQ131" s="585"/>
      <c r="DR131" s="586">
        <v>0</v>
      </c>
      <c r="DS131" s="585"/>
      <c r="DT131" s="586">
        <v>0</v>
      </c>
      <c r="DV131" s="585"/>
      <c r="DW131" s="586">
        <v>0</v>
      </c>
      <c r="DX131" s="585"/>
      <c r="DY131" s="586">
        <v>0</v>
      </c>
      <c r="EA131" s="585"/>
      <c r="EB131" s="586">
        <v>0</v>
      </c>
      <c r="ED131" s="585"/>
      <c r="EE131" s="586">
        <v>0</v>
      </c>
      <c r="EG131" s="585"/>
      <c r="EH131" s="586">
        <v>0</v>
      </c>
      <c r="EJ131" s="585"/>
      <c r="EK131" s="586">
        <v>0</v>
      </c>
      <c r="EM131" s="585"/>
      <c r="EN131" s="586">
        <v>0</v>
      </c>
      <c r="EP131" s="585"/>
      <c r="EQ131" s="586">
        <v>0</v>
      </c>
      <c r="ER131" s="585"/>
      <c r="ES131" s="586">
        <v>0</v>
      </c>
      <c r="EU131" s="585"/>
      <c r="EV131" s="586">
        <v>0</v>
      </c>
      <c r="EX131" s="585"/>
      <c r="EY131" s="586">
        <v>0</v>
      </c>
      <c r="EZ131" s="585"/>
      <c r="FA131" s="586">
        <v>0</v>
      </c>
      <c r="FB131" s="585"/>
      <c r="FC131" s="586">
        <v>0</v>
      </c>
    </row>
    <row r="132" spans="1:159" ht="15.75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839514</v>
      </c>
      <c r="H132" s="585"/>
      <c r="I132" s="586">
        <f>I131/I10</f>
        <v>1103896</v>
      </c>
      <c r="J132" s="585"/>
      <c r="K132" s="586">
        <f>K131/K10</f>
        <v>999604</v>
      </c>
      <c r="L132" s="585"/>
      <c r="M132" s="586">
        <f>M131/M10</f>
        <v>234513</v>
      </c>
      <c r="N132" s="585"/>
      <c r="O132" s="586">
        <f>O131/O10</f>
        <v>421348</v>
      </c>
      <c r="P132" s="585"/>
      <c r="Q132" s="586">
        <f>Q131/Q10</f>
        <v>1813311.2</v>
      </c>
      <c r="R132" s="661"/>
      <c r="S132" s="585"/>
      <c r="T132" s="586">
        <f>T131/T10</f>
        <v>202872</v>
      </c>
      <c r="U132" s="585"/>
      <c r="V132" s="586">
        <f>V131/V10</f>
        <v>304186</v>
      </c>
      <c r="W132" s="585"/>
      <c r="X132" s="586">
        <f>X131/X10</f>
        <v>290229</v>
      </c>
      <c r="Y132" s="585"/>
      <c r="Z132" s="586">
        <f>Z131/Z10</f>
        <v>99721</v>
      </c>
      <c r="AA132" s="585"/>
      <c r="AB132" s="586">
        <f>AB131/AB10</f>
        <v>106000</v>
      </c>
      <c r="AC132" s="585"/>
      <c r="AD132" s="586">
        <f>AD131/AD10</f>
        <v>622944.375</v>
      </c>
      <c r="AE132" s="585"/>
      <c r="AF132" s="586">
        <f>AF131/AF10</f>
        <v>1640520</v>
      </c>
      <c r="AG132" s="661"/>
      <c r="AH132" s="585"/>
      <c r="AI132" s="586">
        <f>AI131/AI10</f>
        <v>287307</v>
      </c>
      <c r="AJ132" s="585"/>
      <c r="AK132" s="586">
        <f>AK131/AK10</f>
        <v>862345</v>
      </c>
      <c r="AL132" s="585"/>
      <c r="AM132" s="586">
        <f>AM131/AM10</f>
        <v>886603</v>
      </c>
      <c r="AN132" s="585"/>
      <c r="AO132" s="586">
        <f>AO131/AO10</f>
        <v>318630</v>
      </c>
      <c r="AP132" s="585"/>
      <c r="AQ132" s="586">
        <f>AQ131/AQ10</f>
        <v>406700</v>
      </c>
      <c r="AR132" s="585"/>
      <c r="AS132" s="586">
        <f>AS131/AS10</f>
        <v>406700</v>
      </c>
      <c r="AT132" s="585"/>
      <c r="AU132" s="586">
        <f>AU131/AU10</f>
        <v>1604530</v>
      </c>
      <c r="AV132" s="661"/>
      <c r="AW132" s="585"/>
      <c r="AX132" s="586">
        <f>AX131/AX10</f>
        <v>1604530</v>
      </c>
      <c r="AY132" s="587"/>
      <c r="AZ132" s="586"/>
      <c r="BA132" s="585"/>
      <c r="BB132" s="586">
        <f>BB131/BB10</f>
        <v>1600</v>
      </c>
      <c r="BC132" s="585"/>
      <c r="BD132" s="586">
        <f>BD131/BD10</f>
        <v>1651</v>
      </c>
      <c r="BE132" s="585"/>
      <c r="BF132" s="586">
        <f>BF131/BF10</f>
        <v>0</v>
      </c>
      <c r="BG132" s="585"/>
      <c r="BH132" s="586">
        <f>BH131/BH10</f>
        <v>4000</v>
      </c>
      <c r="BI132" s="585"/>
      <c r="BJ132" s="586">
        <f>BJ131/BJ10</f>
        <v>0</v>
      </c>
      <c r="BK132" s="585"/>
      <c r="BL132" s="586">
        <f>BL131/BL10</f>
        <v>5546</v>
      </c>
      <c r="BM132" s="585"/>
      <c r="BN132" s="586">
        <f>BN131/BN10</f>
        <v>5190</v>
      </c>
      <c r="BO132" s="585"/>
      <c r="BP132" s="586">
        <f>BP131/BP10</f>
        <v>6064</v>
      </c>
      <c r="BQ132" s="585"/>
      <c r="BR132" s="586">
        <f>BR131/BR10</f>
        <v>0</v>
      </c>
      <c r="BS132" s="585"/>
      <c r="BT132" s="586">
        <f>BT131/BT10</f>
        <v>20984</v>
      </c>
      <c r="BU132" s="585"/>
      <c r="BV132" s="586">
        <f>BV131/BV10</f>
        <v>14410</v>
      </c>
      <c r="BW132" s="585"/>
      <c r="BX132" s="586">
        <f>BX131/BX10</f>
        <v>13425</v>
      </c>
      <c r="BY132" s="585"/>
      <c r="BZ132" s="586">
        <f>BZ131/BZ10</f>
        <v>0</v>
      </c>
      <c r="CA132" s="585"/>
      <c r="CB132" s="586">
        <f>CB131/CB10</f>
        <v>5976</v>
      </c>
      <c r="CC132" s="585"/>
      <c r="CD132" s="586">
        <f>CD131/CD10</f>
        <v>4769</v>
      </c>
      <c r="CE132" s="585"/>
      <c r="CF132" s="586">
        <f>CF131/CF10</f>
        <v>3900</v>
      </c>
      <c r="CG132" s="585"/>
      <c r="CH132" s="586">
        <f>CH131/CH10</f>
        <v>0</v>
      </c>
      <c r="CI132" s="585"/>
      <c r="CJ132" s="586">
        <f>CJ131/CJ10</f>
        <v>0</v>
      </c>
      <c r="CK132" s="585"/>
      <c r="CL132" s="586">
        <f>CL131/CL10</f>
        <v>0</v>
      </c>
      <c r="CM132" s="585"/>
      <c r="CN132" s="586">
        <f>CN131/CN10</f>
        <v>0</v>
      </c>
      <c r="CO132" s="585"/>
      <c r="CP132" s="586">
        <f>CP131/CP10</f>
        <v>0</v>
      </c>
      <c r="CR132" s="585"/>
      <c r="CS132" s="586">
        <f>CS131/CS10</f>
        <v>0</v>
      </c>
      <c r="CT132" s="585"/>
      <c r="CU132" s="586">
        <f>CU131/CU10</f>
        <v>0</v>
      </c>
      <c r="CV132" s="585"/>
      <c r="CW132" s="586">
        <f>CW131/CW10</f>
        <v>0</v>
      </c>
      <c r="CX132" s="585"/>
      <c r="CY132" s="586">
        <f>CY131/CY10</f>
        <v>0</v>
      </c>
      <c r="DA132" s="585"/>
      <c r="DB132" s="586">
        <f>DB131/DB10</f>
        <v>0</v>
      </c>
      <c r="DC132" s="585"/>
      <c r="DD132" s="586">
        <f>DD131/DD10</f>
        <v>0</v>
      </c>
      <c r="DE132" s="585"/>
      <c r="DF132" s="586">
        <f>DF131/DF10</f>
        <v>0</v>
      </c>
      <c r="DH132" s="585"/>
      <c r="DI132" s="586">
        <f>DI131/DI10</f>
        <v>0</v>
      </c>
      <c r="DJ132" s="585"/>
      <c r="DK132" s="586">
        <f>DK131/DK10</f>
        <v>0</v>
      </c>
      <c r="DL132" s="585"/>
      <c r="DM132" s="586">
        <f>DM131/DM10</f>
        <v>0</v>
      </c>
      <c r="DO132" s="585"/>
      <c r="DP132" s="586">
        <f>DP131/DP10</f>
        <v>0</v>
      </c>
      <c r="DQ132" s="585"/>
      <c r="DR132" s="586">
        <f>DR131/DR10</f>
        <v>0</v>
      </c>
      <c r="DS132" s="585"/>
      <c r="DT132" s="586">
        <f>DT131/DT10</f>
        <v>0</v>
      </c>
      <c r="DV132" s="585"/>
      <c r="DW132" s="586">
        <f>DW131/DW10</f>
        <v>0</v>
      </c>
      <c r="DX132" s="585"/>
      <c r="DY132" s="586">
        <f>DY131/DY10</f>
        <v>0</v>
      </c>
      <c r="EA132" s="585"/>
      <c r="EB132" s="586">
        <f>EB131/EB10</f>
        <v>0</v>
      </c>
      <c r="ED132" s="585"/>
      <c r="EE132" s="586">
        <f>EE131/EE10</f>
        <v>0</v>
      </c>
      <c r="EG132" s="585"/>
      <c r="EH132" s="586">
        <f>EH131/EH10</f>
        <v>0</v>
      </c>
      <c r="EJ132" s="585"/>
      <c r="EK132" s="586">
        <f>EK131/EK10</f>
        <v>0</v>
      </c>
      <c r="EM132" s="585"/>
      <c r="EN132" s="586">
        <f>EN131/EN10</f>
        <v>0</v>
      </c>
      <c r="EP132" s="585"/>
      <c r="EQ132" s="586">
        <f>EQ131/EQ10</f>
        <v>0</v>
      </c>
      <c r="ER132" s="585"/>
      <c r="ES132" s="586">
        <f>ES131/ES10</f>
        <v>0</v>
      </c>
      <c r="EU132" s="585"/>
      <c r="EV132" s="586">
        <f>EV131/EV10</f>
        <v>0</v>
      </c>
      <c r="EX132" s="585"/>
      <c r="EY132" s="586">
        <f>EY131/EY10</f>
        <v>0</v>
      </c>
      <c r="EZ132" s="585"/>
      <c r="FA132" s="586">
        <f>FA131/FA10</f>
        <v>0</v>
      </c>
      <c r="FB132" s="585"/>
      <c r="FC132" s="586">
        <f>FC131/FC10</f>
        <v>0</v>
      </c>
    </row>
    <row r="133" spans="1:159" ht="15.75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216.81663223140495</v>
      </c>
      <c r="H133" s="585"/>
      <c r="I133" s="586">
        <f>I132/I66</f>
        <v>285.09710743801651</v>
      </c>
      <c r="J133" s="585"/>
      <c r="K133" s="586">
        <f>K132/K66</f>
        <v>258.16219008264466</v>
      </c>
      <c r="L133" s="585"/>
      <c r="M133" s="586">
        <f>M132/M66</f>
        <v>60.566373966942152</v>
      </c>
      <c r="N133" s="585"/>
      <c r="O133" s="586">
        <f>O132/O66</f>
        <v>108.81921487603306</v>
      </c>
      <c r="P133" s="585"/>
      <c r="Q133" s="586">
        <f>Q132/Q66</f>
        <v>468.31384297520663</v>
      </c>
      <c r="R133" s="661"/>
      <c r="S133" s="585"/>
      <c r="T133" s="586">
        <f>T132/T66</f>
        <v>50.718000000000004</v>
      </c>
      <c r="U133" s="585"/>
      <c r="V133" s="586">
        <f>V132/V66</f>
        <v>76.046499999999995</v>
      </c>
      <c r="W133" s="585"/>
      <c r="X133" s="586">
        <f>X132/X66</f>
        <v>74.955836776859499</v>
      </c>
      <c r="Y133" s="585"/>
      <c r="Z133" s="586">
        <f>Z132/Z66</f>
        <v>25.754390495867767</v>
      </c>
      <c r="AA133" s="585"/>
      <c r="AB133" s="586">
        <f>AB132/AB66</f>
        <v>27.376033057851238</v>
      </c>
      <c r="AC133" s="585"/>
      <c r="AD133" s="586">
        <f>AD132/AD66</f>
        <v>160.88439436983472</v>
      </c>
      <c r="AE133" s="585"/>
      <c r="AF133" s="586" t="e">
        <f>AF132/AF66</f>
        <v>#REF!</v>
      </c>
      <c r="AG133" s="661"/>
      <c r="AH133" s="585"/>
      <c r="AI133" s="586">
        <f>AI132/AI66</f>
        <v>80.931549295774644</v>
      </c>
      <c r="AJ133" s="585"/>
      <c r="AK133" s="586">
        <f>AK132/AK66</f>
        <v>242.91408450704225</v>
      </c>
      <c r="AL133" s="585"/>
      <c r="AM133" s="586">
        <f>AM132/AM66</f>
        <v>249.74732394366197</v>
      </c>
      <c r="AN133" s="585"/>
      <c r="AO133" s="586">
        <f>AO132/AO66</f>
        <v>89.754929577464793</v>
      </c>
      <c r="AP133" s="585"/>
      <c r="AQ133" s="586">
        <f>AQ132/AQ66</f>
        <v>114.56338028169014</v>
      </c>
      <c r="AR133" s="585"/>
      <c r="AS133" s="586">
        <f>AS132/AS66</f>
        <v>114.56338028169014</v>
      </c>
      <c r="AT133" s="585"/>
      <c r="AU133" s="586" t="e">
        <f>AU132/AU66</f>
        <v>#REF!</v>
      </c>
      <c r="AV133" s="661"/>
      <c r="AW133" s="585"/>
      <c r="AX133" s="586">
        <f>AX132/AX66</f>
        <v>451.98028169014083</v>
      </c>
      <c r="AY133" s="587"/>
      <c r="AZ133" s="586"/>
      <c r="BA133" s="585"/>
      <c r="BB133" s="586">
        <f>BB132/BB66</f>
        <v>0.41322314049586778</v>
      </c>
      <c r="BC133" s="585"/>
      <c r="BD133" s="586">
        <f>BD132/BD66</f>
        <v>0.42639462809917356</v>
      </c>
      <c r="BE133" s="585"/>
      <c r="BF133" s="586">
        <f>BF132/BF66</f>
        <v>0</v>
      </c>
      <c r="BG133" s="585"/>
      <c r="BH133" s="586">
        <f>BH132/BH66</f>
        <v>1.0330578512396693</v>
      </c>
      <c r="BI133" s="585"/>
      <c r="BJ133" s="586">
        <f>BJ132/BJ66</f>
        <v>0</v>
      </c>
      <c r="BK133" s="585"/>
      <c r="BL133" s="586">
        <f>BL132/BL66</f>
        <v>1.1226720647773278</v>
      </c>
      <c r="BM133" s="585"/>
      <c r="BN133" s="586">
        <f>BN132/BN66</f>
        <v>1.0506072874493928</v>
      </c>
      <c r="BO133" s="585"/>
      <c r="BP133" s="586">
        <f>BP132/BP66</f>
        <v>1.2275303643724695</v>
      </c>
      <c r="BQ133" s="585"/>
      <c r="BR133" s="586">
        <f>BR132/BR66</f>
        <v>0</v>
      </c>
      <c r="BS133" s="585"/>
      <c r="BT133" s="586">
        <f>BT132/BT66</f>
        <v>4.371666666666667</v>
      </c>
      <c r="BU133" s="585"/>
      <c r="BV133" s="586">
        <f>BV132/BV66</f>
        <v>3.0020833333333332</v>
      </c>
      <c r="BW133" s="585"/>
      <c r="BX133" s="586">
        <f>BX132/BX66</f>
        <v>2.796875</v>
      </c>
      <c r="BY133" s="585"/>
      <c r="BZ133" s="586">
        <f>BZ132/BZ66</f>
        <v>0</v>
      </c>
      <c r="CA133" s="585"/>
      <c r="CB133" s="586">
        <f>CB132/CB66</f>
        <v>2.4900000000000002</v>
      </c>
      <c r="CC133" s="585"/>
      <c r="CD133" s="586">
        <f>CD132/CD66</f>
        <v>1.9870833333333333</v>
      </c>
      <c r="CE133" s="585"/>
      <c r="CF133" s="586">
        <f>CF132/CF66</f>
        <v>1.625</v>
      </c>
      <c r="CG133" s="585"/>
      <c r="CH133" s="586">
        <f>CH132/CH66</f>
        <v>0</v>
      </c>
      <c r="CI133" s="585"/>
      <c r="CJ133" s="586">
        <f>CJ132/CJ66</f>
        <v>0</v>
      </c>
      <c r="CK133" s="585"/>
      <c r="CL133" s="586">
        <f>CL132/CL66</f>
        <v>0</v>
      </c>
      <c r="CM133" s="585"/>
      <c r="CN133" s="586">
        <f>CN132/CN66</f>
        <v>0</v>
      </c>
      <c r="CO133" s="585"/>
      <c r="CP133" s="586">
        <f>CP132/CP66</f>
        <v>0</v>
      </c>
      <c r="CR133" s="585"/>
      <c r="CS133" s="586">
        <f>CS132/CS66</f>
        <v>0</v>
      </c>
      <c r="CT133" s="585"/>
      <c r="CU133" s="586">
        <f>CU132/CU66</f>
        <v>0</v>
      </c>
      <c r="CV133" s="585"/>
      <c r="CW133" s="586">
        <f>CW132/CW66</f>
        <v>0</v>
      </c>
      <c r="CX133" s="585"/>
      <c r="CY133" s="586">
        <f>CY132/CY66</f>
        <v>0</v>
      </c>
      <c r="DA133" s="585"/>
      <c r="DB133" s="586">
        <f>DB132/DB66</f>
        <v>0</v>
      </c>
      <c r="DC133" s="585"/>
      <c r="DD133" s="586">
        <f>DD132/DD66</f>
        <v>0</v>
      </c>
      <c r="DE133" s="585"/>
      <c r="DF133" s="586">
        <f>DF132/DF66</f>
        <v>0</v>
      </c>
      <c r="DH133" s="585"/>
      <c r="DI133" s="586">
        <f>DI132/DI66</f>
        <v>0</v>
      </c>
      <c r="DJ133" s="585"/>
      <c r="DK133" s="586">
        <f>DK132/DK66</f>
        <v>0</v>
      </c>
      <c r="DL133" s="585"/>
      <c r="DM133" s="586">
        <f>DM132/DM66</f>
        <v>0</v>
      </c>
      <c r="DO133" s="585"/>
      <c r="DP133" s="586">
        <f>DP132/DP66</f>
        <v>0</v>
      </c>
      <c r="DQ133" s="585"/>
      <c r="DR133" s="586">
        <f>DR132/DR66</f>
        <v>0</v>
      </c>
      <c r="DS133" s="585"/>
      <c r="DT133" s="586">
        <f>DT132/DT66</f>
        <v>0</v>
      </c>
      <c r="DV133" s="585"/>
      <c r="DW133" s="586">
        <f>DW132/DW66</f>
        <v>0</v>
      </c>
      <c r="DX133" s="585"/>
      <c r="DY133" s="586">
        <f>DY132/DY66</f>
        <v>0</v>
      </c>
      <c r="EA133" s="585"/>
      <c r="EB133" s="586">
        <f>EB132/EB66</f>
        <v>0</v>
      </c>
      <c r="ED133" s="585"/>
      <c r="EE133" s="586">
        <f>EE132/EE66</f>
        <v>0</v>
      </c>
      <c r="EG133" s="585"/>
      <c r="EH133" s="586">
        <f>EH132/EH66</f>
        <v>0</v>
      </c>
      <c r="EJ133" s="585"/>
      <c r="EK133" s="586">
        <f>EK132/EK66</f>
        <v>0</v>
      </c>
      <c r="EM133" s="585"/>
      <c r="EN133" s="586">
        <f>EN132/EN66</f>
        <v>0</v>
      </c>
      <c r="EP133" s="585"/>
      <c r="EQ133" s="586">
        <f>EQ132/EQ66</f>
        <v>0</v>
      </c>
      <c r="ER133" s="585"/>
      <c r="ES133" s="586">
        <f>ES132/ES66</f>
        <v>0</v>
      </c>
      <c r="EU133" s="585"/>
      <c r="EV133" s="586">
        <f>EV132/EV66</f>
        <v>0</v>
      </c>
      <c r="EX133" s="585"/>
      <c r="EY133" s="586">
        <f>EY132/EY66</f>
        <v>0</v>
      </c>
      <c r="EZ133" s="585"/>
      <c r="FA133" s="586">
        <f>FA132/FA66</f>
        <v>0</v>
      </c>
      <c r="FB133" s="585"/>
      <c r="FC133" s="586">
        <f>FC132/FC66</f>
        <v>0</v>
      </c>
    </row>
    <row r="134" spans="1:159" ht="15.75" customHeight="1" outlineLevel="2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375"/>
      <c r="K134" s="376"/>
      <c r="L134" s="375"/>
      <c r="M134" s="376"/>
      <c r="N134" s="375"/>
      <c r="O134" s="376"/>
      <c r="P134" s="375"/>
      <c r="Q134" s="376"/>
      <c r="R134" s="662"/>
      <c r="S134" s="177"/>
      <c r="T134" s="178"/>
      <c r="U134" s="177"/>
      <c r="V134" s="178"/>
      <c r="W134" s="375"/>
      <c r="X134" s="376"/>
      <c r="Y134" s="375"/>
      <c r="Z134" s="376"/>
      <c r="AA134" s="375"/>
      <c r="AB134" s="376"/>
      <c r="AC134" s="375"/>
      <c r="AD134" s="376"/>
      <c r="AE134" s="375"/>
      <c r="AF134" s="376"/>
      <c r="AG134" s="662"/>
      <c r="AH134" s="177"/>
      <c r="AI134" s="178"/>
      <c r="AJ134" s="177"/>
      <c r="AK134" s="178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662"/>
      <c r="AW134" s="375"/>
      <c r="AX134" s="376"/>
      <c r="AY134" s="175"/>
      <c r="AZ134" s="178"/>
      <c r="BA134" s="375"/>
      <c r="BB134" s="376"/>
      <c r="BC134" s="375"/>
      <c r="BD134" s="376"/>
      <c r="BE134" s="375"/>
      <c r="BF134" s="376"/>
      <c r="BG134" s="375"/>
      <c r="BH134" s="376"/>
      <c r="BI134" s="375"/>
      <c r="BJ134" s="376"/>
      <c r="BK134" s="177"/>
      <c r="BL134" s="178"/>
      <c r="BM134" s="375"/>
      <c r="BN134" s="376"/>
      <c r="BO134" s="375"/>
      <c r="BP134" s="376"/>
      <c r="BQ134" s="375"/>
      <c r="BR134" s="376"/>
      <c r="BS134" s="177"/>
      <c r="BT134" s="178"/>
      <c r="BU134" s="375"/>
      <c r="BV134" s="376"/>
      <c r="BW134" s="375"/>
      <c r="BX134" s="376"/>
      <c r="BY134" s="375"/>
      <c r="BZ134" s="376"/>
      <c r="CA134" s="177"/>
      <c r="CB134" s="178"/>
      <c r="CC134" s="375"/>
      <c r="CD134" s="376"/>
      <c r="CE134" s="375"/>
      <c r="CF134" s="376"/>
      <c r="CG134" s="375"/>
      <c r="CH134" s="376"/>
      <c r="CI134" s="375"/>
      <c r="CJ134" s="376"/>
      <c r="CK134" s="375"/>
      <c r="CL134" s="376"/>
      <c r="CM134" s="375"/>
      <c r="CN134" s="376"/>
      <c r="CO134" s="375"/>
      <c r="CP134" s="376"/>
      <c r="CR134" s="375"/>
      <c r="CS134" s="376"/>
      <c r="CT134" s="375"/>
      <c r="CU134" s="376"/>
      <c r="CV134" s="375"/>
      <c r="CW134" s="376"/>
      <c r="CX134" s="375"/>
      <c r="CY134" s="376"/>
      <c r="DA134" s="375"/>
      <c r="DB134" s="376"/>
      <c r="DC134" s="375"/>
      <c r="DD134" s="376"/>
      <c r="DE134" s="375"/>
      <c r="DF134" s="376"/>
      <c r="DH134" s="375"/>
      <c r="DI134" s="376"/>
      <c r="DJ134" s="375"/>
      <c r="DK134" s="376"/>
      <c r="DL134" s="375"/>
      <c r="DM134" s="376"/>
      <c r="DO134" s="375"/>
      <c r="DP134" s="376"/>
      <c r="DQ134" s="375"/>
      <c r="DR134" s="376"/>
      <c r="DS134" s="375"/>
      <c r="DT134" s="376"/>
      <c r="DV134" s="375"/>
      <c r="DW134" s="376"/>
      <c r="DX134" s="375"/>
      <c r="DY134" s="376"/>
      <c r="EA134" s="375"/>
      <c r="EB134" s="376"/>
      <c r="ED134" s="375"/>
      <c r="EE134" s="376"/>
      <c r="EG134" s="375"/>
      <c r="EH134" s="376"/>
      <c r="EJ134" s="375"/>
      <c r="EK134" s="376"/>
      <c r="EM134" s="375"/>
      <c r="EN134" s="376"/>
      <c r="EP134" s="375"/>
      <c r="EQ134" s="376"/>
      <c r="ER134" s="375"/>
      <c r="ES134" s="376"/>
      <c r="EU134" s="375"/>
      <c r="EV134" s="376"/>
      <c r="EX134" s="375"/>
      <c r="EY134" s="376"/>
      <c r="EZ134" s="375"/>
      <c r="FA134" s="376"/>
      <c r="FB134" s="375"/>
      <c r="FC134" s="376"/>
    </row>
    <row r="135" spans="1:159" ht="15.75" customHeight="1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224">
        <f>G64</f>
        <v>620</v>
      </c>
      <c r="H135" s="180"/>
      <c r="I135" s="224">
        <f>I64</f>
        <v>1150</v>
      </c>
      <c r="J135" s="380"/>
      <c r="K135" s="384">
        <f>K64</f>
        <v>1199.4831156337875</v>
      </c>
      <c r="L135" s="380"/>
      <c r="M135" s="384">
        <f>M64</f>
        <v>1200</v>
      </c>
      <c r="N135" s="380"/>
      <c r="O135" s="384">
        <f>O64</f>
        <v>1200</v>
      </c>
      <c r="P135" s="380"/>
      <c r="Q135" s="384">
        <f>Q64</f>
        <v>1200</v>
      </c>
      <c r="R135" s="628"/>
      <c r="S135" s="180"/>
      <c r="T135" s="224">
        <f>T64</f>
        <v>650</v>
      </c>
      <c r="U135" s="180"/>
      <c r="V135" s="224">
        <f>V64</f>
        <v>1150</v>
      </c>
      <c r="W135" s="380"/>
      <c r="X135" s="384">
        <f>X64</f>
        <v>1197.9359746958437</v>
      </c>
      <c r="Y135" s="380"/>
      <c r="Z135" s="384">
        <f>Z64</f>
        <v>1200</v>
      </c>
      <c r="AA135" s="380"/>
      <c r="AB135" s="384">
        <f>AB64</f>
        <v>1200</v>
      </c>
      <c r="AC135" s="380"/>
      <c r="AD135" s="384">
        <f>AD64</f>
        <v>1200</v>
      </c>
      <c r="AE135" s="380"/>
      <c r="AF135" s="384" t="e">
        <f>AF64</f>
        <v>#REF!</v>
      </c>
      <c r="AG135" s="628"/>
      <c r="AH135" s="180"/>
      <c r="AI135" s="224">
        <f>AI64</f>
        <v>720</v>
      </c>
      <c r="AJ135" s="180"/>
      <c r="AK135" s="224">
        <f>AK64</f>
        <v>1150</v>
      </c>
      <c r="AL135" s="380"/>
      <c r="AM135" s="384">
        <f>AM64</f>
        <v>1206.1471380087817</v>
      </c>
      <c r="AN135" s="380"/>
      <c r="AO135" s="384">
        <f>AO64</f>
        <v>1207</v>
      </c>
      <c r="AP135" s="380"/>
      <c r="AQ135" s="384">
        <f>AQ64</f>
        <v>1207</v>
      </c>
      <c r="AR135" s="380"/>
      <c r="AS135" s="384">
        <f>AS64</f>
        <v>1207</v>
      </c>
      <c r="AT135" s="380"/>
      <c r="AU135" s="384" t="e">
        <f>AU64</f>
        <v>#REF!</v>
      </c>
      <c r="AV135" s="628"/>
      <c r="AW135" s="380"/>
      <c r="AX135" s="384">
        <v>1200</v>
      </c>
      <c r="AY135" s="182"/>
      <c r="AZ135" s="384">
        <f>AZ64</f>
        <v>1150</v>
      </c>
      <c r="BA135" s="380"/>
      <c r="BB135" s="384">
        <f>BB64</f>
        <v>1200</v>
      </c>
      <c r="BC135" s="380"/>
      <c r="BD135" s="384">
        <f>BD64</f>
        <v>1200</v>
      </c>
      <c r="BE135" s="380"/>
      <c r="BF135" s="384">
        <f>BF64</f>
        <v>1200</v>
      </c>
      <c r="BG135" s="380"/>
      <c r="BH135" s="384">
        <f>BH64</f>
        <v>1200</v>
      </c>
      <c r="BI135" s="380"/>
      <c r="BJ135" s="384">
        <f>BJ64</f>
        <v>1200</v>
      </c>
      <c r="BK135" s="180"/>
      <c r="BL135" s="384">
        <f>BL64</f>
        <v>1200</v>
      </c>
      <c r="BM135" s="380"/>
      <c r="BN135" s="384">
        <f>BN64</f>
        <v>1200</v>
      </c>
      <c r="BO135" s="380"/>
      <c r="BP135" s="384">
        <f>BP64</f>
        <v>1200</v>
      </c>
      <c r="BQ135" s="380"/>
      <c r="BR135" s="384">
        <f>BR64</f>
        <v>1200</v>
      </c>
      <c r="BS135" s="180"/>
      <c r="BT135" s="384">
        <f>BT64</f>
        <v>1200</v>
      </c>
      <c r="BU135" s="380"/>
      <c r="BV135" s="384">
        <f>BV64</f>
        <v>1200</v>
      </c>
      <c r="BW135" s="380"/>
      <c r="BX135" s="384">
        <f>BX64</f>
        <v>1200</v>
      </c>
      <c r="BY135" s="380"/>
      <c r="BZ135" s="384">
        <f>BZ64</f>
        <v>1200</v>
      </c>
      <c r="CA135" s="180"/>
      <c r="CB135" s="384">
        <f>CB64</f>
        <v>1200</v>
      </c>
      <c r="CC135" s="380"/>
      <c r="CD135" s="384">
        <f>CD64</f>
        <v>1200</v>
      </c>
      <c r="CE135" s="380"/>
      <c r="CF135" s="384">
        <f>CF64</f>
        <v>1200</v>
      </c>
      <c r="CG135" s="380"/>
      <c r="CH135" s="384">
        <f>CH64</f>
        <v>1200</v>
      </c>
      <c r="CI135" s="380"/>
      <c r="CJ135" s="384">
        <v>1200</v>
      </c>
      <c r="CK135" s="380"/>
      <c r="CL135" s="384">
        <v>1200</v>
      </c>
      <c r="CM135" s="380"/>
      <c r="CN135" s="384">
        <v>1200</v>
      </c>
      <c r="CO135" s="380"/>
      <c r="CP135" s="384">
        <v>1200</v>
      </c>
      <c r="CR135" s="380"/>
      <c r="CS135" s="384">
        <v>1200</v>
      </c>
      <c r="CT135" s="380"/>
      <c r="CU135" s="384">
        <v>1200</v>
      </c>
      <c r="CV135" s="380"/>
      <c r="CW135" s="384">
        <v>1200</v>
      </c>
      <c r="CX135" s="380"/>
      <c r="CY135" s="384">
        <v>1200</v>
      </c>
      <c r="DA135" s="380"/>
      <c r="DB135" s="384">
        <v>1200</v>
      </c>
      <c r="DC135" s="380"/>
      <c r="DD135" s="384">
        <v>1200</v>
      </c>
      <c r="DE135" s="380"/>
      <c r="DF135" s="384">
        <v>1200</v>
      </c>
      <c r="DH135" s="380"/>
      <c r="DI135" s="384">
        <v>1200</v>
      </c>
      <c r="DJ135" s="380"/>
      <c r="DK135" s="384">
        <v>1200</v>
      </c>
      <c r="DL135" s="380"/>
      <c r="DM135" s="384">
        <v>1200</v>
      </c>
      <c r="DO135" s="380"/>
      <c r="DP135" s="384">
        <v>1200</v>
      </c>
      <c r="DQ135" s="380"/>
      <c r="DR135" s="384">
        <v>1200</v>
      </c>
      <c r="DS135" s="380"/>
      <c r="DT135" s="384">
        <v>1200</v>
      </c>
      <c r="DV135" s="380"/>
      <c r="DW135" s="384">
        <v>1200</v>
      </c>
      <c r="DX135" s="380"/>
      <c r="DY135" s="384">
        <v>1200</v>
      </c>
      <c r="EA135" s="380"/>
      <c r="EB135" s="384">
        <v>1200</v>
      </c>
      <c r="ED135" s="380"/>
      <c r="EE135" s="384">
        <v>1200</v>
      </c>
      <c r="EG135" s="380"/>
      <c r="EH135" s="384">
        <v>1200</v>
      </c>
      <c r="EJ135" s="380"/>
      <c r="EK135" s="384">
        <v>1200</v>
      </c>
      <c r="EM135" s="380"/>
      <c r="EN135" s="384">
        <v>1200</v>
      </c>
      <c r="EP135" s="380"/>
      <c r="EQ135" s="384">
        <v>1200</v>
      </c>
      <c r="ER135" s="380"/>
      <c r="ES135" s="384">
        <v>1200</v>
      </c>
      <c r="EU135" s="380"/>
      <c r="EV135" s="384">
        <v>1200</v>
      </c>
      <c r="EX135" s="380"/>
      <c r="EY135" s="384">
        <v>750</v>
      </c>
      <c r="EZ135" s="380"/>
      <c r="FA135" s="384">
        <v>750</v>
      </c>
      <c r="FB135" s="380"/>
      <c r="FC135" s="384">
        <v>750</v>
      </c>
    </row>
    <row r="136" spans="1:159" ht="15.75" customHeight="1" outlineLevel="3" x14ac:dyDescent="0.45">
      <c r="A136" s="561"/>
      <c r="B136" s="1187"/>
      <c r="C136" s="225" t="s">
        <v>388</v>
      </c>
      <c r="D136" s="162"/>
      <c r="E136" s="179" t="s">
        <v>128</v>
      </c>
      <c r="F136" s="180"/>
      <c r="G136" s="224">
        <v>650</v>
      </c>
      <c r="H136" s="180"/>
      <c r="I136" s="224">
        <v>1200</v>
      </c>
      <c r="J136" s="380"/>
      <c r="K136" s="384">
        <f>'Pricing Structure - GSS'!DE136</f>
        <v>1182.0219008457536</v>
      </c>
      <c r="L136" s="380"/>
      <c r="M136" s="384">
        <f>'Pricing Structure - GSS'!DA136</f>
        <v>990.56132828350815</v>
      </c>
      <c r="N136" s="380"/>
      <c r="O136" s="384">
        <f>'Pricing Structure - GSS'!DC136</f>
        <v>600</v>
      </c>
      <c r="P136" s="380"/>
      <c r="Q136" s="384">
        <f>'Pricing Structure - GSS'!DK136</f>
        <v>800</v>
      </c>
      <c r="R136" s="628"/>
      <c r="S136" s="180"/>
      <c r="T136" s="224">
        <f>K136</f>
        <v>1182.0219008457536</v>
      </c>
      <c r="U136" s="180"/>
      <c r="V136" s="224">
        <f>T136</f>
        <v>1182.0219008457536</v>
      </c>
      <c r="W136" s="380"/>
      <c r="X136" s="384">
        <f>'Pricing Structure - IIP'!CY136</f>
        <v>1302.7752023128044</v>
      </c>
      <c r="Y136" s="380"/>
      <c r="Z136" s="384">
        <f>'Pricing Structure - IIP'!CU136</f>
        <v>1071.0009250445014</v>
      </c>
      <c r="AA136" s="380"/>
      <c r="AB136" s="384">
        <f>'Pricing Structure - IIP'!CW136</f>
        <v>600</v>
      </c>
      <c r="AC136" s="380"/>
      <c r="AD136" s="384">
        <f>'Pricing Structure - IIP'!DE136</f>
        <v>900</v>
      </c>
      <c r="AE136" s="380"/>
      <c r="AF136" s="224">
        <v>1200</v>
      </c>
      <c r="AG136" s="628"/>
      <c r="AH136" s="180"/>
      <c r="AI136" s="224">
        <f>X136</f>
        <v>1302.7752023128044</v>
      </c>
      <c r="AJ136" s="180"/>
      <c r="AK136" s="224">
        <f>AI136</f>
        <v>1302.7752023128044</v>
      </c>
      <c r="AL136" s="380"/>
      <c r="AM136" s="384">
        <f>'Pricing Structure - IHAG'!DE136</f>
        <v>1174.2422814014151</v>
      </c>
      <c r="AN136" s="380"/>
      <c r="AO136" s="384">
        <f>'Pricing Structure - IHAG'!DA136</f>
        <v>1035.4453734230838</v>
      </c>
      <c r="AP136" s="380"/>
      <c r="AQ136" s="384">
        <f>'Pricing Structure - IHAG'!DC136</f>
        <v>600</v>
      </c>
      <c r="AR136" s="380"/>
      <c r="AS136" s="384">
        <f>'Pricing Structure - IHAG'!DQ136</f>
        <v>900</v>
      </c>
      <c r="AT136" s="380"/>
      <c r="AU136" s="224">
        <v>1200</v>
      </c>
      <c r="AV136" s="676"/>
      <c r="AW136" s="380"/>
      <c r="AX136" s="224">
        <f>AM136</f>
        <v>1174.2422814014151</v>
      </c>
      <c r="AY136" s="182"/>
      <c r="AZ136" s="224">
        <f>AM136</f>
        <v>1174.2422814014151</v>
      </c>
      <c r="BA136" s="380"/>
      <c r="BB136" s="384">
        <f>AZ136</f>
        <v>1174.2422814014151</v>
      </c>
      <c r="BC136" s="380"/>
      <c r="BD136" s="384">
        <v>1032.3376295173109</v>
      </c>
      <c r="BE136" s="380"/>
      <c r="BF136" s="384">
        <v>950</v>
      </c>
      <c r="BG136" s="380"/>
      <c r="BH136" s="224">
        <v>900</v>
      </c>
      <c r="BI136" s="380"/>
      <c r="BJ136" s="224">
        <v>900</v>
      </c>
      <c r="BK136" s="180"/>
      <c r="BL136" s="224">
        <v>1312.5930948454102</v>
      </c>
      <c r="BM136" s="380"/>
      <c r="BN136" s="384">
        <v>1331.4497483776556</v>
      </c>
      <c r="BO136" s="380"/>
      <c r="BP136" s="384">
        <v>900</v>
      </c>
      <c r="BQ136" s="380"/>
      <c r="BR136" s="224">
        <v>900</v>
      </c>
      <c r="BS136" s="180"/>
      <c r="BT136" s="224">
        <v>1396.0678515728634</v>
      </c>
      <c r="BU136" s="380"/>
      <c r="BV136" s="384">
        <v>1239.4276414199801</v>
      </c>
      <c r="BW136" s="380"/>
      <c r="BX136" s="384">
        <v>900</v>
      </c>
      <c r="BY136" s="380"/>
      <c r="BZ136" s="224">
        <v>900</v>
      </c>
      <c r="CA136" s="180"/>
      <c r="CB136" s="224">
        <v>798.10985457377694</v>
      </c>
      <c r="CC136" s="380"/>
      <c r="CD136" s="384">
        <v>627.00542456248888</v>
      </c>
      <c r="CE136" s="380"/>
      <c r="CF136" s="384">
        <v>900</v>
      </c>
      <c r="CG136" s="380"/>
      <c r="CH136" s="224">
        <v>900</v>
      </c>
      <c r="CI136" s="380"/>
      <c r="CJ136" s="384">
        <v>60</v>
      </c>
      <c r="CK136" s="380"/>
      <c r="CL136" s="384">
        <f>CJ136</f>
        <v>60</v>
      </c>
      <c r="CM136" s="380"/>
      <c r="CN136" s="384">
        <f>CL136</f>
        <v>60</v>
      </c>
      <c r="CO136" s="380"/>
      <c r="CP136" s="384">
        <v>250</v>
      </c>
      <c r="CR136" s="380"/>
      <c r="CS136" s="384">
        <v>60</v>
      </c>
      <c r="CT136" s="380"/>
      <c r="CU136" s="384">
        <f>CS136</f>
        <v>60</v>
      </c>
      <c r="CV136" s="380"/>
      <c r="CW136" s="384">
        <f>CU136</f>
        <v>60</v>
      </c>
      <c r="CX136" s="380"/>
      <c r="CY136" s="384">
        <v>250</v>
      </c>
      <c r="DA136" s="380"/>
      <c r="DB136" s="384">
        <v>55</v>
      </c>
      <c r="DC136" s="380"/>
      <c r="DD136" s="384">
        <f>DB136</f>
        <v>55</v>
      </c>
      <c r="DE136" s="380"/>
      <c r="DF136" s="384">
        <f>DD136</f>
        <v>55</v>
      </c>
      <c r="DH136" s="380"/>
      <c r="DI136" s="384">
        <v>76</v>
      </c>
      <c r="DJ136" s="380"/>
      <c r="DK136" s="384">
        <f>DI136</f>
        <v>76</v>
      </c>
      <c r="DL136" s="380"/>
      <c r="DM136" s="384">
        <f>DK136</f>
        <v>76</v>
      </c>
      <c r="DO136" s="380"/>
      <c r="DP136" s="384">
        <v>49</v>
      </c>
      <c r="DQ136" s="380"/>
      <c r="DR136" s="384">
        <f>DP136</f>
        <v>49</v>
      </c>
      <c r="DS136" s="380"/>
      <c r="DT136" s="384">
        <f>DR136</f>
        <v>49</v>
      </c>
      <c r="DV136" s="380"/>
      <c r="DW136" s="384">
        <v>60</v>
      </c>
      <c r="DX136" s="380"/>
      <c r="DY136" s="384">
        <v>60</v>
      </c>
      <c r="EA136" s="380"/>
      <c r="EB136" s="384">
        <v>12</v>
      </c>
      <c r="ED136" s="380"/>
      <c r="EE136" s="384">
        <v>295.30472103004291</v>
      </c>
      <c r="EG136" s="380"/>
      <c r="EH136" s="384">
        <v>212</v>
      </c>
      <c r="EJ136" s="380"/>
      <c r="EK136" s="384">
        <v>49</v>
      </c>
      <c r="EM136" s="380"/>
      <c r="EN136" s="384">
        <v>61.756756756756758</v>
      </c>
      <c r="EP136" s="380"/>
      <c r="EQ136" s="384">
        <v>15</v>
      </c>
      <c r="ER136" s="380"/>
      <c r="ES136" s="384">
        <v>15</v>
      </c>
      <c r="EU136" s="380"/>
      <c r="EV136" s="384">
        <v>7</v>
      </c>
      <c r="EX136" s="380"/>
      <c r="EY136" s="384">
        <v>200</v>
      </c>
      <c r="EZ136" s="380"/>
      <c r="FA136" s="384">
        <v>200</v>
      </c>
      <c r="FB136" s="380"/>
      <c r="FC136" s="384">
        <v>200</v>
      </c>
    </row>
    <row r="137" spans="1:159" ht="15.75" customHeight="1" outlineLevel="3" x14ac:dyDescent="0.45">
      <c r="A137" s="561"/>
      <c r="B137" s="1187"/>
      <c r="C137" s="225" t="s">
        <v>390</v>
      </c>
      <c r="D137" s="162"/>
      <c r="E137" s="179" t="s">
        <v>128</v>
      </c>
      <c r="F137" s="180"/>
      <c r="G137" s="224">
        <v>1200</v>
      </c>
      <c r="H137" s="180"/>
      <c r="I137" s="224">
        <f>G137</f>
        <v>1200</v>
      </c>
      <c r="J137" s="380"/>
      <c r="K137" s="384">
        <f>K64</f>
        <v>1199.4831156337875</v>
      </c>
      <c r="L137" s="380"/>
      <c r="M137" s="384">
        <f>M64</f>
        <v>1200</v>
      </c>
      <c r="N137" s="380"/>
      <c r="O137" s="384">
        <f>O64</f>
        <v>1200</v>
      </c>
      <c r="P137" s="380"/>
      <c r="Q137" s="384">
        <f>Q64</f>
        <v>1200</v>
      </c>
      <c r="R137" s="628"/>
      <c r="S137" s="180"/>
      <c r="T137" s="224">
        <f>K137</f>
        <v>1199.4831156337875</v>
      </c>
      <c r="U137" s="180"/>
      <c r="V137" s="224">
        <f>T137</f>
        <v>1199.4831156337875</v>
      </c>
      <c r="W137" s="380"/>
      <c r="X137" s="384">
        <f>X64</f>
        <v>1197.9359746958437</v>
      </c>
      <c r="Y137" s="380"/>
      <c r="Z137" s="384">
        <f>Z64</f>
        <v>1200</v>
      </c>
      <c r="AA137" s="380"/>
      <c r="AB137" s="384">
        <f>AB64</f>
        <v>1200</v>
      </c>
      <c r="AC137" s="380"/>
      <c r="AD137" s="384">
        <f>AD64</f>
        <v>1200</v>
      </c>
      <c r="AE137" s="380"/>
      <c r="AF137" s="224" t="e">
        <f>AF64</f>
        <v>#REF!</v>
      </c>
      <c r="AG137" s="628"/>
      <c r="AH137" s="180"/>
      <c r="AI137" s="224">
        <f>X137</f>
        <v>1197.9359746958437</v>
      </c>
      <c r="AJ137" s="180"/>
      <c r="AK137" s="224">
        <f>AI137</f>
        <v>1197.9359746958437</v>
      </c>
      <c r="AL137" s="380"/>
      <c r="AM137" s="384">
        <f>AM64</f>
        <v>1206.1471380087817</v>
      </c>
      <c r="AN137" s="380"/>
      <c r="AO137" s="384">
        <f>AO64</f>
        <v>1207</v>
      </c>
      <c r="AP137" s="380"/>
      <c r="AQ137" s="384">
        <f>AQ64</f>
        <v>1207</v>
      </c>
      <c r="AR137" s="380"/>
      <c r="AS137" s="384">
        <f>AS64</f>
        <v>1207</v>
      </c>
      <c r="AT137" s="380"/>
      <c r="AU137" s="224">
        <f>AR137</f>
        <v>0</v>
      </c>
      <c r="AV137" s="676"/>
      <c r="AW137" s="380"/>
      <c r="AX137" s="224">
        <f>AM137</f>
        <v>1206.1471380087817</v>
      </c>
      <c r="AY137" s="182"/>
      <c r="AZ137" s="224">
        <f>AM137</f>
        <v>1206.1471380087817</v>
      </c>
      <c r="BA137" s="380"/>
      <c r="BB137" s="384">
        <f>AZ137</f>
        <v>1206.1471380087817</v>
      </c>
      <c r="BC137" s="380"/>
      <c r="BD137" s="384">
        <f>AZ137</f>
        <v>1206.1471380087817</v>
      </c>
      <c r="BE137" s="380"/>
      <c r="BF137" s="384">
        <f>BB137</f>
        <v>1206.1471380087817</v>
      </c>
      <c r="BG137" s="380"/>
      <c r="BH137" s="384">
        <f>BB137</f>
        <v>1206.1471380087817</v>
      </c>
      <c r="BI137" s="380"/>
      <c r="BJ137" s="384">
        <f>BF137</f>
        <v>1206.1471380087817</v>
      </c>
      <c r="BK137" s="180"/>
      <c r="BL137" s="224">
        <f>BB137</f>
        <v>1206.1471380087817</v>
      </c>
      <c r="BM137" s="380"/>
      <c r="BN137" s="384">
        <f>BL137</f>
        <v>1206.1471380087817</v>
      </c>
      <c r="BO137" s="380"/>
      <c r="BP137" s="384">
        <f>BN137</f>
        <v>1206.1471380087817</v>
      </c>
      <c r="BQ137" s="380"/>
      <c r="BR137" s="384">
        <f>BN137</f>
        <v>1206.1471380087817</v>
      </c>
      <c r="BS137" s="180"/>
      <c r="BT137" s="224">
        <f>BN137</f>
        <v>1206.1471380087817</v>
      </c>
      <c r="BU137" s="380"/>
      <c r="BV137" s="384">
        <f>BT137</f>
        <v>1206.1471380087817</v>
      </c>
      <c r="BW137" s="380"/>
      <c r="BX137" s="384">
        <f>BV137</f>
        <v>1206.1471380087817</v>
      </c>
      <c r="BY137" s="380"/>
      <c r="BZ137" s="384">
        <f>BV137</f>
        <v>1206.1471380087817</v>
      </c>
      <c r="CA137" s="180"/>
      <c r="CB137" s="224">
        <f>BV137</f>
        <v>1206.1471380087817</v>
      </c>
      <c r="CC137" s="380"/>
      <c r="CD137" s="384">
        <f>CB137</f>
        <v>1206.1471380087817</v>
      </c>
      <c r="CE137" s="380"/>
      <c r="CF137" s="384">
        <f>CD137</f>
        <v>1206.1471380087817</v>
      </c>
      <c r="CG137" s="380"/>
      <c r="CH137" s="384">
        <f>CD137</f>
        <v>1206.1471380087817</v>
      </c>
      <c r="CI137" s="380"/>
      <c r="CJ137" s="384">
        <f>CP137</f>
        <v>1206.1471380087817</v>
      </c>
      <c r="CK137" s="380"/>
      <c r="CL137" s="384">
        <f>CJ137</f>
        <v>1206.1471380087817</v>
      </c>
      <c r="CM137" s="380"/>
      <c r="CN137" s="384">
        <f>CL137</f>
        <v>1206.1471380087817</v>
      </c>
      <c r="CO137" s="380"/>
      <c r="CP137" s="384">
        <f>CD137</f>
        <v>1206.1471380087817</v>
      </c>
      <c r="CR137" s="380"/>
      <c r="CS137" s="384">
        <f>CY137</f>
        <v>0</v>
      </c>
      <c r="CT137" s="380"/>
      <c r="CU137" s="384">
        <f>CS137</f>
        <v>0</v>
      </c>
      <c r="CV137" s="380"/>
      <c r="CW137" s="384">
        <f>CU137</f>
        <v>0</v>
      </c>
      <c r="CX137" s="380"/>
      <c r="CY137" s="384">
        <f>CM137</f>
        <v>0</v>
      </c>
      <c r="DA137" s="380"/>
      <c r="DB137" s="384">
        <f>DH137</f>
        <v>0</v>
      </c>
      <c r="DC137" s="380"/>
      <c r="DD137" s="384">
        <f>DB137</f>
        <v>0</v>
      </c>
      <c r="DE137" s="380"/>
      <c r="DF137" s="384">
        <f>DD137</f>
        <v>0</v>
      </c>
      <c r="DH137" s="380"/>
      <c r="DI137" s="384">
        <f>DO137</f>
        <v>0</v>
      </c>
      <c r="DJ137" s="380"/>
      <c r="DK137" s="384">
        <f>DI137</f>
        <v>0</v>
      </c>
      <c r="DL137" s="380"/>
      <c r="DM137" s="384">
        <f>DK137</f>
        <v>0</v>
      </c>
      <c r="DO137" s="380"/>
      <c r="DP137" s="384" t="e">
        <f>#REF!</f>
        <v>#REF!</v>
      </c>
      <c r="DQ137" s="380"/>
      <c r="DR137" s="384" t="e">
        <f>DP137</f>
        <v>#REF!</v>
      </c>
      <c r="DS137" s="380"/>
      <c r="DT137" s="384" t="e">
        <f>DR137</f>
        <v>#REF!</v>
      </c>
      <c r="DV137" s="380"/>
      <c r="DW137" s="384" t="e">
        <f>#REF!</f>
        <v>#REF!</v>
      </c>
      <c r="DX137" s="380"/>
      <c r="DY137" s="384" t="e">
        <f>DW137</f>
        <v>#REF!</v>
      </c>
      <c r="EA137" s="380"/>
      <c r="EB137" s="384" t="e">
        <f>#REF!</f>
        <v>#REF!</v>
      </c>
      <c r="ED137" s="380"/>
      <c r="EE137" s="384">
        <f>EC137</f>
        <v>0</v>
      </c>
      <c r="EG137" s="380"/>
      <c r="EH137" s="384">
        <f>EF137</f>
        <v>0</v>
      </c>
      <c r="EJ137" s="380"/>
      <c r="EK137" s="384" t="e">
        <f>#REF!</f>
        <v>#REF!</v>
      </c>
      <c r="EM137" s="380"/>
      <c r="EN137" s="384">
        <f>EL137</f>
        <v>0</v>
      </c>
      <c r="EP137" s="380"/>
      <c r="EQ137" s="384">
        <f>EO137</f>
        <v>0</v>
      </c>
      <c r="ER137" s="380"/>
      <c r="ES137" s="384" t="e">
        <f>#REF!</f>
        <v>#REF!</v>
      </c>
      <c r="EU137" s="380"/>
      <c r="EV137" s="384">
        <f>ET137</f>
        <v>0</v>
      </c>
      <c r="EX137" s="380"/>
      <c r="EY137" s="384" t="e">
        <f>#REF!</f>
        <v>#REF!</v>
      </c>
      <c r="EZ137" s="380"/>
      <c r="FA137" s="384" t="e">
        <f>EY137</f>
        <v>#REF!</v>
      </c>
      <c r="FB137" s="380"/>
      <c r="FC137" s="384" t="e">
        <f>FA137</f>
        <v>#REF!</v>
      </c>
    </row>
    <row r="138" spans="1:159" ht="15.75" customHeight="1" outlineLevel="3" x14ac:dyDescent="0.45">
      <c r="A138" s="561"/>
      <c r="B138" s="1187"/>
      <c r="C138" s="225" t="s">
        <v>130</v>
      </c>
      <c r="D138" s="162"/>
      <c r="E138" s="179"/>
      <c r="F138" s="180"/>
      <c r="G138" s="224">
        <v>750</v>
      </c>
      <c r="H138" s="180"/>
      <c r="I138" s="224">
        <v>750</v>
      </c>
      <c r="J138" s="380"/>
      <c r="K138" s="384">
        <v>750</v>
      </c>
      <c r="L138" s="380"/>
      <c r="M138" s="384">
        <v>750</v>
      </c>
      <c r="N138" s="380"/>
      <c r="O138" s="384">
        <v>750</v>
      </c>
      <c r="P138" s="380"/>
      <c r="Q138" s="384">
        <v>750</v>
      </c>
      <c r="R138" s="628"/>
      <c r="S138" s="180"/>
      <c r="T138" s="224">
        <v>750</v>
      </c>
      <c r="U138" s="180"/>
      <c r="V138" s="224">
        <v>750</v>
      </c>
      <c r="W138" s="380"/>
      <c r="X138" s="384">
        <v>750</v>
      </c>
      <c r="Y138" s="380"/>
      <c r="Z138" s="384">
        <v>750</v>
      </c>
      <c r="AA138" s="380"/>
      <c r="AB138" s="384">
        <v>750</v>
      </c>
      <c r="AC138" s="380"/>
      <c r="AD138" s="384">
        <v>750</v>
      </c>
      <c r="AE138" s="380"/>
      <c r="AF138" s="384">
        <v>750</v>
      </c>
      <c r="AG138" s="628"/>
      <c r="AH138" s="180"/>
      <c r="AI138" s="224">
        <v>750</v>
      </c>
      <c r="AJ138" s="180"/>
      <c r="AK138" s="224">
        <v>750</v>
      </c>
      <c r="AL138" s="380"/>
      <c r="AM138" s="384">
        <v>750</v>
      </c>
      <c r="AN138" s="380"/>
      <c r="AO138" s="384">
        <v>750</v>
      </c>
      <c r="AP138" s="380"/>
      <c r="AQ138" s="384">
        <v>750</v>
      </c>
      <c r="AR138" s="380"/>
      <c r="AS138" s="384">
        <v>750</v>
      </c>
      <c r="AT138" s="380"/>
      <c r="AU138" s="384">
        <v>750</v>
      </c>
      <c r="AV138" s="628"/>
      <c r="AW138" s="380"/>
      <c r="AX138" s="384">
        <v>750</v>
      </c>
      <c r="AY138" s="182"/>
      <c r="AZ138" s="224">
        <v>750</v>
      </c>
      <c r="BA138" s="380"/>
      <c r="BB138" s="384">
        <v>750</v>
      </c>
      <c r="BC138" s="380"/>
      <c r="BD138" s="384">
        <v>750</v>
      </c>
      <c r="BE138" s="380"/>
      <c r="BF138" s="384">
        <v>750</v>
      </c>
      <c r="BG138" s="380"/>
      <c r="BH138" s="384">
        <v>750</v>
      </c>
      <c r="BI138" s="380"/>
      <c r="BJ138" s="384">
        <v>750</v>
      </c>
      <c r="BK138" s="180"/>
      <c r="BL138" s="224">
        <v>750</v>
      </c>
      <c r="BM138" s="380"/>
      <c r="BN138" s="384">
        <v>750</v>
      </c>
      <c r="BO138" s="380"/>
      <c r="BP138" s="384">
        <v>750</v>
      </c>
      <c r="BQ138" s="380"/>
      <c r="BR138" s="384">
        <v>750</v>
      </c>
      <c r="BS138" s="180"/>
      <c r="BT138" s="224">
        <v>750</v>
      </c>
      <c r="BU138" s="380"/>
      <c r="BV138" s="384">
        <v>750</v>
      </c>
      <c r="BW138" s="380"/>
      <c r="BX138" s="384">
        <v>750</v>
      </c>
      <c r="BY138" s="380"/>
      <c r="BZ138" s="384">
        <v>750</v>
      </c>
      <c r="CA138" s="180"/>
      <c r="CB138" s="224">
        <v>750</v>
      </c>
      <c r="CC138" s="380"/>
      <c r="CD138" s="384">
        <v>750</v>
      </c>
      <c r="CE138" s="380"/>
      <c r="CF138" s="384">
        <v>750</v>
      </c>
      <c r="CG138" s="380"/>
      <c r="CH138" s="384">
        <v>750</v>
      </c>
      <c r="CI138" s="380"/>
      <c r="CJ138" s="384">
        <v>750</v>
      </c>
      <c r="CK138" s="380"/>
      <c r="CL138" s="384">
        <v>750</v>
      </c>
      <c r="CM138" s="380"/>
      <c r="CN138" s="384">
        <v>750</v>
      </c>
      <c r="CO138" s="380"/>
      <c r="CP138" s="384">
        <v>750</v>
      </c>
      <c r="CR138" s="380"/>
      <c r="CS138" s="384">
        <v>750</v>
      </c>
      <c r="CT138" s="380"/>
      <c r="CU138" s="384">
        <v>750</v>
      </c>
      <c r="CV138" s="380"/>
      <c r="CW138" s="384">
        <v>750</v>
      </c>
      <c r="CX138" s="380"/>
      <c r="CY138" s="384">
        <v>750</v>
      </c>
      <c r="DA138" s="380"/>
      <c r="DB138" s="384">
        <v>750</v>
      </c>
      <c r="DC138" s="380"/>
      <c r="DD138" s="384">
        <v>750</v>
      </c>
      <c r="DE138" s="380"/>
      <c r="DF138" s="384">
        <v>750</v>
      </c>
      <c r="DH138" s="380"/>
      <c r="DI138" s="384">
        <v>750</v>
      </c>
      <c r="DJ138" s="380"/>
      <c r="DK138" s="384">
        <v>750</v>
      </c>
      <c r="DL138" s="380"/>
      <c r="DM138" s="384">
        <v>750</v>
      </c>
      <c r="DO138" s="380"/>
      <c r="DP138" s="384">
        <v>750</v>
      </c>
      <c r="DQ138" s="380"/>
      <c r="DR138" s="384">
        <v>750</v>
      </c>
      <c r="DS138" s="380"/>
      <c r="DT138" s="384">
        <v>750</v>
      </c>
      <c r="DV138" s="380"/>
      <c r="DW138" s="384">
        <v>750</v>
      </c>
      <c r="DX138" s="380"/>
      <c r="DY138" s="384">
        <v>750</v>
      </c>
      <c r="EA138" s="380"/>
      <c r="EB138" s="384">
        <v>750</v>
      </c>
      <c r="ED138" s="380"/>
      <c r="EE138" s="384">
        <v>750</v>
      </c>
      <c r="EG138" s="380"/>
      <c r="EH138" s="384">
        <v>750</v>
      </c>
      <c r="EJ138" s="380"/>
      <c r="EK138" s="384">
        <v>750</v>
      </c>
      <c r="EM138" s="380"/>
      <c r="EN138" s="384">
        <v>750</v>
      </c>
      <c r="EP138" s="380"/>
      <c r="EQ138" s="384">
        <v>750</v>
      </c>
      <c r="ER138" s="380"/>
      <c r="ES138" s="384">
        <v>750</v>
      </c>
      <c r="EU138" s="380"/>
      <c r="EV138" s="384">
        <v>750</v>
      </c>
      <c r="EX138" s="380"/>
      <c r="EY138" s="384">
        <v>750</v>
      </c>
      <c r="EZ138" s="380"/>
      <c r="FA138" s="384">
        <v>750</v>
      </c>
      <c r="FB138" s="380"/>
      <c r="FC138" s="384">
        <v>750</v>
      </c>
    </row>
    <row r="139" spans="1:159" ht="15.75" customHeight="1" outlineLevel="3" x14ac:dyDescent="0.45">
      <c r="A139" s="561"/>
      <c r="B139" s="1187"/>
      <c r="C139" s="170"/>
      <c r="D139" s="162"/>
      <c r="E139" s="197"/>
      <c r="F139" s="164"/>
      <c r="G139" s="171"/>
      <c r="H139" s="164"/>
      <c r="I139" s="171"/>
      <c r="J139" s="359"/>
      <c r="K139" s="372"/>
      <c r="L139" s="359"/>
      <c r="M139" s="372"/>
      <c r="N139" s="359"/>
      <c r="O139" s="372"/>
      <c r="P139" s="359"/>
      <c r="Q139" s="372"/>
      <c r="R139" s="632"/>
      <c r="S139" s="164"/>
      <c r="T139" s="171"/>
      <c r="U139" s="164"/>
      <c r="V139" s="171"/>
      <c r="W139" s="359"/>
      <c r="X139" s="372"/>
      <c r="Y139" s="359"/>
      <c r="Z139" s="372"/>
      <c r="AA139" s="359"/>
      <c r="AB139" s="372"/>
      <c r="AC139" s="359"/>
      <c r="AD139" s="372"/>
      <c r="AE139" s="359"/>
      <c r="AF139" s="372"/>
      <c r="AG139" s="632"/>
      <c r="AH139" s="164"/>
      <c r="AI139" s="171"/>
      <c r="AJ139" s="164"/>
      <c r="AK139" s="171"/>
      <c r="AL139" s="359"/>
      <c r="AM139" s="372"/>
      <c r="AN139" s="359"/>
      <c r="AO139" s="372"/>
      <c r="AP139" s="359"/>
      <c r="AQ139" s="372"/>
      <c r="AR139" s="359"/>
      <c r="AS139" s="372"/>
      <c r="AT139" s="359"/>
      <c r="AU139" s="372"/>
      <c r="AV139" s="632"/>
      <c r="AW139" s="359"/>
      <c r="AX139" s="372"/>
      <c r="AY139" s="172"/>
      <c r="AZ139" s="171"/>
      <c r="BA139" s="359"/>
      <c r="BB139" s="372"/>
      <c r="BC139" s="359"/>
      <c r="BD139" s="372"/>
      <c r="BE139" s="359"/>
      <c r="BF139" s="372"/>
      <c r="BG139" s="359"/>
      <c r="BH139" s="372"/>
      <c r="BI139" s="359"/>
      <c r="BJ139" s="372"/>
      <c r="BK139" s="164"/>
      <c r="BL139" s="171"/>
      <c r="BM139" s="359"/>
      <c r="BN139" s="372"/>
      <c r="BO139" s="359"/>
      <c r="BP139" s="372"/>
      <c r="BQ139" s="359"/>
      <c r="BR139" s="372"/>
      <c r="BS139" s="164"/>
      <c r="BT139" s="171"/>
      <c r="BU139" s="359"/>
      <c r="BV139" s="372"/>
      <c r="BW139" s="359"/>
      <c r="BX139" s="372"/>
      <c r="BY139" s="359"/>
      <c r="BZ139" s="372"/>
      <c r="CA139" s="164"/>
      <c r="CB139" s="171"/>
      <c r="CC139" s="359"/>
      <c r="CD139" s="372"/>
      <c r="CE139" s="359"/>
      <c r="CF139" s="372"/>
      <c r="CG139" s="359"/>
      <c r="CH139" s="372"/>
      <c r="CI139" s="359"/>
      <c r="CJ139" s="372"/>
      <c r="CK139" s="359"/>
      <c r="CL139" s="372"/>
      <c r="CM139" s="359"/>
      <c r="CN139" s="372"/>
      <c r="CO139" s="359"/>
      <c r="CP139" s="372"/>
      <c r="CR139" s="359"/>
      <c r="CS139" s="372"/>
      <c r="CT139" s="359"/>
      <c r="CU139" s="372"/>
      <c r="CV139" s="359"/>
      <c r="CW139" s="372"/>
      <c r="CX139" s="359"/>
      <c r="CY139" s="372"/>
      <c r="DA139" s="359"/>
      <c r="DB139" s="372"/>
      <c r="DC139" s="359"/>
      <c r="DD139" s="372"/>
      <c r="DE139" s="359"/>
      <c r="DF139" s="372"/>
      <c r="DH139" s="359"/>
      <c r="DI139" s="372"/>
      <c r="DJ139" s="359"/>
      <c r="DK139" s="372"/>
      <c r="DL139" s="359"/>
      <c r="DM139" s="372"/>
      <c r="DO139" s="359"/>
      <c r="DP139" s="372"/>
      <c r="DQ139" s="359"/>
      <c r="DR139" s="372"/>
      <c r="DS139" s="359"/>
      <c r="DT139" s="372"/>
      <c r="DV139" s="359"/>
      <c r="DW139" s="372"/>
      <c r="DX139" s="359"/>
      <c r="DY139" s="372"/>
      <c r="EA139" s="359"/>
      <c r="EB139" s="372"/>
      <c r="ED139" s="359"/>
      <c r="EE139" s="372"/>
      <c r="EG139" s="359"/>
      <c r="EH139" s="372"/>
      <c r="EJ139" s="359"/>
      <c r="EK139" s="372"/>
      <c r="EM139" s="359"/>
      <c r="EN139" s="372"/>
      <c r="EP139" s="359"/>
      <c r="EQ139" s="372"/>
      <c r="ER139" s="359"/>
      <c r="ES139" s="372"/>
      <c r="EU139" s="359"/>
      <c r="EV139" s="372"/>
      <c r="EX139" s="359"/>
      <c r="EY139" s="372"/>
      <c r="EZ139" s="359"/>
      <c r="FA139" s="372"/>
      <c r="FB139" s="359"/>
      <c r="FC139" s="372"/>
    </row>
    <row r="140" spans="1:159" ht="15.75" customHeight="1" outlineLevel="3" x14ac:dyDescent="0.45">
      <c r="A140" s="561"/>
      <c r="B140" s="1187"/>
      <c r="C140" s="226" t="s">
        <v>131</v>
      </c>
      <c r="D140" s="227"/>
      <c r="E140" s="228" t="s">
        <v>132</v>
      </c>
      <c r="F140" s="229"/>
      <c r="G140" s="230">
        <f>G136-G135</f>
        <v>30</v>
      </c>
      <c r="H140" s="229"/>
      <c r="I140" s="230">
        <f>I136-I135</f>
        <v>50</v>
      </c>
      <c r="J140" s="229"/>
      <c r="K140" s="230">
        <f>K136-K135</f>
        <v>-17.461214788033885</v>
      </c>
      <c r="L140" s="229"/>
      <c r="M140" s="230">
        <f>M136-M135</f>
        <v>-209.43867171649185</v>
      </c>
      <c r="N140" s="229"/>
      <c r="O140" s="588">
        <f>O136-O135</f>
        <v>-600</v>
      </c>
      <c r="P140" s="229"/>
      <c r="Q140" s="588">
        <f>Q136-Q135</f>
        <v>-400</v>
      </c>
      <c r="R140" s="663"/>
      <c r="S140" s="229"/>
      <c r="T140" s="230">
        <f>T137-T135</f>
        <v>549.48311563378752</v>
      </c>
      <c r="U140" s="229"/>
      <c r="V140" s="230">
        <f>V137-V135</f>
        <v>49.48311563378752</v>
      </c>
      <c r="W140" s="229"/>
      <c r="X140" s="588">
        <f>X136-X135</f>
        <v>104.83922761696067</v>
      </c>
      <c r="Y140" s="229"/>
      <c r="Z140" s="588">
        <f>Z136-Z135</f>
        <v>-128.9990749554986</v>
      </c>
      <c r="AA140" s="229"/>
      <c r="AB140" s="588">
        <f>AB136-AB135</f>
        <v>-600</v>
      </c>
      <c r="AC140" s="229"/>
      <c r="AD140" s="588">
        <f>AD136-AD135</f>
        <v>-300</v>
      </c>
      <c r="AE140" s="229"/>
      <c r="AF140" s="230" t="e">
        <f>AF135-AF136</f>
        <v>#REF!</v>
      </c>
      <c r="AG140" s="663"/>
      <c r="AH140" s="229"/>
      <c r="AI140" s="230">
        <f>AI137-AI135</f>
        <v>477.9359746958437</v>
      </c>
      <c r="AJ140" s="229"/>
      <c r="AK140" s="230">
        <f>AK137-AK135</f>
        <v>47.935974695843697</v>
      </c>
      <c r="AL140" s="229"/>
      <c r="AM140" s="588">
        <f>'Pricing Structure - IHAG'!DE141</f>
        <v>37.852861991218333</v>
      </c>
      <c r="AN140" s="229"/>
      <c r="AO140" s="588">
        <f>AO136-AO135</f>
        <v>-171.55462657691623</v>
      </c>
      <c r="AP140" s="229"/>
      <c r="AQ140" s="588">
        <f>AQ136-AQ135</f>
        <v>-607</v>
      </c>
      <c r="AR140" s="229"/>
      <c r="AS140" s="588">
        <f>AS136-AS135</f>
        <v>-307</v>
      </c>
      <c r="AT140" s="229"/>
      <c r="AU140" s="230" t="e">
        <f>AU135-AU136</f>
        <v>#REF!</v>
      </c>
      <c r="AV140" s="663"/>
      <c r="AW140" s="229"/>
      <c r="AX140" s="230">
        <f>AX136-AX135</f>
        <v>-25.757718598584916</v>
      </c>
      <c r="AY140" s="299"/>
      <c r="AZ140" s="230">
        <f>AZ137-AZ135</f>
        <v>56.147138008781667</v>
      </c>
      <c r="BA140" s="229"/>
      <c r="BB140" s="230">
        <f>BB137-BB135</f>
        <v>6.1471380087816669</v>
      </c>
      <c r="BC140" s="229"/>
      <c r="BD140" s="230">
        <f>BD136-BD135</f>
        <v>-167.66237048268908</v>
      </c>
      <c r="BE140" s="229"/>
      <c r="BF140" s="230">
        <f>BF136-BF135</f>
        <v>-250</v>
      </c>
      <c r="BG140" s="229"/>
      <c r="BH140" s="230">
        <f>BH135-BH136</f>
        <v>300</v>
      </c>
      <c r="BI140" s="229"/>
      <c r="BJ140" s="230">
        <f>BJ135-BJ136</f>
        <v>300</v>
      </c>
      <c r="BK140" s="229"/>
      <c r="BL140" s="230">
        <f>BL137-BL135</f>
        <v>6.1471380087816669</v>
      </c>
      <c r="BM140" s="229"/>
      <c r="BN140" s="230">
        <f>BN137-BN135</f>
        <v>6.1471380087816669</v>
      </c>
      <c r="BO140" s="229"/>
      <c r="BP140" s="230">
        <f>BP136-BP135</f>
        <v>-300</v>
      </c>
      <c r="BQ140" s="229"/>
      <c r="BR140" s="230">
        <f>BR135-BR136</f>
        <v>300</v>
      </c>
      <c r="BS140" s="229"/>
      <c r="BT140" s="230">
        <f>BT137-BT135</f>
        <v>6.1471380087816669</v>
      </c>
      <c r="BU140" s="229"/>
      <c r="BV140" s="230">
        <f>BV137-BV135</f>
        <v>6.1471380087816669</v>
      </c>
      <c r="BW140" s="229"/>
      <c r="BX140" s="230">
        <f>BX136-BX135</f>
        <v>-300</v>
      </c>
      <c r="BY140" s="229"/>
      <c r="BZ140" s="230">
        <f>BZ135-BZ136</f>
        <v>300</v>
      </c>
      <c r="CA140" s="229"/>
      <c r="CB140" s="230">
        <f>CB137-CB135</f>
        <v>6.1471380087816669</v>
      </c>
      <c r="CC140" s="229"/>
      <c r="CD140" s="230">
        <f>CD137-CD135</f>
        <v>6.1471380087816669</v>
      </c>
      <c r="CE140" s="229"/>
      <c r="CF140" s="230">
        <f>CF136-CF135</f>
        <v>-300</v>
      </c>
      <c r="CG140" s="229"/>
      <c r="CH140" s="230">
        <f>CH135-CH136</f>
        <v>300</v>
      </c>
      <c r="CI140" s="229"/>
      <c r="CJ140" s="230">
        <f>CJ136-CJ135</f>
        <v>-1140</v>
      </c>
      <c r="CK140" s="229"/>
      <c r="CL140" s="230">
        <f>CL136-CL135</f>
        <v>-1140</v>
      </c>
      <c r="CM140" s="229"/>
      <c r="CN140" s="230">
        <f>CN136-CN135</f>
        <v>-1140</v>
      </c>
      <c r="CO140" s="229"/>
      <c r="CP140" s="230">
        <f>CP137-CP135</f>
        <v>6.1471380087816669</v>
      </c>
      <c r="CR140" s="229"/>
      <c r="CS140" s="230">
        <f>CS136-CS135</f>
        <v>-1140</v>
      </c>
      <c r="CT140" s="229"/>
      <c r="CU140" s="230">
        <f>CU136-CU135</f>
        <v>-1140</v>
      </c>
      <c r="CV140" s="229"/>
      <c r="CW140" s="230">
        <f>CW136-CW135</f>
        <v>-1140</v>
      </c>
      <c r="CX140" s="229"/>
      <c r="CY140" s="230">
        <f>CY137-CY135</f>
        <v>-1200</v>
      </c>
      <c r="DA140" s="229"/>
      <c r="DB140" s="230">
        <f>DB136-DB135</f>
        <v>-1145</v>
      </c>
      <c r="DC140" s="229"/>
      <c r="DD140" s="230">
        <f>DD136-DD135</f>
        <v>-1145</v>
      </c>
      <c r="DE140" s="229"/>
      <c r="DF140" s="230">
        <f>DF136-DF135</f>
        <v>-1145</v>
      </c>
      <c r="DH140" s="229"/>
      <c r="DI140" s="230">
        <f>DI136-DI135</f>
        <v>-1124</v>
      </c>
      <c r="DJ140" s="229"/>
      <c r="DK140" s="230">
        <f>DK136-DK135</f>
        <v>-1124</v>
      </c>
      <c r="DL140" s="229"/>
      <c r="DM140" s="230">
        <f>DM136-DM135</f>
        <v>-1124</v>
      </c>
      <c r="DO140" s="229"/>
      <c r="DP140" s="230">
        <f>DP136-DP135</f>
        <v>-1151</v>
      </c>
      <c r="DQ140" s="229"/>
      <c r="DR140" s="230">
        <f>DR136-DR135</f>
        <v>-1151</v>
      </c>
      <c r="DS140" s="229"/>
      <c r="DT140" s="230">
        <f>DT136-DT135</f>
        <v>-1151</v>
      </c>
      <c r="DV140" s="229"/>
      <c r="DW140" s="230">
        <f>DW136-DW135</f>
        <v>-1140</v>
      </c>
      <c r="DX140" s="229"/>
      <c r="DY140" s="230">
        <f>DY136-DY135</f>
        <v>-1140</v>
      </c>
      <c r="EA140" s="229"/>
      <c r="EB140" s="230">
        <f>EB136-EB135</f>
        <v>-1188</v>
      </c>
      <c r="ED140" s="229"/>
      <c r="EE140" s="230">
        <f>EE136-EE135</f>
        <v>-904.69527896995714</v>
      </c>
      <c r="EG140" s="229"/>
      <c r="EH140" s="230">
        <f>EH136-EH135</f>
        <v>-988</v>
      </c>
      <c r="EJ140" s="229"/>
      <c r="EK140" s="230">
        <f>EK136-EK135</f>
        <v>-1151</v>
      </c>
      <c r="EM140" s="229"/>
      <c r="EN140" s="230">
        <f>EN136-EN135</f>
        <v>-1138.2432432432433</v>
      </c>
      <c r="EP140" s="229"/>
      <c r="EQ140" s="230">
        <f>EQ136-EQ135</f>
        <v>-1185</v>
      </c>
      <c r="ER140" s="229"/>
      <c r="ES140" s="230">
        <f>ES136-ES135</f>
        <v>-1185</v>
      </c>
      <c r="EU140" s="229"/>
      <c r="EV140" s="230">
        <f>EV136-EV135</f>
        <v>-1193</v>
      </c>
      <c r="EX140" s="229"/>
      <c r="EY140" s="230">
        <f>EY136-EY135</f>
        <v>-550</v>
      </c>
      <c r="EZ140" s="229"/>
      <c r="FA140" s="230">
        <f>FA136-FA135</f>
        <v>-550</v>
      </c>
      <c r="FB140" s="229"/>
      <c r="FC140" s="230">
        <f>FC136-FC135</f>
        <v>-550</v>
      </c>
    </row>
    <row r="141" spans="1:159" ht="15.75" customHeight="1" outlineLevel="3" x14ac:dyDescent="0.45">
      <c r="A141" s="561"/>
      <c r="B141" s="1187"/>
      <c r="C141" s="232"/>
      <c r="D141" s="227"/>
      <c r="E141" s="228" t="s">
        <v>133</v>
      </c>
      <c r="F141" s="229"/>
      <c r="G141" s="230">
        <f>G140*G130</f>
        <v>8649.2820247933887</v>
      </c>
      <c r="H141" s="229"/>
      <c r="I141" s="230">
        <f>I140*I130</f>
        <v>14415.470041322315</v>
      </c>
      <c r="J141" s="229"/>
      <c r="K141" s="588">
        <f>K140*K133</f>
        <v>-4507.8254511822897</v>
      </c>
      <c r="L141" s="229"/>
      <c r="M141" s="588">
        <f>M140*M133</f>
        <v>-12684.940914320676</v>
      </c>
      <c r="N141" s="229"/>
      <c r="O141" s="588">
        <f>O140*O133</f>
        <v>-65291.528925619838</v>
      </c>
      <c r="P141" s="229"/>
      <c r="Q141" s="588">
        <f>Q140*Q133</f>
        <v>-187325.53719008266</v>
      </c>
      <c r="R141" s="664"/>
      <c r="S141" s="229"/>
      <c r="T141" s="230">
        <f>T140*T130</f>
        <v>40412.559963960353</v>
      </c>
      <c r="U141" s="229"/>
      <c r="V141" s="230">
        <f>V140*V130</f>
        <v>3639.3099639603538</v>
      </c>
      <c r="W141" s="229"/>
      <c r="X141" s="588">
        <f>X140*X133</f>
        <v>7858.3120330689244</v>
      </c>
      <c r="Y141" s="229"/>
      <c r="Z141" s="588">
        <f>Z140*Z133</f>
        <v>-3322.2925500096267</v>
      </c>
      <c r="AA141" s="229"/>
      <c r="AB141" s="588">
        <f>AB140*AB133</f>
        <v>-16425.619834710742</v>
      </c>
      <c r="AC141" s="229"/>
      <c r="AD141" s="588">
        <f>AD140*AD133</f>
        <v>-48265.318310950417</v>
      </c>
      <c r="AE141" s="229"/>
      <c r="AF141" s="588" t="e">
        <f>AF140*AF133</f>
        <v>#REF!</v>
      </c>
      <c r="AG141" s="664"/>
      <c r="AH141" s="229"/>
      <c r="AI141" s="230">
        <f>AI140*AI130</f>
        <v>121609.1258882071</v>
      </c>
      <c r="AJ141" s="229"/>
      <c r="AK141" s="230">
        <f>AK140*AK130</f>
        <v>12197.139972714134</v>
      </c>
      <c r="AL141" s="229"/>
      <c r="AM141" s="588">
        <f>'Pricing Structure - IHAG'!DE142</f>
        <v>9453.650985915534</v>
      </c>
      <c r="AN141" s="229"/>
      <c r="AO141" s="588">
        <f>AO140*AO133</f>
        <v>-15397.873427099386</v>
      </c>
      <c r="AP141" s="229"/>
      <c r="AQ141" s="588">
        <f>AQ140*AQ133</f>
        <v>-69539.971830985916</v>
      </c>
      <c r="AR141" s="229"/>
      <c r="AS141" s="588">
        <f>AS140*AS133</f>
        <v>-35170.957746478874</v>
      </c>
      <c r="AT141" s="229"/>
      <c r="AU141" s="588" t="e">
        <f>AU140*AU133</f>
        <v>#REF!</v>
      </c>
      <c r="AV141" s="664"/>
      <c r="AW141" s="229"/>
      <c r="AX141" s="588">
        <f>AX140*AX133</f>
        <v>-11641.98090788379</v>
      </c>
      <c r="AY141" s="299"/>
      <c r="AZ141" s="230">
        <f>AZ140*AZ130</f>
        <v>154.76714978505339</v>
      </c>
      <c r="BA141" s="229"/>
      <c r="BB141" s="588">
        <f>BB140*BB133</f>
        <v>2.5401396730502759</v>
      </c>
      <c r="BC141" s="229"/>
      <c r="BD141" s="588">
        <f>BD140*BD133</f>
        <v>-71.490334108192073</v>
      </c>
      <c r="BE141" s="229"/>
      <c r="BF141" s="588">
        <f>BF140*BF133</f>
        <v>0</v>
      </c>
      <c r="BG141" s="229"/>
      <c r="BH141" s="588">
        <f>BH140*BH133</f>
        <v>309.91735537190078</v>
      </c>
      <c r="BI141" s="229"/>
      <c r="BJ141" s="588">
        <f>BJ140*BJ133</f>
        <v>0</v>
      </c>
      <c r="BK141" s="229"/>
      <c r="BL141" s="230">
        <f>BL140*BL130</f>
        <v>19.923446692024953</v>
      </c>
      <c r="BM141" s="229"/>
      <c r="BN141" s="588">
        <f>BN140*BN133</f>
        <v>6.4582279889831691</v>
      </c>
      <c r="BO141" s="229"/>
      <c r="BP141" s="588">
        <f>BP140*BP133</f>
        <v>-368.25910931174087</v>
      </c>
      <c r="BQ141" s="229"/>
      <c r="BR141" s="588">
        <f>BR140*BR133</f>
        <v>0</v>
      </c>
      <c r="BS141" s="229"/>
      <c r="BT141" s="230">
        <f>BT140*BT130</f>
        <v>44.135170249300536</v>
      </c>
      <c r="BU141" s="229"/>
      <c r="BV141" s="588">
        <f>BV140*BV133</f>
        <v>18.454220563863295</v>
      </c>
      <c r="BW141" s="229"/>
      <c r="BX141" s="588">
        <f>BX140*BX133</f>
        <v>-839.0625</v>
      </c>
      <c r="BY141" s="229"/>
      <c r="BZ141" s="588">
        <f>BZ140*BZ133</f>
        <v>0</v>
      </c>
      <c r="CA141" s="229"/>
      <c r="CB141" s="230">
        <f>CB140*CB130</f>
        <v>31.30173900221698</v>
      </c>
      <c r="CC141" s="229"/>
      <c r="CD141" s="588">
        <f>CD140*CD133</f>
        <v>12.214875484949903</v>
      </c>
      <c r="CE141" s="229"/>
      <c r="CF141" s="588">
        <f>CF140*CF133</f>
        <v>-487.5</v>
      </c>
      <c r="CG141" s="229"/>
      <c r="CH141" s="588">
        <f>CH140*CH133</f>
        <v>0</v>
      </c>
      <c r="CI141" s="229"/>
      <c r="CJ141" s="588">
        <f>CJ140*CJ133</f>
        <v>0</v>
      </c>
      <c r="CK141" s="229"/>
      <c r="CL141" s="588">
        <f>CL140*CL133</f>
        <v>0</v>
      </c>
      <c r="CM141" s="229"/>
      <c r="CN141" s="588">
        <f>CN140*CN133</f>
        <v>0</v>
      </c>
      <c r="CO141" s="229"/>
      <c r="CP141" s="588">
        <f>CP140*CP133</f>
        <v>0</v>
      </c>
      <c r="CR141" s="229"/>
      <c r="CS141" s="588">
        <f>CS140*CS133</f>
        <v>0</v>
      </c>
      <c r="CT141" s="229"/>
      <c r="CU141" s="588">
        <f>CU140*CU133</f>
        <v>0</v>
      </c>
      <c r="CV141" s="229"/>
      <c r="CW141" s="588">
        <f>CW140*CW133</f>
        <v>0</v>
      </c>
      <c r="CX141" s="229"/>
      <c r="CY141" s="588">
        <f>CY140*CY133</f>
        <v>0</v>
      </c>
      <c r="DA141" s="229"/>
      <c r="DB141" s="588">
        <f>DB140*DB133</f>
        <v>0</v>
      </c>
      <c r="DC141" s="229"/>
      <c r="DD141" s="588">
        <f>DD140*DD133</f>
        <v>0</v>
      </c>
      <c r="DE141" s="229"/>
      <c r="DF141" s="588">
        <f>DF140*DF133</f>
        <v>0</v>
      </c>
      <c r="DH141" s="229"/>
      <c r="DI141" s="588">
        <f>DI140*DI133</f>
        <v>0</v>
      </c>
      <c r="DJ141" s="229"/>
      <c r="DK141" s="588">
        <f>DK140*DK133</f>
        <v>0</v>
      </c>
      <c r="DL141" s="229"/>
      <c r="DM141" s="588">
        <f>DM140*DM133</f>
        <v>0</v>
      </c>
      <c r="DO141" s="229"/>
      <c r="DP141" s="588">
        <f>DP140*DP133</f>
        <v>0</v>
      </c>
      <c r="DQ141" s="229"/>
      <c r="DR141" s="588">
        <f>DR140*DR133</f>
        <v>0</v>
      </c>
      <c r="DS141" s="229"/>
      <c r="DT141" s="588">
        <f>DT140*DT133</f>
        <v>0</v>
      </c>
      <c r="DV141" s="229"/>
      <c r="DW141" s="588">
        <f>DW140*DW133</f>
        <v>0</v>
      </c>
      <c r="DX141" s="229"/>
      <c r="DY141" s="588">
        <f>DY140*DY133</f>
        <v>0</v>
      </c>
      <c r="EA141" s="229"/>
      <c r="EB141" s="588">
        <f>EB140*EB133</f>
        <v>0</v>
      </c>
      <c r="ED141" s="229"/>
      <c r="EE141" s="588">
        <f>EE140*EE133</f>
        <v>0</v>
      </c>
      <c r="EG141" s="229"/>
      <c r="EH141" s="588">
        <f>EH140*EH133</f>
        <v>0</v>
      </c>
      <c r="EJ141" s="229"/>
      <c r="EK141" s="588">
        <f>EK140*EK133</f>
        <v>0</v>
      </c>
      <c r="EM141" s="229"/>
      <c r="EN141" s="588">
        <f>EN140*EN133</f>
        <v>0</v>
      </c>
      <c r="EP141" s="229"/>
      <c r="EQ141" s="588">
        <f>EQ140*EQ133</f>
        <v>0</v>
      </c>
      <c r="ER141" s="229"/>
      <c r="ES141" s="588">
        <f>ES140*ES133</f>
        <v>0</v>
      </c>
      <c r="EU141" s="229"/>
      <c r="EV141" s="588">
        <f>EV140*EV133</f>
        <v>0</v>
      </c>
      <c r="EX141" s="229"/>
      <c r="EY141" s="588">
        <f>EY140*EY133</f>
        <v>0</v>
      </c>
      <c r="EZ141" s="229"/>
      <c r="FA141" s="588">
        <f>FA140*FA133</f>
        <v>0</v>
      </c>
      <c r="FB141" s="229"/>
      <c r="FC141" s="588">
        <f>FC140*FC133</f>
        <v>0</v>
      </c>
    </row>
    <row r="142" spans="1:159" ht="15.75" customHeight="1" outlineLevel="2" x14ac:dyDescent="0.45">
      <c r="A142" s="561"/>
      <c r="B142" s="1187"/>
      <c r="C142" s="233"/>
      <c r="D142" s="234"/>
      <c r="E142" s="234"/>
      <c r="F142" s="235"/>
      <c r="G142" s="236"/>
      <c r="H142" s="235"/>
      <c r="I142" s="236"/>
      <c r="J142" s="381"/>
      <c r="K142" s="385"/>
      <c r="L142" s="381"/>
      <c r="M142" s="385"/>
      <c r="N142" s="381"/>
      <c r="O142" s="385"/>
      <c r="P142" s="381"/>
      <c r="Q142" s="385"/>
      <c r="R142" s="665"/>
      <c r="S142" s="235"/>
      <c r="T142" s="236"/>
      <c r="U142" s="235"/>
      <c r="V142" s="236"/>
      <c r="W142" s="381"/>
      <c r="X142" s="385"/>
      <c r="Y142" s="381"/>
      <c r="Z142" s="385"/>
      <c r="AA142" s="381"/>
      <c r="AB142" s="385"/>
      <c r="AC142" s="381"/>
      <c r="AD142" s="385"/>
      <c r="AE142" s="381"/>
      <c r="AF142" s="385"/>
      <c r="AG142" s="665"/>
      <c r="AH142" s="235"/>
      <c r="AI142" s="236"/>
      <c r="AJ142" s="235"/>
      <c r="AK142" s="236"/>
      <c r="AL142" s="381"/>
      <c r="AM142" s="385"/>
      <c r="AN142" s="381"/>
      <c r="AO142" s="385"/>
      <c r="AP142" s="381"/>
      <c r="AQ142" s="385"/>
      <c r="AR142" s="381"/>
      <c r="AS142" s="385"/>
      <c r="AT142" s="381"/>
      <c r="AU142" s="385"/>
      <c r="AV142" s="665"/>
      <c r="AW142" s="381"/>
      <c r="AX142" s="385"/>
      <c r="AY142" s="234"/>
      <c r="AZ142" s="236"/>
      <c r="BA142" s="381"/>
      <c r="BB142" s="385"/>
      <c r="BC142" s="381"/>
      <c r="BD142" s="385"/>
      <c r="BE142" s="381"/>
      <c r="BF142" s="385"/>
      <c r="BG142" s="381"/>
      <c r="BH142" s="385"/>
      <c r="BI142" s="381"/>
      <c r="BJ142" s="385"/>
      <c r="BK142" s="235"/>
      <c r="BL142" s="236"/>
      <c r="BM142" s="381"/>
      <c r="BN142" s="385"/>
      <c r="BO142" s="381"/>
      <c r="BP142" s="385"/>
      <c r="BQ142" s="381"/>
      <c r="BR142" s="385"/>
      <c r="BS142" s="235"/>
      <c r="BT142" s="236"/>
      <c r="BU142" s="381"/>
      <c r="BV142" s="385"/>
      <c r="BW142" s="381"/>
      <c r="BX142" s="385"/>
      <c r="BY142" s="381"/>
      <c r="BZ142" s="385"/>
      <c r="CA142" s="235"/>
      <c r="CB142" s="236"/>
      <c r="CC142" s="381"/>
      <c r="CD142" s="385"/>
      <c r="CE142" s="381"/>
      <c r="CF142" s="385"/>
      <c r="CG142" s="381"/>
      <c r="CH142" s="385"/>
      <c r="CI142" s="381"/>
      <c r="CJ142" s="385"/>
      <c r="CK142" s="381"/>
      <c r="CL142" s="385"/>
      <c r="CM142" s="381"/>
      <c r="CN142" s="385"/>
      <c r="CO142" s="381"/>
      <c r="CP142" s="385"/>
      <c r="CR142" s="381"/>
      <c r="CS142" s="385"/>
      <c r="CT142" s="381"/>
      <c r="CU142" s="385"/>
      <c r="CV142" s="381"/>
      <c r="CW142" s="385"/>
      <c r="CX142" s="381"/>
      <c r="CY142" s="385"/>
      <c r="DA142" s="381"/>
      <c r="DB142" s="385"/>
      <c r="DC142" s="381"/>
      <c r="DD142" s="385"/>
      <c r="DE142" s="381"/>
      <c r="DF142" s="385"/>
      <c r="DH142" s="381"/>
      <c r="DI142" s="385"/>
      <c r="DJ142" s="381"/>
      <c r="DK142" s="385"/>
      <c r="DL142" s="381"/>
      <c r="DM142" s="385"/>
      <c r="DO142" s="381"/>
      <c r="DP142" s="385"/>
      <c r="DQ142" s="381"/>
      <c r="DR142" s="385"/>
      <c r="DS142" s="381"/>
      <c r="DT142" s="385"/>
      <c r="DV142" s="381"/>
      <c r="DW142" s="385"/>
      <c r="DX142" s="381"/>
      <c r="DY142" s="385"/>
      <c r="EA142" s="381"/>
      <c r="EB142" s="385"/>
      <c r="ED142" s="381"/>
      <c r="EE142" s="385"/>
      <c r="EG142" s="381"/>
      <c r="EH142" s="385"/>
      <c r="EJ142" s="381"/>
      <c r="EK142" s="385"/>
      <c r="EM142" s="381"/>
      <c r="EN142" s="385"/>
      <c r="EP142" s="381"/>
      <c r="EQ142" s="385"/>
      <c r="ER142" s="381"/>
      <c r="ES142" s="385"/>
      <c r="EU142" s="381"/>
      <c r="EV142" s="385"/>
      <c r="EX142" s="381"/>
      <c r="EY142" s="385"/>
      <c r="EZ142" s="381"/>
      <c r="FA142" s="385"/>
      <c r="FB142" s="381"/>
      <c r="FC142" s="385"/>
    </row>
    <row r="143" spans="1:159" ht="16.5" customHeight="1" outlineLevel="2" thickBot="1" x14ac:dyDescent="0.5">
      <c r="A143" s="561"/>
      <c r="B143" s="1188"/>
      <c r="C143" s="301" t="s">
        <v>391</v>
      </c>
      <c r="D143" s="302"/>
      <c r="E143" s="303"/>
      <c r="F143" s="304"/>
      <c r="G143" s="305">
        <f>G98*G129</f>
        <v>386126.73909657937</v>
      </c>
      <c r="H143" s="304"/>
      <c r="I143" s="305">
        <f>I98*I129</f>
        <v>438220.39504419023</v>
      </c>
      <c r="J143" s="304"/>
      <c r="K143" s="305">
        <f>K98*K132</f>
        <v>57787.221432518476</v>
      </c>
      <c r="L143" s="304"/>
      <c r="M143" s="305">
        <f>M98*M132</f>
        <v>123072.27051163428</v>
      </c>
      <c r="N143" s="304"/>
      <c r="O143" s="305">
        <f>O98*O132</f>
        <v>98448.267495243868</v>
      </c>
      <c r="P143" s="304"/>
      <c r="Q143" s="305">
        <f>Q98*Q132</f>
        <v>505854.95333503088</v>
      </c>
      <c r="R143" s="666"/>
      <c r="S143" s="304"/>
      <c r="T143" s="305">
        <f>T98*T129</f>
        <v>25824.366255210549</v>
      </c>
      <c r="U143" s="304"/>
      <c r="V143" s="305">
        <f>V98*V129</f>
        <v>75700.169300535024</v>
      </c>
      <c r="W143" s="304"/>
      <c r="X143" s="305">
        <f>X98*X132</f>
        <v>36997.513028932903</v>
      </c>
      <c r="Y143" s="304"/>
      <c r="Z143" s="305">
        <f>Z98*Z132</f>
        <v>61675.542064039262</v>
      </c>
      <c r="AA143" s="304"/>
      <c r="AB143" s="305">
        <f>AB98*AB132</f>
        <v>36193.661254179766</v>
      </c>
      <c r="AC143" s="304"/>
      <c r="AD143" s="305">
        <f>AD98*AD132</f>
        <v>81379.560830056798</v>
      </c>
      <c r="AE143" s="304"/>
      <c r="AF143" s="305" t="e">
        <f>AF98*AF132+AF141</f>
        <v>#REF!</v>
      </c>
      <c r="AG143" s="666"/>
      <c r="AH143" s="304"/>
      <c r="AI143" s="305">
        <f>AI98*AI129</f>
        <v>165033.28875696589</v>
      </c>
      <c r="AJ143" s="304"/>
      <c r="AK143" s="305">
        <f>AK98*AK129</f>
        <v>39965.81976318801</v>
      </c>
      <c r="AL143" s="304"/>
      <c r="AM143" s="305">
        <f>AM98*AM132</f>
        <v>-104373.40027080361</v>
      </c>
      <c r="AN143" s="304"/>
      <c r="AO143" s="305">
        <f>AO98*AO132</f>
        <v>-26002.424128969014</v>
      </c>
      <c r="AP143" s="304"/>
      <c r="AQ143" s="305">
        <f>AQ98*AQ132</f>
        <v>233139.33816059111</v>
      </c>
      <c r="AR143" s="304"/>
      <c r="AS143" s="305">
        <f>AS98*AS132</f>
        <v>65126.210863799279</v>
      </c>
      <c r="AT143" s="304"/>
      <c r="AU143" s="305" t="e">
        <f>AU98*AU132+AU141</f>
        <v>#REF!</v>
      </c>
      <c r="AV143" s="666"/>
      <c r="AW143" s="304"/>
      <c r="AX143" s="305">
        <f>AX98*AX132</f>
        <v>-344503.35977644328</v>
      </c>
      <c r="AY143" s="300"/>
      <c r="AZ143" s="242">
        <f>AZ98*AZ129</f>
        <v>11769.88140925669</v>
      </c>
      <c r="BA143" s="304"/>
      <c r="BB143" s="305">
        <f>BB98*BB132</f>
        <v>1519.4043044098307</v>
      </c>
      <c r="BC143" s="304"/>
      <c r="BD143" s="305">
        <f>BD98*BD132</f>
        <v>1714.6922727196772</v>
      </c>
      <c r="BE143" s="304"/>
      <c r="BF143" s="305">
        <f>BF98*BF132</f>
        <v>0</v>
      </c>
      <c r="BG143" s="304"/>
      <c r="BH143" s="305">
        <f>BH98*BH132+BH141</f>
        <v>3702.9026133571579</v>
      </c>
      <c r="BI143" s="304"/>
      <c r="BJ143" s="305">
        <f>BJ98*BJ132+BJ141</f>
        <v>0</v>
      </c>
      <c r="BK143" s="241"/>
      <c r="BL143" s="242">
        <f>BL98*BL129</f>
        <v>13406.123958981521</v>
      </c>
      <c r="BM143" s="304"/>
      <c r="BN143" s="305">
        <f>BN98*BN132</f>
        <v>3979.9737219790877</v>
      </c>
      <c r="BO143" s="304"/>
      <c r="BP143" s="305">
        <f>BP98*BP132</f>
        <v>4655.9087052188015</v>
      </c>
      <c r="BQ143" s="304"/>
      <c r="BR143" s="305">
        <f>BR98*BR132+BR141</f>
        <v>0</v>
      </c>
      <c r="BS143" s="241"/>
      <c r="BT143" s="242">
        <f>BT98*BT129</f>
        <v>7514.5414491430256</v>
      </c>
      <c r="BU143" s="304"/>
      <c r="BV143" s="305">
        <f>BV98*BV132</f>
        <v>2948.0518123501115</v>
      </c>
      <c r="BW143" s="304"/>
      <c r="BX143" s="305">
        <f>BX98*BX132</f>
        <v>2754.6723096572973</v>
      </c>
      <c r="BY143" s="304"/>
      <c r="BZ143" s="305">
        <f>BZ98*BZ132+BZ141</f>
        <v>0</v>
      </c>
      <c r="CA143" s="241"/>
      <c r="CB143" s="242">
        <f>CB98*CB129</f>
        <v>1165.1698362772654</v>
      </c>
      <c r="CC143" s="304"/>
      <c r="CD143" s="305">
        <f>CD98*CD132</f>
        <v>2218.3518710702861</v>
      </c>
      <c r="CE143" s="304"/>
      <c r="CF143" s="305">
        <f>CF98*CF132</f>
        <v>929.34910444143964</v>
      </c>
      <c r="CG143" s="304"/>
      <c r="CH143" s="305">
        <f>CH98*CH132+CH141</f>
        <v>0</v>
      </c>
      <c r="CI143" s="304"/>
      <c r="CJ143" s="305">
        <f>CJ98*CJ132</f>
        <v>0</v>
      </c>
      <c r="CK143" s="304"/>
      <c r="CL143" s="305">
        <f>CL98*CL132</f>
        <v>0</v>
      </c>
      <c r="CM143" s="304"/>
      <c r="CN143" s="305">
        <f>CN98*CN132</f>
        <v>0</v>
      </c>
      <c r="CO143" s="304"/>
      <c r="CP143" s="305">
        <f>CP98*CP132</f>
        <v>0</v>
      </c>
      <c r="CR143" s="304"/>
      <c r="CS143" s="305">
        <f>CS98*CS132</f>
        <v>0</v>
      </c>
      <c r="CT143" s="304"/>
      <c r="CU143" s="305">
        <f>CU98*CU132</f>
        <v>0</v>
      </c>
      <c r="CV143" s="304"/>
      <c r="CW143" s="305">
        <f>CW98*CW132</f>
        <v>0</v>
      </c>
      <c r="CX143" s="304"/>
      <c r="CY143" s="305">
        <f>CY98*CY132</f>
        <v>0</v>
      </c>
      <c r="DA143" s="304"/>
      <c r="DB143" s="305">
        <f>DB98*DB132</f>
        <v>0</v>
      </c>
      <c r="DC143" s="304"/>
      <c r="DD143" s="305">
        <f>DD98*DD132</f>
        <v>0</v>
      </c>
      <c r="DE143" s="304"/>
      <c r="DF143" s="305">
        <f>DF98*DF132</f>
        <v>0</v>
      </c>
      <c r="DH143" s="304"/>
      <c r="DI143" s="305">
        <f>DI98*DI132</f>
        <v>0</v>
      </c>
      <c r="DJ143" s="304"/>
      <c r="DK143" s="305">
        <f>DK98*DK132</f>
        <v>0</v>
      </c>
      <c r="DL143" s="304"/>
      <c r="DM143" s="305">
        <f>DM98*DM132</f>
        <v>0</v>
      </c>
      <c r="DO143" s="304"/>
      <c r="DP143" s="305">
        <f>DP98*DP132</f>
        <v>0</v>
      </c>
      <c r="DQ143" s="304"/>
      <c r="DR143" s="305">
        <f>DR98*DR132</f>
        <v>0</v>
      </c>
      <c r="DS143" s="304"/>
      <c r="DT143" s="305">
        <f>DT98*DT132</f>
        <v>0</v>
      </c>
      <c r="DV143" s="304"/>
      <c r="DW143" s="305">
        <f>DW98*DW132</f>
        <v>0</v>
      </c>
      <c r="DX143" s="304"/>
      <c r="DY143" s="305">
        <f>DY98*DY132</f>
        <v>0</v>
      </c>
      <c r="EA143" s="304"/>
      <c r="EB143" s="305">
        <f>EB98*EB132</f>
        <v>0</v>
      </c>
      <c r="ED143" s="304"/>
      <c r="EE143" s="305">
        <f>EE98*EE132</f>
        <v>0</v>
      </c>
      <c r="EG143" s="304"/>
      <c r="EH143" s="305">
        <f>EH98*EH132</f>
        <v>0</v>
      </c>
      <c r="EJ143" s="304"/>
      <c r="EK143" s="305">
        <f>EK98*EK132</f>
        <v>0</v>
      </c>
      <c r="EM143" s="304"/>
      <c r="EN143" s="305">
        <f>EN98*EN132</f>
        <v>0</v>
      </c>
      <c r="EP143" s="304"/>
      <c r="EQ143" s="305">
        <f>EQ98*EQ132</f>
        <v>0</v>
      </c>
      <c r="ER143" s="304"/>
      <c r="ES143" s="305">
        <f>ES98*ES132</f>
        <v>0</v>
      </c>
      <c r="EU143" s="304"/>
      <c r="EV143" s="305">
        <f>EV98*EV132</f>
        <v>0</v>
      </c>
      <c r="EX143" s="304"/>
      <c r="EY143" s="305">
        <f>EY98*EY132</f>
        <v>0</v>
      </c>
      <c r="EZ143" s="304"/>
      <c r="FA143" s="305">
        <f>FA98*FA132</f>
        <v>0</v>
      </c>
      <c r="FB143" s="304"/>
      <c r="FC143" s="305">
        <f>FC98*FC132</f>
        <v>0</v>
      </c>
    </row>
    <row r="144" spans="1:159" ht="14.65" outlineLevel="1" thickTop="1" x14ac:dyDescent="0.45"/>
    <row r="145" spans="4:84" ht="14.45" hidden="1" customHeight="1" outlineLevel="2" x14ac:dyDescent="0.45">
      <c r="K145" s="334">
        <v>39984160</v>
      </c>
      <c r="M145" s="334">
        <v>39984160</v>
      </c>
      <c r="O145" s="334">
        <v>39984160</v>
      </c>
      <c r="Q145" s="334">
        <v>39984160</v>
      </c>
      <c r="R145" s="344"/>
      <c r="S145" s="1116" t="s">
        <v>455</v>
      </c>
      <c r="T145"/>
      <c r="U145"/>
      <c r="V145"/>
      <c r="X145" s="344"/>
      <c r="Z145" s="344"/>
      <c r="AB145" s="344"/>
      <c r="AD145" s="344"/>
      <c r="AE145" s="344"/>
      <c r="AF145" s="344"/>
      <c r="AG145" s="344"/>
      <c r="AM145" s="344"/>
      <c r="AO145" s="344"/>
      <c r="AQ145" s="344"/>
      <c r="AS145" s="344"/>
      <c r="AX145" s="344"/>
    </row>
    <row r="146" spans="4:84" ht="14.45" hidden="1" customHeight="1" outlineLevel="2" x14ac:dyDescent="0.45">
      <c r="J146" s="1124">
        <f>1-J147</f>
        <v>0.7608097810357034</v>
      </c>
      <c r="K146" s="410">
        <f>K145*(K98+K72)/40</f>
        <v>194901.63805824853</v>
      </c>
      <c r="M146" s="410">
        <f>M145*(M98+M72)/40</f>
        <v>652515.46887127613</v>
      </c>
      <c r="O146" s="410">
        <f>O145*(O98+O72)/40</f>
        <v>361482.14071625361</v>
      </c>
      <c r="Q146" s="410">
        <f>Q145*(Q98+Q72)/40</f>
        <v>406780.99966942176</v>
      </c>
      <c r="S146" s="1114" t="s">
        <v>239</v>
      </c>
      <c r="T146" s="1114" t="s">
        <v>456</v>
      </c>
      <c r="U146" s="1114" t="s">
        <v>457</v>
      </c>
      <c r="V146" s="1114" t="s">
        <v>458</v>
      </c>
      <c r="W146" s="1114" t="s">
        <v>459</v>
      </c>
      <c r="X146" s="344"/>
      <c r="Z146" s="344"/>
      <c r="AB146" s="344"/>
      <c r="AD146" s="344"/>
      <c r="AM146" s="344"/>
      <c r="AO146" s="344"/>
      <c r="AQ146" s="344"/>
      <c r="AS146" s="344"/>
      <c r="AX146" s="344"/>
    </row>
    <row r="147" spans="4:84" ht="14.45" hidden="1" customHeight="1" outlineLevel="2" x14ac:dyDescent="0.45">
      <c r="J147" s="1124">
        <f>SUM(K147,M147,X147,Z147,AM147,AO147,O147,AB147,AQ147)/SUM(K148,M148,X148,Z148,AM148,AO148,O148,AB148,AQ148)</f>
        <v>0.2391902189642966</v>
      </c>
      <c r="K147" s="1105">
        <f>K$132*K80</f>
        <v>1868644.2126070661</v>
      </c>
      <c r="M147" s="1105">
        <f>M$132*M80</f>
        <v>451119.14049372647</v>
      </c>
      <c r="O147" s="1105">
        <f>O$132*O80</f>
        <v>845504.98666666669</v>
      </c>
      <c r="Q147" s="1049">
        <f>Q74/Q67</f>
        <v>0.63351282863477976</v>
      </c>
      <c r="S147" s="325" t="s">
        <v>2</v>
      </c>
      <c r="T147" s="335">
        <v>72532448</v>
      </c>
      <c r="U147" s="335">
        <f>T147*18/17</f>
        <v>76799062.588235289</v>
      </c>
      <c r="V147" s="335">
        <f>$T147*19/17</f>
        <v>81065677.176470593</v>
      </c>
      <c r="W147" s="335">
        <f>$T147*20/17</f>
        <v>85332291.764705881</v>
      </c>
      <c r="X147" s="1105">
        <f>X$132*X80</f>
        <v>417547.66632458445</v>
      </c>
      <c r="Z147" s="1105">
        <f>Z$132*Z80</f>
        <v>156374.5914788956</v>
      </c>
      <c r="AB147" s="1105">
        <f>AB$132*AB80</f>
        <v>170306.66666666666</v>
      </c>
      <c r="AD147" s="1049">
        <f>AD74/AD67</f>
        <v>0.74332171893147503</v>
      </c>
      <c r="AM147" s="1105">
        <f>AM$132*AM80</f>
        <v>558384.34558169532</v>
      </c>
      <c r="AO147" s="1105">
        <f>AO$132*AO80</f>
        <v>205348.72289241431</v>
      </c>
      <c r="AQ147" s="1105">
        <f>AQ$132*AQ80</f>
        <v>478550.33333333337</v>
      </c>
      <c r="AS147" s="1049">
        <f>AS74/AS67</f>
        <v>0.85291241158141329</v>
      </c>
      <c r="BH147" s="1105">
        <f>BH$132*BH80</f>
        <v>6743.7837837837833</v>
      </c>
      <c r="BP147" s="1105">
        <f>BP$132*BP80</f>
        <v>10695.584864864868</v>
      </c>
      <c r="BX147" s="1105">
        <f>BX$132*BX80</f>
        <v>16258.763513513513</v>
      </c>
      <c r="CF147" s="1105">
        <f>CF$132*CF80</f>
        <v>7784.1891891891873</v>
      </c>
    </row>
    <row r="148" spans="4:84" ht="14.45" hidden="1" customHeight="1" outlineLevel="2" x14ac:dyDescent="0.45">
      <c r="K148" s="1105">
        <f>K$132*K67</f>
        <v>5730912.240000003</v>
      </c>
      <c r="M148" s="1105">
        <f>M$132*M67</f>
        <v>1346104.62</v>
      </c>
      <c r="O148" s="1105">
        <f>O$132*O67</f>
        <v>2418537.52</v>
      </c>
      <c r="Q148" s="1049">
        <f>(SUMPRODUCT(Q147,Q131)+SUMPRODUCT(AD131,AD147)+SUMPRODUCT(AS131,AS147))/SUM(AS131,AD131,Q131)</f>
        <v>0.68896027997939469</v>
      </c>
      <c r="S148" s="325" t="s">
        <v>3</v>
      </c>
      <c r="T148" s="335">
        <v>24917775</v>
      </c>
      <c r="U148" s="335">
        <f>T148*18/17</f>
        <v>26383526.470588237</v>
      </c>
      <c r="V148" s="335">
        <f>$T148*19/17</f>
        <v>27849277.94117647</v>
      </c>
      <c r="W148" s="335">
        <f>$T148*20/17</f>
        <v>29315029.411764707</v>
      </c>
      <c r="X148" s="1105">
        <f>X$132*X67</f>
        <v>1662474.4600000002</v>
      </c>
      <c r="Z148" s="1105">
        <f>Z$132*Z67</f>
        <v>572398.54</v>
      </c>
      <c r="AB148" s="1105">
        <f>AB$132*AB67</f>
        <v>608440</v>
      </c>
      <c r="AM148" s="1105">
        <f>AM$132*AM67</f>
        <v>5057923.63</v>
      </c>
      <c r="AO148" s="1105">
        <f>AO$132*AO67</f>
        <v>1819377.3</v>
      </c>
      <c r="AQ148" s="1105">
        <f>AQ$132*AQ67</f>
        <v>2322257</v>
      </c>
      <c r="BH148" s="1105">
        <f>BH$132*BH67</f>
        <v>22960</v>
      </c>
      <c r="BP148" s="1105">
        <f>BP$132*BP67</f>
        <v>27166.720000000001</v>
      </c>
      <c r="BX148" s="1105">
        <f>BX$132*BX67</f>
        <v>55445.25</v>
      </c>
      <c r="CF148" s="1105">
        <f>CF$132*CF67</f>
        <v>23595</v>
      </c>
    </row>
    <row r="149" spans="4:84" ht="14.45" hidden="1" customHeight="1" outlineLevel="2" x14ac:dyDescent="0.45">
      <c r="K149" s="1105"/>
      <c r="M149" s="1105"/>
      <c r="O149" s="1017">
        <f>O147/O148</f>
        <v>0.34959349593495936</v>
      </c>
      <c r="Q149" s="1049"/>
      <c r="S149" s="325" t="s">
        <v>4</v>
      </c>
      <c r="T149" s="335">
        <v>70612344</v>
      </c>
      <c r="U149" s="335">
        <f>T149*18/17</f>
        <v>74766011.294117644</v>
      </c>
      <c r="V149" s="335">
        <f>$T149*19/17</f>
        <v>78919678.588235289</v>
      </c>
      <c r="W149" s="335">
        <f>$T149*20/17</f>
        <v>83073345.882352948</v>
      </c>
      <c r="X149" s="1105"/>
      <c r="Z149" s="1105"/>
      <c r="AB149" s="1017">
        <f>AB147/AB148</f>
        <v>0.27990708478513354</v>
      </c>
      <c r="AM149" s="1105"/>
      <c r="AO149" s="1105"/>
      <c r="AQ149" s="1017">
        <f>AQ147/AQ148</f>
        <v>0.20607122008172798</v>
      </c>
      <c r="BH149" s="1017">
        <f>BH147/BH148</f>
        <v>0.29371880591392785</v>
      </c>
      <c r="BP149" s="1017">
        <f>BP147/BP148</f>
        <v>0.39370173745173753</v>
      </c>
      <c r="BX149" s="1017">
        <f>BX147/BX148</f>
        <v>0.29323997120607292</v>
      </c>
      <c r="CF149" s="1017">
        <f>CF147/CF148</f>
        <v>0.32990842081751165</v>
      </c>
    </row>
    <row r="150" spans="4:84" ht="14.45" hidden="1" customHeight="1" outlineLevel="2" x14ac:dyDescent="0.45">
      <c r="K150" s="1105"/>
      <c r="M150" s="1105"/>
      <c r="O150" s="1049">
        <f>SUM(O147,AB147,AQ147,BH147,BP147,BX147,CF147)/SUM(O148,AB148,AQ148,BH148,BP148,BX148,CF148)</f>
        <v>0.28034533628494945</v>
      </c>
      <c r="P150" s="1049">
        <f>1-O150</f>
        <v>0.71965466371505049</v>
      </c>
      <c r="Q150" s="1049"/>
      <c r="S150" s="1107"/>
      <c r="T150" s="1108">
        <f>SUM(T147:T149)</f>
        <v>168062567</v>
      </c>
      <c r="U150" s="1108">
        <f>SUM(U147:U149)</f>
        <v>177948600.35294116</v>
      </c>
      <c r="V150" s="1108">
        <f>SUM(V147:V149)</f>
        <v>187834633.70588237</v>
      </c>
      <c r="W150" s="1108">
        <f>SUM(W147:W149)</f>
        <v>197720667.05882353</v>
      </c>
      <c r="X150" s="1105"/>
      <c r="Z150" s="1105"/>
      <c r="AB150" s="1105"/>
      <c r="AM150" s="1105"/>
      <c r="AO150" s="1105"/>
      <c r="AQ150" s="1105"/>
    </row>
    <row r="151" spans="4:84" ht="14.45" hidden="1" customHeight="1" outlineLevel="2" x14ac:dyDescent="0.45">
      <c r="K151" s="1105"/>
      <c r="M151" s="1105"/>
      <c r="O151" s="1049">
        <f>SUM(O147,AB147,AQ147)/SUM(O148,AB148,AQ148)</f>
        <v>0.27935996843650573</v>
      </c>
      <c r="P151" s="1126">
        <f>1-O151</f>
        <v>0.72064003156349421</v>
      </c>
      <c r="Q151" s="1049"/>
      <c r="X151" s="1105"/>
      <c r="Z151" s="1105"/>
      <c r="AB151" s="1105"/>
      <c r="AM151" s="1105"/>
      <c r="AO151" s="1105"/>
      <c r="AQ151" s="1105"/>
    </row>
    <row r="152" spans="4:84" outlineLevel="1" collapsed="1" x14ac:dyDescent="0.45"/>
    <row r="153" spans="4:84" ht="14.45" hidden="1" customHeight="1" outlineLevel="2" x14ac:dyDescent="0.45">
      <c r="D153" s="1116" t="s">
        <v>455</v>
      </c>
      <c r="I153" s="329" t="s">
        <v>460</v>
      </c>
    </row>
    <row r="154" spans="4:84" ht="14.45" hidden="1" customHeight="1" outlineLevel="2" x14ac:dyDescent="0.45">
      <c r="D154" s="1114" t="s">
        <v>239</v>
      </c>
      <c r="E154" s="1115" t="s">
        <v>461</v>
      </c>
      <c r="F154" s="1114" t="s">
        <v>462</v>
      </c>
      <c r="G154" s="1114" t="s">
        <v>175</v>
      </c>
      <c r="I154" s="1114" t="s">
        <v>239</v>
      </c>
      <c r="J154" s="1115" t="s">
        <v>463</v>
      </c>
      <c r="K154" s="1115" t="s">
        <v>464</v>
      </c>
      <c r="L154" s="1115" t="s">
        <v>465</v>
      </c>
      <c r="M154" s="1115" t="s">
        <v>466</v>
      </c>
      <c r="N154" s="1115" t="s">
        <v>467</v>
      </c>
    </row>
    <row r="155" spans="4:84" ht="14.45" hidden="1" customHeight="1" outlineLevel="2" x14ac:dyDescent="0.45">
      <c r="D155" s="325" t="s">
        <v>2</v>
      </c>
      <c r="E155" s="335">
        <f>SUM(E187:G187)</f>
        <v>66218600</v>
      </c>
      <c r="F155" s="335">
        <f>Q131</f>
        <v>72532448</v>
      </c>
      <c r="G155" s="868">
        <f>F155/E155-1</f>
        <v>9.5348557656006028E-2</v>
      </c>
      <c r="I155" s="325" t="s">
        <v>2</v>
      </c>
      <c r="J155" s="1104">
        <f>O67</f>
        <v>5.74</v>
      </c>
      <c r="K155" s="1104">
        <f>O60</f>
        <v>6.0499173553719015</v>
      </c>
      <c r="L155" s="1104">
        <f>O57</f>
        <v>0.8</v>
      </c>
      <c r="M155" s="1104">
        <f>J155-L155</f>
        <v>4.9400000000000004</v>
      </c>
      <c r="N155" s="1104">
        <f>K155-L155</f>
        <v>5.2499173553719016</v>
      </c>
    </row>
    <row r="156" spans="4:84" ht="14.45" hidden="1" customHeight="1" outlineLevel="2" x14ac:dyDescent="0.45">
      <c r="D156" s="325" t="s">
        <v>3</v>
      </c>
      <c r="E156" s="335">
        <f>SUM(E188:G188)</f>
        <v>19838000</v>
      </c>
      <c r="F156" s="335">
        <f>AD131</f>
        <v>24917775</v>
      </c>
      <c r="G156" s="868">
        <f>F156/E156-1</f>
        <v>0.25606285915918936</v>
      </c>
      <c r="I156" s="325" t="s">
        <v>3</v>
      </c>
      <c r="J156" s="1104">
        <f>AB67</f>
        <v>5.74</v>
      </c>
      <c r="K156" s="1104">
        <f>AB60</f>
        <v>6.0499173553719015</v>
      </c>
      <c r="L156" s="1104">
        <f>AB57</f>
        <v>0.8</v>
      </c>
      <c r="M156" s="1104">
        <f>J156-L156</f>
        <v>4.9400000000000004</v>
      </c>
      <c r="N156" s="1104">
        <f>K156-L156</f>
        <v>5.2499173553719016</v>
      </c>
    </row>
    <row r="157" spans="4:84" ht="14.45" hidden="1" customHeight="1" outlineLevel="2" x14ac:dyDescent="0.45">
      <c r="D157" s="325" t="s">
        <v>4</v>
      </c>
      <c r="E157" s="335">
        <f>SUM(E189:G189)</f>
        <v>64477320</v>
      </c>
      <c r="F157" s="335">
        <f>AS131</f>
        <v>16268000</v>
      </c>
      <c r="G157" s="868">
        <f>F157/E157-1</f>
        <v>-0.74769422798590268</v>
      </c>
      <c r="I157" s="325" t="s">
        <v>4</v>
      </c>
      <c r="J157" s="1104">
        <f>AQ67</f>
        <v>5.71</v>
      </c>
      <c r="K157" s="1104">
        <f>AQ60</f>
        <v>6.05</v>
      </c>
      <c r="L157" s="1104">
        <f>AQ57</f>
        <v>0.65</v>
      </c>
      <c r="M157" s="1104">
        <f>J157-L157</f>
        <v>5.0599999999999996</v>
      </c>
      <c r="N157" s="1104">
        <f>K157-L157</f>
        <v>5.3999999999999995</v>
      </c>
    </row>
    <row r="158" spans="4:84" ht="14.45" hidden="1" customHeight="1" outlineLevel="2" x14ac:dyDescent="0.45">
      <c r="D158" s="1107"/>
      <c r="E158" s="1108">
        <f>SUM(E190:G190)</f>
        <v>150533920</v>
      </c>
      <c r="F158" s="1108">
        <f>SUM(F155:F157)</f>
        <v>113718223</v>
      </c>
      <c r="G158" s="1109">
        <f>F158/E158-1</f>
        <v>-0.24456745031285976</v>
      </c>
    </row>
    <row r="159" spans="4:84" ht="14.45" hidden="1" customHeight="1" outlineLevel="2" x14ac:dyDescent="0.45">
      <c r="I159" s="329" t="s">
        <v>468</v>
      </c>
    </row>
    <row r="160" spans="4:84" ht="14.45" hidden="1" customHeight="1" outlineLevel="2" x14ac:dyDescent="0.45">
      <c r="I160" s="1114" t="s">
        <v>239</v>
      </c>
      <c r="J160" s="1115" t="s">
        <v>469</v>
      </c>
      <c r="K160" s="1115" t="s">
        <v>470</v>
      </c>
      <c r="L160" s="1115" t="s">
        <v>471</v>
      </c>
      <c r="M160" s="1115" t="s">
        <v>472</v>
      </c>
      <c r="N160" s="1115" t="s">
        <v>473</v>
      </c>
    </row>
    <row r="161" spans="4:14" ht="14.45" hidden="1" customHeight="1" outlineLevel="2" x14ac:dyDescent="0.45">
      <c r="D161" s="1116" t="s">
        <v>155</v>
      </c>
      <c r="I161" s="325" t="s">
        <v>2</v>
      </c>
      <c r="J161" s="1104">
        <f>$Q67</f>
        <v>5.74</v>
      </c>
      <c r="K161" s="1104">
        <f>$Q60</f>
        <v>6.0521486053719018</v>
      </c>
      <c r="L161" s="1104">
        <f>$Q57</f>
        <v>0.8</v>
      </c>
      <c r="M161" s="1104">
        <f>J161-L161</f>
        <v>4.9400000000000004</v>
      </c>
      <c r="N161" s="1104">
        <f>K161-L161</f>
        <v>5.252148605371902</v>
      </c>
    </row>
    <row r="162" spans="4:14" ht="14.45" hidden="1" customHeight="1" outlineLevel="2" x14ac:dyDescent="0.45">
      <c r="D162" s="1114" t="s">
        <v>239</v>
      </c>
      <c r="E162" s="1115" t="s">
        <v>461</v>
      </c>
      <c r="F162" s="1114" t="s">
        <v>469</v>
      </c>
      <c r="G162" s="1114" t="s">
        <v>175</v>
      </c>
      <c r="I162" s="325" t="s">
        <v>3</v>
      </c>
      <c r="J162" s="1104">
        <f>$AD67</f>
        <v>5.74</v>
      </c>
      <c r="K162" s="1104">
        <f>$AD60</f>
        <v>6.0499173553719015</v>
      </c>
      <c r="L162" s="1104">
        <f>$AD57</f>
        <v>0.8</v>
      </c>
      <c r="M162" s="1104">
        <f>J162-L162</f>
        <v>4.9400000000000004</v>
      </c>
      <c r="N162" s="1104">
        <f>K162-L162</f>
        <v>5.2499173553719016</v>
      </c>
    </row>
    <row r="163" spans="4:14" ht="14.45" hidden="1" customHeight="1" outlineLevel="2" x14ac:dyDescent="0.45">
      <c r="D163" s="325" t="s">
        <v>2</v>
      </c>
      <c r="E163" s="1103">
        <f>SUM(E195:G195)</f>
        <v>9495554.3800000027</v>
      </c>
      <c r="F163" s="1103">
        <f>Q131*Q67/Q10</f>
        <v>10408406.288000001</v>
      </c>
      <c r="G163" s="868">
        <f t="shared" ref="G163:G169" si="269">F163/E163-1</f>
        <v>9.6134661702605984E-2</v>
      </c>
      <c r="I163" s="325" t="s">
        <v>4</v>
      </c>
      <c r="J163" s="1104">
        <f>$AS67</f>
        <v>5.71</v>
      </c>
      <c r="K163" s="1104">
        <f>$AS60</f>
        <v>6.052295</v>
      </c>
      <c r="L163" s="1104">
        <f>$AS57</f>
        <v>0.65</v>
      </c>
      <c r="M163" s="1104">
        <f>J163-L163</f>
        <v>5.0599999999999996</v>
      </c>
      <c r="N163" s="1104">
        <f>K163-L163</f>
        <v>5.4022949999999996</v>
      </c>
    </row>
    <row r="164" spans="4:14" ht="14.45" hidden="1" customHeight="1" outlineLevel="2" x14ac:dyDescent="0.45">
      <c r="D164" s="325" t="s">
        <v>3</v>
      </c>
      <c r="E164" s="1103">
        <f>SUM(E196:G196)</f>
        <v>2843313</v>
      </c>
      <c r="F164" s="1103">
        <f>AD131*AD67/AD10</f>
        <v>3575700.7124999999</v>
      </c>
      <c r="G164" s="868">
        <f t="shared" si="269"/>
        <v>0.25758251465807658</v>
      </c>
    </row>
    <row r="165" spans="4:14" ht="14.45" hidden="1" customHeight="1" outlineLevel="2" x14ac:dyDescent="0.45">
      <c r="D165" s="325" t="s">
        <v>4</v>
      </c>
      <c r="E165" s="1103">
        <f>SUM(E197:G197)</f>
        <v>9199557.9299999997</v>
      </c>
      <c r="F165" s="1103">
        <f>AS131*AS67/AS10</f>
        <v>2322257</v>
      </c>
      <c r="G165" s="868">
        <f t="shared" si="269"/>
        <v>-0.74756863126791573</v>
      </c>
      <c r="I165" s="329" t="s">
        <v>474</v>
      </c>
    </row>
    <row r="166" spans="4:14" ht="14.45" hidden="1" customHeight="1" outlineLevel="2" x14ac:dyDescent="0.45">
      <c r="D166" s="1107" t="s">
        <v>155</v>
      </c>
      <c r="E166" s="1110">
        <f>SUM(E198:G198)</f>
        <v>21538425.310000002</v>
      </c>
      <c r="F166" s="1110">
        <f>SUM(F163:F165)</f>
        <v>16306364.000500001</v>
      </c>
      <c r="G166" s="1109">
        <f t="shared" si="269"/>
        <v>-0.24291754082276507</v>
      </c>
      <c r="I166" s="1114" t="s">
        <v>239</v>
      </c>
      <c r="J166" s="1115" t="s">
        <v>463</v>
      </c>
      <c r="K166" s="1115" t="s">
        <v>464</v>
      </c>
      <c r="L166" s="1115" t="s">
        <v>465</v>
      </c>
      <c r="M166" s="1115" t="s">
        <v>466</v>
      </c>
      <c r="N166" s="1115" t="s">
        <v>467</v>
      </c>
    </row>
    <row r="167" spans="4:14" ht="15" hidden="1" customHeight="1" outlineLevel="2" x14ac:dyDescent="0.45">
      <c r="D167" s="1111" t="s">
        <v>475</v>
      </c>
      <c r="E167" s="1110">
        <f>E166-E176</f>
        <v>18781594.560000002</v>
      </c>
      <c r="F167" s="1110">
        <f>F166-F176</f>
        <v>14093004.5405</v>
      </c>
      <c r="G167" s="1118">
        <f t="shared" si="269"/>
        <v>-0.24963748442773337</v>
      </c>
      <c r="I167" s="325" t="s">
        <v>2</v>
      </c>
      <c r="J167" s="868">
        <f t="shared" ref="J167:N169" si="270">J161/J155-1</f>
        <v>0</v>
      </c>
      <c r="K167" s="868">
        <f t="shared" si="270"/>
        <v>3.6880669089134344E-4</v>
      </c>
      <c r="L167" s="868">
        <f t="shared" si="270"/>
        <v>0</v>
      </c>
      <c r="M167" s="868">
        <f t="shared" si="270"/>
        <v>0</v>
      </c>
      <c r="N167" s="868">
        <f t="shared" si="270"/>
        <v>4.2500669038481043E-4</v>
      </c>
    </row>
    <row r="168" spans="4:14" ht="15" hidden="1" customHeight="1" outlineLevel="2" x14ac:dyDescent="0.45">
      <c r="D168" s="1112" t="s">
        <v>476</v>
      </c>
      <c r="E168" s="1113">
        <f>E166/E158</f>
        <v>0.14308021281847974</v>
      </c>
      <c r="F168" s="1117">
        <f>F166/F158</f>
        <v>0.14339270848877053</v>
      </c>
      <c r="G168" s="1119">
        <f t="shared" si="269"/>
        <v>2.1840593058610747E-3</v>
      </c>
      <c r="H168" s="984"/>
      <c r="I168" s="325" t="s">
        <v>3</v>
      </c>
      <c r="J168" s="868">
        <f t="shared" si="270"/>
        <v>0</v>
      </c>
      <c r="K168" s="868">
        <f t="shared" si="270"/>
        <v>0</v>
      </c>
      <c r="L168" s="868">
        <f t="shared" si="270"/>
        <v>0</v>
      </c>
      <c r="M168" s="868">
        <f t="shared" si="270"/>
        <v>0</v>
      </c>
      <c r="N168" s="868">
        <f t="shared" si="270"/>
        <v>0</v>
      </c>
    </row>
    <row r="169" spans="4:14" ht="15" hidden="1" customHeight="1" outlineLevel="2" x14ac:dyDescent="0.45">
      <c r="D169" s="1112" t="s">
        <v>477</v>
      </c>
      <c r="E169" s="1113">
        <f>E167/E158</f>
        <v>0.12476652810210484</v>
      </c>
      <c r="F169" s="1117">
        <f>F167/F158</f>
        <v>0.12392916604491788</v>
      </c>
      <c r="G169" s="1119">
        <f t="shared" si="269"/>
        <v>-6.7114319034483616E-3</v>
      </c>
      <c r="H169" s="984"/>
      <c r="I169" s="325" t="s">
        <v>4</v>
      </c>
      <c r="J169" s="868">
        <f t="shared" si="270"/>
        <v>0</v>
      </c>
      <c r="K169" s="868">
        <f t="shared" si="270"/>
        <v>3.7933884297514098E-4</v>
      </c>
      <c r="L169" s="868">
        <f t="shared" si="270"/>
        <v>0</v>
      </c>
      <c r="M169" s="868">
        <f t="shared" si="270"/>
        <v>0</v>
      </c>
      <c r="N169" s="868">
        <f t="shared" si="270"/>
        <v>4.2500000000011973E-4</v>
      </c>
    </row>
    <row r="170" spans="4:14" ht="15" hidden="1" customHeight="1" outlineLevel="2" x14ac:dyDescent="0.45">
      <c r="H170" s="984"/>
    </row>
    <row r="171" spans="4:14" ht="15" hidden="1" customHeight="1" outlineLevel="2" x14ac:dyDescent="0.45">
      <c r="D171" s="1116" t="s">
        <v>158</v>
      </c>
      <c r="H171" s="984"/>
    </row>
    <row r="172" spans="4:14" ht="15" hidden="1" customHeight="1" outlineLevel="2" x14ac:dyDescent="0.45">
      <c r="D172" s="1114" t="s">
        <v>239</v>
      </c>
      <c r="E172" s="1115" t="s">
        <v>461</v>
      </c>
      <c r="F172" s="1114" t="s">
        <v>471</v>
      </c>
      <c r="G172" s="1114" t="s">
        <v>175</v>
      </c>
      <c r="H172" s="984"/>
    </row>
    <row r="173" spans="4:14" ht="15" hidden="1" customHeight="1" outlineLevel="2" x14ac:dyDescent="0.45">
      <c r="D173" s="325" t="s">
        <v>2</v>
      </c>
      <c r="E173" s="1103">
        <f>SUM(E205:G205)</f>
        <v>1318176.7999999998</v>
      </c>
      <c r="F173" s="1103">
        <f>Q132*Q57</f>
        <v>1450648.96</v>
      </c>
      <c r="G173" s="868">
        <f>F173/E173-1</f>
        <v>0.10049650395910481</v>
      </c>
      <c r="H173" s="984"/>
    </row>
    <row r="174" spans="4:14" ht="15" hidden="1" customHeight="1" outlineLevel="2" x14ac:dyDescent="0.45">
      <c r="D174" s="325" t="s">
        <v>3</v>
      </c>
      <c r="E174" s="1103">
        <f>SUM(E206:G206)</f>
        <v>393560</v>
      </c>
      <c r="F174" s="1103">
        <f>AD132*AD57</f>
        <v>498355.5</v>
      </c>
      <c r="G174" s="868">
        <f>F174/E174-1</f>
        <v>0.26627579022258363</v>
      </c>
      <c r="H174" s="984"/>
    </row>
    <row r="175" spans="4:14" ht="15" hidden="1" customHeight="1" outlineLevel="2" x14ac:dyDescent="0.45">
      <c r="D175" s="325" t="s">
        <v>4</v>
      </c>
      <c r="E175" s="1103">
        <f>SUM(E207:G207)</f>
        <v>1045093.9500000001</v>
      </c>
      <c r="F175" s="1103">
        <f>AS132*AS57</f>
        <v>264355</v>
      </c>
      <c r="G175" s="868">
        <f>F175/E175-1</f>
        <v>-0.74705144929793155</v>
      </c>
      <c r="H175" s="984"/>
    </row>
    <row r="176" spans="4:14" ht="15" hidden="1" customHeight="1" outlineLevel="2" x14ac:dyDescent="0.45">
      <c r="D176" s="1111"/>
      <c r="E176" s="1110">
        <f>SUM(E208:G208)</f>
        <v>2756830.75</v>
      </c>
      <c r="F176" s="1110">
        <f>SUM(F173:F175)</f>
        <v>2213359.46</v>
      </c>
      <c r="G176" s="1109">
        <f>F176/E176-1</f>
        <v>-0.19713625510017252</v>
      </c>
    </row>
    <row r="177" spans="4:46" ht="15" hidden="1" customHeight="1" outlineLevel="2" x14ac:dyDescent="0.45">
      <c r="E177" s="1105"/>
      <c r="F177" s="1105"/>
      <c r="G177" s="984"/>
    </row>
    <row r="178" spans="4:46" ht="15" hidden="1" customHeight="1" outlineLevel="2" x14ac:dyDescent="0.45">
      <c r="D178" s="1116" t="s">
        <v>161</v>
      </c>
      <c r="G178" s="984"/>
    </row>
    <row r="179" spans="4:46" ht="15" hidden="1" customHeight="1" outlineLevel="2" x14ac:dyDescent="0.45">
      <c r="D179" s="1114" t="s">
        <v>239</v>
      </c>
      <c r="E179" s="1115" t="s">
        <v>461</v>
      </c>
      <c r="F179" s="1114" t="s">
        <v>478</v>
      </c>
      <c r="G179" s="1114" t="str">
        <f>G172</f>
        <v>Growth</v>
      </c>
    </row>
    <row r="180" spans="4:46" ht="15" hidden="1" customHeight="1" outlineLevel="2" x14ac:dyDescent="0.45">
      <c r="D180" s="325" t="s">
        <v>2</v>
      </c>
      <c r="E180" s="1103">
        <f>SUM(E212:G212)</f>
        <v>1429220.1</v>
      </c>
      <c r="F180" s="1103">
        <f>Q132*Q92</f>
        <v>1813311.2</v>
      </c>
      <c r="G180" s="868">
        <f>F180/E180-1</f>
        <v>0.26874174243701154</v>
      </c>
    </row>
    <row r="181" spans="4:46" ht="15" hidden="1" customHeight="1" outlineLevel="2" x14ac:dyDescent="0.45">
      <c r="D181" s="325" t="s">
        <v>3</v>
      </c>
      <c r="E181" s="1103">
        <f>SUM(E213:G213)</f>
        <v>173775</v>
      </c>
      <c r="F181" s="1103">
        <f>AD132*AD92</f>
        <v>311472.1875</v>
      </c>
      <c r="G181" s="868">
        <f>F181/E181-1</f>
        <v>0.79238778593008208</v>
      </c>
      <c r="AT181" s="410"/>
    </row>
    <row r="182" spans="4:46" ht="14.45" hidden="1" customHeight="1" outlineLevel="2" x14ac:dyDescent="0.45">
      <c r="D182" s="325" t="s">
        <v>4</v>
      </c>
      <c r="E182" s="1103">
        <f>SUM(E214:G214)</f>
        <v>0</v>
      </c>
      <c r="F182" s="1103">
        <f>AS132*AS92</f>
        <v>0</v>
      </c>
      <c r="G182" s="868">
        <f>IFERROR(F182/E182-1,1)</f>
        <v>1</v>
      </c>
    </row>
    <row r="183" spans="4:46" ht="14.45" hidden="1" customHeight="1" outlineLevel="2" x14ac:dyDescent="0.45">
      <c r="D183" s="1111"/>
      <c r="E183" s="1110">
        <f>SUM(E180:E182)</f>
        <v>1602995.1</v>
      </c>
      <c r="F183" s="1110">
        <f>SUM(F180:F182)</f>
        <v>2124783.3875000002</v>
      </c>
      <c r="G183" s="1109">
        <f>F183/E183-1</f>
        <v>0.32550834840356035</v>
      </c>
    </row>
    <row r="184" spans="4:46" ht="14.45" hidden="1" customHeight="1" outlineLevel="2" x14ac:dyDescent="0.45">
      <c r="AT184" s="606">
        <f>AF184/12*2</f>
        <v>0</v>
      </c>
    </row>
    <row r="185" spans="4:46" ht="14.45" hidden="1" customHeight="1" outlineLevel="2" x14ac:dyDescent="0.45"/>
    <row r="186" spans="4:46" ht="14.45" hidden="1" customHeight="1" outlineLevel="2" x14ac:dyDescent="0.45">
      <c r="E186" s="1115" t="s">
        <v>310</v>
      </c>
      <c r="F186" s="1115" t="s">
        <v>255</v>
      </c>
      <c r="G186" s="1115" t="s">
        <v>188</v>
      </c>
    </row>
    <row r="187" spans="4:46" ht="14.45" hidden="1" customHeight="1" outlineLevel="2" x14ac:dyDescent="0.45">
      <c r="E187" s="335">
        <f>K131</f>
        <v>39984160</v>
      </c>
      <c r="F187" s="335">
        <f>M131</f>
        <v>9380520</v>
      </c>
      <c r="G187" s="335">
        <f>O131</f>
        <v>16853920</v>
      </c>
    </row>
    <row r="188" spans="4:46" ht="14.45" hidden="1" customHeight="1" outlineLevel="2" x14ac:dyDescent="0.45">
      <c r="E188" s="335">
        <f>X131</f>
        <v>11609160</v>
      </c>
      <c r="F188" s="335">
        <f>Z131</f>
        <v>3988840</v>
      </c>
      <c r="G188" s="335">
        <f>AB131</f>
        <v>4240000</v>
      </c>
    </row>
    <row r="189" spans="4:46" ht="14.45" hidden="1" customHeight="1" outlineLevel="2" x14ac:dyDescent="0.45">
      <c r="E189" s="335">
        <f>AM131</f>
        <v>35464120</v>
      </c>
      <c r="F189" s="335">
        <f>AO131</f>
        <v>12745200</v>
      </c>
      <c r="G189" s="335">
        <f>AQ131</f>
        <v>16268000</v>
      </c>
      <c r="L189" s="984"/>
      <c r="N189" s="1106" t="s">
        <v>479</v>
      </c>
      <c r="P189" s="1106" t="s">
        <v>480</v>
      </c>
    </row>
    <row r="190" spans="4:46" ht="14.45" hidden="1" customHeight="1" outlineLevel="2" x14ac:dyDescent="0.45">
      <c r="E190" s="1108">
        <f>SUM(E187:E189)</f>
        <v>87057440</v>
      </c>
      <c r="F190" s="1108">
        <f>SUM(F187:F189)</f>
        <v>26114560</v>
      </c>
      <c r="G190" s="1108">
        <f>SUM(G187:G189)</f>
        <v>37361920</v>
      </c>
      <c r="L190" s="984"/>
      <c r="N190" s="1106" t="s">
        <v>481</v>
      </c>
    </row>
    <row r="191" spans="4:46" ht="14.45" hidden="1" customHeight="1" outlineLevel="2" x14ac:dyDescent="0.45"/>
    <row r="192" spans="4:46" ht="14.45" hidden="1" customHeight="1" outlineLevel="2" x14ac:dyDescent="0.45">
      <c r="L192" s="334">
        <v>170000000</v>
      </c>
      <c r="N192" s="1106" t="s">
        <v>482</v>
      </c>
    </row>
    <row r="193" spans="5:14" ht="14.45" hidden="1" customHeight="1" outlineLevel="2" x14ac:dyDescent="0.45">
      <c r="L193" s="334">
        <v>150000000</v>
      </c>
    </row>
    <row r="194" spans="5:14" ht="14.45" hidden="1" customHeight="1" outlineLevel="2" x14ac:dyDescent="0.45">
      <c r="E194" s="1115" t="s">
        <v>310</v>
      </c>
      <c r="F194" s="1115" t="s">
        <v>255</v>
      </c>
      <c r="G194" s="1115" t="s">
        <v>188</v>
      </c>
      <c r="L194" s="984">
        <f>L192/L193-1</f>
        <v>0.1333333333333333</v>
      </c>
      <c r="N194" s="1106" t="s">
        <v>483</v>
      </c>
    </row>
    <row r="195" spans="5:14" ht="14.45" hidden="1" customHeight="1" outlineLevel="2" x14ac:dyDescent="0.45">
      <c r="E195" s="1103">
        <f>K131*K67/K10</f>
        <v>5730912.240000003</v>
      </c>
      <c r="F195" s="1103">
        <f>M131*M67/M10</f>
        <v>1346104.62</v>
      </c>
      <c r="G195" s="1103">
        <f>O131*O67/O10</f>
        <v>2418537.52</v>
      </c>
    </row>
    <row r="196" spans="5:14" ht="14.45" hidden="1" customHeight="1" outlineLevel="2" x14ac:dyDescent="0.45">
      <c r="E196" s="1103">
        <f>X131*X67/X10</f>
        <v>1662474.4600000002</v>
      </c>
      <c r="F196" s="1103">
        <f>Z131*Z67/Z10</f>
        <v>572398.54</v>
      </c>
      <c r="G196" s="1103">
        <f>AB131*AB67/AB10</f>
        <v>608440</v>
      </c>
      <c r="N196" t="s">
        <v>484</v>
      </c>
    </row>
    <row r="197" spans="5:14" ht="14.45" hidden="1" customHeight="1" outlineLevel="2" x14ac:dyDescent="0.45">
      <c r="E197" s="1103">
        <f>AM131*AM67/AM10</f>
        <v>5057923.63</v>
      </c>
      <c r="F197" s="1103">
        <f>AO131*AO67/AO10</f>
        <v>1819377.3</v>
      </c>
      <c r="G197" s="1103">
        <f>AQ131*AQ67/AQ10</f>
        <v>2322257</v>
      </c>
    </row>
    <row r="198" spans="5:14" ht="14.45" hidden="1" customHeight="1" outlineLevel="2" x14ac:dyDescent="0.45">
      <c r="E198" s="1110">
        <f>SUM(E195:E197)</f>
        <v>12451310.330000002</v>
      </c>
      <c r="F198" s="1110">
        <f>SUM(F195:F197)</f>
        <v>3737880.46</v>
      </c>
      <c r="G198" s="1110">
        <f>SUM(G195:G197)</f>
        <v>5349234.5199999996</v>
      </c>
    </row>
    <row r="199" spans="5:14" ht="14.45" hidden="1" customHeight="1" outlineLevel="2" x14ac:dyDescent="0.45">
      <c r="E199" s="1110">
        <f>E198-E208</f>
        <v>10855209.680000002</v>
      </c>
      <c r="F199" s="1110">
        <f>F198-F208</f>
        <v>3263383.76</v>
      </c>
      <c r="G199" s="1110">
        <f>G198-G208</f>
        <v>4663001.1199999992</v>
      </c>
      <c r="N199" t="s">
        <v>485</v>
      </c>
    </row>
    <row r="200" spans="5:14" ht="14.45" hidden="1" customHeight="1" outlineLevel="2" x14ac:dyDescent="0.45">
      <c r="E200" s="1113">
        <f>E198/E190</f>
        <v>0.14302408076782411</v>
      </c>
      <c r="F200" s="1113">
        <f>F198/F190</f>
        <v>0.14313396281614549</v>
      </c>
      <c r="G200" s="1113">
        <f>G198/G190</f>
        <v>0.14317343755353043</v>
      </c>
      <c r="N200" s="1106" t="s">
        <v>486</v>
      </c>
    </row>
    <row r="201" spans="5:14" ht="14.45" hidden="1" customHeight="1" outlineLevel="2" x14ac:dyDescent="0.45">
      <c r="E201" s="1113">
        <f>E199/E190</f>
        <v>0.12469020086048938</v>
      </c>
      <c r="F201" s="1113">
        <f>F199/F190</f>
        <v>0.12496414873541808</v>
      </c>
      <c r="G201" s="1113">
        <f>G199/G190</f>
        <v>0.12480624978587822</v>
      </c>
      <c r="N201" s="1106" t="s">
        <v>487</v>
      </c>
    </row>
    <row r="202" spans="5:14" ht="14.45" hidden="1" customHeight="1" outlineLevel="2" x14ac:dyDescent="0.45">
      <c r="N202" t="s">
        <v>488</v>
      </c>
    </row>
    <row r="203" spans="5:14" ht="14.45" hidden="1" customHeight="1" outlineLevel="2" x14ac:dyDescent="0.45">
      <c r="N203" s="1106" t="s">
        <v>489</v>
      </c>
    </row>
    <row r="204" spans="5:14" ht="14.45" hidden="1" customHeight="1" outlineLevel="2" x14ac:dyDescent="0.45">
      <c r="E204" s="1115" t="s">
        <v>310</v>
      </c>
      <c r="F204" s="1115" t="s">
        <v>255</v>
      </c>
      <c r="G204" s="1115" t="s">
        <v>188</v>
      </c>
      <c r="N204" t="s">
        <v>490</v>
      </c>
    </row>
    <row r="205" spans="5:14" ht="14.45" hidden="1" customHeight="1" outlineLevel="2" x14ac:dyDescent="0.45">
      <c r="E205" s="1103">
        <f>K132*K57</f>
        <v>793487.99999999988</v>
      </c>
      <c r="F205" s="1103">
        <f>M132*M57</f>
        <v>187610.40000000002</v>
      </c>
      <c r="G205" s="1103">
        <f>O132*O57</f>
        <v>337078.4</v>
      </c>
      <c r="N205" t="s">
        <v>491</v>
      </c>
    </row>
    <row r="206" spans="5:14" ht="14.45" hidden="1" customHeight="1" outlineLevel="2" x14ac:dyDescent="0.45">
      <c r="E206" s="1103">
        <f>X132*X57</f>
        <v>228983.2</v>
      </c>
      <c r="F206" s="1103">
        <f>Z132*Z57</f>
        <v>79776.800000000003</v>
      </c>
      <c r="G206" s="1103">
        <f>AB132*AB57</f>
        <v>84800</v>
      </c>
    </row>
    <row r="207" spans="5:14" ht="14.45" hidden="1" customHeight="1" outlineLevel="2" x14ac:dyDescent="0.45">
      <c r="E207" s="1103">
        <f>AM132*AM57</f>
        <v>573629.45000000007</v>
      </c>
      <c r="F207" s="1103">
        <f>AO132*AO57</f>
        <v>207109.50000000003</v>
      </c>
      <c r="G207" s="1103">
        <f>AQ132*AQ57</f>
        <v>264355</v>
      </c>
    </row>
    <row r="208" spans="5:14" ht="14.45" hidden="1" customHeight="1" outlineLevel="2" x14ac:dyDescent="0.45">
      <c r="E208" s="1110">
        <f>SUM(E205:E207)</f>
        <v>1596100.65</v>
      </c>
      <c r="F208" s="1110">
        <f>SUM(F205:F207)</f>
        <v>474496.70000000007</v>
      </c>
      <c r="G208" s="1110">
        <f>SUM(G205:G207)</f>
        <v>686233.4</v>
      </c>
    </row>
    <row r="209" spans="5:32" ht="14.45" hidden="1" customHeight="1" outlineLevel="2" x14ac:dyDescent="0.45">
      <c r="E209" s="1105"/>
      <c r="F209" s="1105"/>
      <c r="G209" s="1105"/>
    </row>
    <row r="210" spans="5:32" ht="14.45" hidden="1" customHeight="1" outlineLevel="2" x14ac:dyDescent="0.45"/>
    <row r="211" spans="5:32" ht="14.45" hidden="1" customHeight="1" outlineLevel="2" x14ac:dyDescent="0.45">
      <c r="E211" s="1115" t="s">
        <v>310</v>
      </c>
      <c r="F211" s="1115" t="s">
        <v>255</v>
      </c>
      <c r="G211" s="1115" t="s">
        <v>188</v>
      </c>
    </row>
    <row r="212" spans="5:32" ht="14.45" hidden="1" customHeight="1" outlineLevel="2" x14ac:dyDescent="0.45">
      <c r="E212" s="1103">
        <f>K132*K92</f>
        <v>884762.4</v>
      </c>
      <c r="F212" s="1103">
        <f>M132*M92</f>
        <v>123109.69999999998</v>
      </c>
      <c r="G212" s="1103">
        <f>O132*O92</f>
        <v>421348</v>
      </c>
    </row>
    <row r="213" spans="5:32" ht="14.45" hidden="1" customHeight="1" outlineLevel="2" x14ac:dyDescent="0.45">
      <c r="E213" s="1103">
        <f>X132*X92</f>
        <v>114514.5</v>
      </c>
      <c r="F213" s="1103">
        <f>Z132*Z92</f>
        <v>6260.5000000000009</v>
      </c>
      <c r="G213" s="1103">
        <f>AB132*AB92</f>
        <v>53000</v>
      </c>
    </row>
    <row r="214" spans="5:32" ht="14.45" hidden="1" customHeight="1" outlineLevel="2" x14ac:dyDescent="0.45">
      <c r="E214" s="1103">
        <f>AM132*AM92</f>
        <v>0</v>
      </c>
      <c r="F214" s="1103">
        <f>AO132*AO92</f>
        <v>0</v>
      </c>
      <c r="G214" s="1103">
        <f>AQ132*AQ92</f>
        <v>0</v>
      </c>
    </row>
    <row r="215" spans="5:32" ht="14.45" hidden="1" customHeight="1" outlineLevel="2" x14ac:dyDescent="0.45">
      <c r="E215" s="1110">
        <f>SUM(E212:E214)</f>
        <v>999276.9</v>
      </c>
      <c r="F215" s="1110">
        <f>SUM(F212:F214)</f>
        <v>129370.19999999998</v>
      </c>
      <c r="G215" s="1110">
        <f>SUM(G212:G214)</f>
        <v>474348</v>
      </c>
    </row>
    <row r="216" spans="5:32" outlineLevel="1" collapsed="1" x14ac:dyDescent="0.45"/>
    <row r="217" spans="5:32" outlineLevel="1" x14ac:dyDescent="0.45"/>
    <row r="218" spans="5:32" outlineLevel="1" x14ac:dyDescent="0.45">
      <c r="S218" s="1116" t="s">
        <v>455</v>
      </c>
      <c r="T218"/>
      <c r="U218"/>
      <c r="V218"/>
    </row>
    <row r="219" spans="5:32" x14ac:dyDescent="0.45">
      <c r="S219" s="1114" t="s">
        <v>239</v>
      </c>
      <c r="T219" s="1114" t="s">
        <v>456</v>
      </c>
      <c r="U219" s="1114" t="s">
        <v>457</v>
      </c>
      <c r="V219" s="1114" t="s">
        <v>458</v>
      </c>
      <c r="W219" s="1114" t="s">
        <v>459</v>
      </c>
      <c r="X219" s="1129" t="s">
        <v>492</v>
      </c>
      <c r="Y219" s="1129" t="s">
        <v>493</v>
      </c>
    </row>
    <row r="220" spans="5:32" x14ac:dyDescent="0.45">
      <c r="S220" s="325" t="s">
        <v>2</v>
      </c>
      <c r="T220" s="335">
        <v>72532448</v>
      </c>
      <c r="U220" s="335">
        <f>T220*18/17</f>
        <v>76799062.588235289</v>
      </c>
      <c r="V220" s="335">
        <f>$T220*19/17</f>
        <v>81065677.176470593</v>
      </c>
      <c r="W220" s="335">
        <f>$T220*20/17</f>
        <v>85332291.764705881</v>
      </c>
      <c r="X220" s="335">
        <f>$T220*21/17</f>
        <v>89598906.35294117</v>
      </c>
      <c r="Y220" s="335">
        <f>$T220*22.5/17</f>
        <v>95998828.235294119</v>
      </c>
      <c r="AC220" s="1049">
        <f t="shared" ref="AC220:AF222" si="271">T220/T$223</f>
        <v>0.43158003173901299</v>
      </c>
      <c r="AD220" s="1049">
        <f t="shared" si="271"/>
        <v>0.43158003173901305</v>
      </c>
      <c r="AE220" s="1049">
        <f t="shared" si="271"/>
        <v>0.43158003173901299</v>
      </c>
      <c r="AF220" s="1049">
        <f t="shared" si="271"/>
        <v>0.43158003173901299</v>
      </c>
    </row>
    <row r="221" spans="5:32" x14ac:dyDescent="0.45">
      <c r="S221" s="325" t="s">
        <v>3</v>
      </c>
      <c r="T221" s="335">
        <v>24917775</v>
      </c>
      <c r="U221" s="335">
        <f>T221*18/17</f>
        <v>26383526.470588237</v>
      </c>
      <c r="V221" s="335">
        <f>$T221*19/17</f>
        <v>27849277.94117647</v>
      </c>
      <c r="W221" s="335">
        <f>$T221*20/17</f>
        <v>29315029.411764707</v>
      </c>
      <c r="X221" s="335">
        <f>$T221*21/17</f>
        <v>30780780.882352941</v>
      </c>
      <c r="Y221" s="335">
        <f>$T221*22.5/17</f>
        <v>32979408.088235293</v>
      </c>
      <c r="AC221" s="1049">
        <f t="shared" si="271"/>
        <v>0.14826487209373637</v>
      </c>
      <c r="AD221" s="1049">
        <f t="shared" si="271"/>
        <v>0.1482648720937364</v>
      </c>
      <c r="AE221" s="1049">
        <f t="shared" si="271"/>
        <v>0.14826487209373637</v>
      </c>
      <c r="AF221" s="1049">
        <f t="shared" si="271"/>
        <v>0.1482648720937364</v>
      </c>
    </row>
    <row r="222" spans="5:32" x14ac:dyDescent="0.45">
      <c r="S222" s="325" t="s">
        <v>4</v>
      </c>
      <c r="T222" s="335">
        <v>70612344</v>
      </c>
      <c r="U222" s="335">
        <f>T222*18/17</f>
        <v>74766011.294117644</v>
      </c>
      <c r="V222" s="335">
        <f>$T222*19/17</f>
        <v>78919678.588235289</v>
      </c>
      <c r="W222" s="335">
        <f>$T222*20/17</f>
        <v>83073345.882352948</v>
      </c>
      <c r="X222" s="335">
        <f>$T222*21/17</f>
        <v>87227013.176470593</v>
      </c>
      <c r="Y222" s="335">
        <f>$T222*22.5/17</f>
        <v>93457514.117647052</v>
      </c>
      <c r="AC222" s="1049">
        <f t="shared" si="271"/>
        <v>0.42015509616725061</v>
      </c>
      <c r="AD222" s="1049">
        <f t="shared" si="271"/>
        <v>0.42015509616725066</v>
      </c>
      <c r="AE222" s="1049">
        <f t="shared" si="271"/>
        <v>0.42015509616725055</v>
      </c>
      <c r="AF222" s="1049">
        <f t="shared" si="271"/>
        <v>0.42015509616725066</v>
      </c>
    </row>
    <row r="223" spans="5:32" x14ac:dyDescent="0.45">
      <c r="S223" s="1107"/>
      <c r="T223" s="1108">
        <f t="shared" ref="T223:Y223" si="272">SUM(T220:T222)</f>
        <v>168062567</v>
      </c>
      <c r="U223" s="1108">
        <f t="shared" si="272"/>
        <v>177948600.35294116</v>
      </c>
      <c r="V223" s="1108">
        <f t="shared" si="272"/>
        <v>187834633.70588237</v>
      </c>
      <c r="W223" s="1108">
        <f t="shared" si="272"/>
        <v>197720667.05882353</v>
      </c>
      <c r="X223" s="1108">
        <f t="shared" si="272"/>
        <v>207606700.41176468</v>
      </c>
      <c r="Y223" s="1108">
        <f t="shared" si="272"/>
        <v>222435750.44117647</v>
      </c>
    </row>
    <row r="226" spans="17:33" x14ac:dyDescent="0.45">
      <c r="S226" s="1116" t="s">
        <v>155</v>
      </c>
      <c r="T226"/>
      <c r="U226"/>
      <c r="V226"/>
    </row>
    <row r="227" spans="17:33" x14ac:dyDescent="0.45">
      <c r="S227" s="1114" t="s">
        <v>239</v>
      </c>
      <c r="T227" s="1114" t="s">
        <v>456</v>
      </c>
      <c r="U227" s="1114" t="s">
        <v>457</v>
      </c>
      <c r="V227" s="1114" t="s">
        <v>494</v>
      </c>
      <c r="W227" s="1114" t="s">
        <v>495</v>
      </c>
      <c r="X227" s="1114" t="s">
        <v>496</v>
      </c>
      <c r="Y227" s="1129" t="s">
        <v>497</v>
      </c>
      <c r="Z227" s="1129" t="s">
        <v>498</v>
      </c>
    </row>
    <row r="228" spans="17:33" x14ac:dyDescent="0.45">
      <c r="Q228">
        <v>40</v>
      </c>
      <c r="S228" s="325" t="s">
        <v>2</v>
      </c>
      <c r="T228" s="1103">
        <f>(T220*$Q67)/40</f>
        <v>10408406.288000001</v>
      </c>
      <c r="U228" s="1103">
        <f>(U220*$Q67)/40</f>
        <v>11020665.481411764</v>
      </c>
      <c r="V228" s="1103">
        <f>(U220*$O67)/40</f>
        <v>11020665.481411764</v>
      </c>
      <c r="W228" s="1103">
        <f>(V220*$O67)/40</f>
        <v>11632924.67482353</v>
      </c>
      <c r="X228" s="1103">
        <f>(W220*$O67)/40</f>
        <v>12245183.868235294</v>
      </c>
      <c r="Y228" s="1103">
        <f>(X220*$O67)/40</f>
        <v>12857443.061647059</v>
      </c>
      <c r="Z228" s="1103">
        <f>(Y220*$O67)/40</f>
        <v>13775831.851764705</v>
      </c>
      <c r="AC228" s="1049">
        <f t="shared" ref="AC228:AG230" si="273">T228/T$231</f>
        <v>0.43252983809294587</v>
      </c>
      <c r="AD228" s="1049">
        <f t="shared" si="273"/>
        <v>0.43252983809294582</v>
      </c>
      <c r="AE228" s="1049">
        <f t="shared" si="273"/>
        <v>0.43252983809294582</v>
      </c>
      <c r="AF228" s="1049">
        <f t="shared" si="273"/>
        <v>0.43252983809294587</v>
      </c>
      <c r="AG228" s="1049">
        <f t="shared" si="273"/>
        <v>0.43252983809294576</v>
      </c>
    </row>
    <row r="229" spans="17:33" x14ac:dyDescent="0.45">
      <c r="S229" s="325" t="s">
        <v>3</v>
      </c>
      <c r="T229" s="1103">
        <f>(T221*$AD67)/40</f>
        <v>3575700.7124999999</v>
      </c>
      <c r="U229" s="1103">
        <f>(U221*$AD67)/40</f>
        <v>3786036.0485294117</v>
      </c>
      <c r="V229" s="1103">
        <f>(U221*$AB67)/40</f>
        <v>3786036.0485294117</v>
      </c>
      <c r="W229" s="1103">
        <f>(V221*$AB67)/40</f>
        <v>3996371.3845588239</v>
      </c>
      <c r="X229" s="1103">
        <f>(W221*$AB67)/40</f>
        <v>4206706.7205882352</v>
      </c>
      <c r="Y229" s="1103">
        <f>(X221*$AB67)/40</f>
        <v>4417042.0566176474</v>
      </c>
      <c r="Z229" s="1103">
        <f>(Y221*$AB67)/40</f>
        <v>4732545.0606617648</v>
      </c>
      <c r="AC229" s="1049">
        <f t="shared" si="273"/>
        <v>0.14859116827804369</v>
      </c>
      <c r="AD229" s="1049">
        <f t="shared" si="273"/>
        <v>0.14859116827804367</v>
      </c>
      <c r="AE229" s="1049">
        <f t="shared" si="273"/>
        <v>0.14859116827804367</v>
      </c>
      <c r="AF229" s="1049">
        <f t="shared" si="273"/>
        <v>0.14859116827804369</v>
      </c>
      <c r="AG229" s="1049">
        <f t="shared" si="273"/>
        <v>0.14859116827804367</v>
      </c>
    </row>
    <row r="230" spans="17:33" x14ac:dyDescent="0.45">
      <c r="S230" s="325" t="s">
        <v>4</v>
      </c>
      <c r="T230" s="1103">
        <f>(T222*$AS67)/40</f>
        <v>10079912.106000001</v>
      </c>
      <c r="U230" s="1103">
        <f>(U222*$AS67)/40</f>
        <v>10672848.112235295</v>
      </c>
      <c r="V230" s="1103">
        <f>(U222*$AQ67)/40</f>
        <v>10672848.112235295</v>
      </c>
      <c r="W230" s="1103">
        <f>(V222*$AQ67)/40</f>
        <v>11265784.118470587</v>
      </c>
      <c r="X230" s="1103">
        <f>(W222*$AQ67)/40</f>
        <v>11858720.124705885</v>
      </c>
      <c r="Y230" s="1103">
        <f>(X222*$AQ67)/40</f>
        <v>12451656.130941177</v>
      </c>
      <c r="Z230" s="1103">
        <f>(Y222*$AQ67)/40</f>
        <v>13341060.140294116</v>
      </c>
      <c r="AC230" s="1049">
        <f t="shared" si="273"/>
        <v>0.41887899362901049</v>
      </c>
      <c r="AD230" s="1049">
        <f t="shared" si="273"/>
        <v>0.41887899362901049</v>
      </c>
      <c r="AE230" s="1049">
        <f t="shared" si="273"/>
        <v>0.41887899362901049</v>
      </c>
      <c r="AF230" s="1049">
        <f t="shared" si="273"/>
        <v>0.41887899362901043</v>
      </c>
      <c r="AG230" s="1049">
        <f t="shared" si="273"/>
        <v>0.41887899362901049</v>
      </c>
    </row>
    <row r="231" spans="17:33" x14ac:dyDescent="0.45">
      <c r="S231" s="1107"/>
      <c r="T231" s="1110">
        <f t="shared" ref="T231:Z231" si="274">SUM(T228:T230)</f>
        <v>24064019.1065</v>
      </c>
      <c r="U231" s="1110">
        <f t="shared" si="274"/>
        <v>25479549.642176472</v>
      </c>
      <c r="V231" s="1110">
        <f t="shared" si="274"/>
        <v>25479549.642176472</v>
      </c>
      <c r="W231" s="1110">
        <f t="shared" si="274"/>
        <v>26895080.17785294</v>
      </c>
      <c r="X231" s="1110">
        <f t="shared" si="274"/>
        <v>28310610.713529415</v>
      </c>
      <c r="Y231" s="1110">
        <f t="shared" si="274"/>
        <v>29726141.24920588</v>
      </c>
      <c r="Z231" s="1110">
        <f t="shared" si="274"/>
        <v>31849437.052720588</v>
      </c>
    </row>
    <row r="235" spans="17:33" x14ac:dyDescent="0.45">
      <c r="S235" s="1116" t="s">
        <v>79</v>
      </c>
      <c r="T235"/>
      <c r="U235"/>
      <c r="V235"/>
    </row>
    <row r="236" spans="17:33" x14ac:dyDescent="0.45">
      <c r="S236" s="1114" t="s">
        <v>239</v>
      </c>
      <c r="T236" s="1114" t="s">
        <v>456</v>
      </c>
      <c r="U236" s="1114" t="s">
        <v>457</v>
      </c>
      <c r="V236" s="1114" t="s">
        <v>458</v>
      </c>
      <c r="W236" s="1114" t="s">
        <v>459</v>
      </c>
      <c r="X236" s="1129" t="s">
        <v>492</v>
      </c>
      <c r="Y236" s="1129" t="s">
        <v>493</v>
      </c>
    </row>
    <row r="237" spans="17:33" x14ac:dyDescent="0.45">
      <c r="S237" s="325" t="s">
        <v>2</v>
      </c>
      <c r="T237" s="1103">
        <f t="shared" ref="T237:Y237" si="275">(T220*$Q74)/40</f>
        <v>6593858.9090909082</v>
      </c>
      <c r="U237" s="1103">
        <f t="shared" si="275"/>
        <v>6981732.9625668433</v>
      </c>
      <c r="V237" s="1103">
        <f t="shared" si="275"/>
        <v>7369607.0160427811</v>
      </c>
      <c r="W237" s="1103">
        <f t="shared" si="275"/>
        <v>7757481.069518717</v>
      </c>
      <c r="X237" s="1103">
        <f t="shared" si="275"/>
        <v>8145355.1229946511</v>
      </c>
      <c r="Y237" s="1103">
        <f t="shared" si="275"/>
        <v>8727166.2032085545</v>
      </c>
      <c r="AA237" s="1130">
        <f>X237/Y228</f>
        <v>0.63351282863477976</v>
      </c>
    </row>
    <row r="238" spans="17:33" x14ac:dyDescent="0.45">
      <c r="S238" s="325" t="s">
        <v>3</v>
      </c>
      <c r="T238" s="1103">
        <f t="shared" ref="T238:Y238" si="276">(T221*$AD74)/40</f>
        <v>2657896</v>
      </c>
      <c r="U238" s="1103">
        <f t="shared" si="276"/>
        <v>2814242.823529412</v>
      </c>
      <c r="V238" s="1103">
        <f t="shared" si="276"/>
        <v>2970589.6470588231</v>
      </c>
      <c r="W238" s="1103">
        <f t="shared" si="276"/>
        <v>3126936.4705882357</v>
      </c>
      <c r="X238" s="1103">
        <f t="shared" si="276"/>
        <v>3283283.2941176472</v>
      </c>
      <c r="Y238" s="1103">
        <f t="shared" si="276"/>
        <v>3517803.5294117643</v>
      </c>
      <c r="AA238" s="1130">
        <f>X238/Y229</f>
        <v>0.74332171893147503</v>
      </c>
    </row>
    <row r="239" spans="17:33" x14ac:dyDescent="0.45">
      <c r="S239" s="325" t="s">
        <v>4</v>
      </c>
      <c r="T239" s="1103">
        <f t="shared" ref="T239:Y239" si="277">(T222*$AS74)/40</f>
        <v>8597282.1428571418</v>
      </c>
      <c r="U239" s="1103">
        <f t="shared" si="277"/>
        <v>9103004.6218487378</v>
      </c>
      <c r="V239" s="1103">
        <f t="shared" si="277"/>
        <v>9608727.1008403338</v>
      </c>
      <c r="W239" s="1103">
        <f t="shared" si="277"/>
        <v>10114449.579831932</v>
      </c>
      <c r="X239" s="1103">
        <f t="shared" si="277"/>
        <v>10620172.05882353</v>
      </c>
      <c r="Y239" s="1103">
        <f t="shared" si="277"/>
        <v>11378755.777310923</v>
      </c>
      <c r="AA239" s="1130">
        <f>X239/Y230</f>
        <v>0.85291241158141329</v>
      </c>
    </row>
    <row r="240" spans="17:33" x14ac:dyDescent="0.45">
      <c r="S240" s="1107"/>
      <c r="T240" s="1110">
        <f t="shared" ref="T240:Y240" si="278">SUM(T237:T239)</f>
        <v>17849037.051948048</v>
      </c>
      <c r="U240" s="1110">
        <f t="shared" si="278"/>
        <v>18898980.407944992</v>
      </c>
      <c r="V240" s="1110">
        <f t="shared" si="278"/>
        <v>19948923.763941936</v>
      </c>
      <c r="W240" s="1110">
        <f t="shared" si="278"/>
        <v>20998867.119938884</v>
      </c>
      <c r="X240" s="1110">
        <f t="shared" si="278"/>
        <v>22048810.475935828</v>
      </c>
      <c r="Y240" s="1110">
        <f t="shared" si="278"/>
        <v>23623725.509931244</v>
      </c>
    </row>
    <row r="244" spans="19:26" x14ac:dyDescent="0.45">
      <c r="S244" s="1116" t="s">
        <v>158</v>
      </c>
      <c r="T244"/>
      <c r="U244"/>
      <c r="V244"/>
    </row>
    <row r="245" spans="19:26" x14ac:dyDescent="0.45">
      <c r="S245" s="1114" t="s">
        <v>239</v>
      </c>
      <c r="T245" s="1114" t="s">
        <v>456</v>
      </c>
      <c r="U245" s="1114" t="s">
        <v>457</v>
      </c>
      <c r="V245" s="1114" t="s">
        <v>457</v>
      </c>
      <c r="W245" s="1114" t="s">
        <v>458</v>
      </c>
      <c r="X245" s="1114" t="s">
        <v>459</v>
      </c>
      <c r="Y245" s="1129" t="s">
        <v>492</v>
      </c>
      <c r="Z245" s="1129" t="s">
        <v>493</v>
      </c>
    </row>
    <row r="246" spans="19:26" x14ac:dyDescent="0.45">
      <c r="S246" s="325" t="s">
        <v>2</v>
      </c>
      <c r="T246" s="1103">
        <f>(T220*$Q57)/40</f>
        <v>1450648.9600000002</v>
      </c>
      <c r="U246" s="1103">
        <f>(U220*$Q57)/40</f>
        <v>1535981.2517647059</v>
      </c>
      <c r="V246" s="1103">
        <f>(U220*$O57)/40</f>
        <v>1535981.2517647059</v>
      </c>
      <c r="W246" s="1103">
        <f>(V220*$O57)/40</f>
        <v>1621313.543529412</v>
      </c>
      <c r="X246" s="1103">
        <f>(W220*$O57)/40</f>
        <v>1706645.8352941177</v>
      </c>
      <c r="Y246" s="1103">
        <f>(X220*$O57)/40</f>
        <v>1791978.1270588234</v>
      </c>
      <c r="Z246" s="1103">
        <f>(Y220*$O57)/40</f>
        <v>1919976.5647058827</v>
      </c>
    </row>
    <row r="247" spans="19:26" x14ac:dyDescent="0.45">
      <c r="S247" s="325" t="s">
        <v>3</v>
      </c>
      <c r="T247" s="1103">
        <f>(T221*$AD57)/40</f>
        <v>498355.5</v>
      </c>
      <c r="U247" s="1103">
        <f>(U221*$AD57)/40</f>
        <v>527670.52941176482</v>
      </c>
      <c r="V247" s="1103">
        <f>(U221*$AB57)/40</f>
        <v>527670.52941176482</v>
      </c>
      <c r="W247" s="1103">
        <f>(V221*$AB57)/40</f>
        <v>556985.5588235294</v>
      </c>
      <c r="X247" s="1103">
        <f>(W221*$AB57)/40</f>
        <v>586300.58823529421</v>
      </c>
      <c r="Y247" s="1103">
        <f>(X221*$AB57)/40</f>
        <v>615615.61764705891</v>
      </c>
      <c r="Z247" s="1103">
        <f>(Y221*$AB57)/40</f>
        <v>659588.1617647059</v>
      </c>
    </row>
    <row r="248" spans="19:26" x14ac:dyDescent="0.45">
      <c r="S248" s="325" t="s">
        <v>4</v>
      </c>
      <c r="T248" s="1103">
        <f>(T222*$AS57)/40</f>
        <v>1147450.5900000001</v>
      </c>
      <c r="U248" s="1103">
        <f>(U222*$AS57)/40</f>
        <v>1214947.6835294119</v>
      </c>
      <c r="V248" s="1103">
        <f>(U222*$AQ57)/40</f>
        <v>1214947.6835294119</v>
      </c>
      <c r="W248" s="1103">
        <f>(V222*$AQ57)/40</f>
        <v>1282444.7770588235</v>
      </c>
      <c r="X248" s="1103">
        <f>(W222*$AQ57)/40</f>
        <v>1349941.8705882353</v>
      </c>
      <c r="Y248" s="1103">
        <f>(X222*$AQ57)/40</f>
        <v>1417438.9641176471</v>
      </c>
      <c r="Z248" s="1103">
        <f>(Y222*$AQ57)/40</f>
        <v>1518684.6044117645</v>
      </c>
    </row>
    <row r="249" spans="19:26" x14ac:dyDescent="0.45">
      <c r="S249" s="1107"/>
      <c r="T249" s="1110">
        <f t="shared" ref="T249:Z249" si="279">SUM(T246:T248)</f>
        <v>3096455.0500000003</v>
      </c>
      <c r="U249" s="1110">
        <f t="shared" si="279"/>
        <v>3278599.4647058826</v>
      </c>
      <c r="V249" s="1110">
        <f t="shared" si="279"/>
        <v>3278599.4647058826</v>
      </c>
      <c r="W249" s="1110">
        <f t="shared" si="279"/>
        <v>3460743.8794117649</v>
      </c>
      <c r="X249" s="1110">
        <f t="shared" si="279"/>
        <v>3642888.2941176472</v>
      </c>
      <c r="Y249" s="1110">
        <f t="shared" si="279"/>
        <v>3825032.7088235295</v>
      </c>
      <c r="Z249" s="1110">
        <f t="shared" si="279"/>
        <v>4098249.3308823532</v>
      </c>
    </row>
    <row r="250" spans="19:26" x14ac:dyDescent="0.45">
      <c r="T250" s="1127"/>
      <c r="U250" s="1127"/>
      <c r="V250" s="1127"/>
      <c r="W250" s="1105"/>
    </row>
    <row r="251" spans="19:26" x14ac:dyDescent="0.45">
      <c r="T251" s="1127"/>
      <c r="U251" s="1127"/>
      <c r="V251" s="1127"/>
      <c r="W251" s="1105"/>
    </row>
    <row r="252" spans="19:26" x14ac:dyDescent="0.45">
      <c r="T252" s="1127"/>
      <c r="U252" s="1127"/>
      <c r="V252" s="1127"/>
      <c r="W252" s="1105"/>
    </row>
    <row r="253" spans="19:26" x14ac:dyDescent="0.45">
      <c r="S253" s="1116" t="s">
        <v>161</v>
      </c>
      <c r="T253" s="1105"/>
      <c r="U253" s="1105"/>
      <c r="V253" s="1105"/>
      <c r="W253" s="1105"/>
    </row>
    <row r="254" spans="19:26" x14ac:dyDescent="0.45">
      <c r="S254" s="1114" t="s">
        <v>239</v>
      </c>
      <c r="T254" s="1128" t="s">
        <v>456</v>
      </c>
      <c r="U254" s="1128" t="s">
        <v>457</v>
      </c>
      <c r="V254" s="1128" t="s">
        <v>457</v>
      </c>
      <c r="W254" s="1128" t="s">
        <v>458</v>
      </c>
      <c r="X254" s="1128" t="s">
        <v>459</v>
      </c>
      <c r="Y254" s="1129" t="s">
        <v>492</v>
      </c>
      <c r="Z254" s="1129" t="s">
        <v>493</v>
      </c>
    </row>
    <row r="255" spans="19:26" x14ac:dyDescent="0.45">
      <c r="S255" s="325" t="s">
        <v>2</v>
      </c>
      <c r="T255" s="1103">
        <f>(T220)/40*$Q92</f>
        <v>1813311.2</v>
      </c>
      <c r="U255" s="1103">
        <f>(U220)/40*$Q92</f>
        <v>1919976.5647058822</v>
      </c>
      <c r="V255" s="1103">
        <f>(U220)/40*0.5</f>
        <v>959988.28235294111</v>
      </c>
      <c r="W255" s="1103">
        <f>(V220)/40*$Q92</f>
        <v>2026641.9294117647</v>
      </c>
      <c r="X255" s="1103">
        <f>(W220)/40*$Q92</f>
        <v>2133307.2941176472</v>
      </c>
      <c r="Y255" s="1103">
        <f>(X220)/40*$Q92</f>
        <v>2239972.6588235293</v>
      </c>
      <c r="Z255" s="1103">
        <f>(Y220)/40*$Q92</f>
        <v>2399970.7058823528</v>
      </c>
    </row>
    <row r="256" spans="19:26" x14ac:dyDescent="0.45">
      <c r="S256" s="325" t="s">
        <v>3</v>
      </c>
      <c r="T256" s="1103">
        <f>(T221)/40*$AD92</f>
        <v>311472.1875</v>
      </c>
      <c r="U256" s="1103">
        <f>(U221)/40*$AD92</f>
        <v>329794.08088235295</v>
      </c>
      <c r="V256" s="1103">
        <f>(U221)/40*0.3</f>
        <v>197876.44852941178</v>
      </c>
      <c r="W256" s="1103">
        <f>(V221)/40*$AD92</f>
        <v>348115.9742647059</v>
      </c>
      <c r="X256" s="1103">
        <f>(W221)/40*$AD92</f>
        <v>366437.86764705885</v>
      </c>
      <c r="Y256" s="1103">
        <f>(X221)/40*$AD92</f>
        <v>384759.76102941175</v>
      </c>
      <c r="Z256" s="1103">
        <f>(Y221)/40*$AD92</f>
        <v>412242.60110294115</v>
      </c>
    </row>
    <row r="257" spans="19:26" x14ac:dyDescent="0.45">
      <c r="S257" s="325" t="s">
        <v>4</v>
      </c>
      <c r="T257" s="1103">
        <f>(T222)/40*$AS92</f>
        <v>0</v>
      </c>
      <c r="U257" s="1103">
        <f>(U222)/40*$AS92</f>
        <v>0</v>
      </c>
      <c r="V257" s="1103">
        <f>(U222)/40*$AQ92</f>
        <v>0</v>
      </c>
      <c r="W257" s="1103">
        <f>(V222)/40*$AS92</f>
        <v>0</v>
      </c>
      <c r="X257" s="1103">
        <f>(W222)/40*$AS92</f>
        <v>0</v>
      </c>
      <c r="Y257" s="1103">
        <f>(X222)/40*$AS92</f>
        <v>0</v>
      </c>
      <c r="Z257" s="1103">
        <f>(Y222)/40*$AS92</f>
        <v>0</v>
      </c>
    </row>
    <row r="258" spans="19:26" x14ac:dyDescent="0.45">
      <c r="S258" s="1107"/>
      <c r="T258" s="1110">
        <f t="shared" ref="T258:Z258" si="280">SUM(T255:T257)</f>
        <v>2124783.3875000002</v>
      </c>
      <c r="U258" s="1110">
        <f t="shared" si="280"/>
        <v>2249770.645588235</v>
      </c>
      <c r="V258" s="1110">
        <f t="shared" si="280"/>
        <v>1157864.7308823529</v>
      </c>
      <c r="W258" s="1110">
        <f t="shared" si="280"/>
        <v>2374757.9036764707</v>
      </c>
      <c r="X258" s="1110">
        <f t="shared" si="280"/>
        <v>2499745.161764706</v>
      </c>
      <c r="Y258" s="1110">
        <f t="shared" si="280"/>
        <v>2624732.4198529408</v>
      </c>
      <c r="Z258" s="1110">
        <f t="shared" si="280"/>
        <v>2812213.306985294</v>
      </c>
    </row>
    <row r="262" spans="19:26" x14ac:dyDescent="0.45">
      <c r="S262" s="1116" t="s">
        <v>499</v>
      </c>
      <c r="T262" s="1105"/>
      <c r="U262" s="1105"/>
      <c r="V262" s="1105"/>
      <c r="W262" s="1105"/>
    </row>
    <row r="263" spans="19:26" x14ac:dyDescent="0.45">
      <c r="S263" s="1114" t="s">
        <v>239</v>
      </c>
      <c r="T263" s="1128" t="s">
        <v>456</v>
      </c>
      <c r="U263" s="1128" t="s">
        <v>457</v>
      </c>
      <c r="V263" s="1128" t="s">
        <v>457</v>
      </c>
      <c r="W263" s="1128" t="s">
        <v>458</v>
      </c>
      <c r="X263" s="1128" t="s">
        <v>459</v>
      </c>
      <c r="Y263" s="1129" t="s">
        <v>492</v>
      </c>
      <c r="Z263" s="1129" t="s">
        <v>493</v>
      </c>
    </row>
    <row r="264" spans="19:26" x14ac:dyDescent="0.45">
      <c r="S264" s="325" t="s">
        <v>2</v>
      </c>
      <c r="T264" s="1103">
        <f>(T220)/40*-$Q96</f>
        <v>187325.53719008266</v>
      </c>
      <c r="U264" s="1103">
        <f>(U220)/40*-$Q96</f>
        <v>198344.68643655808</v>
      </c>
      <c r="V264" s="1103">
        <f>(U220)/40*-$Q96</f>
        <v>198344.68643655808</v>
      </c>
      <c r="W264" s="1103">
        <f>(V220)/40*-$Q96</f>
        <v>209363.83568303354</v>
      </c>
      <c r="X264" s="1103">
        <f>(W220)/40*-$Q96</f>
        <v>220382.98492950902</v>
      </c>
      <c r="Y264" s="1103">
        <f>(X220)/40*-$Q96</f>
        <v>231402.13417598442</v>
      </c>
      <c r="Z264" s="1103">
        <f>(Y220)/40*-$Q96</f>
        <v>247930.85804569762</v>
      </c>
    </row>
    <row r="265" spans="19:26" x14ac:dyDescent="0.45">
      <c r="S265" s="325" t="s">
        <v>3</v>
      </c>
      <c r="T265" s="1103">
        <f>(T221)/40*-$AD96</f>
        <v>48265.318310950417</v>
      </c>
      <c r="U265" s="1103">
        <f>(U221)/40*-$AD96</f>
        <v>51104.454682182797</v>
      </c>
      <c r="V265" s="1103">
        <f>(U221)/40*-$AD96</f>
        <v>51104.454682182797</v>
      </c>
      <c r="W265" s="1103">
        <f>(V221)/40*-$AD96</f>
        <v>53943.591053415177</v>
      </c>
      <c r="X265" s="1103">
        <f>(W221)/40*-$AD96</f>
        <v>56782.727424647557</v>
      </c>
      <c r="Y265" s="1103">
        <f>(X221)/40*-$AD96</f>
        <v>59621.863795879923</v>
      </c>
      <c r="Z265" s="1103">
        <f>(Y221)/40*-$AD96</f>
        <v>63880.568352728485</v>
      </c>
    </row>
    <row r="266" spans="19:26" x14ac:dyDescent="0.45">
      <c r="S266" s="325" t="s">
        <v>4</v>
      </c>
      <c r="T266" s="1103">
        <f>(T222)/40*-$AS96</f>
        <v>152661.89864788734</v>
      </c>
      <c r="U266" s="1103">
        <f>(U222)/40*-$AS96</f>
        <v>161642.01033305717</v>
      </c>
      <c r="V266" s="1103">
        <f>(U222)/40*-$AS96</f>
        <v>161642.01033305717</v>
      </c>
      <c r="W266" s="1103">
        <f>(V222)/40*-$AS96</f>
        <v>170622.122018227</v>
      </c>
      <c r="X266" s="1103">
        <f>(W222)/40*-$AS96</f>
        <v>179602.23370339687</v>
      </c>
      <c r="Y266" s="1103">
        <f>(X222)/40*-$AS96</f>
        <v>188582.3453885667</v>
      </c>
      <c r="Z266" s="1103">
        <f>(Y222)/40*-$AS96</f>
        <v>202052.51291632146</v>
      </c>
    </row>
    <row r="267" spans="19:26" x14ac:dyDescent="0.45">
      <c r="S267" s="1107"/>
      <c r="T267" s="1110">
        <f t="shared" ref="T267:Z267" si="281">SUM(T264:T266)</f>
        <v>388252.75414892042</v>
      </c>
      <c r="U267" s="1110">
        <f t="shared" si="281"/>
        <v>411091.15145179804</v>
      </c>
      <c r="V267" s="1110">
        <f t="shared" si="281"/>
        <v>411091.15145179804</v>
      </c>
      <c r="W267" s="1110">
        <f t="shared" si="281"/>
        <v>433929.54875467572</v>
      </c>
      <c r="X267" s="1110">
        <f t="shared" si="281"/>
        <v>456767.94605755346</v>
      </c>
      <c r="Y267" s="1110">
        <f t="shared" si="281"/>
        <v>479606.34336043103</v>
      </c>
      <c r="Z267" s="1110">
        <f t="shared" si="281"/>
        <v>513863.93931474758</v>
      </c>
    </row>
    <row r="271" spans="19:26" x14ac:dyDescent="0.45">
      <c r="S271" s="1116" t="s">
        <v>78</v>
      </c>
      <c r="T271" s="1105"/>
      <c r="U271" s="1105"/>
      <c r="V271" s="1105"/>
      <c r="W271" s="1105"/>
    </row>
    <row r="272" spans="19:26" x14ac:dyDescent="0.45">
      <c r="S272" s="1114" t="s">
        <v>239</v>
      </c>
      <c r="T272" s="1128" t="s">
        <v>456</v>
      </c>
      <c r="U272" s="1128" t="s">
        <v>457</v>
      </c>
      <c r="V272" s="1128" t="s">
        <v>457</v>
      </c>
      <c r="W272" s="1128" t="s">
        <v>458</v>
      </c>
      <c r="X272" s="1128" t="s">
        <v>459</v>
      </c>
      <c r="Y272" s="1129" t="s">
        <v>492</v>
      </c>
      <c r="Z272" s="1129" t="s">
        <v>493</v>
      </c>
    </row>
    <row r="273" spans="19:26" x14ac:dyDescent="0.45">
      <c r="S273" s="325" t="s">
        <v>2</v>
      </c>
      <c r="T273" s="1103">
        <f>(T220)/40*$Q72</f>
        <v>232057.80276414321</v>
      </c>
      <c r="U273" s="1103">
        <f>(U220)/40*$Q72</f>
        <v>245708.26175026927</v>
      </c>
      <c r="V273" s="1103">
        <f>(U220)/40*$Q72</f>
        <v>245708.26175026927</v>
      </c>
      <c r="W273" s="1103">
        <f>(V220)/40*$Q72</f>
        <v>259358.72073639536</v>
      </c>
      <c r="X273" s="1103">
        <f>(W220)/40*$Q72</f>
        <v>273009.17972252145</v>
      </c>
      <c r="Y273" s="1103">
        <f>(X220)/40*$Q72</f>
        <v>286659.63870864746</v>
      </c>
      <c r="Z273" s="1103">
        <f>(Y220)/40*$Q72</f>
        <v>307135.32718783658</v>
      </c>
    </row>
    <row r="274" spans="19:26" x14ac:dyDescent="0.45">
      <c r="S274" s="325" t="s">
        <v>3</v>
      </c>
      <c r="T274" s="1103">
        <f>(T221)/40*$AD72</f>
        <v>74862.782480893758</v>
      </c>
      <c r="U274" s="1103">
        <f>(U221)/40*$AD72</f>
        <v>79266.47556800516</v>
      </c>
      <c r="V274" s="1103">
        <f>(U221)/40*$AD72</f>
        <v>79266.47556800516</v>
      </c>
      <c r="W274" s="1103">
        <f>(V221)/40*$AD72</f>
        <v>83670.168655116548</v>
      </c>
      <c r="X274" s="1103">
        <f>(W221)/40*$AD72</f>
        <v>88073.861742227949</v>
      </c>
      <c r="Y274" s="1103">
        <f>(X221)/40*$AD72</f>
        <v>92477.554829339337</v>
      </c>
      <c r="Z274" s="1103">
        <f>(Y221)/40*$AD72</f>
        <v>99083.094460006425</v>
      </c>
    </row>
    <row r="275" spans="19:26" x14ac:dyDescent="0.45">
      <c r="S275" s="325" t="s">
        <v>4</v>
      </c>
      <c r="T275" s="1103">
        <f>(T222)/40*$AS72</f>
        <v>205156.58990414956</v>
      </c>
      <c r="U275" s="1103">
        <f>(U222)/40*$AS72</f>
        <v>217224.62460439364</v>
      </c>
      <c r="V275" s="1103">
        <f>(U222)/40*$AS72</f>
        <v>217224.62460439364</v>
      </c>
      <c r="W275" s="1103">
        <f>(V222)/40*$AS72</f>
        <v>229292.65930463769</v>
      </c>
      <c r="X275" s="1103">
        <f>(W222)/40*$AS72</f>
        <v>241360.69400488184</v>
      </c>
      <c r="Y275" s="1103">
        <f>(X222)/40*$AS72</f>
        <v>253428.72870512592</v>
      </c>
      <c r="Z275" s="1103">
        <f>(Y222)/40*$AS72</f>
        <v>271530.78075549204</v>
      </c>
    </row>
    <row r="276" spans="19:26" x14ac:dyDescent="0.45">
      <c r="S276" s="1107"/>
      <c r="T276" s="1110">
        <f t="shared" ref="T276:Z276" si="282">SUM(T273:T275)</f>
        <v>512077.17514918651</v>
      </c>
      <c r="U276" s="1110">
        <f t="shared" si="282"/>
        <v>542199.36192266806</v>
      </c>
      <c r="V276" s="1110">
        <f t="shared" si="282"/>
        <v>542199.36192266806</v>
      </c>
      <c r="W276" s="1110">
        <f t="shared" si="282"/>
        <v>572321.54869614961</v>
      </c>
      <c r="X276" s="1110">
        <f t="shared" si="282"/>
        <v>602443.73546963115</v>
      </c>
      <c r="Y276" s="1110">
        <f t="shared" si="282"/>
        <v>632565.9222431127</v>
      </c>
      <c r="Z276" s="1110">
        <f t="shared" si="282"/>
        <v>677749.20240333502</v>
      </c>
    </row>
  </sheetData>
  <mergeCells count="496">
    <mergeCell ref="EM9:EN9"/>
    <mergeCell ref="EJ2:EK2"/>
    <mergeCell ref="EJ3:EK3"/>
    <mergeCell ref="EJ4:EK5"/>
    <mergeCell ref="EJ6:EK6"/>
    <mergeCell ref="EJ7:EK7"/>
    <mergeCell ref="EJ8:EK8"/>
    <mergeCell ref="EJ9:EK9"/>
    <mergeCell ref="DV8:DW8"/>
    <mergeCell ref="DX8:DY8"/>
    <mergeCell ref="DV2:DW2"/>
    <mergeCell ref="DX2:DY2"/>
    <mergeCell ref="EM2:EN2"/>
    <mergeCell ref="EM3:EN3"/>
    <mergeCell ref="EM4:EN5"/>
    <mergeCell ref="EM6:EN6"/>
    <mergeCell ref="EM7:EN7"/>
    <mergeCell ref="EM8:EN8"/>
    <mergeCell ref="ED2:EE2"/>
    <mergeCell ref="ED3:EE3"/>
    <mergeCell ref="ED4:EE5"/>
    <mergeCell ref="DL7:DM7"/>
    <mergeCell ref="DH8:DI8"/>
    <mergeCell ref="DJ8:DK8"/>
    <mergeCell ref="DL8:DM8"/>
    <mergeCell ref="DH9:DI9"/>
    <mergeCell ref="DJ9:DK9"/>
    <mergeCell ref="DL9:DM9"/>
    <mergeCell ref="EG2:EH2"/>
    <mergeCell ref="EG3:EH3"/>
    <mergeCell ref="EG4:EH5"/>
    <mergeCell ref="EG6:EH6"/>
    <mergeCell ref="EG7:EH7"/>
    <mergeCell ref="EG8:EH8"/>
    <mergeCell ref="EG9:EH9"/>
    <mergeCell ref="DS2:DT2"/>
    <mergeCell ref="DO3:DP3"/>
    <mergeCell ref="DQ3:DR3"/>
    <mergeCell ref="DS3:DT3"/>
    <mergeCell ref="DO4:DP5"/>
    <mergeCell ref="DQ4:DR5"/>
    <mergeCell ref="DS4:DT5"/>
    <mergeCell ref="DV9:DW9"/>
    <mergeCell ref="DX9:DY9"/>
    <mergeCell ref="DV6:DW6"/>
    <mergeCell ref="DO9:DP9"/>
    <mergeCell ref="DQ9:DR9"/>
    <mergeCell ref="DS9:DT9"/>
    <mergeCell ref="DO6:DP6"/>
    <mergeCell ref="DQ6:DR6"/>
    <mergeCell ref="DS6:DT6"/>
    <mergeCell ref="DO7:DP7"/>
    <mergeCell ref="DQ7:DR7"/>
    <mergeCell ref="DS7:DT7"/>
    <mergeCell ref="DO8:DP8"/>
    <mergeCell ref="DQ8:DR8"/>
    <mergeCell ref="DS8:DT8"/>
    <mergeCell ref="DO2:DP2"/>
    <mergeCell ref="DQ2:DR2"/>
    <mergeCell ref="DV3:DW3"/>
    <mergeCell ref="DX3:DY3"/>
    <mergeCell ref="DV4:DW5"/>
    <mergeCell ref="DX4:DY5"/>
    <mergeCell ref="DX6:DY6"/>
    <mergeCell ref="DV7:DW7"/>
    <mergeCell ref="DX7:DY7"/>
    <mergeCell ref="DL2:DM2"/>
    <mergeCell ref="DH3:DI3"/>
    <mergeCell ref="DJ3:DK3"/>
    <mergeCell ref="DL3:DM3"/>
    <mergeCell ref="DH4:DI5"/>
    <mergeCell ref="DJ4:DK5"/>
    <mergeCell ref="DL4:DM5"/>
    <mergeCell ref="DH6:DI6"/>
    <mergeCell ref="DJ6:DK6"/>
    <mergeCell ref="DL6:DM6"/>
    <mergeCell ref="DA8:DB8"/>
    <mergeCell ref="DC8:DD8"/>
    <mergeCell ref="DE8:DF8"/>
    <mergeCell ref="CX4:CY5"/>
    <mergeCell ref="DA9:DB9"/>
    <mergeCell ref="DC9:DD9"/>
    <mergeCell ref="DE9:DF9"/>
    <mergeCell ref="DH2:DI2"/>
    <mergeCell ref="DJ2:DK2"/>
    <mergeCell ref="DH7:DI7"/>
    <mergeCell ref="DJ7:DK7"/>
    <mergeCell ref="DA4:DB5"/>
    <mergeCell ref="DC4:DD5"/>
    <mergeCell ref="DE4:DF5"/>
    <mergeCell ref="DA6:DB6"/>
    <mergeCell ref="DC6:DD6"/>
    <mergeCell ref="DE6:DF6"/>
    <mergeCell ref="DA7:DB7"/>
    <mergeCell ref="DC7:DD7"/>
    <mergeCell ref="DE7:DF7"/>
    <mergeCell ref="CX1:CY1"/>
    <mergeCell ref="CR2:CS2"/>
    <mergeCell ref="CT2:CU2"/>
    <mergeCell ref="CV2:CW2"/>
    <mergeCell ref="CX2:CY2"/>
    <mergeCell ref="CR3:CS3"/>
    <mergeCell ref="CT3:CU3"/>
    <mergeCell ref="CV3:CW3"/>
    <mergeCell ref="CX3:CY3"/>
    <mergeCell ref="CO1:CP1"/>
    <mergeCell ref="CM2:CN2"/>
    <mergeCell ref="CM3:CN3"/>
    <mergeCell ref="CM4:CN5"/>
    <mergeCell ref="CM6:CN6"/>
    <mergeCell ref="CM7:CN7"/>
    <mergeCell ref="CM8:CN8"/>
    <mergeCell ref="CM9:CN9"/>
    <mergeCell ref="CG8:CH8"/>
    <mergeCell ref="CG9:CH9"/>
    <mergeCell ref="CK6:CL6"/>
    <mergeCell ref="CK7:CL7"/>
    <mergeCell ref="CK8:CL8"/>
    <mergeCell ref="CK9:CL9"/>
    <mergeCell ref="CK2:CL2"/>
    <mergeCell ref="CK3:CL3"/>
    <mergeCell ref="CI4:CJ5"/>
    <mergeCell ref="CK4:CL5"/>
    <mergeCell ref="CI2:CJ2"/>
    <mergeCell ref="CO6:CP6"/>
    <mergeCell ref="CI8:CJ8"/>
    <mergeCell ref="CI7:CJ7"/>
    <mergeCell ref="CI3:CJ3"/>
    <mergeCell ref="CO9:CP9"/>
    <mergeCell ref="CG6:CH6"/>
    <mergeCell ref="CG7:CH7"/>
    <mergeCell ref="BU8:BV8"/>
    <mergeCell ref="BW7:BX7"/>
    <mergeCell ref="BW8:BX8"/>
    <mergeCell ref="CG4:CH5"/>
    <mergeCell ref="CI9:CJ9"/>
    <mergeCell ref="CA6:CB6"/>
    <mergeCell ref="BY6:BZ6"/>
    <mergeCell ref="CC6:CD6"/>
    <mergeCell ref="CC7:CD7"/>
    <mergeCell ref="CC8:CD8"/>
    <mergeCell ref="CC9:CD9"/>
    <mergeCell ref="BW9:BX9"/>
    <mergeCell ref="BY8:BZ8"/>
    <mergeCell ref="BU9:BV9"/>
    <mergeCell ref="CE9:CF9"/>
    <mergeCell ref="CI6:CJ6"/>
    <mergeCell ref="CE6:CF6"/>
    <mergeCell ref="CE7:CF7"/>
    <mergeCell ref="CE8:CF8"/>
    <mergeCell ref="BU7:BV7"/>
    <mergeCell ref="BO3:BP3"/>
    <mergeCell ref="BM4:BN5"/>
    <mergeCell ref="BK4:BL5"/>
    <mergeCell ref="BO4:BP5"/>
    <mergeCell ref="BC2:BD2"/>
    <mergeCell ref="BI2:BJ2"/>
    <mergeCell ref="BE2:BF2"/>
    <mergeCell ref="BC3:BD3"/>
    <mergeCell ref="BK2:BL2"/>
    <mergeCell ref="BG2:BH2"/>
    <mergeCell ref="BG3:BH3"/>
    <mergeCell ref="BG4:BH5"/>
    <mergeCell ref="BM3:BN3"/>
    <mergeCell ref="BI3:BJ3"/>
    <mergeCell ref="BK3:BL3"/>
    <mergeCell ref="BS8:BT8"/>
    <mergeCell ref="CC4:CD5"/>
    <mergeCell ref="BK9:BL9"/>
    <mergeCell ref="BS9:BT9"/>
    <mergeCell ref="BK8:BL8"/>
    <mergeCell ref="BO8:BP8"/>
    <mergeCell ref="BO9:BP9"/>
    <mergeCell ref="BQ9:BR9"/>
    <mergeCell ref="BM9:BN9"/>
    <mergeCell ref="CA9:CB9"/>
    <mergeCell ref="BY9:BZ9"/>
    <mergeCell ref="BY7:BZ7"/>
    <mergeCell ref="BY4:BZ5"/>
    <mergeCell ref="CA4:CB5"/>
    <mergeCell ref="CA7:CB7"/>
    <mergeCell ref="BK6:BL6"/>
    <mergeCell ref="BW6:BX6"/>
    <mergeCell ref="BS7:BT7"/>
    <mergeCell ref="BS4:BT5"/>
    <mergeCell ref="BW4:BX5"/>
    <mergeCell ref="BU4:BV5"/>
    <mergeCell ref="BU6:BV6"/>
    <mergeCell ref="CA8:CB8"/>
    <mergeCell ref="BM8:BN8"/>
    <mergeCell ref="AY7:AZ7"/>
    <mergeCell ref="AY8:AZ8"/>
    <mergeCell ref="AT4:AU5"/>
    <mergeCell ref="BE9:BF9"/>
    <mergeCell ref="BA9:BB9"/>
    <mergeCell ref="AY9:AZ9"/>
    <mergeCell ref="BI9:BJ9"/>
    <mergeCell ref="BC9:BD9"/>
    <mergeCell ref="AT6:AU6"/>
    <mergeCell ref="AT7:AU7"/>
    <mergeCell ref="BI4:BJ5"/>
    <mergeCell ref="BE4:BF5"/>
    <mergeCell ref="BG8:BH8"/>
    <mergeCell ref="BC8:BD8"/>
    <mergeCell ref="AW7:AX7"/>
    <mergeCell ref="AY4:AZ5"/>
    <mergeCell ref="BA7:BB7"/>
    <mergeCell ref="BQ7:BR7"/>
    <mergeCell ref="BQ8:BR8"/>
    <mergeCell ref="BC7:BD7"/>
    <mergeCell ref="BC6:BD6"/>
    <mergeCell ref="BC4:BD5"/>
    <mergeCell ref="BE6:BF6"/>
    <mergeCell ref="BE7:BF7"/>
    <mergeCell ref="BE8:BF8"/>
    <mergeCell ref="BI6:BJ6"/>
    <mergeCell ref="BI7:BJ7"/>
    <mergeCell ref="BI8:BJ8"/>
    <mergeCell ref="BG7:BH7"/>
    <mergeCell ref="BM7:BN7"/>
    <mergeCell ref="BO6:BP6"/>
    <mergeCell ref="BO7:BP7"/>
    <mergeCell ref="BK7:BL7"/>
    <mergeCell ref="U3:V3"/>
    <mergeCell ref="L8:M8"/>
    <mergeCell ref="N6:O6"/>
    <mergeCell ref="N7:O7"/>
    <mergeCell ref="P6:Q6"/>
    <mergeCell ref="P7:Q7"/>
    <mergeCell ref="W3:X3"/>
    <mergeCell ref="AA6:AB6"/>
    <mergeCell ref="U4:V5"/>
    <mergeCell ref="S3:T3"/>
    <mergeCell ref="AA4:AB5"/>
    <mergeCell ref="AA3:AB3"/>
    <mergeCell ref="AA7:AB7"/>
    <mergeCell ref="AA8:AB8"/>
    <mergeCell ref="S7:T7"/>
    <mergeCell ref="Y8:Z8"/>
    <mergeCell ref="S6:T6"/>
    <mergeCell ref="CE2:CF2"/>
    <mergeCell ref="CE3:CF3"/>
    <mergeCell ref="CE4:CF5"/>
    <mergeCell ref="BS3:BT3"/>
    <mergeCell ref="BU3:BV3"/>
    <mergeCell ref="CG2:CH2"/>
    <mergeCell ref="CG3:CH3"/>
    <mergeCell ref="BS6:BT6"/>
    <mergeCell ref="BG6:BH6"/>
    <mergeCell ref="BQ2:BR2"/>
    <mergeCell ref="BQ3:BR3"/>
    <mergeCell ref="BQ4:BR5"/>
    <mergeCell ref="BQ6:BR6"/>
    <mergeCell ref="CC2:CD2"/>
    <mergeCell ref="CA3:CB3"/>
    <mergeCell ref="CC3:CD3"/>
    <mergeCell ref="CA2:CB2"/>
    <mergeCell ref="BY2:BZ2"/>
    <mergeCell ref="BY3:BZ3"/>
    <mergeCell ref="BW2:BX2"/>
    <mergeCell ref="BW3:BX3"/>
    <mergeCell ref="BS2:BT2"/>
    <mergeCell ref="BU2:BV2"/>
    <mergeCell ref="BO2:BP2"/>
    <mergeCell ref="J2:K2"/>
    <mergeCell ref="S4:T5"/>
    <mergeCell ref="J3:K3"/>
    <mergeCell ref="J4:K5"/>
    <mergeCell ref="L2:M2"/>
    <mergeCell ref="L3:M3"/>
    <mergeCell ref="L4:M5"/>
    <mergeCell ref="N3:O3"/>
    <mergeCell ref="N4:O5"/>
    <mergeCell ref="S2:T2"/>
    <mergeCell ref="N2:O2"/>
    <mergeCell ref="P2:Q2"/>
    <mergeCell ref="P3:Q3"/>
    <mergeCell ref="P4:Q5"/>
    <mergeCell ref="AE3:AF3"/>
    <mergeCell ref="U2:V2"/>
    <mergeCell ref="AL4:AM5"/>
    <mergeCell ref="AP4:AQ5"/>
    <mergeCell ref="AJ3:AK3"/>
    <mergeCell ref="AE4:AF5"/>
    <mergeCell ref="AE2:AF2"/>
    <mergeCell ref="AH3:AI3"/>
    <mergeCell ref="AA2:AB2"/>
    <mergeCell ref="AC2:AD2"/>
    <mergeCell ref="W2:X2"/>
    <mergeCell ref="AC3:AD3"/>
    <mergeCell ref="AC4:AD5"/>
    <mergeCell ref="W4:X5"/>
    <mergeCell ref="AL2:AM2"/>
    <mergeCell ref="Y2:Z2"/>
    <mergeCell ref="Y3:Z3"/>
    <mergeCell ref="Y4:Z5"/>
    <mergeCell ref="AJ2:AK2"/>
    <mergeCell ref="AJ4:AK5"/>
    <mergeCell ref="AN2:AO2"/>
    <mergeCell ref="AL3:AM3"/>
    <mergeCell ref="AN3:AO3"/>
    <mergeCell ref="AN4:AO5"/>
    <mergeCell ref="AT2:AU2"/>
    <mergeCell ref="AR2:AS2"/>
    <mergeCell ref="AH2:AI2"/>
    <mergeCell ref="AP2:AQ2"/>
    <mergeCell ref="AP3:AQ3"/>
    <mergeCell ref="AR4:AS5"/>
    <mergeCell ref="AR3:AS3"/>
    <mergeCell ref="BM6:BN6"/>
    <mergeCell ref="AH6:AI6"/>
    <mergeCell ref="AL6:AM6"/>
    <mergeCell ref="AW2:AX2"/>
    <mergeCell ref="AW3:AX3"/>
    <mergeCell ref="AW4:AX5"/>
    <mergeCell ref="AW6:AX6"/>
    <mergeCell ref="BA4:BB5"/>
    <mergeCell ref="BA6:BB6"/>
    <mergeCell ref="AY3:AZ3"/>
    <mergeCell ref="AY6:AZ6"/>
    <mergeCell ref="AY2:AZ2"/>
    <mergeCell ref="AT3:AU3"/>
    <mergeCell ref="BM2:BN2"/>
    <mergeCell ref="BA2:BB2"/>
    <mergeCell ref="BE3:BF3"/>
    <mergeCell ref="BA3:BB3"/>
    <mergeCell ref="AC6:AD6"/>
    <mergeCell ref="AC7:AD7"/>
    <mergeCell ref="W6:X6"/>
    <mergeCell ref="W7:X7"/>
    <mergeCell ref="Y6:Z6"/>
    <mergeCell ref="Y7:Z7"/>
    <mergeCell ref="AL7:AM7"/>
    <mergeCell ref="AN7:AO7"/>
    <mergeCell ref="AH4:AI5"/>
    <mergeCell ref="AE9:AF9"/>
    <mergeCell ref="AL9:AM9"/>
    <mergeCell ref="AL8:AM8"/>
    <mergeCell ref="BG9:BH9"/>
    <mergeCell ref="AH9:AI9"/>
    <mergeCell ref="AH8:AI8"/>
    <mergeCell ref="BA8:BB8"/>
    <mergeCell ref="AJ8:AK8"/>
    <mergeCell ref="AJ9:AK9"/>
    <mergeCell ref="AW9:AX9"/>
    <mergeCell ref="AW8:AX8"/>
    <mergeCell ref="AN8:AO8"/>
    <mergeCell ref="AN9:AO9"/>
    <mergeCell ref="AT8:AU8"/>
    <mergeCell ref="AT9:AU9"/>
    <mergeCell ref="AP8:AQ8"/>
    <mergeCell ref="AP9:AQ9"/>
    <mergeCell ref="AR8:AS8"/>
    <mergeCell ref="AR9:AS9"/>
    <mergeCell ref="N9:O9"/>
    <mergeCell ref="AC8:AD8"/>
    <mergeCell ref="AC9:AD9"/>
    <mergeCell ref="P8:Q8"/>
    <mergeCell ref="P9:Q9"/>
    <mergeCell ref="S8:T8"/>
    <mergeCell ref="U9:V9"/>
    <mergeCell ref="W9:X9"/>
    <mergeCell ref="F7:G7"/>
    <mergeCell ref="AA9:AB9"/>
    <mergeCell ref="U7:V7"/>
    <mergeCell ref="S9:T9"/>
    <mergeCell ref="Y9:Z9"/>
    <mergeCell ref="L9:M9"/>
    <mergeCell ref="J9:K9"/>
    <mergeCell ref="L7:M7"/>
    <mergeCell ref="B100:B113"/>
    <mergeCell ref="B124:B143"/>
    <mergeCell ref="H2:I2"/>
    <mergeCell ref="H4:I5"/>
    <mergeCell ref="H6:I6"/>
    <mergeCell ref="H7:I7"/>
    <mergeCell ref="H8:I8"/>
    <mergeCell ref="H9:I9"/>
    <mergeCell ref="F3:G3"/>
    <mergeCell ref="D12:E12"/>
    <mergeCell ref="B15:B21"/>
    <mergeCell ref="B22:B27"/>
    <mergeCell ref="B28:B33"/>
    <mergeCell ref="B40:B46"/>
    <mergeCell ref="B47:B70"/>
    <mergeCell ref="B6:B13"/>
    <mergeCell ref="B71:B84"/>
    <mergeCell ref="F9:G9"/>
    <mergeCell ref="F4:G5"/>
    <mergeCell ref="B34:B39"/>
    <mergeCell ref="F8:G8"/>
    <mergeCell ref="F6:G6"/>
    <mergeCell ref="H3:I3"/>
    <mergeCell ref="F2:G2"/>
    <mergeCell ref="CO2:CP2"/>
    <mergeCell ref="CO3:CP3"/>
    <mergeCell ref="CO4:CP5"/>
    <mergeCell ref="CR4:CS5"/>
    <mergeCell ref="CT4:CU5"/>
    <mergeCell ref="J7:K7"/>
    <mergeCell ref="J8:K8"/>
    <mergeCell ref="W8:X8"/>
    <mergeCell ref="U8:V8"/>
    <mergeCell ref="N8:O8"/>
    <mergeCell ref="L6:M6"/>
    <mergeCell ref="AE8:AF8"/>
    <mergeCell ref="J6:K6"/>
    <mergeCell ref="AJ7:AK7"/>
    <mergeCell ref="U6:V6"/>
    <mergeCell ref="AR6:AS6"/>
    <mergeCell ref="AR7:AS7"/>
    <mergeCell ref="AE6:AF6"/>
    <mergeCell ref="AE7:AF7"/>
    <mergeCell ref="AP6:AQ6"/>
    <mergeCell ref="AP7:AQ7"/>
    <mergeCell ref="AH7:AI7"/>
    <mergeCell ref="AJ6:AK6"/>
    <mergeCell ref="AN6:AO6"/>
    <mergeCell ref="CV4:CW5"/>
    <mergeCell ref="CR8:CS8"/>
    <mergeCell ref="CT8:CU8"/>
    <mergeCell ref="CV8:CW8"/>
    <mergeCell ref="CO7:CP7"/>
    <mergeCell ref="CO8:CP8"/>
    <mergeCell ref="CR6:CS6"/>
    <mergeCell ref="CT6:CU6"/>
    <mergeCell ref="CV6:CW6"/>
    <mergeCell ref="CR7:CS7"/>
    <mergeCell ref="CT7:CU7"/>
    <mergeCell ref="CV7:CW7"/>
    <mergeCell ref="CR9:CS9"/>
    <mergeCell ref="CT9:CU9"/>
    <mergeCell ref="CV9:CW9"/>
    <mergeCell ref="ED6:EE6"/>
    <mergeCell ref="ED7:EE7"/>
    <mergeCell ref="ED8:EE8"/>
    <mergeCell ref="ED9:EE9"/>
    <mergeCell ref="EA2:EB2"/>
    <mergeCell ref="EA3:EB3"/>
    <mergeCell ref="EA4:EB5"/>
    <mergeCell ref="EA6:EB6"/>
    <mergeCell ref="EA7:EB7"/>
    <mergeCell ref="EA8:EB8"/>
    <mergeCell ref="EA9:EB9"/>
    <mergeCell ref="CX9:CY9"/>
    <mergeCell ref="CX6:CY6"/>
    <mergeCell ref="CX7:CY7"/>
    <mergeCell ref="CX8:CY8"/>
    <mergeCell ref="DA2:DB2"/>
    <mergeCell ref="DC2:DD2"/>
    <mergeCell ref="DE2:DF2"/>
    <mergeCell ref="DA3:DB3"/>
    <mergeCell ref="DC3:DD3"/>
    <mergeCell ref="DE3:DF3"/>
    <mergeCell ref="FB2:FC2"/>
    <mergeCell ref="FB3:FC3"/>
    <mergeCell ref="FB4:FC5"/>
    <mergeCell ref="FB6:FC6"/>
    <mergeCell ref="FB7:FC7"/>
    <mergeCell ref="FB8:FC8"/>
    <mergeCell ref="FB9:FC9"/>
    <mergeCell ref="EX2:EY2"/>
    <mergeCell ref="EX3:EY3"/>
    <mergeCell ref="EX4:EY5"/>
    <mergeCell ref="EX6:EY6"/>
    <mergeCell ref="EX7:EY7"/>
    <mergeCell ref="EX8:EY8"/>
    <mergeCell ref="EX9:EY9"/>
    <mergeCell ref="EZ2:FA2"/>
    <mergeCell ref="EZ3:FA3"/>
    <mergeCell ref="EZ4:FA5"/>
    <mergeCell ref="EZ6:FA6"/>
    <mergeCell ref="EZ7:FA7"/>
    <mergeCell ref="EZ8:FA8"/>
    <mergeCell ref="EZ9:FA9"/>
    <mergeCell ref="EU2:EV2"/>
    <mergeCell ref="EU3:EV3"/>
    <mergeCell ref="EU4:EV5"/>
    <mergeCell ref="EU6:EV6"/>
    <mergeCell ref="EU7:EV7"/>
    <mergeCell ref="EU8:EV8"/>
    <mergeCell ref="EU9:EV9"/>
    <mergeCell ref="EP2:EQ2"/>
    <mergeCell ref="EP3:EQ3"/>
    <mergeCell ref="EP4:EQ5"/>
    <mergeCell ref="EP6:EQ6"/>
    <mergeCell ref="EP7:EQ7"/>
    <mergeCell ref="EP8:EQ8"/>
    <mergeCell ref="EP9:EQ9"/>
    <mergeCell ref="ER2:ES2"/>
    <mergeCell ref="ER3:ES3"/>
    <mergeCell ref="ER4:ES5"/>
    <mergeCell ref="ER6:ES6"/>
    <mergeCell ref="ER7:ES7"/>
    <mergeCell ref="ER8:ES8"/>
    <mergeCell ref="ER9:ES9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F3E8-AA9A-491F-8F05-5DDB6AF42CE6}">
  <sheetPr>
    <pageSetUpPr fitToPage="1"/>
  </sheetPr>
  <dimension ref="A2:DT181"/>
  <sheetViews>
    <sheetView showGridLines="0" zoomScale="85" zoomScaleNormal="85" zoomScaleSheetLayoutView="80" workbookViewId="0">
      <pane xSplit="5" ySplit="6" topLeftCell="CF49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4" outlineLevelCol="2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1.265625" customWidth="1"/>
    <col min="7" max="7" width="13.3984375" customWidth="1"/>
    <col min="8" max="8" width="11.265625" customWidth="1"/>
    <col min="9" max="9" width="13.3984375" customWidth="1"/>
    <col min="10" max="10" width="11.265625" customWidth="1" outlineLevel="1"/>
    <col min="11" max="11" width="13.3984375" customWidth="1" outlineLevel="1"/>
    <col min="12" max="12" width="11.265625" customWidth="1" outlineLevel="1"/>
    <col min="13" max="13" width="13.3984375" customWidth="1" outlineLevel="1"/>
    <col min="14" max="14" width="12.73046875" customWidth="1"/>
    <col min="15" max="15" width="13.3984375" customWidth="1"/>
    <col min="16" max="16" width="12.73046875" customWidth="1" outlineLevel="1"/>
    <col min="17" max="17" width="13.3984375" customWidth="1" outlineLevel="1"/>
    <col min="18" max="18" width="12.73046875" customWidth="1" outlineLevel="1"/>
    <col min="19" max="19" width="13.3984375" customWidth="1" outlineLevel="1"/>
    <col min="20" max="20" width="12.73046875" customWidth="1"/>
    <col min="21" max="21" width="13.3984375" customWidth="1"/>
    <col min="22" max="22" width="12.73046875" customWidth="1" collapsed="1"/>
    <col min="23" max="23" width="13.3984375" customWidth="1"/>
    <col min="24" max="24" width="12.73046875" customWidth="1" collapsed="1"/>
    <col min="25" max="25" width="13.3984375" customWidth="1"/>
    <col min="26" max="26" width="12.73046875" customWidth="1" collapsed="1"/>
    <col min="27" max="27" width="13.3984375" customWidth="1"/>
    <col min="28" max="28" width="12.73046875" customWidth="1" collapsed="1"/>
    <col min="29" max="29" width="13.3984375" customWidth="1"/>
    <col min="30" max="30" width="12.73046875" customWidth="1" collapsed="1"/>
    <col min="31" max="31" width="13.3984375" customWidth="1"/>
    <col min="32" max="32" width="12.73046875" customWidth="1" collapsed="1"/>
    <col min="33" max="33" width="13.3984375" customWidth="1"/>
    <col min="34" max="34" width="12.73046875" customWidth="1" collapsed="1"/>
    <col min="35" max="35" width="13.3984375" customWidth="1"/>
    <col min="36" max="36" width="12.73046875" customWidth="1" collapsed="1"/>
    <col min="37" max="37" width="13.3984375" customWidth="1"/>
    <col min="38" max="38" width="12.73046875" customWidth="1" collapsed="1"/>
    <col min="39" max="39" width="13.3984375" customWidth="1"/>
    <col min="40" max="40" width="12.73046875" customWidth="1" collapsed="1"/>
    <col min="41" max="41" width="13.3984375" customWidth="1"/>
    <col min="42" max="42" width="12.73046875" customWidth="1" collapsed="1"/>
    <col min="43" max="43" width="13.3984375" customWidth="1"/>
    <col min="44" max="44" width="12.73046875" customWidth="1" collapsed="1"/>
    <col min="45" max="45" width="13.3984375" customWidth="1"/>
    <col min="46" max="46" width="12.73046875" customWidth="1" collapsed="1"/>
    <col min="47" max="47" width="13.3984375" customWidth="1"/>
    <col min="48" max="48" width="12.73046875" customWidth="1" collapsed="1"/>
    <col min="49" max="49" width="13.3984375" customWidth="1"/>
    <col min="50" max="50" width="12.73046875" customWidth="1" collapsed="1"/>
    <col min="51" max="51" width="13.3984375" customWidth="1"/>
    <col min="52" max="52" width="12.73046875" customWidth="1" collapsed="1"/>
    <col min="53" max="53" width="13.3984375" customWidth="1"/>
    <col min="54" max="54" width="12.73046875" customWidth="1" collapsed="1"/>
    <col min="55" max="55" width="13.3984375" customWidth="1"/>
    <col min="56" max="56" width="12.73046875" customWidth="1" collapsed="1"/>
    <col min="57" max="57" width="13.3984375" customWidth="1"/>
    <col min="58" max="58" width="12.73046875" customWidth="1" collapsed="1"/>
    <col min="59" max="59" width="13.3984375" customWidth="1"/>
    <col min="60" max="60" width="12.73046875" customWidth="1" collapsed="1"/>
    <col min="61" max="61" width="13.3984375" customWidth="1"/>
    <col min="62" max="62" width="12.73046875" customWidth="1" collapsed="1"/>
    <col min="63" max="63" width="13.3984375" customWidth="1"/>
    <col min="64" max="64" width="12.73046875" customWidth="1" collapsed="1"/>
    <col min="65" max="65" width="13.3984375" customWidth="1"/>
    <col min="66" max="66" width="12.73046875" customWidth="1" collapsed="1"/>
    <col min="67" max="67" width="13.3984375" customWidth="1"/>
    <col min="68" max="68" width="12.73046875" customWidth="1" collapsed="1"/>
    <col min="69" max="69" width="13.3984375" customWidth="1"/>
    <col min="70" max="70" width="12.73046875" customWidth="1" collapsed="1"/>
    <col min="71" max="71" width="13.3984375" customWidth="1"/>
    <col min="72" max="72" width="12.73046875" customWidth="1" collapsed="1"/>
    <col min="73" max="73" width="13.3984375" customWidth="1"/>
    <col min="74" max="74" width="12.73046875" customWidth="1" collapsed="1"/>
    <col min="75" max="75" width="13.3984375" customWidth="1"/>
    <col min="76" max="76" width="12.73046875" customWidth="1" collapsed="1"/>
    <col min="77" max="77" width="13.3984375" customWidth="1"/>
    <col min="78" max="78" width="12.73046875" customWidth="1" collapsed="1"/>
    <col min="79" max="79" width="13.3984375" customWidth="1"/>
    <col min="80" max="80" width="12.73046875" customWidth="1" collapsed="1"/>
    <col min="81" max="81" width="13.3984375" customWidth="1"/>
    <col min="82" max="82" width="12.73046875" customWidth="1" collapsed="1"/>
    <col min="83" max="83" width="13.3984375" customWidth="1"/>
    <col min="84" max="84" width="12.73046875" customWidth="1" collapsed="1"/>
    <col min="85" max="85" width="13.3984375" customWidth="1"/>
    <col min="86" max="86" width="12.73046875" customWidth="1" collapsed="1"/>
    <col min="87" max="87" width="13.3984375" customWidth="1"/>
    <col min="88" max="88" width="12.73046875" customWidth="1" collapsed="1"/>
    <col min="89" max="89" width="13.3984375" customWidth="1"/>
    <col min="90" max="90" width="12.73046875" customWidth="1" collapsed="1"/>
    <col min="91" max="91" width="13.3984375" customWidth="1"/>
    <col min="92" max="92" width="12.73046875" customWidth="1" collapsed="1"/>
    <col min="93" max="93" width="13.3984375" customWidth="1"/>
    <col min="94" max="94" width="12.73046875" hidden="1" customWidth="1" collapsed="1"/>
    <col min="95" max="95" width="13.3984375" hidden="1" customWidth="1"/>
    <col min="96" max="96" width="12.73046875" hidden="1" customWidth="1" collapsed="1"/>
    <col min="97" max="97" width="13.3984375" hidden="1" customWidth="1"/>
    <col min="98" max="98" width="12.73046875" hidden="1" customWidth="1" collapsed="1"/>
    <col min="99" max="99" width="13.3984375" hidden="1" customWidth="1"/>
    <col min="100" max="100" width="12.73046875" hidden="1" customWidth="1" outlineLevel="1" collapsed="1"/>
    <col min="101" max="101" width="13.3984375" hidden="1" customWidth="1" outlineLevel="1"/>
    <col min="102" max="102" width="12.73046875" hidden="1" customWidth="1" outlineLevel="1" collapsed="1"/>
    <col min="103" max="103" width="13.3984375" hidden="1" customWidth="1" outlineLevel="1"/>
    <col min="104" max="104" width="12.73046875" hidden="1" customWidth="1" outlineLevel="1" collapsed="1"/>
    <col min="105" max="105" width="13.3984375" hidden="1" customWidth="1" outlineLevel="1"/>
    <col min="106" max="106" width="12.73046875" hidden="1" customWidth="1" outlineLevel="1" collapsed="1"/>
    <col min="107" max="107" width="13.3984375" hidden="1" customWidth="1" outlineLevel="1"/>
    <col min="108" max="108" width="12.73046875" hidden="1" customWidth="1" outlineLevel="2" collapsed="1"/>
    <col min="109" max="109" width="13.3984375" hidden="1" customWidth="1" outlineLevel="2"/>
    <col min="110" max="110" width="12.73046875" hidden="1" customWidth="1" outlineLevel="1"/>
    <col min="111" max="111" width="13.3984375" hidden="1" customWidth="1" outlineLevel="1"/>
    <col min="112" max="112" width="12.73046875" hidden="1" customWidth="1" outlineLevel="2"/>
    <col min="113" max="113" width="13.3984375" hidden="1" customWidth="1" outlineLevel="2"/>
    <col min="114" max="114" width="12.73046875" hidden="1" customWidth="1" outlineLevel="2"/>
    <col min="115" max="115" width="13.3984375" hidden="1" customWidth="1" outlineLevel="2"/>
    <col min="116" max="116" width="12.73046875" hidden="1" customWidth="1" outlineLevel="1"/>
    <col min="117" max="117" width="13.3984375" hidden="1" customWidth="1" outlineLevel="1"/>
    <col min="118" max="118" width="12.73046875" hidden="1" customWidth="1" outlineLevel="1"/>
    <col min="119" max="119" width="13.3984375" hidden="1" customWidth="1" outlineLevel="1"/>
    <col min="120" max="120" width="12.73046875" hidden="1" customWidth="1" outlineLevel="1" collapsed="1"/>
    <col min="121" max="121" width="11.86328125" hidden="1" customWidth="1" outlineLevel="1"/>
    <col min="122" max="122" width="12.73046875" hidden="1" customWidth="1" outlineLevel="1" collapsed="1"/>
    <col min="123" max="123" width="13.1328125" hidden="1" customWidth="1" outlineLevel="1"/>
    <col min="124" max="124" width="9" collapsed="1"/>
  </cols>
  <sheetData>
    <row r="2" spans="1:123" ht="15.75" customHeight="1" thickBot="1" x14ac:dyDescent="0.5">
      <c r="F2" s="1231" t="str">
        <f>F4</f>
        <v>IHAG LOKAL 40</v>
      </c>
      <c r="G2" s="1231"/>
      <c r="H2" s="1231" t="str">
        <f>H4</f>
        <v>IHAG LOKAL 40</v>
      </c>
      <c r="I2" s="1231"/>
      <c r="J2" s="1231" t="str">
        <f t="shared" ref="J2" si="0">J4</f>
        <v>IHAG LOKAL 40</v>
      </c>
      <c r="K2" s="1231"/>
      <c r="L2" s="1231" t="str">
        <f t="shared" ref="L2" si="1">L4</f>
        <v>IHAG LOKAL 40</v>
      </c>
      <c r="M2" s="1231"/>
      <c r="N2" s="1273" t="str">
        <f>N4</f>
        <v>IHAG LOKAL 40</v>
      </c>
      <c r="O2" s="1273"/>
      <c r="P2" s="1273" t="str">
        <f>P4</f>
        <v>IHAG LOKAL 40</v>
      </c>
      <c r="Q2" s="1273"/>
      <c r="R2" s="1273" t="str">
        <f>R4</f>
        <v>IHAG LOKAL 40</v>
      </c>
      <c r="S2" s="1273"/>
      <c r="T2" s="1273" t="str">
        <f>T4</f>
        <v>IHAG LOKAL 40</v>
      </c>
      <c r="U2" s="1273"/>
      <c r="V2" s="1273" t="str">
        <f>V4</f>
        <v>IHAG LOKAL 40</v>
      </c>
      <c r="W2" s="1273"/>
      <c r="X2" s="1273" t="str">
        <f>X4</f>
        <v>IHAG LOKAL 40</v>
      </c>
      <c r="Y2" s="1273"/>
      <c r="Z2" s="1273" t="str">
        <f>Z4</f>
        <v>IHAG LOKAL 40</v>
      </c>
      <c r="AA2" s="1273"/>
      <c r="AB2" s="1273" t="str">
        <f>AB4</f>
        <v>IHAG LOKAL 40</v>
      </c>
      <c r="AC2" s="1273"/>
      <c r="AD2" s="1273" t="str">
        <f>AD4</f>
        <v>IHAG LOKAL 40</v>
      </c>
      <c r="AE2" s="1273"/>
      <c r="AF2" s="1273" t="str">
        <f>AF4</f>
        <v>IHAG LOKAL 40</v>
      </c>
      <c r="AG2" s="1273"/>
      <c r="AH2" s="1273" t="str">
        <f>AH4</f>
        <v>IHAG LOKAL 40</v>
      </c>
      <c r="AI2" s="1273"/>
      <c r="AJ2" s="1273" t="str">
        <f>AJ4</f>
        <v>IHAG LOKAL 40</v>
      </c>
      <c r="AK2" s="1273"/>
      <c r="AL2" s="1273" t="str">
        <f>AL4</f>
        <v>IHAG LOKAL 40</v>
      </c>
      <c r="AM2" s="1273"/>
      <c r="AN2" s="1273" t="str">
        <f>AN4</f>
        <v>IHAG LOKAL 40</v>
      </c>
      <c r="AO2" s="1273"/>
      <c r="AP2" s="1273" t="str">
        <f t="shared" ref="AP2" si="2">AP4</f>
        <v>IHAG LOKAL 40</v>
      </c>
      <c r="AQ2" s="1273"/>
      <c r="AR2" s="1273" t="str">
        <f t="shared" ref="AR2" si="3">AR4</f>
        <v>IHAG LOKAL 40</v>
      </c>
      <c r="AS2" s="1273"/>
      <c r="AT2" s="1273" t="str">
        <f t="shared" ref="AT2" si="4">AT4</f>
        <v>IHAG LOKAL 40</v>
      </c>
      <c r="AU2" s="1273"/>
      <c r="AV2" s="1273" t="str">
        <f t="shared" ref="AV2" si="5">AV4</f>
        <v>IHAG LOKAL 40</v>
      </c>
      <c r="AW2" s="1273"/>
      <c r="AX2" s="1273" t="str">
        <f t="shared" ref="AX2" si="6">AX4</f>
        <v>IHAG LOKAL 40</v>
      </c>
      <c r="AY2" s="1273"/>
      <c r="AZ2" s="1273" t="str">
        <f t="shared" ref="AZ2:BB2" si="7">AZ4</f>
        <v>IHAG LOKAL 40</v>
      </c>
      <c r="BA2" s="1273"/>
      <c r="BB2" s="1273" t="str">
        <f t="shared" si="7"/>
        <v>IHAG LOKAL 40</v>
      </c>
      <c r="BC2" s="1273"/>
      <c r="BD2" s="1273" t="str">
        <f t="shared" ref="BD2:BH2" si="8">BD4</f>
        <v>IHAG LOKAL 40</v>
      </c>
      <c r="BE2" s="1273"/>
      <c r="BF2" s="1273" t="str">
        <f t="shared" si="8"/>
        <v>IHAG LOKAL 40</v>
      </c>
      <c r="BG2" s="1273"/>
      <c r="BH2" s="1273" t="str">
        <f t="shared" si="8"/>
        <v>IHAG LOKAL 40</v>
      </c>
      <c r="BI2" s="1273"/>
      <c r="BJ2" s="1273" t="str">
        <f t="shared" ref="BJ2:BL2" si="9">BJ4</f>
        <v>IHAG LOKAL 40</v>
      </c>
      <c r="BK2" s="1273"/>
      <c r="BL2" s="1273" t="str">
        <f t="shared" si="9"/>
        <v>IHAG LOKAL 40</v>
      </c>
      <c r="BM2" s="1273"/>
      <c r="BN2" s="1273" t="str">
        <f t="shared" ref="BN2:BP2" si="10">BN4</f>
        <v>IHAG LOKAL 40</v>
      </c>
      <c r="BO2" s="1273"/>
      <c r="BP2" s="1273" t="str">
        <f t="shared" si="10"/>
        <v>IHAG LOKAL 40</v>
      </c>
      <c r="BQ2" s="1273"/>
      <c r="BR2" s="1273" t="str">
        <f t="shared" ref="BR2:CR2" si="11">BR4</f>
        <v>IHAG LOKAL 40</v>
      </c>
      <c r="BS2" s="1273"/>
      <c r="BT2" s="1273" t="str">
        <f t="shared" ref="BT2:BV2" si="12">BT4</f>
        <v>IHAG LOKAL 40</v>
      </c>
      <c r="BU2" s="1273"/>
      <c r="BV2" s="1273" t="str">
        <f t="shared" si="12"/>
        <v>IHAG LOKAL 40</v>
      </c>
      <c r="BW2" s="1273"/>
      <c r="BX2" s="1273" t="str">
        <f t="shared" ref="BX2:BZ2" si="13">BX4</f>
        <v>IHAG LOKAL 40</v>
      </c>
      <c r="BY2" s="1273"/>
      <c r="BZ2" s="1273" t="str">
        <f t="shared" si="13"/>
        <v>IHAG LOKAL 40</v>
      </c>
      <c r="CA2" s="1273"/>
      <c r="CB2" s="1273" t="str">
        <f t="shared" ref="CB2:CD2" si="14">CB4</f>
        <v>IHAG LOKAL 40</v>
      </c>
      <c r="CC2" s="1273"/>
      <c r="CD2" s="1273" t="str">
        <f t="shared" si="14"/>
        <v>IHAG VLOK 40</v>
      </c>
      <c r="CE2" s="1273"/>
      <c r="CF2" s="1273" t="str">
        <f t="shared" ref="CF2:CH2" si="15">CF4</f>
        <v>IHAG VLOK 40</v>
      </c>
      <c r="CG2" s="1273"/>
      <c r="CH2" s="1273" t="str">
        <f t="shared" si="15"/>
        <v>IHAG VLOK 40</v>
      </c>
      <c r="CI2" s="1273"/>
      <c r="CJ2" s="1273" t="str">
        <f t="shared" ref="CJ2:CL2" si="16">CJ4</f>
        <v>IHAG VLOK 40</v>
      </c>
      <c r="CK2" s="1273"/>
      <c r="CL2" s="1273" t="str">
        <f t="shared" si="16"/>
        <v>IHAG VLOK 40</v>
      </c>
      <c r="CM2" s="1273"/>
      <c r="CN2" s="1273" t="str">
        <f t="shared" ref="CN2:CP2" si="17">CN4</f>
        <v>IHAG VLOK 40</v>
      </c>
      <c r="CO2" s="1273"/>
      <c r="CP2" s="1273" t="str">
        <f t="shared" si="17"/>
        <v>IHAG LOKAL 40</v>
      </c>
      <c r="CQ2" s="1273"/>
      <c r="CR2" s="1273" t="str">
        <f t="shared" si="11"/>
        <v>IHAG LOKAL 40</v>
      </c>
      <c r="CS2" s="1273"/>
      <c r="CT2" s="1273" t="str">
        <f t="shared" ref="CT2" si="18">CT4</f>
        <v>IHAG LOKAL 40</v>
      </c>
      <c r="CU2" s="1273"/>
      <c r="CV2" s="1273" t="str">
        <f>CV4</f>
        <v>IHAG LOKAL 40</v>
      </c>
      <c r="CW2" s="1273"/>
      <c r="CX2" s="1273" t="str">
        <f>CX4</f>
        <v>IHAG LOKAL 40</v>
      </c>
      <c r="CY2" s="1273"/>
      <c r="CZ2" s="1273" t="str">
        <f>CZ4</f>
        <v>IHAG LOKAL 40</v>
      </c>
      <c r="DA2" s="1273"/>
      <c r="DB2" s="1231" t="str">
        <f>DB4</f>
        <v>IHAG LOKAL 40</v>
      </c>
      <c r="DC2" s="1231"/>
      <c r="DD2" s="1273" t="str">
        <f>DD4</f>
        <v>IHAG LOKAL 40</v>
      </c>
      <c r="DE2" s="1273"/>
      <c r="DF2" s="1273" t="str">
        <f>DF4</f>
        <v>IHAG LOKAL 40</v>
      </c>
      <c r="DG2" s="1273"/>
      <c r="DH2" s="1273" t="str">
        <f>DH4</f>
        <v>IHAG LOKAL 40</v>
      </c>
      <c r="DI2" s="1273"/>
      <c r="DJ2" s="1273" t="str">
        <f>DJ4</f>
        <v>IHAG LOKAL 40</v>
      </c>
      <c r="DK2" s="1273"/>
      <c r="DL2" s="1273" t="str">
        <f>DL4</f>
        <v>IHAG LOKAL 40</v>
      </c>
      <c r="DM2" s="1273"/>
      <c r="DN2" s="1273" t="str">
        <f>DN4</f>
        <v>IHAG LOKAL 40</v>
      </c>
      <c r="DO2" s="1273"/>
      <c r="DP2" s="1231" t="str">
        <f>DP4</f>
        <v>IHAG LOKAL 40</v>
      </c>
      <c r="DQ2" s="1231"/>
      <c r="DR2" s="1231" t="str">
        <f>DR4</f>
        <v>IHAG LOKAL 40</v>
      </c>
      <c r="DS2" s="1231"/>
    </row>
    <row r="3" spans="1:123" s="4" customFormat="1" ht="32.450000000000003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29" t="s">
        <v>422</v>
      </c>
      <c r="I3" s="1329"/>
      <c r="J3" s="1329" t="s">
        <v>393</v>
      </c>
      <c r="K3" s="1329"/>
      <c r="L3" s="1329" t="s">
        <v>394</v>
      </c>
      <c r="M3" s="1329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323</v>
      </c>
      <c r="W3" s="1264"/>
      <c r="X3" s="1318" t="s">
        <v>324</v>
      </c>
      <c r="Y3" s="1264"/>
      <c r="Z3" s="1318" t="s">
        <v>325</v>
      </c>
      <c r="AA3" s="1264"/>
      <c r="AB3" s="1318" t="s">
        <v>326</v>
      </c>
      <c r="AC3" s="1264"/>
      <c r="AD3" s="1318" t="s">
        <v>327</v>
      </c>
      <c r="AE3" s="1264"/>
      <c r="AF3" s="1318" t="s">
        <v>328</v>
      </c>
      <c r="AG3" s="1264"/>
      <c r="AH3" s="1318" t="s">
        <v>329</v>
      </c>
      <c r="AI3" s="1264"/>
      <c r="AJ3" s="1318" t="s">
        <v>330</v>
      </c>
      <c r="AK3" s="1264"/>
      <c r="AL3" s="1318" t="s">
        <v>331</v>
      </c>
      <c r="AM3" s="1264"/>
      <c r="AN3" s="1318" t="s">
        <v>332</v>
      </c>
      <c r="AO3" s="1264"/>
      <c r="AP3" s="1318" t="s">
        <v>333</v>
      </c>
      <c r="AQ3" s="1264"/>
      <c r="AR3" s="1318" t="s">
        <v>334</v>
      </c>
      <c r="AS3" s="1264"/>
      <c r="AT3" s="1318" t="s">
        <v>335</v>
      </c>
      <c r="AU3" s="1264"/>
      <c r="AV3" s="1318" t="s">
        <v>336</v>
      </c>
      <c r="AW3" s="1264"/>
      <c r="AX3" s="1318" t="s">
        <v>337</v>
      </c>
      <c r="AY3" s="1264"/>
      <c r="AZ3" s="1318" t="s">
        <v>338</v>
      </c>
      <c r="BA3" s="1264"/>
      <c r="BB3" s="1318" t="s">
        <v>339</v>
      </c>
      <c r="BC3" s="1264"/>
      <c r="BD3" s="1318" t="s">
        <v>397</v>
      </c>
      <c r="BE3" s="1264"/>
      <c r="BF3" s="1318" t="s">
        <v>398</v>
      </c>
      <c r="BG3" s="1264"/>
      <c r="BH3" s="1318" t="s">
        <v>399</v>
      </c>
      <c r="BI3" s="1264"/>
      <c r="BJ3" s="1318" t="s">
        <v>400</v>
      </c>
      <c r="BK3" s="1264"/>
      <c r="BL3" s="1318" t="s">
        <v>401</v>
      </c>
      <c r="BM3" s="1264"/>
      <c r="BN3" s="1318" t="s">
        <v>402</v>
      </c>
      <c r="BO3" s="1264"/>
      <c r="BP3" s="1318" t="s">
        <v>347</v>
      </c>
      <c r="BQ3" s="1264"/>
      <c r="BR3" s="1318" t="s">
        <v>351</v>
      </c>
      <c r="BS3" s="1264"/>
      <c r="BT3" s="1318" t="s">
        <v>403</v>
      </c>
      <c r="BU3" s="1264"/>
      <c r="BV3" s="1318" t="s">
        <v>697</v>
      </c>
      <c r="BW3" s="1264"/>
      <c r="BX3" s="1318" t="s">
        <v>701</v>
      </c>
      <c r="BY3" s="1264"/>
      <c r="BZ3" s="1318" t="s">
        <v>705</v>
      </c>
      <c r="CA3" s="1264"/>
      <c r="CB3" s="1318" t="s">
        <v>708</v>
      </c>
      <c r="CC3" s="1264"/>
      <c r="CD3" s="1318" t="s">
        <v>711</v>
      </c>
      <c r="CE3" s="1264"/>
      <c r="CF3" s="1318" t="s">
        <v>724</v>
      </c>
      <c r="CG3" s="1264"/>
      <c r="CH3" s="1318" t="s">
        <v>726</v>
      </c>
      <c r="CI3" s="1264"/>
      <c r="CJ3" s="1318" t="s">
        <v>727</v>
      </c>
      <c r="CK3" s="1264"/>
      <c r="CL3" s="1318" t="s">
        <v>751</v>
      </c>
      <c r="CM3" s="1264"/>
      <c r="CN3" s="1318" t="s">
        <v>752</v>
      </c>
      <c r="CO3" s="1264"/>
      <c r="CP3" s="1318" t="s">
        <v>700</v>
      </c>
      <c r="CQ3" s="1264"/>
      <c r="CR3" s="1318" t="s">
        <v>500</v>
      </c>
      <c r="CS3" s="1264"/>
      <c r="CT3" s="1318" t="s">
        <v>707</v>
      </c>
      <c r="CU3" s="1264"/>
      <c r="CV3" s="1359" t="s">
        <v>405</v>
      </c>
      <c r="CW3" s="1360"/>
      <c r="CX3" s="1359" t="s">
        <v>406</v>
      </c>
      <c r="CY3" s="1360"/>
      <c r="CZ3" s="1359" t="s">
        <v>407</v>
      </c>
      <c r="DA3" s="1360"/>
      <c r="DB3" s="1337" t="s">
        <v>408</v>
      </c>
      <c r="DC3" s="1338"/>
      <c r="DD3" s="1359" t="s">
        <v>409</v>
      </c>
      <c r="DE3" s="1360"/>
      <c r="DF3" s="1325" t="s">
        <v>410</v>
      </c>
      <c r="DG3" s="1326"/>
      <c r="DH3" s="1319" t="s">
        <v>501</v>
      </c>
      <c r="DI3" s="1320"/>
      <c r="DJ3" s="1319" t="s">
        <v>502</v>
      </c>
      <c r="DK3" s="1320"/>
      <c r="DL3" s="1319" t="s">
        <v>503</v>
      </c>
      <c r="DM3" s="1320"/>
      <c r="DN3" s="1319" t="s">
        <v>503</v>
      </c>
      <c r="DO3" s="1320"/>
      <c r="DP3" s="1319" t="s">
        <v>504</v>
      </c>
      <c r="DQ3" s="1320"/>
      <c r="DR3" s="1319" t="s">
        <v>445</v>
      </c>
      <c r="DS3" s="1320"/>
    </row>
    <row r="4" spans="1:123" s="4" customFormat="1" ht="21.4" thickTop="1" x14ac:dyDescent="0.45">
      <c r="A4" s="561"/>
      <c r="B4" s="2"/>
      <c r="C4" s="3"/>
      <c r="D4" s="6"/>
      <c r="E4" s="245"/>
      <c r="F4" s="1310" t="s">
        <v>4</v>
      </c>
      <c r="G4" s="1311"/>
      <c r="H4" s="1310" t="s">
        <v>4</v>
      </c>
      <c r="I4" s="1311"/>
      <c r="J4" s="1310" t="s">
        <v>4</v>
      </c>
      <c r="K4" s="1311"/>
      <c r="L4" s="1310" t="s">
        <v>4</v>
      </c>
      <c r="M4" s="1311"/>
      <c r="N4" s="1310" t="s">
        <v>4</v>
      </c>
      <c r="O4" s="1311"/>
      <c r="P4" s="1310" t="s">
        <v>4</v>
      </c>
      <c r="Q4" s="1311"/>
      <c r="R4" s="1310" t="s">
        <v>4</v>
      </c>
      <c r="S4" s="1311"/>
      <c r="T4" s="1310" t="s">
        <v>4</v>
      </c>
      <c r="U4" s="1311"/>
      <c r="V4" s="1310" t="s">
        <v>4</v>
      </c>
      <c r="W4" s="1311"/>
      <c r="X4" s="1310" t="s">
        <v>4</v>
      </c>
      <c r="Y4" s="1311"/>
      <c r="Z4" s="1310" t="s">
        <v>4</v>
      </c>
      <c r="AA4" s="1311"/>
      <c r="AB4" s="1310" t="s">
        <v>4</v>
      </c>
      <c r="AC4" s="1311"/>
      <c r="AD4" s="1310" t="s">
        <v>4</v>
      </c>
      <c r="AE4" s="1311"/>
      <c r="AF4" s="1310" t="s">
        <v>4</v>
      </c>
      <c r="AG4" s="1311"/>
      <c r="AH4" s="1310" t="s">
        <v>4</v>
      </c>
      <c r="AI4" s="1311"/>
      <c r="AJ4" s="1310" t="s">
        <v>4</v>
      </c>
      <c r="AK4" s="1311"/>
      <c r="AL4" s="1310" t="s">
        <v>4</v>
      </c>
      <c r="AM4" s="1311"/>
      <c r="AN4" s="1310" t="s">
        <v>4</v>
      </c>
      <c r="AO4" s="1311"/>
      <c r="AP4" s="1310" t="s">
        <v>4</v>
      </c>
      <c r="AQ4" s="1311"/>
      <c r="AR4" s="1310" t="s">
        <v>4</v>
      </c>
      <c r="AS4" s="1311"/>
      <c r="AT4" s="1310" t="s">
        <v>4</v>
      </c>
      <c r="AU4" s="1311"/>
      <c r="AV4" s="1310" t="s">
        <v>4</v>
      </c>
      <c r="AW4" s="1311"/>
      <c r="AX4" s="1310" t="s">
        <v>4</v>
      </c>
      <c r="AY4" s="1311"/>
      <c r="AZ4" s="1310" t="s">
        <v>4</v>
      </c>
      <c r="BA4" s="1311"/>
      <c r="BB4" s="1310" t="s">
        <v>4</v>
      </c>
      <c r="BC4" s="1311"/>
      <c r="BD4" s="1310" t="s">
        <v>4</v>
      </c>
      <c r="BE4" s="1311"/>
      <c r="BF4" s="1310" t="s">
        <v>4</v>
      </c>
      <c r="BG4" s="1311"/>
      <c r="BH4" s="1310" t="s">
        <v>4</v>
      </c>
      <c r="BI4" s="1311"/>
      <c r="BJ4" s="1310" t="s">
        <v>4</v>
      </c>
      <c r="BK4" s="1311"/>
      <c r="BL4" s="1310" t="s">
        <v>4</v>
      </c>
      <c r="BM4" s="1311"/>
      <c r="BN4" s="1310" t="s">
        <v>4</v>
      </c>
      <c r="BO4" s="1311"/>
      <c r="BP4" s="1310" t="s">
        <v>4</v>
      </c>
      <c r="BQ4" s="1311"/>
      <c r="BR4" s="1310" t="s">
        <v>4</v>
      </c>
      <c r="BS4" s="1311"/>
      <c r="BT4" s="1310" t="s">
        <v>4</v>
      </c>
      <c r="BU4" s="1311"/>
      <c r="BV4" s="1310" t="s">
        <v>4</v>
      </c>
      <c r="BW4" s="1311"/>
      <c r="BX4" s="1310" t="s">
        <v>4</v>
      </c>
      <c r="BY4" s="1311"/>
      <c r="BZ4" s="1310" t="s">
        <v>4</v>
      </c>
      <c r="CA4" s="1311"/>
      <c r="CB4" s="1310" t="s">
        <v>4</v>
      </c>
      <c r="CC4" s="1311"/>
      <c r="CD4" s="1310" t="s">
        <v>715</v>
      </c>
      <c r="CE4" s="1311"/>
      <c r="CF4" s="1310" t="s">
        <v>715</v>
      </c>
      <c r="CG4" s="1311"/>
      <c r="CH4" s="1310" t="s">
        <v>715</v>
      </c>
      <c r="CI4" s="1311"/>
      <c r="CJ4" s="1310" t="s">
        <v>715</v>
      </c>
      <c r="CK4" s="1311"/>
      <c r="CL4" s="1310" t="s">
        <v>715</v>
      </c>
      <c r="CM4" s="1311"/>
      <c r="CN4" s="1310" t="s">
        <v>715</v>
      </c>
      <c r="CO4" s="1311"/>
      <c r="CP4" s="1310" t="s">
        <v>4</v>
      </c>
      <c r="CQ4" s="1311"/>
      <c r="CR4" s="1310" t="s">
        <v>4</v>
      </c>
      <c r="CS4" s="1311"/>
      <c r="CT4" s="1310" t="s">
        <v>4</v>
      </c>
      <c r="CU4" s="1311"/>
      <c r="CV4" s="1310" t="s">
        <v>4</v>
      </c>
      <c r="CW4" s="1311"/>
      <c r="CX4" s="1310" t="s">
        <v>4</v>
      </c>
      <c r="CY4" s="1311"/>
      <c r="CZ4" s="1310" t="s">
        <v>4</v>
      </c>
      <c r="DA4" s="1311"/>
      <c r="DB4" s="1310" t="s">
        <v>4</v>
      </c>
      <c r="DC4" s="1311"/>
      <c r="DD4" s="1310" t="s">
        <v>4</v>
      </c>
      <c r="DE4" s="1311"/>
      <c r="DF4" s="1310" t="s">
        <v>4</v>
      </c>
      <c r="DG4" s="1311"/>
      <c r="DH4" s="1310" t="s">
        <v>4</v>
      </c>
      <c r="DI4" s="1311"/>
      <c r="DJ4" s="1310" t="s">
        <v>4</v>
      </c>
      <c r="DK4" s="1311"/>
      <c r="DL4" s="1310" t="s">
        <v>4</v>
      </c>
      <c r="DM4" s="1311"/>
      <c r="DN4" s="1310" t="s">
        <v>4</v>
      </c>
      <c r="DO4" s="1311"/>
      <c r="DP4" s="1310" t="s">
        <v>4</v>
      </c>
      <c r="DQ4" s="1311"/>
      <c r="DR4" s="1310" t="s">
        <v>4</v>
      </c>
      <c r="DS4" s="1311"/>
    </row>
    <row r="5" spans="1:123" s="4" customFormat="1" ht="14.65" thickBot="1" x14ac:dyDescent="0.5">
      <c r="A5" s="561"/>
      <c r="B5" s="7"/>
      <c r="E5" s="245"/>
      <c r="F5" s="1312"/>
      <c r="G5" s="1313"/>
      <c r="H5" s="1312"/>
      <c r="I5" s="1313"/>
      <c r="J5" s="1312"/>
      <c r="K5" s="1313"/>
      <c r="L5" s="1312"/>
      <c r="M5" s="1313"/>
      <c r="N5" s="1312"/>
      <c r="O5" s="1313"/>
      <c r="P5" s="1312"/>
      <c r="Q5" s="1313"/>
      <c r="R5" s="1312"/>
      <c r="S5" s="1313"/>
      <c r="T5" s="1312"/>
      <c r="U5" s="1313"/>
      <c r="V5" s="1312"/>
      <c r="W5" s="1313"/>
      <c r="X5" s="1312"/>
      <c r="Y5" s="1313"/>
      <c r="Z5" s="1312"/>
      <c r="AA5" s="1313"/>
      <c r="AB5" s="1312"/>
      <c r="AC5" s="1313"/>
      <c r="AD5" s="1312"/>
      <c r="AE5" s="1313"/>
      <c r="AF5" s="1312"/>
      <c r="AG5" s="1313"/>
      <c r="AH5" s="1312"/>
      <c r="AI5" s="1313"/>
      <c r="AJ5" s="1312"/>
      <c r="AK5" s="1313"/>
      <c r="AL5" s="1312"/>
      <c r="AM5" s="1313"/>
      <c r="AN5" s="1312"/>
      <c r="AO5" s="1313"/>
      <c r="AP5" s="1312"/>
      <c r="AQ5" s="1313"/>
      <c r="AR5" s="1312"/>
      <c r="AS5" s="1313"/>
      <c r="AT5" s="1312"/>
      <c r="AU5" s="1313"/>
      <c r="AV5" s="1312"/>
      <c r="AW5" s="1313"/>
      <c r="AX5" s="1312"/>
      <c r="AY5" s="1313"/>
      <c r="AZ5" s="1312"/>
      <c r="BA5" s="1313"/>
      <c r="BB5" s="1312"/>
      <c r="BC5" s="1313"/>
      <c r="BD5" s="1312"/>
      <c r="BE5" s="1313"/>
      <c r="BF5" s="1312"/>
      <c r="BG5" s="1313"/>
      <c r="BH5" s="1312"/>
      <c r="BI5" s="1313"/>
      <c r="BJ5" s="1312"/>
      <c r="BK5" s="1313"/>
      <c r="BL5" s="1312"/>
      <c r="BM5" s="1313"/>
      <c r="BN5" s="1312"/>
      <c r="BO5" s="1313"/>
      <c r="BP5" s="1312"/>
      <c r="BQ5" s="1313"/>
      <c r="BR5" s="1312"/>
      <c r="BS5" s="1313"/>
      <c r="BT5" s="1312"/>
      <c r="BU5" s="1313"/>
      <c r="BV5" s="1312"/>
      <c r="BW5" s="1313"/>
      <c r="BX5" s="1312"/>
      <c r="BY5" s="1313"/>
      <c r="BZ5" s="1312"/>
      <c r="CA5" s="1313"/>
      <c r="CB5" s="1312"/>
      <c r="CC5" s="1313"/>
      <c r="CD5" s="1312"/>
      <c r="CE5" s="1313"/>
      <c r="CF5" s="1312"/>
      <c r="CG5" s="1313"/>
      <c r="CH5" s="1312"/>
      <c r="CI5" s="1313"/>
      <c r="CJ5" s="1312"/>
      <c r="CK5" s="1313"/>
      <c r="CL5" s="1312"/>
      <c r="CM5" s="1313"/>
      <c r="CN5" s="1312"/>
      <c r="CO5" s="1313"/>
      <c r="CP5" s="1312"/>
      <c r="CQ5" s="1313"/>
      <c r="CR5" s="1312"/>
      <c r="CS5" s="1313"/>
      <c r="CT5" s="1312"/>
      <c r="CU5" s="1313"/>
      <c r="CV5" s="1312"/>
      <c r="CW5" s="1313"/>
      <c r="CX5" s="1312"/>
      <c r="CY5" s="1313"/>
      <c r="CZ5" s="1312"/>
      <c r="DA5" s="1313"/>
      <c r="DB5" s="1312"/>
      <c r="DC5" s="1313"/>
      <c r="DD5" s="1312"/>
      <c r="DE5" s="1313"/>
      <c r="DF5" s="1312"/>
      <c r="DG5" s="1313"/>
      <c r="DH5" s="1312"/>
      <c r="DI5" s="1313"/>
      <c r="DJ5" s="1312"/>
      <c r="DK5" s="1313"/>
      <c r="DL5" s="1312"/>
      <c r="DM5" s="1313"/>
      <c r="DN5" s="1312"/>
      <c r="DO5" s="1313"/>
      <c r="DP5" s="1312"/>
      <c r="DQ5" s="1313"/>
      <c r="DR5" s="1312"/>
      <c r="DS5" s="1313"/>
    </row>
    <row r="6" spans="1:123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353"/>
      <c r="G6" s="1266"/>
      <c r="H6" s="1353"/>
      <c r="I6" s="1354"/>
      <c r="J6" s="1353"/>
      <c r="K6" s="1354"/>
      <c r="L6" s="1353"/>
      <c r="M6" s="1354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1234"/>
      <c r="AG6" s="1206"/>
      <c r="AH6" s="1234"/>
      <c r="AI6" s="1206"/>
      <c r="AJ6" s="1234"/>
      <c r="AK6" s="1206"/>
      <c r="AL6" s="1234"/>
      <c r="AM6" s="1206"/>
      <c r="AN6" s="1234"/>
      <c r="AO6" s="1206"/>
      <c r="AP6" s="1234"/>
      <c r="AQ6" s="1206"/>
      <c r="AR6" s="1234"/>
      <c r="AS6" s="1206"/>
      <c r="AT6" s="1234"/>
      <c r="AU6" s="1206"/>
      <c r="AV6" s="1234"/>
      <c r="AW6" s="1206"/>
      <c r="AX6" s="1234"/>
      <c r="AY6" s="1206"/>
      <c r="AZ6" s="1234"/>
      <c r="BA6" s="1206"/>
      <c r="BB6" s="1234"/>
      <c r="BC6" s="1206"/>
      <c r="BD6" s="1234"/>
      <c r="BE6" s="1206"/>
      <c r="BF6" s="1234"/>
      <c r="BG6" s="1206"/>
      <c r="BH6" s="1234"/>
      <c r="BI6" s="1206"/>
      <c r="BJ6" s="1234"/>
      <c r="BK6" s="1206"/>
      <c r="BL6" s="1234"/>
      <c r="BM6" s="1206"/>
      <c r="BN6" s="1234"/>
      <c r="BO6" s="1206"/>
      <c r="BP6" s="1234"/>
      <c r="BQ6" s="1206"/>
      <c r="BR6" s="1234"/>
      <c r="BS6" s="1206"/>
      <c r="BT6" s="1234"/>
      <c r="BU6" s="1206"/>
      <c r="BV6" s="1234"/>
      <c r="BW6" s="1206"/>
      <c r="BX6" s="1234"/>
      <c r="BY6" s="1206"/>
      <c r="BZ6" s="1234"/>
      <c r="CA6" s="1206"/>
      <c r="CB6" s="1234"/>
      <c r="CC6" s="1206"/>
      <c r="CD6" s="1234"/>
      <c r="CE6" s="1206"/>
      <c r="CF6" s="1234"/>
      <c r="CG6" s="1206"/>
      <c r="CH6" s="1234"/>
      <c r="CI6" s="1206"/>
      <c r="CJ6" s="1234"/>
      <c r="CK6" s="1206"/>
      <c r="CL6" s="1234"/>
      <c r="CM6" s="1206"/>
      <c r="CN6" s="1234"/>
      <c r="CO6" s="1206"/>
      <c r="CP6" s="1234"/>
      <c r="CQ6" s="1206"/>
      <c r="CR6" s="1234"/>
      <c r="CS6" s="1206"/>
      <c r="CT6" s="1234"/>
      <c r="CU6" s="1206"/>
      <c r="CV6" s="1234"/>
      <c r="CW6" s="1206"/>
      <c r="CX6" s="1234"/>
      <c r="CY6" s="1206"/>
      <c r="CZ6" s="1234"/>
      <c r="DA6" s="1206"/>
      <c r="DB6" s="1205"/>
      <c r="DC6" s="1206"/>
      <c r="DD6" s="1234"/>
      <c r="DE6" s="1206"/>
      <c r="DF6" s="1234"/>
      <c r="DG6" s="1206"/>
      <c r="DH6" s="1234"/>
      <c r="DI6" s="1206"/>
      <c r="DJ6" s="1234"/>
      <c r="DK6" s="1206"/>
      <c r="DL6" s="1234"/>
      <c r="DM6" s="1206"/>
      <c r="DN6" s="1234"/>
      <c r="DO6" s="1206"/>
      <c r="DP6" s="1205"/>
      <c r="DQ6" s="1206"/>
      <c r="DR6" s="1205"/>
      <c r="DS6" s="1206"/>
    </row>
    <row r="7" spans="1:123" s="7" customFormat="1" ht="36.75" customHeight="1" x14ac:dyDescent="0.45">
      <c r="A7" s="561"/>
      <c r="B7" s="1203"/>
      <c r="C7" s="10" t="s">
        <v>11</v>
      </c>
      <c r="D7" s="11"/>
      <c r="E7" s="247"/>
      <c r="F7" s="1200">
        <v>199660</v>
      </c>
      <c r="G7" s="1201"/>
      <c r="H7" s="1200">
        <v>199660</v>
      </c>
      <c r="I7" s="1201"/>
      <c r="J7" s="1200">
        <v>199660</v>
      </c>
      <c r="K7" s="1201"/>
      <c r="L7" s="1200">
        <v>199660</v>
      </c>
      <c r="M7" s="1201"/>
      <c r="N7" s="1267">
        <v>199660</v>
      </c>
      <c r="O7" s="1268"/>
      <c r="P7" s="1267">
        <v>199660</v>
      </c>
      <c r="Q7" s="1268"/>
      <c r="R7" s="1267">
        <v>199660</v>
      </c>
      <c r="S7" s="1268"/>
      <c r="T7" s="1267">
        <v>199660</v>
      </c>
      <c r="U7" s="1268"/>
      <c r="V7" s="1267">
        <v>199660</v>
      </c>
      <c r="W7" s="1268"/>
      <c r="X7" s="1267">
        <v>199660</v>
      </c>
      <c r="Y7" s="1268"/>
      <c r="Z7" s="1267">
        <v>199660</v>
      </c>
      <c r="AA7" s="1268"/>
      <c r="AB7" s="1267">
        <v>199660</v>
      </c>
      <c r="AC7" s="1268"/>
      <c r="AD7" s="1267">
        <v>199660</v>
      </c>
      <c r="AE7" s="1268"/>
      <c r="AF7" s="1267">
        <v>199660</v>
      </c>
      <c r="AG7" s="1268"/>
      <c r="AH7" s="1267">
        <v>199660</v>
      </c>
      <c r="AI7" s="1268"/>
      <c r="AJ7" s="1267">
        <v>199660</v>
      </c>
      <c r="AK7" s="1268"/>
      <c r="AL7" s="1267">
        <v>199660</v>
      </c>
      <c r="AM7" s="1268"/>
      <c r="AN7" s="1267">
        <v>199660</v>
      </c>
      <c r="AO7" s="1268"/>
      <c r="AP7" s="1267">
        <v>199660</v>
      </c>
      <c r="AQ7" s="1268"/>
      <c r="AR7" s="1267">
        <v>199660</v>
      </c>
      <c r="AS7" s="1268"/>
      <c r="AT7" s="1267">
        <v>199660</v>
      </c>
      <c r="AU7" s="1268"/>
      <c r="AV7" s="1267">
        <v>199660</v>
      </c>
      <c r="AW7" s="1268"/>
      <c r="AX7" s="1267">
        <v>199660</v>
      </c>
      <c r="AY7" s="1268"/>
      <c r="AZ7" s="1267">
        <v>199660</v>
      </c>
      <c r="BA7" s="1268"/>
      <c r="BB7" s="1267">
        <v>199660</v>
      </c>
      <c r="BC7" s="1268"/>
      <c r="BD7" s="1267">
        <v>199660</v>
      </c>
      <c r="BE7" s="1268"/>
      <c r="BF7" s="1267">
        <v>199660</v>
      </c>
      <c r="BG7" s="1268"/>
      <c r="BH7" s="1267">
        <v>199660</v>
      </c>
      <c r="BI7" s="1268"/>
      <c r="BJ7" s="1267">
        <v>199660</v>
      </c>
      <c r="BK7" s="1268"/>
      <c r="BL7" s="1267">
        <v>199660</v>
      </c>
      <c r="BM7" s="1268"/>
      <c r="BN7" s="1267">
        <v>199660</v>
      </c>
      <c r="BO7" s="1268"/>
      <c r="BP7" s="1267">
        <v>199660</v>
      </c>
      <c r="BQ7" s="1268"/>
      <c r="BR7" s="1267">
        <v>199660</v>
      </c>
      <c r="BS7" s="1268"/>
      <c r="BT7" s="1267">
        <v>199660</v>
      </c>
      <c r="BU7" s="1268"/>
      <c r="BV7" s="1267">
        <v>199660</v>
      </c>
      <c r="BW7" s="1268"/>
      <c r="BX7" s="1267">
        <v>199660</v>
      </c>
      <c r="BY7" s="1268"/>
      <c r="BZ7" s="1267">
        <v>199660</v>
      </c>
      <c r="CA7" s="1268"/>
      <c r="CB7" s="1267">
        <v>199660</v>
      </c>
      <c r="CC7" s="1268"/>
      <c r="CD7" s="1267">
        <v>435560</v>
      </c>
      <c r="CE7" s="1268"/>
      <c r="CF7" s="1267">
        <v>435560</v>
      </c>
      <c r="CG7" s="1268"/>
      <c r="CH7" s="1267">
        <v>435560</v>
      </c>
      <c r="CI7" s="1268"/>
      <c r="CJ7" s="1267">
        <v>435560</v>
      </c>
      <c r="CK7" s="1268"/>
      <c r="CL7" s="1267">
        <v>435560</v>
      </c>
      <c r="CM7" s="1268"/>
      <c r="CN7" s="1267">
        <v>435560</v>
      </c>
      <c r="CO7" s="1268"/>
      <c r="CP7" s="1267">
        <v>199660</v>
      </c>
      <c r="CQ7" s="1268"/>
      <c r="CR7" s="1267">
        <v>199660</v>
      </c>
      <c r="CS7" s="1268"/>
      <c r="CT7" s="1267">
        <v>199660</v>
      </c>
      <c r="CU7" s="1268"/>
      <c r="CV7" s="1267">
        <v>199660</v>
      </c>
      <c r="CW7" s="1268"/>
      <c r="CX7" s="1267">
        <v>199660</v>
      </c>
      <c r="CY7" s="1268"/>
      <c r="CZ7" s="1267">
        <v>199660</v>
      </c>
      <c r="DA7" s="1268"/>
      <c r="DB7" s="1267">
        <v>199660</v>
      </c>
      <c r="DC7" s="1268"/>
      <c r="DD7" s="1267">
        <v>199660</v>
      </c>
      <c r="DE7" s="1268"/>
      <c r="DF7" s="1267">
        <v>199660</v>
      </c>
      <c r="DG7" s="1268"/>
      <c r="DH7" s="1267">
        <v>199660</v>
      </c>
      <c r="DI7" s="1268"/>
      <c r="DJ7" s="1267">
        <v>199660</v>
      </c>
      <c r="DK7" s="1268"/>
      <c r="DL7" s="1267">
        <v>199660</v>
      </c>
      <c r="DM7" s="1268"/>
      <c r="DN7" s="1267">
        <v>199660</v>
      </c>
      <c r="DO7" s="1268"/>
      <c r="DP7" s="1267">
        <v>199660</v>
      </c>
      <c r="DQ7" s="1268"/>
      <c r="DR7" s="1267">
        <v>199660</v>
      </c>
      <c r="DS7" s="1268"/>
    </row>
    <row r="8" spans="1:123" s="7" customFormat="1" x14ac:dyDescent="0.45">
      <c r="A8" s="561"/>
      <c r="B8" s="1203"/>
      <c r="C8" s="12" t="s">
        <v>12</v>
      </c>
      <c r="D8" s="11"/>
      <c r="E8" s="11"/>
      <c r="F8" s="1232">
        <f>G60</f>
        <v>5.6</v>
      </c>
      <c r="G8" s="1233"/>
      <c r="H8" s="1232">
        <f>I60</f>
        <v>5.6</v>
      </c>
      <c r="I8" s="1233"/>
      <c r="J8" s="1232">
        <f t="shared" ref="J8" si="19">K60</f>
        <v>5.6</v>
      </c>
      <c r="K8" s="1233"/>
      <c r="L8" s="1232">
        <f t="shared" ref="L8" si="20">M60</f>
        <v>5.6</v>
      </c>
      <c r="M8" s="1233"/>
      <c r="N8" s="1269">
        <f>O60</f>
        <v>6.0185363271507084</v>
      </c>
      <c r="O8" s="1270"/>
      <c r="P8" s="1269">
        <f>Q60</f>
        <v>6.0503231690140851</v>
      </c>
      <c r="Q8" s="1270"/>
      <c r="R8" s="1269">
        <f>S60</f>
        <v>6.0503231690140851</v>
      </c>
      <c r="S8" s="1270"/>
      <c r="T8" s="1269">
        <f>U60</f>
        <v>6.052295</v>
      </c>
      <c r="U8" s="1270"/>
      <c r="V8" s="1269">
        <f>W60</f>
        <v>6.052295</v>
      </c>
      <c r="W8" s="1270"/>
      <c r="X8" s="1269">
        <f>Y60</f>
        <v>6.052295</v>
      </c>
      <c r="Y8" s="1270"/>
      <c r="Z8" s="1269">
        <f>AA60</f>
        <v>6.052295</v>
      </c>
      <c r="AA8" s="1270"/>
      <c r="AB8" s="1269">
        <f>AC60</f>
        <v>6.052295</v>
      </c>
      <c r="AC8" s="1270"/>
      <c r="AD8" s="1269">
        <f>AE60</f>
        <v>6.052295</v>
      </c>
      <c r="AE8" s="1270"/>
      <c r="AF8" s="1269">
        <f>AG60</f>
        <v>6.052295</v>
      </c>
      <c r="AG8" s="1270"/>
      <c r="AH8" s="1269">
        <f>AI60</f>
        <v>6.052295</v>
      </c>
      <c r="AI8" s="1270"/>
      <c r="AJ8" s="1269">
        <f>AK60</f>
        <v>6.052295</v>
      </c>
      <c r="AK8" s="1270"/>
      <c r="AL8" s="1269">
        <f>AM60</f>
        <v>6.052295</v>
      </c>
      <c r="AM8" s="1270"/>
      <c r="AN8" s="1269">
        <f>AO60</f>
        <v>6.052295</v>
      </c>
      <c r="AO8" s="1270"/>
      <c r="AP8" s="1269">
        <f t="shared" ref="AP8" si="21">AQ60</f>
        <v>6.052295</v>
      </c>
      <c r="AQ8" s="1270"/>
      <c r="AR8" s="1269">
        <f t="shared" ref="AR8" si="22">AS60</f>
        <v>6.052295</v>
      </c>
      <c r="AS8" s="1270"/>
      <c r="AT8" s="1269">
        <f t="shared" ref="AT8" si="23">AU60</f>
        <v>6.052295</v>
      </c>
      <c r="AU8" s="1270"/>
      <c r="AV8" s="1269">
        <f t="shared" ref="AV8" si="24">AW60</f>
        <v>6.052295</v>
      </c>
      <c r="AW8" s="1270"/>
      <c r="AX8" s="1269">
        <f t="shared" ref="AX8" si="25">AY60</f>
        <v>6.052295</v>
      </c>
      <c r="AY8" s="1270"/>
      <c r="AZ8" s="1269">
        <f t="shared" ref="AZ8" si="26">BA60</f>
        <v>6.052295</v>
      </c>
      <c r="BA8" s="1270"/>
      <c r="BB8" s="1269">
        <f t="shared" ref="BB8" si="27">BC60</f>
        <v>6.052295</v>
      </c>
      <c r="BC8" s="1270"/>
      <c r="BD8" s="1269">
        <f t="shared" ref="BD8" si="28">BE60</f>
        <v>6.052295</v>
      </c>
      <c r="BE8" s="1270"/>
      <c r="BF8" s="1269">
        <f t="shared" ref="BF8" si="29">BG60</f>
        <v>6.052295</v>
      </c>
      <c r="BG8" s="1270"/>
      <c r="BH8" s="1269">
        <f t="shared" ref="BH8" si="30">BI60</f>
        <v>6.052295</v>
      </c>
      <c r="BI8" s="1270"/>
      <c r="BJ8" s="1269">
        <f t="shared" ref="BJ8" si="31">BK60</f>
        <v>6.0512676056338028</v>
      </c>
      <c r="BK8" s="1270"/>
      <c r="BL8" s="1269">
        <f t="shared" ref="BL8" si="32">BM60</f>
        <v>6.054359673024523</v>
      </c>
      <c r="BM8" s="1270"/>
      <c r="BN8" s="1269">
        <f t="shared" ref="BN8" si="33">BO60</f>
        <v>6.054359673024523</v>
      </c>
      <c r="BO8" s="1270"/>
      <c r="BP8" s="1269">
        <f t="shared" ref="BP8" si="34">BQ60</f>
        <v>6.054359673024523</v>
      </c>
      <c r="BQ8" s="1270"/>
      <c r="BR8" s="1269">
        <f t="shared" ref="BR8" si="35">BS60</f>
        <v>6.054359673024523</v>
      </c>
      <c r="BS8" s="1270"/>
      <c r="BT8" s="1269">
        <f t="shared" ref="BT8" si="36">BU60</f>
        <v>6.054359673024523</v>
      </c>
      <c r="BU8" s="1270"/>
      <c r="BV8" s="1269">
        <f t="shared" ref="BV8" si="37">BW60</f>
        <v>6.054359673024523</v>
      </c>
      <c r="BW8" s="1270"/>
      <c r="BX8" s="1269">
        <f t="shared" ref="BX8" si="38">BY60</f>
        <v>6.054359673024523</v>
      </c>
      <c r="BY8" s="1270"/>
      <c r="BZ8" s="1269">
        <f t="shared" ref="BZ8" si="39">CA60</f>
        <v>6.054359673024523</v>
      </c>
      <c r="CA8" s="1270"/>
      <c r="CB8" s="1269">
        <f t="shared" ref="CB8" si="40">CC60</f>
        <v>6.054359673024523</v>
      </c>
      <c r="CC8" s="1270"/>
      <c r="CD8" s="1269">
        <f t="shared" ref="CD8" si="41">CE60</f>
        <v>6.054359673024523</v>
      </c>
      <c r="CE8" s="1270"/>
      <c r="CF8" s="1269">
        <f t="shared" ref="CF8" si="42">CG60</f>
        <v>6.054359673024523</v>
      </c>
      <c r="CG8" s="1270"/>
      <c r="CH8" s="1269">
        <f t="shared" ref="CH8" si="43">CI60</f>
        <v>6.054359673024523</v>
      </c>
      <c r="CI8" s="1270"/>
      <c r="CJ8" s="1269">
        <f t="shared" ref="CJ8" si="44">CK60</f>
        <v>6.054359673024523</v>
      </c>
      <c r="CK8" s="1270"/>
      <c r="CL8" s="1269">
        <f t="shared" ref="CL8" si="45">CM60</f>
        <v>6.054359673024523</v>
      </c>
      <c r="CM8" s="1270"/>
      <c r="CN8" s="1269">
        <f t="shared" ref="CN8" si="46">CO60</f>
        <v>6.054359673024523</v>
      </c>
      <c r="CO8" s="1270"/>
      <c r="CP8" s="1269">
        <f t="shared" ref="CP8" si="47">CQ60</f>
        <v>6.054359673024523</v>
      </c>
      <c r="CQ8" s="1270"/>
      <c r="CR8" s="1269">
        <f t="shared" ref="CR8" si="48">CS60</f>
        <v>6.054359673024523</v>
      </c>
      <c r="CS8" s="1270"/>
      <c r="CT8" s="1269">
        <f t="shared" ref="CT8" si="49">CU60</f>
        <v>6.054359673024523</v>
      </c>
      <c r="CU8" s="1270"/>
      <c r="CV8" s="1269">
        <f>CW60</f>
        <v>6.0420649025589279</v>
      </c>
      <c r="CW8" s="1270"/>
      <c r="CX8" s="1269">
        <f>CY60</f>
        <v>6.0522949999999991</v>
      </c>
      <c r="CY8" s="1270"/>
      <c r="CZ8" s="1269">
        <f>DA60</f>
        <v>6.052295</v>
      </c>
      <c r="DA8" s="1270"/>
      <c r="DB8" s="1269">
        <f>DC60</f>
        <v>6.052295</v>
      </c>
      <c r="DC8" s="1270"/>
      <c r="DD8" s="1269">
        <f>DE60</f>
        <v>6.0468908129653283</v>
      </c>
      <c r="DE8" s="1270"/>
      <c r="DF8" s="1269">
        <f>DG60</f>
        <v>6.052295</v>
      </c>
      <c r="DG8" s="1270"/>
      <c r="DH8" s="1269">
        <f>DI60</f>
        <v>6.8499149999999993</v>
      </c>
      <c r="DI8" s="1270"/>
      <c r="DJ8" s="1269">
        <f>DK60</f>
        <v>6.8496812499999997</v>
      </c>
      <c r="DK8" s="1270"/>
      <c r="DL8" s="1269">
        <f>DM60</f>
        <v>6.8496812499999997</v>
      </c>
      <c r="DM8" s="1270"/>
      <c r="DN8" s="1269">
        <f>DO60</f>
        <v>6.052295</v>
      </c>
      <c r="DO8" s="1270"/>
      <c r="DP8" s="1269">
        <f>DQ60</f>
        <v>6.052295</v>
      </c>
      <c r="DQ8" s="1270"/>
      <c r="DR8" s="1269">
        <f>DS60</f>
        <v>6.052295</v>
      </c>
      <c r="DS8" s="1270"/>
    </row>
    <row r="9" spans="1:123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$0.50/ctn</v>
      </c>
      <c r="G9" s="1191"/>
      <c r="H9" s="1190" t="str">
        <f>CONCATENATE("TP $",TEXT(I57,"#,##0.00"),"/ctn")</f>
        <v>TP $0.40/ctn</v>
      </c>
      <c r="I9" s="1191"/>
      <c r="J9" s="1190" t="str">
        <f t="shared" ref="J9" si="50">CONCATENATE("TP $",TEXT(K57,"#,##0.00"),"/ctn")</f>
        <v>TP $0.40/ctn</v>
      </c>
      <c r="K9" s="1191"/>
      <c r="L9" s="1190" t="str">
        <f t="shared" ref="L9" si="51">CONCATENATE("TP $",TEXT(M57,"#,##0.00"),"/ctn")</f>
        <v>TP $0.40/ctn</v>
      </c>
      <c r="M9" s="1191"/>
      <c r="N9" s="1271" t="str">
        <f>CONCATENATE("TP $",TEXT(O57,"#,##0.00"),"/ctn")</f>
        <v>TP $0.63/ctn</v>
      </c>
      <c r="O9" s="1272"/>
      <c r="P9" s="1271" t="str">
        <f>CONCATENATE("TP $",TEXT(Q57,"#,##0.00"),"/ctn")</f>
        <v>TP $0.65/ctn</v>
      </c>
      <c r="Q9" s="1272"/>
      <c r="R9" s="1271" t="str">
        <f>CONCATENATE("TP $",TEXT(S57,"#,##0.00"),"/ctn")</f>
        <v>TP $0.65/ctn</v>
      </c>
      <c r="S9" s="1272"/>
      <c r="T9" s="1271" t="str">
        <f>CONCATENATE("TP $",TEXT(U57,"#,##0.00"),"/ctn")</f>
        <v>TP $0.65/ctn</v>
      </c>
      <c r="U9" s="1272"/>
      <c r="V9" s="1271" t="str">
        <f>CONCATENATE("TP $",TEXT(W57,"#,##0.00"),"/ctn")</f>
        <v>TP $0.65/ctn</v>
      </c>
      <c r="W9" s="1272"/>
      <c r="X9" s="1271" t="str">
        <f>CONCATENATE("TP $",TEXT(Y57,"#,##0.00"),"/ctn")</f>
        <v>TP $0.65/ctn</v>
      </c>
      <c r="Y9" s="1272"/>
      <c r="Z9" s="1271" t="str">
        <f>CONCATENATE("TP $",TEXT(AA57,"#,##0.00"),"/ctn")</f>
        <v>TP $0.65/ctn</v>
      </c>
      <c r="AA9" s="1272"/>
      <c r="AB9" s="1271" t="str">
        <f>CONCATENATE("TP $",TEXT(AC57,"#,##0.00"),"/ctn")</f>
        <v>TP $0.65/ctn</v>
      </c>
      <c r="AC9" s="1272"/>
      <c r="AD9" s="1271" t="str">
        <f>CONCATENATE("TP $",TEXT(AE57,"#,##0.00"),"/ctn")</f>
        <v>TP $0.65/ctn</v>
      </c>
      <c r="AE9" s="1272"/>
      <c r="AF9" s="1271" t="str">
        <f>CONCATENATE("TP $",TEXT(AG57,"#,##0.00"),"/ctn")</f>
        <v>TP $0.65/ctn</v>
      </c>
      <c r="AG9" s="1272"/>
      <c r="AH9" s="1271" t="str">
        <f>CONCATENATE("TP $",TEXT(AI57,"#,##0.00"),"/ctn")</f>
        <v>TP $0.65/ctn</v>
      </c>
      <c r="AI9" s="1272"/>
      <c r="AJ9" s="1271" t="str">
        <f>CONCATENATE("TP $",TEXT(AK57,"#,##0.00"),"/ctn")</f>
        <v>TP $0.65/ctn</v>
      </c>
      <c r="AK9" s="1272"/>
      <c r="AL9" s="1271" t="str">
        <f>CONCATENATE("TP $",TEXT(AM57,"#,##0.00"),"/ctn")</f>
        <v>TP $0.65/ctn</v>
      </c>
      <c r="AM9" s="1272"/>
      <c r="AN9" s="1271" t="str">
        <f>CONCATENATE("TP $",TEXT(AO57,"#,##0.00"),"/ctn")</f>
        <v>TP $0.65/ctn</v>
      </c>
      <c r="AO9" s="1272"/>
      <c r="AP9" s="1271" t="str">
        <f t="shared" ref="AP9" si="52">CONCATENATE("TP $",TEXT(AQ57,"#,##0.00"),"/ctn")</f>
        <v>TP $0.65/ctn</v>
      </c>
      <c r="AQ9" s="1272"/>
      <c r="AR9" s="1271" t="str">
        <f t="shared" ref="AR9" si="53">CONCATENATE("TP $",TEXT(AS57,"#,##0.00"),"/ctn")</f>
        <v>TP $0.65/ctn</v>
      </c>
      <c r="AS9" s="1272"/>
      <c r="AT9" s="1271" t="str">
        <f t="shared" ref="AT9" si="54">CONCATENATE("TP $",TEXT(AU57,"#,##0.00"),"/ctn")</f>
        <v>TP $0.65/ctn</v>
      </c>
      <c r="AU9" s="1272"/>
      <c r="AV9" s="1271" t="str">
        <f t="shared" ref="AV9" si="55">CONCATENATE("TP $",TEXT(AW57,"#,##0.00"),"/ctn")</f>
        <v>TP $0.65/ctn</v>
      </c>
      <c r="AW9" s="1272"/>
      <c r="AX9" s="1271" t="str">
        <f t="shared" ref="AX9" si="56">CONCATENATE("TP $",TEXT(AY57,"#,##0.00"),"/ctn")</f>
        <v>TP $0.65/ctn</v>
      </c>
      <c r="AY9" s="1272"/>
      <c r="AZ9" s="1271" t="str">
        <f t="shared" ref="AZ9" si="57">CONCATENATE("TP $",TEXT(BA57,"#,##0.00"),"/ctn")</f>
        <v>TP $0.65/ctn</v>
      </c>
      <c r="BA9" s="1272"/>
      <c r="BB9" s="1271" t="str">
        <f t="shared" ref="BB9" si="58">CONCATENATE("TP $",TEXT(BC57,"#,##0.00"),"/ctn")</f>
        <v>TP $0.65/ctn</v>
      </c>
      <c r="BC9" s="1272"/>
      <c r="BD9" s="1271" t="str">
        <f t="shared" ref="BD9" si="59">CONCATENATE("TP $",TEXT(BE57,"#,##0.00"),"/ctn")</f>
        <v>TP $0.65/ctn</v>
      </c>
      <c r="BE9" s="1272"/>
      <c r="BF9" s="1271" t="str">
        <f t="shared" ref="BF9" si="60">CONCATENATE("TP $",TEXT(BG57,"#,##0.00"),"/ctn")</f>
        <v>TP $0.65/ctn</v>
      </c>
      <c r="BG9" s="1272"/>
      <c r="BH9" s="1271" t="str">
        <f t="shared" ref="BH9" si="61">CONCATENATE("TP $",TEXT(BI57,"#,##0.00"),"/ctn")</f>
        <v>TP $0.65/ctn</v>
      </c>
      <c r="BI9" s="1272"/>
      <c r="BJ9" s="1271" t="str">
        <f t="shared" ref="BJ9" si="62">CONCATENATE("TP $",TEXT(BK57,"#,##0.00"),"/ctn")</f>
        <v>TP $0.65/ctn</v>
      </c>
      <c r="BK9" s="1272"/>
      <c r="BL9" s="1271" t="str">
        <f t="shared" ref="BL9" si="63">CONCATENATE("TP $",TEXT(BM57,"#,##0.00"),"/ctn")</f>
        <v>TP $0.65/ctn</v>
      </c>
      <c r="BM9" s="1272"/>
      <c r="BN9" s="1271" t="str">
        <f t="shared" ref="BN9" si="64">CONCATENATE("TP $",TEXT(BO57,"#,##0.00"),"/ctn")</f>
        <v>TP $0.65/ctn</v>
      </c>
      <c r="BO9" s="1272"/>
      <c r="BP9" s="1271" t="str">
        <f t="shared" ref="BP9" si="65">CONCATENATE("TP $",TEXT(BQ57,"#,##0.00"),"/ctn")</f>
        <v>TP $0.65/ctn</v>
      </c>
      <c r="BQ9" s="1272"/>
      <c r="BR9" s="1271" t="str">
        <f t="shared" ref="BR9" si="66">CONCATENATE("TP $",TEXT(BS57,"#,##0.00"),"/ctn")</f>
        <v>TP $0.65/ctn</v>
      </c>
      <c r="BS9" s="1272"/>
      <c r="BT9" s="1271" t="str">
        <f t="shared" ref="BT9" si="67">CONCATENATE("TP $",TEXT(BU57,"#,##0.00"),"/ctn")</f>
        <v>TP $0.65/ctn</v>
      </c>
      <c r="BU9" s="1272"/>
      <c r="BV9" s="1271" t="str">
        <f t="shared" ref="BV9" si="68">CONCATENATE("TP $",TEXT(BW57,"#,##0.00"),"/ctn")</f>
        <v>TP $0.65/ctn</v>
      </c>
      <c r="BW9" s="1272"/>
      <c r="BX9" s="1271" t="str">
        <f t="shared" ref="BX9" si="69">CONCATENATE("TP $",TEXT(BY57,"#,##0.00"),"/ctn")</f>
        <v>TP $0.65/ctn</v>
      </c>
      <c r="BY9" s="1272"/>
      <c r="BZ9" s="1271" t="str">
        <f t="shared" ref="BZ9" si="70">CONCATENATE("TP $",TEXT(CA57,"#,##0.00"),"/ctn")</f>
        <v>TP $0.65/ctn</v>
      </c>
      <c r="CA9" s="1272"/>
      <c r="CB9" s="1271" t="str">
        <f t="shared" ref="CB9" si="71">CONCATENATE("TP $",TEXT(CC57,"#,##0.00"),"/ctn")</f>
        <v>TP $0.65/ctn</v>
      </c>
      <c r="CC9" s="1272"/>
      <c r="CD9" s="1271" t="str">
        <f t="shared" ref="CD9" si="72">CONCATENATE("TP $",TEXT(CE57,"#,##0.00"),"/ctn")</f>
        <v>TP $0.65/ctn</v>
      </c>
      <c r="CE9" s="1272"/>
      <c r="CF9" s="1271" t="str">
        <f t="shared" ref="CF9" si="73">CONCATENATE("TP $",TEXT(CG57,"#,##0.00"),"/ctn")</f>
        <v>TP $0.65/ctn</v>
      </c>
      <c r="CG9" s="1272"/>
      <c r="CH9" s="1271" t="str">
        <f t="shared" ref="CH9" si="74">CONCATENATE("TP $",TEXT(CI57,"#,##0.00"),"/ctn")</f>
        <v>TP $0.65/ctn</v>
      </c>
      <c r="CI9" s="1272"/>
      <c r="CJ9" s="1271" t="str">
        <f t="shared" ref="CJ9" si="75">CONCATENATE("TP $",TEXT(CK57,"#,##0.00"),"/ctn")</f>
        <v>TP $0.65/ctn</v>
      </c>
      <c r="CK9" s="1272"/>
      <c r="CL9" s="1271" t="str">
        <f t="shared" ref="CL9" si="76">CONCATENATE("TP $",TEXT(CM57,"#,##0.00"),"/ctn")</f>
        <v>TP $0.65/ctn</v>
      </c>
      <c r="CM9" s="1272"/>
      <c r="CN9" s="1271" t="str">
        <f t="shared" ref="CN9" si="77">CONCATENATE("TP $",TEXT(CO57,"#,##0.00"),"/ctn")</f>
        <v>TP $0.65/ctn</v>
      </c>
      <c r="CO9" s="1272"/>
      <c r="CP9" s="1271" t="str">
        <f t="shared" ref="CP9" si="78">CONCATENATE("TP $",TEXT(CQ57,"#,##0.00"),"/ctn")</f>
        <v>TP $0.65/ctn</v>
      </c>
      <c r="CQ9" s="1272"/>
      <c r="CR9" s="1271" t="str">
        <f t="shared" ref="CR9" si="79">CONCATENATE("TP $",TEXT(CS57,"#,##0.00"),"/ctn")</f>
        <v>TP $0.65/ctn</v>
      </c>
      <c r="CS9" s="1272"/>
      <c r="CT9" s="1271" t="str">
        <f t="shared" ref="CT9" si="80">CONCATENATE("TP $",TEXT(CU57,"#,##0.00"),"/ctn")</f>
        <v>TP $0.65/ctn</v>
      </c>
      <c r="CU9" s="1272"/>
      <c r="CV9" s="1271" t="str">
        <f>CONCATENATE("TP $",TEXT(CW57,"#,##0.00"),"/ctn")</f>
        <v>TP $0.64/ctn</v>
      </c>
      <c r="CW9" s="1272"/>
      <c r="CX9" s="1271" t="str">
        <f>CONCATENATE("TP $",TEXT(CY57,"#,##0.00"),"/ctn")</f>
        <v>TP $0.65/ctn</v>
      </c>
      <c r="CY9" s="1272"/>
      <c r="CZ9" s="1271" t="str">
        <f>CONCATENATE("TP $",TEXT(DA57,"#,##0.00"),"/ctn")</f>
        <v>TP $0.65/ctn</v>
      </c>
      <c r="DA9" s="1272"/>
      <c r="DB9" s="1271" t="str">
        <f>CONCATENATE("TP $",TEXT(DC57,"#,##0.00"),"/ctn")</f>
        <v>TP $0.65/ctn</v>
      </c>
      <c r="DC9" s="1272"/>
      <c r="DD9" s="1271" t="str">
        <f>CONCATENATE("TP $",TEXT(DE57,"#,##0.00"),"/ctn")</f>
        <v>TP $0.65/ctn</v>
      </c>
      <c r="DE9" s="1272"/>
      <c r="DF9" s="1271" t="str">
        <f>CONCATENATE("TP $",TEXT(DG57,"#,##0.00"),"/ctn")</f>
        <v>TP $0.65/ctn</v>
      </c>
      <c r="DG9" s="1272"/>
      <c r="DH9" s="1271" t="str">
        <f>CONCATENATE("TP $",TEXT(DI57,"#,##0.00"),"/ctn")</f>
        <v>TP $0.85/ctn</v>
      </c>
      <c r="DI9" s="1272"/>
      <c r="DJ9" s="1271" t="str">
        <f>CONCATENATE("TP $",TEXT(DK57,"#,##0.00"),"/ctn")</f>
        <v>TP $1.15/ctn</v>
      </c>
      <c r="DK9" s="1272"/>
      <c r="DL9" s="1271" t="str">
        <f>CONCATENATE("TP $",TEXT(DM57,"#,##0.00"),"/ctn")</f>
        <v>TP $1.15/ctn</v>
      </c>
      <c r="DM9" s="1272"/>
      <c r="DN9" s="1271" t="str">
        <f>CONCATENATE("TP $",TEXT(DO57,"#,##0.00"),"/ctn")</f>
        <v>TP $0.65/ctn</v>
      </c>
      <c r="DO9" s="1272"/>
      <c r="DP9" s="1271" t="str">
        <f>CONCATENATE("TP $",TEXT(DQ57,"#,##0.00"),"/ctn")</f>
        <v>TP $0.65/ctn</v>
      </c>
      <c r="DQ9" s="1272"/>
      <c r="DR9" s="1271" t="str">
        <f>CONCATENATE("TP $",TEXT(DS57,"#,##0.00"),"/ctn")</f>
        <v>TP $0.65/ctn</v>
      </c>
      <c r="DS9" s="1272"/>
    </row>
    <row r="10" spans="1:123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 t="shared" ref="J10" si="81">RIGHT(J2,2)</f>
        <v>40</v>
      </c>
      <c r="K10" s="253" t="str">
        <f t="shared" ref="K10" si="82">+J10</f>
        <v>40</v>
      </c>
      <c r="L10" s="252" t="str">
        <f t="shared" ref="L10" si="83">RIGHT(L2,2)</f>
        <v>40</v>
      </c>
      <c r="M10" s="253" t="str">
        <f t="shared" ref="M10" si="84"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348" t="str">
        <f>RIGHT(AF2,2)</f>
        <v>40</v>
      </c>
      <c r="AG10" s="349" t="str">
        <f>+AF10</f>
        <v>40</v>
      </c>
      <c r="AH10" s="348" t="str">
        <f>RIGHT(AH2,2)</f>
        <v>40</v>
      </c>
      <c r="AI10" s="349" t="str">
        <f>+AH10</f>
        <v>40</v>
      </c>
      <c r="AJ10" s="348" t="str">
        <f>RIGHT(AJ2,2)</f>
        <v>40</v>
      </c>
      <c r="AK10" s="349" t="str">
        <f>+AJ10</f>
        <v>40</v>
      </c>
      <c r="AL10" s="348" t="str">
        <f>RIGHT(AL2,2)</f>
        <v>40</v>
      </c>
      <c r="AM10" s="349" t="str">
        <f>+AL10</f>
        <v>40</v>
      </c>
      <c r="AN10" s="348" t="str">
        <f>RIGHT(AN2,2)</f>
        <v>40</v>
      </c>
      <c r="AO10" s="349" t="str">
        <f>+AN10</f>
        <v>40</v>
      </c>
      <c r="AP10" s="348" t="str">
        <f t="shared" ref="AP10" si="85">RIGHT(AP2,2)</f>
        <v>40</v>
      </c>
      <c r="AQ10" s="349" t="str">
        <f t="shared" ref="AQ10" si="86">+AP10</f>
        <v>40</v>
      </c>
      <c r="AR10" s="348" t="str">
        <f t="shared" ref="AR10" si="87">RIGHT(AR2,2)</f>
        <v>40</v>
      </c>
      <c r="AS10" s="349" t="str">
        <f t="shared" ref="AS10" si="88">+AR10</f>
        <v>40</v>
      </c>
      <c r="AT10" s="348" t="str">
        <f t="shared" ref="AT10" si="89">RIGHT(AT2,2)</f>
        <v>40</v>
      </c>
      <c r="AU10" s="349" t="str">
        <f t="shared" ref="AU10" si="90">+AT10</f>
        <v>40</v>
      </c>
      <c r="AV10" s="348" t="str">
        <f t="shared" ref="AV10" si="91">RIGHT(AV2,2)</f>
        <v>40</v>
      </c>
      <c r="AW10" s="349" t="str">
        <f t="shared" ref="AW10" si="92">+AV10</f>
        <v>40</v>
      </c>
      <c r="AX10" s="348" t="str">
        <f t="shared" ref="AX10" si="93">RIGHT(AX2,2)</f>
        <v>40</v>
      </c>
      <c r="AY10" s="349" t="str">
        <f t="shared" ref="AY10" si="94">+AX10</f>
        <v>40</v>
      </c>
      <c r="AZ10" s="348" t="str">
        <f t="shared" ref="AZ10:BB10" si="95">RIGHT(AZ2,2)</f>
        <v>40</v>
      </c>
      <c r="BA10" s="349" t="str">
        <f t="shared" ref="BA10" si="96">+AZ10</f>
        <v>40</v>
      </c>
      <c r="BB10" s="348" t="str">
        <f t="shared" si="95"/>
        <v>40</v>
      </c>
      <c r="BC10" s="349" t="str">
        <f t="shared" ref="BC10" si="97">+BB10</f>
        <v>40</v>
      </c>
      <c r="BD10" s="348" t="str">
        <f t="shared" ref="BD10:BH10" si="98">RIGHT(BD2,2)</f>
        <v>40</v>
      </c>
      <c r="BE10" s="349" t="str">
        <f t="shared" ref="BE10" si="99">+BD10</f>
        <v>40</v>
      </c>
      <c r="BF10" s="348" t="str">
        <f t="shared" si="98"/>
        <v>40</v>
      </c>
      <c r="BG10" s="349" t="str">
        <f t="shared" ref="BG10" si="100">+BF10</f>
        <v>40</v>
      </c>
      <c r="BH10" s="348" t="str">
        <f t="shared" si="98"/>
        <v>40</v>
      </c>
      <c r="BI10" s="349" t="str">
        <f t="shared" ref="BI10" si="101">+BH10</f>
        <v>40</v>
      </c>
      <c r="BJ10" s="348" t="str">
        <f t="shared" ref="BJ10:BL10" si="102">RIGHT(BJ2,2)</f>
        <v>40</v>
      </c>
      <c r="BK10" s="349" t="str">
        <f t="shared" ref="BK10" si="103">+BJ10</f>
        <v>40</v>
      </c>
      <c r="BL10" s="348" t="str">
        <f t="shared" si="102"/>
        <v>40</v>
      </c>
      <c r="BM10" s="349" t="str">
        <f t="shared" ref="BM10" si="104">+BL10</f>
        <v>40</v>
      </c>
      <c r="BN10" s="348" t="str">
        <f t="shared" ref="BN10:BP10" si="105">RIGHT(BN2,2)</f>
        <v>40</v>
      </c>
      <c r="BO10" s="349" t="str">
        <f t="shared" ref="BO10" si="106">+BN10</f>
        <v>40</v>
      </c>
      <c r="BP10" s="348" t="str">
        <f t="shared" si="105"/>
        <v>40</v>
      </c>
      <c r="BQ10" s="349" t="str">
        <f t="shared" ref="BQ10" si="107">+BP10</f>
        <v>40</v>
      </c>
      <c r="BR10" s="348" t="str">
        <f t="shared" ref="BR10:CR10" si="108">RIGHT(BR2,2)</f>
        <v>40</v>
      </c>
      <c r="BS10" s="349" t="str">
        <f t="shared" ref="BS10" si="109">+BR10</f>
        <v>40</v>
      </c>
      <c r="BT10" s="348" t="str">
        <f t="shared" ref="BT10:BV10" si="110">RIGHT(BT2,2)</f>
        <v>40</v>
      </c>
      <c r="BU10" s="349" t="str">
        <f t="shared" ref="BU10" si="111">+BT10</f>
        <v>40</v>
      </c>
      <c r="BV10" s="348" t="str">
        <f t="shared" si="110"/>
        <v>40</v>
      </c>
      <c r="BW10" s="349" t="str">
        <f t="shared" ref="BW10" si="112">+BV10</f>
        <v>40</v>
      </c>
      <c r="BX10" s="348" t="str">
        <f t="shared" ref="BX10:BZ10" si="113">RIGHT(BX2,2)</f>
        <v>40</v>
      </c>
      <c r="BY10" s="349" t="str">
        <f t="shared" ref="BY10" si="114">+BX10</f>
        <v>40</v>
      </c>
      <c r="BZ10" s="348" t="str">
        <f t="shared" si="113"/>
        <v>40</v>
      </c>
      <c r="CA10" s="349" t="str">
        <f t="shared" ref="CA10" si="115">+BZ10</f>
        <v>40</v>
      </c>
      <c r="CB10" s="348" t="str">
        <f t="shared" ref="CB10:CD10" si="116">RIGHT(CB2,2)</f>
        <v>40</v>
      </c>
      <c r="CC10" s="349" t="str">
        <f t="shared" ref="CC10" si="117">+CB10</f>
        <v>40</v>
      </c>
      <c r="CD10" s="348" t="str">
        <f t="shared" si="116"/>
        <v>40</v>
      </c>
      <c r="CE10" s="349" t="str">
        <f t="shared" ref="CE10" si="118">+CD10</f>
        <v>40</v>
      </c>
      <c r="CF10" s="348" t="str">
        <f t="shared" ref="CF10:CH10" si="119">RIGHT(CF2,2)</f>
        <v>40</v>
      </c>
      <c r="CG10" s="349" t="str">
        <f t="shared" ref="CG10" si="120">+CF10</f>
        <v>40</v>
      </c>
      <c r="CH10" s="348" t="str">
        <f t="shared" si="119"/>
        <v>40</v>
      </c>
      <c r="CI10" s="349" t="str">
        <f t="shared" ref="CI10" si="121">+CH10</f>
        <v>40</v>
      </c>
      <c r="CJ10" s="348" t="str">
        <f t="shared" ref="CJ10:CL10" si="122">RIGHT(CJ2,2)</f>
        <v>40</v>
      </c>
      <c r="CK10" s="349" t="str">
        <f t="shared" ref="CK10" si="123">+CJ10</f>
        <v>40</v>
      </c>
      <c r="CL10" s="348" t="str">
        <f t="shared" si="122"/>
        <v>40</v>
      </c>
      <c r="CM10" s="349" t="str">
        <f t="shared" ref="CM10" si="124">+CL10</f>
        <v>40</v>
      </c>
      <c r="CN10" s="348" t="str">
        <f t="shared" ref="CN10:CP10" si="125">RIGHT(CN2,2)</f>
        <v>40</v>
      </c>
      <c r="CO10" s="349" t="str">
        <f t="shared" ref="CO10" si="126">+CN10</f>
        <v>40</v>
      </c>
      <c r="CP10" s="348" t="str">
        <f t="shared" si="125"/>
        <v>40</v>
      </c>
      <c r="CQ10" s="349" t="str">
        <f t="shared" ref="CQ10" si="127">+CP10</f>
        <v>40</v>
      </c>
      <c r="CR10" s="348" t="str">
        <f t="shared" si="108"/>
        <v>40</v>
      </c>
      <c r="CS10" s="349" t="str">
        <f t="shared" ref="CS10" si="128">+CR10</f>
        <v>40</v>
      </c>
      <c r="CT10" s="348" t="str">
        <f t="shared" ref="CT10" si="129">RIGHT(CT2,2)</f>
        <v>40</v>
      </c>
      <c r="CU10" s="349" t="str">
        <f t="shared" ref="CU10" si="130">+CT10</f>
        <v>40</v>
      </c>
      <c r="CV10" s="348" t="str">
        <f>RIGHT(CV2,2)</f>
        <v>40</v>
      </c>
      <c r="CW10" s="349" t="str">
        <f>+CV10</f>
        <v>40</v>
      </c>
      <c r="CX10" s="348" t="str">
        <f>RIGHT(CX2,2)</f>
        <v>40</v>
      </c>
      <c r="CY10" s="349" t="str">
        <f>+CX10</f>
        <v>40</v>
      </c>
      <c r="CZ10" s="348" t="str">
        <f>RIGHT(CZ2,2)</f>
        <v>40</v>
      </c>
      <c r="DA10" s="349" t="str">
        <f>+CZ10</f>
        <v>40</v>
      </c>
      <c r="DB10" s="348" t="str">
        <f>RIGHT(DB2,2)</f>
        <v>40</v>
      </c>
      <c r="DC10" s="349" t="str">
        <f>+DB10</f>
        <v>40</v>
      </c>
      <c r="DD10" s="348" t="str">
        <f>RIGHT(DD2,2)</f>
        <v>40</v>
      </c>
      <c r="DE10" s="349" t="str">
        <f>+DD10</f>
        <v>40</v>
      </c>
      <c r="DF10" s="348" t="str">
        <f>RIGHT(DF2,2)</f>
        <v>40</v>
      </c>
      <c r="DG10" s="349" t="str">
        <f>+DF10</f>
        <v>40</v>
      </c>
      <c r="DH10" s="348" t="str">
        <f>RIGHT(DH2,2)</f>
        <v>40</v>
      </c>
      <c r="DI10" s="349" t="str">
        <f>+DH10</f>
        <v>40</v>
      </c>
      <c r="DJ10" s="348" t="str">
        <f>RIGHT(DJ2,2)</f>
        <v>40</v>
      </c>
      <c r="DK10" s="349" t="str">
        <f>+DJ10</f>
        <v>40</v>
      </c>
      <c r="DL10" s="348" t="str">
        <f>RIGHT(DL2,2)</f>
        <v>40</v>
      </c>
      <c r="DM10" s="349" t="str">
        <f>+DL10</f>
        <v>40</v>
      </c>
      <c r="DN10" s="348" t="str">
        <f>RIGHT(DN2,2)</f>
        <v>40</v>
      </c>
      <c r="DO10" s="349" t="str">
        <f>+DN10</f>
        <v>40</v>
      </c>
      <c r="DP10" s="348" t="str">
        <f>RIGHT(DP2,2)</f>
        <v>40</v>
      </c>
      <c r="DQ10" s="1138" t="str">
        <f>+DP10</f>
        <v>40</v>
      </c>
      <c r="DR10" s="348" t="str">
        <f>RIGHT(DR2,2)</f>
        <v>40</v>
      </c>
      <c r="DS10" s="1138" t="str">
        <f>+DR10</f>
        <v>40</v>
      </c>
    </row>
    <row r="11" spans="1:123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21" t="s">
        <v>25</v>
      </c>
      <c r="BY11" s="22" t="s">
        <v>26</v>
      </c>
      <c r="BZ11" s="21" t="s">
        <v>25</v>
      </c>
      <c r="CA11" s="22" t="s">
        <v>26</v>
      </c>
      <c r="CB11" s="21" t="s">
        <v>25</v>
      </c>
      <c r="CC11" s="22" t="s">
        <v>26</v>
      </c>
      <c r="CD11" s="21" t="s">
        <v>25</v>
      </c>
      <c r="CE11" s="22" t="s">
        <v>26</v>
      </c>
      <c r="CF11" s="21" t="s">
        <v>25</v>
      </c>
      <c r="CG11" s="22" t="s">
        <v>26</v>
      </c>
      <c r="CH11" s="21" t="s">
        <v>25</v>
      </c>
      <c r="CI11" s="22" t="s">
        <v>26</v>
      </c>
      <c r="CJ11" s="21" t="s">
        <v>25</v>
      </c>
      <c r="CK11" s="22" t="s">
        <v>26</v>
      </c>
      <c r="CL11" s="21" t="s">
        <v>25</v>
      </c>
      <c r="CM11" s="22" t="s">
        <v>26</v>
      </c>
      <c r="CN11" s="21" t="s">
        <v>25</v>
      </c>
      <c r="CO11" s="22" t="s">
        <v>26</v>
      </c>
      <c r="CP11" s="21" t="s">
        <v>25</v>
      </c>
      <c r="CQ11" s="22" t="s">
        <v>26</v>
      </c>
      <c r="CR11" s="21" t="s">
        <v>25</v>
      </c>
      <c r="CS11" s="22" t="s">
        <v>26</v>
      </c>
      <c r="CT11" s="21" t="s">
        <v>25</v>
      </c>
      <c r="CU11" s="22" t="s">
        <v>26</v>
      </c>
      <c r="CV11" s="21" t="s">
        <v>25</v>
      </c>
      <c r="CW11" s="22" t="s">
        <v>26</v>
      </c>
      <c r="CX11" s="21" t="s">
        <v>25</v>
      </c>
      <c r="CY11" s="22" t="s">
        <v>26</v>
      </c>
      <c r="CZ11" s="21" t="s">
        <v>25</v>
      </c>
      <c r="DA11" s="22" t="s">
        <v>26</v>
      </c>
      <c r="DB11" s="21" t="s">
        <v>25</v>
      </c>
      <c r="DC11" s="22" t="s">
        <v>26</v>
      </c>
      <c r="DD11" s="21" t="s">
        <v>25</v>
      </c>
      <c r="DE11" s="22" t="s">
        <v>26</v>
      </c>
      <c r="DF11" s="21" t="s">
        <v>25</v>
      </c>
      <c r="DG11" s="22" t="s">
        <v>26</v>
      </c>
      <c r="DH11" s="21" t="s">
        <v>25</v>
      </c>
      <c r="DI11" s="22" t="s">
        <v>26</v>
      </c>
      <c r="DJ11" s="21" t="s">
        <v>25</v>
      </c>
      <c r="DK11" s="22" t="s">
        <v>26</v>
      </c>
      <c r="DL11" s="21" t="s">
        <v>25</v>
      </c>
      <c r="DM11" s="22" t="s">
        <v>26</v>
      </c>
      <c r="DN11" s="21" t="s">
        <v>25</v>
      </c>
      <c r="DO11" s="22" t="s">
        <v>26</v>
      </c>
      <c r="DP11" s="21" t="s">
        <v>25</v>
      </c>
      <c r="DQ11" s="1139" t="s">
        <v>26</v>
      </c>
      <c r="DR11" s="21" t="s">
        <v>25</v>
      </c>
      <c r="DS11" s="1139" t="s">
        <v>26</v>
      </c>
    </row>
    <row r="12" spans="1:123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350">
        <v>4068.66</v>
      </c>
      <c r="AG12" s="351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350">
        <v>4068.66</v>
      </c>
      <c r="BY12" s="351"/>
      <c r="BZ12" s="350">
        <v>4068.66</v>
      </c>
      <c r="CA12" s="351"/>
      <c r="CB12" s="350">
        <v>4068.66</v>
      </c>
      <c r="CC12" s="351"/>
      <c r="CD12" s="350">
        <v>4068.66</v>
      </c>
      <c r="CE12" s="351"/>
      <c r="CF12" s="350">
        <v>4068.66</v>
      </c>
      <c r="CG12" s="351"/>
      <c r="CH12" s="350">
        <v>4068.66</v>
      </c>
      <c r="CI12" s="351"/>
      <c r="CJ12" s="350">
        <v>4068.66</v>
      </c>
      <c r="CK12" s="351"/>
      <c r="CL12" s="350">
        <v>4068.66</v>
      </c>
      <c r="CM12" s="351"/>
      <c r="CN12" s="350">
        <v>4068.66</v>
      </c>
      <c r="CO12" s="351"/>
      <c r="CP12" s="350">
        <v>4068.66</v>
      </c>
      <c r="CQ12" s="351"/>
      <c r="CR12" s="350">
        <v>4068.66</v>
      </c>
      <c r="CS12" s="351"/>
      <c r="CT12" s="350">
        <v>4068.66</v>
      </c>
      <c r="CU12" s="351"/>
      <c r="CV12" s="350">
        <v>4068.66</v>
      </c>
      <c r="CW12" s="351"/>
      <c r="CX12" s="350">
        <v>4068.66</v>
      </c>
      <c r="CY12" s="351"/>
      <c r="CZ12" s="350">
        <v>4068.66</v>
      </c>
      <c r="DA12" s="351"/>
      <c r="DB12" s="350">
        <v>4068.66</v>
      </c>
      <c r="DC12" s="351"/>
      <c r="DD12" s="350">
        <v>4068.66</v>
      </c>
      <c r="DE12" s="351"/>
      <c r="DF12" s="350">
        <v>4068.66</v>
      </c>
      <c r="DG12" s="351"/>
      <c r="DH12" s="350">
        <v>4068.66</v>
      </c>
      <c r="DI12" s="351"/>
      <c r="DJ12" s="350">
        <v>4068.66</v>
      </c>
      <c r="DK12" s="351"/>
      <c r="DL12" s="350">
        <v>4068.66</v>
      </c>
      <c r="DM12" s="351"/>
      <c r="DN12" s="350">
        <v>4068.66</v>
      </c>
      <c r="DO12" s="351"/>
      <c r="DP12" s="350">
        <v>4068.66</v>
      </c>
      <c r="DQ12" s="351"/>
      <c r="DR12" s="350">
        <v>4068.66</v>
      </c>
      <c r="DS12" s="351"/>
    </row>
    <row r="13" spans="1:123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352"/>
      <c r="AG13" s="353"/>
      <c r="AH13" s="352"/>
      <c r="AI13" s="353"/>
      <c r="AJ13" s="352"/>
      <c r="AK13" s="353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352"/>
      <c r="BY13" s="353"/>
      <c r="BZ13" s="352"/>
      <c r="CA13" s="353"/>
      <c r="CB13" s="352"/>
      <c r="CC13" s="353"/>
      <c r="CD13" s="352"/>
      <c r="CE13" s="353"/>
      <c r="CF13" s="352"/>
      <c r="CG13" s="353"/>
      <c r="CH13" s="352"/>
      <c r="CI13" s="353"/>
      <c r="CJ13" s="352"/>
      <c r="CK13" s="353"/>
      <c r="CL13" s="352"/>
      <c r="CM13" s="353"/>
      <c r="CN13" s="352"/>
      <c r="CO13" s="353"/>
      <c r="CP13" s="352"/>
      <c r="CQ13" s="353"/>
      <c r="CR13" s="352"/>
      <c r="CS13" s="353"/>
      <c r="CT13" s="352"/>
      <c r="CU13" s="353"/>
      <c r="CV13" s="352"/>
      <c r="CW13" s="353"/>
      <c r="CX13" s="352"/>
      <c r="CY13" s="353"/>
      <c r="CZ13" s="352"/>
      <c r="DA13" s="353"/>
      <c r="DB13" s="352"/>
      <c r="DC13" s="353"/>
      <c r="DD13" s="352"/>
      <c r="DE13" s="353"/>
      <c r="DF13" s="352"/>
      <c r="DG13" s="353"/>
      <c r="DH13" s="352"/>
      <c r="DI13" s="353"/>
      <c r="DJ13" s="352"/>
      <c r="DK13" s="353"/>
      <c r="DL13" s="352"/>
      <c r="DM13" s="353"/>
      <c r="DN13" s="352"/>
      <c r="DO13" s="353"/>
      <c r="DP13" s="352"/>
      <c r="DQ13" s="353"/>
      <c r="DR13" s="352"/>
      <c r="DS13" s="353"/>
    </row>
    <row r="14" spans="1:123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354"/>
      <c r="AG14" s="355"/>
      <c r="AH14" s="354"/>
      <c r="AI14" s="355"/>
      <c r="AJ14" s="354"/>
      <c r="AK14" s="355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354"/>
      <c r="BY14" s="355"/>
      <c r="BZ14" s="354"/>
      <c r="CA14" s="355"/>
      <c r="CB14" s="354"/>
      <c r="CC14" s="355"/>
      <c r="CD14" s="354"/>
      <c r="CE14" s="355"/>
      <c r="CF14" s="354"/>
      <c r="CG14" s="355"/>
      <c r="CH14" s="354"/>
      <c r="CI14" s="355"/>
      <c r="CJ14" s="354"/>
      <c r="CK14" s="355"/>
      <c r="CL14" s="354"/>
      <c r="CM14" s="355"/>
      <c r="CN14" s="354"/>
      <c r="CO14" s="355"/>
      <c r="CP14" s="354"/>
      <c r="CQ14" s="355"/>
      <c r="CR14" s="354"/>
      <c r="CS14" s="355"/>
      <c r="CT14" s="354"/>
      <c r="CU14" s="355"/>
      <c r="CV14" s="354"/>
      <c r="CW14" s="355"/>
      <c r="CX14" s="354"/>
      <c r="CY14" s="355"/>
      <c r="CZ14" s="354"/>
      <c r="DA14" s="355"/>
      <c r="DB14" s="354"/>
      <c r="DC14" s="355"/>
      <c r="DD14" s="354"/>
      <c r="DE14" s="355"/>
      <c r="DF14" s="354"/>
      <c r="DG14" s="355"/>
      <c r="DH14" s="354"/>
      <c r="DI14" s="355"/>
      <c r="DJ14" s="354"/>
      <c r="DK14" s="355"/>
      <c r="DL14" s="354"/>
      <c r="DM14" s="355"/>
      <c r="DN14" s="354"/>
      <c r="DO14" s="355"/>
      <c r="DP14" s="354"/>
      <c r="DQ14" s="355"/>
      <c r="DR14" s="354"/>
      <c r="DS14" s="355"/>
    </row>
    <row r="15" spans="1:123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 t="shared" ref="K15" si="131">+J15/J12</f>
        <v>0.24578116628079025</v>
      </c>
      <c r="L15" s="31">
        <v>1000</v>
      </c>
      <c r="M15" s="32">
        <f t="shared" ref="M15" si="132"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1000</v>
      </c>
      <c r="Y15" s="32">
        <f>+X15/X12</f>
        <v>0.24578116628079025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31">
        <v>1000</v>
      </c>
      <c r="AG15" s="32">
        <f>+AF15/AF12</f>
        <v>0.24578116628079025</v>
      </c>
      <c r="AH15" s="31">
        <v>1000</v>
      </c>
      <c r="AI15" s="32">
        <f>+AH15/AH12</f>
        <v>0.24578116628079025</v>
      </c>
      <c r="AJ15" s="31">
        <v>1000</v>
      </c>
      <c r="AK15" s="32">
        <f>+AJ15/AJ12</f>
        <v>0.24578116628079025</v>
      </c>
      <c r="AL15" s="31">
        <v>1000</v>
      </c>
      <c r="AM15" s="32">
        <f>+AL15/AL12</f>
        <v>0.24578116628079025</v>
      </c>
      <c r="AN15" s="31">
        <v>1000</v>
      </c>
      <c r="AO15" s="32">
        <f>+AN15/AN12</f>
        <v>0.24578116628079025</v>
      </c>
      <c r="AP15" s="31">
        <v>1000</v>
      </c>
      <c r="AQ15" s="32">
        <f t="shared" ref="AQ15" si="133">+AP15/AP12</f>
        <v>0.24578116628079025</v>
      </c>
      <c r="AR15" s="31">
        <v>1000</v>
      </c>
      <c r="AS15" s="32">
        <f t="shared" ref="AS15" si="134">+AR15/AR12</f>
        <v>0.24578116628079025</v>
      </c>
      <c r="AT15" s="31">
        <v>1000</v>
      </c>
      <c r="AU15" s="32">
        <f t="shared" ref="AU15" si="135">+AT15/AT12</f>
        <v>0.24578116628079025</v>
      </c>
      <c r="AV15" s="31">
        <v>1000</v>
      </c>
      <c r="AW15" s="32">
        <f t="shared" ref="AW15" si="136">+AV15/AV12</f>
        <v>0.24578116628079025</v>
      </c>
      <c r="AX15" s="31">
        <v>1000</v>
      </c>
      <c r="AY15" s="32">
        <f t="shared" ref="AY15" si="137">+AX15/AX12</f>
        <v>0.24578116628079025</v>
      </c>
      <c r="AZ15" s="31">
        <v>1000</v>
      </c>
      <c r="BA15" s="32">
        <f t="shared" ref="BA15" si="138">+AZ15/AZ12</f>
        <v>0.24578116628079025</v>
      </c>
      <c r="BB15" s="31">
        <v>1000</v>
      </c>
      <c r="BC15" s="32">
        <f t="shared" ref="BC15" si="139">+BB15/BB12</f>
        <v>0.24578116628079025</v>
      </c>
      <c r="BD15" s="31">
        <v>1000</v>
      </c>
      <c r="BE15" s="32">
        <f t="shared" ref="BE15" si="140">+BD15/BD12</f>
        <v>0.24578116628079025</v>
      </c>
      <c r="BF15" s="31">
        <v>1000</v>
      </c>
      <c r="BG15" s="32">
        <f t="shared" ref="BG15" si="141">+BF15/BF12</f>
        <v>0.24578116628079025</v>
      </c>
      <c r="BH15" s="31">
        <v>1000</v>
      </c>
      <c r="BI15" s="32">
        <f t="shared" ref="BI15" si="142">+BH15/BH12</f>
        <v>0.24578116628079025</v>
      </c>
      <c r="BJ15" s="31">
        <v>1000</v>
      </c>
      <c r="BK15" s="32">
        <f t="shared" ref="BK15" si="143">+BJ15/BJ12</f>
        <v>0.24578116628079025</v>
      </c>
      <c r="BL15" s="31">
        <v>1000</v>
      </c>
      <c r="BM15" s="32">
        <f t="shared" ref="BM15" si="144">+BL15/BL12</f>
        <v>0.24578116628079025</v>
      </c>
      <c r="BN15" s="31">
        <v>1000</v>
      </c>
      <c r="BO15" s="32">
        <f t="shared" ref="BO15" si="145">+BN15/BN12</f>
        <v>0.24578116628079025</v>
      </c>
      <c r="BP15" s="31">
        <v>1000</v>
      </c>
      <c r="BQ15" s="32">
        <f t="shared" ref="BQ15" si="146">+BP15/BP12</f>
        <v>0.24578116628079025</v>
      </c>
      <c r="BR15" s="31">
        <v>1000</v>
      </c>
      <c r="BS15" s="32">
        <f t="shared" ref="BS15" si="147">+BR15/BR12</f>
        <v>0.24578116628079025</v>
      </c>
      <c r="BT15" s="31">
        <v>1000</v>
      </c>
      <c r="BU15" s="32">
        <f t="shared" ref="BU15" si="148">+BT15/BT12</f>
        <v>0.24578116628079025</v>
      </c>
      <c r="BV15" s="31">
        <v>1000</v>
      </c>
      <c r="BW15" s="32">
        <f t="shared" ref="BW15" si="149">+BV15/BV12</f>
        <v>0.24578116628079025</v>
      </c>
      <c r="BX15" s="31">
        <v>1000</v>
      </c>
      <c r="BY15" s="32">
        <f t="shared" ref="BY15" si="150">+BX15/BX12</f>
        <v>0.24578116628079025</v>
      </c>
      <c r="BZ15" s="31">
        <v>1000</v>
      </c>
      <c r="CA15" s="32">
        <f t="shared" ref="CA15" si="151">+BZ15/BZ12</f>
        <v>0.24578116628079025</v>
      </c>
      <c r="CB15" s="31">
        <v>1000</v>
      </c>
      <c r="CC15" s="32">
        <f t="shared" ref="CC15" si="152">+CB15/CB12</f>
        <v>0.24578116628079025</v>
      </c>
      <c r="CD15" s="31">
        <v>1000</v>
      </c>
      <c r="CE15" s="32">
        <f t="shared" ref="CE15" si="153">+CD15/CD12</f>
        <v>0.24578116628079025</v>
      </c>
      <c r="CF15" s="31">
        <v>1000</v>
      </c>
      <c r="CG15" s="32">
        <f t="shared" ref="CG15" si="154">+CF15/CF12</f>
        <v>0.24578116628079025</v>
      </c>
      <c r="CH15" s="31">
        <v>1000</v>
      </c>
      <c r="CI15" s="32">
        <f t="shared" ref="CI15" si="155">+CH15/CH12</f>
        <v>0.24578116628079025</v>
      </c>
      <c r="CJ15" s="31">
        <v>1000</v>
      </c>
      <c r="CK15" s="32">
        <f t="shared" ref="CK15" si="156">+CJ15/CJ12</f>
        <v>0.24578116628079025</v>
      </c>
      <c r="CL15" s="31">
        <v>1000</v>
      </c>
      <c r="CM15" s="32">
        <f t="shared" ref="CM15" si="157">+CL15/CL12</f>
        <v>0.24578116628079025</v>
      </c>
      <c r="CN15" s="31">
        <v>1000</v>
      </c>
      <c r="CO15" s="32">
        <f t="shared" ref="CO15" si="158">+CN15/CN12</f>
        <v>0.24578116628079025</v>
      </c>
      <c r="CP15" s="31">
        <v>1000</v>
      </c>
      <c r="CQ15" s="32">
        <f t="shared" ref="CQ15" si="159">+CP15/CP12</f>
        <v>0.24578116628079025</v>
      </c>
      <c r="CR15" s="31">
        <v>1000</v>
      </c>
      <c r="CS15" s="32">
        <f t="shared" ref="CS15" si="160">+CR15/CR12</f>
        <v>0.24578116628079025</v>
      </c>
      <c r="CT15" s="31">
        <v>1200</v>
      </c>
      <c r="CU15" s="32">
        <f t="shared" ref="CU15" si="161">+CT15/CT12</f>
        <v>0.29493739953694831</v>
      </c>
      <c r="CV15" s="31">
        <v>1000</v>
      </c>
      <c r="CW15" s="32">
        <f>+CV15/CV12</f>
        <v>0.24578116628079025</v>
      </c>
      <c r="CX15" s="31">
        <v>1000</v>
      </c>
      <c r="CY15" s="32">
        <f>+CX15/CX12</f>
        <v>0.24578116628079025</v>
      </c>
      <c r="CZ15" s="31">
        <v>1000</v>
      </c>
      <c r="DA15" s="32">
        <f>+CZ15/CZ12</f>
        <v>0.24578116628079025</v>
      </c>
      <c r="DB15" s="31">
        <v>1000</v>
      </c>
      <c r="DC15" s="32">
        <f>+DB15/DB12</f>
        <v>0.24578116628079025</v>
      </c>
      <c r="DD15" s="31">
        <v>1000</v>
      </c>
      <c r="DE15" s="32">
        <f>+DD15/DD12</f>
        <v>0.24578116628079025</v>
      </c>
      <c r="DF15" s="31">
        <v>1000</v>
      </c>
      <c r="DG15" s="32">
        <f>+DF15/DF12</f>
        <v>0.24578116628079025</v>
      </c>
      <c r="DH15" s="31">
        <v>1100</v>
      </c>
      <c r="DI15" s="32">
        <f>+DH15/DH12</f>
        <v>0.27035928290886929</v>
      </c>
      <c r="DJ15" s="31">
        <v>1100</v>
      </c>
      <c r="DK15" s="32">
        <f>+DJ15/DJ12</f>
        <v>0.27035928290886929</v>
      </c>
      <c r="DL15" s="31">
        <v>1000</v>
      </c>
      <c r="DM15" s="32">
        <f>+DL15/DL12</f>
        <v>0.24578116628079025</v>
      </c>
      <c r="DN15" s="31">
        <v>1000</v>
      </c>
      <c r="DO15" s="32">
        <f>+DN15/DN12</f>
        <v>0.24578116628079025</v>
      </c>
      <c r="DP15" s="31">
        <v>1000</v>
      </c>
      <c r="DQ15" s="32">
        <f>+DP15/DP12</f>
        <v>0.24578116628079025</v>
      </c>
      <c r="DR15" s="31">
        <v>1000</v>
      </c>
      <c r="DS15" s="32">
        <f>+DR15/DR12</f>
        <v>0.24578116628079025</v>
      </c>
    </row>
    <row r="16" spans="1:123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O16" si="162">+F15*F10</f>
        <v>40000</v>
      </c>
      <c r="G16" s="32">
        <f t="shared" si="162"/>
        <v>9.8312466512316092</v>
      </c>
      <c r="H16" s="31">
        <f t="shared" si="162"/>
        <v>40000</v>
      </c>
      <c r="I16" s="32">
        <f t="shared" si="162"/>
        <v>9.8312466512316092</v>
      </c>
      <c r="J16" s="31">
        <f t="shared" ref="J16:M16" si="163">+J15*J10</f>
        <v>40000</v>
      </c>
      <c r="K16" s="32">
        <f t="shared" si="163"/>
        <v>9.8312466512316092</v>
      </c>
      <c r="L16" s="31">
        <f t="shared" si="163"/>
        <v>40000</v>
      </c>
      <c r="M16" s="32">
        <f t="shared" si="163"/>
        <v>9.8312466512316092</v>
      </c>
      <c r="N16" s="31">
        <f t="shared" si="162"/>
        <v>40000</v>
      </c>
      <c r="O16" s="32">
        <f t="shared" si="162"/>
        <v>9.8312466512316092</v>
      </c>
      <c r="P16" s="31">
        <f t="shared" ref="P16:U16" si="164">+P15*P10</f>
        <v>40000</v>
      </c>
      <c r="Q16" s="32">
        <f t="shared" si="164"/>
        <v>9.8312466512316092</v>
      </c>
      <c r="R16" s="31">
        <f t="shared" si="164"/>
        <v>40000</v>
      </c>
      <c r="S16" s="32">
        <f t="shared" si="164"/>
        <v>9.8312466512316092</v>
      </c>
      <c r="T16" s="31">
        <f t="shared" si="164"/>
        <v>40000</v>
      </c>
      <c r="U16" s="32">
        <f t="shared" si="164"/>
        <v>9.8312466512316092</v>
      </c>
      <c r="V16" s="31">
        <f t="shared" ref="V16:AG16" si="165">+V15*V10</f>
        <v>40000</v>
      </c>
      <c r="W16" s="32">
        <f t="shared" si="165"/>
        <v>9.8312466512316092</v>
      </c>
      <c r="X16" s="31">
        <f t="shared" si="165"/>
        <v>40000</v>
      </c>
      <c r="Y16" s="32">
        <f t="shared" si="165"/>
        <v>9.8312466512316092</v>
      </c>
      <c r="Z16" s="31">
        <f t="shared" si="165"/>
        <v>40000</v>
      </c>
      <c r="AA16" s="32">
        <f t="shared" si="165"/>
        <v>9.8312466512316092</v>
      </c>
      <c r="AB16" s="31">
        <f t="shared" si="165"/>
        <v>40000</v>
      </c>
      <c r="AC16" s="32">
        <f t="shared" si="165"/>
        <v>9.8312466512316092</v>
      </c>
      <c r="AD16" s="31">
        <f t="shared" si="165"/>
        <v>40000</v>
      </c>
      <c r="AE16" s="32">
        <f t="shared" si="165"/>
        <v>9.8312466512316092</v>
      </c>
      <c r="AF16" s="31">
        <f t="shared" si="165"/>
        <v>40000</v>
      </c>
      <c r="AG16" s="32">
        <f t="shared" si="165"/>
        <v>9.8312466512316092</v>
      </c>
      <c r="AH16" s="31">
        <f t="shared" ref="AH16:CY16" si="166">+AH15*AH10</f>
        <v>40000</v>
      </c>
      <c r="AI16" s="32">
        <f t="shared" si="166"/>
        <v>9.8312466512316092</v>
      </c>
      <c r="AJ16" s="31">
        <f t="shared" ref="AJ16:AK16" si="167">+AJ15*AJ10</f>
        <v>40000</v>
      </c>
      <c r="AK16" s="32">
        <f t="shared" si="167"/>
        <v>9.8312466512316092</v>
      </c>
      <c r="AL16" s="31">
        <f t="shared" ref="AL16:AO16" si="168">+AL15*AL10</f>
        <v>40000</v>
      </c>
      <c r="AM16" s="32">
        <f t="shared" si="168"/>
        <v>9.8312466512316092</v>
      </c>
      <c r="AN16" s="31">
        <f t="shared" si="168"/>
        <v>40000</v>
      </c>
      <c r="AO16" s="32">
        <f t="shared" si="168"/>
        <v>9.8312466512316092</v>
      </c>
      <c r="AP16" s="31">
        <f t="shared" ref="AP16:AU16" si="169">+AP15*AP10</f>
        <v>40000</v>
      </c>
      <c r="AQ16" s="32">
        <f t="shared" si="169"/>
        <v>9.8312466512316092</v>
      </c>
      <c r="AR16" s="31">
        <f t="shared" si="169"/>
        <v>40000</v>
      </c>
      <c r="AS16" s="32">
        <f t="shared" si="169"/>
        <v>9.8312466512316092</v>
      </c>
      <c r="AT16" s="31">
        <f t="shared" si="169"/>
        <v>40000</v>
      </c>
      <c r="AU16" s="32">
        <f t="shared" si="169"/>
        <v>9.8312466512316092</v>
      </c>
      <c r="AV16" s="31">
        <f t="shared" ref="AV16:BA16" si="170">+AV15*AV10</f>
        <v>40000</v>
      </c>
      <c r="AW16" s="32">
        <f t="shared" si="170"/>
        <v>9.8312466512316092</v>
      </c>
      <c r="AX16" s="31">
        <f t="shared" si="170"/>
        <v>40000</v>
      </c>
      <c r="AY16" s="32">
        <f t="shared" si="170"/>
        <v>9.8312466512316092</v>
      </c>
      <c r="AZ16" s="31">
        <f t="shared" si="170"/>
        <v>40000</v>
      </c>
      <c r="BA16" s="32">
        <f t="shared" si="170"/>
        <v>9.8312466512316092</v>
      </c>
      <c r="BB16" s="31">
        <f t="shared" ref="BB16:BC16" si="171">+BB15*BB10</f>
        <v>40000</v>
      </c>
      <c r="BC16" s="32">
        <f t="shared" si="171"/>
        <v>9.8312466512316092</v>
      </c>
      <c r="BD16" s="31">
        <f t="shared" ref="BD16:BE16" si="172">+BD15*BD10</f>
        <v>40000</v>
      </c>
      <c r="BE16" s="32">
        <f t="shared" si="172"/>
        <v>9.8312466512316092</v>
      </c>
      <c r="BF16" s="31">
        <f t="shared" ref="BF16:BI16" si="173">+BF15*BF10</f>
        <v>40000</v>
      </c>
      <c r="BG16" s="32">
        <f t="shared" si="173"/>
        <v>9.8312466512316092</v>
      </c>
      <c r="BH16" s="31">
        <f t="shared" si="173"/>
        <v>40000</v>
      </c>
      <c r="BI16" s="32">
        <f t="shared" si="173"/>
        <v>9.8312466512316092</v>
      </c>
      <c r="BJ16" s="31">
        <f t="shared" ref="BJ16:BK16" si="174">+BJ15*BJ10</f>
        <v>40000</v>
      </c>
      <c r="BK16" s="32">
        <f t="shared" si="174"/>
        <v>9.8312466512316092</v>
      </c>
      <c r="BL16" s="31">
        <f>BM16*BL12</f>
        <v>40686.6</v>
      </c>
      <c r="BM16" s="32">
        <v>10</v>
      </c>
      <c r="BN16" s="31">
        <f>BO16*BN12</f>
        <v>40686.6</v>
      </c>
      <c r="BO16" s="32">
        <v>10</v>
      </c>
      <c r="BP16" s="31">
        <f>BQ16*BP12</f>
        <v>40686.6</v>
      </c>
      <c r="BQ16" s="32">
        <v>10</v>
      </c>
      <c r="BR16" s="31">
        <f>BS16*BR12</f>
        <v>40686.6</v>
      </c>
      <c r="BS16" s="32">
        <v>10</v>
      </c>
      <c r="BT16" s="31">
        <f>BU16*BT12</f>
        <v>40686.6</v>
      </c>
      <c r="BU16" s="32">
        <v>10</v>
      </c>
      <c r="BV16" s="31">
        <f>BW16*BV12</f>
        <v>40686.6</v>
      </c>
      <c r="BW16" s="32">
        <v>10</v>
      </c>
      <c r="BX16" s="31">
        <f>BY16*BX12</f>
        <v>40686.6</v>
      </c>
      <c r="BY16" s="32">
        <v>10</v>
      </c>
      <c r="BZ16" s="31">
        <f>CA16*BZ12</f>
        <v>40686.6</v>
      </c>
      <c r="CA16" s="32">
        <v>10</v>
      </c>
      <c r="CB16" s="31">
        <f>CC16*CB12</f>
        <v>40686.6</v>
      </c>
      <c r="CC16" s="32">
        <v>10</v>
      </c>
      <c r="CD16" s="31">
        <f>CE16*CD12</f>
        <v>40686.6</v>
      </c>
      <c r="CE16" s="32">
        <v>10</v>
      </c>
      <c r="CF16" s="31">
        <f>CG16*CF12</f>
        <v>40686.6</v>
      </c>
      <c r="CG16" s="32">
        <v>10</v>
      </c>
      <c r="CH16" s="31">
        <f>CI16*CH12</f>
        <v>40686.6</v>
      </c>
      <c r="CI16" s="32">
        <v>10</v>
      </c>
      <c r="CJ16" s="31">
        <f>CK16*CJ12</f>
        <v>40686.6</v>
      </c>
      <c r="CK16" s="32">
        <v>10</v>
      </c>
      <c r="CL16" s="31">
        <f>CM16*CL12</f>
        <v>40686.6</v>
      </c>
      <c r="CM16" s="32">
        <v>10</v>
      </c>
      <c r="CN16" s="31">
        <f>CO16*CN12</f>
        <v>40686.6</v>
      </c>
      <c r="CO16" s="32">
        <v>10</v>
      </c>
      <c r="CP16" s="31">
        <f>CQ16*CP12</f>
        <v>40686.6</v>
      </c>
      <c r="CQ16" s="32">
        <v>10</v>
      </c>
      <c r="CR16" s="31">
        <f>CS16*CR12</f>
        <v>40686.6</v>
      </c>
      <c r="CS16" s="32">
        <v>10</v>
      </c>
      <c r="CT16" s="31">
        <f>CU16*CT12</f>
        <v>40686.6</v>
      </c>
      <c r="CU16" s="32">
        <v>10</v>
      </c>
      <c r="CV16" s="31">
        <f t="shared" si="166"/>
        <v>40000</v>
      </c>
      <c r="CW16" s="32">
        <f t="shared" si="166"/>
        <v>9.8312466512316092</v>
      </c>
      <c r="CX16" s="31">
        <f t="shared" si="166"/>
        <v>40000</v>
      </c>
      <c r="CY16" s="32">
        <f t="shared" si="166"/>
        <v>9.8312466512316092</v>
      </c>
      <c r="CZ16" s="31">
        <f t="shared" ref="CZ16:DA16" si="175">+CZ15*CZ10</f>
        <v>40000</v>
      </c>
      <c r="DA16" s="32">
        <f t="shared" si="175"/>
        <v>9.8312466512316092</v>
      </c>
      <c r="DB16" s="31">
        <f t="shared" ref="DB16:DE16" si="176">+DB15*DB10</f>
        <v>40000</v>
      </c>
      <c r="DC16" s="32">
        <f t="shared" si="176"/>
        <v>9.8312466512316092</v>
      </c>
      <c r="DD16" s="31">
        <f t="shared" si="176"/>
        <v>40000</v>
      </c>
      <c r="DE16" s="32">
        <f t="shared" si="176"/>
        <v>9.8312466512316092</v>
      </c>
      <c r="DF16" s="31">
        <f t="shared" ref="DF16:DG16" si="177">+DF15*DF10</f>
        <v>40000</v>
      </c>
      <c r="DG16" s="32">
        <f t="shared" si="177"/>
        <v>9.8312466512316092</v>
      </c>
      <c r="DH16" s="31">
        <f t="shared" ref="DH16:DI16" si="178">+DH15*DH10</f>
        <v>44000</v>
      </c>
      <c r="DI16" s="32">
        <f t="shared" si="178"/>
        <v>10.814371316354771</v>
      </c>
      <c r="DJ16" s="31">
        <f t="shared" ref="DJ16:DK16" si="179">+DJ15*DJ10</f>
        <v>44000</v>
      </c>
      <c r="DK16" s="32">
        <f t="shared" si="179"/>
        <v>10.814371316354771</v>
      </c>
      <c r="DL16" s="31">
        <f t="shared" ref="DL16:DM16" si="180">+DL15*DL10</f>
        <v>40000</v>
      </c>
      <c r="DM16" s="32">
        <f t="shared" si="180"/>
        <v>9.8312466512316092</v>
      </c>
      <c r="DN16" s="31">
        <f t="shared" ref="DN16:DQ16" si="181">+DN15*DN10</f>
        <v>40000</v>
      </c>
      <c r="DO16" s="32">
        <f t="shared" si="181"/>
        <v>9.8312466512316092</v>
      </c>
      <c r="DP16" s="31">
        <f t="shared" si="181"/>
        <v>40000</v>
      </c>
      <c r="DQ16" s="32">
        <f t="shared" si="181"/>
        <v>9.8312466512316092</v>
      </c>
      <c r="DR16" s="31">
        <f t="shared" ref="DR16:DS16" si="182">+DR15*DR10</f>
        <v>40000</v>
      </c>
      <c r="DS16" s="32">
        <f t="shared" si="182"/>
        <v>9.8312466512316092</v>
      </c>
    </row>
    <row r="17" spans="1:123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350">
        <v>0</v>
      </c>
      <c r="AG17" s="351">
        <v>0</v>
      </c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350">
        <v>0</v>
      </c>
      <c r="BY17" s="351">
        <v>0</v>
      </c>
      <c r="BZ17" s="350">
        <v>0</v>
      </c>
      <c r="CA17" s="351">
        <v>0</v>
      </c>
      <c r="CB17" s="350">
        <v>0</v>
      </c>
      <c r="CC17" s="351">
        <v>0</v>
      </c>
      <c r="CD17" s="350">
        <v>0</v>
      </c>
      <c r="CE17" s="351">
        <v>0</v>
      </c>
      <c r="CF17" s="350">
        <v>0</v>
      </c>
      <c r="CG17" s="351">
        <v>0</v>
      </c>
      <c r="CH17" s="350">
        <v>0</v>
      </c>
      <c r="CI17" s="351">
        <v>0</v>
      </c>
      <c r="CJ17" s="350">
        <v>0</v>
      </c>
      <c r="CK17" s="351">
        <v>0</v>
      </c>
      <c r="CL17" s="350">
        <v>0</v>
      </c>
      <c r="CM17" s="351">
        <v>0</v>
      </c>
      <c r="CN17" s="350">
        <v>0</v>
      </c>
      <c r="CO17" s="351">
        <v>0</v>
      </c>
      <c r="CP17" s="350">
        <v>0</v>
      </c>
      <c r="CQ17" s="351">
        <v>0</v>
      </c>
      <c r="CR17" s="350">
        <v>0</v>
      </c>
      <c r="CS17" s="351">
        <v>0</v>
      </c>
      <c r="CT17" s="350">
        <v>0</v>
      </c>
      <c r="CU17" s="351">
        <v>0</v>
      </c>
      <c r="CV17" s="350">
        <v>0</v>
      </c>
      <c r="CW17" s="351">
        <v>0</v>
      </c>
      <c r="CX17" s="350">
        <v>0</v>
      </c>
      <c r="CY17" s="351">
        <v>0</v>
      </c>
      <c r="CZ17" s="350">
        <v>0</v>
      </c>
      <c r="DA17" s="351">
        <v>0</v>
      </c>
      <c r="DB17" s="350">
        <v>0</v>
      </c>
      <c r="DC17" s="351">
        <v>0</v>
      </c>
      <c r="DD17" s="350">
        <v>0</v>
      </c>
      <c r="DE17" s="351">
        <v>0</v>
      </c>
      <c r="DF17" s="350">
        <v>0</v>
      </c>
      <c r="DG17" s="351">
        <v>0</v>
      </c>
      <c r="DH17" s="350">
        <v>0</v>
      </c>
      <c r="DI17" s="351">
        <v>0</v>
      </c>
      <c r="DJ17" s="350">
        <v>0</v>
      </c>
      <c r="DK17" s="351">
        <v>0</v>
      </c>
      <c r="DL17" s="350">
        <v>0</v>
      </c>
      <c r="DM17" s="351">
        <v>0</v>
      </c>
      <c r="DN17" s="350">
        <v>0</v>
      </c>
      <c r="DO17" s="351">
        <v>0</v>
      </c>
      <c r="DP17" s="350">
        <v>0</v>
      </c>
      <c r="DQ17" s="351">
        <v>0</v>
      </c>
      <c r="DR17" s="350">
        <v>0</v>
      </c>
      <c r="DS17" s="351">
        <v>0</v>
      </c>
    </row>
    <row r="18" spans="1:123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56">
        <v>0</v>
      </c>
      <c r="AG18" s="357">
        <v>0</v>
      </c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356">
        <v>0</v>
      </c>
      <c r="BY18" s="357">
        <v>0</v>
      </c>
      <c r="BZ18" s="356">
        <v>0</v>
      </c>
      <c r="CA18" s="357">
        <v>0</v>
      </c>
      <c r="CB18" s="356">
        <v>0</v>
      </c>
      <c r="CC18" s="357">
        <v>0</v>
      </c>
      <c r="CD18" s="356">
        <v>0</v>
      </c>
      <c r="CE18" s="357">
        <v>0</v>
      </c>
      <c r="CF18" s="356">
        <v>0</v>
      </c>
      <c r="CG18" s="357">
        <v>0</v>
      </c>
      <c r="CH18" s="356">
        <v>0</v>
      </c>
      <c r="CI18" s="357">
        <v>0</v>
      </c>
      <c r="CJ18" s="356">
        <v>0</v>
      </c>
      <c r="CK18" s="357">
        <v>0</v>
      </c>
      <c r="CL18" s="356">
        <v>0</v>
      </c>
      <c r="CM18" s="357">
        <v>0</v>
      </c>
      <c r="CN18" s="356">
        <v>0</v>
      </c>
      <c r="CO18" s="357">
        <v>0</v>
      </c>
      <c r="CP18" s="356">
        <v>0</v>
      </c>
      <c r="CQ18" s="357">
        <v>0</v>
      </c>
      <c r="CR18" s="356">
        <v>0</v>
      </c>
      <c r="CS18" s="357">
        <v>0</v>
      </c>
      <c r="CT18" s="356">
        <v>0</v>
      </c>
      <c r="CU18" s="357">
        <v>0</v>
      </c>
      <c r="CV18" s="356">
        <v>0</v>
      </c>
      <c r="CW18" s="357">
        <v>0</v>
      </c>
      <c r="CX18" s="356">
        <v>0</v>
      </c>
      <c r="CY18" s="357">
        <v>0</v>
      </c>
      <c r="CZ18" s="356">
        <v>0</v>
      </c>
      <c r="DA18" s="357">
        <v>0</v>
      </c>
      <c r="DB18" s="356">
        <v>0</v>
      </c>
      <c r="DC18" s="357">
        <v>0</v>
      </c>
      <c r="DD18" s="356">
        <v>0</v>
      </c>
      <c r="DE18" s="357">
        <v>0</v>
      </c>
      <c r="DF18" s="356">
        <v>0</v>
      </c>
      <c r="DG18" s="357">
        <v>0</v>
      </c>
      <c r="DH18" s="356">
        <v>0</v>
      </c>
      <c r="DI18" s="357">
        <v>0</v>
      </c>
      <c r="DJ18" s="356">
        <v>0</v>
      </c>
      <c r="DK18" s="357">
        <v>0</v>
      </c>
      <c r="DL18" s="356">
        <v>0</v>
      </c>
      <c r="DM18" s="357">
        <v>0</v>
      </c>
      <c r="DN18" s="356">
        <v>0</v>
      </c>
      <c r="DO18" s="357">
        <v>0</v>
      </c>
      <c r="DP18" s="356">
        <v>0</v>
      </c>
      <c r="DQ18" s="357">
        <v>0</v>
      </c>
      <c r="DR18" s="356">
        <v>0</v>
      </c>
      <c r="DS18" s="357">
        <v>0</v>
      </c>
    </row>
    <row r="19" spans="1:123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O19" si="183">F15-F17</f>
        <v>1000</v>
      </c>
      <c r="G19" s="32">
        <f t="shared" si="183"/>
        <v>0.24578116628079025</v>
      </c>
      <c r="H19" s="38">
        <f t="shared" si="183"/>
        <v>1000</v>
      </c>
      <c r="I19" s="32">
        <f t="shared" si="183"/>
        <v>0.24578116628079025</v>
      </c>
      <c r="J19" s="38">
        <f t="shared" ref="J19:M19" si="184">J15-J17</f>
        <v>1000</v>
      </c>
      <c r="K19" s="32">
        <f t="shared" si="184"/>
        <v>0.24578116628079025</v>
      </c>
      <c r="L19" s="38">
        <f t="shared" si="184"/>
        <v>1000</v>
      </c>
      <c r="M19" s="32">
        <f t="shared" si="184"/>
        <v>0.24578116628079025</v>
      </c>
      <c r="N19" s="38">
        <f t="shared" si="183"/>
        <v>1000</v>
      </c>
      <c r="O19" s="32">
        <f t="shared" si="183"/>
        <v>0.24578116628079025</v>
      </c>
      <c r="P19" s="38">
        <f t="shared" ref="P19:U19" si="185">P15-P17</f>
        <v>1000</v>
      </c>
      <c r="Q19" s="32">
        <f t="shared" si="185"/>
        <v>0.24578116628079025</v>
      </c>
      <c r="R19" s="38">
        <f t="shared" si="185"/>
        <v>1000</v>
      </c>
      <c r="S19" s="32">
        <f t="shared" si="185"/>
        <v>0.24578116628079025</v>
      </c>
      <c r="T19" s="38">
        <f t="shared" si="185"/>
        <v>1000</v>
      </c>
      <c r="U19" s="32">
        <f t="shared" si="185"/>
        <v>0.24578116628079025</v>
      </c>
      <c r="V19" s="38">
        <f t="shared" ref="V19:AG19" si="186">V15-V17</f>
        <v>1000</v>
      </c>
      <c r="W19" s="32">
        <f t="shared" si="186"/>
        <v>0.24578116628079025</v>
      </c>
      <c r="X19" s="38">
        <f t="shared" si="186"/>
        <v>1000</v>
      </c>
      <c r="Y19" s="32">
        <f t="shared" si="186"/>
        <v>0.24578116628079025</v>
      </c>
      <c r="Z19" s="38">
        <f t="shared" si="186"/>
        <v>1000</v>
      </c>
      <c r="AA19" s="32">
        <f t="shared" si="186"/>
        <v>0.24578116628079025</v>
      </c>
      <c r="AB19" s="38">
        <f t="shared" si="186"/>
        <v>1000</v>
      </c>
      <c r="AC19" s="32">
        <f t="shared" si="186"/>
        <v>0.24578116628079025</v>
      </c>
      <c r="AD19" s="38">
        <f t="shared" si="186"/>
        <v>1000</v>
      </c>
      <c r="AE19" s="32">
        <f t="shared" si="186"/>
        <v>0.24578116628079025</v>
      </c>
      <c r="AF19" s="38">
        <f t="shared" si="186"/>
        <v>1000</v>
      </c>
      <c r="AG19" s="32">
        <f t="shared" si="186"/>
        <v>0.24578116628079025</v>
      </c>
      <c r="AH19" s="38">
        <f t="shared" ref="AH19:CY19" si="187">AH15-AH17</f>
        <v>1000</v>
      </c>
      <c r="AI19" s="32">
        <f t="shared" si="187"/>
        <v>0.24578116628079025</v>
      </c>
      <c r="AJ19" s="38">
        <f t="shared" ref="AJ19:AK19" si="188">AJ15-AJ17</f>
        <v>1000</v>
      </c>
      <c r="AK19" s="32">
        <f t="shared" si="188"/>
        <v>0.24578116628079025</v>
      </c>
      <c r="AL19" s="38">
        <f t="shared" ref="AL19:AO19" si="189">AL15-AL17</f>
        <v>1000</v>
      </c>
      <c r="AM19" s="32">
        <f t="shared" si="189"/>
        <v>0.24578116628079025</v>
      </c>
      <c r="AN19" s="38">
        <f t="shared" si="189"/>
        <v>1000</v>
      </c>
      <c r="AO19" s="32">
        <f t="shared" si="189"/>
        <v>0.24578116628079025</v>
      </c>
      <c r="AP19" s="38">
        <f t="shared" ref="AP19:AU19" si="190">AP15-AP17</f>
        <v>1000</v>
      </c>
      <c r="AQ19" s="32">
        <f t="shared" si="190"/>
        <v>0.24578116628079025</v>
      </c>
      <c r="AR19" s="38">
        <f t="shared" si="190"/>
        <v>1000</v>
      </c>
      <c r="AS19" s="32">
        <f t="shared" si="190"/>
        <v>0.24578116628079025</v>
      </c>
      <c r="AT19" s="38">
        <f t="shared" si="190"/>
        <v>1000</v>
      </c>
      <c r="AU19" s="32">
        <f t="shared" si="190"/>
        <v>0.24578116628079025</v>
      </c>
      <c r="AV19" s="38">
        <f t="shared" ref="AV19:BA19" si="191">AV15-AV17</f>
        <v>1000</v>
      </c>
      <c r="AW19" s="32">
        <f t="shared" si="191"/>
        <v>0.24578116628079025</v>
      </c>
      <c r="AX19" s="38">
        <f t="shared" si="191"/>
        <v>1000</v>
      </c>
      <c r="AY19" s="32">
        <f t="shared" si="191"/>
        <v>0.24578116628079025</v>
      </c>
      <c r="AZ19" s="38">
        <f t="shared" si="191"/>
        <v>1000</v>
      </c>
      <c r="BA19" s="32">
        <f t="shared" si="191"/>
        <v>0.24578116628079025</v>
      </c>
      <c r="BB19" s="38">
        <f t="shared" ref="BB19:BC19" si="192">BB15-BB17</f>
        <v>1000</v>
      </c>
      <c r="BC19" s="32">
        <f t="shared" si="192"/>
        <v>0.24578116628079025</v>
      </c>
      <c r="BD19" s="38">
        <f t="shared" ref="BD19:BE19" si="193">BD15-BD17</f>
        <v>1000</v>
      </c>
      <c r="BE19" s="32">
        <f t="shared" si="193"/>
        <v>0.24578116628079025</v>
      </c>
      <c r="BF19" s="38">
        <f t="shared" ref="BF19:BI19" si="194">BF15-BF17</f>
        <v>1000</v>
      </c>
      <c r="BG19" s="32">
        <f t="shared" si="194"/>
        <v>0.24578116628079025</v>
      </c>
      <c r="BH19" s="38">
        <f t="shared" si="194"/>
        <v>1000</v>
      </c>
      <c r="BI19" s="32">
        <f t="shared" si="194"/>
        <v>0.24578116628079025</v>
      </c>
      <c r="BJ19" s="38">
        <f t="shared" ref="BJ19:BM19" si="195">BJ15-BJ17</f>
        <v>1000</v>
      </c>
      <c r="BK19" s="32">
        <f t="shared" si="195"/>
        <v>0.24578116628079025</v>
      </c>
      <c r="BL19" s="38">
        <f t="shared" si="195"/>
        <v>1000</v>
      </c>
      <c r="BM19" s="32">
        <f t="shared" si="195"/>
        <v>0.24578116628079025</v>
      </c>
      <c r="BN19" s="38">
        <f t="shared" ref="BN19:BO19" si="196">BN15-BN17</f>
        <v>1000</v>
      </c>
      <c r="BO19" s="32">
        <f t="shared" si="196"/>
        <v>0.24578116628079025</v>
      </c>
      <c r="BP19" s="38">
        <f t="shared" ref="BP19:BQ19" si="197">BP15-BP17</f>
        <v>1000</v>
      </c>
      <c r="BQ19" s="32">
        <f t="shared" si="197"/>
        <v>0.24578116628079025</v>
      </c>
      <c r="BR19" s="38">
        <f t="shared" ref="BR19:BS19" si="198">BR15-BR17</f>
        <v>1000</v>
      </c>
      <c r="BS19" s="32">
        <f t="shared" si="198"/>
        <v>0.24578116628079025</v>
      </c>
      <c r="BT19" s="38">
        <f t="shared" ref="BT19:BU19" si="199">BT15-BT17</f>
        <v>1000</v>
      </c>
      <c r="BU19" s="32">
        <f t="shared" si="199"/>
        <v>0.24578116628079025</v>
      </c>
      <c r="BV19" s="38">
        <f t="shared" ref="BV19:BW19" si="200">BV15-BV17</f>
        <v>1000</v>
      </c>
      <c r="BW19" s="32">
        <f t="shared" si="200"/>
        <v>0.24578116628079025</v>
      </c>
      <c r="BX19" s="38">
        <f t="shared" ref="BX19:BY19" si="201">BX15-BX17</f>
        <v>1000</v>
      </c>
      <c r="BY19" s="32">
        <f t="shared" si="201"/>
        <v>0.24578116628079025</v>
      </c>
      <c r="BZ19" s="38">
        <f t="shared" ref="BZ19:CA19" si="202">BZ15-BZ17</f>
        <v>1000</v>
      </c>
      <c r="CA19" s="32">
        <f t="shared" si="202"/>
        <v>0.24578116628079025</v>
      </c>
      <c r="CB19" s="38">
        <f t="shared" ref="CB19:CC19" si="203">CB15-CB17</f>
        <v>1000</v>
      </c>
      <c r="CC19" s="32">
        <f t="shared" si="203"/>
        <v>0.24578116628079025</v>
      </c>
      <c r="CD19" s="38">
        <f t="shared" ref="CD19:CE19" si="204">CD15-CD17</f>
        <v>1000</v>
      </c>
      <c r="CE19" s="32">
        <f t="shared" si="204"/>
        <v>0.24578116628079025</v>
      </c>
      <c r="CF19" s="38">
        <f t="shared" ref="CF19:CG19" si="205">CF15-CF17</f>
        <v>1000</v>
      </c>
      <c r="CG19" s="32">
        <f t="shared" si="205"/>
        <v>0.24578116628079025</v>
      </c>
      <c r="CH19" s="38">
        <f t="shared" ref="CH19:CK19" si="206">CH15-CH17</f>
        <v>1000</v>
      </c>
      <c r="CI19" s="32">
        <f t="shared" si="206"/>
        <v>0.24578116628079025</v>
      </c>
      <c r="CJ19" s="38">
        <f t="shared" si="206"/>
        <v>1000</v>
      </c>
      <c r="CK19" s="32">
        <f t="shared" si="206"/>
        <v>0.24578116628079025</v>
      </c>
      <c r="CL19" s="38">
        <f t="shared" ref="CL19:CM19" si="207">CL15-CL17</f>
        <v>1000</v>
      </c>
      <c r="CM19" s="32">
        <f t="shared" si="207"/>
        <v>0.24578116628079025</v>
      </c>
      <c r="CN19" s="38">
        <f t="shared" ref="CN19:CO19" si="208">CN15-CN17</f>
        <v>1000</v>
      </c>
      <c r="CO19" s="32">
        <f t="shared" si="208"/>
        <v>0.24578116628079025</v>
      </c>
      <c r="CP19" s="38">
        <f t="shared" ref="CP19:CQ19" si="209">CP15-CP17</f>
        <v>1000</v>
      </c>
      <c r="CQ19" s="32">
        <f t="shared" si="209"/>
        <v>0.24578116628079025</v>
      </c>
      <c r="CR19" s="38">
        <f t="shared" ref="CR19:CS19" si="210">CR15-CR17</f>
        <v>1000</v>
      </c>
      <c r="CS19" s="32">
        <f t="shared" si="210"/>
        <v>0.24578116628079025</v>
      </c>
      <c r="CT19" s="38">
        <f t="shared" ref="CT19:CU19" si="211">CT15-CT17</f>
        <v>1200</v>
      </c>
      <c r="CU19" s="32">
        <f t="shared" si="211"/>
        <v>0.29493739953694831</v>
      </c>
      <c r="CV19" s="38">
        <f t="shared" si="187"/>
        <v>1000</v>
      </c>
      <c r="CW19" s="32">
        <f t="shared" si="187"/>
        <v>0.24578116628079025</v>
      </c>
      <c r="CX19" s="38">
        <f t="shared" si="187"/>
        <v>1000</v>
      </c>
      <c r="CY19" s="32">
        <f t="shared" si="187"/>
        <v>0.24578116628079025</v>
      </c>
      <c r="CZ19" s="38">
        <f t="shared" ref="CZ19:DA19" si="212">CZ15-CZ17</f>
        <v>1000</v>
      </c>
      <c r="DA19" s="32">
        <f t="shared" si="212"/>
        <v>0.24578116628079025</v>
      </c>
      <c r="DB19" s="38">
        <f t="shared" ref="DB19:DE19" si="213">DB15-DB17</f>
        <v>1000</v>
      </c>
      <c r="DC19" s="32">
        <f t="shared" si="213"/>
        <v>0.24578116628079025</v>
      </c>
      <c r="DD19" s="38">
        <f t="shared" si="213"/>
        <v>1000</v>
      </c>
      <c r="DE19" s="32">
        <f t="shared" si="213"/>
        <v>0.24578116628079025</v>
      </c>
      <c r="DF19" s="38">
        <f t="shared" ref="DF19:DG19" si="214">DF15-DF17</f>
        <v>1000</v>
      </c>
      <c r="DG19" s="32">
        <f t="shared" si="214"/>
        <v>0.24578116628079025</v>
      </c>
      <c r="DH19" s="38">
        <f t="shared" ref="DH19:DI19" si="215">DH15-DH17</f>
        <v>1100</v>
      </c>
      <c r="DI19" s="32">
        <f t="shared" si="215"/>
        <v>0.27035928290886929</v>
      </c>
      <c r="DJ19" s="38">
        <f t="shared" ref="DJ19:DK19" si="216">DJ15-DJ17</f>
        <v>1100</v>
      </c>
      <c r="DK19" s="32">
        <f t="shared" si="216"/>
        <v>0.27035928290886929</v>
      </c>
      <c r="DL19" s="38">
        <f t="shared" ref="DL19:DM19" si="217">DL15-DL17</f>
        <v>1000</v>
      </c>
      <c r="DM19" s="32">
        <f t="shared" si="217"/>
        <v>0.24578116628079025</v>
      </c>
      <c r="DN19" s="38">
        <f t="shared" ref="DN19:DQ19" si="218">DN15-DN17</f>
        <v>1000</v>
      </c>
      <c r="DO19" s="32">
        <f t="shared" si="218"/>
        <v>0.24578116628079025</v>
      </c>
      <c r="DP19" s="38">
        <f t="shared" si="218"/>
        <v>1000</v>
      </c>
      <c r="DQ19" s="32">
        <f t="shared" si="218"/>
        <v>0.24578116628079025</v>
      </c>
      <c r="DR19" s="38">
        <f t="shared" ref="DR19:DS19" si="219">DR15-DR17</f>
        <v>1000</v>
      </c>
      <c r="DS19" s="32">
        <f t="shared" si="219"/>
        <v>0.24578116628079025</v>
      </c>
    </row>
    <row r="20" spans="1:123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O20" si="220">1/(1+F18)*F16</f>
        <v>40000</v>
      </c>
      <c r="G20" s="40">
        <f t="shared" si="220"/>
        <v>9.8312466512316092</v>
      </c>
      <c r="H20" s="39">
        <f t="shared" si="220"/>
        <v>40000</v>
      </c>
      <c r="I20" s="40">
        <f t="shared" si="220"/>
        <v>9.8312466512316092</v>
      </c>
      <c r="J20" s="39">
        <f t="shared" ref="J20:M20" si="221">1/(1+J18)*J16</f>
        <v>40000</v>
      </c>
      <c r="K20" s="40">
        <f t="shared" si="221"/>
        <v>9.8312466512316092</v>
      </c>
      <c r="L20" s="39">
        <f t="shared" si="221"/>
        <v>40000</v>
      </c>
      <c r="M20" s="40">
        <f t="shared" si="221"/>
        <v>9.8312466512316092</v>
      </c>
      <c r="N20" s="39">
        <f t="shared" si="220"/>
        <v>40000</v>
      </c>
      <c r="O20" s="40">
        <f t="shared" si="220"/>
        <v>9.8312466512316092</v>
      </c>
      <c r="P20" s="39">
        <f t="shared" ref="P20:U20" si="222">1/(1+P18)*P16</f>
        <v>40000</v>
      </c>
      <c r="Q20" s="40">
        <f t="shared" si="222"/>
        <v>9.8312466512316092</v>
      </c>
      <c r="R20" s="39">
        <f t="shared" si="222"/>
        <v>40000</v>
      </c>
      <c r="S20" s="40">
        <f t="shared" si="222"/>
        <v>9.8312466512316092</v>
      </c>
      <c r="T20" s="39">
        <f t="shared" si="222"/>
        <v>40000</v>
      </c>
      <c r="U20" s="40">
        <f t="shared" si="222"/>
        <v>9.8312466512316092</v>
      </c>
      <c r="V20" s="39">
        <f t="shared" ref="V20:AG20" si="223">1/(1+V18)*V16</f>
        <v>40000</v>
      </c>
      <c r="W20" s="40">
        <f t="shared" si="223"/>
        <v>9.8312466512316092</v>
      </c>
      <c r="X20" s="39">
        <f t="shared" si="223"/>
        <v>40000</v>
      </c>
      <c r="Y20" s="40">
        <f t="shared" si="223"/>
        <v>9.8312466512316092</v>
      </c>
      <c r="Z20" s="39">
        <f t="shared" si="223"/>
        <v>40000</v>
      </c>
      <c r="AA20" s="40">
        <f t="shared" si="223"/>
        <v>9.8312466512316092</v>
      </c>
      <c r="AB20" s="39">
        <f t="shared" si="223"/>
        <v>40000</v>
      </c>
      <c r="AC20" s="40">
        <f t="shared" si="223"/>
        <v>9.8312466512316092</v>
      </c>
      <c r="AD20" s="39">
        <f t="shared" si="223"/>
        <v>40000</v>
      </c>
      <c r="AE20" s="40">
        <f t="shared" si="223"/>
        <v>9.8312466512316092</v>
      </c>
      <c r="AF20" s="39">
        <f t="shared" si="223"/>
        <v>40000</v>
      </c>
      <c r="AG20" s="40">
        <f t="shared" si="223"/>
        <v>9.8312466512316092</v>
      </c>
      <c r="AH20" s="39">
        <f t="shared" ref="AH20:CY20" si="224">1/(1+AH18)*AH16</f>
        <v>40000</v>
      </c>
      <c r="AI20" s="40">
        <f t="shared" si="224"/>
        <v>9.8312466512316092</v>
      </c>
      <c r="AJ20" s="39">
        <f t="shared" ref="AJ20:AK20" si="225">1/(1+AJ18)*AJ16</f>
        <v>40000</v>
      </c>
      <c r="AK20" s="40">
        <f t="shared" si="225"/>
        <v>9.8312466512316092</v>
      </c>
      <c r="AL20" s="39">
        <f t="shared" ref="AL20:AO20" si="226">1/(1+AL18)*AL16</f>
        <v>40000</v>
      </c>
      <c r="AM20" s="40">
        <f t="shared" si="226"/>
        <v>9.8312466512316092</v>
      </c>
      <c r="AN20" s="39">
        <f t="shared" si="226"/>
        <v>40000</v>
      </c>
      <c r="AO20" s="40">
        <f t="shared" si="226"/>
        <v>9.8312466512316092</v>
      </c>
      <c r="AP20" s="39">
        <f t="shared" ref="AP20:AU20" si="227">1/(1+AP18)*AP16</f>
        <v>40000</v>
      </c>
      <c r="AQ20" s="40">
        <f t="shared" si="227"/>
        <v>9.8312466512316092</v>
      </c>
      <c r="AR20" s="39">
        <f t="shared" si="227"/>
        <v>40000</v>
      </c>
      <c r="AS20" s="40">
        <f t="shared" si="227"/>
        <v>9.8312466512316092</v>
      </c>
      <c r="AT20" s="39">
        <f t="shared" si="227"/>
        <v>40000</v>
      </c>
      <c r="AU20" s="40">
        <f t="shared" si="227"/>
        <v>9.8312466512316092</v>
      </c>
      <c r="AV20" s="39">
        <f t="shared" ref="AV20:BA20" si="228">1/(1+AV18)*AV16</f>
        <v>40000</v>
      </c>
      <c r="AW20" s="40">
        <f t="shared" si="228"/>
        <v>9.8312466512316092</v>
      </c>
      <c r="AX20" s="39">
        <f t="shared" si="228"/>
        <v>40000</v>
      </c>
      <c r="AY20" s="40">
        <f t="shared" si="228"/>
        <v>9.8312466512316092</v>
      </c>
      <c r="AZ20" s="39">
        <f t="shared" si="228"/>
        <v>40000</v>
      </c>
      <c r="BA20" s="40">
        <f t="shared" si="228"/>
        <v>9.8312466512316092</v>
      </c>
      <c r="BB20" s="39">
        <f t="shared" ref="BB20:BC20" si="229">1/(1+BB18)*BB16</f>
        <v>40000</v>
      </c>
      <c r="BC20" s="40">
        <f t="shared" si="229"/>
        <v>9.8312466512316092</v>
      </c>
      <c r="BD20" s="39">
        <f t="shared" ref="BD20:BE20" si="230">1/(1+BD18)*BD16</f>
        <v>40000</v>
      </c>
      <c r="BE20" s="40">
        <f t="shared" si="230"/>
        <v>9.8312466512316092</v>
      </c>
      <c r="BF20" s="39">
        <f t="shared" ref="BF20:BI20" si="231">1/(1+BF18)*BF16</f>
        <v>40000</v>
      </c>
      <c r="BG20" s="40">
        <f t="shared" si="231"/>
        <v>9.8312466512316092</v>
      </c>
      <c r="BH20" s="39">
        <f t="shared" si="231"/>
        <v>40000</v>
      </c>
      <c r="BI20" s="40">
        <f t="shared" si="231"/>
        <v>9.8312466512316092</v>
      </c>
      <c r="BJ20" s="39">
        <f t="shared" ref="BJ20:BK20" si="232">1/(1+BJ18)*BJ16</f>
        <v>40000</v>
      </c>
      <c r="BK20" s="40">
        <f t="shared" si="232"/>
        <v>9.8312466512316092</v>
      </c>
      <c r="BL20" s="39">
        <f t="shared" ref="BL20:BO20" si="233">1/(1+BL18)*BL16</f>
        <v>40686.6</v>
      </c>
      <c r="BM20" s="40">
        <f t="shared" si="233"/>
        <v>10</v>
      </c>
      <c r="BN20" s="39">
        <f t="shared" si="233"/>
        <v>40686.6</v>
      </c>
      <c r="BO20" s="40">
        <f t="shared" si="233"/>
        <v>10</v>
      </c>
      <c r="BP20" s="39">
        <f t="shared" ref="BP20:BQ20" si="234">1/(1+BP18)*BP16</f>
        <v>40686.6</v>
      </c>
      <c r="BQ20" s="40">
        <f t="shared" si="234"/>
        <v>10</v>
      </c>
      <c r="BR20" s="39">
        <f t="shared" ref="BR20:BS20" si="235">1/(1+BR18)*BR16</f>
        <v>40686.6</v>
      </c>
      <c r="BS20" s="40">
        <f t="shared" si="235"/>
        <v>10</v>
      </c>
      <c r="BT20" s="39">
        <f t="shared" ref="BT20:BU20" si="236">1/(1+BT18)*BT16</f>
        <v>40686.6</v>
      </c>
      <c r="BU20" s="40">
        <f t="shared" si="236"/>
        <v>10</v>
      </c>
      <c r="BV20" s="39">
        <f t="shared" ref="BV20:BW20" si="237">1/(1+BV18)*BV16</f>
        <v>40686.6</v>
      </c>
      <c r="BW20" s="40">
        <f t="shared" si="237"/>
        <v>10</v>
      </c>
      <c r="BX20" s="39">
        <f t="shared" ref="BX20:BY20" si="238">1/(1+BX18)*BX16</f>
        <v>40686.6</v>
      </c>
      <c r="BY20" s="40">
        <f t="shared" si="238"/>
        <v>10</v>
      </c>
      <c r="BZ20" s="39">
        <f t="shared" ref="BZ20:CA20" si="239">1/(1+BZ18)*BZ16</f>
        <v>40686.6</v>
      </c>
      <c r="CA20" s="40">
        <f t="shared" si="239"/>
        <v>10</v>
      </c>
      <c r="CB20" s="39">
        <f t="shared" ref="CB20:CC20" si="240">1/(1+CB18)*CB16</f>
        <v>40686.6</v>
      </c>
      <c r="CC20" s="40">
        <f t="shared" si="240"/>
        <v>10</v>
      </c>
      <c r="CD20" s="39">
        <f t="shared" ref="CD20:CE20" si="241">1/(1+CD18)*CD16</f>
        <v>40686.6</v>
      </c>
      <c r="CE20" s="40">
        <f t="shared" si="241"/>
        <v>10</v>
      </c>
      <c r="CF20" s="39">
        <f t="shared" ref="CF20:CG20" si="242">1/(1+CF18)*CF16</f>
        <v>40686.6</v>
      </c>
      <c r="CG20" s="40">
        <f t="shared" si="242"/>
        <v>10</v>
      </c>
      <c r="CH20" s="39">
        <f t="shared" ref="CH20:CK20" si="243">1/(1+CH18)*CH16</f>
        <v>40686.6</v>
      </c>
      <c r="CI20" s="40">
        <f t="shared" si="243"/>
        <v>10</v>
      </c>
      <c r="CJ20" s="39">
        <f t="shared" si="243"/>
        <v>40686.6</v>
      </c>
      <c r="CK20" s="40">
        <f t="shared" si="243"/>
        <v>10</v>
      </c>
      <c r="CL20" s="39">
        <f t="shared" ref="CL20:CM20" si="244">1/(1+CL18)*CL16</f>
        <v>40686.6</v>
      </c>
      <c r="CM20" s="40">
        <f t="shared" si="244"/>
        <v>10</v>
      </c>
      <c r="CN20" s="39">
        <f t="shared" ref="CN20:CO20" si="245">1/(1+CN18)*CN16</f>
        <v>40686.6</v>
      </c>
      <c r="CO20" s="40">
        <f t="shared" si="245"/>
        <v>10</v>
      </c>
      <c r="CP20" s="39">
        <f t="shared" ref="CP20:CQ20" si="246">1/(1+CP18)*CP16</f>
        <v>40686.6</v>
      </c>
      <c r="CQ20" s="40">
        <f t="shared" si="246"/>
        <v>10</v>
      </c>
      <c r="CR20" s="39">
        <f t="shared" ref="CR20:CS20" si="247">1/(1+CR18)*CR16</f>
        <v>40686.6</v>
      </c>
      <c r="CS20" s="40">
        <f t="shared" si="247"/>
        <v>10</v>
      </c>
      <c r="CT20" s="39">
        <f t="shared" ref="CT20:CU20" si="248">1/(1+CT18)*CT16</f>
        <v>40686.6</v>
      </c>
      <c r="CU20" s="40">
        <f t="shared" si="248"/>
        <v>10</v>
      </c>
      <c r="CV20" s="39">
        <f t="shared" si="224"/>
        <v>40000</v>
      </c>
      <c r="CW20" s="40">
        <f t="shared" si="224"/>
        <v>9.8312466512316092</v>
      </c>
      <c r="CX20" s="39">
        <f t="shared" si="224"/>
        <v>40000</v>
      </c>
      <c r="CY20" s="40">
        <f t="shared" si="224"/>
        <v>9.8312466512316092</v>
      </c>
      <c r="CZ20" s="39">
        <f t="shared" ref="CZ20:DA20" si="249">1/(1+CZ18)*CZ16</f>
        <v>40000</v>
      </c>
      <c r="DA20" s="40">
        <f t="shared" si="249"/>
        <v>9.8312466512316092</v>
      </c>
      <c r="DB20" s="39">
        <f t="shared" ref="DB20:DE20" si="250">1/(1+DB18)*DB16</f>
        <v>40000</v>
      </c>
      <c r="DC20" s="40">
        <f t="shared" si="250"/>
        <v>9.8312466512316092</v>
      </c>
      <c r="DD20" s="39">
        <f t="shared" si="250"/>
        <v>40000</v>
      </c>
      <c r="DE20" s="40">
        <f t="shared" si="250"/>
        <v>9.8312466512316092</v>
      </c>
      <c r="DF20" s="39">
        <f t="shared" ref="DF20:DG20" si="251">1/(1+DF18)*DF16</f>
        <v>40000</v>
      </c>
      <c r="DG20" s="40">
        <f t="shared" si="251"/>
        <v>9.8312466512316092</v>
      </c>
      <c r="DH20" s="39">
        <f t="shared" ref="DH20:DI20" si="252">1/(1+DH18)*DH16</f>
        <v>44000</v>
      </c>
      <c r="DI20" s="40">
        <f t="shared" si="252"/>
        <v>10.814371316354771</v>
      </c>
      <c r="DJ20" s="39">
        <f t="shared" ref="DJ20:DK20" si="253">1/(1+DJ18)*DJ16</f>
        <v>44000</v>
      </c>
      <c r="DK20" s="40">
        <f t="shared" si="253"/>
        <v>10.814371316354771</v>
      </c>
      <c r="DL20" s="39">
        <f t="shared" ref="DL20:DM20" si="254">1/(1+DL18)*DL16</f>
        <v>40000</v>
      </c>
      <c r="DM20" s="40">
        <f t="shared" si="254"/>
        <v>9.8312466512316092</v>
      </c>
      <c r="DN20" s="39">
        <f t="shared" ref="DN20:DQ20" si="255">1/(1+DN18)*DN16</f>
        <v>40000</v>
      </c>
      <c r="DO20" s="40">
        <f t="shared" si="255"/>
        <v>9.8312466512316092</v>
      </c>
      <c r="DP20" s="39">
        <f t="shared" si="255"/>
        <v>40000</v>
      </c>
      <c r="DQ20" s="40">
        <f t="shared" si="255"/>
        <v>9.8312466512316092</v>
      </c>
      <c r="DR20" s="39">
        <f t="shared" ref="DR20:DS20" si="256">1/(1+DR18)*DR16</f>
        <v>40000</v>
      </c>
      <c r="DS20" s="40">
        <f t="shared" si="256"/>
        <v>9.8312466512316092</v>
      </c>
    </row>
    <row r="21" spans="1:123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352"/>
      <c r="AG21" s="358"/>
      <c r="AH21" s="352"/>
      <c r="AI21" s="358"/>
      <c r="AJ21" s="352"/>
      <c r="AK21" s="358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352"/>
      <c r="BY21" s="358"/>
      <c r="BZ21" s="352"/>
      <c r="CA21" s="358"/>
      <c r="CB21" s="352"/>
      <c r="CC21" s="358"/>
      <c r="CD21" s="352"/>
      <c r="CE21" s="358"/>
      <c r="CF21" s="352"/>
      <c r="CG21" s="358"/>
      <c r="CH21" s="352"/>
      <c r="CI21" s="358"/>
      <c r="CJ21" s="352"/>
      <c r="CK21" s="358"/>
      <c r="CL21" s="352"/>
      <c r="CM21" s="358"/>
      <c r="CN21" s="352"/>
      <c r="CO21" s="358"/>
      <c r="CP21" s="352"/>
      <c r="CQ21" s="358"/>
      <c r="CR21" s="352"/>
      <c r="CS21" s="358"/>
      <c r="CT21" s="352"/>
      <c r="CU21" s="358"/>
      <c r="CV21" s="352"/>
      <c r="CW21" s="358"/>
      <c r="CX21" s="352"/>
      <c r="CY21" s="358"/>
      <c r="CZ21" s="352"/>
      <c r="DA21" s="358"/>
      <c r="DB21" s="352"/>
      <c r="DC21" s="358"/>
      <c r="DD21" s="352"/>
      <c r="DE21" s="358"/>
      <c r="DF21" s="352"/>
      <c r="DG21" s="358"/>
      <c r="DH21" s="352"/>
      <c r="DI21" s="358"/>
      <c r="DJ21" s="352"/>
      <c r="DK21" s="358"/>
      <c r="DL21" s="352"/>
      <c r="DM21" s="358"/>
      <c r="DN21" s="352"/>
      <c r="DO21" s="358"/>
      <c r="DP21" s="352"/>
      <c r="DQ21" s="358"/>
      <c r="DR21" s="352"/>
      <c r="DS21" s="358"/>
    </row>
    <row r="22" spans="1:123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359"/>
      <c r="AG22" s="360"/>
      <c r="AH22" s="359"/>
      <c r="AI22" s="360"/>
      <c r="AJ22" s="359"/>
      <c r="AK22" s="360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359"/>
      <c r="BY22" s="360"/>
      <c r="BZ22" s="359"/>
      <c r="CA22" s="360"/>
      <c r="CB22" s="359"/>
      <c r="CC22" s="360"/>
      <c r="CD22" s="359"/>
      <c r="CE22" s="360"/>
      <c r="CF22" s="359"/>
      <c r="CG22" s="360"/>
      <c r="CH22" s="359"/>
      <c r="CI22" s="360"/>
      <c r="CJ22" s="359"/>
      <c r="CK22" s="360"/>
      <c r="CL22" s="359"/>
      <c r="CM22" s="360"/>
      <c r="CN22" s="359"/>
      <c r="CO22" s="360"/>
      <c r="CP22" s="359"/>
      <c r="CQ22" s="360"/>
      <c r="CR22" s="359"/>
      <c r="CS22" s="360"/>
      <c r="CT22" s="359"/>
      <c r="CU22" s="360"/>
      <c r="CV22" s="359"/>
      <c r="CW22" s="360"/>
      <c r="CX22" s="359"/>
      <c r="CY22" s="360"/>
      <c r="CZ22" s="359"/>
      <c r="DA22" s="360"/>
      <c r="DB22" s="359"/>
      <c r="DC22" s="360"/>
      <c r="DD22" s="359"/>
      <c r="DE22" s="360"/>
      <c r="DF22" s="359"/>
      <c r="DG22" s="360"/>
      <c r="DH22" s="359"/>
      <c r="DI22" s="360"/>
      <c r="DJ22" s="359"/>
      <c r="DK22" s="360"/>
      <c r="DL22" s="359"/>
      <c r="DM22" s="360"/>
      <c r="DN22" s="359"/>
      <c r="DO22" s="360"/>
      <c r="DP22" s="359"/>
      <c r="DQ22" s="360"/>
      <c r="DR22" s="359"/>
      <c r="DS22" s="360"/>
    </row>
    <row r="23" spans="1:123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O23" si="257">F24/F20</f>
        <v>0.21678294999999997</v>
      </c>
      <c r="G23" s="48">
        <f t="shared" si="257"/>
        <v>0.21678294999999997</v>
      </c>
      <c r="H23" s="47">
        <f t="shared" si="257"/>
        <v>0.19589147499999998</v>
      </c>
      <c r="I23" s="48">
        <f t="shared" si="257"/>
        <v>0.19589147499999993</v>
      </c>
      <c r="J23" s="47">
        <f t="shared" ref="J23:M23" si="258">J24/J20</f>
        <v>0.21678294999999997</v>
      </c>
      <c r="K23" s="48">
        <f t="shared" si="258"/>
        <v>0.21678294999999997</v>
      </c>
      <c r="L23" s="47">
        <f t="shared" si="258"/>
        <v>0.17499999999999999</v>
      </c>
      <c r="M23" s="48">
        <f t="shared" si="258"/>
        <v>0.17499999999999996</v>
      </c>
      <c r="N23" s="361">
        <f t="shared" si="257"/>
        <v>0.19334856250000002</v>
      </c>
      <c r="O23" s="362">
        <f t="shared" si="257"/>
        <v>0.19334856249999999</v>
      </c>
      <c r="P23" s="361">
        <f t="shared" ref="P23:U23" si="259">P24/P20</f>
        <v>0.21169712500000004</v>
      </c>
      <c r="Q23" s="362">
        <f t="shared" si="259"/>
        <v>0.21169712499999999</v>
      </c>
      <c r="R23" s="361">
        <f t="shared" si="259"/>
        <v>0.17499999999999999</v>
      </c>
      <c r="S23" s="362">
        <f t="shared" si="259"/>
        <v>0.17499999999999996</v>
      </c>
      <c r="T23" s="361">
        <f t="shared" si="259"/>
        <v>0.19334856250000002</v>
      </c>
      <c r="U23" s="362">
        <f t="shared" si="259"/>
        <v>0.19334856249999999</v>
      </c>
      <c r="V23" s="361">
        <f t="shared" ref="V23:AG23" si="260">V24/V20</f>
        <v>0.19334856250000002</v>
      </c>
      <c r="W23" s="362">
        <f t="shared" si="260"/>
        <v>0.19334856249999999</v>
      </c>
      <c r="X23" s="361">
        <f t="shared" si="260"/>
        <v>0.19334856250000002</v>
      </c>
      <c r="Y23" s="362">
        <f t="shared" si="260"/>
        <v>0.19334856249999999</v>
      </c>
      <c r="Z23" s="361">
        <f t="shared" si="260"/>
        <v>0.19334856250000002</v>
      </c>
      <c r="AA23" s="362">
        <f t="shared" si="260"/>
        <v>0.19334856249999999</v>
      </c>
      <c r="AB23" s="361">
        <f t="shared" si="260"/>
        <v>0.19334856250000002</v>
      </c>
      <c r="AC23" s="362">
        <f t="shared" si="260"/>
        <v>0.19334856249999999</v>
      </c>
      <c r="AD23" s="361">
        <f t="shared" si="260"/>
        <v>0.19334856250000002</v>
      </c>
      <c r="AE23" s="362">
        <f t="shared" si="260"/>
        <v>0.19334856249999999</v>
      </c>
      <c r="AF23" s="361">
        <f t="shared" si="260"/>
        <v>0.19334856250000002</v>
      </c>
      <c r="AG23" s="362">
        <f t="shared" si="260"/>
        <v>0.19334856249999999</v>
      </c>
      <c r="AH23" s="361">
        <f t="shared" ref="AH23:CY23" si="261">AH24/AH20</f>
        <v>0.19334856250000002</v>
      </c>
      <c r="AI23" s="362">
        <f t="shared" si="261"/>
        <v>0.19334856249999999</v>
      </c>
      <c r="AJ23" s="361">
        <f t="shared" ref="AJ23:AK23" si="262">AJ24/AJ20</f>
        <v>0.19334856250000002</v>
      </c>
      <c r="AK23" s="362">
        <f t="shared" si="262"/>
        <v>0.19334856249999999</v>
      </c>
      <c r="AL23" s="361">
        <f t="shared" ref="AL23:AO23" si="263">AL24/AL20</f>
        <v>0.19334856250000002</v>
      </c>
      <c r="AM23" s="362">
        <f t="shared" si="263"/>
        <v>0.19334856249999999</v>
      </c>
      <c r="AN23" s="361">
        <f t="shared" si="263"/>
        <v>0.19334856250000002</v>
      </c>
      <c r="AO23" s="362">
        <f t="shared" si="263"/>
        <v>0.19334856249999999</v>
      </c>
      <c r="AP23" s="361">
        <f t="shared" ref="AP23:AU23" si="264">AP24/AP20</f>
        <v>0.19334856250000002</v>
      </c>
      <c r="AQ23" s="362">
        <f t="shared" si="264"/>
        <v>0.19334856249999999</v>
      </c>
      <c r="AR23" s="361">
        <f t="shared" si="264"/>
        <v>0.19334856250000002</v>
      </c>
      <c r="AS23" s="362">
        <f t="shared" si="264"/>
        <v>0.19334856249999999</v>
      </c>
      <c r="AT23" s="361">
        <f t="shared" si="264"/>
        <v>0.19334856250000002</v>
      </c>
      <c r="AU23" s="362">
        <f t="shared" si="264"/>
        <v>0.19334856249999999</v>
      </c>
      <c r="AV23" s="361">
        <f t="shared" ref="AV23:BA23" si="265">AV24/AV20</f>
        <v>0.19334856250000002</v>
      </c>
      <c r="AW23" s="362">
        <f t="shared" si="265"/>
        <v>0.19334856249999999</v>
      </c>
      <c r="AX23" s="361">
        <f t="shared" si="265"/>
        <v>0.19334856250000002</v>
      </c>
      <c r="AY23" s="362">
        <f t="shared" si="265"/>
        <v>0.19334856249999999</v>
      </c>
      <c r="AZ23" s="361">
        <f t="shared" si="265"/>
        <v>0.19334856250000002</v>
      </c>
      <c r="BA23" s="362">
        <f t="shared" si="265"/>
        <v>0.19334856249999999</v>
      </c>
      <c r="BB23" s="361">
        <f t="shared" ref="BB23:BC23" si="266">BB24/BB20</f>
        <v>0.19334856250000002</v>
      </c>
      <c r="BC23" s="362">
        <f t="shared" si="266"/>
        <v>0.19334856249999999</v>
      </c>
      <c r="BD23" s="361">
        <f t="shared" ref="BD23:BE23" si="267">BD24/BD20</f>
        <v>0.19334856250000002</v>
      </c>
      <c r="BE23" s="362">
        <f t="shared" si="267"/>
        <v>0.19334856249999999</v>
      </c>
      <c r="BF23" s="361">
        <f t="shared" ref="BF23:BI23" si="268">BF24/BF20</f>
        <v>0.19334856250000002</v>
      </c>
      <c r="BG23" s="362">
        <f t="shared" si="268"/>
        <v>0.19334856249999999</v>
      </c>
      <c r="BH23" s="361">
        <f t="shared" si="268"/>
        <v>0.19334856250000002</v>
      </c>
      <c r="BI23" s="362">
        <f t="shared" si="268"/>
        <v>0.19334856249999999</v>
      </c>
      <c r="BJ23" s="361">
        <f t="shared" ref="BJ23:BK23" si="269">BJ24/BJ20</f>
        <v>0.19334856250000002</v>
      </c>
      <c r="BK23" s="362">
        <f t="shared" si="269"/>
        <v>0.19334856249999999</v>
      </c>
      <c r="BL23" s="361">
        <f t="shared" ref="BL23:BM23" si="270">BL24/BL20</f>
        <v>0.20696107563669611</v>
      </c>
      <c r="BM23" s="362">
        <f t="shared" si="270"/>
        <v>0.2</v>
      </c>
      <c r="BN23" s="361">
        <f t="shared" ref="BN23:BO23" si="271">BN24/BN20</f>
        <v>0.2</v>
      </c>
      <c r="BO23" s="362">
        <f t="shared" si="271"/>
        <v>0.2</v>
      </c>
      <c r="BP23" s="361">
        <f t="shared" ref="BP23:BQ23" si="272">BP24/BP20</f>
        <v>0.2</v>
      </c>
      <c r="BQ23" s="362">
        <f t="shared" si="272"/>
        <v>0.2</v>
      </c>
      <c r="BR23" s="361">
        <f t="shared" ref="BR23:BS23" si="273">BR24/BR20</f>
        <v>0.2</v>
      </c>
      <c r="BS23" s="362">
        <f t="shared" si="273"/>
        <v>0.2</v>
      </c>
      <c r="BT23" s="361">
        <f t="shared" ref="BT23:BU23" si="274">BT24/BT20</f>
        <v>0.2</v>
      </c>
      <c r="BU23" s="362">
        <f t="shared" si="274"/>
        <v>0.2</v>
      </c>
      <c r="BV23" s="361">
        <f t="shared" ref="BV23:BW23" si="275">BV24/BV20</f>
        <v>0.2</v>
      </c>
      <c r="BW23" s="362">
        <f t="shared" si="275"/>
        <v>0.2</v>
      </c>
      <c r="BX23" s="361">
        <f t="shared" ref="BX23:BY23" si="276">BX24/BX20</f>
        <v>0.2</v>
      </c>
      <c r="BY23" s="362">
        <f t="shared" si="276"/>
        <v>0.2</v>
      </c>
      <c r="BZ23" s="361">
        <f t="shared" ref="BZ23:CA23" si="277">BZ24/BZ20</f>
        <v>0.2</v>
      </c>
      <c r="CA23" s="362">
        <f t="shared" si="277"/>
        <v>0.2</v>
      </c>
      <c r="CB23" s="361">
        <f t="shared" ref="CB23:CC23" si="278">CB24/CB20</f>
        <v>0.2</v>
      </c>
      <c r="CC23" s="362">
        <f t="shared" si="278"/>
        <v>0.2</v>
      </c>
      <c r="CD23" s="361">
        <f t="shared" ref="CD23:CE23" si="279">CD24/CD20</f>
        <v>0.2</v>
      </c>
      <c r="CE23" s="362">
        <f t="shared" si="279"/>
        <v>0.2</v>
      </c>
      <c r="CF23" s="361">
        <f t="shared" ref="CF23:CG23" si="280">CF24/CF20</f>
        <v>0.2</v>
      </c>
      <c r="CG23" s="362">
        <f t="shared" si="280"/>
        <v>0.2</v>
      </c>
      <c r="CH23" s="361">
        <f t="shared" ref="CH23:CK23" si="281">CH24/CH20</f>
        <v>0.2</v>
      </c>
      <c r="CI23" s="362">
        <f t="shared" si="281"/>
        <v>0.2</v>
      </c>
      <c r="CJ23" s="361">
        <f t="shared" si="281"/>
        <v>0.2</v>
      </c>
      <c r="CK23" s="362">
        <f t="shared" si="281"/>
        <v>0.2</v>
      </c>
      <c r="CL23" s="361">
        <f t="shared" ref="CL23:CM23" si="282">CL24/CL20</f>
        <v>0.2</v>
      </c>
      <c r="CM23" s="362">
        <f t="shared" si="282"/>
        <v>0.2</v>
      </c>
      <c r="CN23" s="361">
        <f t="shared" ref="CN23:CO23" si="283">CN24/CN20</f>
        <v>0.2</v>
      </c>
      <c r="CO23" s="362">
        <f t="shared" si="283"/>
        <v>0.2</v>
      </c>
      <c r="CP23" s="361">
        <f t="shared" ref="CP23:CQ23" si="284">CP24/CP20</f>
        <v>0.2</v>
      </c>
      <c r="CQ23" s="362">
        <f t="shared" si="284"/>
        <v>0.2</v>
      </c>
      <c r="CR23" s="361">
        <f t="shared" ref="CR23:CS23" si="285">CR24/CR20</f>
        <v>0.2</v>
      </c>
      <c r="CS23" s="362">
        <f t="shared" si="285"/>
        <v>0.2</v>
      </c>
      <c r="CT23" s="361">
        <f t="shared" ref="CT23:CU23" si="286">CT24/CT20</f>
        <v>0.18000000000000008</v>
      </c>
      <c r="CU23" s="362">
        <f t="shared" si="286"/>
        <v>0.18000000000000008</v>
      </c>
      <c r="CV23" s="361">
        <f t="shared" si="261"/>
        <v>0.19334856250000002</v>
      </c>
      <c r="CW23" s="362">
        <f t="shared" si="261"/>
        <v>0.19334856249999999</v>
      </c>
      <c r="CX23" s="361">
        <f t="shared" si="261"/>
        <v>0.19334856250000002</v>
      </c>
      <c r="CY23" s="362">
        <f t="shared" si="261"/>
        <v>0.19334856249999999</v>
      </c>
      <c r="CZ23" s="361">
        <f t="shared" ref="CZ23:DA23" si="287">CZ24/CZ20</f>
        <v>0.19334856250000002</v>
      </c>
      <c r="DA23" s="362">
        <f t="shared" si="287"/>
        <v>0.19334856249999999</v>
      </c>
      <c r="DB23" s="361">
        <f t="shared" ref="DB23:DE23" si="288">DB24/DB20</f>
        <v>0.19334856250000002</v>
      </c>
      <c r="DC23" s="362">
        <f t="shared" si="288"/>
        <v>0.19334856249999999</v>
      </c>
      <c r="DD23" s="361">
        <f t="shared" si="288"/>
        <v>0.19334856250000002</v>
      </c>
      <c r="DE23" s="362">
        <f t="shared" si="288"/>
        <v>0.19334856249999999</v>
      </c>
      <c r="DF23" s="361">
        <f t="shared" ref="DF23:DG23" si="289">DF24/DF20</f>
        <v>0.19334856250000002</v>
      </c>
      <c r="DG23" s="362">
        <f t="shared" si="289"/>
        <v>0.18626799999999999</v>
      </c>
      <c r="DH23" s="361">
        <f t="shared" ref="DH23:DI23" si="290">DH24/DH20</f>
        <v>0.19395323863636374</v>
      </c>
      <c r="DI23" s="362">
        <f t="shared" si="290"/>
        <v>0.19395323863636371</v>
      </c>
      <c r="DJ23" s="361">
        <f t="shared" ref="DJ23:DK23" si="291">DJ24/DJ20</f>
        <v>0.20304414772727283</v>
      </c>
      <c r="DK23" s="362">
        <f t="shared" si="291"/>
        <v>0.20304414772727286</v>
      </c>
      <c r="DL23" s="361">
        <f t="shared" ref="DL23:DM23" si="292">DL24/DL20</f>
        <v>0.15834856250000012</v>
      </c>
      <c r="DM23" s="362">
        <f t="shared" si="292"/>
        <v>0.15834856250000001</v>
      </c>
      <c r="DN23" s="361">
        <f t="shared" ref="DN23:DQ23" si="293">DN24/DN20</f>
        <v>0.17334856250000011</v>
      </c>
      <c r="DO23" s="362">
        <f t="shared" si="293"/>
        <v>0.17334856250000003</v>
      </c>
      <c r="DP23" s="361">
        <f t="shared" si="293"/>
        <v>0.19334856250000002</v>
      </c>
      <c r="DQ23" s="362">
        <f t="shared" si="293"/>
        <v>0.19334856249999999</v>
      </c>
      <c r="DR23" s="361">
        <f t="shared" ref="DR23:DS23" si="294">DR24/DR20</f>
        <v>0.19334856250000002</v>
      </c>
      <c r="DS23" s="362">
        <f t="shared" si="294"/>
        <v>0.19334856249999999</v>
      </c>
    </row>
    <row r="24" spans="1:123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O24" si="295">F20-F26</f>
        <v>8671.3179999999993</v>
      </c>
      <c r="G24" s="24">
        <f t="shared" si="295"/>
        <v>2.1312466512316091</v>
      </c>
      <c r="H24" s="50">
        <f t="shared" si="295"/>
        <v>7835.6589999999997</v>
      </c>
      <c r="I24" s="24">
        <f t="shared" si="295"/>
        <v>1.9258574075985697</v>
      </c>
      <c r="J24" s="50">
        <f t="shared" ref="J24:M24" si="296">J20-J26</f>
        <v>8671.3179999999993</v>
      </c>
      <c r="K24" s="24">
        <f t="shared" si="296"/>
        <v>2.1312466512316091</v>
      </c>
      <c r="L24" s="50">
        <f t="shared" si="296"/>
        <v>7000</v>
      </c>
      <c r="M24" s="24">
        <f t="shared" si="296"/>
        <v>1.7204681639655313</v>
      </c>
      <c r="N24" s="363">
        <f t="shared" si="295"/>
        <v>7733.942500000001</v>
      </c>
      <c r="O24" s="351">
        <f t="shared" si="295"/>
        <v>1.9008574075985702</v>
      </c>
      <c r="P24" s="363">
        <f t="shared" ref="P24:U24" si="297">P20-P26</f>
        <v>8467.885000000002</v>
      </c>
      <c r="Q24" s="351">
        <f t="shared" si="297"/>
        <v>2.0812466512316092</v>
      </c>
      <c r="R24" s="363">
        <f t="shared" si="297"/>
        <v>7000</v>
      </c>
      <c r="S24" s="351">
        <f t="shared" si="297"/>
        <v>1.7204681639655313</v>
      </c>
      <c r="T24" s="363">
        <f t="shared" si="297"/>
        <v>7733.942500000001</v>
      </c>
      <c r="U24" s="351">
        <f t="shared" si="297"/>
        <v>1.9008574075985702</v>
      </c>
      <c r="V24" s="363">
        <f t="shared" ref="V24:AG24" si="298">V20-V26</f>
        <v>7733.942500000001</v>
      </c>
      <c r="W24" s="351">
        <f t="shared" si="298"/>
        <v>1.9008574075985702</v>
      </c>
      <c r="X24" s="363">
        <f t="shared" si="298"/>
        <v>7733.942500000001</v>
      </c>
      <c r="Y24" s="351">
        <f t="shared" si="298"/>
        <v>1.9008574075985702</v>
      </c>
      <c r="Z24" s="363">
        <f t="shared" si="298"/>
        <v>7733.942500000001</v>
      </c>
      <c r="AA24" s="351">
        <f t="shared" si="298"/>
        <v>1.9008574075985702</v>
      </c>
      <c r="AB24" s="363">
        <f t="shared" si="298"/>
        <v>7733.942500000001</v>
      </c>
      <c r="AC24" s="351">
        <f t="shared" si="298"/>
        <v>1.9008574075985702</v>
      </c>
      <c r="AD24" s="363">
        <f t="shared" si="298"/>
        <v>7733.942500000001</v>
      </c>
      <c r="AE24" s="351">
        <f t="shared" si="298"/>
        <v>1.9008574075985702</v>
      </c>
      <c r="AF24" s="363">
        <f t="shared" si="298"/>
        <v>7733.942500000001</v>
      </c>
      <c r="AG24" s="351">
        <f t="shared" si="298"/>
        <v>1.9008574075985702</v>
      </c>
      <c r="AH24" s="363">
        <f t="shared" ref="AH24:CY24" si="299">AH20-AH26</f>
        <v>7733.942500000001</v>
      </c>
      <c r="AI24" s="351">
        <f t="shared" si="299"/>
        <v>1.9008574075985702</v>
      </c>
      <c r="AJ24" s="363">
        <f t="shared" ref="AJ24:AK24" si="300">AJ20-AJ26</f>
        <v>7733.942500000001</v>
      </c>
      <c r="AK24" s="351">
        <f t="shared" si="300"/>
        <v>1.9008574075985702</v>
      </c>
      <c r="AL24" s="363">
        <f t="shared" ref="AL24:AO24" si="301">AL20-AL26</f>
        <v>7733.942500000001</v>
      </c>
      <c r="AM24" s="351">
        <f t="shared" si="301"/>
        <v>1.9008574075985702</v>
      </c>
      <c r="AN24" s="363">
        <f t="shared" si="301"/>
        <v>7733.942500000001</v>
      </c>
      <c r="AO24" s="351">
        <f t="shared" si="301"/>
        <v>1.9008574075985702</v>
      </c>
      <c r="AP24" s="363">
        <f t="shared" ref="AP24:AU24" si="302">AP20-AP26</f>
        <v>7733.942500000001</v>
      </c>
      <c r="AQ24" s="351">
        <f t="shared" si="302"/>
        <v>1.9008574075985702</v>
      </c>
      <c r="AR24" s="363">
        <f t="shared" si="302"/>
        <v>7733.942500000001</v>
      </c>
      <c r="AS24" s="351">
        <f t="shared" si="302"/>
        <v>1.9008574075985702</v>
      </c>
      <c r="AT24" s="363">
        <f t="shared" si="302"/>
        <v>7733.942500000001</v>
      </c>
      <c r="AU24" s="351">
        <f t="shared" si="302"/>
        <v>1.9008574075985702</v>
      </c>
      <c r="AV24" s="363">
        <f t="shared" ref="AV24:BA24" si="303">AV20-AV26</f>
        <v>7733.942500000001</v>
      </c>
      <c r="AW24" s="351">
        <f t="shared" si="303"/>
        <v>1.9008574075985702</v>
      </c>
      <c r="AX24" s="363">
        <f t="shared" si="303"/>
        <v>7733.942500000001</v>
      </c>
      <c r="AY24" s="351">
        <f t="shared" si="303"/>
        <v>1.9008574075985702</v>
      </c>
      <c r="AZ24" s="363">
        <f t="shared" si="303"/>
        <v>7733.942500000001</v>
      </c>
      <c r="BA24" s="351">
        <f t="shared" si="303"/>
        <v>1.9008574075985702</v>
      </c>
      <c r="BB24" s="363">
        <f t="shared" ref="BB24:BC24" si="304">BB20-BB26</f>
        <v>7733.942500000001</v>
      </c>
      <c r="BC24" s="351">
        <f t="shared" si="304"/>
        <v>1.9008574075985702</v>
      </c>
      <c r="BD24" s="363">
        <f t="shared" ref="BD24:BE24" si="305">BD20-BD26</f>
        <v>7733.942500000001</v>
      </c>
      <c r="BE24" s="351">
        <f t="shared" si="305"/>
        <v>1.9008574075985702</v>
      </c>
      <c r="BF24" s="363">
        <f t="shared" ref="BF24:BI24" si="306">BF20-BF26</f>
        <v>7733.942500000001</v>
      </c>
      <c r="BG24" s="351">
        <f t="shared" si="306"/>
        <v>1.9008574075985702</v>
      </c>
      <c r="BH24" s="363">
        <f t="shared" si="306"/>
        <v>7733.942500000001</v>
      </c>
      <c r="BI24" s="351">
        <f t="shared" si="306"/>
        <v>1.9008574075985702</v>
      </c>
      <c r="BJ24" s="363">
        <f t="shared" ref="BJ24:BK24" si="307">BJ20-BJ26</f>
        <v>7733.942500000001</v>
      </c>
      <c r="BK24" s="351">
        <f t="shared" si="307"/>
        <v>1.9008574075985702</v>
      </c>
      <c r="BL24" s="363">
        <f t="shared" ref="BL24:BM24" si="308">BL20-BL26</f>
        <v>8420.5424999999996</v>
      </c>
      <c r="BM24" s="351">
        <f t="shared" si="308"/>
        <v>2</v>
      </c>
      <c r="BN24" s="363">
        <f t="shared" ref="BN24:BO24" si="309">BN20-BN26</f>
        <v>8137.32</v>
      </c>
      <c r="BO24" s="351">
        <f t="shared" si="309"/>
        <v>2</v>
      </c>
      <c r="BP24" s="363">
        <f t="shared" ref="BP24:BQ24" si="310">BP20-BP26</f>
        <v>8137.32</v>
      </c>
      <c r="BQ24" s="351">
        <f t="shared" si="310"/>
        <v>2</v>
      </c>
      <c r="BR24" s="363">
        <f t="shared" ref="BR24:BS24" si="311">BR20-BR26</f>
        <v>8137.32</v>
      </c>
      <c r="BS24" s="351">
        <f t="shared" si="311"/>
        <v>2</v>
      </c>
      <c r="BT24" s="363">
        <f t="shared" ref="BT24:BU24" si="312">BT20-BT26</f>
        <v>8137.32</v>
      </c>
      <c r="BU24" s="351">
        <f t="shared" si="312"/>
        <v>2</v>
      </c>
      <c r="BV24" s="363">
        <f t="shared" ref="BV24:BW24" si="313">BV20-BV26</f>
        <v>8137.32</v>
      </c>
      <c r="BW24" s="351">
        <f t="shared" si="313"/>
        <v>2</v>
      </c>
      <c r="BX24" s="363">
        <f t="shared" ref="BX24:BY24" si="314">BX20-BX26</f>
        <v>8137.32</v>
      </c>
      <c r="BY24" s="351">
        <f t="shared" si="314"/>
        <v>2</v>
      </c>
      <c r="BZ24" s="363">
        <f t="shared" ref="BZ24:CA24" si="315">BZ20-BZ26</f>
        <v>8137.32</v>
      </c>
      <c r="CA24" s="351">
        <f t="shared" si="315"/>
        <v>2</v>
      </c>
      <c r="CB24" s="363">
        <f t="shared" ref="CB24:CC24" si="316">CB20-CB26</f>
        <v>8137.32</v>
      </c>
      <c r="CC24" s="351">
        <f t="shared" si="316"/>
        <v>2</v>
      </c>
      <c r="CD24" s="363">
        <f t="shared" ref="CD24:CE24" si="317">CD20-CD26</f>
        <v>8137.32</v>
      </c>
      <c r="CE24" s="351">
        <f t="shared" si="317"/>
        <v>2</v>
      </c>
      <c r="CF24" s="363">
        <f t="shared" ref="CF24:CG24" si="318">CF20-CF26</f>
        <v>8137.32</v>
      </c>
      <c r="CG24" s="351">
        <f t="shared" si="318"/>
        <v>2</v>
      </c>
      <c r="CH24" s="363">
        <f t="shared" ref="CH24:CK24" si="319">CH20-CH26</f>
        <v>8137.32</v>
      </c>
      <c r="CI24" s="351">
        <f t="shared" si="319"/>
        <v>2</v>
      </c>
      <c r="CJ24" s="363">
        <f t="shared" si="319"/>
        <v>8137.32</v>
      </c>
      <c r="CK24" s="351">
        <f t="shared" si="319"/>
        <v>2</v>
      </c>
      <c r="CL24" s="363">
        <f t="shared" ref="CL24:CM24" si="320">CL20-CL26</f>
        <v>8137.32</v>
      </c>
      <c r="CM24" s="351">
        <f t="shared" si="320"/>
        <v>2</v>
      </c>
      <c r="CN24" s="363">
        <f t="shared" ref="CN24:CO24" si="321">CN20-CN26</f>
        <v>8137.32</v>
      </c>
      <c r="CO24" s="351">
        <f t="shared" si="321"/>
        <v>2</v>
      </c>
      <c r="CP24" s="363">
        <f t="shared" ref="CP24:CQ24" si="322">CP20-CP26</f>
        <v>8137.32</v>
      </c>
      <c r="CQ24" s="351">
        <f t="shared" si="322"/>
        <v>2</v>
      </c>
      <c r="CR24" s="363">
        <f t="shared" ref="CR24:CS24" si="323">CR20-CR26</f>
        <v>8137.32</v>
      </c>
      <c r="CS24" s="351">
        <f t="shared" si="323"/>
        <v>2</v>
      </c>
      <c r="CT24" s="363">
        <f t="shared" ref="CT24:CU24" si="324">CT20-CT26</f>
        <v>7323.5880000000034</v>
      </c>
      <c r="CU24" s="351">
        <f t="shared" si="324"/>
        <v>1.8000000000000007</v>
      </c>
      <c r="CV24" s="363">
        <f t="shared" si="299"/>
        <v>7733.942500000001</v>
      </c>
      <c r="CW24" s="351">
        <f t="shared" si="299"/>
        <v>1.9008574075985702</v>
      </c>
      <c r="CX24" s="363">
        <f t="shared" si="299"/>
        <v>7733.942500000001</v>
      </c>
      <c r="CY24" s="351">
        <f t="shared" si="299"/>
        <v>1.9008574075985702</v>
      </c>
      <c r="CZ24" s="363">
        <f t="shared" ref="CZ24:DA24" si="325">CZ20-CZ26</f>
        <v>7733.942500000001</v>
      </c>
      <c r="DA24" s="351">
        <f t="shared" si="325"/>
        <v>1.9008574075985702</v>
      </c>
      <c r="DB24" s="363">
        <f t="shared" ref="DB24:DE24" si="326">DB20-DB26</f>
        <v>7733.942500000001</v>
      </c>
      <c r="DC24" s="351">
        <f t="shared" si="326"/>
        <v>1.9008574075985702</v>
      </c>
      <c r="DD24" s="363">
        <f t="shared" si="326"/>
        <v>7733.942500000001</v>
      </c>
      <c r="DE24" s="351">
        <f t="shared" si="326"/>
        <v>1.9008574075985702</v>
      </c>
      <c r="DF24" s="363">
        <f t="shared" ref="DF24:DG24" si="327">DF20-DF26</f>
        <v>7733.942500000001</v>
      </c>
      <c r="DG24" s="351">
        <f t="shared" si="327"/>
        <v>1.8312466512316092</v>
      </c>
      <c r="DH24" s="363">
        <f t="shared" ref="DH24:DI24" si="328">DH20-DH26</f>
        <v>8533.9425000000047</v>
      </c>
      <c r="DI24" s="351">
        <f t="shared" si="328"/>
        <v>2.0974823406232037</v>
      </c>
      <c r="DJ24" s="363">
        <f t="shared" ref="DJ24:DK24" si="329">DJ20-DJ26</f>
        <v>8933.9425000000047</v>
      </c>
      <c r="DK24" s="351">
        <f t="shared" si="329"/>
        <v>2.1957948071355204</v>
      </c>
      <c r="DL24" s="363">
        <f t="shared" ref="DL24:DM24" si="330">DL20-DL26</f>
        <v>6333.9425000000047</v>
      </c>
      <c r="DM24" s="351">
        <f t="shared" si="330"/>
        <v>1.5567637748054644</v>
      </c>
      <c r="DN24" s="363">
        <f t="shared" ref="DN24:DQ24" si="331">DN20-DN26</f>
        <v>6933.9425000000047</v>
      </c>
      <c r="DO24" s="351">
        <f t="shared" si="331"/>
        <v>1.7042324745739386</v>
      </c>
      <c r="DP24" s="363">
        <f t="shared" si="331"/>
        <v>7733.942500000001</v>
      </c>
      <c r="DQ24" s="351">
        <f t="shared" si="331"/>
        <v>1.9008574075985702</v>
      </c>
      <c r="DR24" s="363">
        <f t="shared" ref="DR24:DS24" si="332">DR20-DR26</f>
        <v>7733.942500000001</v>
      </c>
      <c r="DS24" s="351">
        <f t="shared" si="332"/>
        <v>1.9008574075985702</v>
      </c>
    </row>
    <row r="25" spans="1:123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DS25" si="333">F26</f>
        <v>31328.682000000001</v>
      </c>
      <c r="G25" s="55">
        <f t="shared" si="333"/>
        <v>7.7</v>
      </c>
      <c r="H25" s="54">
        <f t="shared" si="333"/>
        <v>32164.341</v>
      </c>
      <c r="I25" s="55">
        <f t="shared" si="333"/>
        <v>7.9053892436330395</v>
      </c>
      <c r="J25" s="54">
        <f t="shared" si="333"/>
        <v>31328.682000000001</v>
      </c>
      <c r="K25" s="55">
        <f t="shared" si="333"/>
        <v>7.7</v>
      </c>
      <c r="L25" s="54">
        <f t="shared" si="333"/>
        <v>33000</v>
      </c>
      <c r="M25" s="55">
        <f t="shared" si="333"/>
        <v>8.110778487266078</v>
      </c>
      <c r="N25" s="54">
        <f t="shared" si="333"/>
        <v>32266.057499999999</v>
      </c>
      <c r="O25" s="55">
        <f t="shared" si="333"/>
        <v>7.930389243633039</v>
      </c>
      <c r="P25" s="54">
        <f t="shared" si="333"/>
        <v>31532.114999999998</v>
      </c>
      <c r="Q25" s="55">
        <f t="shared" si="333"/>
        <v>7.75</v>
      </c>
      <c r="R25" s="54">
        <f t="shared" si="333"/>
        <v>33000</v>
      </c>
      <c r="S25" s="55">
        <f t="shared" si="333"/>
        <v>8.110778487266078</v>
      </c>
      <c r="T25" s="54">
        <f t="shared" si="333"/>
        <v>32266.057499999999</v>
      </c>
      <c r="U25" s="55">
        <f t="shared" si="333"/>
        <v>7.930389243633039</v>
      </c>
      <c r="V25" s="54">
        <f t="shared" si="333"/>
        <v>32266.057499999999</v>
      </c>
      <c r="W25" s="55">
        <f t="shared" si="333"/>
        <v>7.930389243633039</v>
      </c>
      <c r="X25" s="54">
        <f t="shared" si="333"/>
        <v>32266.057499999999</v>
      </c>
      <c r="Y25" s="55">
        <f t="shared" si="333"/>
        <v>7.930389243633039</v>
      </c>
      <c r="Z25" s="54">
        <f t="shared" si="333"/>
        <v>32266.057499999999</v>
      </c>
      <c r="AA25" s="55">
        <f t="shared" si="333"/>
        <v>7.930389243633039</v>
      </c>
      <c r="AB25" s="54">
        <f t="shared" si="333"/>
        <v>32266.057499999999</v>
      </c>
      <c r="AC25" s="55">
        <f t="shared" si="333"/>
        <v>7.930389243633039</v>
      </c>
      <c r="AD25" s="54">
        <f t="shared" si="333"/>
        <v>32266.057499999999</v>
      </c>
      <c r="AE25" s="55">
        <f t="shared" si="333"/>
        <v>7.930389243633039</v>
      </c>
      <c r="AF25" s="54">
        <f t="shared" si="333"/>
        <v>32266.057499999999</v>
      </c>
      <c r="AG25" s="55">
        <f t="shared" si="333"/>
        <v>7.930389243633039</v>
      </c>
      <c r="AH25" s="54">
        <f t="shared" si="333"/>
        <v>32266.057499999999</v>
      </c>
      <c r="AI25" s="55">
        <f t="shared" si="333"/>
        <v>7.930389243633039</v>
      </c>
      <c r="AJ25" s="54">
        <f t="shared" si="333"/>
        <v>32266.057499999999</v>
      </c>
      <c r="AK25" s="55">
        <f t="shared" si="333"/>
        <v>7.930389243633039</v>
      </c>
      <c r="AL25" s="54">
        <f t="shared" si="333"/>
        <v>32266.057499999999</v>
      </c>
      <c r="AM25" s="55">
        <f t="shared" si="333"/>
        <v>7.930389243633039</v>
      </c>
      <c r="AN25" s="54">
        <f t="shared" si="333"/>
        <v>32266.057499999999</v>
      </c>
      <c r="AO25" s="55">
        <f t="shared" si="333"/>
        <v>7.930389243633039</v>
      </c>
      <c r="AP25" s="54">
        <f t="shared" si="333"/>
        <v>32266.057499999999</v>
      </c>
      <c r="AQ25" s="55">
        <f t="shared" si="333"/>
        <v>7.930389243633039</v>
      </c>
      <c r="AR25" s="54">
        <f t="shared" si="333"/>
        <v>32266.057499999999</v>
      </c>
      <c r="AS25" s="55">
        <f t="shared" si="333"/>
        <v>7.930389243633039</v>
      </c>
      <c r="AT25" s="54">
        <f t="shared" si="333"/>
        <v>32266.057499999999</v>
      </c>
      <c r="AU25" s="55">
        <f t="shared" si="333"/>
        <v>7.930389243633039</v>
      </c>
      <c r="AV25" s="54">
        <f t="shared" si="333"/>
        <v>32266.057499999999</v>
      </c>
      <c r="AW25" s="55">
        <f t="shared" si="333"/>
        <v>7.930389243633039</v>
      </c>
      <c r="AX25" s="54">
        <f t="shared" si="333"/>
        <v>32266.057499999999</v>
      </c>
      <c r="AY25" s="55">
        <f t="shared" si="333"/>
        <v>7.930389243633039</v>
      </c>
      <c r="AZ25" s="54">
        <f t="shared" si="333"/>
        <v>32266.057499999999</v>
      </c>
      <c r="BA25" s="55">
        <f t="shared" si="333"/>
        <v>7.930389243633039</v>
      </c>
      <c r="BB25" s="54">
        <f t="shared" si="333"/>
        <v>32266.057499999999</v>
      </c>
      <c r="BC25" s="55">
        <f t="shared" si="333"/>
        <v>7.930389243633039</v>
      </c>
      <c r="BD25" s="54">
        <f t="shared" si="333"/>
        <v>32266.057499999999</v>
      </c>
      <c r="BE25" s="55">
        <f t="shared" si="333"/>
        <v>7.930389243633039</v>
      </c>
      <c r="BF25" s="54">
        <f t="shared" si="333"/>
        <v>32266.057499999999</v>
      </c>
      <c r="BG25" s="55">
        <f t="shared" si="333"/>
        <v>7.930389243633039</v>
      </c>
      <c r="BH25" s="54">
        <f t="shared" si="333"/>
        <v>32266.057499999999</v>
      </c>
      <c r="BI25" s="55">
        <f t="shared" si="333"/>
        <v>7.930389243633039</v>
      </c>
      <c r="BJ25" s="54">
        <f t="shared" si="333"/>
        <v>32266.057499999999</v>
      </c>
      <c r="BK25" s="55">
        <f t="shared" si="333"/>
        <v>7.930389243633039</v>
      </c>
      <c r="BL25" s="54">
        <f t="shared" si="333"/>
        <v>32266.057499999999</v>
      </c>
      <c r="BM25" s="55">
        <f t="shared" si="333"/>
        <v>8</v>
      </c>
      <c r="BN25" s="54">
        <f t="shared" si="333"/>
        <v>32549.279999999999</v>
      </c>
      <c r="BO25" s="55">
        <f t="shared" si="333"/>
        <v>8</v>
      </c>
      <c r="BP25" s="54">
        <f t="shared" si="333"/>
        <v>32549.279999999999</v>
      </c>
      <c r="BQ25" s="55">
        <f t="shared" si="333"/>
        <v>8</v>
      </c>
      <c r="BR25" s="54">
        <f t="shared" si="333"/>
        <v>32549.279999999999</v>
      </c>
      <c r="BS25" s="55">
        <f t="shared" si="333"/>
        <v>8</v>
      </c>
      <c r="BT25" s="54">
        <f t="shared" si="333"/>
        <v>32549.279999999999</v>
      </c>
      <c r="BU25" s="55">
        <f t="shared" si="333"/>
        <v>8</v>
      </c>
      <c r="BV25" s="54">
        <f t="shared" si="333"/>
        <v>32549.279999999999</v>
      </c>
      <c r="BW25" s="55">
        <f t="shared" si="333"/>
        <v>8</v>
      </c>
      <c r="BX25" s="54">
        <f t="shared" si="333"/>
        <v>32549.279999999999</v>
      </c>
      <c r="BY25" s="55">
        <f t="shared" si="333"/>
        <v>8</v>
      </c>
      <c r="BZ25" s="54">
        <f t="shared" si="333"/>
        <v>32549.279999999999</v>
      </c>
      <c r="CA25" s="55">
        <f t="shared" si="333"/>
        <v>8</v>
      </c>
      <c r="CB25" s="54">
        <f t="shared" si="333"/>
        <v>32549.279999999999</v>
      </c>
      <c r="CC25" s="55">
        <f t="shared" si="333"/>
        <v>8</v>
      </c>
      <c r="CD25" s="54">
        <f t="shared" si="333"/>
        <v>32549.279999999999</v>
      </c>
      <c r="CE25" s="55">
        <f t="shared" si="333"/>
        <v>8</v>
      </c>
      <c r="CF25" s="54">
        <f t="shared" si="333"/>
        <v>32549.279999999999</v>
      </c>
      <c r="CG25" s="55">
        <f t="shared" si="333"/>
        <v>8</v>
      </c>
      <c r="CH25" s="54">
        <f t="shared" si="333"/>
        <v>32549.279999999999</v>
      </c>
      <c r="CI25" s="55">
        <f t="shared" si="333"/>
        <v>8</v>
      </c>
      <c r="CJ25" s="54">
        <f t="shared" si="333"/>
        <v>32549.279999999999</v>
      </c>
      <c r="CK25" s="55">
        <f t="shared" si="333"/>
        <v>8</v>
      </c>
      <c r="CL25" s="54">
        <f t="shared" si="333"/>
        <v>32549.279999999999</v>
      </c>
      <c r="CM25" s="55">
        <f t="shared" si="333"/>
        <v>8</v>
      </c>
      <c r="CN25" s="54">
        <f t="shared" si="333"/>
        <v>32549.279999999999</v>
      </c>
      <c r="CO25" s="55">
        <f t="shared" si="333"/>
        <v>8</v>
      </c>
      <c r="CP25" s="54">
        <f t="shared" si="333"/>
        <v>32549.279999999999</v>
      </c>
      <c r="CQ25" s="55">
        <f t="shared" si="333"/>
        <v>8</v>
      </c>
      <c r="CR25" s="54">
        <f t="shared" si="333"/>
        <v>32549.279999999999</v>
      </c>
      <c r="CS25" s="55">
        <f t="shared" si="333"/>
        <v>8</v>
      </c>
      <c r="CT25" s="54">
        <f t="shared" si="333"/>
        <v>33363.011999999995</v>
      </c>
      <c r="CU25" s="55">
        <f t="shared" si="333"/>
        <v>8.1999999999999993</v>
      </c>
      <c r="CV25" s="54">
        <f t="shared" si="333"/>
        <v>32266.057499999999</v>
      </c>
      <c r="CW25" s="55">
        <f t="shared" si="333"/>
        <v>7.930389243633039</v>
      </c>
      <c r="CX25" s="54">
        <f t="shared" si="333"/>
        <v>32266.057499999999</v>
      </c>
      <c r="CY25" s="55">
        <f t="shared" si="333"/>
        <v>7.930389243633039</v>
      </c>
      <c r="CZ25" s="54">
        <f t="shared" si="333"/>
        <v>32266.057499999999</v>
      </c>
      <c r="DA25" s="55">
        <f t="shared" si="333"/>
        <v>7.930389243633039</v>
      </c>
      <c r="DB25" s="54">
        <f t="shared" si="333"/>
        <v>32266.057499999999</v>
      </c>
      <c r="DC25" s="55">
        <f t="shared" si="333"/>
        <v>7.930389243633039</v>
      </c>
      <c r="DD25" s="54">
        <f t="shared" si="333"/>
        <v>32266.057499999999</v>
      </c>
      <c r="DE25" s="55">
        <f t="shared" si="333"/>
        <v>7.930389243633039</v>
      </c>
      <c r="DF25" s="54">
        <f t="shared" si="333"/>
        <v>32266.057499999999</v>
      </c>
      <c r="DG25" s="55">
        <f t="shared" si="333"/>
        <v>8</v>
      </c>
      <c r="DH25" s="54">
        <f t="shared" si="333"/>
        <v>35466.057499999995</v>
      </c>
      <c r="DI25" s="55">
        <f t="shared" si="333"/>
        <v>8.7168889757315675</v>
      </c>
      <c r="DJ25" s="54">
        <f t="shared" si="333"/>
        <v>35066.057499999995</v>
      </c>
      <c r="DK25" s="55">
        <f t="shared" si="333"/>
        <v>8.6185765092192508</v>
      </c>
      <c r="DL25" s="54">
        <f t="shared" si="333"/>
        <v>33666.057499999995</v>
      </c>
      <c r="DM25" s="55">
        <f t="shared" si="333"/>
        <v>8.2744828764261449</v>
      </c>
      <c r="DN25" s="54">
        <f t="shared" si="333"/>
        <v>33066.057499999995</v>
      </c>
      <c r="DO25" s="55">
        <f t="shared" si="333"/>
        <v>8.1270141766576707</v>
      </c>
      <c r="DP25" s="54">
        <f t="shared" si="333"/>
        <v>32266.057499999999</v>
      </c>
      <c r="DQ25" s="55">
        <f t="shared" si="333"/>
        <v>7.930389243633039</v>
      </c>
      <c r="DR25" s="54">
        <f t="shared" si="333"/>
        <v>32266.057499999999</v>
      </c>
      <c r="DS25" s="55">
        <f t="shared" si="333"/>
        <v>7.930389243633039</v>
      </c>
    </row>
    <row r="26" spans="1:123" s="4" customFormat="1" ht="18" customHeight="1" x14ac:dyDescent="0.45">
      <c r="A26" s="561"/>
      <c r="B26" s="1187"/>
      <c r="C26" s="56" t="s">
        <v>40</v>
      </c>
      <c r="D26" s="52"/>
      <c r="E26" s="53"/>
      <c r="F26" s="54">
        <f>7.7*F12</f>
        <v>31328.682000000001</v>
      </c>
      <c r="G26" s="57">
        <f>+F26/F12</f>
        <v>7.7</v>
      </c>
      <c r="H26" s="54">
        <f>AVERAGE(J26,L26)</f>
        <v>32164.341</v>
      </c>
      <c r="I26" s="57">
        <f>+H26/H12</f>
        <v>7.9053892436330395</v>
      </c>
      <c r="J26" s="54">
        <f t="shared" ref="J26" si="334">7.7*J12</f>
        <v>31328.682000000001</v>
      </c>
      <c r="K26" s="57">
        <f t="shared" ref="K26" si="335">+J26/J12</f>
        <v>7.7</v>
      </c>
      <c r="L26" s="54">
        <v>33000</v>
      </c>
      <c r="M26" s="57">
        <f t="shared" ref="M26" si="336">+L26/L12</f>
        <v>8.110778487266078</v>
      </c>
      <c r="N26" s="54">
        <f>AVERAGE(P26,R26)</f>
        <v>32266.057499999999</v>
      </c>
      <c r="O26" s="57">
        <f>+N26/N12</f>
        <v>7.930389243633039</v>
      </c>
      <c r="P26" s="54">
        <f>7.75*P12</f>
        <v>31532.114999999998</v>
      </c>
      <c r="Q26" s="57">
        <f>+P26/P12</f>
        <v>7.75</v>
      </c>
      <c r="R26" s="54">
        <v>33000</v>
      </c>
      <c r="S26" s="57">
        <f>+R26/R12</f>
        <v>8.110778487266078</v>
      </c>
      <c r="T26" s="54">
        <v>32266.057499999999</v>
      </c>
      <c r="U26" s="57">
        <f>+T26/T12</f>
        <v>7.930389243633039</v>
      </c>
      <c r="V26" s="54">
        <v>32266.057499999999</v>
      </c>
      <c r="W26" s="57">
        <f>+V26/V12</f>
        <v>7.930389243633039</v>
      </c>
      <c r="X26" s="54">
        <v>32266.057499999999</v>
      </c>
      <c r="Y26" s="57">
        <f>+X26/X12</f>
        <v>7.930389243633039</v>
      </c>
      <c r="Z26" s="54">
        <v>32266.057499999999</v>
      </c>
      <c r="AA26" s="57">
        <f>+Z26/Z12</f>
        <v>7.930389243633039</v>
      </c>
      <c r="AB26" s="54">
        <v>32266.057499999999</v>
      </c>
      <c r="AC26" s="57">
        <f>+AB26/AB12</f>
        <v>7.930389243633039</v>
      </c>
      <c r="AD26" s="54">
        <v>32266.057499999999</v>
      </c>
      <c r="AE26" s="57">
        <f>+AD26/AD12</f>
        <v>7.930389243633039</v>
      </c>
      <c r="AF26" s="54">
        <v>32266.057499999999</v>
      </c>
      <c r="AG26" s="57">
        <f>+AF26/AF12</f>
        <v>7.930389243633039</v>
      </c>
      <c r="AH26" s="54">
        <v>32266.057499999999</v>
      </c>
      <c r="AI26" s="57">
        <f>+AH26/AH12</f>
        <v>7.930389243633039</v>
      </c>
      <c r="AJ26" s="54">
        <v>32266.057499999999</v>
      </c>
      <c r="AK26" s="57">
        <f>+AJ26/AJ12</f>
        <v>7.930389243633039</v>
      </c>
      <c r="AL26" s="54">
        <v>32266.057499999999</v>
      </c>
      <c r="AM26" s="57">
        <f>+AL26/AL12</f>
        <v>7.930389243633039</v>
      </c>
      <c r="AN26" s="54">
        <v>32266.057499999999</v>
      </c>
      <c r="AO26" s="57">
        <f>+AN26/AN12</f>
        <v>7.930389243633039</v>
      </c>
      <c r="AP26" s="54">
        <v>32266.057499999999</v>
      </c>
      <c r="AQ26" s="57">
        <f t="shared" ref="AQ26" si="337">+AP26/AP12</f>
        <v>7.930389243633039</v>
      </c>
      <c r="AR26" s="54">
        <v>32266.057499999999</v>
      </c>
      <c r="AS26" s="57">
        <f t="shared" ref="AS26" si="338">+AR26/AR12</f>
        <v>7.930389243633039</v>
      </c>
      <c r="AT26" s="54">
        <v>32266.057499999999</v>
      </c>
      <c r="AU26" s="57">
        <f t="shared" ref="AU26" si="339">+AT26/AT12</f>
        <v>7.930389243633039</v>
      </c>
      <c r="AV26" s="54">
        <v>32266.057499999999</v>
      </c>
      <c r="AW26" s="57">
        <f t="shared" ref="AW26" si="340">+AV26/AV12</f>
        <v>7.930389243633039</v>
      </c>
      <c r="AX26" s="54">
        <v>32266.057499999999</v>
      </c>
      <c r="AY26" s="57">
        <f t="shared" ref="AY26" si="341">+AX26/AX12</f>
        <v>7.930389243633039</v>
      </c>
      <c r="AZ26" s="54">
        <v>32266.057499999999</v>
      </c>
      <c r="BA26" s="57">
        <f t="shared" ref="BA26" si="342">+AZ26/AZ12</f>
        <v>7.930389243633039</v>
      </c>
      <c r="BB26" s="54">
        <v>32266.057499999999</v>
      </c>
      <c r="BC26" s="57">
        <f t="shared" ref="BC26" si="343">+BB26/BB12</f>
        <v>7.930389243633039</v>
      </c>
      <c r="BD26" s="54">
        <v>32266.057499999999</v>
      </c>
      <c r="BE26" s="57">
        <f t="shared" ref="BE26" si="344">+BD26/BD12</f>
        <v>7.930389243633039</v>
      </c>
      <c r="BF26" s="54">
        <v>32266.057499999999</v>
      </c>
      <c r="BG26" s="57">
        <f t="shared" ref="BG26" si="345">+BF26/BF12</f>
        <v>7.930389243633039</v>
      </c>
      <c r="BH26" s="54">
        <v>32266.057499999999</v>
      </c>
      <c r="BI26" s="57">
        <f t="shared" ref="BI26" si="346">+BH26/BH12</f>
        <v>7.930389243633039</v>
      </c>
      <c r="BJ26" s="54">
        <v>32266.057499999999</v>
      </c>
      <c r="BK26" s="57">
        <f t="shared" ref="BK26" si="347">+BJ26/BJ12</f>
        <v>7.930389243633039</v>
      </c>
      <c r="BL26" s="54">
        <v>32266.057499999999</v>
      </c>
      <c r="BM26" s="57">
        <v>8</v>
      </c>
      <c r="BN26" s="54">
        <f>BO26*BN12</f>
        <v>32549.279999999999</v>
      </c>
      <c r="BO26" s="57">
        <v>8</v>
      </c>
      <c r="BP26" s="54">
        <f>BQ26*BP12</f>
        <v>32549.279999999999</v>
      </c>
      <c r="BQ26" s="57">
        <v>8</v>
      </c>
      <c r="BR26" s="54">
        <f>BS26*BR12</f>
        <v>32549.279999999999</v>
      </c>
      <c r="BS26" s="57">
        <v>8</v>
      </c>
      <c r="BT26" s="54">
        <f>BU26*BT12</f>
        <v>32549.279999999999</v>
      </c>
      <c r="BU26" s="57">
        <v>8</v>
      </c>
      <c r="BV26" s="54">
        <f>BW26*BV12</f>
        <v>32549.279999999999</v>
      </c>
      <c r="BW26" s="57">
        <v>8</v>
      </c>
      <c r="BX26" s="54">
        <f>BY26*BX12</f>
        <v>32549.279999999999</v>
      </c>
      <c r="BY26" s="57">
        <v>8</v>
      </c>
      <c r="BZ26" s="54">
        <f>CA26*BZ12</f>
        <v>32549.279999999999</v>
      </c>
      <c r="CA26" s="57">
        <v>8</v>
      </c>
      <c r="CB26" s="54">
        <f>CC26*CB12</f>
        <v>32549.279999999999</v>
      </c>
      <c r="CC26" s="57">
        <v>8</v>
      </c>
      <c r="CD26" s="54">
        <f>CE26*CD12</f>
        <v>32549.279999999999</v>
      </c>
      <c r="CE26" s="57">
        <v>8</v>
      </c>
      <c r="CF26" s="54">
        <f>CG26*CF12</f>
        <v>32549.279999999999</v>
      </c>
      <c r="CG26" s="57">
        <v>8</v>
      </c>
      <c r="CH26" s="54">
        <f>CI26*CH12</f>
        <v>32549.279999999999</v>
      </c>
      <c r="CI26" s="57">
        <v>8</v>
      </c>
      <c r="CJ26" s="54">
        <f>CK26*CJ12</f>
        <v>32549.279999999999</v>
      </c>
      <c r="CK26" s="57">
        <v>8</v>
      </c>
      <c r="CL26" s="54">
        <f>CM26*CL12</f>
        <v>32549.279999999999</v>
      </c>
      <c r="CM26" s="57">
        <v>8</v>
      </c>
      <c r="CN26" s="54">
        <f>CO26*CN12</f>
        <v>32549.279999999999</v>
      </c>
      <c r="CO26" s="57">
        <v>8</v>
      </c>
      <c r="CP26" s="54">
        <f>CQ26*CP12</f>
        <v>32549.279999999999</v>
      </c>
      <c r="CQ26" s="57">
        <v>8</v>
      </c>
      <c r="CR26" s="54">
        <f>CS26*CR12</f>
        <v>32549.279999999999</v>
      </c>
      <c r="CS26" s="57">
        <v>8</v>
      </c>
      <c r="CT26" s="54">
        <f>CU26*CT12</f>
        <v>33363.011999999995</v>
      </c>
      <c r="CU26" s="55">
        <v>8.1999999999999993</v>
      </c>
      <c r="CV26" s="54">
        <v>32266.057499999999</v>
      </c>
      <c r="CW26" s="57">
        <f>+CV26/CV12</f>
        <v>7.930389243633039</v>
      </c>
      <c r="CX26" s="54">
        <v>32266.057499999999</v>
      </c>
      <c r="CY26" s="57">
        <f>+CX26/CX12</f>
        <v>7.930389243633039</v>
      </c>
      <c r="CZ26" s="54">
        <v>32266.057499999999</v>
      </c>
      <c r="DA26" s="57">
        <f>+CZ26/CZ12</f>
        <v>7.930389243633039</v>
      </c>
      <c r="DB26" s="54">
        <v>32266.057499999999</v>
      </c>
      <c r="DC26" s="57">
        <f>+DB26/DB12</f>
        <v>7.930389243633039</v>
      </c>
      <c r="DD26" s="54">
        <v>32266.057499999999</v>
      </c>
      <c r="DE26" s="57">
        <f>+DD26/DD12</f>
        <v>7.930389243633039</v>
      </c>
      <c r="DF26" s="54">
        <v>32266.057499999999</v>
      </c>
      <c r="DG26" s="57">
        <v>8</v>
      </c>
      <c r="DH26" s="54">
        <f>32266.0575+0.8*4000</f>
        <v>35466.057499999995</v>
      </c>
      <c r="DI26" s="57">
        <f>+DH26/DH12</f>
        <v>8.7168889757315675</v>
      </c>
      <c r="DJ26" s="54">
        <f>32266.0575+0.7*4000</f>
        <v>35066.057499999995</v>
      </c>
      <c r="DK26" s="57">
        <f>+DJ26/DJ12</f>
        <v>8.6185765092192508</v>
      </c>
      <c r="DL26" s="54">
        <f>32266.0575+0.35*4000</f>
        <v>33666.057499999995</v>
      </c>
      <c r="DM26" s="57">
        <f>+DL26/DL12</f>
        <v>8.2744828764261449</v>
      </c>
      <c r="DN26" s="54">
        <f>32266.0575+0.2*4000</f>
        <v>33066.057499999995</v>
      </c>
      <c r="DO26" s="57">
        <f>+DN26/DN12</f>
        <v>8.1270141766576707</v>
      </c>
      <c r="DP26" s="54">
        <v>32266.057499999999</v>
      </c>
      <c r="DQ26" s="57">
        <f>+DP26/DP12</f>
        <v>7.930389243633039</v>
      </c>
      <c r="DR26" s="54">
        <v>32266.057499999999</v>
      </c>
      <c r="DS26" s="57">
        <f>+DR26/DR12</f>
        <v>7.930389243633039</v>
      </c>
    </row>
    <row r="27" spans="1:123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359"/>
      <c r="AG27" s="355"/>
      <c r="AH27" s="359"/>
      <c r="AI27" s="355"/>
      <c r="AJ27" s="359"/>
      <c r="AK27" s="355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359"/>
      <c r="BY27" s="355"/>
      <c r="BZ27" s="359"/>
      <c r="CA27" s="355"/>
      <c r="CB27" s="359"/>
      <c r="CC27" s="355"/>
      <c r="CD27" s="359"/>
      <c r="CE27" s="355"/>
      <c r="CF27" s="359"/>
      <c r="CG27" s="355"/>
      <c r="CH27" s="359"/>
      <c r="CI27" s="355"/>
      <c r="CJ27" s="359"/>
      <c r="CK27" s="355"/>
      <c r="CL27" s="359"/>
      <c r="CM27" s="355"/>
      <c r="CN27" s="359"/>
      <c r="CO27" s="355"/>
      <c r="CP27" s="359"/>
      <c r="CQ27" s="355"/>
      <c r="CR27" s="359"/>
      <c r="CS27" s="355"/>
      <c r="CT27" s="359"/>
      <c r="CU27" s="355"/>
      <c r="CV27" s="359"/>
      <c r="CW27" s="355"/>
      <c r="CX27" s="359"/>
      <c r="CY27" s="355"/>
      <c r="CZ27" s="359"/>
      <c r="DA27" s="355"/>
      <c r="DB27" s="359"/>
      <c r="DC27" s="355"/>
      <c r="DD27" s="359"/>
      <c r="DE27" s="355"/>
      <c r="DF27" s="359"/>
      <c r="DG27" s="355"/>
      <c r="DH27" s="359"/>
      <c r="DI27" s="355"/>
      <c r="DJ27" s="359"/>
      <c r="DK27" s="355"/>
      <c r="DL27" s="359"/>
      <c r="DM27" s="355"/>
      <c r="DN27" s="359"/>
      <c r="DO27" s="355"/>
      <c r="DP27" s="359"/>
      <c r="DQ27" s="355"/>
      <c r="DR27" s="359"/>
      <c r="DS27" s="355"/>
    </row>
    <row r="28" spans="1:123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364"/>
      <c r="AG28" s="360"/>
      <c r="AH28" s="364"/>
      <c r="AI28" s="360"/>
      <c r="AJ28" s="364"/>
      <c r="AK28" s="360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364"/>
      <c r="BY28" s="360"/>
      <c r="BZ28" s="364"/>
      <c r="CA28" s="360"/>
      <c r="CB28" s="364"/>
      <c r="CC28" s="360"/>
      <c r="CD28" s="364"/>
      <c r="CE28" s="360"/>
      <c r="CF28" s="364"/>
      <c r="CG28" s="360"/>
      <c r="CH28" s="364"/>
      <c r="CI28" s="360"/>
      <c r="CJ28" s="364"/>
      <c r="CK28" s="360"/>
      <c r="CL28" s="364"/>
      <c r="CM28" s="360"/>
      <c r="CN28" s="364"/>
      <c r="CO28" s="360"/>
      <c r="CP28" s="364"/>
      <c r="CQ28" s="360"/>
      <c r="CR28" s="364"/>
      <c r="CS28" s="360"/>
      <c r="CT28" s="364"/>
      <c r="CU28" s="360"/>
      <c r="CV28" s="364"/>
      <c r="CW28" s="360"/>
      <c r="CX28" s="364"/>
      <c r="CY28" s="360"/>
      <c r="CZ28" s="364"/>
      <c r="DA28" s="360"/>
      <c r="DB28" s="364"/>
      <c r="DC28" s="360"/>
      <c r="DD28" s="364"/>
      <c r="DE28" s="360"/>
      <c r="DF28" s="364"/>
      <c r="DG28" s="360"/>
      <c r="DH28" s="364"/>
      <c r="DI28" s="360"/>
      <c r="DJ28" s="364"/>
      <c r="DK28" s="360"/>
      <c r="DL28" s="364"/>
      <c r="DM28" s="360"/>
      <c r="DN28" s="364"/>
      <c r="DO28" s="360"/>
      <c r="DP28" s="364"/>
      <c r="DQ28" s="360"/>
      <c r="DR28" s="364"/>
      <c r="DS28" s="360"/>
    </row>
    <row r="29" spans="1:123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O29" si="348">F30/F26</f>
        <v>4.4155844155844212E-2</v>
      </c>
      <c r="G29" s="48">
        <f t="shared" si="348"/>
        <v>4.4155844155844136E-2</v>
      </c>
      <c r="H29" s="47">
        <f t="shared" si="348"/>
        <v>6.8989549638215852E-2</v>
      </c>
      <c r="I29" s="48">
        <f t="shared" si="348"/>
        <v>6.8989549638215852E-2</v>
      </c>
      <c r="J29" s="47">
        <f t="shared" ref="J29:M29" si="349">J30/J26</f>
        <v>1.8751973189192712E-2</v>
      </c>
      <c r="K29" s="48">
        <f t="shared" si="349"/>
        <v>1.8751973189192663E-2</v>
      </c>
      <c r="L29" s="47">
        <f t="shared" si="349"/>
        <v>3.7715299334811624E-2</v>
      </c>
      <c r="M29" s="48">
        <f t="shared" si="349"/>
        <v>3.7715299334811575E-2</v>
      </c>
      <c r="N29" s="361">
        <f t="shared" si="348"/>
        <v>6.7560289005062404E-2</v>
      </c>
      <c r="O29" s="362">
        <f t="shared" si="348"/>
        <v>6.7560289005062474E-2</v>
      </c>
      <c r="P29" s="361">
        <f t="shared" ref="P29:U29" si="350">P30/P26</f>
        <v>1.4727705722259093E-2</v>
      </c>
      <c r="Q29" s="362">
        <f t="shared" si="350"/>
        <v>1.4727705722259154E-2</v>
      </c>
      <c r="R29" s="361">
        <f t="shared" si="350"/>
        <v>2.9827719821162509E-2</v>
      </c>
      <c r="S29" s="362">
        <f t="shared" si="350"/>
        <v>2.9827719821162484E-2</v>
      </c>
      <c r="T29" s="361">
        <f t="shared" si="350"/>
        <v>6.7560289005062404E-2</v>
      </c>
      <c r="U29" s="362">
        <f t="shared" si="350"/>
        <v>6.7560289005062474E-2</v>
      </c>
      <c r="V29" s="361">
        <f t="shared" ref="V29:AG29" si="351">V30/V26</f>
        <v>6.7560289005062404E-2</v>
      </c>
      <c r="W29" s="362">
        <f t="shared" si="351"/>
        <v>6.7560289005062474E-2</v>
      </c>
      <c r="X29" s="361">
        <f t="shared" si="351"/>
        <v>6.7560289005062404E-2</v>
      </c>
      <c r="Y29" s="362">
        <f t="shared" si="351"/>
        <v>6.7560289005062474E-2</v>
      </c>
      <c r="Z29" s="361">
        <f t="shared" si="351"/>
        <v>6.7560289005062404E-2</v>
      </c>
      <c r="AA29" s="362">
        <f t="shared" si="351"/>
        <v>6.7560289005062474E-2</v>
      </c>
      <c r="AB29" s="361">
        <f t="shared" si="351"/>
        <v>6.7560289005062404E-2</v>
      </c>
      <c r="AC29" s="362">
        <f t="shared" si="351"/>
        <v>6.7560289005062474E-2</v>
      </c>
      <c r="AD29" s="361">
        <f t="shared" si="351"/>
        <v>6.7560289005062404E-2</v>
      </c>
      <c r="AE29" s="362">
        <f t="shared" si="351"/>
        <v>6.7560289005062474E-2</v>
      </c>
      <c r="AF29" s="361">
        <f t="shared" si="351"/>
        <v>6.7560289005062404E-2</v>
      </c>
      <c r="AG29" s="362">
        <f t="shared" si="351"/>
        <v>6.7560289005062474E-2</v>
      </c>
      <c r="AH29" s="361">
        <f t="shared" ref="AH29:CY29" si="352">AH30/AH26</f>
        <v>6.7560289005062404E-2</v>
      </c>
      <c r="AI29" s="362">
        <f t="shared" si="352"/>
        <v>6.7560289005062474E-2</v>
      </c>
      <c r="AJ29" s="361">
        <f t="shared" ref="AJ29:AK29" si="353">AJ30/AJ26</f>
        <v>6.7560289005062404E-2</v>
      </c>
      <c r="AK29" s="362">
        <f t="shared" si="353"/>
        <v>6.7560289005062474E-2</v>
      </c>
      <c r="AL29" s="361">
        <f t="shared" ref="AL29:AO29" si="354">AL30/AL26</f>
        <v>6.7560289005062404E-2</v>
      </c>
      <c r="AM29" s="362">
        <f t="shared" si="354"/>
        <v>6.7560289005062474E-2</v>
      </c>
      <c r="AN29" s="361">
        <f t="shared" si="354"/>
        <v>6.7560289005062404E-2</v>
      </c>
      <c r="AO29" s="362">
        <f t="shared" si="354"/>
        <v>6.7560289005062474E-2</v>
      </c>
      <c r="AP29" s="361">
        <f t="shared" ref="AP29:AU29" si="355">AP30/AP26</f>
        <v>6.7560289005062404E-2</v>
      </c>
      <c r="AQ29" s="362">
        <f t="shared" si="355"/>
        <v>6.7560289005062474E-2</v>
      </c>
      <c r="AR29" s="361">
        <f t="shared" si="355"/>
        <v>6.7560289005062404E-2</v>
      </c>
      <c r="AS29" s="362">
        <f t="shared" si="355"/>
        <v>6.7560289005062474E-2</v>
      </c>
      <c r="AT29" s="361">
        <f t="shared" si="355"/>
        <v>6.7560289005062404E-2</v>
      </c>
      <c r="AU29" s="362">
        <f t="shared" si="355"/>
        <v>6.7560289005062474E-2</v>
      </c>
      <c r="AV29" s="361">
        <f t="shared" ref="AV29:BA29" si="356">AV30/AV26</f>
        <v>6.7560289005062404E-2</v>
      </c>
      <c r="AW29" s="362">
        <f t="shared" si="356"/>
        <v>6.7560289005062474E-2</v>
      </c>
      <c r="AX29" s="361">
        <f t="shared" si="356"/>
        <v>6.7560289005062404E-2</v>
      </c>
      <c r="AY29" s="362">
        <f t="shared" si="356"/>
        <v>6.7560289005062474E-2</v>
      </c>
      <c r="AZ29" s="361">
        <f t="shared" si="356"/>
        <v>6.7560289005062404E-2</v>
      </c>
      <c r="BA29" s="362">
        <f t="shared" si="356"/>
        <v>6.7560289005062474E-2</v>
      </c>
      <c r="BB29" s="361">
        <f t="shared" ref="BB29:BC29" si="357">BB30/BB26</f>
        <v>6.7560289005062404E-2</v>
      </c>
      <c r="BC29" s="362">
        <f t="shared" si="357"/>
        <v>6.7560289005062474E-2</v>
      </c>
      <c r="BD29" s="361">
        <f t="shared" ref="BD29:BE29" si="358">BD30/BD26</f>
        <v>6.7560289005062404E-2</v>
      </c>
      <c r="BE29" s="362">
        <f t="shared" si="358"/>
        <v>6.7560289005062474E-2</v>
      </c>
      <c r="BF29" s="361">
        <f t="shared" ref="BF29:BI29" si="359">BF30/BF26</f>
        <v>6.7560289005062404E-2</v>
      </c>
      <c r="BG29" s="362">
        <f t="shared" si="359"/>
        <v>6.7560289005062474E-2</v>
      </c>
      <c r="BH29" s="361">
        <f t="shared" si="359"/>
        <v>6.7560289005062404E-2</v>
      </c>
      <c r="BI29" s="362">
        <f t="shared" si="359"/>
        <v>6.7560289005062474E-2</v>
      </c>
      <c r="BJ29" s="361">
        <f t="shared" ref="BJ29:BK29" si="360">BJ30/BJ26</f>
        <v>6.7560289005062404E-2</v>
      </c>
      <c r="BK29" s="362">
        <f t="shared" si="360"/>
        <v>6.7560289005062474E-2</v>
      </c>
      <c r="BL29" s="361">
        <f t="shared" ref="BL29:BM29" si="361">BL30/BL26</f>
        <v>1.6441720529382933E-2</v>
      </c>
      <c r="BM29" s="362">
        <f t="shared" si="361"/>
        <v>2.5000000000000022E-2</v>
      </c>
      <c r="BN29" s="361">
        <f t="shared" ref="BN29:BO29" si="362">BN30/BN26</f>
        <v>2.5000000000000001E-2</v>
      </c>
      <c r="BO29" s="362">
        <f t="shared" si="362"/>
        <v>2.5000000000000022E-2</v>
      </c>
      <c r="BP29" s="361">
        <f t="shared" ref="BP29:BQ29" si="363">BP30/BP26</f>
        <v>2.5000000000000001E-2</v>
      </c>
      <c r="BQ29" s="362">
        <f t="shared" si="363"/>
        <v>2.5000000000000022E-2</v>
      </c>
      <c r="BR29" s="361">
        <f t="shared" ref="BR29:BS29" si="364">BR30/BR26</f>
        <v>2.5000000000000001E-2</v>
      </c>
      <c r="BS29" s="362">
        <f t="shared" si="364"/>
        <v>2.5000000000000022E-2</v>
      </c>
      <c r="BT29" s="361">
        <f t="shared" ref="BT29:BU29" si="365">BT30/BT26</f>
        <v>2.5000000000000001E-2</v>
      </c>
      <c r="BU29" s="362">
        <f t="shared" si="365"/>
        <v>2.5000000000000022E-2</v>
      </c>
      <c r="BV29" s="361">
        <f t="shared" ref="BV29:BW29" si="366">BV30/BV26</f>
        <v>2.5000000000000001E-2</v>
      </c>
      <c r="BW29" s="362">
        <f t="shared" si="366"/>
        <v>2.5000000000000022E-2</v>
      </c>
      <c r="BX29" s="361">
        <f t="shared" ref="BX29:BY29" si="367">BX30/BX26</f>
        <v>2.5000000000000001E-2</v>
      </c>
      <c r="BY29" s="362">
        <f t="shared" si="367"/>
        <v>2.5000000000000022E-2</v>
      </c>
      <c r="BZ29" s="361">
        <f t="shared" ref="BZ29:CA29" si="368">BZ30/BZ26</f>
        <v>2.5000000000000001E-2</v>
      </c>
      <c r="CA29" s="362">
        <f t="shared" si="368"/>
        <v>2.5000000000000022E-2</v>
      </c>
      <c r="CB29" s="361">
        <f t="shared" ref="CB29:CC29" si="369">CB30/CB26</f>
        <v>2.5000000000000001E-2</v>
      </c>
      <c r="CC29" s="362">
        <f t="shared" si="369"/>
        <v>2.5000000000000022E-2</v>
      </c>
      <c r="CD29" s="361">
        <f t="shared" ref="CD29:CE29" si="370">CD30/CD26</f>
        <v>2.5000000000000001E-2</v>
      </c>
      <c r="CE29" s="362">
        <f t="shared" si="370"/>
        <v>2.5000000000000022E-2</v>
      </c>
      <c r="CF29" s="361">
        <f t="shared" ref="CF29:CG29" si="371">CF30/CF26</f>
        <v>2.5000000000000001E-2</v>
      </c>
      <c r="CG29" s="362">
        <f t="shared" si="371"/>
        <v>2.5000000000000022E-2</v>
      </c>
      <c r="CH29" s="361">
        <f t="shared" ref="CH29:CK29" si="372">CH30/CH26</f>
        <v>2.5000000000000001E-2</v>
      </c>
      <c r="CI29" s="362">
        <f t="shared" si="372"/>
        <v>2.5000000000000022E-2</v>
      </c>
      <c r="CJ29" s="361">
        <f t="shared" si="372"/>
        <v>2.5000000000000001E-2</v>
      </c>
      <c r="CK29" s="362">
        <f t="shared" si="372"/>
        <v>2.5000000000000022E-2</v>
      </c>
      <c r="CL29" s="361">
        <f t="shared" ref="CL29:CM29" si="373">CL30/CL26</f>
        <v>2.5000000000000001E-2</v>
      </c>
      <c r="CM29" s="362">
        <f t="shared" si="373"/>
        <v>2.5000000000000022E-2</v>
      </c>
      <c r="CN29" s="361">
        <f t="shared" ref="CN29:CO29" si="374">CN30/CN26</f>
        <v>2.5000000000000001E-2</v>
      </c>
      <c r="CO29" s="362">
        <f t="shared" si="374"/>
        <v>2.5000000000000022E-2</v>
      </c>
      <c r="CP29" s="361">
        <f t="shared" ref="CP29:CQ29" si="375">CP30/CP26</f>
        <v>2.5000000000000001E-2</v>
      </c>
      <c r="CQ29" s="362">
        <f t="shared" si="375"/>
        <v>2.5000000000000022E-2</v>
      </c>
      <c r="CR29" s="361">
        <f t="shared" ref="CR29:CS29" si="376">CR30/CR26</f>
        <v>7.7317073170731776E-2</v>
      </c>
      <c r="CS29" s="362">
        <f t="shared" si="376"/>
        <v>7.7317073170731776E-2</v>
      </c>
      <c r="CT29" s="361">
        <f t="shared" ref="CT29:CU29" si="377">CT30/CT26</f>
        <v>0</v>
      </c>
      <c r="CU29" s="362">
        <f t="shared" si="377"/>
        <v>0</v>
      </c>
      <c r="CV29" s="361">
        <f t="shared" si="352"/>
        <v>6.7560289005062404E-2</v>
      </c>
      <c r="CW29" s="362">
        <f t="shared" si="352"/>
        <v>6.7560289005062474E-2</v>
      </c>
      <c r="CX29" s="361">
        <f t="shared" si="352"/>
        <v>6.7560289005062404E-2</v>
      </c>
      <c r="CY29" s="362">
        <f t="shared" si="352"/>
        <v>6.7560289005062474E-2</v>
      </c>
      <c r="CZ29" s="361">
        <f t="shared" ref="CZ29:DA29" si="378">CZ30/CZ26</f>
        <v>6.7560289005062404E-2</v>
      </c>
      <c r="DA29" s="362">
        <f t="shared" si="378"/>
        <v>6.7560289005062474E-2</v>
      </c>
      <c r="DB29" s="361">
        <f t="shared" ref="DB29:DE29" si="379">DB30/DB26</f>
        <v>6.7560289005062404E-2</v>
      </c>
      <c r="DC29" s="362">
        <f t="shared" si="379"/>
        <v>6.7560289005062474E-2</v>
      </c>
      <c r="DD29" s="361">
        <f t="shared" si="379"/>
        <v>6.7560289005062404E-2</v>
      </c>
      <c r="DE29" s="362">
        <f t="shared" si="379"/>
        <v>6.7560289005062474E-2</v>
      </c>
      <c r="DF29" s="361">
        <f t="shared" ref="DF29:DG29" si="380">DF30/DF26</f>
        <v>1.6441720529382933E-2</v>
      </c>
      <c r="DG29" s="362">
        <f t="shared" si="380"/>
        <v>2.5000000000000022E-2</v>
      </c>
      <c r="DH29" s="361">
        <f t="shared" ref="DH29:DI29" si="381">DH30/DH26</f>
        <v>6.7946158654763486E-2</v>
      </c>
      <c r="DI29" s="362">
        <f t="shared" si="381"/>
        <v>6.7946158654763597E-2</v>
      </c>
      <c r="DJ29" s="361">
        <f t="shared" ref="DJ29:DK29" si="382">DJ30/DJ26</f>
        <v>8.4000722629111277E-2</v>
      </c>
      <c r="DK29" s="362">
        <f t="shared" si="382"/>
        <v>8.4000722629111291E-2</v>
      </c>
      <c r="DL29" s="361">
        <f t="shared" ref="DL29:DM29" si="383">DL30/DL26</f>
        <v>6.6454064891737566E-2</v>
      </c>
      <c r="DM29" s="362">
        <f t="shared" si="383"/>
        <v>6.645406489173758E-2</v>
      </c>
      <c r="DN29" s="361">
        <f t="shared" ref="DN29:DQ29" si="384">DN30/DN26</f>
        <v>5.9358124861240813E-2</v>
      </c>
      <c r="DO29" s="362">
        <f t="shared" si="384"/>
        <v>5.9358124861240834E-2</v>
      </c>
      <c r="DP29" s="361">
        <f t="shared" si="384"/>
        <v>6.7560289005062404E-2</v>
      </c>
      <c r="DQ29" s="362">
        <f t="shared" si="384"/>
        <v>6.7560289005062474E-2</v>
      </c>
      <c r="DR29" s="361">
        <f t="shared" ref="DR29:DS29" si="385">DR30/DR26</f>
        <v>6.7560289005062404E-2</v>
      </c>
      <c r="DS29" s="362">
        <f t="shared" si="385"/>
        <v>6.7560289005062474E-2</v>
      </c>
    </row>
    <row r="30" spans="1:123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O30" si="386">F26-F32</f>
        <v>1383.3444000000018</v>
      </c>
      <c r="G30" s="24">
        <f t="shared" si="386"/>
        <v>0.33999999999999986</v>
      </c>
      <c r="H30" s="50">
        <f t="shared" si="386"/>
        <v>2219.0034000000014</v>
      </c>
      <c r="I30" s="24">
        <f t="shared" si="386"/>
        <v>0.5453892436330392</v>
      </c>
      <c r="J30" s="50">
        <f t="shared" ref="J30:M30" si="387">J26-J32</f>
        <v>587.47460491674428</v>
      </c>
      <c r="K30" s="24">
        <f t="shared" si="387"/>
        <v>0.14439019355678351</v>
      </c>
      <c r="L30" s="50">
        <f t="shared" si="387"/>
        <v>1244.6048780487836</v>
      </c>
      <c r="M30" s="24">
        <f t="shared" si="387"/>
        <v>0.30590043848559034</v>
      </c>
      <c r="N30" s="363">
        <f t="shared" si="386"/>
        <v>2179.9041697539615</v>
      </c>
      <c r="O30" s="351">
        <f t="shared" si="386"/>
        <v>0.53577938922248691</v>
      </c>
      <c r="P30" s="363">
        <f t="shared" ref="P30:U30" si="388">P26-P32</f>
        <v>464.39571052043175</v>
      </c>
      <c r="Q30" s="351">
        <f t="shared" si="388"/>
        <v>0.11413971934750844</v>
      </c>
      <c r="R30" s="363">
        <f t="shared" si="388"/>
        <v>984.31475409836276</v>
      </c>
      <c r="S30" s="351">
        <f t="shared" si="388"/>
        <v>0.24192602824968468</v>
      </c>
      <c r="T30" s="363">
        <f t="shared" si="388"/>
        <v>2179.9041697539615</v>
      </c>
      <c r="U30" s="351">
        <f t="shared" si="388"/>
        <v>0.53577938922248691</v>
      </c>
      <c r="V30" s="363">
        <f t="shared" ref="V30:AG30" si="389">V26-V32</f>
        <v>2179.9041697539615</v>
      </c>
      <c r="W30" s="351">
        <f t="shared" si="389"/>
        <v>0.53577938922248691</v>
      </c>
      <c r="X30" s="363">
        <f t="shared" si="389"/>
        <v>2179.9041697539615</v>
      </c>
      <c r="Y30" s="351">
        <f t="shared" si="389"/>
        <v>0.53577938922248691</v>
      </c>
      <c r="Z30" s="363">
        <f t="shared" si="389"/>
        <v>2179.9041697539615</v>
      </c>
      <c r="AA30" s="351">
        <f t="shared" si="389"/>
        <v>0.53577938922248691</v>
      </c>
      <c r="AB30" s="363">
        <f t="shared" si="389"/>
        <v>2179.9041697539615</v>
      </c>
      <c r="AC30" s="351">
        <f t="shared" si="389"/>
        <v>0.53577938922248691</v>
      </c>
      <c r="AD30" s="363">
        <f t="shared" si="389"/>
        <v>2179.9041697539615</v>
      </c>
      <c r="AE30" s="351">
        <f t="shared" si="389"/>
        <v>0.53577938922248691</v>
      </c>
      <c r="AF30" s="363">
        <f t="shared" si="389"/>
        <v>2179.9041697539615</v>
      </c>
      <c r="AG30" s="351">
        <f t="shared" si="389"/>
        <v>0.53577938922248691</v>
      </c>
      <c r="AH30" s="363">
        <f t="shared" ref="AH30:CY30" si="390">AH26-AH32</f>
        <v>2179.9041697539615</v>
      </c>
      <c r="AI30" s="351">
        <f t="shared" si="390"/>
        <v>0.53577938922248691</v>
      </c>
      <c r="AJ30" s="363">
        <f t="shared" ref="AJ30:AK30" si="391">AJ26-AJ32</f>
        <v>2179.9041697539615</v>
      </c>
      <c r="AK30" s="351">
        <f t="shared" si="391"/>
        <v>0.53577938922248691</v>
      </c>
      <c r="AL30" s="363">
        <f t="shared" ref="AL30:AO30" si="392">AL26-AL32</f>
        <v>2179.9041697539615</v>
      </c>
      <c r="AM30" s="351">
        <f t="shared" si="392"/>
        <v>0.53577938922248691</v>
      </c>
      <c r="AN30" s="363">
        <f t="shared" si="392"/>
        <v>2179.9041697539615</v>
      </c>
      <c r="AO30" s="351">
        <f t="shared" si="392"/>
        <v>0.53577938922248691</v>
      </c>
      <c r="AP30" s="363">
        <f t="shared" ref="AP30:AU30" si="393">AP26-AP32</f>
        <v>2179.9041697539615</v>
      </c>
      <c r="AQ30" s="351">
        <f t="shared" si="393"/>
        <v>0.53577938922248691</v>
      </c>
      <c r="AR30" s="363">
        <f t="shared" si="393"/>
        <v>2179.9041697539615</v>
      </c>
      <c r="AS30" s="351">
        <f t="shared" si="393"/>
        <v>0.53577938922248691</v>
      </c>
      <c r="AT30" s="363">
        <f t="shared" si="393"/>
        <v>2179.9041697539615</v>
      </c>
      <c r="AU30" s="351">
        <f t="shared" si="393"/>
        <v>0.53577938922248691</v>
      </c>
      <c r="AV30" s="363">
        <f t="shared" ref="AV30:BA30" si="394">AV26-AV32</f>
        <v>2179.9041697539615</v>
      </c>
      <c r="AW30" s="351">
        <f t="shared" si="394"/>
        <v>0.53577938922248691</v>
      </c>
      <c r="AX30" s="363">
        <f t="shared" si="394"/>
        <v>2179.9041697539615</v>
      </c>
      <c r="AY30" s="351">
        <f t="shared" si="394"/>
        <v>0.53577938922248691</v>
      </c>
      <c r="AZ30" s="363">
        <f t="shared" si="394"/>
        <v>2179.9041697539615</v>
      </c>
      <c r="BA30" s="351">
        <f t="shared" si="394"/>
        <v>0.53577938922248691</v>
      </c>
      <c r="BB30" s="363">
        <f t="shared" ref="BB30:BC30" si="395">BB26-BB32</f>
        <v>2179.9041697539615</v>
      </c>
      <c r="BC30" s="351">
        <f t="shared" si="395"/>
        <v>0.53577938922248691</v>
      </c>
      <c r="BD30" s="363">
        <f t="shared" ref="BD30:BE30" si="396">BD26-BD32</f>
        <v>2179.9041697539615</v>
      </c>
      <c r="BE30" s="351">
        <f t="shared" si="396"/>
        <v>0.53577938922248691</v>
      </c>
      <c r="BF30" s="363">
        <f t="shared" ref="BF30:BI30" si="397">BF26-BF32</f>
        <v>2179.9041697539615</v>
      </c>
      <c r="BG30" s="351">
        <f t="shared" si="397"/>
        <v>0.53577938922248691</v>
      </c>
      <c r="BH30" s="363">
        <f t="shared" si="397"/>
        <v>2179.9041697539615</v>
      </c>
      <c r="BI30" s="351">
        <f t="shared" si="397"/>
        <v>0.53577938922248691</v>
      </c>
      <c r="BJ30" s="363">
        <f t="shared" ref="BJ30:BK30" si="398">BJ26-BJ32</f>
        <v>2179.9041697539615</v>
      </c>
      <c r="BK30" s="351">
        <f t="shared" si="398"/>
        <v>0.53577938922248691</v>
      </c>
      <c r="BL30" s="363">
        <f t="shared" ref="BL30:BM30" si="399">BL26-BL32</f>
        <v>530.50950000000012</v>
      </c>
      <c r="BM30" s="351">
        <f t="shared" si="399"/>
        <v>0.20000000000000018</v>
      </c>
      <c r="BN30" s="363">
        <f t="shared" ref="BN30:BO30" si="400">BN26-BN32</f>
        <v>813.73199999999997</v>
      </c>
      <c r="BO30" s="351">
        <f t="shared" si="400"/>
        <v>0.20000000000000018</v>
      </c>
      <c r="BP30" s="363">
        <f t="shared" ref="BP30:BQ30" si="401">BP26-BP32</f>
        <v>813.73199999999997</v>
      </c>
      <c r="BQ30" s="351">
        <f t="shared" si="401"/>
        <v>0.20000000000000018</v>
      </c>
      <c r="BR30" s="363">
        <f t="shared" ref="BR30:BS30" si="402">BR26-BR32</f>
        <v>813.73199999999997</v>
      </c>
      <c r="BS30" s="351">
        <f t="shared" si="402"/>
        <v>0.20000000000000018</v>
      </c>
      <c r="BT30" s="363">
        <f t="shared" ref="BT30:BU30" si="403">BT26-BT32</f>
        <v>813.73199999999997</v>
      </c>
      <c r="BU30" s="351">
        <f t="shared" si="403"/>
        <v>0.20000000000000018</v>
      </c>
      <c r="BV30" s="363">
        <f t="shared" ref="BV30:BW30" si="404">BV26-BV32</f>
        <v>813.73199999999997</v>
      </c>
      <c r="BW30" s="351">
        <f t="shared" si="404"/>
        <v>0.20000000000000018</v>
      </c>
      <c r="BX30" s="363">
        <f t="shared" ref="BX30:BY30" si="405">BX26-BX32</f>
        <v>813.73199999999997</v>
      </c>
      <c r="BY30" s="351">
        <f t="shared" si="405"/>
        <v>0.20000000000000018</v>
      </c>
      <c r="BZ30" s="363">
        <f t="shared" ref="BZ30:CA30" si="406">BZ26-BZ32</f>
        <v>813.73199999999997</v>
      </c>
      <c r="CA30" s="351">
        <f t="shared" si="406"/>
        <v>0.20000000000000018</v>
      </c>
      <c r="CB30" s="363">
        <f t="shared" ref="CB30:CC30" si="407">CB26-CB32</f>
        <v>813.73199999999997</v>
      </c>
      <c r="CC30" s="351">
        <f t="shared" si="407"/>
        <v>0.20000000000000018</v>
      </c>
      <c r="CD30" s="363">
        <f t="shared" ref="CD30:CE30" si="408">CD26-CD32</f>
        <v>813.73199999999997</v>
      </c>
      <c r="CE30" s="351">
        <f t="shared" si="408"/>
        <v>0.20000000000000018</v>
      </c>
      <c r="CF30" s="363">
        <f t="shared" ref="CF30:CG30" si="409">CF26-CF32</f>
        <v>813.73199999999997</v>
      </c>
      <c r="CG30" s="351">
        <f t="shared" si="409"/>
        <v>0.20000000000000018</v>
      </c>
      <c r="CH30" s="363">
        <f t="shared" ref="CH30:CK30" si="410">CH26-CH32</f>
        <v>813.73199999999997</v>
      </c>
      <c r="CI30" s="351">
        <f t="shared" si="410"/>
        <v>0.20000000000000018</v>
      </c>
      <c r="CJ30" s="363">
        <f t="shared" si="410"/>
        <v>813.73199999999997</v>
      </c>
      <c r="CK30" s="351">
        <f t="shared" si="410"/>
        <v>0.20000000000000018</v>
      </c>
      <c r="CL30" s="363">
        <f t="shared" ref="CL30:CM30" si="411">CL26-CL32</f>
        <v>813.73199999999997</v>
      </c>
      <c r="CM30" s="351">
        <f t="shared" si="411"/>
        <v>0.20000000000000018</v>
      </c>
      <c r="CN30" s="363">
        <f t="shared" ref="CN30:CO30" si="412">CN26-CN32</f>
        <v>813.73199999999997</v>
      </c>
      <c r="CO30" s="351">
        <f t="shared" si="412"/>
        <v>0.20000000000000018</v>
      </c>
      <c r="CP30" s="363">
        <f t="shared" ref="CP30:CQ30" si="413">CP26-CP32</f>
        <v>813.73199999999997</v>
      </c>
      <c r="CQ30" s="351">
        <f t="shared" si="413"/>
        <v>0.20000000000000018</v>
      </c>
      <c r="CR30" s="363">
        <f t="shared" ref="CR30:CS30" si="414">CR26-CR32</f>
        <v>2516.6150634146361</v>
      </c>
      <c r="CS30" s="351">
        <f t="shared" si="414"/>
        <v>0.61853658536585421</v>
      </c>
      <c r="CT30" s="363">
        <f t="shared" ref="CT30:CU30" si="415">CT26-CT32</f>
        <v>0</v>
      </c>
      <c r="CU30" s="351">
        <f t="shared" si="415"/>
        <v>0</v>
      </c>
      <c r="CV30" s="363">
        <f t="shared" si="390"/>
        <v>2179.9041697539615</v>
      </c>
      <c r="CW30" s="351">
        <f t="shared" si="390"/>
        <v>0.53577938922248691</v>
      </c>
      <c r="CX30" s="363">
        <f t="shared" si="390"/>
        <v>2179.9041697539615</v>
      </c>
      <c r="CY30" s="351">
        <f t="shared" si="390"/>
        <v>0.53577938922248691</v>
      </c>
      <c r="CZ30" s="363">
        <f t="shared" ref="CZ30:DA30" si="416">CZ26-CZ32</f>
        <v>2179.9041697539615</v>
      </c>
      <c r="DA30" s="351">
        <f t="shared" si="416"/>
        <v>0.53577938922248691</v>
      </c>
      <c r="DB30" s="363">
        <f t="shared" ref="DB30:DE30" si="417">DB26-DB32</f>
        <v>2179.9041697539615</v>
      </c>
      <c r="DC30" s="351">
        <f t="shared" si="417"/>
        <v>0.53577938922248691</v>
      </c>
      <c r="DD30" s="363">
        <f t="shared" si="417"/>
        <v>2179.9041697539615</v>
      </c>
      <c r="DE30" s="351">
        <f t="shared" si="417"/>
        <v>0.53577938922248691</v>
      </c>
      <c r="DF30" s="363">
        <f t="shared" ref="DF30:DG30" si="418">DF26-DF32</f>
        <v>530.50950000000012</v>
      </c>
      <c r="DG30" s="351">
        <f t="shared" si="418"/>
        <v>0.20000000000000018</v>
      </c>
      <c r="DH30" s="363">
        <f t="shared" ref="DH30:DI30" si="419">DH26-DH32</f>
        <v>2409.7823697539643</v>
      </c>
      <c r="DI30" s="351">
        <f t="shared" si="419"/>
        <v>0.59227912132101679</v>
      </c>
      <c r="DJ30" s="363">
        <f t="shared" ref="DJ30:DK30" si="420">DJ26-DJ32</f>
        <v>2945.574169753967</v>
      </c>
      <c r="DK30" s="351">
        <f t="shared" si="420"/>
        <v>0.72396665480870048</v>
      </c>
      <c r="DL30" s="363">
        <f t="shared" ref="DL30:DM30" si="421">DL26-DL32</f>
        <v>2237.2463697539679</v>
      </c>
      <c r="DM30" s="351">
        <f t="shared" si="421"/>
        <v>0.54987302201559451</v>
      </c>
      <c r="DN30" s="363">
        <f t="shared" ref="DN30:DQ30" si="422">DN26-DN32</f>
        <v>1962.7391697539679</v>
      </c>
      <c r="DO30" s="351">
        <f t="shared" si="422"/>
        <v>0.48240432224712038</v>
      </c>
      <c r="DP30" s="363">
        <f t="shared" si="422"/>
        <v>2179.9041697539615</v>
      </c>
      <c r="DQ30" s="351">
        <f t="shared" si="422"/>
        <v>0.53577938922248691</v>
      </c>
      <c r="DR30" s="363">
        <f t="shared" ref="DR30:DS30" si="423">DR26-DR32</f>
        <v>2179.9041697539615</v>
      </c>
      <c r="DS30" s="351">
        <f t="shared" si="423"/>
        <v>0.53577938922248691</v>
      </c>
    </row>
    <row r="31" spans="1:123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7.36</v>
      </c>
      <c r="J31" s="54">
        <f t="shared" ref="J31" si="424">+J32</f>
        <v>30741.207395083256</v>
      </c>
      <c r="K31" s="55">
        <f t="shared" ref="K31" si="425">K32</f>
        <v>7.5556098064432167</v>
      </c>
      <c r="L31" s="54">
        <f t="shared" ref="L31" si="426">+L32</f>
        <v>31755.395121951216</v>
      </c>
      <c r="M31" s="55">
        <f t="shared" ref="M31" si="427">M32</f>
        <v>7.8048780487804876</v>
      </c>
      <c r="N31" s="54">
        <f>+N32</f>
        <v>30086.153330246038</v>
      </c>
      <c r="O31" s="55">
        <f>O32</f>
        <v>7.3946098544105521</v>
      </c>
      <c r="P31" s="54">
        <f>+P32</f>
        <v>31067.719289479566</v>
      </c>
      <c r="Q31" s="55">
        <f>Q32</f>
        <v>7.6358602806524916</v>
      </c>
      <c r="R31" s="54">
        <f>+R32</f>
        <v>32015.685245901637</v>
      </c>
      <c r="S31" s="55">
        <f>S32</f>
        <v>7.8688524590163933</v>
      </c>
      <c r="T31" s="54">
        <f>+T32</f>
        <v>30086.153330246038</v>
      </c>
      <c r="U31" s="55">
        <f>U32</f>
        <v>7.3946098544105521</v>
      </c>
      <c r="V31" s="54">
        <f>+V32</f>
        <v>30086.153330246038</v>
      </c>
      <c r="W31" s="55">
        <f>W32</f>
        <v>7.3946098544105521</v>
      </c>
      <c r="X31" s="54">
        <f>+X32</f>
        <v>30086.153330246038</v>
      </c>
      <c r="Y31" s="55">
        <f>Y32</f>
        <v>7.3946098544105521</v>
      </c>
      <c r="Z31" s="54">
        <f>+Z32</f>
        <v>30086.153330246038</v>
      </c>
      <c r="AA31" s="55">
        <f>AA32</f>
        <v>7.3946098544105521</v>
      </c>
      <c r="AB31" s="54">
        <f>+AB32</f>
        <v>30086.153330246038</v>
      </c>
      <c r="AC31" s="55">
        <f>AC32</f>
        <v>7.3946098544105521</v>
      </c>
      <c r="AD31" s="54">
        <f>+AD32</f>
        <v>30086.153330246038</v>
      </c>
      <c r="AE31" s="55">
        <f>AE32</f>
        <v>7.3946098544105521</v>
      </c>
      <c r="AF31" s="54">
        <f>+AF32</f>
        <v>30086.153330246038</v>
      </c>
      <c r="AG31" s="55">
        <f>AG32</f>
        <v>7.3946098544105521</v>
      </c>
      <c r="AH31" s="54">
        <f>+AH32</f>
        <v>30086.153330246038</v>
      </c>
      <c r="AI31" s="55">
        <f>AI32</f>
        <v>7.3946098544105521</v>
      </c>
      <c r="AJ31" s="54">
        <f>+AJ32</f>
        <v>30086.153330246038</v>
      </c>
      <c r="AK31" s="55">
        <f>AK32</f>
        <v>7.3946098544105521</v>
      </c>
      <c r="AL31" s="54">
        <f>+AL32</f>
        <v>30086.153330246038</v>
      </c>
      <c r="AM31" s="55">
        <f>AM32</f>
        <v>7.3946098544105521</v>
      </c>
      <c r="AN31" s="54">
        <f>+AN32</f>
        <v>30086.153330246038</v>
      </c>
      <c r="AO31" s="55">
        <f>AO32</f>
        <v>7.3946098544105521</v>
      </c>
      <c r="AP31" s="54">
        <f t="shared" ref="AP31" si="428">+AP32</f>
        <v>30086.153330246038</v>
      </c>
      <c r="AQ31" s="55">
        <f t="shared" ref="AQ31" si="429">AQ32</f>
        <v>7.3946098544105521</v>
      </c>
      <c r="AR31" s="54">
        <f t="shared" ref="AR31" si="430">+AR32</f>
        <v>30086.153330246038</v>
      </c>
      <c r="AS31" s="55">
        <f t="shared" ref="AS31" si="431">AS32</f>
        <v>7.3946098544105521</v>
      </c>
      <c r="AT31" s="54">
        <f t="shared" ref="AT31" si="432">+AT32</f>
        <v>30086.153330246038</v>
      </c>
      <c r="AU31" s="55">
        <f t="shared" ref="AU31" si="433">AU32</f>
        <v>7.3946098544105521</v>
      </c>
      <c r="AV31" s="54">
        <f t="shared" ref="AV31" si="434">+AV32</f>
        <v>30086.153330246038</v>
      </c>
      <c r="AW31" s="55">
        <f t="shared" ref="AW31" si="435">AW32</f>
        <v>7.3946098544105521</v>
      </c>
      <c r="AX31" s="54">
        <f t="shared" ref="AX31" si="436">+AX32</f>
        <v>30086.153330246038</v>
      </c>
      <c r="AY31" s="55">
        <f t="shared" ref="AY31" si="437">AY32</f>
        <v>7.3946098544105521</v>
      </c>
      <c r="AZ31" s="54">
        <f t="shared" ref="AZ31:CT31" si="438">+AZ32</f>
        <v>30086.153330246038</v>
      </c>
      <c r="BA31" s="55">
        <f t="shared" ref="BA31:CU31" si="439">BA32</f>
        <v>7.3946098544105521</v>
      </c>
      <c r="BB31" s="54">
        <f t="shared" si="438"/>
        <v>30086.153330246038</v>
      </c>
      <c r="BC31" s="55">
        <f t="shared" si="439"/>
        <v>7.3946098544105521</v>
      </c>
      <c r="BD31" s="54">
        <f t="shared" si="438"/>
        <v>30086.153330246038</v>
      </c>
      <c r="BE31" s="55">
        <f t="shared" si="439"/>
        <v>7.3946098544105521</v>
      </c>
      <c r="BF31" s="54">
        <f t="shared" si="438"/>
        <v>30086.153330246038</v>
      </c>
      <c r="BG31" s="55">
        <f t="shared" si="439"/>
        <v>7.3946098544105521</v>
      </c>
      <c r="BH31" s="54">
        <f t="shared" si="438"/>
        <v>30086.153330246038</v>
      </c>
      <c r="BI31" s="55">
        <f t="shared" si="439"/>
        <v>7.3946098544105521</v>
      </c>
      <c r="BJ31" s="54">
        <f t="shared" si="438"/>
        <v>30086.153330246038</v>
      </c>
      <c r="BK31" s="55">
        <f t="shared" si="439"/>
        <v>7.3946098544105521</v>
      </c>
      <c r="BL31" s="54">
        <f t="shared" si="438"/>
        <v>31735.547999999999</v>
      </c>
      <c r="BM31" s="55">
        <f t="shared" si="439"/>
        <v>7.8</v>
      </c>
      <c r="BN31" s="54">
        <f t="shared" si="438"/>
        <v>31735.547999999999</v>
      </c>
      <c r="BO31" s="55">
        <f t="shared" si="439"/>
        <v>7.8</v>
      </c>
      <c r="BP31" s="54">
        <f t="shared" si="438"/>
        <v>31735.547999999999</v>
      </c>
      <c r="BQ31" s="55">
        <f t="shared" si="439"/>
        <v>7.8</v>
      </c>
      <c r="BR31" s="54">
        <f t="shared" si="438"/>
        <v>31735.547999999999</v>
      </c>
      <c r="BS31" s="55">
        <f t="shared" si="439"/>
        <v>7.8</v>
      </c>
      <c r="BT31" s="54">
        <f t="shared" si="438"/>
        <v>31735.547999999999</v>
      </c>
      <c r="BU31" s="55">
        <f t="shared" si="439"/>
        <v>7.8</v>
      </c>
      <c r="BV31" s="54">
        <f t="shared" si="438"/>
        <v>31735.547999999999</v>
      </c>
      <c r="BW31" s="55">
        <f t="shared" si="439"/>
        <v>7.8</v>
      </c>
      <c r="BX31" s="54">
        <f t="shared" si="438"/>
        <v>31735.547999999999</v>
      </c>
      <c r="BY31" s="55">
        <f t="shared" si="439"/>
        <v>7.8</v>
      </c>
      <c r="BZ31" s="54">
        <f t="shared" si="438"/>
        <v>31735.547999999999</v>
      </c>
      <c r="CA31" s="55">
        <f t="shared" si="439"/>
        <v>7.8</v>
      </c>
      <c r="CB31" s="54">
        <f t="shared" si="438"/>
        <v>31735.547999999999</v>
      </c>
      <c r="CC31" s="55">
        <f t="shared" si="439"/>
        <v>7.8</v>
      </c>
      <c r="CD31" s="54">
        <f t="shared" si="438"/>
        <v>31735.547999999999</v>
      </c>
      <c r="CE31" s="55">
        <f t="shared" si="439"/>
        <v>7.8</v>
      </c>
      <c r="CF31" s="54">
        <f t="shared" si="438"/>
        <v>31735.547999999999</v>
      </c>
      <c r="CG31" s="55">
        <f t="shared" si="439"/>
        <v>7.8</v>
      </c>
      <c r="CH31" s="54">
        <f t="shared" si="438"/>
        <v>31735.547999999999</v>
      </c>
      <c r="CI31" s="55">
        <f t="shared" si="439"/>
        <v>7.8</v>
      </c>
      <c r="CJ31" s="54">
        <f t="shared" si="438"/>
        <v>31735.547999999999</v>
      </c>
      <c r="CK31" s="55">
        <f t="shared" si="439"/>
        <v>7.8</v>
      </c>
      <c r="CL31" s="54">
        <f t="shared" si="438"/>
        <v>31735.547999999999</v>
      </c>
      <c r="CM31" s="55">
        <f t="shared" si="439"/>
        <v>7.8</v>
      </c>
      <c r="CN31" s="54">
        <f t="shared" si="438"/>
        <v>31735.547999999999</v>
      </c>
      <c r="CO31" s="55">
        <f t="shared" si="439"/>
        <v>7.8</v>
      </c>
      <c r="CP31" s="54">
        <f t="shared" si="438"/>
        <v>31735.547999999999</v>
      </c>
      <c r="CQ31" s="55">
        <f t="shared" si="439"/>
        <v>7.8</v>
      </c>
      <c r="CR31" s="54">
        <f t="shared" si="438"/>
        <v>30032.664936585363</v>
      </c>
      <c r="CS31" s="55">
        <f t="shared" si="439"/>
        <v>7.3814634146341458</v>
      </c>
      <c r="CT31" s="54">
        <f t="shared" si="438"/>
        <v>33363.011999999995</v>
      </c>
      <c r="CU31" s="55">
        <f t="shared" si="439"/>
        <v>8.1999999999999993</v>
      </c>
      <c r="CV31" s="54">
        <f>+CV32</f>
        <v>30086.153330246038</v>
      </c>
      <c r="CW31" s="55">
        <f>CW32</f>
        <v>7.3946098544105521</v>
      </c>
      <c r="CX31" s="54">
        <f>+CX32</f>
        <v>30086.153330246038</v>
      </c>
      <c r="CY31" s="55">
        <f>CY32</f>
        <v>7.3946098544105521</v>
      </c>
      <c r="CZ31" s="54">
        <f>+CZ32</f>
        <v>30086.153330246038</v>
      </c>
      <c r="DA31" s="55">
        <f>DA32</f>
        <v>7.3946098544105521</v>
      </c>
      <c r="DB31" s="54">
        <f>+DB32</f>
        <v>30086.153330246038</v>
      </c>
      <c r="DC31" s="55">
        <f>DC32</f>
        <v>7.3946098544105521</v>
      </c>
      <c r="DD31" s="54">
        <f>+DD32</f>
        <v>30086.153330246038</v>
      </c>
      <c r="DE31" s="55">
        <f>DE32</f>
        <v>7.3946098544105521</v>
      </c>
      <c r="DF31" s="54">
        <f>+DF32</f>
        <v>31735.547999999999</v>
      </c>
      <c r="DG31" s="55">
        <f>DG32</f>
        <v>7.8</v>
      </c>
      <c r="DH31" s="54">
        <f>+DH32</f>
        <v>33056.275130246031</v>
      </c>
      <c r="DI31" s="55">
        <f>DI32</f>
        <v>8.1246098544105507</v>
      </c>
      <c r="DJ31" s="54">
        <f>+DJ32</f>
        <v>32120.483330246028</v>
      </c>
      <c r="DK31" s="55">
        <f>DK32</f>
        <v>7.8946098544105503</v>
      </c>
      <c r="DL31" s="54">
        <f>+DL32</f>
        <v>31428.811130246027</v>
      </c>
      <c r="DM31" s="55">
        <f>DM32</f>
        <v>7.7246098544105504</v>
      </c>
      <c r="DN31" s="54">
        <f>+DN32</f>
        <v>31103.318330246027</v>
      </c>
      <c r="DO31" s="55">
        <f>DO32</f>
        <v>7.6446098544105503</v>
      </c>
      <c r="DP31" s="54">
        <f>+DP32</f>
        <v>30086.153330246038</v>
      </c>
      <c r="DQ31" s="55">
        <f>DQ32</f>
        <v>7.3946098544105521</v>
      </c>
      <c r="DR31" s="54">
        <f>+DR32</f>
        <v>30086.153330246038</v>
      </c>
      <c r="DS31" s="55">
        <f>DS32</f>
        <v>7.3946098544105521</v>
      </c>
    </row>
    <row r="32" spans="1:123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f>+H32/H12</f>
        <v>7.36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 t="shared" ref="M32" si="440">+L32/L12</f>
        <v>7.8048780487804876</v>
      </c>
      <c r="N32" s="54">
        <f>O32*N12</f>
        <v>30086.153330246038</v>
      </c>
      <c r="O32" s="55">
        <v>7.3946098544105521</v>
      </c>
      <c r="P32" s="54">
        <f>Q32*P12</f>
        <v>31067.719289479566</v>
      </c>
      <c r="Q32" s="55">
        <v>7.6358602806524916</v>
      </c>
      <c r="R32" s="54">
        <f>S32*R12</f>
        <v>32015.685245901637</v>
      </c>
      <c r="S32" s="55">
        <f>8*60/61</f>
        <v>7.8688524590163933</v>
      </c>
      <c r="T32" s="54">
        <f>U32*T12</f>
        <v>30086.153330246038</v>
      </c>
      <c r="U32" s="55">
        <v>7.3946098544105521</v>
      </c>
      <c r="V32" s="54">
        <f>W32*V12</f>
        <v>30086.153330246038</v>
      </c>
      <c r="W32" s="55">
        <v>7.3946098544105521</v>
      </c>
      <c r="X32" s="54">
        <f>Y32*X12</f>
        <v>30086.153330246038</v>
      </c>
      <c r="Y32" s="55">
        <v>7.3946098544105521</v>
      </c>
      <c r="Z32" s="54">
        <f>AA32*Z12</f>
        <v>30086.153330246038</v>
      </c>
      <c r="AA32" s="55">
        <v>7.3946098544105521</v>
      </c>
      <c r="AB32" s="54">
        <f>AC32*AB12</f>
        <v>30086.153330246038</v>
      </c>
      <c r="AC32" s="55">
        <v>7.3946098544105521</v>
      </c>
      <c r="AD32" s="54">
        <f>AE32*AD12</f>
        <v>30086.153330246038</v>
      </c>
      <c r="AE32" s="55">
        <v>7.3946098544105521</v>
      </c>
      <c r="AF32" s="54">
        <f>AG32*AF12</f>
        <v>30086.153330246038</v>
      </c>
      <c r="AG32" s="55">
        <v>7.3946098544105521</v>
      </c>
      <c r="AH32" s="54">
        <f>AI32*AH12</f>
        <v>30086.153330246038</v>
      </c>
      <c r="AI32" s="55">
        <v>7.3946098544105521</v>
      </c>
      <c r="AJ32" s="54">
        <f>AK32*AJ12</f>
        <v>30086.153330246038</v>
      </c>
      <c r="AK32" s="55">
        <v>7.3946098544105521</v>
      </c>
      <c r="AL32" s="54">
        <f>AM32*AL12</f>
        <v>30086.153330246038</v>
      </c>
      <c r="AM32" s="55">
        <v>7.3946098544105521</v>
      </c>
      <c r="AN32" s="54">
        <f>AO32*AN12</f>
        <v>30086.153330246038</v>
      </c>
      <c r="AO32" s="55">
        <v>7.3946098544105521</v>
      </c>
      <c r="AP32" s="54">
        <f t="shared" ref="AP32" si="441">AQ32*AP12</f>
        <v>30086.153330246038</v>
      </c>
      <c r="AQ32" s="55">
        <v>7.3946098544105521</v>
      </c>
      <c r="AR32" s="54">
        <f t="shared" ref="AR32" si="442">AS32*AR12</f>
        <v>30086.153330246038</v>
      </c>
      <c r="AS32" s="55">
        <v>7.3946098544105521</v>
      </c>
      <c r="AT32" s="54">
        <f t="shared" ref="AT32" si="443">AU32*AT12</f>
        <v>30086.153330246038</v>
      </c>
      <c r="AU32" s="55">
        <v>7.3946098544105521</v>
      </c>
      <c r="AV32" s="54">
        <f t="shared" ref="AV32" si="444">AW32*AV12</f>
        <v>30086.153330246038</v>
      </c>
      <c r="AW32" s="55">
        <v>7.3946098544105521</v>
      </c>
      <c r="AX32" s="54">
        <f t="shared" ref="AX32" si="445">AY32*AX12</f>
        <v>30086.153330246038</v>
      </c>
      <c r="AY32" s="55">
        <v>7.3946098544105521</v>
      </c>
      <c r="AZ32" s="54">
        <f t="shared" ref="AZ32" si="446">BA32*AZ12</f>
        <v>30086.153330246038</v>
      </c>
      <c r="BA32" s="55">
        <v>7.3946098544105521</v>
      </c>
      <c r="BB32" s="54">
        <f t="shared" ref="BB32" si="447">BC32*BB12</f>
        <v>30086.153330246038</v>
      </c>
      <c r="BC32" s="55">
        <v>7.3946098544105521</v>
      </c>
      <c r="BD32" s="54">
        <f t="shared" ref="BD32" si="448">BE32*BD12</f>
        <v>30086.153330246038</v>
      </c>
      <c r="BE32" s="55">
        <v>7.3946098544105521</v>
      </c>
      <c r="BF32" s="54">
        <f t="shared" ref="BF32" si="449">BG32*BF12</f>
        <v>30086.153330246038</v>
      </c>
      <c r="BG32" s="55">
        <v>7.3946098544105521</v>
      </c>
      <c r="BH32" s="54">
        <f t="shared" ref="BH32" si="450">BI32*BH12</f>
        <v>30086.153330246038</v>
      </c>
      <c r="BI32" s="55">
        <v>7.3946098544105521</v>
      </c>
      <c r="BJ32" s="54">
        <f t="shared" ref="BJ32" si="451">BK32*BJ12</f>
        <v>30086.153330246038</v>
      </c>
      <c r="BK32" s="55">
        <v>7.3946098544105521</v>
      </c>
      <c r="BL32" s="54">
        <f t="shared" ref="BL32" si="452">BM32*BL12</f>
        <v>31735.547999999999</v>
      </c>
      <c r="BM32" s="55">
        <v>7.8</v>
      </c>
      <c r="BN32" s="54">
        <f t="shared" ref="BN32" si="453">BO32*BN12</f>
        <v>31735.547999999999</v>
      </c>
      <c r="BO32" s="55">
        <v>7.8</v>
      </c>
      <c r="BP32" s="54">
        <f t="shared" ref="BP32" si="454">BQ32*BP12</f>
        <v>31735.547999999999</v>
      </c>
      <c r="BQ32" s="55">
        <v>7.8</v>
      </c>
      <c r="BR32" s="54">
        <f t="shared" ref="BR32" si="455">BS32*BR12</f>
        <v>31735.547999999999</v>
      </c>
      <c r="BS32" s="55">
        <v>7.8</v>
      </c>
      <c r="BT32" s="54">
        <f t="shared" ref="BT32" si="456">BU32*BT12</f>
        <v>31735.547999999999</v>
      </c>
      <c r="BU32" s="55">
        <v>7.8</v>
      </c>
      <c r="BV32" s="54">
        <f t="shared" ref="BV32" si="457">BW32*BV12</f>
        <v>31735.547999999999</v>
      </c>
      <c r="BW32" s="55">
        <v>7.8</v>
      </c>
      <c r="BX32" s="54">
        <f t="shared" ref="BX32" si="458">BY32*BX12</f>
        <v>31735.547999999999</v>
      </c>
      <c r="BY32" s="55">
        <v>7.8</v>
      </c>
      <c r="BZ32" s="54">
        <f t="shared" ref="BZ32" si="459">CA32*BZ12</f>
        <v>31735.547999999999</v>
      </c>
      <c r="CA32" s="55">
        <v>7.8</v>
      </c>
      <c r="CB32" s="54">
        <f t="shared" ref="CB32" si="460">CC32*CB12</f>
        <v>31735.547999999999</v>
      </c>
      <c r="CC32" s="55">
        <v>7.8</v>
      </c>
      <c r="CD32" s="54">
        <f t="shared" ref="CD32" si="461">CE32*CD12</f>
        <v>31735.547999999999</v>
      </c>
      <c r="CE32" s="55">
        <v>7.8</v>
      </c>
      <c r="CF32" s="54">
        <f t="shared" ref="CF32" si="462">CG32*CF12</f>
        <v>31735.547999999999</v>
      </c>
      <c r="CG32" s="55">
        <v>7.8</v>
      </c>
      <c r="CH32" s="54">
        <f t="shared" ref="CH32" si="463">CI32*CH12</f>
        <v>31735.547999999999</v>
      </c>
      <c r="CI32" s="55">
        <v>7.8</v>
      </c>
      <c r="CJ32" s="54">
        <f t="shared" ref="CJ32" si="464">CK32*CJ12</f>
        <v>31735.547999999999</v>
      </c>
      <c r="CK32" s="55">
        <v>7.8</v>
      </c>
      <c r="CL32" s="54">
        <f t="shared" ref="CL32" si="465">CM32*CL12</f>
        <v>31735.547999999999</v>
      </c>
      <c r="CM32" s="55">
        <v>7.8</v>
      </c>
      <c r="CN32" s="54">
        <f t="shared" ref="CN32" si="466">CO32*CN12</f>
        <v>31735.547999999999</v>
      </c>
      <c r="CO32" s="55">
        <v>7.8</v>
      </c>
      <c r="CP32" s="54">
        <f t="shared" ref="CP32" si="467">CQ32*CP12</f>
        <v>31735.547999999999</v>
      </c>
      <c r="CQ32" s="55">
        <v>7.8</v>
      </c>
      <c r="CR32" s="54">
        <f t="shared" ref="CR32" si="468">CS32*CR12</f>
        <v>30032.664936585363</v>
      </c>
      <c r="CS32" s="55">
        <f>7.8*200/205*97%</f>
        <v>7.3814634146341458</v>
      </c>
      <c r="CT32" s="54">
        <f t="shared" ref="CT32" si="469">CU32*CT12</f>
        <v>33363.011999999995</v>
      </c>
      <c r="CU32" s="55">
        <v>8.1999999999999993</v>
      </c>
      <c r="CV32" s="54">
        <f>CW32*CV12</f>
        <v>30086.153330246038</v>
      </c>
      <c r="CW32" s="55">
        <v>7.3946098544105521</v>
      </c>
      <c r="CX32" s="54">
        <f>CY32*CX12</f>
        <v>30086.153330246038</v>
      </c>
      <c r="CY32" s="55">
        <v>7.3946098544105521</v>
      </c>
      <c r="CZ32" s="54">
        <f>DA32*CZ12</f>
        <v>30086.153330246038</v>
      </c>
      <c r="DA32" s="55">
        <v>7.3946098544105521</v>
      </c>
      <c r="DB32" s="54">
        <f>DC32*DB12</f>
        <v>30086.153330246038</v>
      </c>
      <c r="DC32" s="55">
        <v>7.3946098544105521</v>
      </c>
      <c r="DD32" s="54">
        <f>DE32*DD12</f>
        <v>30086.153330246038</v>
      </c>
      <c r="DE32" s="55">
        <v>7.3946098544105521</v>
      </c>
      <c r="DF32" s="54">
        <f>DG32*DF12</f>
        <v>31735.547999999999</v>
      </c>
      <c r="DG32" s="55">
        <v>7.8</v>
      </c>
      <c r="DH32" s="54">
        <f>DI32*DH12</f>
        <v>33056.275130246031</v>
      </c>
      <c r="DI32" s="55">
        <f>7.39460985441055+0.73</f>
        <v>8.1246098544105507</v>
      </c>
      <c r="DJ32" s="54">
        <f>DK32*DJ12</f>
        <v>32120.483330246028</v>
      </c>
      <c r="DK32" s="55">
        <f>7.39460985441055+0.5</f>
        <v>7.8946098544105503</v>
      </c>
      <c r="DL32" s="54">
        <f>DM32*DL12</f>
        <v>31428.811130246027</v>
      </c>
      <c r="DM32" s="55">
        <f>7.39460985441055+0.25+0.08</f>
        <v>7.7246098544105504</v>
      </c>
      <c r="DN32" s="54">
        <f>DO32*DN12</f>
        <v>31103.318330246027</v>
      </c>
      <c r="DO32" s="55">
        <f>7.39460985441055+0.25</f>
        <v>7.6446098544105503</v>
      </c>
      <c r="DP32" s="54">
        <f>DQ32*DP12</f>
        <v>30086.153330246038</v>
      </c>
      <c r="DQ32" s="55">
        <v>7.3946098544105521</v>
      </c>
      <c r="DR32" s="54">
        <f>DS32*DR12</f>
        <v>30086.153330246038</v>
      </c>
      <c r="DS32" s="55">
        <v>7.3946098544105521</v>
      </c>
    </row>
    <row r="33" spans="1:123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553"/>
      <c r="O33" s="358"/>
      <c r="P33" s="553"/>
      <c r="Q33" s="358"/>
      <c r="R33" s="553"/>
      <c r="S33" s="358"/>
      <c r="T33" s="553"/>
      <c r="U33" s="358"/>
      <c r="V33" s="553"/>
      <c r="W33" s="358"/>
      <c r="X33" s="553"/>
      <c r="Y33" s="358"/>
      <c r="Z33" s="553"/>
      <c r="AA33" s="358"/>
      <c r="AB33" s="553"/>
      <c r="AC33" s="358"/>
      <c r="AD33" s="553"/>
      <c r="AE33" s="358"/>
      <c r="AF33" s="553"/>
      <c r="AG33" s="358"/>
      <c r="AH33" s="553"/>
      <c r="AI33" s="358"/>
      <c r="AJ33" s="553"/>
      <c r="AK33" s="358"/>
      <c r="AL33" s="553"/>
      <c r="AM33" s="358"/>
      <c r="AN33" s="553"/>
      <c r="AO33" s="358"/>
      <c r="AP33" s="553"/>
      <c r="AQ33" s="358"/>
      <c r="AR33" s="553"/>
      <c r="AS33" s="358"/>
      <c r="AT33" s="553"/>
      <c r="AU33" s="358"/>
      <c r="AV33" s="553"/>
      <c r="AW33" s="358"/>
      <c r="AX33" s="553"/>
      <c r="AY33" s="358"/>
      <c r="AZ33" s="553"/>
      <c r="BA33" s="358"/>
      <c r="BB33" s="553"/>
      <c r="BC33" s="358"/>
      <c r="BD33" s="553"/>
      <c r="BE33" s="358"/>
      <c r="BF33" s="553"/>
      <c r="BG33" s="358"/>
      <c r="BH33" s="553"/>
      <c r="BI33" s="358"/>
      <c r="BJ33" s="553"/>
      <c r="BK33" s="358"/>
      <c r="BL33" s="553"/>
      <c r="BM33" s="358"/>
      <c r="BN33" s="553"/>
      <c r="BO33" s="358"/>
      <c r="BP33" s="553"/>
      <c r="BQ33" s="358"/>
      <c r="BR33" s="553"/>
      <c r="BS33" s="358"/>
      <c r="BT33" s="553"/>
      <c r="BU33" s="358"/>
      <c r="BV33" s="553"/>
      <c r="BW33" s="358"/>
      <c r="BX33" s="553"/>
      <c r="BY33" s="358"/>
      <c r="BZ33" s="553"/>
      <c r="CA33" s="358"/>
      <c r="CB33" s="553"/>
      <c r="CC33" s="358"/>
      <c r="CD33" s="553"/>
      <c r="CE33" s="358"/>
      <c r="CF33" s="553"/>
      <c r="CG33" s="358"/>
      <c r="CH33" s="553"/>
      <c r="CI33" s="358"/>
      <c r="CJ33" s="553"/>
      <c r="CK33" s="358"/>
      <c r="CL33" s="553"/>
      <c r="CM33" s="358"/>
      <c r="CN33" s="553"/>
      <c r="CO33" s="358"/>
      <c r="CP33" s="553"/>
      <c r="CQ33" s="358"/>
      <c r="CR33" s="553"/>
      <c r="CS33" s="358"/>
      <c r="CT33" s="553"/>
      <c r="CU33" s="358"/>
      <c r="CV33" s="553"/>
      <c r="CW33" s="358"/>
      <c r="CX33" s="553"/>
      <c r="CY33" s="358"/>
      <c r="CZ33" s="553"/>
      <c r="DA33" s="358"/>
      <c r="DB33" s="553"/>
      <c r="DC33" s="358"/>
      <c r="DD33" s="553"/>
      <c r="DE33" s="358"/>
      <c r="DF33" s="553"/>
      <c r="DG33" s="358"/>
      <c r="DH33" s="553"/>
      <c r="DI33" s="358"/>
      <c r="DJ33" s="553"/>
      <c r="DK33" s="358"/>
      <c r="DL33" s="553"/>
      <c r="DM33" s="358"/>
      <c r="DN33" s="553"/>
      <c r="DO33" s="358"/>
      <c r="DP33" s="553"/>
      <c r="DQ33" s="358"/>
      <c r="DR33" s="553"/>
      <c r="DS33" s="358"/>
    </row>
    <row r="34" spans="1:123" s="4" customFormat="1" ht="18" customHeight="1" x14ac:dyDescent="0.45">
      <c r="A34" s="561"/>
      <c r="B34" s="1196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360"/>
      <c r="Z34" s="364"/>
      <c r="AA34" s="360"/>
      <c r="AB34" s="364"/>
      <c r="AC34" s="360"/>
      <c r="AD34" s="364"/>
      <c r="AE34" s="360"/>
      <c r="AF34" s="364"/>
      <c r="AG34" s="360"/>
      <c r="AH34" s="364"/>
      <c r="AI34" s="360"/>
      <c r="AJ34" s="364"/>
      <c r="AK34" s="360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364"/>
      <c r="AW34" s="360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1170"/>
      <c r="BO34" s="360"/>
      <c r="BP34" s="364"/>
      <c r="BQ34" s="360"/>
      <c r="BR34" s="364"/>
      <c r="BS34" s="360"/>
      <c r="BT34" s="364"/>
      <c r="BU34" s="360"/>
      <c r="BV34" s="364"/>
      <c r="BW34" s="360"/>
      <c r="BX34" s="364"/>
      <c r="BY34" s="360"/>
      <c r="BZ34" s="364"/>
      <c r="CA34" s="360"/>
      <c r="CB34" s="364"/>
      <c r="CC34" s="360"/>
      <c r="CD34" s="364"/>
      <c r="CE34" s="360"/>
      <c r="CF34" s="364"/>
      <c r="CG34" s="360"/>
      <c r="CH34" s="364"/>
      <c r="CI34" s="360"/>
      <c r="CJ34" s="364"/>
      <c r="CK34" s="360"/>
      <c r="CL34" s="364"/>
      <c r="CM34" s="360"/>
      <c r="CN34" s="364"/>
      <c r="CO34" s="360"/>
      <c r="CP34" s="364"/>
      <c r="CQ34" s="360"/>
      <c r="CR34" s="364"/>
      <c r="CS34" s="360"/>
      <c r="CT34" s="364"/>
      <c r="CU34" s="360"/>
      <c r="CV34" s="364"/>
      <c r="CW34" s="360"/>
      <c r="CX34" s="364"/>
      <c r="CY34" s="360"/>
      <c r="CZ34" s="364"/>
      <c r="DA34" s="360"/>
      <c r="DB34" s="364"/>
      <c r="DC34" s="360"/>
      <c r="DD34" s="364"/>
      <c r="DE34" s="360"/>
      <c r="DF34" s="364"/>
      <c r="DG34" s="360"/>
      <c r="DH34" s="364"/>
      <c r="DI34" s="360"/>
      <c r="DJ34" s="364"/>
      <c r="DK34" s="360"/>
      <c r="DL34" s="364"/>
      <c r="DM34" s="360"/>
      <c r="DN34" s="364"/>
      <c r="DO34" s="360"/>
      <c r="DP34" s="364"/>
      <c r="DQ34" s="360"/>
      <c r="DR34" s="364"/>
      <c r="DS34" s="360"/>
    </row>
    <row r="35" spans="1:123" s="49" customFormat="1" ht="18" customHeight="1" x14ac:dyDescent="0.45">
      <c r="A35" s="561"/>
      <c r="B35" s="1187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470">L36/L32</f>
        <v>8.8374999999999884E-2</v>
      </c>
      <c r="M35" s="362">
        <f t="shared" si="470"/>
        <v>8.8374999999999967E-2</v>
      </c>
      <c r="N35" s="361"/>
      <c r="O35" s="362"/>
      <c r="P35" s="361"/>
      <c r="Q35" s="362"/>
      <c r="R35" s="361">
        <f t="shared" ref="R35:S35" si="471">R36/R32</f>
        <v>8.8375000000000051E-2</v>
      </c>
      <c r="S35" s="362">
        <f t="shared" si="471"/>
        <v>8.8375000000000009E-2</v>
      </c>
      <c r="T35" s="361"/>
      <c r="U35" s="362"/>
      <c r="V35" s="361"/>
      <c r="W35" s="362"/>
      <c r="X35" s="361"/>
      <c r="Y35" s="362"/>
      <c r="Z35" s="361"/>
      <c r="AA35" s="362"/>
      <c r="AB35" s="361"/>
      <c r="AC35" s="362"/>
      <c r="AD35" s="361"/>
      <c r="AE35" s="362"/>
      <c r="AF35" s="361"/>
      <c r="AG35" s="362"/>
      <c r="AH35" s="361"/>
      <c r="AI35" s="362"/>
      <c r="AJ35" s="361"/>
      <c r="AK35" s="362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361"/>
      <c r="AW35" s="362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361"/>
      <c r="BY35" s="362"/>
      <c r="BZ35" s="361"/>
      <c r="CA35" s="362"/>
      <c r="CB35" s="361"/>
      <c r="CC35" s="362"/>
      <c r="CD35" s="361"/>
      <c r="CE35" s="362"/>
      <c r="CF35" s="361"/>
      <c r="CG35" s="362"/>
      <c r="CH35" s="361"/>
      <c r="CI35" s="362"/>
      <c r="CJ35" s="361"/>
      <c r="CK35" s="362"/>
      <c r="CL35" s="361"/>
      <c r="CM35" s="362"/>
      <c r="CN35" s="361"/>
      <c r="CO35" s="362"/>
      <c r="CP35" s="361"/>
      <c r="CQ35" s="362"/>
      <c r="CR35" s="361"/>
      <c r="CS35" s="362"/>
      <c r="CT35" s="361"/>
      <c r="CU35" s="362"/>
      <c r="CV35" s="361"/>
      <c r="CW35" s="362"/>
      <c r="CX35" s="361"/>
      <c r="CY35" s="362"/>
      <c r="CZ35" s="361"/>
      <c r="DA35" s="362"/>
      <c r="DB35" s="361"/>
      <c r="DC35" s="362"/>
      <c r="DD35" s="361"/>
      <c r="DE35" s="362"/>
      <c r="DF35" s="361"/>
      <c r="DG35" s="362"/>
      <c r="DH35" s="361"/>
      <c r="DI35" s="362"/>
      <c r="DJ35" s="361"/>
      <c r="DK35" s="362"/>
      <c r="DL35" s="361"/>
      <c r="DM35" s="362"/>
      <c r="DN35" s="361"/>
      <c r="DO35" s="362"/>
      <c r="DP35" s="361"/>
      <c r="DQ35" s="362"/>
      <c r="DR35" s="361"/>
      <c r="DS35" s="362"/>
    </row>
    <row r="36" spans="1:123" s="4" customFormat="1" ht="18" customHeight="1" x14ac:dyDescent="0.45">
      <c r="A36" s="561"/>
      <c r="B36" s="1187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472">L32-L38</f>
        <v>2806.383043902435</v>
      </c>
      <c r="M36" s="351">
        <f t="shared" si="472"/>
        <v>0.68975609756097533</v>
      </c>
      <c r="N36" s="363"/>
      <c r="O36" s="351"/>
      <c r="P36" s="363"/>
      <c r="Q36" s="351"/>
      <c r="R36" s="363">
        <f t="shared" ref="R36:S36" si="473">R32-R38</f>
        <v>2829.3861836065589</v>
      </c>
      <c r="S36" s="351">
        <f t="shared" si="473"/>
        <v>0.69540983606557383</v>
      </c>
      <c r="T36" s="363"/>
      <c r="U36" s="351"/>
      <c r="V36" s="363"/>
      <c r="W36" s="351"/>
      <c r="X36" s="363"/>
      <c r="Y36" s="351"/>
      <c r="Z36" s="363"/>
      <c r="AA36" s="351"/>
      <c r="AB36" s="363"/>
      <c r="AC36" s="351"/>
      <c r="AD36" s="363"/>
      <c r="AE36" s="351"/>
      <c r="AF36" s="363"/>
      <c r="AG36" s="351"/>
      <c r="AH36" s="363"/>
      <c r="AI36" s="351"/>
      <c r="AJ36" s="363"/>
      <c r="AK36" s="351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363"/>
      <c r="AW36" s="351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363"/>
      <c r="BY36" s="351"/>
      <c r="BZ36" s="363"/>
      <c r="CA36" s="351"/>
      <c r="CB36" s="363"/>
      <c r="CC36" s="351"/>
      <c r="CD36" s="363"/>
      <c r="CE36" s="351"/>
      <c r="CF36" s="363"/>
      <c r="CG36" s="351"/>
      <c r="CH36" s="363"/>
      <c r="CI36" s="351"/>
      <c r="CJ36" s="363"/>
      <c r="CK36" s="351"/>
      <c r="CL36" s="363"/>
      <c r="CM36" s="351"/>
      <c r="CN36" s="363"/>
      <c r="CO36" s="351"/>
      <c r="CP36" s="363"/>
      <c r="CQ36" s="351"/>
      <c r="CR36" s="363"/>
      <c r="CS36" s="351"/>
      <c r="CT36" s="363"/>
      <c r="CU36" s="351"/>
      <c r="CV36" s="363"/>
      <c r="CW36" s="351"/>
      <c r="CX36" s="363"/>
      <c r="CY36" s="351"/>
      <c r="CZ36" s="363"/>
      <c r="DA36" s="351"/>
      <c r="DB36" s="363"/>
      <c r="DC36" s="351"/>
      <c r="DD36" s="363"/>
      <c r="DE36" s="351"/>
      <c r="DF36" s="363"/>
      <c r="DG36" s="351"/>
      <c r="DH36" s="363"/>
      <c r="DI36" s="351"/>
      <c r="DJ36" s="363"/>
      <c r="DK36" s="351"/>
      <c r="DL36" s="363"/>
      <c r="DM36" s="351"/>
      <c r="DN36" s="363"/>
      <c r="DO36" s="351"/>
      <c r="DP36" s="363"/>
      <c r="DQ36" s="351"/>
      <c r="DR36" s="363"/>
      <c r="DS36" s="351"/>
    </row>
    <row r="37" spans="1:123" s="4" customFormat="1" ht="18" customHeight="1" x14ac:dyDescent="0.45">
      <c r="A37" s="561"/>
      <c r="B37" s="1187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29186.299062295078</v>
      </c>
      <c r="S37" s="55">
        <f>S38</f>
        <v>7.1734426229508195</v>
      </c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54"/>
      <c r="BY37" s="55"/>
      <c r="BZ37" s="54"/>
      <c r="CA37" s="55"/>
      <c r="CB37" s="54"/>
      <c r="CC37" s="55"/>
      <c r="CD37" s="54"/>
      <c r="CE37" s="55"/>
      <c r="CF37" s="54"/>
      <c r="CG37" s="55"/>
      <c r="CH37" s="54"/>
      <c r="CI37" s="55"/>
      <c r="CJ37" s="54"/>
      <c r="CK37" s="55"/>
      <c r="CL37" s="54"/>
      <c r="CM37" s="55"/>
      <c r="CN37" s="54"/>
      <c r="CO37" s="55"/>
      <c r="CP37" s="54"/>
      <c r="CQ37" s="55"/>
      <c r="CR37" s="54"/>
      <c r="CS37" s="55"/>
      <c r="CT37" s="54"/>
      <c r="CU37" s="55"/>
      <c r="CV37" s="54"/>
      <c r="CW37" s="55"/>
      <c r="CX37" s="54"/>
      <c r="CY37" s="55"/>
      <c r="CZ37" s="54"/>
      <c r="DA37" s="55"/>
      <c r="DB37" s="54"/>
      <c r="DC37" s="55"/>
      <c r="DD37" s="54"/>
      <c r="DE37" s="55"/>
      <c r="DF37" s="54"/>
      <c r="DG37" s="55"/>
      <c r="DH37" s="54"/>
      <c r="DI37" s="55"/>
      <c r="DJ37" s="54"/>
      <c r="DK37" s="55"/>
      <c r="DL37" s="54"/>
      <c r="DM37" s="55"/>
      <c r="DN37" s="54"/>
      <c r="DO37" s="55"/>
      <c r="DP37" s="54"/>
      <c r="DQ37" s="55"/>
      <c r="DR37" s="54"/>
      <c r="DS37" s="55"/>
    </row>
    <row r="38" spans="1:123" s="4" customFormat="1" ht="18" customHeight="1" x14ac:dyDescent="0.45">
      <c r="A38" s="561"/>
      <c r="B38" s="1187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29186.299062295078</v>
      </c>
      <c r="S38" s="55">
        <v>7.1734426229508195</v>
      </c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54"/>
      <c r="BY38" s="55"/>
      <c r="BZ38" s="54"/>
      <c r="CA38" s="55"/>
      <c r="CB38" s="54"/>
      <c r="CC38" s="55"/>
      <c r="CD38" s="54"/>
      <c r="CE38" s="55"/>
      <c r="CF38" s="54"/>
      <c r="CG38" s="55"/>
      <c r="CH38" s="54"/>
      <c r="CI38" s="55"/>
      <c r="CJ38" s="54"/>
      <c r="CK38" s="55"/>
      <c r="CL38" s="54"/>
      <c r="CM38" s="55"/>
      <c r="CN38" s="54"/>
      <c r="CO38" s="55"/>
      <c r="CP38" s="54"/>
      <c r="CQ38" s="55"/>
      <c r="CR38" s="54"/>
      <c r="CS38" s="55"/>
      <c r="CT38" s="54"/>
      <c r="CU38" s="55"/>
      <c r="CV38" s="54"/>
      <c r="CW38" s="55"/>
      <c r="CX38" s="54"/>
      <c r="CY38" s="55"/>
      <c r="CZ38" s="54"/>
      <c r="DA38" s="55"/>
      <c r="DB38" s="54"/>
      <c r="DC38" s="55"/>
      <c r="DD38" s="54"/>
      <c r="DE38" s="55"/>
      <c r="DF38" s="54"/>
      <c r="DG38" s="55"/>
      <c r="DH38" s="54"/>
      <c r="DI38" s="55"/>
      <c r="DJ38" s="54"/>
      <c r="DK38" s="55"/>
      <c r="DL38" s="54"/>
      <c r="DM38" s="55"/>
      <c r="DN38" s="54"/>
      <c r="DO38" s="55"/>
      <c r="DP38" s="54"/>
      <c r="DQ38" s="55"/>
      <c r="DR38" s="54"/>
      <c r="DS38" s="55"/>
    </row>
    <row r="39" spans="1:123" s="4" customFormat="1" ht="18" customHeight="1" x14ac:dyDescent="0.45">
      <c r="A39" s="561"/>
      <c r="B39" s="1189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553"/>
      <c r="O39" s="358"/>
      <c r="P39" s="553"/>
      <c r="Q39" s="358"/>
      <c r="R39" s="553"/>
      <c r="S39" s="358"/>
      <c r="T39" s="553"/>
      <c r="U39" s="358"/>
      <c r="V39" s="553"/>
      <c r="W39" s="358"/>
      <c r="X39" s="553"/>
      <c r="Y39" s="358"/>
      <c r="Z39" s="553"/>
      <c r="AA39" s="358"/>
      <c r="AB39" s="553"/>
      <c r="AC39" s="358"/>
      <c r="AD39" s="553"/>
      <c r="AE39" s="358"/>
      <c r="AF39" s="553"/>
      <c r="AG39" s="358"/>
      <c r="AH39" s="553"/>
      <c r="AI39" s="358"/>
      <c r="AJ39" s="553"/>
      <c r="AK39" s="358"/>
      <c r="AL39" s="553"/>
      <c r="AM39" s="358"/>
      <c r="AN39" s="553"/>
      <c r="AO39" s="358"/>
      <c r="AP39" s="553"/>
      <c r="AQ39" s="358"/>
      <c r="AR39" s="553"/>
      <c r="AS39" s="358"/>
      <c r="AT39" s="553"/>
      <c r="AU39" s="358"/>
      <c r="AV39" s="553"/>
      <c r="AW39" s="358"/>
      <c r="AX39" s="553"/>
      <c r="AY39" s="358"/>
      <c r="AZ39" s="553"/>
      <c r="BA39" s="358"/>
      <c r="BB39" s="553"/>
      <c r="BC39" s="358"/>
      <c r="BD39" s="553"/>
      <c r="BE39" s="358"/>
      <c r="BF39" s="553"/>
      <c r="BG39" s="358"/>
      <c r="BH39" s="553"/>
      <c r="BI39" s="358"/>
      <c r="BJ39" s="553"/>
      <c r="BK39" s="358"/>
      <c r="BL39" s="553"/>
      <c r="BM39" s="358"/>
      <c r="BN39" s="553"/>
      <c r="BO39" s="358"/>
      <c r="BP39" s="553"/>
      <c r="BQ39" s="358"/>
      <c r="BR39" s="553"/>
      <c r="BS39" s="358"/>
      <c r="BT39" s="553"/>
      <c r="BU39" s="358"/>
      <c r="BV39" s="553"/>
      <c r="BW39" s="358"/>
      <c r="BX39" s="553"/>
      <c r="BY39" s="358"/>
      <c r="BZ39" s="553"/>
      <c r="CA39" s="358"/>
      <c r="CB39" s="553"/>
      <c r="CC39" s="358"/>
      <c r="CD39" s="553"/>
      <c r="CE39" s="358"/>
      <c r="CF39" s="553"/>
      <c r="CG39" s="358"/>
      <c r="CH39" s="553"/>
      <c r="CI39" s="358"/>
      <c r="CJ39" s="553"/>
      <c r="CK39" s="358"/>
      <c r="CL39" s="553"/>
      <c r="CM39" s="358"/>
      <c r="CN39" s="553"/>
      <c r="CO39" s="358"/>
      <c r="CP39" s="553"/>
      <c r="CQ39" s="358"/>
      <c r="CR39" s="553"/>
      <c r="CS39" s="358"/>
      <c r="CT39" s="553"/>
      <c r="CU39" s="358"/>
      <c r="CV39" s="553"/>
      <c r="CW39" s="358"/>
      <c r="CX39" s="553"/>
      <c r="CY39" s="358"/>
      <c r="CZ39" s="553"/>
      <c r="DA39" s="358"/>
      <c r="DB39" s="553"/>
      <c r="DC39" s="358"/>
      <c r="DD39" s="553"/>
      <c r="DE39" s="358"/>
      <c r="DF39" s="553"/>
      <c r="DG39" s="358"/>
      <c r="DH39" s="553"/>
      <c r="DI39" s="358"/>
      <c r="DJ39" s="553"/>
      <c r="DK39" s="358"/>
      <c r="DL39" s="553"/>
      <c r="DM39" s="358"/>
      <c r="DN39" s="553"/>
      <c r="DO39" s="358"/>
      <c r="DP39" s="553"/>
      <c r="DQ39" s="358"/>
      <c r="DR39" s="553"/>
      <c r="DS39" s="358"/>
    </row>
    <row r="40" spans="1:123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364"/>
      <c r="AG40" s="360"/>
      <c r="AH40" s="364"/>
      <c r="AI40" s="360"/>
      <c r="AJ40" s="364"/>
      <c r="AK40" s="360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364"/>
      <c r="BY40" s="360"/>
      <c r="BZ40" s="364"/>
      <c r="CA40" s="360"/>
      <c r="CB40" s="364"/>
      <c r="CC40" s="360"/>
      <c r="CD40" s="364"/>
      <c r="CE40" s="360"/>
      <c r="CF40" s="364"/>
      <c r="CG40" s="360"/>
      <c r="CH40" s="364"/>
      <c r="CI40" s="360"/>
      <c r="CJ40" s="364"/>
      <c r="CK40" s="360"/>
      <c r="CL40" s="364"/>
      <c r="CM40" s="360"/>
      <c r="CN40" s="364"/>
      <c r="CO40" s="360"/>
      <c r="CP40" s="364"/>
      <c r="CQ40" s="360"/>
      <c r="CR40" s="364"/>
      <c r="CS40" s="360"/>
      <c r="CT40" s="364"/>
      <c r="CU40" s="360"/>
      <c r="CV40" s="364"/>
      <c r="CW40" s="360"/>
      <c r="CX40" s="364"/>
      <c r="CY40" s="360"/>
      <c r="CZ40" s="364"/>
      <c r="DA40" s="360"/>
      <c r="DB40" s="364"/>
      <c r="DC40" s="360"/>
      <c r="DD40" s="364"/>
      <c r="DE40" s="360"/>
      <c r="DF40" s="364"/>
      <c r="DG40" s="360"/>
      <c r="DH40" s="364"/>
      <c r="DI40" s="360"/>
      <c r="DJ40" s="364"/>
      <c r="DK40" s="360"/>
      <c r="DL40" s="364"/>
      <c r="DM40" s="360"/>
      <c r="DN40" s="364"/>
      <c r="DO40" s="360"/>
      <c r="DP40" s="364"/>
      <c r="DQ40" s="360"/>
      <c r="DR40" s="364"/>
      <c r="DS40" s="360"/>
    </row>
    <row r="41" spans="1:123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543.53598818182218</v>
      </c>
      <c r="G41" s="24">
        <f>G42-G54</f>
        <v>0.13359090909090987</v>
      </c>
      <c r="H41" s="430">
        <f>H42-I54*H12</f>
        <v>500.81505818182222</v>
      </c>
      <c r="I41" s="24">
        <f>I42-I54</f>
        <v>0.12309090909090992</v>
      </c>
      <c r="J41" s="430">
        <f>J42-K54*J12</f>
        <v>573.16685773484232</v>
      </c>
      <c r="K41" s="24">
        <f t="shared" ref="K41" si="474">K42-K54</f>
        <v>0.14087361876756554</v>
      </c>
      <c r="L41" s="430">
        <f>L42-M54*L12</f>
        <v>410.24001073171121</v>
      </c>
      <c r="M41" s="24">
        <f>M42-M54</f>
        <v>0.10082926829268357</v>
      </c>
      <c r="N41" s="430">
        <f>N42-O54*N12</f>
        <v>433.60207685756268</v>
      </c>
      <c r="O41" s="24">
        <f>O42-O54</f>
        <v>0.10657122415182441</v>
      </c>
      <c r="P41" s="430">
        <f>P42-Q54*P12</f>
        <v>517.26983641712695</v>
      </c>
      <c r="Q41" s="24">
        <f>Q42-Q54</f>
        <v>0.12713518367647547</v>
      </c>
      <c r="R41" s="430">
        <f>R42-S54*R12</f>
        <v>346.23163394581252</v>
      </c>
      <c r="S41" s="24">
        <f>S42-S54</f>
        <v>8.5097214794505605E-2</v>
      </c>
      <c r="T41" s="430">
        <f>T42-U54*T12</f>
        <v>427.19418286068776</v>
      </c>
      <c r="U41" s="24">
        <f>U42-U54</f>
        <v>0.10499628449186882</v>
      </c>
      <c r="V41" s="430">
        <f>V42-W54*V12</f>
        <v>427.19418286068776</v>
      </c>
      <c r="W41" s="24">
        <f>W42-W54</f>
        <v>0.10499628449186882</v>
      </c>
      <c r="X41" s="430">
        <f>X42-Y54*X12</f>
        <v>427.19418286068776</v>
      </c>
      <c r="Y41" s="24">
        <f>Y42-Y54</f>
        <v>0.10499628449186882</v>
      </c>
      <c r="Z41" s="430">
        <f>Z42-AA54*Z12</f>
        <v>427.19418286068776</v>
      </c>
      <c r="AA41" s="24">
        <f>AA42-AA54</f>
        <v>0.10499628449186882</v>
      </c>
      <c r="AB41" s="430">
        <f>AB42-AC54*AB12</f>
        <v>427.19418286068776</v>
      </c>
      <c r="AC41" s="24">
        <f>AC42-AC54</f>
        <v>0.10499628449186882</v>
      </c>
      <c r="AD41" s="430">
        <f>AD42-AE54*AD12</f>
        <v>427.19418286068776</v>
      </c>
      <c r="AE41" s="24">
        <f>AE42-AE54</f>
        <v>0.10499628449186882</v>
      </c>
      <c r="AF41" s="430">
        <f>AF42-AG54*AF12</f>
        <v>427.19418286068776</v>
      </c>
      <c r="AG41" s="24">
        <f>AG42-AG54</f>
        <v>0.10499628449186882</v>
      </c>
      <c r="AH41" s="430">
        <f>AH42-AI54*AH12</f>
        <v>427.19418286068776</v>
      </c>
      <c r="AI41" s="24">
        <f>AI42-AI54</f>
        <v>0.10499628449186882</v>
      </c>
      <c r="AJ41" s="430">
        <f>AJ42-AK54*AJ12</f>
        <v>427.19418286068776</v>
      </c>
      <c r="AK41" s="24">
        <f>AK42-AK54</f>
        <v>0.10499628449186882</v>
      </c>
      <c r="AL41" s="430">
        <f>AL42-AM54*AL12</f>
        <v>427.19418286068776</v>
      </c>
      <c r="AM41" s="24">
        <f>AM42-AM54</f>
        <v>0.10499628449186882</v>
      </c>
      <c r="AN41" s="430">
        <f>AN42-AO54*AN12</f>
        <v>427.19418286068776</v>
      </c>
      <c r="AO41" s="24">
        <f>AO42-AO54</f>
        <v>0.10499628449186882</v>
      </c>
      <c r="AP41" s="430">
        <f>AP42-AQ54*AP12</f>
        <v>427.19418286068776</v>
      </c>
      <c r="AQ41" s="24">
        <f t="shared" ref="AQ41" si="475">AQ42-AQ54</f>
        <v>0.10499628449186882</v>
      </c>
      <c r="AR41" s="430">
        <f>AR42-AS54*AR12</f>
        <v>427.19418286068776</v>
      </c>
      <c r="AS41" s="24">
        <f t="shared" ref="AS41" si="476">AS42-AS54</f>
        <v>0.10499628449186882</v>
      </c>
      <c r="AT41" s="430">
        <f>AT42-AU54*AT12</f>
        <v>427.19418286068776</v>
      </c>
      <c r="AU41" s="24">
        <f t="shared" ref="AU41" si="477">AU42-AU54</f>
        <v>0.10499628449186882</v>
      </c>
      <c r="AV41" s="430">
        <f>AV42-AW54*AV12</f>
        <v>427.19418286068776</v>
      </c>
      <c r="AW41" s="24">
        <f t="shared" ref="AW41" si="478">AW42-AW54</f>
        <v>0.10499628449186882</v>
      </c>
      <c r="AX41" s="430">
        <f>AX42-AY54*AX12</f>
        <v>427.19418286068776</v>
      </c>
      <c r="AY41" s="24">
        <f t="shared" ref="AY41" si="479">AY42-AY54</f>
        <v>0.10499628449186882</v>
      </c>
      <c r="AZ41" s="430">
        <f>AZ42-BA54*AZ12</f>
        <v>427.19418286068776</v>
      </c>
      <c r="BA41" s="24">
        <f t="shared" ref="BA41:BC41" si="480">BA42-BA54</f>
        <v>0.10499628449186882</v>
      </c>
      <c r="BB41" s="430">
        <f>BB42-BC54*BB12</f>
        <v>427.19418286068776</v>
      </c>
      <c r="BC41" s="24">
        <f t="shared" si="480"/>
        <v>0.10499628449186882</v>
      </c>
      <c r="BD41" s="430">
        <f>BD42-BE54*BD12</f>
        <v>427.19418286068776</v>
      </c>
      <c r="BE41" s="24">
        <f t="shared" ref="BE41:BI41" si="481">BE42-BE54</f>
        <v>0.10499628449186882</v>
      </c>
      <c r="BF41" s="430">
        <f>BF42-BG54*BF12</f>
        <v>427.19418286068776</v>
      </c>
      <c r="BG41" s="24">
        <f t="shared" si="481"/>
        <v>0.10499628449186882</v>
      </c>
      <c r="BH41" s="430">
        <f>BH42-BI54*BH12</f>
        <v>427.19418286068776</v>
      </c>
      <c r="BI41" s="24">
        <f t="shared" si="481"/>
        <v>0.10499628449186882</v>
      </c>
      <c r="BJ41" s="430">
        <f>BJ42-BK54*BJ12</f>
        <v>427.63309528869513</v>
      </c>
      <c r="BK41" s="24">
        <f t="shared" ref="BK41:BM41" si="482">BK42-BK54</f>
        <v>0.1051041609003196</v>
      </c>
      <c r="BL41" s="430">
        <f>BL42-BM54*BL12</f>
        <v>576.2571053207871</v>
      </c>
      <c r="BM41" s="24">
        <f t="shared" si="482"/>
        <v>0.141633143423335</v>
      </c>
      <c r="BN41" s="430">
        <f>BN42-BO54*BN12</f>
        <v>576.2571053207871</v>
      </c>
      <c r="BO41" s="24">
        <f t="shared" ref="BO41:BQ41" si="483">BO42-BO54</f>
        <v>0.141633143423335</v>
      </c>
      <c r="BP41" s="430">
        <f>BP42-BQ54*BP12</f>
        <v>576.2571053207871</v>
      </c>
      <c r="BQ41" s="24">
        <f t="shared" si="483"/>
        <v>0.141633143423335</v>
      </c>
      <c r="BR41" s="430">
        <f>BR42-BS54*BR12</f>
        <v>576.2571053207871</v>
      </c>
      <c r="BS41" s="24">
        <f t="shared" ref="BS41:CS41" si="484">BS42-BS54</f>
        <v>0.141633143423335</v>
      </c>
      <c r="BT41" s="430">
        <f>BT42-BU54*BT12</f>
        <v>576.2571053207871</v>
      </c>
      <c r="BU41" s="24">
        <f t="shared" ref="BU41:BW41" si="485">BU42-BU54</f>
        <v>0.141633143423335</v>
      </c>
      <c r="BV41" s="430">
        <f>BV42-BW54*BV12</f>
        <v>576.2571053207871</v>
      </c>
      <c r="BW41" s="24">
        <f t="shared" si="485"/>
        <v>0.141633143423335</v>
      </c>
      <c r="BX41" s="430">
        <f>BX42-BY54*BX12</f>
        <v>576.2571053207871</v>
      </c>
      <c r="BY41" s="24">
        <f t="shared" ref="BY41:CA41" si="486">BY42-BY54</f>
        <v>0.141633143423335</v>
      </c>
      <c r="BZ41" s="430">
        <f>BZ42-CA54*BZ12</f>
        <v>576.2571053207871</v>
      </c>
      <c r="CA41" s="24">
        <f t="shared" si="486"/>
        <v>0.141633143423335</v>
      </c>
      <c r="CB41" s="430">
        <f>CB42-CC54*CB12</f>
        <v>576.2571053207871</v>
      </c>
      <c r="CC41" s="24">
        <f t="shared" ref="CC41:CE41" si="487">CC42-CC54</f>
        <v>0.141633143423335</v>
      </c>
      <c r="CD41" s="430">
        <f>CD42-CE54*CD12</f>
        <v>576.2571053207871</v>
      </c>
      <c r="CE41" s="24">
        <f t="shared" si="487"/>
        <v>0.141633143423335</v>
      </c>
      <c r="CF41" s="430">
        <f>CF42-CG54*CF12</f>
        <v>576.2571053207871</v>
      </c>
      <c r="CG41" s="24">
        <f t="shared" ref="CG41:CI41" si="488">CG42-CG54</f>
        <v>0.141633143423335</v>
      </c>
      <c r="CH41" s="430">
        <f>CH42-CI54*CH12</f>
        <v>576.2571053207871</v>
      </c>
      <c r="CI41" s="24">
        <f t="shared" si="488"/>
        <v>0.141633143423335</v>
      </c>
      <c r="CJ41" s="430">
        <f>CJ42-CK54*CJ12</f>
        <v>576.2571053207871</v>
      </c>
      <c r="CK41" s="24">
        <f t="shared" ref="CK41:CM41" si="489">CK42-CK54</f>
        <v>0.141633143423335</v>
      </c>
      <c r="CL41" s="430">
        <f>CL42-CM54*CL12</f>
        <v>576.2571053207871</v>
      </c>
      <c r="CM41" s="24">
        <f t="shared" si="489"/>
        <v>0.141633143423335</v>
      </c>
      <c r="CN41" s="430">
        <f>CN42-CO54*CN12</f>
        <v>576.2571053207871</v>
      </c>
      <c r="CO41" s="24">
        <f t="shared" ref="CO41:CQ41" si="490">CO42-CO54</f>
        <v>0.141633143423335</v>
      </c>
      <c r="CP41" s="430">
        <f>CP42-CQ54*CP12</f>
        <v>576.2571053207871</v>
      </c>
      <c r="CQ41" s="24">
        <f t="shared" si="490"/>
        <v>0.141633143423335</v>
      </c>
      <c r="CR41" s="430">
        <f>CR42-CS54*CR12</f>
        <v>421.44955410127341</v>
      </c>
      <c r="CS41" s="24">
        <f t="shared" si="484"/>
        <v>0.10358436293553008</v>
      </c>
      <c r="CT41" s="430">
        <f>CT42-CU54*CT12</f>
        <v>724.20837804805751</v>
      </c>
      <c r="CU41" s="24">
        <f t="shared" ref="CU41" si="491">CU42-CU54</f>
        <v>0.17799677978697115</v>
      </c>
      <c r="CV41" s="430">
        <f>CV42-CW54*CV12</f>
        <v>429.13600623368438</v>
      </c>
      <c r="CW41" s="24">
        <f>CW42-CW54</f>
        <v>0.10547354810519527</v>
      </c>
      <c r="CX41" s="430">
        <f>CX42-CY54*CX12</f>
        <v>427.19418286068822</v>
      </c>
      <c r="CY41" s="24">
        <f>CY42-CY54</f>
        <v>0.10499628449186893</v>
      </c>
      <c r="CZ41" s="430">
        <f>CZ42-DA54*CZ12</f>
        <v>427.19418286068776</v>
      </c>
      <c r="DA41" s="24">
        <f>DA42-DA54</f>
        <v>0.10499628449186882</v>
      </c>
      <c r="DB41" s="430">
        <f>DB42-DC54*DB12</f>
        <v>427.19418286068776</v>
      </c>
      <c r="DC41" s="24">
        <f>DC42-DC54</f>
        <v>0.10499628449186882</v>
      </c>
      <c r="DD41" s="430">
        <f>DD42-DE54*DD12</f>
        <v>428.21997726356767</v>
      </c>
      <c r="DE41" s="24">
        <f>DE42-DE54</f>
        <v>0.10524840543657299</v>
      </c>
      <c r="DF41" s="430">
        <f>DF42-DG54*DF12</f>
        <v>577.13915283832193</v>
      </c>
      <c r="DG41" s="24">
        <f>DG42-DG54</f>
        <v>0.14184993409090985</v>
      </c>
      <c r="DH41" s="430">
        <f>DH42-DI54*DH12</f>
        <v>441.89643372196133</v>
      </c>
      <c r="DI41" s="24">
        <f>DI42-DI54</f>
        <v>0.1086098208555053</v>
      </c>
      <c r="DJ41" s="430">
        <f>DJ42-DK54*DJ12</f>
        <v>485.08710207765398</v>
      </c>
      <c r="DK41" s="24">
        <f>DK42-DK54</f>
        <v>0.11922527369641389</v>
      </c>
      <c r="DL41" s="430">
        <f>DL42-DM54*DL12</f>
        <v>422.20781116856233</v>
      </c>
      <c r="DM41" s="24">
        <f>DM42-DM54</f>
        <v>0.10377072824186917</v>
      </c>
      <c r="DN41" s="430">
        <f>DN42-DO54*DN12</f>
        <v>519.66372831523131</v>
      </c>
      <c r="DO41" s="24">
        <f>DO42-DO54</f>
        <v>0.1277235572191413</v>
      </c>
      <c r="DP41" s="430">
        <f>DP42-DQ54*DP12</f>
        <v>427.19418286068776</v>
      </c>
      <c r="DQ41" s="24">
        <f>DQ42-DQ54</f>
        <v>0.10499628449186882</v>
      </c>
      <c r="DR41" s="430">
        <f>DR42-DS54*DR12</f>
        <v>427.19418286068776</v>
      </c>
      <c r="DS41" s="24">
        <f>DS42-DS54</f>
        <v>0.10499628449186882</v>
      </c>
    </row>
    <row r="42" spans="1:123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K42" si="492">F32-F32/1.1</f>
        <v>2722.3034181818221</v>
      </c>
      <c r="G42" s="24">
        <f t="shared" si="492"/>
        <v>0.66909090909090985</v>
      </c>
      <c r="H42" s="42">
        <f t="shared" si="492"/>
        <v>2722.3034181818221</v>
      </c>
      <c r="I42" s="24">
        <f t="shared" si="492"/>
        <v>0.66909090909090985</v>
      </c>
      <c r="J42" s="42">
        <f t="shared" si="492"/>
        <v>2794.6552177348422</v>
      </c>
      <c r="K42" s="24">
        <f t="shared" si="492"/>
        <v>0.68687361876756547</v>
      </c>
      <c r="L42" s="42">
        <f>L38-L38/1.1</f>
        <v>2631.728370731711</v>
      </c>
      <c r="M42" s="24">
        <f>M38-M38/1.1</f>
        <v>0.6468292682926835</v>
      </c>
      <c r="N42" s="42">
        <f>N32-N32/1.1</f>
        <v>2735.1048482041879</v>
      </c>
      <c r="O42" s="24">
        <f>O32-O32/1.1</f>
        <v>0.67223725949186885</v>
      </c>
      <c r="P42" s="42">
        <f>P32-P32/1.1</f>
        <v>2824.3381172254158</v>
      </c>
      <c r="Q42" s="24">
        <f>Q32-Q32/1.1</f>
        <v>0.69416911642295442</v>
      </c>
      <c r="R42" s="42">
        <f>R38-R38/1.1</f>
        <v>2653.2999147541013</v>
      </c>
      <c r="S42" s="24">
        <f>S38-S38/1.1</f>
        <v>0.65213114754098456</v>
      </c>
      <c r="T42" s="42">
        <f t="shared" ref="T42:AY42" si="493">T32-T32/1.1</f>
        <v>2735.1048482041879</v>
      </c>
      <c r="U42" s="24">
        <f t="shared" si="493"/>
        <v>0.67223725949186885</v>
      </c>
      <c r="V42" s="42">
        <f t="shared" si="493"/>
        <v>2735.1048482041879</v>
      </c>
      <c r="W42" s="24">
        <f t="shared" si="493"/>
        <v>0.67223725949186885</v>
      </c>
      <c r="X42" s="42">
        <f t="shared" si="493"/>
        <v>2735.1048482041879</v>
      </c>
      <c r="Y42" s="24">
        <f t="shared" si="493"/>
        <v>0.67223725949186885</v>
      </c>
      <c r="Z42" s="42">
        <f t="shared" si="493"/>
        <v>2735.1048482041879</v>
      </c>
      <c r="AA42" s="24">
        <f t="shared" si="493"/>
        <v>0.67223725949186885</v>
      </c>
      <c r="AB42" s="42">
        <f t="shared" si="493"/>
        <v>2735.1048482041879</v>
      </c>
      <c r="AC42" s="24">
        <f t="shared" si="493"/>
        <v>0.67223725949186885</v>
      </c>
      <c r="AD42" s="42">
        <f t="shared" si="493"/>
        <v>2735.1048482041879</v>
      </c>
      <c r="AE42" s="24">
        <f t="shared" si="493"/>
        <v>0.67223725949186885</v>
      </c>
      <c r="AF42" s="42">
        <f t="shared" si="493"/>
        <v>2735.1048482041879</v>
      </c>
      <c r="AG42" s="24">
        <f t="shared" si="493"/>
        <v>0.67223725949186885</v>
      </c>
      <c r="AH42" s="42">
        <f t="shared" si="493"/>
        <v>2735.1048482041879</v>
      </c>
      <c r="AI42" s="24">
        <f t="shared" si="493"/>
        <v>0.67223725949186885</v>
      </c>
      <c r="AJ42" s="42">
        <f t="shared" si="493"/>
        <v>2735.1048482041879</v>
      </c>
      <c r="AK42" s="24">
        <f t="shared" si="493"/>
        <v>0.67223725949186885</v>
      </c>
      <c r="AL42" s="42">
        <f t="shared" si="493"/>
        <v>2735.1048482041879</v>
      </c>
      <c r="AM42" s="24">
        <f t="shared" si="493"/>
        <v>0.67223725949186885</v>
      </c>
      <c r="AN42" s="42">
        <f t="shared" si="493"/>
        <v>2735.1048482041879</v>
      </c>
      <c r="AO42" s="24">
        <f t="shared" si="493"/>
        <v>0.67223725949186885</v>
      </c>
      <c r="AP42" s="42">
        <f t="shared" si="493"/>
        <v>2735.1048482041879</v>
      </c>
      <c r="AQ42" s="24">
        <f t="shared" si="493"/>
        <v>0.67223725949186885</v>
      </c>
      <c r="AR42" s="42">
        <f t="shared" si="493"/>
        <v>2735.1048482041879</v>
      </c>
      <c r="AS42" s="24">
        <f t="shared" si="493"/>
        <v>0.67223725949186885</v>
      </c>
      <c r="AT42" s="42">
        <f t="shared" si="493"/>
        <v>2735.1048482041879</v>
      </c>
      <c r="AU42" s="24">
        <f t="shared" si="493"/>
        <v>0.67223725949186885</v>
      </c>
      <c r="AV42" s="42">
        <f t="shared" si="493"/>
        <v>2735.1048482041879</v>
      </c>
      <c r="AW42" s="24">
        <f t="shared" si="493"/>
        <v>0.67223725949186885</v>
      </c>
      <c r="AX42" s="42">
        <f t="shared" si="493"/>
        <v>2735.1048482041879</v>
      </c>
      <c r="AY42" s="24">
        <f t="shared" si="493"/>
        <v>0.67223725949186885</v>
      </c>
      <c r="AZ42" s="42">
        <f t="shared" ref="AZ42:CE42" si="494">AZ32-AZ32/1.1</f>
        <v>2735.1048482041879</v>
      </c>
      <c r="BA42" s="24">
        <f t="shared" si="494"/>
        <v>0.67223725949186885</v>
      </c>
      <c r="BB42" s="42">
        <f t="shared" si="494"/>
        <v>2735.1048482041879</v>
      </c>
      <c r="BC42" s="24">
        <f t="shared" si="494"/>
        <v>0.67223725949186885</v>
      </c>
      <c r="BD42" s="42">
        <f t="shared" si="494"/>
        <v>2735.1048482041879</v>
      </c>
      <c r="BE42" s="24">
        <f t="shared" si="494"/>
        <v>0.67223725949186885</v>
      </c>
      <c r="BF42" s="42">
        <f t="shared" si="494"/>
        <v>2735.1048482041879</v>
      </c>
      <c r="BG42" s="24">
        <f t="shared" si="494"/>
        <v>0.67223725949186885</v>
      </c>
      <c r="BH42" s="42">
        <f t="shared" si="494"/>
        <v>2735.1048482041879</v>
      </c>
      <c r="BI42" s="24">
        <f t="shared" si="494"/>
        <v>0.67223725949186885</v>
      </c>
      <c r="BJ42" s="42">
        <f t="shared" si="494"/>
        <v>2735.1048482041879</v>
      </c>
      <c r="BK42" s="24">
        <f t="shared" si="494"/>
        <v>0.67223725949186885</v>
      </c>
      <c r="BL42" s="42">
        <f t="shared" si="494"/>
        <v>2885.049818181822</v>
      </c>
      <c r="BM42" s="24">
        <f t="shared" si="494"/>
        <v>0.70909090909090988</v>
      </c>
      <c r="BN42" s="42">
        <f t="shared" si="494"/>
        <v>2885.049818181822</v>
      </c>
      <c r="BO42" s="24">
        <f t="shared" si="494"/>
        <v>0.70909090909090988</v>
      </c>
      <c r="BP42" s="42">
        <f t="shared" si="494"/>
        <v>2885.049818181822</v>
      </c>
      <c r="BQ42" s="24">
        <f t="shared" si="494"/>
        <v>0.70909090909090988</v>
      </c>
      <c r="BR42" s="42">
        <f t="shared" si="494"/>
        <v>2885.049818181822</v>
      </c>
      <c r="BS42" s="24">
        <f t="shared" si="494"/>
        <v>0.70909090909090988</v>
      </c>
      <c r="BT42" s="42">
        <f t="shared" si="494"/>
        <v>2885.049818181822</v>
      </c>
      <c r="BU42" s="24">
        <f t="shared" si="494"/>
        <v>0.70909090909090988</v>
      </c>
      <c r="BV42" s="42">
        <f t="shared" si="494"/>
        <v>2885.049818181822</v>
      </c>
      <c r="BW42" s="24">
        <f t="shared" si="494"/>
        <v>0.70909090909090988</v>
      </c>
      <c r="BX42" s="42">
        <f t="shared" si="494"/>
        <v>2885.049818181822</v>
      </c>
      <c r="BY42" s="24">
        <f t="shared" si="494"/>
        <v>0.70909090909090988</v>
      </c>
      <c r="BZ42" s="42">
        <f t="shared" si="494"/>
        <v>2885.049818181822</v>
      </c>
      <c r="CA42" s="24">
        <f t="shared" si="494"/>
        <v>0.70909090909090988</v>
      </c>
      <c r="CB42" s="42">
        <f t="shared" si="494"/>
        <v>2885.049818181822</v>
      </c>
      <c r="CC42" s="24">
        <f t="shared" si="494"/>
        <v>0.70909090909090988</v>
      </c>
      <c r="CD42" s="42">
        <f t="shared" si="494"/>
        <v>2885.049818181822</v>
      </c>
      <c r="CE42" s="24">
        <f t="shared" si="494"/>
        <v>0.70909090909090988</v>
      </c>
      <c r="CF42" s="42">
        <f t="shared" ref="CF42:DK42" si="495">CF32-CF32/1.1</f>
        <v>2885.049818181822</v>
      </c>
      <c r="CG42" s="24">
        <f t="shared" si="495"/>
        <v>0.70909090909090988</v>
      </c>
      <c r="CH42" s="42">
        <f t="shared" si="495"/>
        <v>2885.049818181822</v>
      </c>
      <c r="CI42" s="24">
        <f t="shared" si="495"/>
        <v>0.70909090909090988</v>
      </c>
      <c r="CJ42" s="42">
        <f t="shared" si="495"/>
        <v>2885.049818181822</v>
      </c>
      <c r="CK42" s="24">
        <f t="shared" si="495"/>
        <v>0.70909090909090988</v>
      </c>
      <c r="CL42" s="42">
        <f t="shared" si="495"/>
        <v>2885.049818181822</v>
      </c>
      <c r="CM42" s="24">
        <f t="shared" si="495"/>
        <v>0.70909090909090988</v>
      </c>
      <c r="CN42" s="42">
        <f t="shared" si="495"/>
        <v>2885.049818181822</v>
      </c>
      <c r="CO42" s="24">
        <f t="shared" si="495"/>
        <v>0.70909090909090988</v>
      </c>
      <c r="CP42" s="42">
        <f t="shared" si="495"/>
        <v>2885.049818181822</v>
      </c>
      <c r="CQ42" s="24">
        <f t="shared" si="495"/>
        <v>0.70909090909090988</v>
      </c>
      <c r="CR42" s="42">
        <f t="shared" si="495"/>
        <v>2730.2422669623083</v>
      </c>
      <c r="CS42" s="24">
        <f t="shared" si="495"/>
        <v>0.67104212860310497</v>
      </c>
      <c r="CT42" s="42">
        <f t="shared" si="495"/>
        <v>3033.0010909090925</v>
      </c>
      <c r="CU42" s="24">
        <f t="shared" si="495"/>
        <v>0.74545454545454604</v>
      </c>
      <c r="CV42" s="42">
        <f t="shared" si="495"/>
        <v>2735.1048482041879</v>
      </c>
      <c r="CW42" s="24">
        <f t="shared" si="495"/>
        <v>0.67223725949186885</v>
      </c>
      <c r="CX42" s="42">
        <f t="shared" si="495"/>
        <v>2735.1048482041879</v>
      </c>
      <c r="CY42" s="24">
        <f t="shared" si="495"/>
        <v>0.67223725949186885</v>
      </c>
      <c r="CZ42" s="42">
        <f t="shared" si="495"/>
        <v>2735.1048482041879</v>
      </c>
      <c r="DA42" s="24">
        <f t="shared" si="495"/>
        <v>0.67223725949186885</v>
      </c>
      <c r="DB42" s="42">
        <f t="shared" si="495"/>
        <v>2735.1048482041879</v>
      </c>
      <c r="DC42" s="24">
        <f t="shared" si="495"/>
        <v>0.67223725949186885</v>
      </c>
      <c r="DD42" s="42">
        <f t="shared" si="495"/>
        <v>2735.1048482041879</v>
      </c>
      <c r="DE42" s="24">
        <f t="shared" si="495"/>
        <v>0.67223725949186885</v>
      </c>
      <c r="DF42" s="42">
        <f t="shared" si="495"/>
        <v>2885.049818181822</v>
      </c>
      <c r="DG42" s="24">
        <f t="shared" si="495"/>
        <v>0.70909090909090988</v>
      </c>
      <c r="DH42" s="42">
        <f t="shared" si="495"/>
        <v>3005.115920931461</v>
      </c>
      <c r="DI42" s="24">
        <f t="shared" si="495"/>
        <v>0.73860089585550526</v>
      </c>
      <c r="DJ42" s="42">
        <f t="shared" si="495"/>
        <v>2920.0439391132786</v>
      </c>
      <c r="DK42" s="24">
        <f t="shared" si="495"/>
        <v>0.71769180494641382</v>
      </c>
      <c r="DL42" s="42">
        <f t="shared" ref="DL42:DS42" si="496">DL32-DL32/1.1</f>
        <v>2857.164648204187</v>
      </c>
      <c r="DM42" s="24">
        <f t="shared" si="496"/>
        <v>0.7022372594918691</v>
      </c>
      <c r="DN42" s="42">
        <f t="shared" si="496"/>
        <v>2827.5743936587314</v>
      </c>
      <c r="DO42" s="24">
        <f t="shared" si="496"/>
        <v>0.69496453221914134</v>
      </c>
      <c r="DP42" s="42">
        <f t="shared" si="496"/>
        <v>2735.1048482041879</v>
      </c>
      <c r="DQ42" s="24">
        <f t="shared" si="496"/>
        <v>0.67223725949186885</v>
      </c>
      <c r="DR42" s="42">
        <f t="shared" si="496"/>
        <v>2735.1048482041879</v>
      </c>
      <c r="DS42" s="24">
        <f t="shared" si="496"/>
        <v>0.67223725949186885</v>
      </c>
    </row>
    <row r="43" spans="1:123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K43" si="497">+F44/F32</f>
        <v>0.11261777681901675</v>
      </c>
      <c r="G43" s="48">
        <f t="shared" si="497"/>
        <v>0.11261777681901686</v>
      </c>
      <c r="H43" s="47">
        <f t="shared" si="497"/>
        <v>9.8351472471190721E-2</v>
      </c>
      <c r="I43" s="48">
        <f t="shared" si="497"/>
        <v>9.8351472471190762E-2</v>
      </c>
      <c r="J43" s="47">
        <f t="shared" si="497"/>
        <v>0.11934098732647433</v>
      </c>
      <c r="K43" s="48">
        <f t="shared" si="497"/>
        <v>0.11934098732647429</v>
      </c>
      <c r="L43" s="361">
        <f>+L44/L38</f>
        <v>7.0448606902625138E-2</v>
      </c>
      <c r="M43" s="362">
        <f>+M44/M38</f>
        <v>7.044860690262511E-2</v>
      </c>
      <c r="N43" s="361">
        <f>+N44/N32</f>
        <v>7.5550975507367821E-2</v>
      </c>
      <c r="O43" s="362">
        <f>+O44/O32</f>
        <v>7.5550975507367807E-2</v>
      </c>
      <c r="P43" s="361">
        <f>+P44/P32</f>
        <v>0.10009475751935988</v>
      </c>
      <c r="Q43" s="362">
        <f>+Q44/Q32</f>
        <v>0.10009475751935978</v>
      </c>
      <c r="R43" s="361">
        <f>+R44/R38</f>
        <v>4.7944886786094154E-2</v>
      </c>
      <c r="S43" s="362">
        <f>+S44/S38</f>
        <v>4.7944886786094168E-2</v>
      </c>
      <c r="T43" s="361">
        <f t="shared" ref="T43:AY43" si="498">+T44/T32</f>
        <v>7.3421127292297855E-2</v>
      </c>
      <c r="U43" s="362">
        <f t="shared" si="498"/>
        <v>7.3421127292297883E-2</v>
      </c>
      <c r="V43" s="361">
        <f t="shared" si="498"/>
        <v>7.3421127292297855E-2</v>
      </c>
      <c r="W43" s="362">
        <f t="shared" si="498"/>
        <v>7.3421127292297883E-2</v>
      </c>
      <c r="X43" s="361">
        <f t="shared" si="498"/>
        <v>7.3421127292297855E-2</v>
      </c>
      <c r="Y43" s="362">
        <f t="shared" si="498"/>
        <v>7.3421127292297883E-2</v>
      </c>
      <c r="Z43" s="361">
        <f t="shared" si="498"/>
        <v>7.3421127292297855E-2</v>
      </c>
      <c r="AA43" s="362">
        <f t="shared" si="498"/>
        <v>7.3421127292297883E-2</v>
      </c>
      <c r="AB43" s="361">
        <f t="shared" si="498"/>
        <v>7.3421127292297855E-2</v>
      </c>
      <c r="AC43" s="362">
        <f t="shared" si="498"/>
        <v>7.3421127292297883E-2</v>
      </c>
      <c r="AD43" s="361">
        <f t="shared" si="498"/>
        <v>7.3421127292297855E-2</v>
      </c>
      <c r="AE43" s="362">
        <f t="shared" si="498"/>
        <v>7.3421127292297883E-2</v>
      </c>
      <c r="AF43" s="361">
        <f t="shared" si="498"/>
        <v>7.3421127292297855E-2</v>
      </c>
      <c r="AG43" s="362">
        <f t="shared" si="498"/>
        <v>7.3421127292297883E-2</v>
      </c>
      <c r="AH43" s="361">
        <f t="shared" si="498"/>
        <v>7.3421127292297855E-2</v>
      </c>
      <c r="AI43" s="362">
        <f t="shared" si="498"/>
        <v>7.3421127292297883E-2</v>
      </c>
      <c r="AJ43" s="361">
        <f t="shared" si="498"/>
        <v>7.3421127292297855E-2</v>
      </c>
      <c r="AK43" s="362">
        <f t="shared" si="498"/>
        <v>7.3421127292297883E-2</v>
      </c>
      <c r="AL43" s="361">
        <f t="shared" si="498"/>
        <v>7.3421127292297855E-2</v>
      </c>
      <c r="AM43" s="362">
        <f t="shared" si="498"/>
        <v>7.3421127292297883E-2</v>
      </c>
      <c r="AN43" s="361">
        <f t="shared" si="498"/>
        <v>7.3421127292297855E-2</v>
      </c>
      <c r="AO43" s="362">
        <f t="shared" si="498"/>
        <v>7.3421127292297883E-2</v>
      </c>
      <c r="AP43" s="361">
        <f t="shared" si="498"/>
        <v>7.3421127292297855E-2</v>
      </c>
      <c r="AQ43" s="362">
        <f t="shared" si="498"/>
        <v>7.3421127292297883E-2</v>
      </c>
      <c r="AR43" s="361">
        <f t="shared" si="498"/>
        <v>7.3421127292297855E-2</v>
      </c>
      <c r="AS43" s="362">
        <f t="shared" si="498"/>
        <v>7.3421127292297883E-2</v>
      </c>
      <c r="AT43" s="361">
        <f t="shared" si="498"/>
        <v>7.3421127292297855E-2</v>
      </c>
      <c r="AU43" s="362">
        <f t="shared" si="498"/>
        <v>7.3421127292297883E-2</v>
      </c>
      <c r="AV43" s="361">
        <f t="shared" si="498"/>
        <v>7.3421127292297855E-2</v>
      </c>
      <c r="AW43" s="362">
        <f t="shared" si="498"/>
        <v>7.3421127292297883E-2</v>
      </c>
      <c r="AX43" s="361">
        <f t="shared" si="498"/>
        <v>7.3421127292297855E-2</v>
      </c>
      <c r="AY43" s="362">
        <f t="shared" si="498"/>
        <v>7.3421127292297883E-2</v>
      </c>
      <c r="AZ43" s="361">
        <f t="shared" ref="AZ43:CE43" si="499">+AZ44/AZ32</f>
        <v>7.3421127292297855E-2</v>
      </c>
      <c r="BA43" s="362">
        <f t="shared" si="499"/>
        <v>7.3421127292297883E-2</v>
      </c>
      <c r="BB43" s="361">
        <f t="shared" si="499"/>
        <v>7.3421127292297855E-2</v>
      </c>
      <c r="BC43" s="362">
        <f t="shared" si="499"/>
        <v>7.3421127292297883E-2</v>
      </c>
      <c r="BD43" s="361">
        <f t="shared" si="499"/>
        <v>7.3421127292297855E-2</v>
      </c>
      <c r="BE43" s="362">
        <f t="shared" si="499"/>
        <v>7.3421127292297883E-2</v>
      </c>
      <c r="BF43" s="361">
        <f t="shared" si="499"/>
        <v>7.3421127292297855E-2</v>
      </c>
      <c r="BG43" s="362">
        <f t="shared" si="499"/>
        <v>7.3421127292297883E-2</v>
      </c>
      <c r="BH43" s="361">
        <f t="shared" si="499"/>
        <v>7.3421127292297855E-2</v>
      </c>
      <c r="BI43" s="362">
        <f t="shared" si="499"/>
        <v>7.3421127292297883E-2</v>
      </c>
      <c r="BJ43" s="361">
        <f t="shared" si="499"/>
        <v>7.3567012485126981E-2</v>
      </c>
      <c r="BK43" s="362">
        <f t="shared" si="499"/>
        <v>7.3567012485126926E-2</v>
      </c>
      <c r="BL43" s="361">
        <f t="shared" si="499"/>
        <v>0.11870105371467769</v>
      </c>
      <c r="BM43" s="362">
        <f t="shared" si="499"/>
        <v>0.11870105371467771</v>
      </c>
      <c r="BN43" s="361">
        <f t="shared" si="499"/>
        <v>0.11870105371467769</v>
      </c>
      <c r="BO43" s="362">
        <f t="shared" si="499"/>
        <v>0.11870105371467771</v>
      </c>
      <c r="BP43" s="361">
        <f t="shared" si="499"/>
        <v>0.11870105371467769</v>
      </c>
      <c r="BQ43" s="362">
        <f t="shared" si="499"/>
        <v>0.11870105371467771</v>
      </c>
      <c r="BR43" s="361">
        <f t="shared" si="499"/>
        <v>0.11870105371467769</v>
      </c>
      <c r="BS43" s="362">
        <f t="shared" si="499"/>
        <v>0.11870105371467771</v>
      </c>
      <c r="BT43" s="361">
        <f t="shared" si="499"/>
        <v>0.11870105371467769</v>
      </c>
      <c r="BU43" s="362">
        <f t="shared" si="499"/>
        <v>0.11870105371467771</v>
      </c>
      <c r="BV43" s="361">
        <f t="shared" si="499"/>
        <v>0.11870105371467769</v>
      </c>
      <c r="BW43" s="362">
        <f t="shared" si="499"/>
        <v>0.11870105371467771</v>
      </c>
      <c r="BX43" s="361">
        <f t="shared" si="499"/>
        <v>0.11870105371467769</v>
      </c>
      <c r="BY43" s="362">
        <f t="shared" si="499"/>
        <v>0.11870105371467771</v>
      </c>
      <c r="BZ43" s="361">
        <f t="shared" si="499"/>
        <v>0.11870105371467769</v>
      </c>
      <c r="CA43" s="362">
        <f t="shared" si="499"/>
        <v>0.11870105371467771</v>
      </c>
      <c r="CB43" s="361">
        <f t="shared" si="499"/>
        <v>0.11870105371467769</v>
      </c>
      <c r="CC43" s="362">
        <f t="shared" si="499"/>
        <v>0.11870105371467771</v>
      </c>
      <c r="CD43" s="361">
        <f t="shared" si="499"/>
        <v>0.11870105371467769</v>
      </c>
      <c r="CE43" s="362">
        <f t="shared" si="499"/>
        <v>0.11870105371467771</v>
      </c>
      <c r="CF43" s="361">
        <f t="shared" ref="CF43:DK43" si="500">+CF44/CF32</f>
        <v>0.11870105371467769</v>
      </c>
      <c r="CG43" s="362">
        <f t="shared" si="500"/>
        <v>0.11870105371467771</v>
      </c>
      <c r="CH43" s="361">
        <f t="shared" si="500"/>
        <v>0.11870105371467769</v>
      </c>
      <c r="CI43" s="362">
        <f t="shared" si="500"/>
        <v>0.11870105371467771</v>
      </c>
      <c r="CJ43" s="361">
        <f t="shared" si="500"/>
        <v>0.11870105371467769</v>
      </c>
      <c r="CK43" s="362">
        <f t="shared" si="500"/>
        <v>0.11870105371467771</v>
      </c>
      <c r="CL43" s="361">
        <f t="shared" si="500"/>
        <v>0.11870105371467769</v>
      </c>
      <c r="CM43" s="362">
        <f t="shared" si="500"/>
        <v>0.11870105371467771</v>
      </c>
      <c r="CN43" s="361">
        <f t="shared" si="500"/>
        <v>0.11870105371467769</v>
      </c>
      <c r="CO43" s="362">
        <f t="shared" si="500"/>
        <v>0.11870105371467771</v>
      </c>
      <c r="CP43" s="361">
        <f t="shared" si="500"/>
        <v>0.11870105371467769</v>
      </c>
      <c r="CQ43" s="362">
        <f t="shared" si="500"/>
        <v>0.11870105371467771</v>
      </c>
      <c r="CR43" s="361">
        <f t="shared" si="500"/>
        <v>7.3885134079942905E-2</v>
      </c>
      <c r="CS43" s="362">
        <f t="shared" si="500"/>
        <v>7.3885134079942905E-2</v>
      </c>
      <c r="CT43" s="361">
        <f t="shared" si="500"/>
        <v>0.15725665641595726</v>
      </c>
      <c r="CU43" s="362">
        <f t="shared" si="500"/>
        <v>0.15725665641595724</v>
      </c>
      <c r="CV43" s="361">
        <f t="shared" si="500"/>
        <v>7.4066548244481931E-2</v>
      </c>
      <c r="CW43" s="362">
        <f t="shared" si="500"/>
        <v>7.4066548244481875E-2</v>
      </c>
      <c r="CX43" s="361">
        <f t="shared" si="500"/>
        <v>7.3421127292297966E-2</v>
      </c>
      <c r="CY43" s="362">
        <f t="shared" si="500"/>
        <v>7.342112729229798E-2</v>
      </c>
      <c r="CZ43" s="361">
        <f t="shared" si="500"/>
        <v>7.3421127292297855E-2</v>
      </c>
      <c r="DA43" s="362">
        <f t="shared" si="500"/>
        <v>7.3421127292297883E-2</v>
      </c>
      <c r="DB43" s="361">
        <f t="shared" si="500"/>
        <v>7.3421127292297855E-2</v>
      </c>
      <c r="DC43" s="362">
        <f t="shared" si="500"/>
        <v>7.3421127292297883E-2</v>
      </c>
      <c r="DD43" s="361">
        <f t="shared" si="500"/>
        <v>7.3762079620639714E-2</v>
      </c>
      <c r="DE43" s="362">
        <f t="shared" si="500"/>
        <v>7.3762079620639659E-2</v>
      </c>
      <c r="DF43" s="361">
        <f t="shared" si="500"/>
        <v>0.11685347274204665</v>
      </c>
      <c r="DG43" s="362">
        <f t="shared" si="500"/>
        <v>0.11685347274204669</v>
      </c>
      <c r="DH43" s="361">
        <f t="shared" si="500"/>
        <v>7.1271847560725743E-2</v>
      </c>
      <c r="DI43" s="362">
        <f t="shared" si="500"/>
        <v>7.1271847560725798E-2</v>
      </c>
      <c r="DJ43" s="361">
        <f t="shared" si="500"/>
        <v>8.6794724005290425E-2</v>
      </c>
      <c r="DK43" s="362">
        <f t="shared" si="500"/>
        <v>8.6794724005290563E-2</v>
      </c>
      <c r="DL43" s="361">
        <f t="shared" ref="DL43:DS43" si="501">+DL44/DL32</f>
        <v>6.8697971664492458E-2</v>
      </c>
      <c r="DM43" s="362">
        <f t="shared" si="501"/>
        <v>6.8697971664492513E-2</v>
      </c>
      <c r="DN43" s="361">
        <f t="shared" si="501"/>
        <v>0.10074985294716124</v>
      </c>
      <c r="DO43" s="362">
        <f t="shared" si="501"/>
        <v>0.10074985294716131</v>
      </c>
      <c r="DP43" s="361">
        <f t="shared" si="501"/>
        <v>7.3421127292297855E-2</v>
      </c>
      <c r="DQ43" s="362">
        <f t="shared" si="501"/>
        <v>7.3421127292297883E-2</v>
      </c>
      <c r="DR43" s="361">
        <f t="shared" si="501"/>
        <v>7.3421127292297855E-2</v>
      </c>
      <c r="DS43" s="362">
        <f t="shared" si="501"/>
        <v>7.3421127292297883E-2</v>
      </c>
    </row>
    <row r="44" spans="1:123" s="4" customFormat="1" ht="18" customHeight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K44" si="502">+F32-F45-F41</f>
        <v>3372.3773466069106</v>
      </c>
      <c r="G44" s="24">
        <f t="shared" si="502"/>
        <v>0.82886683738796407</v>
      </c>
      <c r="H44" s="42">
        <f t="shared" si="502"/>
        <v>2945.1680466069124</v>
      </c>
      <c r="I44" s="24">
        <f t="shared" si="502"/>
        <v>0.72386683738796409</v>
      </c>
      <c r="J44" s="42">
        <f t="shared" si="502"/>
        <v>3668.6860421371498</v>
      </c>
      <c r="K44" s="24">
        <f t="shared" si="502"/>
        <v>0.90169393415452481</v>
      </c>
      <c r="L44" s="42">
        <f>+L38-L45-L41</f>
        <v>2039.4175721058059</v>
      </c>
      <c r="M44" s="24">
        <f>+M38-M45-M41</f>
        <v>0.50125042940570241</v>
      </c>
      <c r="N44" s="42">
        <f>+N32-N45-N41</f>
        <v>2273.0382333643311</v>
      </c>
      <c r="O44" s="24">
        <f>+O32-O45-O41</f>
        <v>0.55866998799711221</v>
      </c>
      <c r="P44" s="42">
        <f>+P32-P45-P41</f>
        <v>3109.715828959997</v>
      </c>
      <c r="Q44" s="24">
        <f>+Q32-Q45-Q41</f>
        <v>0.76430958324362164</v>
      </c>
      <c r="R44" s="42">
        <f>+R38-R45-R41</f>
        <v>1399.3338042468235</v>
      </c>
      <c r="S44" s="24">
        <f>+S38-S45-S41</f>
        <v>0.34392989442391941</v>
      </c>
      <c r="T44" s="42">
        <f t="shared" ref="T44:AY44" si="503">+T32-T45-T41</f>
        <v>2208.9592933955855</v>
      </c>
      <c r="U44" s="24">
        <f t="shared" si="503"/>
        <v>0.54292059139755744</v>
      </c>
      <c r="V44" s="42">
        <f t="shared" si="503"/>
        <v>2208.9592933955855</v>
      </c>
      <c r="W44" s="24">
        <f t="shared" si="503"/>
        <v>0.54292059139755744</v>
      </c>
      <c r="X44" s="42">
        <f t="shared" si="503"/>
        <v>2208.9592933955855</v>
      </c>
      <c r="Y44" s="24">
        <f t="shared" si="503"/>
        <v>0.54292059139755744</v>
      </c>
      <c r="Z44" s="42">
        <f t="shared" si="503"/>
        <v>2208.9592933955855</v>
      </c>
      <c r="AA44" s="24">
        <f t="shared" si="503"/>
        <v>0.54292059139755744</v>
      </c>
      <c r="AB44" s="42">
        <f t="shared" si="503"/>
        <v>2208.9592933955855</v>
      </c>
      <c r="AC44" s="24">
        <f t="shared" si="503"/>
        <v>0.54292059139755744</v>
      </c>
      <c r="AD44" s="42">
        <f t="shared" si="503"/>
        <v>2208.9592933955855</v>
      </c>
      <c r="AE44" s="24">
        <f t="shared" si="503"/>
        <v>0.54292059139755744</v>
      </c>
      <c r="AF44" s="42">
        <f t="shared" si="503"/>
        <v>2208.9592933955855</v>
      </c>
      <c r="AG44" s="24">
        <f t="shared" si="503"/>
        <v>0.54292059139755744</v>
      </c>
      <c r="AH44" s="42">
        <f t="shared" si="503"/>
        <v>2208.9592933955855</v>
      </c>
      <c r="AI44" s="24">
        <f t="shared" si="503"/>
        <v>0.54292059139755744</v>
      </c>
      <c r="AJ44" s="42">
        <f t="shared" si="503"/>
        <v>2208.9592933955855</v>
      </c>
      <c r="AK44" s="24">
        <f t="shared" si="503"/>
        <v>0.54292059139755744</v>
      </c>
      <c r="AL44" s="42">
        <f t="shared" si="503"/>
        <v>2208.9592933955855</v>
      </c>
      <c r="AM44" s="24">
        <f t="shared" si="503"/>
        <v>0.54292059139755744</v>
      </c>
      <c r="AN44" s="42">
        <f t="shared" si="503"/>
        <v>2208.9592933955855</v>
      </c>
      <c r="AO44" s="24">
        <f t="shared" si="503"/>
        <v>0.54292059139755744</v>
      </c>
      <c r="AP44" s="42">
        <f t="shared" si="503"/>
        <v>2208.9592933955855</v>
      </c>
      <c r="AQ44" s="24">
        <f t="shared" si="503"/>
        <v>0.54292059139755744</v>
      </c>
      <c r="AR44" s="42">
        <f t="shared" si="503"/>
        <v>2208.9592933955855</v>
      </c>
      <c r="AS44" s="24">
        <f t="shared" si="503"/>
        <v>0.54292059139755744</v>
      </c>
      <c r="AT44" s="42">
        <f t="shared" si="503"/>
        <v>2208.9592933955855</v>
      </c>
      <c r="AU44" s="24">
        <f t="shared" si="503"/>
        <v>0.54292059139755744</v>
      </c>
      <c r="AV44" s="42">
        <f t="shared" si="503"/>
        <v>2208.9592933955855</v>
      </c>
      <c r="AW44" s="24">
        <f t="shared" si="503"/>
        <v>0.54292059139755744</v>
      </c>
      <c r="AX44" s="42">
        <f t="shared" si="503"/>
        <v>2208.9592933955855</v>
      </c>
      <c r="AY44" s="24">
        <f t="shared" si="503"/>
        <v>0.54292059139755744</v>
      </c>
      <c r="AZ44" s="42">
        <f t="shared" ref="AZ44:CE44" si="504">+AZ32-AZ45-AZ41</f>
        <v>2208.9592933955855</v>
      </c>
      <c r="BA44" s="24">
        <f t="shared" si="504"/>
        <v>0.54292059139755744</v>
      </c>
      <c r="BB44" s="42">
        <f t="shared" si="504"/>
        <v>2208.9592933955855</v>
      </c>
      <c r="BC44" s="24">
        <f t="shared" si="504"/>
        <v>0.54292059139755744</v>
      </c>
      <c r="BD44" s="42">
        <f t="shared" si="504"/>
        <v>2208.9592933955855</v>
      </c>
      <c r="BE44" s="24">
        <f t="shared" si="504"/>
        <v>0.54292059139755744</v>
      </c>
      <c r="BF44" s="42">
        <f t="shared" si="504"/>
        <v>2208.9592933955855</v>
      </c>
      <c r="BG44" s="24">
        <f t="shared" si="504"/>
        <v>0.54292059139755744</v>
      </c>
      <c r="BH44" s="42">
        <f t="shared" si="504"/>
        <v>2208.9592933955855</v>
      </c>
      <c r="BI44" s="24">
        <f t="shared" si="504"/>
        <v>0.54292059139755744</v>
      </c>
      <c r="BJ44" s="42">
        <f t="shared" si="504"/>
        <v>2213.3484176756551</v>
      </c>
      <c r="BK44" s="24">
        <f t="shared" si="504"/>
        <v>0.54399935548206368</v>
      </c>
      <c r="BL44" s="42">
        <f t="shared" si="504"/>
        <v>3767.042987812732</v>
      </c>
      <c r="BM44" s="24">
        <f t="shared" si="504"/>
        <v>0.92586821897448612</v>
      </c>
      <c r="BN44" s="42">
        <f t="shared" si="504"/>
        <v>3767.042987812732</v>
      </c>
      <c r="BO44" s="24">
        <f t="shared" si="504"/>
        <v>0.92586821897448612</v>
      </c>
      <c r="BP44" s="42">
        <f t="shared" si="504"/>
        <v>3767.042987812732</v>
      </c>
      <c r="BQ44" s="24">
        <f t="shared" si="504"/>
        <v>0.92586821897448612</v>
      </c>
      <c r="BR44" s="42">
        <f t="shared" si="504"/>
        <v>3767.042987812732</v>
      </c>
      <c r="BS44" s="24">
        <f t="shared" si="504"/>
        <v>0.92586821897448612</v>
      </c>
      <c r="BT44" s="42">
        <f t="shared" si="504"/>
        <v>3767.042987812732</v>
      </c>
      <c r="BU44" s="24">
        <f t="shared" si="504"/>
        <v>0.92586821897448612</v>
      </c>
      <c r="BV44" s="42">
        <f t="shared" si="504"/>
        <v>3767.042987812732</v>
      </c>
      <c r="BW44" s="24">
        <f t="shared" si="504"/>
        <v>0.92586821897448612</v>
      </c>
      <c r="BX44" s="42">
        <f t="shared" si="504"/>
        <v>3767.042987812732</v>
      </c>
      <c r="BY44" s="24">
        <f t="shared" si="504"/>
        <v>0.92586821897448612</v>
      </c>
      <c r="BZ44" s="42">
        <f t="shared" si="504"/>
        <v>3767.042987812732</v>
      </c>
      <c r="CA44" s="24">
        <f t="shared" si="504"/>
        <v>0.92586821897448612</v>
      </c>
      <c r="CB44" s="42">
        <f t="shared" si="504"/>
        <v>3767.042987812732</v>
      </c>
      <c r="CC44" s="24">
        <f t="shared" si="504"/>
        <v>0.92586821897448612</v>
      </c>
      <c r="CD44" s="42">
        <f t="shared" si="504"/>
        <v>3767.042987812732</v>
      </c>
      <c r="CE44" s="24">
        <f t="shared" si="504"/>
        <v>0.92586821897448612</v>
      </c>
      <c r="CF44" s="42">
        <f t="shared" ref="CF44:DK44" si="505">+CF32-CF45-CF41</f>
        <v>3767.042987812732</v>
      </c>
      <c r="CG44" s="24">
        <f t="shared" si="505"/>
        <v>0.92586821897448612</v>
      </c>
      <c r="CH44" s="42">
        <f t="shared" si="505"/>
        <v>3767.042987812732</v>
      </c>
      <c r="CI44" s="24">
        <f t="shared" si="505"/>
        <v>0.92586821897448612</v>
      </c>
      <c r="CJ44" s="42">
        <f t="shared" si="505"/>
        <v>3767.042987812732</v>
      </c>
      <c r="CK44" s="24">
        <f t="shared" si="505"/>
        <v>0.92586821897448612</v>
      </c>
      <c r="CL44" s="42">
        <f t="shared" si="505"/>
        <v>3767.042987812732</v>
      </c>
      <c r="CM44" s="24">
        <f t="shared" si="505"/>
        <v>0.92586821897448612</v>
      </c>
      <c r="CN44" s="42">
        <f t="shared" si="505"/>
        <v>3767.042987812732</v>
      </c>
      <c r="CO44" s="24">
        <f t="shared" si="505"/>
        <v>0.92586821897448612</v>
      </c>
      <c r="CP44" s="42">
        <f t="shared" si="505"/>
        <v>3767.042987812732</v>
      </c>
      <c r="CQ44" s="24">
        <f t="shared" si="505"/>
        <v>0.92586821897448612</v>
      </c>
      <c r="CR44" s="42">
        <f t="shared" si="505"/>
        <v>2218.9674756176096</v>
      </c>
      <c r="CS44" s="24">
        <f t="shared" si="505"/>
        <v>0.54538041409643701</v>
      </c>
      <c r="CT44" s="42">
        <f t="shared" si="505"/>
        <v>5246.5557150854584</v>
      </c>
      <c r="CU44" s="24">
        <f t="shared" si="505"/>
        <v>1.2895045826108493</v>
      </c>
      <c r="CV44" s="42">
        <f t="shared" si="505"/>
        <v>2228.377527125549</v>
      </c>
      <c r="CW44" s="24">
        <f t="shared" si="505"/>
        <v>0.54769322753082028</v>
      </c>
      <c r="CX44" s="42">
        <f t="shared" si="505"/>
        <v>2208.9592933955887</v>
      </c>
      <c r="CY44" s="24">
        <f t="shared" si="505"/>
        <v>0.54292059139755822</v>
      </c>
      <c r="CZ44" s="42">
        <f t="shared" si="505"/>
        <v>2208.9592933955855</v>
      </c>
      <c r="DA44" s="24">
        <f t="shared" si="505"/>
        <v>0.54292059139755744</v>
      </c>
      <c r="DB44" s="42">
        <f t="shared" si="505"/>
        <v>2208.9592933955855</v>
      </c>
      <c r="DC44" s="24">
        <f t="shared" si="505"/>
        <v>0.54292059139755744</v>
      </c>
      <c r="DD44" s="42">
        <f t="shared" si="505"/>
        <v>2219.2172374243828</v>
      </c>
      <c r="DE44" s="24">
        <f t="shared" si="505"/>
        <v>0.54544180084459781</v>
      </c>
      <c r="DF44" s="42">
        <f t="shared" si="505"/>
        <v>3708.4089931719127</v>
      </c>
      <c r="DG44" s="24">
        <f t="shared" si="505"/>
        <v>0.91145708738796416</v>
      </c>
      <c r="DH44" s="42">
        <f t="shared" si="505"/>
        <v>2355.9818020083048</v>
      </c>
      <c r="DI44" s="24">
        <f t="shared" si="505"/>
        <v>0.57905595503391938</v>
      </c>
      <c r="DJ44" s="42">
        <f t="shared" si="505"/>
        <v>2787.8884855652359</v>
      </c>
      <c r="DK44" s="24">
        <f t="shared" si="505"/>
        <v>0.68521048344301083</v>
      </c>
      <c r="DL44" s="42">
        <f t="shared" ref="DL44:DS44" si="506">+DL32-DL45-DL41</f>
        <v>2159.0955764743267</v>
      </c>
      <c r="DM44" s="24">
        <f t="shared" si="506"/>
        <v>0.53066502889755562</v>
      </c>
      <c r="DN44" s="42">
        <f t="shared" si="506"/>
        <v>3133.6547479410319</v>
      </c>
      <c r="DO44" s="24">
        <f t="shared" si="506"/>
        <v>0.77019331867028318</v>
      </c>
      <c r="DP44" s="42">
        <f t="shared" si="506"/>
        <v>2208.9592933955855</v>
      </c>
      <c r="DQ44" s="24">
        <f t="shared" si="506"/>
        <v>0.54292059139755744</v>
      </c>
      <c r="DR44" s="42">
        <f t="shared" si="506"/>
        <v>2208.9592933955855</v>
      </c>
      <c r="DS44" s="24">
        <f t="shared" si="506"/>
        <v>0.54292059139755744</v>
      </c>
    </row>
    <row r="45" spans="1:123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26029.424265211266</v>
      </c>
      <c r="G45" s="32">
        <f>+G49</f>
        <v>6.3975422535211264</v>
      </c>
      <c r="H45" s="66">
        <f>+I49*H12</f>
        <v>26499.354495211264</v>
      </c>
      <c r="I45" s="32">
        <f>+I49</f>
        <v>6.5130422535211263</v>
      </c>
      <c r="J45" s="66">
        <f>+K49*J12</f>
        <v>26499.354495211264</v>
      </c>
      <c r="K45" s="32">
        <f t="shared" ref="K45" si="507">+K49</f>
        <v>6.5130422535211263</v>
      </c>
      <c r="L45" s="66">
        <f>+M49*L12</f>
        <v>26499.354495211264</v>
      </c>
      <c r="M45" s="32">
        <f>+M49</f>
        <v>6.5130422535211263</v>
      </c>
      <c r="N45" s="66">
        <f>+O49*N12</f>
        <v>27379.513020024144</v>
      </c>
      <c r="O45" s="32">
        <f>+O49</f>
        <v>6.7293686422616155</v>
      </c>
      <c r="P45" s="66">
        <f>+Q49*P12</f>
        <v>27440.733624102442</v>
      </c>
      <c r="Q45" s="32">
        <f>+Q49</f>
        <v>6.7444155137323945</v>
      </c>
      <c r="R45" s="66">
        <f>+S49*R12</f>
        <v>27440.733624102442</v>
      </c>
      <c r="S45" s="32">
        <f>+S49</f>
        <v>6.7444155137323945</v>
      </c>
      <c r="T45" s="66">
        <f>+U49*T12</f>
        <v>27449.999853989764</v>
      </c>
      <c r="U45" s="32">
        <f>+U49</f>
        <v>6.7466929785211258</v>
      </c>
      <c r="V45" s="66">
        <f>+W49*V12</f>
        <v>27449.999853989764</v>
      </c>
      <c r="W45" s="32">
        <f>+W49</f>
        <v>6.7466929785211258</v>
      </c>
      <c r="X45" s="66">
        <f>+Y49*X12</f>
        <v>27449.999853989764</v>
      </c>
      <c r="Y45" s="32">
        <f>+Y49</f>
        <v>6.7466929785211258</v>
      </c>
      <c r="Z45" s="66">
        <f>+AA49*Z12</f>
        <v>27449.999853989764</v>
      </c>
      <c r="AA45" s="32">
        <f>+AA49</f>
        <v>6.7466929785211258</v>
      </c>
      <c r="AB45" s="66">
        <f>+AC49*AB12</f>
        <v>27449.999853989764</v>
      </c>
      <c r="AC45" s="32">
        <f>+AC49</f>
        <v>6.7466929785211258</v>
      </c>
      <c r="AD45" s="66">
        <f>+AE49*AD12</f>
        <v>27449.999853989764</v>
      </c>
      <c r="AE45" s="32">
        <f>+AE49</f>
        <v>6.7466929785211258</v>
      </c>
      <c r="AF45" s="66">
        <f>+AG49*AF12</f>
        <v>27449.999853989764</v>
      </c>
      <c r="AG45" s="32">
        <f>+AG49</f>
        <v>6.7466929785211258</v>
      </c>
      <c r="AH45" s="66">
        <f>+AI49*AH12</f>
        <v>27449.999853989764</v>
      </c>
      <c r="AI45" s="32">
        <f>+AI49</f>
        <v>6.7466929785211258</v>
      </c>
      <c r="AJ45" s="66">
        <f>+AK49*AJ12</f>
        <v>27449.999853989764</v>
      </c>
      <c r="AK45" s="32">
        <f>+AK49</f>
        <v>6.7466929785211258</v>
      </c>
      <c r="AL45" s="66">
        <f>+AM49*AL12</f>
        <v>27449.999853989764</v>
      </c>
      <c r="AM45" s="32">
        <f>+AM49</f>
        <v>6.7466929785211258</v>
      </c>
      <c r="AN45" s="66">
        <f>+AO49*AN12</f>
        <v>27449.999853989764</v>
      </c>
      <c r="AO45" s="32">
        <f>+AO49</f>
        <v>6.7466929785211258</v>
      </c>
      <c r="AP45" s="66">
        <f>+AQ49*AP12</f>
        <v>27449.999853989764</v>
      </c>
      <c r="AQ45" s="32">
        <f t="shared" ref="AQ45" si="508">+AQ49</f>
        <v>6.7466929785211258</v>
      </c>
      <c r="AR45" s="66">
        <f>+AS49*AR12</f>
        <v>27449.999853989764</v>
      </c>
      <c r="AS45" s="32">
        <f t="shared" ref="AS45" si="509">+AS49</f>
        <v>6.7466929785211258</v>
      </c>
      <c r="AT45" s="66">
        <f>+AU49*AT12</f>
        <v>27449.999853989764</v>
      </c>
      <c r="AU45" s="32">
        <f t="shared" ref="AU45" si="510">+AU49</f>
        <v>6.7466929785211258</v>
      </c>
      <c r="AV45" s="66">
        <f>+AW49*AV12</f>
        <v>27449.999853989764</v>
      </c>
      <c r="AW45" s="32">
        <f t="shared" ref="AW45" si="511">+AW49</f>
        <v>6.7466929785211258</v>
      </c>
      <c r="AX45" s="66">
        <f>+AY49*AX12</f>
        <v>27449.999853989764</v>
      </c>
      <c r="AY45" s="32">
        <f t="shared" ref="AY45" si="512">+AY49</f>
        <v>6.7466929785211258</v>
      </c>
      <c r="AZ45" s="66">
        <f>+BA49*AZ12</f>
        <v>27449.999853989764</v>
      </c>
      <c r="BA45" s="32">
        <f t="shared" ref="BA45:BC45" si="513">+BA49</f>
        <v>6.7466929785211258</v>
      </c>
      <c r="BB45" s="66">
        <f>+BC49*BB12</f>
        <v>27449.999853989764</v>
      </c>
      <c r="BC45" s="32">
        <f t="shared" si="513"/>
        <v>6.7466929785211258</v>
      </c>
      <c r="BD45" s="66">
        <f>+BE49*BD12</f>
        <v>27449.999853989764</v>
      </c>
      <c r="BE45" s="32">
        <f t="shared" ref="BE45:BI45" si="514">+BE49</f>
        <v>6.7466929785211258</v>
      </c>
      <c r="BF45" s="66">
        <f>+BG49*BF12</f>
        <v>27449.999853989764</v>
      </c>
      <c r="BG45" s="32">
        <f t="shared" si="514"/>
        <v>6.7466929785211258</v>
      </c>
      <c r="BH45" s="66">
        <f>+BI49*BH12</f>
        <v>27449.999853989764</v>
      </c>
      <c r="BI45" s="32">
        <f t="shared" si="514"/>
        <v>6.7466929785211258</v>
      </c>
      <c r="BJ45" s="66">
        <f>+BK49*BJ12</f>
        <v>27445.171817281687</v>
      </c>
      <c r="BK45" s="32">
        <f t="shared" ref="BK45:BM45" si="515">+BK49</f>
        <v>6.7455063380281688</v>
      </c>
      <c r="BL45" s="66">
        <f>+BM49*BL12</f>
        <v>27392.24790686648</v>
      </c>
      <c r="BM45" s="32">
        <f t="shared" si="515"/>
        <v>6.7324986376021787</v>
      </c>
      <c r="BN45" s="66">
        <f>+BO49*BN12</f>
        <v>27392.24790686648</v>
      </c>
      <c r="BO45" s="32">
        <f t="shared" ref="BO45:BQ45" si="516">+BO49</f>
        <v>6.7324986376021787</v>
      </c>
      <c r="BP45" s="66">
        <f>+BQ49*BP12</f>
        <v>27392.24790686648</v>
      </c>
      <c r="BQ45" s="32">
        <f t="shared" si="516"/>
        <v>6.7324986376021787</v>
      </c>
      <c r="BR45" s="66">
        <f>+BS49*BR12</f>
        <v>27392.24790686648</v>
      </c>
      <c r="BS45" s="32">
        <f t="shared" ref="BS45:CS45" si="517">+BS49</f>
        <v>6.7324986376021787</v>
      </c>
      <c r="BT45" s="66">
        <f>+BU49*BT12</f>
        <v>27392.24790686648</v>
      </c>
      <c r="BU45" s="32">
        <f t="shared" ref="BU45:BW45" si="518">+BU49</f>
        <v>6.7324986376021787</v>
      </c>
      <c r="BV45" s="66">
        <f>+BW49*BV12</f>
        <v>27392.24790686648</v>
      </c>
      <c r="BW45" s="32">
        <f t="shared" si="518"/>
        <v>6.7324986376021787</v>
      </c>
      <c r="BX45" s="66">
        <f>+BY49*BX12</f>
        <v>27392.24790686648</v>
      </c>
      <c r="BY45" s="32">
        <f t="shared" ref="BY45:CA45" si="519">+BY49</f>
        <v>6.7324986376021787</v>
      </c>
      <c r="BZ45" s="66">
        <f>+CA49*BZ12</f>
        <v>27392.24790686648</v>
      </c>
      <c r="CA45" s="32">
        <f t="shared" si="519"/>
        <v>6.7324986376021787</v>
      </c>
      <c r="CB45" s="66">
        <f>+CC49*CB12</f>
        <v>27392.24790686648</v>
      </c>
      <c r="CC45" s="32">
        <f t="shared" ref="CC45:CE45" si="520">+CC49</f>
        <v>6.7324986376021787</v>
      </c>
      <c r="CD45" s="66">
        <f>+CE49*CD12</f>
        <v>27392.24790686648</v>
      </c>
      <c r="CE45" s="32">
        <f t="shared" si="520"/>
        <v>6.7324986376021787</v>
      </c>
      <c r="CF45" s="66">
        <f>+CG49*CF12</f>
        <v>27392.24790686648</v>
      </c>
      <c r="CG45" s="32">
        <f t="shared" ref="CG45:CI45" si="521">+CG49</f>
        <v>6.7324986376021787</v>
      </c>
      <c r="CH45" s="66">
        <f>+CI49*CH12</f>
        <v>27392.24790686648</v>
      </c>
      <c r="CI45" s="32">
        <f t="shared" si="521"/>
        <v>6.7324986376021787</v>
      </c>
      <c r="CJ45" s="66">
        <f>+CK49*CJ12</f>
        <v>27392.24790686648</v>
      </c>
      <c r="CK45" s="32">
        <f t="shared" ref="CK45:CM45" si="522">+CK49</f>
        <v>6.7324986376021787</v>
      </c>
      <c r="CL45" s="66">
        <f>+CM49*CL12</f>
        <v>27392.24790686648</v>
      </c>
      <c r="CM45" s="32">
        <f t="shared" si="522"/>
        <v>6.7324986376021787</v>
      </c>
      <c r="CN45" s="66">
        <f>+CO49*CN12</f>
        <v>27392.24790686648</v>
      </c>
      <c r="CO45" s="32">
        <f t="shared" ref="CO45:CQ45" si="523">+CO49</f>
        <v>6.7324986376021787</v>
      </c>
      <c r="CP45" s="66">
        <f>+CQ49*CP12</f>
        <v>27392.24790686648</v>
      </c>
      <c r="CQ45" s="32">
        <f t="shared" si="523"/>
        <v>6.7324986376021787</v>
      </c>
      <c r="CR45" s="66">
        <f>+CS49*CR12</f>
        <v>27392.24790686648</v>
      </c>
      <c r="CS45" s="32">
        <f t="shared" si="517"/>
        <v>6.7324986376021787</v>
      </c>
      <c r="CT45" s="66">
        <f>+CU49*CT12</f>
        <v>27392.24790686648</v>
      </c>
      <c r="CU45" s="32">
        <f t="shared" ref="CU45" si="524">+CU49</f>
        <v>6.7324986376021787</v>
      </c>
      <c r="CV45" s="66">
        <f>+CW49*CV12</f>
        <v>27428.639796886804</v>
      </c>
      <c r="CW45" s="32">
        <f>+CW49</f>
        <v>6.7414430787745365</v>
      </c>
      <c r="CX45" s="66">
        <f>+CY49*CX12</f>
        <v>27449.999853989761</v>
      </c>
      <c r="CY45" s="32">
        <f>+CY49</f>
        <v>6.7466929785211249</v>
      </c>
      <c r="CZ45" s="66">
        <f>+DA49*CZ12</f>
        <v>27449.999853989764</v>
      </c>
      <c r="DA45" s="32">
        <f>+DA49</f>
        <v>6.7466929785211258</v>
      </c>
      <c r="DB45" s="66">
        <f>+DC49*DB12</f>
        <v>27449.999853989764</v>
      </c>
      <c r="DC45" s="32">
        <f>+DC49</f>
        <v>6.7466929785211258</v>
      </c>
      <c r="DD45" s="66">
        <f>+DE49*DD12</f>
        <v>27438.716115558087</v>
      </c>
      <c r="DE45" s="32">
        <f>+DE49</f>
        <v>6.7439196481293813</v>
      </c>
      <c r="DF45" s="66">
        <f>+DG49*DF12</f>
        <v>27449.999853989764</v>
      </c>
      <c r="DG45" s="32">
        <f>+DG49</f>
        <v>6.7466929785211258</v>
      </c>
      <c r="DH45" s="66">
        <f>+DI49*DH12</f>
        <v>30258.396894515765</v>
      </c>
      <c r="DI45" s="32">
        <f>+DI49</f>
        <v>7.436944078521126</v>
      </c>
      <c r="DJ45" s="66">
        <f>+DK49*DJ12</f>
        <v>28847.507742603138</v>
      </c>
      <c r="DK45" s="32">
        <f>+DK49</f>
        <v>7.0901740972711256</v>
      </c>
      <c r="DL45" s="66">
        <f>+DM49*DL12</f>
        <v>28847.507742603138</v>
      </c>
      <c r="DM45" s="32">
        <f>+DM49</f>
        <v>7.0901740972711256</v>
      </c>
      <c r="DN45" s="66">
        <f>+DO49*DN12</f>
        <v>27449.999853989764</v>
      </c>
      <c r="DO45" s="32">
        <f>+DO49</f>
        <v>6.7466929785211258</v>
      </c>
      <c r="DP45" s="66">
        <f>+DQ49*DP12</f>
        <v>27449.999853989764</v>
      </c>
      <c r="DQ45" s="32">
        <f>+DQ49</f>
        <v>6.7466929785211258</v>
      </c>
      <c r="DR45" s="66">
        <f>+DS49*DR12</f>
        <v>27449.999853989764</v>
      </c>
      <c r="DS45" s="32">
        <f>+DS49</f>
        <v>6.7466929785211258</v>
      </c>
    </row>
    <row r="46" spans="1:123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358"/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352">
        <v>0</v>
      </c>
      <c r="AG46" s="358"/>
      <c r="AH46" s="352">
        <v>0</v>
      </c>
      <c r="AI46" s="358"/>
      <c r="AJ46" s="352">
        <v>0</v>
      </c>
      <c r="AK46" s="358"/>
      <c r="AL46" s="352">
        <v>0</v>
      </c>
      <c r="AM46" s="358"/>
      <c r="AN46" s="352">
        <v>0</v>
      </c>
      <c r="AO46" s="358"/>
      <c r="AP46" s="352">
        <v>0</v>
      </c>
      <c r="AQ46" s="358"/>
      <c r="AR46" s="352">
        <v>0</v>
      </c>
      <c r="AS46" s="358"/>
      <c r="AT46" s="352">
        <v>0</v>
      </c>
      <c r="AU46" s="358"/>
      <c r="AV46" s="352">
        <v>0</v>
      </c>
      <c r="AW46" s="358"/>
      <c r="AX46" s="352">
        <v>0</v>
      </c>
      <c r="AY46" s="358"/>
      <c r="AZ46" s="352">
        <v>0</v>
      </c>
      <c r="BA46" s="358"/>
      <c r="BB46" s="352">
        <v>0</v>
      </c>
      <c r="BC46" s="358"/>
      <c r="BD46" s="352">
        <v>0</v>
      </c>
      <c r="BE46" s="358"/>
      <c r="BF46" s="352">
        <v>0</v>
      </c>
      <c r="BG46" s="358"/>
      <c r="BH46" s="352">
        <v>0</v>
      </c>
      <c r="BI46" s="358"/>
      <c r="BJ46" s="352">
        <v>0</v>
      </c>
      <c r="BK46" s="358"/>
      <c r="BL46" s="352">
        <v>0</v>
      </c>
      <c r="BM46" s="358"/>
      <c r="BN46" s="352">
        <v>0</v>
      </c>
      <c r="BO46" s="358"/>
      <c r="BP46" s="352">
        <v>0</v>
      </c>
      <c r="BQ46" s="358"/>
      <c r="BR46" s="352">
        <v>0</v>
      </c>
      <c r="BS46" s="358"/>
      <c r="BT46" s="352">
        <v>0</v>
      </c>
      <c r="BU46" s="358"/>
      <c r="BV46" s="352">
        <v>0</v>
      </c>
      <c r="BW46" s="358"/>
      <c r="BX46" s="352">
        <v>0</v>
      </c>
      <c r="BY46" s="358"/>
      <c r="BZ46" s="352">
        <v>0</v>
      </c>
      <c r="CA46" s="358"/>
      <c r="CB46" s="352">
        <v>0</v>
      </c>
      <c r="CC46" s="358"/>
      <c r="CD46" s="352">
        <v>0</v>
      </c>
      <c r="CE46" s="358"/>
      <c r="CF46" s="352">
        <v>0</v>
      </c>
      <c r="CG46" s="358"/>
      <c r="CH46" s="352">
        <v>0</v>
      </c>
      <c r="CI46" s="358"/>
      <c r="CJ46" s="352">
        <v>0</v>
      </c>
      <c r="CK46" s="358"/>
      <c r="CL46" s="352">
        <v>0</v>
      </c>
      <c r="CM46" s="358"/>
      <c r="CN46" s="352">
        <v>0</v>
      </c>
      <c r="CO46" s="358"/>
      <c r="CP46" s="352">
        <v>0</v>
      </c>
      <c r="CQ46" s="358"/>
      <c r="CR46" s="352">
        <v>0</v>
      </c>
      <c r="CS46" s="358"/>
      <c r="CT46" s="352">
        <v>0</v>
      </c>
      <c r="CU46" s="358"/>
      <c r="CV46" s="352">
        <v>0</v>
      </c>
      <c r="CW46" s="358"/>
      <c r="CX46" s="352">
        <v>0</v>
      </c>
      <c r="CY46" s="358"/>
      <c r="CZ46" s="352">
        <v>0</v>
      </c>
      <c r="DA46" s="358"/>
      <c r="DB46" s="352">
        <v>0</v>
      </c>
      <c r="DC46" s="358"/>
      <c r="DD46" s="352">
        <v>0</v>
      </c>
      <c r="DE46" s="358"/>
      <c r="DF46" s="352">
        <v>0</v>
      </c>
      <c r="DG46" s="358"/>
      <c r="DH46" s="352">
        <v>0</v>
      </c>
      <c r="DI46" s="358"/>
      <c r="DJ46" s="352">
        <v>0</v>
      </c>
      <c r="DK46" s="358"/>
      <c r="DL46" s="352">
        <v>0</v>
      </c>
      <c r="DM46" s="358"/>
      <c r="DN46" s="352">
        <v>0</v>
      </c>
      <c r="DO46" s="358"/>
      <c r="DP46" s="352">
        <v>0</v>
      </c>
      <c r="DQ46" s="358"/>
      <c r="DR46" s="352">
        <v>0</v>
      </c>
      <c r="DS46" s="358"/>
    </row>
    <row r="47" spans="1:123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364"/>
      <c r="O47" s="366"/>
      <c r="P47" s="364"/>
      <c r="Q47" s="366"/>
      <c r="R47" s="364"/>
      <c r="S47" s="366"/>
      <c r="T47" s="364"/>
      <c r="U47" s="366"/>
      <c r="V47" s="364"/>
      <c r="W47" s="366"/>
      <c r="X47" s="364"/>
      <c r="Y47" s="366"/>
      <c r="Z47" s="364"/>
      <c r="AA47" s="366"/>
      <c r="AB47" s="364"/>
      <c r="AC47" s="366"/>
      <c r="AD47" s="364"/>
      <c r="AE47" s="366"/>
      <c r="AF47" s="364"/>
      <c r="AG47" s="366"/>
      <c r="AH47" s="364"/>
      <c r="AI47" s="366"/>
      <c r="AJ47" s="364"/>
      <c r="AK47" s="366"/>
      <c r="AL47" s="364"/>
      <c r="AM47" s="366"/>
      <c r="AN47" s="364"/>
      <c r="AO47" s="366"/>
      <c r="AP47" s="364"/>
      <c r="AQ47" s="366"/>
      <c r="AR47" s="364"/>
      <c r="AS47" s="366"/>
      <c r="AT47" s="364"/>
      <c r="AU47" s="366"/>
      <c r="AV47" s="364"/>
      <c r="AW47" s="366"/>
      <c r="AX47" s="364"/>
      <c r="AY47" s="366"/>
      <c r="AZ47" s="364"/>
      <c r="BA47" s="366"/>
      <c r="BB47" s="364"/>
      <c r="BC47" s="366"/>
      <c r="BD47" s="364"/>
      <c r="BE47" s="366"/>
      <c r="BF47" s="364"/>
      <c r="BG47" s="366"/>
      <c r="BH47" s="364"/>
      <c r="BI47" s="366"/>
      <c r="BJ47" s="364"/>
      <c r="BK47" s="366"/>
      <c r="BL47" s="364"/>
      <c r="BM47" s="366"/>
      <c r="BN47" s="364"/>
      <c r="BO47" s="366"/>
      <c r="BP47" s="364"/>
      <c r="BQ47" s="366"/>
      <c r="BR47" s="364"/>
      <c r="BS47" s="366"/>
      <c r="BT47" s="364"/>
      <c r="BU47" s="366"/>
      <c r="BV47" s="364"/>
      <c r="BW47" s="366"/>
      <c r="BX47" s="364"/>
      <c r="BY47" s="366"/>
      <c r="BZ47" s="364"/>
      <c r="CA47" s="366"/>
      <c r="CB47" s="364"/>
      <c r="CC47" s="366"/>
      <c r="CD47" s="364"/>
      <c r="CE47" s="366"/>
      <c r="CF47" s="364"/>
      <c r="CG47" s="366"/>
      <c r="CH47" s="364"/>
      <c r="CI47" s="366"/>
      <c r="CJ47" s="364"/>
      <c r="CK47" s="366"/>
      <c r="CL47" s="364"/>
      <c r="CM47" s="366"/>
      <c r="CN47" s="364"/>
      <c r="CO47" s="366"/>
      <c r="CP47" s="364"/>
      <c r="CQ47" s="366"/>
      <c r="CR47" s="364"/>
      <c r="CS47" s="366"/>
      <c r="CT47" s="364"/>
      <c r="CU47" s="366"/>
      <c r="CV47" s="364"/>
      <c r="CW47" s="366"/>
      <c r="CX47" s="364"/>
      <c r="CY47" s="366"/>
      <c r="CZ47" s="364"/>
      <c r="DA47" s="366"/>
      <c r="DB47" s="364"/>
      <c r="DC47" s="366"/>
      <c r="DD47" s="364"/>
      <c r="DE47" s="366"/>
      <c r="DF47" s="364"/>
      <c r="DG47" s="366"/>
      <c r="DH47" s="364"/>
      <c r="DI47" s="366"/>
      <c r="DJ47" s="364"/>
      <c r="DK47" s="366"/>
      <c r="DL47" s="364"/>
      <c r="DM47" s="366"/>
      <c r="DN47" s="364"/>
      <c r="DO47" s="366"/>
      <c r="DP47" s="364"/>
      <c r="DQ47" s="366"/>
      <c r="DR47" s="364"/>
      <c r="DS47" s="366"/>
    </row>
    <row r="48" spans="1:123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AK48" si="525">+F49/F10</f>
        <v>650.73560663028161</v>
      </c>
      <c r="G48" s="70">
        <f t="shared" si="525"/>
        <v>0.15993855633802817</v>
      </c>
      <c r="H48" s="69">
        <f t="shared" si="525"/>
        <v>662.48386238028161</v>
      </c>
      <c r="I48" s="70">
        <f t="shared" si="525"/>
        <v>0.16282605633802816</v>
      </c>
      <c r="J48" s="69">
        <f t="shared" si="525"/>
        <v>662.48386238028161</v>
      </c>
      <c r="K48" s="70">
        <f t="shared" si="525"/>
        <v>0.16282605633802816</v>
      </c>
      <c r="L48" s="69">
        <f t="shared" si="525"/>
        <v>662.48386238028161</v>
      </c>
      <c r="M48" s="70">
        <f t="shared" si="525"/>
        <v>0.16282605633802816</v>
      </c>
      <c r="N48" s="69">
        <f t="shared" si="525"/>
        <v>684.48782550060355</v>
      </c>
      <c r="O48" s="70">
        <f t="shared" si="525"/>
        <v>0.16823421605654038</v>
      </c>
      <c r="P48" s="69">
        <f t="shared" si="525"/>
        <v>686.01834060256101</v>
      </c>
      <c r="Q48" s="70">
        <f t="shared" si="525"/>
        <v>0.16861038784330987</v>
      </c>
      <c r="R48" s="69">
        <f t="shared" si="525"/>
        <v>686.01834060256101</v>
      </c>
      <c r="S48" s="70">
        <f t="shared" si="525"/>
        <v>0.16861038784330987</v>
      </c>
      <c r="T48" s="69">
        <f t="shared" si="525"/>
        <v>686.24999634974415</v>
      </c>
      <c r="U48" s="70">
        <f t="shared" si="525"/>
        <v>0.16866732446302815</v>
      </c>
      <c r="V48" s="69">
        <f t="shared" si="525"/>
        <v>686.24999634974415</v>
      </c>
      <c r="W48" s="70">
        <f t="shared" si="525"/>
        <v>0.16866732446302815</v>
      </c>
      <c r="X48" s="69">
        <f t="shared" si="525"/>
        <v>686.24999634974415</v>
      </c>
      <c r="Y48" s="70">
        <f t="shared" si="525"/>
        <v>0.16866732446302815</v>
      </c>
      <c r="Z48" s="69">
        <f t="shared" si="525"/>
        <v>686.24999634974415</v>
      </c>
      <c r="AA48" s="70">
        <f t="shared" si="525"/>
        <v>0.16866732446302815</v>
      </c>
      <c r="AB48" s="69">
        <f t="shared" si="525"/>
        <v>686.24999634974415</v>
      </c>
      <c r="AC48" s="70">
        <f t="shared" si="525"/>
        <v>0.16866732446302815</v>
      </c>
      <c r="AD48" s="69">
        <f t="shared" si="525"/>
        <v>686.24999634974415</v>
      </c>
      <c r="AE48" s="70">
        <f t="shared" si="525"/>
        <v>0.16866732446302815</v>
      </c>
      <c r="AF48" s="69">
        <f t="shared" si="525"/>
        <v>686.24999634974415</v>
      </c>
      <c r="AG48" s="70">
        <f t="shared" si="525"/>
        <v>0.16866732446302815</v>
      </c>
      <c r="AH48" s="69">
        <f t="shared" si="525"/>
        <v>686.24999634974415</v>
      </c>
      <c r="AI48" s="70">
        <f t="shared" si="525"/>
        <v>0.16866732446302815</v>
      </c>
      <c r="AJ48" s="69">
        <f t="shared" si="525"/>
        <v>686.24999634974415</v>
      </c>
      <c r="AK48" s="70">
        <f t="shared" si="525"/>
        <v>0.16866732446302815</v>
      </c>
      <c r="AL48" s="69">
        <f t="shared" ref="AL48:BQ48" si="526">+AL49/AL10</f>
        <v>686.24999634974415</v>
      </c>
      <c r="AM48" s="70">
        <f t="shared" si="526"/>
        <v>0.16866732446302815</v>
      </c>
      <c r="AN48" s="69">
        <f t="shared" si="526"/>
        <v>686.24999634974415</v>
      </c>
      <c r="AO48" s="70">
        <f t="shared" si="526"/>
        <v>0.16866732446302815</v>
      </c>
      <c r="AP48" s="69">
        <f t="shared" si="526"/>
        <v>686.24999634974415</v>
      </c>
      <c r="AQ48" s="70">
        <f t="shared" si="526"/>
        <v>0.16866732446302815</v>
      </c>
      <c r="AR48" s="69">
        <f t="shared" si="526"/>
        <v>686.24999634974415</v>
      </c>
      <c r="AS48" s="70">
        <f t="shared" si="526"/>
        <v>0.16866732446302815</v>
      </c>
      <c r="AT48" s="69">
        <f t="shared" si="526"/>
        <v>686.24999634974415</v>
      </c>
      <c r="AU48" s="70">
        <f t="shared" si="526"/>
        <v>0.16866732446302815</v>
      </c>
      <c r="AV48" s="69">
        <f t="shared" si="526"/>
        <v>686.24999634974415</v>
      </c>
      <c r="AW48" s="70">
        <f t="shared" si="526"/>
        <v>0.16866732446302815</v>
      </c>
      <c r="AX48" s="69">
        <f t="shared" si="526"/>
        <v>686.24999634974415</v>
      </c>
      <c r="AY48" s="70">
        <f t="shared" si="526"/>
        <v>0.16866732446302815</v>
      </c>
      <c r="AZ48" s="69">
        <f t="shared" si="526"/>
        <v>686.24999634974415</v>
      </c>
      <c r="BA48" s="70">
        <f t="shared" si="526"/>
        <v>0.16866732446302815</v>
      </c>
      <c r="BB48" s="69">
        <f t="shared" si="526"/>
        <v>686.24999634974415</v>
      </c>
      <c r="BC48" s="70">
        <f t="shared" si="526"/>
        <v>0.16866732446302815</v>
      </c>
      <c r="BD48" s="69">
        <f t="shared" si="526"/>
        <v>686.24999634974415</v>
      </c>
      <c r="BE48" s="70">
        <f t="shared" si="526"/>
        <v>0.16866732446302815</v>
      </c>
      <c r="BF48" s="69">
        <f t="shared" si="526"/>
        <v>686.24999634974415</v>
      </c>
      <c r="BG48" s="70">
        <f t="shared" si="526"/>
        <v>0.16866732446302815</v>
      </c>
      <c r="BH48" s="69">
        <f t="shared" si="526"/>
        <v>686.24999634974415</v>
      </c>
      <c r="BI48" s="70">
        <f t="shared" si="526"/>
        <v>0.16866732446302815</v>
      </c>
      <c r="BJ48" s="69">
        <f t="shared" si="526"/>
        <v>686.12929543204223</v>
      </c>
      <c r="BK48" s="70">
        <f t="shared" si="526"/>
        <v>0.16863765845070422</v>
      </c>
      <c r="BL48" s="69">
        <f t="shared" si="526"/>
        <v>684.80619767166195</v>
      </c>
      <c r="BM48" s="70">
        <f t="shared" si="526"/>
        <v>0.16831246594005447</v>
      </c>
      <c r="BN48" s="69">
        <f t="shared" si="526"/>
        <v>684.80619767166195</v>
      </c>
      <c r="BO48" s="70">
        <f t="shared" si="526"/>
        <v>0.16831246594005447</v>
      </c>
      <c r="BP48" s="69">
        <f t="shared" si="526"/>
        <v>684.80619767166195</v>
      </c>
      <c r="BQ48" s="70">
        <f t="shared" si="526"/>
        <v>0.16831246594005447</v>
      </c>
      <c r="BR48" s="69">
        <f t="shared" ref="BR48:CW48" si="527">+BR49/BR10</f>
        <v>684.80619767166195</v>
      </c>
      <c r="BS48" s="70">
        <f t="shared" si="527"/>
        <v>0.16831246594005447</v>
      </c>
      <c r="BT48" s="69">
        <f t="shared" si="527"/>
        <v>684.80619767166195</v>
      </c>
      <c r="BU48" s="70">
        <f t="shared" si="527"/>
        <v>0.16831246594005447</v>
      </c>
      <c r="BV48" s="69">
        <f t="shared" si="527"/>
        <v>684.80619767166195</v>
      </c>
      <c r="BW48" s="70">
        <f t="shared" si="527"/>
        <v>0.16831246594005447</v>
      </c>
      <c r="BX48" s="69">
        <f t="shared" si="527"/>
        <v>684.80619767166195</v>
      </c>
      <c r="BY48" s="70">
        <f t="shared" si="527"/>
        <v>0.16831246594005447</v>
      </c>
      <c r="BZ48" s="69">
        <f t="shared" si="527"/>
        <v>684.80619767166195</v>
      </c>
      <c r="CA48" s="70">
        <f t="shared" si="527"/>
        <v>0.16831246594005447</v>
      </c>
      <c r="CB48" s="69">
        <f t="shared" si="527"/>
        <v>684.80619767166195</v>
      </c>
      <c r="CC48" s="70">
        <f t="shared" si="527"/>
        <v>0.16831246594005447</v>
      </c>
      <c r="CD48" s="69">
        <f t="shared" si="527"/>
        <v>684.80619767166195</v>
      </c>
      <c r="CE48" s="70">
        <f t="shared" si="527"/>
        <v>0.16831246594005447</v>
      </c>
      <c r="CF48" s="69">
        <f t="shared" si="527"/>
        <v>684.80619767166195</v>
      </c>
      <c r="CG48" s="70">
        <f t="shared" si="527"/>
        <v>0.16831246594005447</v>
      </c>
      <c r="CH48" s="69">
        <f t="shared" si="527"/>
        <v>684.80619767166195</v>
      </c>
      <c r="CI48" s="70">
        <f t="shared" si="527"/>
        <v>0.16831246594005447</v>
      </c>
      <c r="CJ48" s="69">
        <f t="shared" si="527"/>
        <v>684.80619767166195</v>
      </c>
      <c r="CK48" s="70">
        <f t="shared" si="527"/>
        <v>0.16831246594005447</v>
      </c>
      <c r="CL48" s="69">
        <f t="shared" si="527"/>
        <v>684.80619767166195</v>
      </c>
      <c r="CM48" s="70">
        <f t="shared" si="527"/>
        <v>0.16831246594005447</v>
      </c>
      <c r="CN48" s="69">
        <f t="shared" si="527"/>
        <v>684.80619767166195</v>
      </c>
      <c r="CO48" s="70">
        <f t="shared" si="527"/>
        <v>0.16831246594005447</v>
      </c>
      <c r="CP48" s="69">
        <f t="shared" si="527"/>
        <v>684.80619767166195</v>
      </c>
      <c r="CQ48" s="70">
        <f t="shared" si="527"/>
        <v>0.16831246594005447</v>
      </c>
      <c r="CR48" s="69">
        <f t="shared" si="527"/>
        <v>684.80619767166195</v>
      </c>
      <c r="CS48" s="70">
        <f t="shared" si="527"/>
        <v>0.16831246594005447</v>
      </c>
      <c r="CT48" s="69">
        <f t="shared" si="527"/>
        <v>684.80619767166195</v>
      </c>
      <c r="CU48" s="70">
        <f t="shared" si="527"/>
        <v>0.16831246594005447</v>
      </c>
      <c r="CV48" s="69">
        <f t="shared" si="527"/>
        <v>685.71599492217013</v>
      </c>
      <c r="CW48" s="70">
        <f t="shared" si="527"/>
        <v>0.1685360769693634</v>
      </c>
      <c r="CX48" s="69">
        <f t="shared" ref="CX48:DS48" si="528">+CX49/CX10</f>
        <v>686.24999634974404</v>
      </c>
      <c r="CY48" s="70">
        <f t="shared" si="528"/>
        <v>0.16866732446302812</v>
      </c>
      <c r="CZ48" s="69">
        <f t="shared" si="528"/>
        <v>686.24999634974415</v>
      </c>
      <c r="DA48" s="70">
        <f t="shared" si="528"/>
        <v>0.16866732446302815</v>
      </c>
      <c r="DB48" s="69">
        <f t="shared" si="528"/>
        <v>686.24999634974415</v>
      </c>
      <c r="DC48" s="70">
        <f t="shared" si="528"/>
        <v>0.16866732446302815</v>
      </c>
      <c r="DD48" s="69">
        <f t="shared" si="528"/>
        <v>685.96790288895215</v>
      </c>
      <c r="DE48" s="70">
        <f t="shared" si="528"/>
        <v>0.16859799120323454</v>
      </c>
      <c r="DF48" s="69">
        <f t="shared" si="528"/>
        <v>686.24999634974415</v>
      </c>
      <c r="DG48" s="70">
        <f t="shared" si="528"/>
        <v>0.16866732446302815</v>
      </c>
      <c r="DH48" s="69">
        <f t="shared" si="528"/>
        <v>756.45992236289408</v>
      </c>
      <c r="DI48" s="70">
        <f t="shared" si="528"/>
        <v>0.18592360196302815</v>
      </c>
      <c r="DJ48" s="69">
        <f t="shared" si="528"/>
        <v>721.18769356507846</v>
      </c>
      <c r="DK48" s="70">
        <f t="shared" si="528"/>
        <v>0.17725435243177814</v>
      </c>
      <c r="DL48" s="69">
        <f t="shared" si="528"/>
        <v>721.18769356507846</v>
      </c>
      <c r="DM48" s="70">
        <f t="shared" si="528"/>
        <v>0.17725435243177814</v>
      </c>
      <c r="DN48" s="69">
        <f t="shared" si="528"/>
        <v>686.24999634974415</v>
      </c>
      <c r="DO48" s="70">
        <f t="shared" si="528"/>
        <v>0.16866732446302815</v>
      </c>
      <c r="DP48" s="69">
        <f t="shared" si="528"/>
        <v>686.24999634974415</v>
      </c>
      <c r="DQ48" s="70">
        <f t="shared" si="528"/>
        <v>0.16866732446302815</v>
      </c>
      <c r="DR48" s="69">
        <f t="shared" si="528"/>
        <v>686.24999634974415</v>
      </c>
      <c r="DS48" s="70">
        <f t="shared" si="528"/>
        <v>0.16866732446302815</v>
      </c>
    </row>
    <row r="49" spans="1:123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26029.424265211266</v>
      </c>
      <c r="G49" s="70">
        <f>+G50+G52+G56+G54</f>
        <v>6.3975422535211264</v>
      </c>
      <c r="H49" s="69">
        <f>+I49*H12</f>
        <v>26499.354495211264</v>
      </c>
      <c r="I49" s="70">
        <f>+I50+I52+I56+I54</f>
        <v>6.5130422535211263</v>
      </c>
      <c r="J49" s="69">
        <f>+K49*J12</f>
        <v>26499.354495211264</v>
      </c>
      <c r="K49" s="70">
        <f t="shared" ref="K49" si="529">+K50+K52+K56+K54</f>
        <v>6.5130422535211263</v>
      </c>
      <c r="L49" s="69">
        <f>+M49*L12</f>
        <v>26499.354495211264</v>
      </c>
      <c r="M49" s="70">
        <f t="shared" ref="M49" si="530">+M50+M52+M56+M54</f>
        <v>6.5130422535211263</v>
      </c>
      <c r="N49" s="69">
        <f>+O49*N12</f>
        <v>27379.513020024144</v>
      </c>
      <c r="O49" s="70">
        <f>+O50+O52+O56+O54</f>
        <v>6.7293686422616155</v>
      </c>
      <c r="P49" s="69">
        <f>+Q49*P12</f>
        <v>27440.733624102442</v>
      </c>
      <c r="Q49" s="70">
        <f>+Q50+Q52+Q56+Q54</f>
        <v>6.7444155137323945</v>
      </c>
      <c r="R49" s="69">
        <f>+S49*R12</f>
        <v>27440.733624102442</v>
      </c>
      <c r="S49" s="70">
        <f>+S50+S52+S56+S54</f>
        <v>6.7444155137323945</v>
      </c>
      <c r="T49" s="69">
        <f>+U49*T12</f>
        <v>27449.999853989764</v>
      </c>
      <c r="U49" s="70">
        <f>+U50+U52+U56+U54</f>
        <v>6.7466929785211258</v>
      </c>
      <c r="V49" s="69">
        <f>+W49*V12</f>
        <v>27449.999853989764</v>
      </c>
      <c r="W49" s="70">
        <f>+W50+W52+W56+W54</f>
        <v>6.7466929785211258</v>
      </c>
      <c r="X49" s="69">
        <f>+Y49*X12</f>
        <v>27449.999853989764</v>
      </c>
      <c r="Y49" s="70">
        <f>+Y50+Y52+Y56+Y54</f>
        <v>6.7466929785211258</v>
      </c>
      <c r="Z49" s="69">
        <f>+AA49*Z12</f>
        <v>27449.999853989764</v>
      </c>
      <c r="AA49" s="70">
        <f>+AA50+AA52+AA56+AA54</f>
        <v>6.7466929785211258</v>
      </c>
      <c r="AB49" s="69">
        <f>+AC49*AB12</f>
        <v>27449.999853989764</v>
      </c>
      <c r="AC49" s="70">
        <f>+AC50+AC52+AC56+AC54</f>
        <v>6.7466929785211258</v>
      </c>
      <c r="AD49" s="69">
        <f>+AE49*AD12</f>
        <v>27449.999853989764</v>
      </c>
      <c r="AE49" s="70">
        <f>+AE50+AE52+AE56+AE54</f>
        <v>6.7466929785211258</v>
      </c>
      <c r="AF49" s="69">
        <f>+AG49*AF12</f>
        <v>27449.999853989764</v>
      </c>
      <c r="AG49" s="70">
        <f>+AG50+AG52+AG56+AG54</f>
        <v>6.7466929785211258</v>
      </c>
      <c r="AH49" s="69">
        <f>+AI49*AH12</f>
        <v>27449.999853989764</v>
      </c>
      <c r="AI49" s="70">
        <f>+AI50+AI52+AI56+AI54</f>
        <v>6.7466929785211258</v>
      </c>
      <c r="AJ49" s="69">
        <f>+AK49*AJ12</f>
        <v>27449.999853989764</v>
      </c>
      <c r="AK49" s="70">
        <f>+AK50+AK52+AK56+AK54</f>
        <v>6.7466929785211258</v>
      </c>
      <c r="AL49" s="69">
        <f>+AM49*AL12</f>
        <v>27449.999853989764</v>
      </c>
      <c r="AM49" s="70">
        <f>+AM50+AM52+AM56+AM54</f>
        <v>6.7466929785211258</v>
      </c>
      <c r="AN49" s="69">
        <f>+AO49*AN12</f>
        <v>27449.999853989764</v>
      </c>
      <c r="AO49" s="70">
        <f>+AO50+AO52+AO56+AO54</f>
        <v>6.7466929785211258</v>
      </c>
      <c r="AP49" s="69">
        <f>+AQ49*AP12</f>
        <v>27449.999853989764</v>
      </c>
      <c r="AQ49" s="70">
        <f t="shared" ref="AQ49" si="531">+AQ50+AQ52+AQ56+AQ54</f>
        <v>6.7466929785211258</v>
      </c>
      <c r="AR49" s="69">
        <f>+AS49*AR12</f>
        <v>27449.999853989764</v>
      </c>
      <c r="AS49" s="70">
        <f t="shared" ref="AS49" si="532">+AS50+AS52+AS56+AS54</f>
        <v>6.7466929785211258</v>
      </c>
      <c r="AT49" s="69">
        <f>+AU49*AT12</f>
        <v>27449.999853989764</v>
      </c>
      <c r="AU49" s="70">
        <f t="shared" ref="AU49" si="533">+AU50+AU52+AU56+AU54</f>
        <v>6.7466929785211258</v>
      </c>
      <c r="AV49" s="69">
        <f>+AW49*AV12</f>
        <v>27449.999853989764</v>
      </c>
      <c r="AW49" s="70">
        <f t="shared" ref="AW49" si="534">+AW50+AW52+AW56+AW54</f>
        <v>6.7466929785211258</v>
      </c>
      <c r="AX49" s="69">
        <f>+AY49*AX12</f>
        <v>27449.999853989764</v>
      </c>
      <c r="AY49" s="70">
        <f t="shared" ref="AY49" si="535">+AY50+AY52+AY56+AY54</f>
        <v>6.7466929785211258</v>
      </c>
      <c r="AZ49" s="69">
        <f>+BA49*AZ12</f>
        <v>27449.999853989764</v>
      </c>
      <c r="BA49" s="70">
        <f t="shared" ref="BA49:BC49" si="536">+BA50+BA52+BA56+BA54</f>
        <v>6.7466929785211258</v>
      </c>
      <c r="BB49" s="69">
        <f>+BC49*BB12</f>
        <v>27449.999853989764</v>
      </c>
      <c r="BC49" s="70">
        <f t="shared" si="536"/>
        <v>6.7466929785211258</v>
      </c>
      <c r="BD49" s="69">
        <f>+BE49*BD12</f>
        <v>27449.999853989764</v>
      </c>
      <c r="BE49" s="70">
        <f t="shared" ref="BE49:BI49" si="537">+BE50+BE52+BE56+BE54</f>
        <v>6.7466929785211258</v>
      </c>
      <c r="BF49" s="69">
        <f>+BG49*BF12</f>
        <v>27449.999853989764</v>
      </c>
      <c r="BG49" s="70">
        <f t="shared" si="537"/>
        <v>6.7466929785211258</v>
      </c>
      <c r="BH49" s="69">
        <f>+BI49*BH12</f>
        <v>27449.999853989764</v>
      </c>
      <c r="BI49" s="70">
        <f t="shared" si="537"/>
        <v>6.7466929785211258</v>
      </c>
      <c r="BJ49" s="69">
        <f>+BK49*BJ12</f>
        <v>27445.171817281687</v>
      </c>
      <c r="BK49" s="70">
        <f t="shared" ref="BK49:BM49" si="538">+BK50+BK52+BK56+BK54</f>
        <v>6.7455063380281688</v>
      </c>
      <c r="BL49" s="69">
        <f>+BM49*BL12</f>
        <v>27392.24790686648</v>
      </c>
      <c r="BM49" s="70">
        <f t="shared" si="538"/>
        <v>6.7324986376021787</v>
      </c>
      <c r="BN49" s="69">
        <f>+BO49*BN12</f>
        <v>27392.24790686648</v>
      </c>
      <c r="BO49" s="70">
        <f t="shared" ref="BO49:BQ49" si="539">+BO50+BO52+BO56+BO54</f>
        <v>6.7324986376021787</v>
      </c>
      <c r="BP49" s="69">
        <f>+BQ49*BP12</f>
        <v>27392.24790686648</v>
      </c>
      <c r="BQ49" s="70">
        <f t="shared" si="539"/>
        <v>6.7324986376021787</v>
      </c>
      <c r="BR49" s="69">
        <f>+BS49*BR12</f>
        <v>27392.24790686648</v>
      </c>
      <c r="BS49" s="70">
        <f t="shared" ref="BS49:CS49" si="540">+BS50+BS52+BS56+BS54</f>
        <v>6.7324986376021787</v>
      </c>
      <c r="BT49" s="69">
        <f>+BU49*BT12</f>
        <v>27392.24790686648</v>
      </c>
      <c r="BU49" s="70">
        <f t="shared" ref="BU49:BW49" si="541">+BU50+BU52+BU56+BU54</f>
        <v>6.7324986376021787</v>
      </c>
      <c r="BV49" s="69">
        <f>+BW49*BV12</f>
        <v>27392.24790686648</v>
      </c>
      <c r="BW49" s="70">
        <f t="shared" si="541"/>
        <v>6.7324986376021787</v>
      </c>
      <c r="BX49" s="69">
        <f>+BY49*BX12</f>
        <v>27392.24790686648</v>
      </c>
      <c r="BY49" s="70">
        <f t="shared" ref="BY49:CA49" si="542">+BY50+BY52+BY56+BY54</f>
        <v>6.7324986376021787</v>
      </c>
      <c r="BZ49" s="69">
        <f>+CA49*BZ12</f>
        <v>27392.24790686648</v>
      </c>
      <c r="CA49" s="70">
        <f t="shared" si="542"/>
        <v>6.7324986376021787</v>
      </c>
      <c r="CB49" s="69">
        <f>+CC49*CB12</f>
        <v>27392.24790686648</v>
      </c>
      <c r="CC49" s="70">
        <f t="shared" ref="CC49:CE49" si="543">+CC50+CC52+CC56+CC54</f>
        <v>6.7324986376021787</v>
      </c>
      <c r="CD49" s="69">
        <f>+CE49*CD12</f>
        <v>27392.24790686648</v>
      </c>
      <c r="CE49" s="70">
        <f t="shared" si="543"/>
        <v>6.7324986376021787</v>
      </c>
      <c r="CF49" s="69">
        <f>+CG49*CF12</f>
        <v>27392.24790686648</v>
      </c>
      <c r="CG49" s="70">
        <f t="shared" ref="CG49:CI49" si="544">+CG50+CG52+CG56+CG54</f>
        <v>6.7324986376021787</v>
      </c>
      <c r="CH49" s="69">
        <f>+CI49*CH12</f>
        <v>27392.24790686648</v>
      </c>
      <c r="CI49" s="70">
        <f t="shared" si="544"/>
        <v>6.7324986376021787</v>
      </c>
      <c r="CJ49" s="69">
        <f>+CK49*CJ12</f>
        <v>27392.24790686648</v>
      </c>
      <c r="CK49" s="70">
        <f t="shared" ref="CK49:CM49" si="545">+CK50+CK52+CK56+CK54</f>
        <v>6.7324986376021787</v>
      </c>
      <c r="CL49" s="69">
        <f>+CM49*CL12</f>
        <v>27392.24790686648</v>
      </c>
      <c r="CM49" s="70">
        <f t="shared" si="545"/>
        <v>6.7324986376021787</v>
      </c>
      <c r="CN49" s="69">
        <f>+CO49*CN12</f>
        <v>27392.24790686648</v>
      </c>
      <c r="CO49" s="70">
        <f t="shared" ref="CO49:CQ49" si="546">+CO50+CO52+CO56+CO54</f>
        <v>6.7324986376021787</v>
      </c>
      <c r="CP49" s="69">
        <f>+CQ49*CP12</f>
        <v>27392.24790686648</v>
      </c>
      <c r="CQ49" s="70">
        <f t="shared" si="546"/>
        <v>6.7324986376021787</v>
      </c>
      <c r="CR49" s="69">
        <f>+CS49*CR12</f>
        <v>27392.24790686648</v>
      </c>
      <c r="CS49" s="70">
        <f t="shared" si="540"/>
        <v>6.7324986376021787</v>
      </c>
      <c r="CT49" s="69">
        <f>+CU49*CT12</f>
        <v>27392.24790686648</v>
      </c>
      <c r="CU49" s="70">
        <f t="shared" ref="CU49" si="547">+CU50+CU52+CU56+CU54</f>
        <v>6.7324986376021787</v>
      </c>
      <c r="CV49" s="69">
        <f>+CW49*CV12</f>
        <v>27428.639796886804</v>
      </c>
      <c r="CW49" s="70">
        <f>+CW50+CW52+CW56+CW54</f>
        <v>6.7414430787745365</v>
      </c>
      <c r="CX49" s="69">
        <f>+CY49*CX12</f>
        <v>27449.999853989761</v>
      </c>
      <c r="CY49" s="70">
        <f>+CY50+CY52+CY56+CY54</f>
        <v>6.7466929785211249</v>
      </c>
      <c r="CZ49" s="69">
        <f>+DA49*CZ12</f>
        <v>27449.999853989764</v>
      </c>
      <c r="DA49" s="70">
        <f>+DA50+DA52+DA56+DA54</f>
        <v>6.7466929785211258</v>
      </c>
      <c r="DB49" s="69">
        <f>+DC49*DB12</f>
        <v>27449.999853989764</v>
      </c>
      <c r="DC49" s="70">
        <f>+DC50+DC52+DC56+DC54</f>
        <v>6.7466929785211258</v>
      </c>
      <c r="DD49" s="69">
        <f>+DE49*DD12</f>
        <v>27438.716115558087</v>
      </c>
      <c r="DE49" s="70">
        <f>+DE50+DE52+DE56+DE54</f>
        <v>6.7439196481293813</v>
      </c>
      <c r="DF49" s="69">
        <f>+DG49*DF12</f>
        <v>27449.999853989764</v>
      </c>
      <c r="DG49" s="70">
        <f>+DG50+DG52+DG56+DG54</f>
        <v>6.7466929785211258</v>
      </c>
      <c r="DH49" s="69">
        <f>+DI49*DH12</f>
        <v>30258.396894515765</v>
      </c>
      <c r="DI49" s="70">
        <f>+DI50+DI52+DI56+DI54</f>
        <v>7.436944078521126</v>
      </c>
      <c r="DJ49" s="69">
        <f>+DK49*DJ12</f>
        <v>28847.507742603138</v>
      </c>
      <c r="DK49" s="70">
        <f>+DK50+DK52+DK56+DK54</f>
        <v>7.0901740972711256</v>
      </c>
      <c r="DL49" s="69">
        <f>+DM49*DL12</f>
        <v>28847.507742603138</v>
      </c>
      <c r="DM49" s="70">
        <f>+DM50+DM52+DM56+DM54</f>
        <v>7.0901740972711256</v>
      </c>
      <c r="DN49" s="69">
        <f>+DO49*DN12</f>
        <v>27449.999853989764</v>
      </c>
      <c r="DO49" s="70">
        <f>+DO50+DO52+DO56+DO54</f>
        <v>6.7466929785211258</v>
      </c>
      <c r="DP49" s="69">
        <f>+DQ49*DP12</f>
        <v>27449.999853989764</v>
      </c>
      <c r="DQ49" s="70">
        <f>+DQ50+DQ52+DQ56+DQ54</f>
        <v>6.7466929785211258</v>
      </c>
      <c r="DR49" s="69">
        <f>+DS49*DR12</f>
        <v>27449.999853989764</v>
      </c>
      <c r="DS49" s="70">
        <f>+DS50+DS52+DS56+DS54</f>
        <v>6.7466929785211258</v>
      </c>
    </row>
    <row r="50" spans="1:123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0.255</v>
      </c>
      <c r="H50" s="50"/>
      <c r="I50" s="72">
        <f>+I51*I56</f>
        <v>0.25999999999999995</v>
      </c>
      <c r="J50" s="50"/>
      <c r="K50" s="72">
        <f t="shared" ref="K50" si="548">+K51*K56</f>
        <v>0.25999999999999995</v>
      </c>
      <c r="L50" s="50"/>
      <c r="M50" s="72">
        <f t="shared" ref="M50" si="549">+M51*M56</f>
        <v>0.25999999999999995</v>
      </c>
      <c r="N50" s="367"/>
      <c r="O50" s="368">
        <f>+O51*O56</f>
        <v>0.26936477873335452</v>
      </c>
      <c r="P50" s="367"/>
      <c r="Q50" s="368">
        <f>+Q51*Q56</f>
        <v>0.27001615845070426</v>
      </c>
      <c r="R50" s="367"/>
      <c r="S50" s="368">
        <f>+S51*S56</f>
        <v>0.27001615845070426</v>
      </c>
      <c r="T50" s="367"/>
      <c r="U50" s="368">
        <f>+U51*U56</f>
        <v>0.27011475000000001</v>
      </c>
      <c r="V50" s="367"/>
      <c r="W50" s="368">
        <f>+W51*W56</f>
        <v>0.27011475000000001</v>
      </c>
      <c r="X50" s="367"/>
      <c r="Y50" s="368">
        <f>+Y51*Y56</f>
        <v>0.27011475000000001</v>
      </c>
      <c r="Z50" s="367"/>
      <c r="AA50" s="368">
        <f>+AA51*AA56</f>
        <v>0.27011475000000001</v>
      </c>
      <c r="AB50" s="367"/>
      <c r="AC50" s="368">
        <f>+AC51*AC56</f>
        <v>0.27011475000000001</v>
      </c>
      <c r="AD50" s="367"/>
      <c r="AE50" s="368">
        <f>+AE51*AE56</f>
        <v>0.27011475000000001</v>
      </c>
      <c r="AF50" s="367"/>
      <c r="AG50" s="368">
        <f>+AG51*AG56</f>
        <v>0.27011475000000001</v>
      </c>
      <c r="AH50" s="367"/>
      <c r="AI50" s="368">
        <f>+AI51*AI56</f>
        <v>0.27011475000000001</v>
      </c>
      <c r="AJ50" s="367"/>
      <c r="AK50" s="368">
        <f>+AK51*AK56</f>
        <v>0.27011475000000001</v>
      </c>
      <c r="AL50" s="367"/>
      <c r="AM50" s="368">
        <f>+AM51*AM56</f>
        <v>0.27011475000000001</v>
      </c>
      <c r="AN50" s="367"/>
      <c r="AO50" s="368">
        <f>+AO51*AO56</f>
        <v>0.27011475000000001</v>
      </c>
      <c r="AP50" s="367"/>
      <c r="AQ50" s="368">
        <f t="shared" ref="AQ50" si="550">+AQ51*AQ56</f>
        <v>0.27011475000000001</v>
      </c>
      <c r="AR50" s="367"/>
      <c r="AS50" s="368">
        <f t="shared" ref="AS50" si="551">+AS51*AS56</f>
        <v>0.27011475000000001</v>
      </c>
      <c r="AT50" s="367"/>
      <c r="AU50" s="368">
        <f t="shared" ref="AU50" si="552">+AU51*AU56</f>
        <v>0.27011475000000001</v>
      </c>
      <c r="AV50" s="367"/>
      <c r="AW50" s="368">
        <f t="shared" ref="AW50" si="553">+AW51*AW56</f>
        <v>0.27011475000000001</v>
      </c>
      <c r="AX50" s="367"/>
      <c r="AY50" s="368">
        <f t="shared" ref="AY50" si="554">+AY51*AY56</f>
        <v>0.27011475000000001</v>
      </c>
      <c r="AZ50" s="367"/>
      <c r="BA50" s="368">
        <f t="shared" ref="BA50:BC50" si="555">+BA51*BA56</f>
        <v>0.27011475000000001</v>
      </c>
      <c r="BB50" s="367"/>
      <c r="BC50" s="368">
        <f t="shared" si="555"/>
        <v>0.27011475000000001</v>
      </c>
      <c r="BD50" s="367"/>
      <c r="BE50" s="368">
        <f t="shared" ref="BE50:BI50" si="556">+BE51*BE56</f>
        <v>0.27011475000000001</v>
      </c>
      <c r="BF50" s="367"/>
      <c r="BG50" s="368">
        <f t="shared" si="556"/>
        <v>0.27011475000000001</v>
      </c>
      <c r="BH50" s="367"/>
      <c r="BI50" s="368">
        <f t="shared" si="556"/>
        <v>0.27011475000000001</v>
      </c>
      <c r="BJ50" s="367"/>
      <c r="BK50" s="368">
        <f t="shared" ref="BK50:BM50" si="557">+BK51*BK56</f>
        <v>0.27006338028169014</v>
      </c>
      <c r="BL50" s="367"/>
      <c r="BM50" s="368">
        <f t="shared" si="557"/>
        <v>0.27021798365122612</v>
      </c>
      <c r="BN50" s="367"/>
      <c r="BO50" s="368">
        <f t="shared" ref="BO50:BQ50" si="558">+BO51*BO56</f>
        <v>0.27021798365122612</v>
      </c>
      <c r="BP50" s="367"/>
      <c r="BQ50" s="368">
        <f t="shared" si="558"/>
        <v>0.27021798365122612</v>
      </c>
      <c r="BR50" s="367"/>
      <c r="BS50" s="368">
        <f t="shared" ref="BS50:CS50" si="559">+BS51*BS56</f>
        <v>0.27021798365122612</v>
      </c>
      <c r="BT50" s="367"/>
      <c r="BU50" s="368">
        <f t="shared" ref="BU50:BW50" si="560">+BU51*BU56</f>
        <v>0.27021798365122612</v>
      </c>
      <c r="BV50" s="367"/>
      <c r="BW50" s="368">
        <f t="shared" si="560"/>
        <v>0.27021798365122612</v>
      </c>
      <c r="BX50" s="367"/>
      <c r="BY50" s="368">
        <f t="shared" ref="BY50:CA50" si="561">+BY51*BY56</f>
        <v>0.27021798365122612</v>
      </c>
      <c r="BZ50" s="367"/>
      <c r="CA50" s="368">
        <f t="shared" si="561"/>
        <v>0.27021798365122612</v>
      </c>
      <c r="CB50" s="367"/>
      <c r="CC50" s="368">
        <f t="shared" ref="CC50:CE50" si="562">+CC51*CC56</f>
        <v>0.27021798365122612</v>
      </c>
      <c r="CD50" s="367"/>
      <c r="CE50" s="368">
        <f t="shared" si="562"/>
        <v>0.27021798365122612</v>
      </c>
      <c r="CF50" s="367"/>
      <c r="CG50" s="368">
        <f t="shared" ref="CG50:CI50" si="563">+CG51*CG56</f>
        <v>0.27021798365122612</v>
      </c>
      <c r="CH50" s="367"/>
      <c r="CI50" s="368">
        <f t="shared" si="563"/>
        <v>0.27021798365122612</v>
      </c>
      <c r="CJ50" s="367"/>
      <c r="CK50" s="368">
        <f t="shared" ref="CK50:CM50" si="564">+CK51*CK56</f>
        <v>0.27021798365122612</v>
      </c>
      <c r="CL50" s="367"/>
      <c r="CM50" s="368">
        <f t="shared" si="564"/>
        <v>0.27021798365122612</v>
      </c>
      <c r="CN50" s="367"/>
      <c r="CO50" s="368">
        <f t="shared" ref="CO50:CQ50" si="565">+CO51*CO56</f>
        <v>0.27021798365122612</v>
      </c>
      <c r="CP50" s="367"/>
      <c r="CQ50" s="368">
        <f t="shared" si="565"/>
        <v>0.27021798365122612</v>
      </c>
      <c r="CR50" s="367"/>
      <c r="CS50" s="368">
        <f t="shared" si="559"/>
        <v>0.27021798365122612</v>
      </c>
      <c r="CT50" s="367"/>
      <c r="CU50" s="368">
        <f t="shared" ref="CU50" si="566">+CU51*CU56</f>
        <v>0.27021798365122612</v>
      </c>
      <c r="CV50" s="367"/>
      <c r="CW50" s="368">
        <f>+CW51*CW56</f>
        <v>0.26988748161270171</v>
      </c>
      <c r="CX50" s="367"/>
      <c r="CY50" s="368">
        <f>+CY51*CY56</f>
        <v>0.27011474999999996</v>
      </c>
      <c r="CZ50" s="367"/>
      <c r="DA50" s="368">
        <f>+DA51*DA56</f>
        <v>0.27011475000000001</v>
      </c>
      <c r="DB50" s="367"/>
      <c r="DC50" s="368">
        <f>+DC51*DC56</f>
        <v>0.27011475000000001</v>
      </c>
      <c r="DD50" s="367"/>
      <c r="DE50" s="368">
        <f>+DE51*DE56</f>
        <v>0.26999469240728374</v>
      </c>
      <c r="DF50" s="367"/>
      <c r="DG50" s="368">
        <f>+DG51*DG56</f>
        <v>0.27011475000000001</v>
      </c>
      <c r="DH50" s="367"/>
      <c r="DI50" s="368">
        <f>+DI51*DI56</f>
        <v>0.29999575000000001</v>
      </c>
      <c r="DJ50" s="367"/>
      <c r="DK50" s="368">
        <f>+DK51*DK56</f>
        <v>0.28498406249999997</v>
      </c>
      <c r="DL50" s="367"/>
      <c r="DM50" s="368">
        <f>+DM51*DM56</f>
        <v>0.28498406249999997</v>
      </c>
      <c r="DN50" s="367"/>
      <c r="DO50" s="368">
        <f>+DO51*DO56</f>
        <v>0.27011475000000001</v>
      </c>
      <c r="DP50" s="367"/>
      <c r="DQ50" s="368">
        <f>+DQ51*DQ56</f>
        <v>0.27011475000000001</v>
      </c>
      <c r="DR50" s="367"/>
      <c r="DS50" s="368">
        <f>+DS51*DS56</f>
        <v>0.27011475000000001</v>
      </c>
    </row>
    <row r="51" spans="1:123" s="4" customFormat="1" ht="18" customHeight="1" x14ac:dyDescent="0.45">
      <c r="A51" s="561"/>
      <c r="B51" s="1184"/>
      <c r="C51" s="15" t="s">
        <v>56</v>
      </c>
      <c r="D51" s="16"/>
      <c r="E51" s="16"/>
      <c r="F51" s="73"/>
      <c r="G51" s="74">
        <v>0.05</v>
      </c>
      <c r="H51" s="73"/>
      <c r="I51" s="74">
        <v>0.05</v>
      </c>
      <c r="J51" s="73"/>
      <c r="K51" s="74">
        <v>0.05</v>
      </c>
      <c r="L51" s="73"/>
      <c r="M51" s="74">
        <v>0.05</v>
      </c>
      <c r="N51" s="369"/>
      <c r="O51" s="370">
        <v>0.05</v>
      </c>
      <c r="P51" s="369"/>
      <c r="Q51" s="370">
        <v>0.05</v>
      </c>
      <c r="R51" s="369"/>
      <c r="S51" s="370">
        <v>0.05</v>
      </c>
      <c r="T51" s="369"/>
      <c r="U51" s="370">
        <v>0.05</v>
      </c>
      <c r="V51" s="369"/>
      <c r="W51" s="370">
        <v>0.05</v>
      </c>
      <c r="X51" s="369"/>
      <c r="Y51" s="370">
        <v>0.05</v>
      </c>
      <c r="Z51" s="369"/>
      <c r="AA51" s="370">
        <v>0.05</v>
      </c>
      <c r="AB51" s="369"/>
      <c r="AC51" s="370">
        <v>0.05</v>
      </c>
      <c r="AD51" s="369"/>
      <c r="AE51" s="370">
        <v>0.05</v>
      </c>
      <c r="AF51" s="369"/>
      <c r="AG51" s="370">
        <v>0.05</v>
      </c>
      <c r="AH51" s="369"/>
      <c r="AI51" s="370">
        <v>0.05</v>
      </c>
      <c r="AJ51" s="369"/>
      <c r="AK51" s="370">
        <v>0.05</v>
      </c>
      <c r="AL51" s="369"/>
      <c r="AM51" s="370">
        <v>0.05</v>
      </c>
      <c r="AN51" s="369"/>
      <c r="AO51" s="370">
        <v>0.05</v>
      </c>
      <c r="AP51" s="369"/>
      <c r="AQ51" s="370">
        <v>0.05</v>
      </c>
      <c r="AR51" s="369"/>
      <c r="AS51" s="370">
        <v>0.05</v>
      </c>
      <c r="AT51" s="369"/>
      <c r="AU51" s="370">
        <v>0.05</v>
      </c>
      <c r="AV51" s="369"/>
      <c r="AW51" s="370">
        <v>0.05</v>
      </c>
      <c r="AX51" s="369"/>
      <c r="AY51" s="370">
        <v>0.05</v>
      </c>
      <c r="AZ51" s="369"/>
      <c r="BA51" s="370">
        <v>0.05</v>
      </c>
      <c r="BB51" s="369"/>
      <c r="BC51" s="370">
        <v>0.05</v>
      </c>
      <c r="BD51" s="369"/>
      <c r="BE51" s="370">
        <v>0.05</v>
      </c>
      <c r="BF51" s="369"/>
      <c r="BG51" s="370">
        <v>0.05</v>
      </c>
      <c r="BH51" s="369"/>
      <c r="BI51" s="370">
        <v>0.05</v>
      </c>
      <c r="BJ51" s="369"/>
      <c r="BK51" s="370">
        <v>0.05</v>
      </c>
      <c r="BL51" s="369"/>
      <c r="BM51" s="370">
        <v>0.05</v>
      </c>
      <c r="BN51" s="369"/>
      <c r="BO51" s="370">
        <v>0.05</v>
      </c>
      <c r="BP51" s="369"/>
      <c r="BQ51" s="370">
        <v>0.05</v>
      </c>
      <c r="BR51" s="369"/>
      <c r="BS51" s="370">
        <v>0.05</v>
      </c>
      <c r="BT51" s="369"/>
      <c r="BU51" s="370">
        <v>0.05</v>
      </c>
      <c r="BV51" s="369"/>
      <c r="BW51" s="370">
        <v>0.05</v>
      </c>
      <c r="BX51" s="369"/>
      <c r="BY51" s="370">
        <v>0.05</v>
      </c>
      <c r="BZ51" s="369"/>
      <c r="CA51" s="370">
        <v>0.05</v>
      </c>
      <c r="CB51" s="369"/>
      <c r="CC51" s="370">
        <v>0.05</v>
      </c>
      <c r="CD51" s="369"/>
      <c r="CE51" s="370">
        <v>0.05</v>
      </c>
      <c r="CF51" s="369"/>
      <c r="CG51" s="370">
        <v>0.05</v>
      </c>
      <c r="CH51" s="369"/>
      <c r="CI51" s="370">
        <v>0.05</v>
      </c>
      <c r="CJ51" s="369"/>
      <c r="CK51" s="370">
        <v>0.05</v>
      </c>
      <c r="CL51" s="369"/>
      <c r="CM51" s="370">
        <v>0.05</v>
      </c>
      <c r="CN51" s="369"/>
      <c r="CO51" s="370">
        <v>0.05</v>
      </c>
      <c r="CP51" s="369"/>
      <c r="CQ51" s="370">
        <v>0.05</v>
      </c>
      <c r="CR51" s="369"/>
      <c r="CS51" s="370">
        <v>0.05</v>
      </c>
      <c r="CT51" s="369"/>
      <c r="CU51" s="370">
        <v>0.05</v>
      </c>
      <c r="CV51" s="369"/>
      <c r="CW51" s="370">
        <v>0.05</v>
      </c>
      <c r="CX51" s="369"/>
      <c r="CY51" s="370">
        <v>0.05</v>
      </c>
      <c r="CZ51" s="369"/>
      <c r="DA51" s="370">
        <v>0.05</v>
      </c>
      <c r="DB51" s="369"/>
      <c r="DC51" s="370">
        <v>0.05</v>
      </c>
      <c r="DD51" s="369"/>
      <c r="DE51" s="370">
        <v>0.05</v>
      </c>
      <c r="DF51" s="369"/>
      <c r="DG51" s="370">
        <v>0.05</v>
      </c>
      <c r="DH51" s="369"/>
      <c r="DI51" s="370">
        <v>0.05</v>
      </c>
      <c r="DJ51" s="369"/>
      <c r="DK51" s="370">
        <v>0.05</v>
      </c>
      <c r="DL51" s="369"/>
      <c r="DM51" s="370">
        <v>0.05</v>
      </c>
      <c r="DN51" s="369"/>
      <c r="DO51" s="370">
        <v>0.05</v>
      </c>
      <c r="DP51" s="369"/>
      <c r="DQ51" s="370">
        <v>0.05</v>
      </c>
      <c r="DR51" s="369"/>
      <c r="DS51" s="370">
        <v>0.05</v>
      </c>
    </row>
    <row r="52" spans="1:123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0.50704225352112675</v>
      </c>
      <c r="H52" s="50"/>
      <c r="I52" s="72">
        <f>$D$53/I66</f>
        <v>0.50704225352112675</v>
      </c>
      <c r="J52" s="50"/>
      <c r="K52" s="72">
        <f t="shared" ref="K52" si="567">$D$53/K66</f>
        <v>0.50704225352112675</v>
      </c>
      <c r="L52" s="50"/>
      <c r="M52" s="72">
        <f t="shared" ref="M52" si="568">$D$53/M66</f>
        <v>0.50704225352112675</v>
      </c>
      <c r="N52" s="367"/>
      <c r="O52" s="368">
        <f>$D$53/O66</f>
        <v>0.50704225352112675</v>
      </c>
      <c r="P52" s="367"/>
      <c r="Q52" s="368">
        <f>$D$53/Q66</f>
        <v>0.50704225352112675</v>
      </c>
      <c r="R52" s="367"/>
      <c r="S52" s="368">
        <f>$D$53/S66</f>
        <v>0.50704225352112675</v>
      </c>
      <c r="T52" s="367"/>
      <c r="U52" s="368">
        <f>$D$53/U66</f>
        <v>0.50704225352112675</v>
      </c>
      <c r="V52" s="367"/>
      <c r="W52" s="368">
        <f>$D$53/W66</f>
        <v>0.50704225352112675</v>
      </c>
      <c r="X52" s="367"/>
      <c r="Y52" s="368">
        <f>$D$53/Y66</f>
        <v>0.50704225352112675</v>
      </c>
      <c r="Z52" s="367"/>
      <c r="AA52" s="368">
        <f>$D$53/AA66</f>
        <v>0.50704225352112675</v>
      </c>
      <c r="AB52" s="367"/>
      <c r="AC52" s="368">
        <f>$D$53/AC66</f>
        <v>0.50704225352112675</v>
      </c>
      <c r="AD52" s="367"/>
      <c r="AE52" s="368">
        <f>$D$53/AE66</f>
        <v>0.50704225352112675</v>
      </c>
      <c r="AF52" s="367"/>
      <c r="AG52" s="368">
        <f>$D$53/AG66</f>
        <v>0.50704225352112675</v>
      </c>
      <c r="AH52" s="367"/>
      <c r="AI52" s="368">
        <f>$D$53/AI66</f>
        <v>0.50704225352112675</v>
      </c>
      <c r="AJ52" s="367"/>
      <c r="AK52" s="368">
        <f>$D$53/AK66</f>
        <v>0.50704225352112675</v>
      </c>
      <c r="AL52" s="367"/>
      <c r="AM52" s="368">
        <f>$D$53/AM66</f>
        <v>0.50704225352112675</v>
      </c>
      <c r="AN52" s="367"/>
      <c r="AO52" s="368">
        <f>$D$53/AO66</f>
        <v>0.50704225352112675</v>
      </c>
      <c r="AP52" s="367"/>
      <c r="AQ52" s="368">
        <f t="shared" ref="AQ52" si="569">$D$53/AQ66</f>
        <v>0.50704225352112675</v>
      </c>
      <c r="AR52" s="367"/>
      <c r="AS52" s="368">
        <f t="shared" ref="AS52" si="570">$D$53/AS66</f>
        <v>0.50704225352112675</v>
      </c>
      <c r="AT52" s="367"/>
      <c r="AU52" s="368">
        <f t="shared" ref="AU52" si="571">$D$53/AU66</f>
        <v>0.50704225352112675</v>
      </c>
      <c r="AV52" s="367"/>
      <c r="AW52" s="368">
        <f t="shared" ref="AW52" si="572">$D$53/AW66</f>
        <v>0.50704225352112675</v>
      </c>
      <c r="AX52" s="367"/>
      <c r="AY52" s="368">
        <f t="shared" ref="AY52" si="573">$D$53/AY66</f>
        <v>0.50704225352112675</v>
      </c>
      <c r="AZ52" s="367"/>
      <c r="BA52" s="368">
        <f t="shared" ref="BA52:BC52" si="574">$D$53/BA66</f>
        <v>0.50704225352112675</v>
      </c>
      <c r="BB52" s="367"/>
      <c r="BC52" s="368">
        <f t="shared" si="574"/>
        <v>0.50704225352112675</v>
      </c>
      <c r="BD52" s="367"/>
      <c r="BE52" s="368">
        <f t="shared" ref="BE52:BI52" si="575">$D$53/BE66</f>
        <v>0.50704225352112675</v>
      </c>
      <c r="BF52" s="367"/>
      <c r="BG52" s="368">
        <f t="shared" si="575"/>
        <v>0.50704225352112675</v>
      </c>
      <c r="BH52" s="367"/>
      <c r="BI52" s="368">
        <f t="shared" si="575"/>
        <v>0.50704225352112675</v>
      </c>
      <c r="BJ52" s="367"/>
      <c r="BK52" s="368">
        <f t="shared" ref="BK52:BM52" si="576">$D$53/BK66</f>
        <v>0.50704225352112675</v>
      </c>
      <c r="BL52" s="367"/>
      <c r="BM52" s="368">
        <f t="shared" si="576"/>
        <v>0.49046321525885561</v>
      </c>
      <c r="BN52" s="367"/>
      <c r="BO52" s="368">
        <f t="shared" ref="BO52:BQ52" si="577">$D$53/BO66</f>
        <v>0.49046321525885561</v>
      </c>
      <c r="BP52" s="367"/>
      <c r="BQ52" s="368">
        <f t="shared" si="577"/>
        <v>0.49046321525885561</v>
      </c>
      <c r="BR52" s="367"/>
      <c r="BS52" s="368">
        <f t="shared" ref="BS52:CS52" si="578">$D$53/BS66</f>
        <v>0.49046321525885561</v>
      </c>
      <c r="BT52" s="367"/>
      <c r="BU52" s="368">
        <f t="shared" ref="BU52:BW52" si="579">$D$53/BU66</f>
        <v>0.49046321525885561</v>
      </c>
      <c r="BV52" s="367"/>
      <c r="BW52" s="368">
        <f t="shared" si="579"/>
        <v>0.49046321525885561</v>
      </c>
      <c r="BX52" s="367"/>
      <c r="BY52" s="368">
        <f t="shared" ref="BY52:CA52" si="580">$D$53/BY66</f>
        <v>0.49046321525885561</v>
      </c>
      <c r="BZ52" s="367"/>
      <c r="CA52" s="368">
        <f t="shared" si="580"/>
        <v>0.49046321525885561</v>
      </c>
      <c r="CB52" s="367"/>
      <c r="CC52" s="368">
        <f t="shared" ref="CC52:CE52" si="581">$D$53/CC66</f>
        <v>0.49046321525885561</v>
      </c>
      <c r="CD52" s="367"/>
      <c r="CE52" s="368">
        <f t="shared" si="581"/>
        <v>0.49046321525885561</v>
      </c>
      <c r="CF52" s="367"/>
      <c r="CG52" s="368">
        <f t="shared" ref="CG52:CI52" si="582">$D$53/CG66</f>
        <v>0.49046321525885561</v>
      </c>
      <c r="CH52" s="367"/>
      <c r="CI52" s="368">
        <f t="shared" si="582"/>
        <v>0.49046321525885561</v>
      </c>
      <c r="CJ52" s="367"/>
      <c r="CK52" s="368">
        <f t="shared" ref="CK52:CM52" si="583">$D$53/CK66</f>
        <v>0.49046321525885561</v>
      </c>
      <c r="CL52" s="367"/>
      <c r="CM52" s="368">
        <f t="shared" si="583"/>
        <v>0.49046321525885561</v>
      </c>
      <c r="CN52" s="367"/>
      <c r="CO52" s="368">
        <f t="shared" ref="CO52:CQ52" si="584">$D$53/CO66</f>
        <v>0.49046321525885561</v>
      </c>
      <c r="CP52" s="367"/>
      <c r="CQ52" s="368">
        <f t="shared" si="584"/>
        <v>0.49046321525885561</v>
      </c>
      <c r="CR52" s="367"/>
      <c r="CS52" s="368">
        <f t="shared" si="578"/>
        <v>0.49046321525885561</v>
      </c>
      <c r="CT52" s="367"/>
      <c r="CU52" s="368">
        <f t="shared" ref="CU52" si="585">$D$53/CU66</f>
        <v>0.49046321525885561</v>
      </c>
      <c r="CV52" s="367"/>
      <c r="CW52" s="368">
        <f>$D$53/CW66</f>
        <v>0.50704225352112675</v>
      </c>
      <c r="CX52" s="367"/>
      <c r="CY52" s="368">
        <f>$D$53/CY66</f>
        <v>0.50704225352112675</v>
      </c>
      <c r="CZ52" s="367"/>
      <c r="DA52" s="368">
        <f>$D$53/DA66</f>
        <v>0.50704225352112675</v>
      </c>
      <c r="DB52" s="367"/>
      <c r="DC52" s="368">
        <f>$D$53/DC66</f>
        <v>0.50704225352112675</v>
      </c>
      <c r="DD52" s="367"/>
      <c r="DE52" s="368">
        <f>$D$53/DE66</f>
        <v>0.50704225352112675</v>
      </c>
      <c r="DF52" s="367"/>
      <c r="DG52" s="368">
        <f>$D$53/DG66</f>
        <v>0.50704225352112675</v>
      </c>
      <c r="DH52" s="367"/>
      <c r="DI52" s="368">
        <f>$D$53/DI66</f>
        <v>0.50704225352112675</v>
      </c>
      <c r="DJ52" s="367"/>
      <c r="DK52" s="368">
        <f>$D$53/DK66</f>
        <v>0.50704225352112675</v>
      </c>
      <c r="DL52" s="367"/>
      <c r="DM52" s="368">
        <f>$D$53/DM66</f>
        <v>0.50704225352112675</v>
      </c>
      <c r="DN52" s="367"/>
      <c r="DO52" s="368">
        <f>$D$53/DO66</f>
        <v>0.50704225352112675</v>
      </c>
      <c r="DP52" s="367"/>
      <c r="DQ52" s="368">
        <f>$D$53/DQ66</f>
        <v>0.50704225352112675</v>
      </c>
      <c r="DR52" s="367"/>
      <c r="DS52" s="368">
        <f>$D$53/DS66</f>
        <v>0.50704225352112675</v>
      </c>
    </row>
    <row r="53" spans="1:123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73"/>
      <c r="G53" s="74">
        <f>G52/G56</f>
        <v>9.9420049710024855E-2</v>
      </c>
      <c r="H53" s="73"/>
      <c r="I53" s="74">
        <f>I52/I56</f>
        <v>9.7508125677139776E-2</v>
      </c>
      <c r="J53" s="73"/>
      <c r="K53" s="74">
        <f t="shared" ref="K53" si="586">K52/K56</f>
        <v>9.7508125677139776E-2</v>
      </c>
      <c r="L53" s="73"/>
      <c r="M53" s="74">
        <f t="shared" ref="M53" si="587">M52/M56</f>
        <v>9.7508125677139776E-2</v>
      </c>
      <c r="N53" s="369"/>
      <c r="O53" s="370">
        <f>O52/O56</f>
        <v>9.4118142673554644E-2</v>
      </c>
      <c r="P53" s="369"/>
      <c r="Q53" s="370">
        <f>Q52/Q56</f>
        <v>9.3891094597898933E-2</v>
      </c>
      <c r="R53" s="369"/>
      <c r="S53" s="370">
        <f>S52/S56</f>
        <v>9.3891094597898933E-2</v>
      </c>
      <c r="T53" s="369"/>
      <c r="U53" s="370">
        <f>U52/U56</f>
        <v>9.385682446462601E-2</v>
      </c>
      <c r="V53" s="369"/>
      <c r="W53" s="370">
        <f>W52/W56</f>
        <v>9.385682446462601E-2</v>
      </c>
      <c r="X53" s="369"/>
      <c r="Y53" s="370">
        <f>Y52/Y56</f>
        <v>9.385682446462601E-2</v>
      </c>
      <c r="Z53" s="369"/>
      <c r="AA53" s="370">
        <f>AA52/AA56</f>
        <v>9.385682446462601E-2</v>
      </c>
      <c r="AB53" s="369"/>
      <c r="AC53" s="370">
        <f>AC52/AC56</f>
        <v>9.385682446462601E-2</v>
      </c>
      <c r="AD53" s="369"/>
      <c r="AE53" s="370">
        <f>AE52/AE56</f>
        <v>9.385682446462601E-2</v>
      </c>
      <c r="AF53" s="369"/>
      <c r="AG53" s="370">
        <f>AG52/AG56</f>
        <v>9.385682446462601E-2</v>
      </c>
      <c r="AH53" s="369"/>
      <c r="AI53" s="370">
        <f>AI52/AI56</f>
        <v>9.385682446462601E-2</v>
      </c>
      <c r="AJ53" s="369"/>
      <c r="AK53" s="370">
        <f>AK52/AK56</f>
        <v>9.385682446462601E-2</v>
      </c>
      <c r="AL53" s="369"/>
      <c r="AM53" s="370">
        <f>AM52/AM56</f>
        <v>9.385682446462601E-2</v>
      </c>
      <c r="AN53" s="369"/>
      <c r="AO53" s="370">
        <f>AO52/AO56</f>
        <v>9.385682446462601E-2</v>
      </c>
      <c r="AP53" s="369"/>
      <c r="AQ53" s="370">
        <f t="shared" ref="AQ53" si="588">AQ52/AQ56</f>
        <v>9.385682446462601E-2</v>
      </c>
      <c r="AR53" s="369"/>
      <c r="AS53" s="370">
        <f t="shared" ref="AS53" si="589">AS52/AS56</f>
        <v>9.385682446462601E-2</v>
      </c>
      <c r="AT53" s="369"/>
      <c r="AU53" s="370">
        <f t="shared" ref="AU53" si="590">AU52/AU56</f>
        <v>9.385682446462601E-2</v>
      </c>
      <c r="AV53" s="369"/>
      <c r="AW53" s="370">
        <f t="shared" ref="AW53" si="591">AW52/AW56</f>
        <v>9.385682446462601E-2</v>
      </c>
      <c r="AX53" s="369"/>
      <c r="AY53" s="370">
        <f t="shared" ref="AY53" si="592">AY52/AY56</f>
        <v>9.385682446462601E-2</v>
      </c>
      <c r="AZ53" s="369"/>
      <c r="BA53" s="370">
        <f t="shared" ref="BA53:BC53" si="593">BA52/BA56</f>
        <v>9.385682446462601E-2</v>
      </c>
      <c r="BB53" s="369"/>
      <c r="BC53" s="370">
        <f t="shared" si="593"/>
        <v>9.385682446462601E-2</v>
      </c>
      <c r="BD53" s="369"/>
      <c r="BE53" s="370">
        <f t="shared" ref="BE53:BI53" si="594">BE52/BE56</f>
        <v>9.385682446462601E-2</v>
      </c>
      <c r="BF53" s="369"/>
      <c r="BG53" s="370">
        <f t="shared" si="594"/>
        <v>9.385682446462601E-2</v>
      </c>
      <c r="BH53" s="369"/>
      <c r="BI53" s="370">
        <f t="shared" si="594"/>
        <v>9.385682446462601E-2</v>
      </c>
      <c r="BJ53" s="369"/>
      <c r="BK53" s="370">
        <f t="shared" ref="BK53:BM53" si="595">BK52/BK56</f>
        <v>9.3874677305796767E-2</v>
      </c>
      <c r="BL53" s="369"/>
      <c r="BM53" s="370">
        <f t="shared" si="595"/>
        <v>9.0753251991529713E-2</v>
      </c>
      <c r="BN53" s="369"/>
      <c r="BO53" s="370">
        <f t="shared" ref="BO53:BQ53" si="596">BO52/BO56</f>
        <v>9.0753251991529713E-2</v>
      </c>
      <c r="BP53" s="369"/>
      <c r="BQ53" s="370">
        <f t="shared" si="596"/>
        <v>9.0753251991529713E-2</v>
      </c>
      <c r="BR53" s="369"/>
      <c r="BS53" s="370">
        <f t="shared" ref="BS53:CS53" si="597">BS52/BS56</f>
        <v>9.0753251991529713E-2</v>
      </c>
      <c r="BT53" s="369"/>
      <c r="BU53" s="370">
        <f t="shared" ref="BU53:BW53" si="598">BU52/BU56</f>
        <v>9.0753251991529713E-2</v>
      </c>
      <c r="BV53" s="369"/>
      <c r="BW53" s="370">
        <f t="shared" si="598"/>
        <v>9.0753251991529713E-2</v>
      </c>
      <c r="BX53" s="369"/>
      <c r="BY53" s="370">
        <f t="shared" ref="BY53:CA53" si="599">BY52/BY56</f>
        <v>9.0753251991529713E-2</v>
      </c>
      <c r="BZ53" s="369"/>
      <c r="CA53" s="370">
        <f t="shared" si="599"/>
        <v>9.0753251991529713E-2</v>
      </c>
      <c r="CB53" s="369"/>
      <c r="CC53" s="370">
        <f t="shared" ref="CC53:CE53" si="600">CC52/CC56</f>
        <v>9.0753251991529713E-2</v>
      </c>
      <c r="CD53" s="369"/>
      <c r="CE53" s="370">
        <f t="shared" si="600"/>
        <v>9.0753251991529713E-2</v>
      </c>
      <c r="CF53" s="369"/>
      <c r="CG53" s="370">
        <f t="shared" ref="CG53:CI53" si="601">CG52/CG56</f>
        <v>9.0753251991529713E-2</v>
      </c>
      <c r="CH53" s="369"/>
      <c r="CI53" s="370">
        <f t="shared" si="601"/>
        <v>9.0753251991529713E-2</v>
      </c>
      <c r="CJ53" s="369"/>
      <c r="CK53" s="370">
        <f t="shared" ref="CK53:CM53" si="602">CK52/CK56</f>
        <v>9.0753251991529713E-2</v>
      </c>
      <c r="CL53" s="369"/>
      <c r="CM53" s="370">
        <f t="shared" si="602"/>
        <v>9.0753251991529713E-2</v>
      </c>
      <c r="CN53" s="369"/>
      <c r="CO53" s="370">
        <f t="shared" ref="CO53:CQ53" si="603">CO52/CO56</f>
        <v>9.0753251991529713E-2</v>
      </c>
      <c r="CP53" s="369"/>
      <c r="CQ53" s="370">
        <f t="shared" si="603"/>
        <v>9.0753251991529713E-2</v>
      </c>
      <c r="CR53" s="369"/>
      <c r="CS53" s="370">
        <f t="shared" si="597"/>
        <v>9.0753251991529713E-2</v>
      </c>
      <c r="CT53" s="369"/>
      <c r="CU53" s="370">
        <f t="shared" ref="CU53" si="604">CU52/CU56</f>
        <v>9.0753251991529713E-2</v>
      </c>
      <c r="CV53" s="369"/>
      <c r="CW53" s="370">
        <f>CW52/CW56</f>
        <v>9.3935859953806738E-2</v>
      </c>
      <c r="CX53" s="369"/>
      <c r="CY53" s="370">
        <f>CY52/CY56</f>
        <v>9.3856824464626024E-2</v>
      </c>
      <c r="CZ53" s="369"/>
      <c r="DA53" s="370">
        <f>DA52/DA56</f>
        <v>9.385682446462601E-2</v>
      </c>
      <c r="DB53" s="369"/>
      <c r="DC53" s="370">
        <f>DC52/DC56</f>
        <v>9.385682446462601E-2</v>
      </c>
      <c r="DD53" s="369"/>
      <c r="DE53" s="370">
        <f>DE52/DE56</f>
        <v>9.3898559449505717E-2</v>
      </c>
      <c r="DF53" s="369"/>
      <c r="DG53" s="370">
        <f>DG52/DG56</f>
        <v>9.385682446462601E-2</v>
      </c>
      <c r="DH53" s="369"/>
      <c r="DI53" s="370">
        <f>DI52/DI56</f>
        <v>8.4508239453580061E-2</v>
      </c>
      <c r="DJ53" s="369"/>
      <c r="DK53" s="370">
        <f>DK52/DK56</f>
        <v>8.8959756042695681E-2</v>
      </c>
      <c r="DL53" s="369"/>
      <c r="DM53" s="370">
        <f>DM52/DM56</f>
        <v>8.8959756042695681E-2</v>
      </c>
      <c r="DN53" s="369"/>
      <c r="DO53" s="370">
        <f>DO52/DO56</f>
        <v>9.385682446462601E-2</v>
      </c>
      <c r="DP53" s="369"/>
      <c r="DQ53" s="370">
        <f>DQ52/DQ56</f>
        <v>9.385682446462601E-2</v>
      </c>
      <c r="DR53" s="369"/>
      <c r="DS53" s="370">
        <f>DS52/DS56</f>
        <v>9.385682446462601E-2</v>
      </c>
    </row>
    <row r="54" spans="1:123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0.53549999999999998</v>
      </c>
      <c r="H54" s="73"/>
      <c r="I54" s="72">
        <f>(I55*(I56+I50))</f>
        <v>0.54599999999999993</v>
      </c>
      <c r="J54" s="73"/>
      <c r="K54" s="72">
        <f t="shared" ref="K54" si="605">(K55*(K56+K50))</f>
        <v>0.54599999999999993</v>
      </c>
      <c r="L54" s="73"/>
      <c r="M54" s="72">
        <f t="shared" ref="M54" si="606">(M55*(M56+M50))</f>
        <v>0.54599999999999993</v>
      </c>
      <c r="N54" s="371"/>
      <c r="O54" s="368">
        <f>(O55*(O56+O50))</f>
        <v>0.56566603534004445</v>
      </c>
      <c r="P54" s="371"/>
      <c r="Q54" s="368">
        <f>(Q55*(Q56+Q50))</f>
        <v>0.56703393274647895</v>
      </c>
      <c r="R54" s="371"/>
      <c r="S54" s="368">
        <f>(S55*(S56+S50))</f>
        <v>0.56703393274647895</v>
      </c>
      <c r="T54" s="371"/>
      <c r="U54" s="368">
        <f>(U55*(U56+U50))</f>
        <v>0.56724097500000004</v>
      </c>
      <c r="V54" s="371"/>
      <c r="W54" s="368">
        <f>(W55*(W56+W50))</f>
        <v>0.56724097500000004</v>
      </c>
      <c r="X54" s="371"/>
      <c r="Y54" s="368">
        <f>(Y55*(Y56+Y50))</f>
        <v>0.56724097500000004</v>
      </c>
      <c r="Z54" s="371"/>
      <c r="AA54" s="368">
        <f>(AA55*(AA56+AA50))</f>
        <v>0.56724097500000004</v>
      </c>
      <c r="AB54" s="371"/>
      <c r="AC54" s="368">
        <f>(AC55*(AC56+AC50))</f>
        <v>0.56724097500000004</v>
      </c>
      <c r="AD54" s="371"/>
      <c r="AE54" s="368">
        <f>(AE55*(AE56+AE50))</f>
        <v>0.56724097500000004</v>
      </c>
      <c r="AF54" s="371"/>
      <c r="AG54" s="368">
        <f>(AG55*(AG56+AG50))</f>
        <v>0.56724097500000004</v>
      </c>
      <c r="AH54" s="371"/>
      <c r="AI54" s="368">
        <f>(AI55*(AI56+AI50))</f>
        <v>0.56724097500000004</v>
      </c>
      <c r="AJ54" s="371"/>
      <c r="AK54" s="368">
        <f>(AK55*(AK56+AK50))</f>
        <v>0.56724097500000004</v>
      </c>
      <c r="AL54" s="371"/>
      <c r="AM54" s="368">
        <f>(AM55*(AM56+AM50))</f>
        <v>0.56724097500000004</v>
      </c>
      <c r="AN54" s="371"/>
      <c r="AO54" s="368">
        <f>(AO55*(AO56+AO50))</f>
        <v>0.56724097500000004</v>
      </c>
      <c r="AP54" s="371"/>
      <c r="AQ54" s="368">
        <f t="shared" ref="AQ54" si="607">(AQ55*(AQ56+AQ50))</f>
        <v>0.56724097500000004</v>
      </c>
      <c r="AR54" s="371"/>
      <c r="AS54" s="368">
        <f t="shared" ref="AS54" si="608">(AS55*(AS56+AS50))</f>
        <v>0.56724097500000004</v>
      </c>
      <c r="AT54" s="371"/>
      <c r="AU54" s="368">
        <f t="shared" ref="AU54" si="609">(AU55*(AU56+AU50))</f>
        <v>0.56724097500000004</v>
      </c>
      <c r="AV54" s="371"/>
      <c r="AW54" s="368">
        <f t="shared" ref="AW54" si="610">(AW55*(AW56+AW50))</f>
        <v>0.56724097500000004</v>
      </c>
      <c r="AX54" s="371"/>
      <c r="AY54" s="368">
        <f t="shared" ref="AY54" si="611">(AY55*(AY56+AY50))</f>
        <v>0.56724097500000004</v>
      </c>
      <c r="AZ54" s="371"/>
      <c r="BA54" s="368">
        <f t="shared" ref="BA54:BC54" si="612">(BA55*(BA56+BA50))</f>
        <v>0.56724097500000004</v>
      </c>
      <c r="BB54" s="371"/>
      <c r="BC54" s="368">
        <f t="shared" si="612"/>
        <v>0.56724097500000004</v>
      </c>
      <c r="BD54" s="371"/>
      <c r="BE54" s="368">
        <f t="shared" ref="BE54:BI54" si="613">(BE55*(BE56+BE50))</f>
        <v>0.56724097500000004</v>
      </c>
      <c r="BF54" s="371"/>
      <c r="BG54" s="368">
        <f t="shared" si="613"/>
        <v>0.56724097500000004</v>
      </c>
      <c r="BH54" s="371"/>
      <c r="BI54" s="368">
        <f t="shared" si="613"/>
        <v>0.56724097500000004</v>
      </c>
      <c r="BJ54" s="371"/>
      <c r="BK54" s="368">
        <f t="shared" ref="BK54:BM54" si="614">(BK55*(BK56+BK50))</f>
        <v>0.56713309859154926</v>
      </c>
      <c r="BL54" s="371"/>
      <c r="BM54" s="368">
        <f t="shared" si="614"/>
        <v>0.56745776566757489</v>
      </c>
      <c r="BN54" s="371"/>
      <c r="BO54" s="368">
        <f t="shared" ref="BO54:BQ54" si="615">(BO55*(BO56+BO50))</f>
        <v>0.56745776566757489</v>
      </c>
      <c r="BP54" s="371"/>
      <c r="BQ54" s="368">
        <f t="shared" si="615"/>
        <v>0.56745776566757489</v>
      </c>
      <c r="BR54" s="371"/>
      <c r="BS54" s="368">
        <f t="shared" ref="BS54:CS54" si="616">(BS55*(BS56+BS50))</f>
        <v>0.56745776566757489</v>
      </c>
      <c r="BT54" s="371"/>
      <c r="BU54" s="368">
        <f t="shared" ref="BU54:BW54" si="617">(BU55*(BU56+BU50))</f>
        <v>0.56745776566757489</v>
      </c>
      <c r="BV54" s="371"/>
      <c r="BW54" s="368">
        <f t="shared" si="617"/>
        <v>0.56745776566757489</v>
      </c>
      <c r="BX54" s="371"/>
      <c r="BY54" s="368">
        <f t="shared" ref="BY54:CA54" si="618">(BY55*(BY56+BY50))</f>
        <v>0.56745776566757489</v>
      </c>
      <c r="BZ54" s="371"/>
      <c r="CA54" s="368">
        <f t="shared" si="618"/>
        <v>0.56745776566757489</v>
      </c>
      <c r="CB54" s="371"/>
      <c r="CC54" s="368">
        <f t="shared" ref="CC54:CE54" si="619">(CC55*(CC56+CC50))</f>
        <v>0.56745776566757489</v>
      </c>
      <c r="CD54" s="371"/>
      <c r="CE54" s="368">
        <f t="shared" si="619"/>
        <v>0.56745776566757489</v>
      </c>
      <c r="CF54" s="371"/>
      <c r="CG54" s="368">
        <f t="shared" ref="CG54:CI54" si="620">(CG55*(CG56+CG50))</f>
        <v>0.56745776566757489</v>
      </c>
      <c r="CH54" s="371"/>
      <c r="CI54" s="368">
        <f t="shared" si="620"/>
        <v>0.56745776566757489</v>
      </c>
      <c r="CJ54" s="371"/>
      <c r="CK54" s="368">
        <f t="shared" ref="CK54:CM54" si="621">(CK55*(CK56+CK50))</f>
        <v>0.56745776566757489</v>
      </c>
      <c r="CL54" s="371"/>
      <c r="CM54" s="368">
        <f t="shared" si="621"/>
        <v>0.56745776566757489</v>
      </c>
      <c r="CN54" s="371"/>
      <c r="CO54" s="368">
        <f t="shared" ref="CO54:CQ54" si="622">(CO55*(CO56+CO50))</f>
        <v>0.56745776566757489</v>
      </c>
      <c r="CP54" s="371"/>
      <c r="CQ54" s="368">
        <f t="shared" si="622"/>
        <v>0.56745776566757489</v>
      </c>
      <c r="CR54" s="371"/>
      <c r="CS54" s="368">
        <f t="shared" si="616"/>
        <v>0.56745776566757489</v>
      </c>
      <c r="CT54" s="371"/>
      <c r="CU54" s="368">
        <f t="shared" ref="CU54" si="623">(CU55*(CU56+CU50))</f>
        <v>0.56745776566757489</v>
      </c>
      <c r="CV54" s="371"/>
      <c r="CW54" s="368">
        <f>(CW55*(CW56+CW50))</f>
        <v>0.56676371138667359</v>
      </c>
      <c r="CX54" s="371"/>
      <c r="CY54" s="368">
        <f>(CY55*(CY56+CY50))</f>
        <v>0.56724097499999993</v>
      </c>
      <c r="CZ54" s="371"/>
      <c r="DA54" s="368">
        <f>(DA55*(DA56+DA50))</f>
        <v>0.56724097500000004</v>
      </c>
      <c r="DB54" s="371"/>
      <c r="DC54" s="368">
        <f>(DC55*(DC56+DC50))</f>
        <v>0.56724097500000004</v>
      </c>
      <c r="DD54" s="371"/>
      <c r="DE54" s="368">
        <f>(DE55*(DE56+DE50))</f>
        <v>0.56698885405529587</v>
      </c>
      <c r="DF54" s="371"/>
      <c r="DG54" s="368">
        <f>(DG55*(DG56+DG50))</f>
        <v>0.56724097500000004</v>
      </c>
      <c r="DH54" s="371"/>
      <c r="DI54" s="368">
        <f>(DI55*(DI56+DI50))</f>
        <v>0.62999107499999996</v>
      </c>
      <c r="DJ54" s="371"/>
      <c r="DK54" s="368">
        <f>(DK55*(DK56+DK50))</f>
        <v>0.59846653124999993</v>
      </c>
      <c r="DL54" s="371"/>
      <c r="DM54" s="368">
        <f>(DM55*(DM56+DM50))</f>
        <v>0.59846653124999993</v>
      </c>
      <c r="DN54" s="371"/>
      <c r="DO54" s="368">
        <f>(DO55*(DO56+DO50))</f>
        <v>0.56724097500000004</v>
      </c>
      <c r="DP54" s="371"/>
      <c r="DQ54" s="368">
        <f>(DQ55*(DQ56+DQ50))</f>
        <v>0.56724097500000004</v>
      </c>
      <c r="DR54" s="371"/>
      <c r="DS54" s="368">
        <f>(DS55*(DS56+DS50))</f>
        <v>0.56724097500000004</v>
      </c>
    </row>
    <row r="55" spans="1:123" s="4" customFormat="1" ht="18" customHeight="1" x14ac:dyDescent="0.45">
      <c r="A55" s="561"/>
      <c r="B55" s="1184"/>
      <c r="C55" s="77" t="s">
        <v>60</v>
      </c>
      <c r="D55" s="76"/>
      <c r="E55" s="16"/>
      <c r="F55" s="73"/>
      <c r="G55" s="74">
        <v>0.1</v>
      </c>
      <c r="H55" s="73"/>
      <c r="I55" s="74">
        <v>0.1</v>
      </c>
      <c r="J55" s="73"/>
      <c r="K55" s="74">
        <v>0.1</v>
      </c>
      <c r="L55" s="73"/>
      <c r="M55" s="74">
        <v>0.1</v>
      </c>
      <c r="N55" s="369"/>
      <c r="O55" s="370">
        <v>0.1</v>
      </c>
      <c r="P55" s="369"/>
      <c r="Q55" s="370">
        <v>0.1</v>
      </c>
      <c r="R55" s="369"/>
      <c r="S55" s="370">
        <v>0.1</v>
      </c>
      <c r="T55" s="369"/>
      <c r="U55" s="370">
        <v>0.1</v>
      </c>
      <c r="V55" s="369"/>
      <c r="W55" s="370">
        <v>0.1</v>
      </c>
      <c r="X55" s="369"/>
      <c r="Y55" s="370">
        <v>0.1</v>
      </c>
      <c r="Z55" s="369"/>
      <c r="AA55" s="370">
        <v>0.1</v>
      </c>
      <c r="AB55" s="369"/>
      <c r="AC55" s="370">
        <v>0.1</v>
      </c>
      <c r="AD55" s="369"/>
      <c r="AE55" s="370">
        <v>0.1</v>
      </c>
      <c r="AF55" s="369"/>
      <c r="AG55" s="370">
        <v>0.1</v>
      </c>
      <c r="AH55" s="369"/>
      <c r="AI55" s="370">
        <v>0.1</v>
      </c>
      <c r="AJ55" s="369"/>
      <c r="AK55" s="370">
        <v>0.1</v>
      </c>
      <c r="AL55" s="369"/>
      <c r="AM55" s="370">
        <v>0.1</v>
      </c>
      <c r="AN55" s="369"/>
      <c r="AO55" s="370">
        <v>0.1</v>
      </c>
      <c r="AP55" s="369"/>
      <c r="AQ55" s="370">
        <v>0.1</v>
      </c>
      <c r="AR55" s="369"/>
      <c r="AS55" s="370">
        <v>0.1</v>
      </c>
      <c r="AT55" s="369"/>
      <c r="AU55" s="370">
        <v>0.1</v>
      </c>
      <c r="AV55" s="369"/>
      <c r="AW55" s="370">
        <v>0.1</v>
      </c>
      <c r="AX55" s="369"/>
      <c r="AY55" s="370">
        <v>0.1</v>
      </c>
      <c r="AZ55" s="369"/>
      <c r="BA55" s="370">
        <v>0.1</v>
      </c>
      <c r="BB55" s="369"/>
      <c r="BC55" s="370">
        <v>0.1</v>
      </c>
      <c r="BD55" s="369"/>
      <c r="BE55" s="370">
        <v>0.1</v>
      </c>
      <c r="BF55" s="369"/>
      <c r="BG55" s="370">
        <v>0.1</v>
      </c>
      <c r="BH55" s="369"/>
      <c r="BI55" s="370">
        <v>0.1</v>
      </c>
      <c r="BJ55" s="369"/>
      <c r="BK55" s="370">
        <v>0.1</v>
      </c>
      <c r="BL55" s="369"/>
      <c r="BM55" s="370">
        <v>0.1</v>
      </c>
      <c r="BN55" s="369"/>
      <c r="BO55" s="370">
        <v>0.1</v>
      </c>
      <c r="BP55" s="369"/>
      <c r="BQ55" s="370">
        <v>0.1</v>
      </c>
      <c r="BR55" s="369"/>
      <c r="BS55" s="370">
        <v>0.1</v>
      </c>
      <c r="BT55" s="369"/>
      <c r="BU55" s="370">
        <v>0.1</v>
      </c>
      <c r="BV55" s="369"/>
      <c r="BW55" s="370">
        <v>0.1</v>
      </c>
      <c r="BX55" s="369"/>
      <c r="BY55" s="370">
        <v>0.1</v>
      </c>
      <c r="BZ55" s="369"/>
      <c r="CA55" s="370">
        <v>0.1</v>
      </c>
      <c r="CB55" s="369"/>
      <c r="CC55" s="370">
        <v>0.1</v>
      </c>
      <c r="CD55" s="369"/>
      <c r="CE55" s="370">
        <v>0.1</v>
      </c>
      <c r="CF55" s="369"/>
      <c r="CG55" s="370">
        <v>0.1</v>
      </c>
      <c r="CH55" s="369"/>
      <c r="CI55" s="370">
        <v>0.1</v>
      </c>
      <c r="CJ55" s="369"/>
      <c r="CK55" s="370">
        <v>0.1</v>
      </c>
      <c r="CL55" s="369"/>
      <c r="CM55" s="370">
        <v>0.1</v>
      </c>
      <c r="CN55" s="369"/>
      <c r="CO55" s="370">
        <v>0.1</v>
      </c>
      <c r="CP55" s="369"/>
      <c r="CQ55" s="370">
        <v>0.1</v>
      </c>
      <c r="CR55" s="369"/>
      <c r="CS55" s="370">
        <v>0.1</v>
      </c>
      <c r="CT55" s="369"/>
      <c r="CU55" s="370">
        <v>0.1</v>
      </c>
      <c r="CV55" s="369"/>
      <c r="CW55" s="370">
        <v>0.1</v>
      </c>
      <c r="CX55" s="369"/>
      <c r="CY55" s="370">
        <v>0.1</v>
      </c>
      <c r="CZ55" s="369"/>
      <c r="DA55" s="370">
        <v>0.1</v>
      </c>
      <c r="DB55" s="369"/>
      <c r="DC55" s="370">
        <v>0.1</v>
      </c>
      <c r="DD55" s="369"/>
      <c r="DE55" s="370">
        <v>0.1</v>
      </c>
      <c r="DF55" s="369"/>
      <c r="DG55" s="370">
        <v>0.1</v>
      </c>
      <c r="DH55" s="369"/>
      <c r="DI55" s="370">
        <v>0.1</v>
      </c>
      <c r="DJ55" s="369"/>
      <c r="DK55" s="370">
        <v>0.1</v>
      </c>
      <c r="DL55" s="369"/>
      <c r="DM55" s="370">
        <v>0.1</v>
      </c>
      <c r="DN55" s="369"/>
      <c r="DO55" s="370">
        <v>0.1</v>
      </c>
      <c r="DP55" s="369"/>
      <c r="DQ55" s="370">
        <v>0.1</v>
      </c>
      <c r="DR55" s="369"/>
      <c r="DS55" s="370">
        <v>0.1</v>
      </c>
    </row>
    <row r="56" spans="1:123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5.0999999999999996</v>
      </c>
      <c r="H56" s="81"/>
      <c r="I56" s="82">
        <f>I60-I57+I58</f>
        <v>5.1999999999999993</v>
      </c>
      <c r="J56" s="81"/>
      <c r="K56" s="82">
        <f t="shared" ref="K56" si="624">K60-K57+K58</f>
        <v>5.1999999999999993</v>
      </c>
      <c r="L56" s="81"/>
      <c r="M56" s="82">
        <f t="shared" ref="M56" si="625">M60-M57+M58</f>
        <v>5.1999999999999993</v>
      </c>
      <c r="N56" s="550"/>
      <c r="O56" s="82">
        <f>O60-O57+O58</f>
        <v>5.3872955746670899</v>
      </c>
      <c r="P56" s="550"/>
      <c r="Q56" s="82">
        <f>Q60-Q57+Q58</f>
        <v>5.4003231690140847</v>
      </c>
      <c r="R56" s="550"/>
      <c r="S56" s="82">
        <f>S60-S57+S58</f>
        <v>5.4003231690140847</v>
      </c>
      <c r="T56" s="550"/>
      <c r="U56" s="82">
        <f>U60-U57+U58</f>
        <v>5.4022949999999996</v>
      </c>
      <c r="V56" s="550"/>
      <c r="W56" s="82">
        <f>W60-W57+W58</f>
        <v>5.4022949999999996</v>
      </c>
      <c r="X56" s="550"/>
      <c r="Y56" s="82">
        <f>Y60-Y57+Y58</f>
        <v>5.4022949999999996</v>
      </c>
      <c r="Z56" s="550"/>
      <c r="AA56" s="82">
        <f>AA60-AA57+AA58</f>
        <v>5.4022949999999996</v>
      </c>
      <c r="AB56" s="550"/>
      <c r="AC56" s="82">
        <f>AC60-AC57+AC58</f>
        <v>5.4022949999999996</v>
      </c>
      <c r="AD56" s="550"/>
      <c r="AE56" s="82">
        <f>AE60-AE57+AE58</f>
        <v>5.4022949999999996</v>
      </c>
      <c r="AF56" s="550"/>
      <c r="AG56" s="82">
        <f>AG60-AG57+AG58</f>
        <v>5.4022949999999996</v>
      </c>
      <c r="AH56" s="550"/>
      <c r="AI56" s="82">
        <f>AI60-AI57+AI58</f>
        <v>5.4022949999999996</v>
      </c>
      <c r="AJ56" s="550"/>
      <c r="AK56" s="82">
        <f>AK60-AK57+AK58</f>
        <v>5.4022949999999996</v>
      </c>
      <c r="AL56" s="550"/>
      <c r="AM56" s="82">
        <f>AM60-AM57+AM58</f>
        <v>5.4022949999999996</v>
      </c>
      <c r="AN56" s="550"/>
      <c r="AO56" s="82">
        <f>AO60-AO57+AO58</f>
        <v>5.4022949999999996</v>
      </c>
      <c r="AP56" s="550"/>
      <c r="AQ56" s="82">
        <f t="shared" ref="AQ56" si="626">AQ60-AQ57+AQ58</f>
        <v>5.4022949999999996</v>
      </c>
      <c r="AR56" s="550"/>
      <c r="AS56" s="82">
        <f t="shared" ref="AS56" si="627">AS60-AS57+AS58</f>
        <v>5.4022949999999996</v>
      </c>
      <c r="AT56" s="550"/>
      <c r="AU56" s="82">
        <f t="shared" ref="AU56" si="628">AU60-AU57+AU58</f>
        <v>5.4022949999999996</v>
      </c>
      <c r="AV56" s="550"/>
      <c r="AW56" s="82">
        <f t="shared" ref="AW56" si="629">AW60-AW57+AW58</f>
        <v>5.4022949999999996</v>
      </c>
      <c r="AX56" s="550"/>
      <c r="AY56" s="82">
        <f t="shared" ref="AY56" si="630">AY60-AY57+AY58</f>
        <v>5.4022949999999996</v>
      </c>
      <c r="AZ56" s="550"/>
      <c r="BA56" s="82">
        <f t="shared" ref="BA56:BC56" si="631">BA60-BA57+BA58</f>
        <v>5.4022949999999996</v>
      </c>
      <c r="BB56" s="550"/>
      <c r="BC56" s="82">
        <f t="shared" si="631"/>
        <v>5.4022949999999996</v>
      </c>
      <c r="BD56" s="550"/>
      <c r="BE56" s="82">
        <f t="shared" ref="BE56:BI56" si="632">BE60-BE57+BE58</f>
        <v>5.4022949999999996</v>
      </c>
      <c r="BF56" s="550"/>
      <c r="BG56" s="82">
        <f t="shared" si="632"/>
        <v>5.4022949999999996</v>
      </c>
      <c r="BH56" s="550"/>
      <c r="BI56" s="82">
        <f t="shared" si="632"/>
        <v>5.4022949999999996</v>
      </c>
      <c r="BJ56" s="550"/>
      <c r="BK56" s="82">
        <f t="shared" ref="BK56:BM56" si="633">BK60-BK57+BK58</f>
        <v>5.4012676056338025</v>
      </c>
      <c r="BL56" s="550"/>
      <c r="BM56" s="82">
        <f t="shared" si="633"/>
        <v>5.4043596730245227</v>
      </c>
      <c r="BN56" s="550"/>
      <c r="BO56" s="82">
        <f t="shared" ref="BO56:BQ56" si="634">BO60-BO57+BO58</f>
        <v>5.4043596730245227</v>
      </c>
      <c r="BP56" s="550"/>
      <c r="BQ56" s="82">
        <f t="shared" si="634"/>
        <v>5.4043596730245227</v>
      </c>
      <c r="BR56" s="550"/>
      <c r="BS56" s="82">
        <f t="shared" ref="BS56:CS56" si="635">BS60-BS57+BS58</f>
        <v>5.4043596730245227</v>
      </c>
      <c r="BT56" s="550"/>
      <c r="BU56" s="82">
        <f t="shared" ref="BU56:BW56" si="636">BU60-BU57+BU58</f>
        <v>5.4043596730245227</v>
      </c>
      <c r="BV56" s="550"/>
      <c r="BW56" s="82">
        <f t="shared" si="636"/>
        <v>5.4043596730245227</v>
      </c>
      <c r="BX56" s="550"/>
      <c r="BY56" s="82">
        <f t="shared" ref="BY56:CA56" si="637">BY60-BY57+BY58</f>
        <v>5.4043596730245227</v>
      </c>
      <c r="BZ56" s="550"/>
      <c r="CA56" s="82">
        <f t="shared" si="637"/>
        <v>5.4043596730245227</v>
      </c>
      <c r="CB56" s="550"/>
      <c r="CC56" s="82">
        <f t="shared" ref="CC56:CE56" si="638">CC60-CC57+CC58</f>
        <v>5.4043596730245227</v>
      </c>
      <c r="CD56" s="550"/>
      <c r="CE56" s="82">
        <f t="shared" si="638"/>
        <v>5.4043596730245227</v>
      </c>
      <c r="CF56" s="550"/>
      <c r="CG56" s="82">
        <f t="shared" ref="CG56:CI56" si="639">CG60-CG57+CG58</f>
        <v>5.4043596730245227</v>
      </c>
      <c r="CH56" s="550"/>
      <c r="CI56" s="82">
        <f t="shared" si="639"/>
        <v>5.4043596730245227</v>
      </c>
      <c r="CJ56" s="550"/>
      <c r="CK56" s="82">
        <f t="shared" ref="CK56:CM56" si="640">CK60-CK57+CK58</f>
        <v>5.4043596730245227</v>
      </c>
      <c r="CL56" s="550"/>
      <c r="CM56" s="82">
        <f t="shared" si="640"/>
        <v>5.4043596730245227</v>
      </c>
      <c r="CN56" s="550"/>
      <c r="CO56" s="82">
        <f t="shared" ref="CO56:CQ56" si="641">CO60-CO57+CO58</f>
        <v>5.4043596730245227</v>
      </c>
      <c r="CP56" s="550"/>
      <c r="CQ56" s="82">
        <f t="shared" si="641"/>
        <v>5.4043596730245227</v>
      </c>
      <c r="CR56" s="550"/>
      <c r="CS56" s="82">
        <f t="shared" si="635"/>
        <v>5.4043596730245227</v>
      </c>
      <c r="CT56" s="550"/>
      <c r="CU56" s="82">
        <f t="shared" ref="CU56" si="642">CU60-CU57+CU58</f>
        <v>5.4043596730245227</v>
      </c>
      <c r="CV56" s="550"/>
      <c r="CW56" s="82">
        <f>CW60-CW57+CW58</f>
        <v>5.3977496322540341</v>
      </c>
      <c r="CX56" s="550"/>
      <c r="CY56" s="82">
        <f>CY60-CY57+CY58</f>
        <v>5.4022949999999987</v>
      </c>
      <c r="CZ56" s="550"/>
      <c r="DA56" s="82">
        <f>DA60-DA57+DA58</f>
        <v>5.4022949999999996</v>
      </c>
      <c r="DB56" s="550"/>
      <c r="DC56" s="82">
        <f>DC60-DC57+DC58</f>
        <v>5.4022949999999996</v>
      </c>
      <c r="DD56" s="550"/>
      <c r="DE56" s="82">
        <f>DE60-DE57+DE58</f>
        <v>5.3998938481456742</v>
      </c>
      <c r="DF56" s="550"/>
      <c r="DG56" s="82">
        <f>DG60-DG57+DG58</f>
        <v>5.4022949999999996</v>
      </c>
      <c r="DH56" s="550"/>
      <c r="DI56" s="82">
        <f>DI60-DI57+DI58</f>
        <v>5.9999149999999997</v>
      </c>
      <c r="DJ56" s="550"/>
      <c r="DK56" s="82">
        <f>DK60-DK57+DK58</f>
        <v>5.6996812499999994</v>
      </c>
      <c r="DL56" s="550"/>
      <c r="DM56" s="82">
        <f>DM60-DM57+DM58</f>
        <v>5.6996812499999994</v>
      </c>
      <c r="DN56" s="550"/>
      <c r="DO56" s="82">
        <f>DO60-DO57+DO58</f>
        <v>5.4022949999999996</v>
      </c>
      <c r="DP56" s="550"/>
      <c r="DQ56" s="82">
        <f>DQ60-DQ57+DQ58</f>
        <v>5.4022949999999996</v>
      </c>
      <c r="DR56" s="550"/>
      <c r="DS56" s="82">
        <f>DS60-DS57+DS58</f>
        <v>5.4022949999999996</v>
      </c>
    </row>
    <row r="57" spans="1:123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0.5</v>
      </c>
      <c r="H57" s="85"/>
      <c r="I57" s="86">
        <v>0.4</v>
      </c>
      <c r="J57" s="85"/>
      <c r="K57" s="86">
        <v>0.4</v>
      </c>
      <c r="L57" s="85"/>
      <c r="M57" s="86">
        <v>0.4</v>
      </c>
      <c r="N57" s="551"/>
      <c r="O57" s="86">
        <v>0.63124075248361866</v>
      </c>
      <c r="P57" s="551"/>
      <c r="Q57" s="86">
        <f>0.34+0.26+0.05</f>
        <v>0.65000000000000013</v>
      </c>
      <c r="R57" s="551"/>
      <c r="S57" s="86">
        <f>0.34+0.26+0.05</f>
        <v>0.65000000000000013</v>
      </c>
      <c r="T57" s="551"/>
      <c r="U57" s="86">
        <f>0.34+0.26+0.05</f>
        <v>0.65000000000000013</v>
      </c>
      <c r="V57" s="551"/>
      <c r="W57" s="86">
        <f>0.34+0.26+0.05</f>
        <v>0.65000000000000013</v>
      </c>
      <c r="X57" s="551"/>
      <c r="Y57" s="86">
        <f>0.34+0.26+0.05</f>
        <v>0.65000000000000013</v>
      </c>
      <c r="Z57" s="551"/>
      <c r="AA57" s="86">
        <f>0.34+0.26+0.05</f>
        <v>0.65000000000000013</v>
      </c>
      <c r="AB57" s="551"/>
      <c r="AC57" s="86">
        <f>0.34+0.26+0.05</f>
        <v>0.65000000000000013</v>
      </c>
      <c r="AD57" s="551"/>
      <c r="AE57" s="86">
        <f>0.34+0.26+0.05</f>
        <v>0.65000000000000013</v>
      </c>
      <c r="AF57" s="551"/>
      <c r="AG57" s="86">
        <f>0.34+0.26+0.05</f>
        <v>0.65000000000000013</v>
      </c>
      <c r="AH57" s="551"/>
      <c r="AI57" s="86">
        <f>0.34+0.26+0.05</f>
        <v>0.65000000000000013</v>
      </c>
      <c r="AJ57" s="551"/>
      <c r="AK57" s="86">
        <f>0.34+0.26+0.05</f>
        <v>0.65000000000000013</v>
      </c>
      <c r="AL57" s="551"/>
      <c r="AM57" s="86">
        <f>0.34+0.26+0.05</f>
        <v>0.65000000000000013</v>
      </c>
      <c r="AN57" s="551"/>
      <c r="AO57" s="86">
        <f>0.34+0.26+0.05</f>
        <v>0.65000000000000013</v>
      </c>
      <c r="AP57" s="551"/>
      <c r="AQ57" s="86">
        <f t="shared" ref="AQ57" si="643">0.34+0.26+0.05</f>
        <v>0.65000000000000013</v>
      </c>
      <c r="AR57" s="551"/>
      <c r="AS57" s="86">
        <f t="shared" ref="AS57" si="644">0.34+0.26+0.05</f>
        <v>0.65000000000000013</v>
      </c>
      <c r="AT57" s="551"/>
      <c r="AU57" s="86">
        <f t="shared" ref="AU57" si="645">0.34+0.26+0.05</f>
        <v>0.65000000000000013</v>
      </c>
      <c r="AV57" s="551"/>
      <c r="AW57" s="86">
        <f t="shared" ref="AW57" si="646">0.34+0.26+0.05</f>
        <v>0.65000000000000013</v>
      </c>
      <c r="AX57" s="551"/>
      <c r="AY57" s="86">
        <f t="shared" ref="AY57" si="647">0.34+0.26+0.05</f>
        <v>0.65000000000000013</v>
      </c>
      <c r="AZ57" s="551"/>
      <c r="BA57" s="86">
        <f t="shared" ref="BA57:CU57" si="648">0.34+0.26+0.05</f>
        <v>0.65000000000000013</v>
      </c>
      <c r="BB57" s="551"/>
      <c r="BC57" s="86">
        <f t="shared" si="648"/>
        <v>0.65000000000000013</v>
      </c>
      <c r="BD57" s="551"/>
      <c r="BE57" s="86">
        <f t="shared" si="648"/>
        <v>0.65000000000000013</v>
      </c>
      <c r="BF57" s="551"/>
      <c r="BG57" s="86">
        <f t="shared" si="648"/>
        <v>0.65000000000000013</v>
      </c>
      <c r="BH57" s="551"/>
      <c r="BI57" s="86">
        <f t="shared" si="648"/>
        <v>0.65000000000000013</v>
      </c>
      <c r="BJ57" s="551"/>
      <c r="BK57" s="86">
        <f t="shared" si="648"/>
        <v>0.65000000000000013</v>
      </c>
      <c r="BL57" s="551"/>
      <c r="BM57" s="86">
        <f t="shared" si="648"/>
        <v>0.65000000000000013</v>
      </c>
      <c r="BN57" s="551"/>
      <c r="BO57" s="86">
        <f t="shared" si="648"/>
        <v>0.65000000000000013</v>
      </c>
      <c r="BP57" s="551"/>
      <c r="BQ57" s="86">
        <f t="shared" si="648"/>
        <v>0.65000000000000013</v>
      </c>
      <c r="BR57" s="551"/>
      <c r="BS57" s="86">
        <f t="shared" si="648"/>
        <v>0.65000000000000013</v>
      </c>
      <c r="BT57" s="551"/>
      <c r="BU57" s="86">
        <f t="shared" si="648"/>
        <v>0.65000000000000013</v>
      </c>
      <c r="BV57" s="551"/>
      <c r="BW57" s="86">
        <f t="shared" si="648"/>
        <v>0.65000000000000013</v>
      </c>
      <c r="BX57" s="551"/>
      <c r="BY57" s="86">
        <f t="shared" si="648"/>
        <v>0.65000000000000013</v>
      </c>
      <c r="BZ57" s="551"/>
      <c r="CA57" s="86">
        <f t="shared" si="648"/>
        <v>0.65000000000000013</v>
      </c>
      <c r="CB57" s="551"/>
      <c r="CC57" s="86">
        <f t="shared" si="648"/>
        <v>0.65000000000000013</v>
      </c>
      <c r="CD57" s="551"/>
      <c r="CE57" s="86">
        <f t="shared" si="648"/>
        <v>0.65000000000000013</v>
      </c>
      <c r="CF57" s="551"/>
      <c r="CG57" s="86">
        <f t="shared" si="648"/>
        <v>0.65000000000000013</v>
      </c>
      <c r="CH57" s="551"/>
      <c r="CI57" s="86">
        <f t="shared" si="648"/>
        <v>0.65000000000000013</v>
      </c>
      <c r="CJ57" s="551"/>
      <c r="CK57" s="86">
        <f t="shared" si="648"/>
        <v>0.65000000000000013</v>
      </c>
      <c r="CL57" s="551"/>
      <c r="CM57" s="86">
        <f t="shared" si="648"/>
        <v>0.65000000000000013</v>
      </c>
      <c r="CN57" s="551"/>
      <c r="CO57" s="86">
        <f t="shared" si="648"/>
        <v>0.65000000000000013</v>
      </c>
      <c r="CP57" s="551"/>
      <c r="CQ57" s="86">
        <f t="shared" si="648"/>
        <v>0.65000000000000013</v>
      </c>
      <c r="CR57" s="551"/>
      <c r="CS57" s="86">
        <f t="shared" si="648"/>
        <v>0.65000000000000013</v>
      </c>
      <c r="CT57" s="551"/>
      <c r="CU57" s="86">
        <f t="shared" si="648"/>
        <v>0.65000000000000013</v>
      </c>
      <c r="CV57" s="551"/>
      <c r="CW57" s="86">
        <f>(SUMPRODUCT(U57,U$131)+SUMPRODUCT(W57,W$131)+SUMPRODUCT(O57,O$131))/SUM(O$131,U$131,W$131)</f>
        <v>0.64431527030489377</v>
      </c>
      <c r="CX57" s="85"/>
      <c r="CY57" s="86">
        <f>(SUMPRODUCT(AA57,AA$131)+SUMPRODUCT(AC57,AC$131)+SUMPRODUCT(Y57,Y$131))/SUM(Y$131,AA$131,AC$131)</f>
        <v>0.65000000000000013</v>
      </c>
      <c r="CZ57" s="85"/>
      <c r="DA57" s="86">
        <f>(SUMPRODUCT(AG57,AG$131)+SUMPRODUCT(AE57,AE$131)+SUMPRODUCT(AI57,AI$131))/SUM(AI$131,AG$131,AE$131)</f>
        <v>0.65000000000000013</v>
      </c>
      <c r="DB57" s="85"/>
      <c r="DC57" s="86">
        <v>0.65</v>
      </c>
      <c r="DD57" s="85"/>
      <c r="DE57" s="86">
        <f>(SUMPRODUCT(O57,O$131)+SUMPRODUCT(U57,U$131)+SUMPRODUCT(W57,W$131)+SUMPRODUCT(Y57,Y$131)+SUMPRODUCT(AA57,AA$131)+SUMPRODUCT(AC57,AC$131))/SUM(U$131,O$131,W$131,Y$131,AA$131,AC$131)</f>
        <v>0.64699696481965441</v>
      </c>
      <c r="DF57" s="85"/>
      <c r="DG57" s="86">
        <v>0.65</v>
      </c>
      <c r="DH57" s="85"/>
      <c r="DI57" s="86">
        <v>0.85</v>
      </c>
      <c r="DJ57" s="85"/>
      <c r="DK57" s="86">
        <f>0.65+0.5</f>
        <v>1.1499999999999999</v>
      </c>
      <c r="DL57" s="85"/>
      <c r="DM57" s="86">
        <f>0.4+0.25+0.5</f>
        <v>1.1499999999999999</v>
      </c>
      <c r="DN57" s="85"/>
      <c r="DO57" s="86">
        <v>0.65</v>
      </c>
      <c r="DP57" s="85"/>
      <c r="DQ57" s="86">
        <v>0.65</v>
      </c>
      <c r="DR57" s="85"/>
      <c r="DS57" s="86">
        <v>0.65</v>
      </c>
    </row>
    <row r="58" spans="1:123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>
        <v>0</v>
      </c>
      <c r="BX58" s="85"/>
      <c r="BY58" s="86">
        <v>0</v>
      </c>
      <c r="BZ58" s="85"/>
      <c r="CA58" s="86">
        <v>0</v>
      </c>
      <c r="CB58" s="85"/>
      <c r="CC58" s="86">
        <v>0</v>
      </c>
      <c r="CD58" s="85"/>
      <c r="CE58" s="86">
        <v>0</v>
      </c>
      <c r="CF58" s="85"/>
      <c r="CG58" s="86">
        <v>0</v>
      </c>
      <c r="CH58" s="85"/>
      <c r="CI58" s="86">
        <v>0</v>
      </c>
      <c r="CJ58" s="85"/>
      <c r="CK58" s="86">
        <v>0</v>
      </c>
      <c r="CL58" s="85"/>
      <c r="CM58" s="86">
        <v>0</v>
      </c>
      <c r="CN58" s="85"/>
      <c r="CO58" s="86">
        <v>0</v>
      </c>
      <c r="CP58" s="85"/>
      <c r="CQ58" s="86">
        <v>0</v>
      </c>
      <c r="CR58" s="85"/>
      <c r="CS58" s="86">
        <v>0</v>
      </c>
      <c r="CT58" s="85"/>
      <c r="CU58" s="86">
        <v>0</v>
      </c>
      <c r="CV58" s="85"/>
      <c r="CW58" s="86">
        <v>0</v>
      </c>
      <c r="CX58" s="85"/>
      <c r="CY58" s="86">
        <v>0</v>
      </c>
      <c r="CZ58" s="85"/>
      <c r="DA58" s="86">
        <v>0</v>
      </c>
      <c r="DB58" s="85"/>
      <c r="DC58" s="86">
        <v>0</v>
      </c>
      <c r="DD58" s="85"/>
      <c r="DE58" s="86">
        <v>0</v>
      </c>
      <c r="DF58" s="85"/>
      <c r="DG58" s="86">
        <v>0</v>
      </c>
      <c r="DH58" s="85"/>
      <c r="DI58" s="86">
        <v>0</v>
      </c>
      <c r="DJ58" s="85"/>
      <c r="DK58" s="86">
        <v>0</v>
      </c>
      <c r="DL58" s="85"/>
      <c r="DM58" s="86">
        <v>0</v>
      </c>
      <c r="DN58" s="85"/>
      <c r="DO58" s="86">
        <v>0</v>
      </c>
      <c r="DP58" s="85"/>
      <c r="DQ58" s="86">
        <v>0</v>
      </c>
      <c r="DR58" s="85"/>
      <c r="DS58" s="86">
        <v>0</v>
      </c>
    </row>
    <row r="59" spans="1:123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5.6030800000000003</v>
      </c>
      <c r="H59" s="85"/>
      <c r="I59" s="86">
        <f>+I62+I65+I67</f>
        <v>5.6030799999999994</v>
      </c>
      <c r="J59" s="85"/>
      <c r="K59" s="86">
        <f t="shared" ref="K59" si="649">+K62+K65+K67</f>
        <v>5.6030799999999994</v>
      </c>
      <c r="L59" s="85"/>
      <c r="M59" s="86">
        <f t="shared" ref="M59" si="650">+M62+M65+M67</f>
        <v>5.6030799999999994</v>
      </c>
      <c r="N59" s="85"/>
      <c r="O59" s="86">
        <f>+O62+O65+O67</f>
        <v>6.016233354470514</v>
      </c>
      <c r="P59" s="85"/>
      <c r="Q59" s="86">
        <f>+Q62+Q65+Q67</f>
        <v>6.0480281690140849</v>
      </c>
      <c r="R59" s="85"/>
      <c r="S59" s="86">
        <f>+S62+S65+S67</f>
        <v>6.0480281690140849</v>
      </c>
      <c r="T59" s="85"/>
      <c r="U59" s="86">
        <f>+U62+U65+U67</f>
        <v>6.05</v>
      </c>
      <c r="V59" s="85"/>
      <c r="W59" s="86">
        <f>+W62+W65+W67</f>
        <v>6.05</v>
      </c>
      <c r="X59" s="85"/>
      <c r="Y59" s="86">
        <f>+Y62+Y65+Y67</f>
        <v>6.05</v>
      </c>
      <c r="Z59" s="85"/>
      <c r="AA59" s="86">
        <f>+AA62+AA65+AA67</f>
        <v>6.05</v>
      </c>
      <c r="AB59" s="85"/>
      <c r="AC59" s="86">
        <f>+AC62+AC65+AC67</f>
        <v>6.05</v>
      </c>
      <c r="AD59" s="85"/>
      <c r="AE59" s="86">
        <f>+AE62+AE65+AE67</f>
        <v>6.05</v>
      </c>
      <c r="AF59" s="85"/>
      <c r="AG59" s="86">
        <f>+AG62+AG65+AG67</f>
        <v>6.05</v>
      </c>
      <c r="AH59" s="85"/>
      <c r="AI59" s="86">
        <f>+AI62+AI65+AI67</f>
        <v>6.05</v>
      </c>
      <c r="AJ59" s="85"/>
      <c r="AK59" s="86">
        <f>+AK62+AK65+AK67</f>
        <v>6.05</v>
      </c>
      <c r="AL59" s="85"/>
      <c r="AM59" s="86">
        <f>+AM62+AM65+AM67</f>
        <v>6.05</v>
      </c>
      <c r="AN59" s="85"/>
      <c r="AO59" s="86">
        <f>+AO62+AO65+AO67</f>
        <v>6.05</v>
      </c>
      <c r="AP59" s="85"/>
      <c r="AQ59" s="86">
        <f t="shared" ref="AQ59" si="651">+AQ62+AQ65+AQ67</f>
        <v>6.05</v>
      </c>
      <c r="AR59" s="85"/>
      <c r="AS59" s="86">
        <f t="shared" ref="AS59" si="652">+AS62+AS65+AS67</f>
        <v>6.05</v>
      </c>
      <c r="AT59" s="85"/>
      <c r="AU59" s="86">
        <f t="shared" ref="AU59" si="653">+AU62+AU65+AU67</f>
        <v>6.05</v>
      </c>
      <c r="AV59" s="85"/>
      <c r="AW59" s="86">
        <f t="shared" ref="AW59" si="654">+AW62+AW65+AW67</f>
        <v>6.05</v>
      </c>
      <c r="AX59" s="85"/>
      <c r="AY59" s="86">
        <f t="shared" ref="AY59" si="655">+AY62+AY65+AY67</f>
        <v>6.05</v>
      </c>
      <c r="AZ59" s="85"/>
      <c r="BA59" s="86">
        <f t="shared" ref="BA59:BC59" si="656">+BA62+BA65+BA67</f>
        <v>6.05</v>
      </c>
      <c r="BB59" s="85"/>
      <c r="BC59" s="86">
        <f t="shared" si="656"/>
        <v>6.05</v>
      </c>
      <c r="BD59" s="85"/>
      <c r="BE59" s="86">
        <f t="shared" ref="BE59:BI59" si="657">+BE62+BE65+BE67</f>
        <v>6.05</v>
      </c>
      <c r="BF59" s="85"/>
      <c r="BG59" s="86">
        <f t="shared" si="657"/>
        <v>6.05</v>
      </c>
      <c r="BH59" s="85"/>
      <c r="BI59" s="86">
        <f t="shared" si="657"/>
        <v>6.05</v>
      </c>
      <c r="BJ59" s="85"/>
      <c r="BK59" s="86">
        <f t="shared" ref="BK59:BM59" si="658">+BK62+BK65+BK67</f>
        <v>6.0512676056338028</v>
      </c>
      <c r="BL59" s="85"/>
      <c r="BM59" s="86">
        <f t="shared" si="658"/>
        <v>6.0443596730245233</v>
      </c>
      <c r="BN59" s="85"/>
      <c r="BO59" s="86">
        <f t="shared" ref="BO59:BQ59" si="659">+BO62+BO65+BO67</f>
        <v>6.0443596730245233</v>
      </c>
      <c r="BP59" s="85"/>
      <c r="BQ59" s="86">
        <f t="shared" si="659"/>
        <v>6.0443596730245233</v>
      </c>
      <c r="BR59" s="85"/>
      <c r="BS59" s="86">
        <f t="shared" ref="BS59:CS59" si="660">+BS62+BS65+BS67</f>
        <v>6.0443596730245233</v>
      </c>
      <c r="BT59" s="85"/>
      <c r="BU59" s="86">
        <f t="shared" ref="BU59:BW59" si="661">+BU62+BU65+BU67</f>
        <v>6.0443596730245233</v>
      </c>
      <c r="BV59" s="85"/>
      <c r="BW59" s="86">
        <f t="shared" si="661"/>
        <v>6.0443596730245233</v>
      </c>
      <c r="BX59" s="85"/>
      <c r="BY59" s="86">
        <f t="shared" ref="BY59:CA59" si="662">+BY62+BY65+BY67</f>
        <v>6.0443596730245233</v>
      </c>
      <c r="BZ59" s="85"/>
      <c r="CA59" s="86">
        <f t="shared" si="662"/>
        <v>6.0443596730245233</v>
      </c>
      <c r="CB59" s="85"/>
      <c r="CC59" s="86">
        <f t="shared" ref="CC59:CE59" si="663">+CC62+CC65+CC67</f>
        <v>6.0443596730245233</v>
      </c>
      <c r="CD59" s="85"/>
      <c r="CE59" s="86">
        <f t="shared" si="663"/>
        <v>6.0443596730245233</v>
      </c>
      <c r="CF59" s="85"/>
      <c r="CG59" s="86">
        <f t="shared" ref="CG59:CI59" si="664">+CG62+CG65+CG67</f>
        <v>6.0443596730245233</v>
      </c>
      <c r="CH59" s="85"/>
      <c r="CI59" s="86">
        <f t="shared" si="664"/>
        <v>6.0443596730245233</v>
      </c>
      <c r="CJ59" s="85"/>
      <c r="CK59" s="86">
        <f t="shared" ref="CK59:CM59" si="665">+CK62+CK65+CK67</f>
        <v>6.0443596730245233</v>
      </c>
      <c r="CL59" s="85"/>
      <c r="CM59" s="86">
        <f t="shared" si="665"/>
        <v>6.0443596730245233</v>
      </c>
      <c r="CN59" s="85"/>
      <c r="CO59" s="86">
        <f t="shared" ref="CO59:CQ59" si="666">+CO62+CO65+CO67</f>
        <v>6.0443596730245233</v>
      </c>
      <c r="CP59" s="85"/>
      <c r="CQ59" s="86">
        <f t="shared" si="666"/>
        <v>6.0443596730245233</v>
      </c>
      <c r="CR59" s="85"/>
      <c r="CS59" s="86">
        <f t="shared" si="660"/>
        <v>6.0443596730245233</v>
      </c>
      <c r="CT59" s="85"/>
      <c r="CU59" s="86">
        <f t="shared" ref="CU59" si="667">+CU62+CU65+CU67</f>
        <v>6.0443596730245233</v>
      </c>
      <c r="CV59" s="85"/>
      <c r="CW59" s="86">
        <f>+CW62+CW65+CW67</f>
        <v>6.0397674865488078</v>
      </c>
      <c r="CX59" s="85"/>
      <c r="CY59" s="86">
        <f>+CY62+CY65+CY67</f>
        <v>6.0499999999999989</v>
      </c>
      <c r="CZ59" s="85"/>
      <c r="DA59" s="86">
        <f>+DA62+DA65+DA67</f>
        <v>6.05</v>
      </c>
      <c r="DB59" s="85"/>
      <c r="DC59" s="86">
        <f>+DC62+DC65+DC67</f>
        <v>6.05</v>
      </c>
      <c r="DD59" s="85"/>
      <c r="DE59" s="86">
        <f>+DE62+DE65+DE67</f>
        <v>6.0445945366753771</v>
      </c>
      <c r="DF59" s="85"/>
      <c r="DG59" s="86">
        <f>+DG62+DG65+DG67</f>
        <v>6.05</v>
      </c>
      <c r="DH59" s="85"/>
      <c r="DI59" s="86">
        <f>+DI62+DI65+DI67</f>
        <v>6.8477049999999995</v>
      </c>
      <c r="DJ59" s="85"/>
      <c r="DK59" s="86">
        <f>+DK62+DK65+DK67</f>
        <v>6.8475987499999995</v>
      </c>
      <c r="DL59" s="85"/>
      <c r="DM59" s="86">
        <f>+DM62+DM65+DM67</f>
        <v>6.8475987499999995</v>
      </c>
      <c r="DN59" s="85"/>
      <c r="DO59" s="86">
        <f>+DO62+DO65+DO67</f>
        <v>6.05</v>
      </c>
      <c r="DP59" s="85"/>
      <c r="DQ59" s="86">
        <f>+DQ62+DQ65+DQ67</f>
        <v>6.05</v>
      </c>
      <c r="DR59" s="85"/>
      <c r="DS59" s="86">
        <f>+DS62+DS65+DS67</f>
        <v>6.05</v>
      </c>
    </row>
    <row r="60" spans="1:123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v>5.6</v>
      </c>
      <c r="H60" s="81"/>
      <c r="I60" s="82">
        <v>5.6</v>
      </c>
      <c r="J60" s="81"/>
      <c r="K60" s="82">
        <v>5.6</v>
      </c>
      <c r="L60" s="81"/>
      <c r="M60" s="82">
        <v>5.6</v>
      </c>
      <c r="N60" s="550"/>
      <c r="O60" s="82">
        <f>O65+O67+O63+O62</f>
        <v>6.0185363271507084</v>
      </c>
      <c r="P60" s="550"/>
      <c r="Q60" s="82">
        <f>Q65+Q67+Q63+Q62</f>
        <v>6.0503231690140851</v>
      </c>
      <c r="R60" s="550"/>
      <c r="S60" s="82">
        <f>S65+S67+S63+S62</f>
        <v>6.0503231690140851</v>
      </c>
      <c r="T60" s="550"/>
      <c r="U60" s="82">
        <f>U65+U67+U63+U62</f>
        <v>6.052295</v>
      </c>
      <c r="V60" s="550"/>
      <c r="W60" s="82">
        <f>W65+W67+W63+W62</f>
        <v>6.052295</v>
      </c>
      <c r="X60" s="550"/>
      <c r="Y60" s="82">
        <f>Y65+Y67+Y63+Y62</f>
        <v>6.052295</v>
      </c>
      <c r="Z60" s="550"/>
      <c r="AA60" s="82">
        <f>AA65+AA67+AA63+AA62</f>
        <v>6.052295</v>
      </c>
      <c r="AB60" s="550"/>
      <c r="AC60" s="82">
        <f>AC65+AC67+AC63+AC62</f>
        <v>6.052295</v>
      </c>
      <c r="AD60" s="550"/>
      <c r="AE60" s="82">
        <f>AE65+AE67+AE63+AE62</f>
        <v>6.052295</v>
      </c>
      <c r="AF60" s="550"/>
      <c r="AG60" s="82">
        <f>AG65+AG67+AG63+AG62</f>
        <v>6.052295</v>
      </c>
      <c r="AH60" s="550"/>
      <c r="AI60" s="82">
        <f>AI65+AI67+AI63+AI62</f>
        <v>6.052295</v>
      </c>
      <c r="AJ60" s="550"/>
      <c r="AK60" s="82">
        <f>AK65+AK67+AK63+AK62</f>
        <v>6.052295</v>
      </c>
      <c r="AL60" s="550"/>
      <c r="AM60" s="82">
        <f>AM65+AM67+AM63+AM62</f>
        <v>6.052295</v>
      </c>
      <c r="AN60" s="550"/>
      <c r="AO60" s="82">
        <f>AO65+AO67+AO63+AO62</f>
        <v>6.052295</v>
      </c>
      <c r="AP60" s="550"/>
      <c r="AQ60" s="82">
        <f t="shared" ref="AQ60" si="668">AQ65+AQ67+AQ63+AQ62</f>
        <v>6.052295</v>
      </c>
      <c r="AR60" s="550"/>
      <c r="AS60" s="82">
        <f t="shared" ref="AS60" si="669">AS65+AS67+AS63+AS62</f>
        <v>6.052295</v>
      </c>
      <c r="AT60" s="550"/>
      <c r="AU60" s="82">
        <f t="shared" ref="AU60" si="670">AU65+AU67+AU63+AU62</f>
        <v>6.052295</v>
      </c>
      <c r="AV60" s="550"/>
      <c r="AW60" s="82">
        <f t="shared" ref="AW60" si="671">AW65+AW67+AW63+AW62</f>
        <v>6.052295</v>
      </c>
      <c r="AX60" s="550"/>
      <c r="AY60" s="82">
        <f t="shared" ref="AY60" si="672">AY65+AY67+AY63+AY62</f>
        <v>6.052295</v>
      </c>
      <c r="AZ60" s="550"/>
      <c r="BA60" s="82">
        <f t="shared" ref="BA60:BC60" si="673">BA65+BA67+BA63+BA62</f>
        <v>6.052295</v>
      </c>
      <c r="BB60" s="550"/>
      <c r="BC60" s="82">
        <f t="shared" si="673"/>
        <v>6.052295</v>
      </c>
      <c r="BD60" s="550"/>
      <c r="BE60" s="82">
        <f t="shared" ref="BE60:BI60" si="674">BE65+BE67+BE63+BE62</f>
        <v>6.052295</v>
      </c>
      <c r="BF60" s="550"/>
      <c r="BG60" s="82">
        <f t="shared" si="674"/>
        <v>6.052295</v>
      </c>
      <c r="BH60" s="550"/>
      <c r="BI60" s="82">
        <f t="shared" si="674"/>
        <v>6.052295</v>
      </c>
      <c r="BJ60" s="550"/>
      <c r="BK60" s="82">
        <f t="shared" ref="BK60:BM60" si="675">BK65+BK67+BK63+BK62</f>
        <v>6.0512676056338028</v>
      </c>
      <c r="BL60" s="550"/>
      <c r="BM60" s="82">
        <f t="shared" si="675"/>
        <v>6.054359673024523</v>
      </c>
      <c r="BN60" s="550"/>
      <c r="BO60" s="82">
        <f t="shared" ref="BO60:BQ60" si="676">BO65+BO67+BO63+BO62</f>
        <v>6.054359673024523</v>
      </c>
      <c r="BP60" s="550"/>
      <c r="BQ60" s="82">
        <f t="shared" si="676"/>
        <v>6.054359673024523</v>
      </c>
      <c r="BR60" s="550"/>
      <c r="BS60" s="82">
        <f t="shared" ref="BS60:CS60" si="677">BS65+BS67+BS63+BS62</f>
        <v>6.054359673024523</v>
      </c>
      <c r="BT60" s="550"/>
      <c r="BU60" s="82">
        <f t="shared" ref="BU60:BW60" si="678">BU65+BU67+BU63+BU62</f>
        <v>6.054359673024523</v>
      </c>
      <c r="BV60" s="550"/>
      <c r="BW60" s="82">
        <f t="shared" si="678"/>
        <v>6.054359673024523</v>
      </c>
      <c r="BX60" s="550"/>
      <c r="BY60" s="82">
        <f t="shared" ref="BY60:CA60" si="679">BY65+BY67+BY63+BY62</f>
        <v>6.054359673024523</v>
      </c>
      <c r="BZ60" s="550"/>
      <c r="CA60" s="82">
        <f t="shared" si="679"/>
        <v>6.054359673024523</v>
      </c>
      <c r="CB60" s="550"/>
      <c r="CC60" s="82">
        <f t="shared" ref="CC60:CE60" si="680">CC65+CC67+CC63+CC62</f>
        <v>6.054359673024523</v>
      </c>
      <c r="CD60" s="550"/>
      <c r="CE60" s="82">
        <f t="shared" si="680"/>
        <v>6.054359673024523</v>
      </c>
      <c r="CF60" s="550"/>
      <c r="CG60" s="82">
        <f t="shared" ref="CG60:CI60" si="681">CG65+CG67+CG63+CG62</f>
        <v>6.054359673024523</v>
      </c>
      <c r="CH60" s="550"/>
      <c r="CI60" s="82">
        <f t="shared" si="681"/>
        <v>6.054359673024523</v>
      </c>
      <c r="CJ60" s="550"/>
      <c r="CK60" s="82">
        <f t="shared" ref="CK60:CM60" si="682">CK65+CK67+CK63+CK62</f>
        <v>6.054359673024523</v>
      </c>
      <c r="CL60" s="550"/>
      <c r="CM60" s="82">
        <f t="shared" si="682"/>
        <v>6.054359673024523</v>
      </c>
      <c r="CN60" s="550"/>
      <c r="CO60" s="82">
        <f t="shared" ref="CO60:CQ60" si="683">CO65+CO67+CO63+CO62</f>
        <v>6.054359673024523</v>
      </c>
      <c r="CP60" s="550"/>
      <c r="CQ60" s="82">
        <f t="shared" si="683"/>
        <v>6.054359673024523</v>
      </c>
      <c r="CR60" s="550"/>
      <c r="CS60" s="82">
        <f t="shared" si="677"/>
        <v>6.054359673024523</v>
      </c>
      <c r="CT60" s="550"/>
      <c r="CU60" s="82">
        <f t="shared" ref="CU60" si="684">CU65+CU67+CU63+CU62</f>
        <v>6.054359673024523</v>
      </c>
      <c r="CV60" s="550"/>
      <c r="CW60" s="82">
        <f>CW65+CW67+CW63+CW62</f>
        <v>6.0420649025589279</v>
      </c>
      <c r="CX60" s="550"/>
      <c r="CY60" s="82">
        <f>CY65+CY67+CY63+CY62</f>
        <v>6.0522949999999991</v>
      </c>
      <c r="CZ60" s="550"/>
      <c r="DA60" s="82">
        <f>DA65+DA67+DA63+DA62</f>
        <v>6.052295</v>
      </c>
      <c r="DB60" s="550"/>
      <c r="DC60" s="82">
        <f>DC65+DC67+DC63+DC62</f>
        <v>6.052295</v>
      </c>
      <c r="DD60" s="550"/>
      <c r="DE60" s="82">
        <f>DE65+DE67+DE63+DE62</f>
        <v>6.0468908129653283</v>
      </c>
      <c r="DF60" s="550"/>
      <c r="DG60" s="82">
        <f>DG65+DG67+DG63+DG62</f>
        <v>6.052295</v>
      </c>
      <c r="DH60" s="550"/>
      <c r="DI60" s="82">
        <f>DI65+DI67+DI63+DI62</f>
        <v>6.8499149999999993</v>
      </c>
      <c r="DJ60" s="550"/>
      <c r="DK60" s="82">
        <f>DK65+DK67+DK63+DK62</f>
        <v>6.8496812499999997</v>
      </c>
      <c r="DL60" s="550"/>
      <c r="DM60" s="82">
        <f>DM65+DM67+DM63+DM62</f>
        <v>6.8496812499999997</v>
      </c>
      <c r="DN60" s="550"/>
      <c r="DO60" s="82">
        <f>DO65+DO67+DO63+DO62</f>
        <v>6.052295</v>
      </c>
      <c r="DP60" s="550"/>
      <c r="DQ60" s="82">
        <f>DQ65+DQ67+DQ63+DQ62</f>
        <v>6.052295</v>
      </c>
      <c r="DR60" s="550"/>
      <c r="DS60" s="82">
        <f>DS65+DS67+DS63+DS62</f>
        <v>6.052295</v>
      </c>
    </row>
    <row r="61" spans="1:123" s="4" customFormat="1" ht="18" customHeight="1" outlineLevel="1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359"/>
      <c r="O61" s="372"/>
      <c r="P61" s="359"/>
      <c r="Q61" s="372"/>
      <c r="R61" s="359"/>
      <c r="S61" s="372"/>
      <c r="T61" s="359"/>
      <c r="U61" s="372"/>
      <c r="V61" s="359"/>
      <c r="W61" s="372"/>
      <c r="X61" s="359"/>
      <c r="Y61" s="372"/>
      <c r="Z61" s="359"/>
      <c r="AA61" s="372"/>
      <c r="AB61" s="359"/>
      <c r="AC61" s="372"/>
      <c r="AD61" s="359"/>
      <c r="AE61" s="372"/>
      <c r="AF61" s="359"/>
      <c r="AG61" s="372"/>
      <c r="AH61" s="359"/>
      <c r="AI61" s="372"/>
      <c r="AJ61" s="359"/>
      <c r="AK61" s="372"/>
      <c r="AL61" s="359"/>
      <c r="AM61" s="372"/>
      <c r="AN61" s="359"/>
      <c r="AO61" s="372"/>
      <c r="AP61" s="359"/>
      <c r="AQ61" s="372"/>
      <c r="AR61" s="359"/>
      <c r="AS61" s="372"/>
      <c r="AT61" s="359"/>
      <c r="AU61" s="372"/>
      <c r="AV61" s="359"/>
      <c r="AW61" s="372"/>
      <c r="AX61" s="359"/>
      <c r="AY61" s="372"/>
      <c r="AZ61" s="359"/>
      <c r="BA61" s="372"/>
      <c r="BB61" s="359"/>
      <c r="BC61" s="372"/>
      <c r="BD61" s="359"/>
      <c r="BE61" s="372"/>
      <c r="BF61" s="359"/>
      <c r="BG61" s="372"/>
      <c r="BH61" s="359"/>
      <c r="BI61" s="372"/>
      <c r="BJ61" s="359"/>
      <c r="BK61" s="372"/>
      <c r="BL61" s="359"/>
      <c r="BM61" s="372"/>
      <c r="BN61" s="359"/>
      <c r="BO61" s="372"/>
      <c r="BP61" s="359"/>
      <c r="BQ61" s="372"/>
      <c r="BR61" s="359"/>
      <c r="BS61" s="372"/>
      <c r="BT61" s="359"/>
      <c r="BU61" s="372"/>
      <c r="BV61" s="359"/>
      <c r="BW61" s="372"/>
      <c r="BX61" s="359"/>
      <c r="BY61" s="372"/>
      <c r="BZ61" s="359"/>
      <c r="CA61" s="372"/>
      <c r="CB61" s="359"/>
      <c r="CC61" s="372"/>
      <c r="CD61" s="359"/>
      <c r="CE61" s="372"/>
      <c r="CF61" s="359"/>
      <c r="CG61" s="372"/>
      <c r="CH61" s="359"/>
      <c r="CI61" s="372"/>
      <c r="CJ61" s="359"/>
      <c r="CK61" s="372"/>
      <c r="CL61" s="359"/>
      <c r="CM61" s="372"/>
      <c r="CN61" s="359"/>
      <c r="CO61" s="372"/>
      <c r="CP61" s="359"/>
      <c r="CQ61" s="372"/>
      <c r="CR61" s="359"/>
      <c r="CS61" s="372"/>
      <c r="CT61" s="359"/>
      <c r="CU61" s="372"/>
      <c r="CV61" s="359"/>
      <c r="CW61" s="372"/>
      <c r="CX61" s="359"/>
      <c r="CY61" s="372"/>
      <c r="CZ61" s="359"/>
      <c r="DA61" s="372"/>
      <c r="DB61" s="359"/>
      <c r="DC61" s="372"/>
      <c r="DD61" s="359"/>
      <c r="DE61" s="372"/>
      <c r="DF61" s="359"/>
      <c r="DG61" s="372"/>
      <c r="DH61" s="359"/>
      <c r="DI61" s="372"/>
      <c r="DJ61" s="359"/>
      <c r="DK61" s="372"/>
      <c r="DL61" s="359"/>
      <c r="DM61" s="372"/>
      <c r="DN61" s="359"/>
      <c r="DO61" s="372"/>
      <c r="DP61" s="359"/>
      <c r="DQ61" s="372"/>
      <c r="DR61" s="359"/>
      <c r="DS61" s="372"/>
    </row>
    <row r="62" spans="1:123" s="4" customFormat="1" ht="18" customHeight="1" outlineLevel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3.0799999999999998E-3</v>
      </c>
      <c r="H62" s="89"/>
      <c r="I62" s="90">
        <f>0.055/100*(I67+(I64/I66))</f>
        <v>3.0799999999999998E-3</v>
      </c>
      <c r="J62" s="89"/>
      <c r="K62" s="90">
        <f t="shared" ref="K62" si="685">0.055/100*(K67+(K64/K66))</f>
        <v>3.0799999999999998E-3</v>
      </c>
      <c r="L62" s="89"/>
      <c r="M62" s="90">
        <f t="shared" ref="M62:M63" si="686">0.055/100*(M67+(M64/M66))</f>
        <v>3.0799999999999998E-3</v>
      </c>
      <c r="N62" s="373"/>
      <c r="O62" s="374"/>
      <c r="P62" s="373"/>
      <c r="Q62" s="374"/>
      <c r="R62" s="373"/>
      <c r="S62" s="374"/>
      <c r="T62" s="373"/>
      <c r="U62" s="374"/>
      <c r="V62" s="373"/>
      <c r="W62" s="374"/>
      <c r="X62" s="373"/>
      <c r="Y62" s="374"/>
      <c r="Z62" s="373"/>
      <c r="AA62" s="374"/>
      <c r="AB62" s="373"/>
      <c r="AC62" s="374"/>
      <c r="AD62" s="373"/>
      <c r="AE62" s="374"/>
      <c r="AF62" s="373"/>
      <c r="AG62" s="374"/>
      <c r="AH62" s="373"/>
      <c r="AI62" s="374"/>
      <c r="AJ62" s="373"/>
      <c r="AK62" s="374"/>
      <c r="AL62" s="373"/>
      <c r="AM62" s="374"/>
      <c r="AN62" s="373"/>
      <c r="AO62" s="374"/>
      <c r="AP62" s="373"/>
      <c r="AQ62" s="374"/>
      <c r="AR62" s="373"/>
      <c r="AS62" s="374"/>
      <c r="AT62" s="373"/>
      <c r="AU62" s="374"/>
      <c r="AV62" s="373"/>
      <c r="AW62" s="374"/>
      <c r="AX62" s="373"/>
      <c r="AY62" s="374"/>
      <c r="AZ62" s="373"/>
      <c r="BA62" s="374"/>
      <c r="BB62" s="373"/>
      <c r="BC62" s="374"/>
      <c r="BD62" s="373"/>
      <c r="BE62" s="374"/>
      <c r="BF62" s="373"/>
      <c r="BG62" s="374"/>
      <c r="BH62" s="373"/>
      <c r="BI62" s="374"/>
      <c r="BJ62" s="373"/>
      <c r="BK62" s="374"/>
      <c r="BL62" s="373"/>
      <c r="BM62" s="374"/>
      <c r="BN62" s="373"/>
      <c r="BO62" s="374"/>
      <c r="BP62" s="373"/>
      <c r="BQ62" s="374"/>
      <c r="BR62" s="373"/>
      <c r="BS62" s="374"/>
      <c r="BT62" s="373"/>
      <c r="BU62" s="374"/>
      <c r="BV62" s="373"/>
      <c r="BW62" s="374"/>
      <c r="BX62" s="373"/>
      <c r="BY62" s="374"/>
      <c r="BZ62" s="373"/>
      <c r="CA62" s="374"/>
      <c r="CB62" s="373"/>
      <c r="CC62" s="374"/>
      <c r="CD62" s="373"/>
      <c r="CE62" s="374"/>
      <c r="CF62" s="373"/>
      <c r="CG62" s="374"/>
      <c r="CH62" s="373"/>
      <c r="CI62" s="374"/>
      <c r="CJ62" s="373"/>
      <c r="CK62" s="374"/>
      <c r="CL62" s="373"/>
      <c r="CM62" s="374"/>
      <c r="CN62" s="373"/>
      <c r="CO62" s="374"/>
      <c r="CP62" s="373"/>
      <c r="CQ62" s="374"/>
      <c r="CR62" s="373"/>
      <c r="CS62" s="374"/>
      <c r="CT62" s="373"/>
      <c r="CU62" s="374"/>
      <c r="CV62" s="373"/>
      <c r="CW62" s="374"/>
      <c r="CX62" s="373"/>
      <c r="CY62" s="374"/>
      <c r="CZ62" s="373"/>
      <c r="DA62" s="374"/>
      <c r="DB62" s="373"/>
      <c r="DC62" s="374"/>
      <c r="DD62" s="373"/>
      <c r="DE62" s="374"/>
      <c r="DF62" s="373"/>
      <c r="DG62" s="374"/>
      <c r="DH62" s="373">
        <f>6.85-DI60</f>
        <v>8.5000000000334808E-5</v>
      </c>
      <c r="DI62" s="374">
        <v>7.7049999999996288E-3</v>
      </c>
      <c r="DJ62" s="373">
        <f>6.35-DK60</f>
        <v>-0.49968125000000008</v>
      </c>
      <c r="DK62" s="374">
        <v>7.5987499999996544E-3</v>
      </c>
      <c r="DL62" s="373">
        <f>6.35-DM60</f>
        <v>-0.49968125000000008</v>
      </c>
      <c r="DM62" s="374">
        <v>7.5987499999996544E-3</v>
      </c>
      <c r="DN62" s="373">
        <f>6.35-DO60</f>
        <v>0.29770499999999966</v>
      </c>
      <c r="DO62" s="374">
        <v>0</v>
      </c>
      <c r="DP62" s="373"/>
      <c r="DQ62" s="374"/>
      <c r="DR62" s="373"/>
      <c r="DS62" s="374"/>
    </row>
    <row r="63" spans="1:123" s="4" customFormat="1" ht="18" customHeight="1" outlineLevel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0.055/100*(G68+(G65/G67))</f>
        <v>2.7141187626804667E-3</v>
      </c>
      <c r="H63" s="89"/>
      <c r="I63" s="90">
        <f>0.055/100*(I68+(I65/I67))</f>
        <v>2.7156003398930684E-3</v>
      </c>
      <c r="J63" s="89"/>
      <c r="K63" s="90">
        <f t="shared" ref="K63" si="687">0.055/100*(K68+(K65/K67))</f>
        <v>2.7156003398930684E-3</v>
      </c>
      <c r="L63" s="89"/>
      <c r="M63" s="90">
        <f t="shared" si="686"/>
        <v>2.7156003398930684E-3</v>
      </c>
      <c r="N63" s="373"/>
      <c r="O63" s="374">
        <f>0.0425/100*(6.05-O57)</f>
        <v>2.3029726801944623E-3</v>
      </c>
      <c r="P63" s="373"/>
      <c r="Q63" s="374">
        <f>0.0425/100*(6.05-Q57)</f>
        <v>2.2949999999999997E-3</v>
      </c>
      <c r="R63" s="373"/>
      <c r="S63" s="374">
        <f>0.0425/100*(6.05-S57)</f>
        <v>2.2949999999999997E-3</v>
      </c>
      <c r="T63" s="373"/>
      <c r="U63" s="374">
        <f>0.0425/100*(6.05-U57)</f>
        <v>2.2949999999999997E-3</v>
      </c>
      <c r="V63" s="373"/>
      <c r="W63" s="374">
        <f>0.0425/100*(6.05-W57)</f>
        <v>2.2949999999999997E-3</v>
      </c>
      <c r="X63" s="373"/>
      <c r="Y63" s="374">
        <f>0.0425/100*(6.05-Y57)</f>
        <v>2.2949999999999997E-3</v>
      </c>
      <c r="Z63" s="373"/>
      <c r="AA63" s="374">
        <f>0.0425/100*(6.05-AA57)</f>
        <v>2.2949999999999997E-3</v>
      </c>
      <c r="AB63" s="373"/>
      <c r="AC63" s="374">
        <f>0.0425/100*(6.05-AC57)</f>
        <v>2.2949999999999997E-3</v>
      </c>
      <c r="AD63" s="373"/>
      <c r="AE63" s="374">
        <f>0.0425/100*(6.05-AE57)</f>
        <v>2.2949999999999997E-3</v>
      </c>
      <c r="AF63" s="373"/>
      <c r="AG63" s="374">
        <f>0.0425/100*(6.05-AG57)</f>
        <v>2.2949999999999997E-3</v>
      </c>
      <c r="AH63" s="373"/>
      <c r="AI63" s="374">
        <f>0.0425/100*(6.05-AI57)</f>
        <v>2.2949999999999997E-3</v>
      </c>
      <c r="AJ63" s="373"/>
      <c r="AK63" s="374">
        <f>0.0425/100*(6.05-AK57)</f>
        <v>2.2949999999999997E-3</v>
      </c>
      <c r="AL63" s="373"/>
      <c r="AM63" s="374">
        <f>0.0425/100*(6.05-AM57)</f>
        <v>2.2949999999999997E-3</v>
      </c>
      <c r="AN63" s="373"/>
      <c r="AO63" s="374">
        <f>0.0425/100*(6.05-AO57)</f>
        <v>2.2949999999999997E-3</v>
      </c>
      <c r="AP63" s="373"/>
      <c r="AQ63" s="374">
        <f t="shared" ref="AQ63" si="688">0.0425/100*(6.05-AQ57)</f>
        <v>2.2949999999999997E-3</v>
      </c>
      <c r="AR63" s="373"/>
      <c r="AS63" s="374">
        <f t="shared" ref="AS63" si="689">0.0425/100*(6.05-AS57)</f>
        <v>2.2949999999999997E-3</v>
      </c>
      <c r="AT63" s="373"/>
      <c r="AU63" s="374">
        <f t="shared" ref="AU63" si="690">0.0425/100*(6.05-AU57)</f>
        <v>2.2949999999999997E-3</v>
      </c>
      <c r="AV63" s="373"/>
      <c r="AW63" s="374">
        <f t="shared" ref="AW63" si="691">0.0425/100*(6.05-AW57)</f>
        <v>2.2949999999999997E-3</v>
      </c>
      <c r="AX63" s="373"/>
      <c r="AY63" s="374">
        <f t="shared" ref="AY63" si="692">0.0425/100*(6.05-AY57)</f>
        <v>2.2949999999999997E-3</v>
      </c>
      <c r="AZ63" s="373"/>
      <c r="BA63" s="374">
        <f t="shared" ref="BA63:BC63" si="693">0.0425/100*(6.05-BA57)</f>
        <v>2.2949999999999997E-3</v>
      </c>
      <c r="BB63" s="373"/>
      <c r="BC63" s="374">
        <f t="shared" si="693"/>
        <v>2.2949999999999997E-3</v>
      </c>
      <c r="BD63" s="373"/>
      <c r="BE63" s="374">
        <f t="shared" ref="BE63:BI63" si="694">0.0425/100*(6.05-BE57)</f>
        <v>2.2949999999999997E-3</v>
      </c>
      <c r="BF63" s="373"/>
      <c r="BG63" s="374">
        <f t="shared" si="694"/>
        <v>2.2949999999999997E-3</v>
      </c>
      <c r="BH63" s="373"/>
      <c r="BI63" s="374">
        <f t="shared" si="694"/>
        <v>2.2949999999999997E-3</v>
      </c>
      <c r="BJ63" s="373">
        <f>6.05-BK60</f>
        <v>-1.2676056338030151E-3</v>
      </c>
      <c r="BK63" s="374"/>
      <c r="BL63" s="373">
        <f>6.05-BM60</f>
        <v>-4.3596730245232251E-3</v>
      </c>
      <c r="BM63" s="374">
        <v>0.01</v>
      </c>
      <c r="BN63" s="373">
        <f>6.05-BO60</f>
        <v>-4.3596730245232251E-3</v>
      </c>
      <c r="BO63" s="374">
        <v>0.01</v>
      </c>
      <c r="BP63" s="373">
        <f>6.05-BQ60</f>
        <v>-4.3596730245232251E-3</v>
      </c>
      <c r="BQ63" s="374">
        <v>0.01</v>
      </c>
      <c r="BR63" s="373">
        <f>6.05-BS60</f>
        <v>-4.3596730245232251E-3</v>
      </c>
      <c r="BS63" s="374">
        <v>0.01</v>
      </c>
      <c r="BT63" s="373">
        <f>6.05-BU60</f>
        <v>-4.3596730245232251E-3</v>
      </c>
      <c r="BU63" s="374">
        <v>0.01</v>
      </c>
      <c r="BV63" s="373">
        <f>6.05-BW60</f>
        <v>-4.3596730245232251E-3</v>
      </c>
      <c r="BW63" s="374">
        <v>0.01</v>
      </c>
      <c r="BX63" s="373">
        <f>6.05-BY60</f>
        <v>-4.3596730245232251E-3</v>
      </c>
      <c r="BY63" s="374">
        <v>0.01</v>
      </c>
      <c r="BZ63" s="373">
        <f>6.05-CA60</f>
        <v>-4.3596730245232251E-3</v>
      </c>
      <c r="CA63" s="374">
        <v>0.01</v>
      </c>
      <c r="CB63" s="373">
        <f>6.05-CC60</f>
        <v>-4.3596730245232251E-3</v>
      </c>
      <c r="CC63" s="374">
        <v>0.01</v>
      </c>
      <c r="CD63" s="373"/>
      <c r="CE63" s="374">
        <v>0.01</v>
      </c>
      <c r="CF63" s="373"/>
      <c r="CG63" s="374">
        <v>0.01</v>
      </c>
      <c r="CH63" s="373"/>
      <c r="CI63" s="374">
        <v>0.01</v>
      </c>
      <c r="CJ63" s="373"/>
      <c r="CK63" s="374">
        <v>0.01</v>
      </c>
      <c r="CL63" s="373"/>
      <c r="CM63" s="374">
        <v>0.01</v>
      </c>
      <c r="CN63" s="373"/>
      <c r="CO63" s="374">
        <v>0.01</v>
      </c>
      <c r="CP63" s="373">
        <f>6.05-CQ60</f>
        <v>-4.3596730245232251E-3</v>
      </c>
      <c r="CQ63" s="374">
        <v>0.01</v>
      </c>
      <c r="CR63" s="373">
        <f>6.05-CS60</f>
        <v>-4.3596730245232251E-3</v>
      </c>
      <c r="CS63" s="374">
        <v>0.01</v>
      </c>
      <c r="CT63" s="373">
        <f>6.05-CU60</f>
        <v>-4.3596730245232251E-3</v>
      </c>
      <c r="CU63" s="374">
        <v>0.01</v>
      </c>
      <c r="CV63" s="373"/>
      <c r="CW63" s="374">
        <f>0.0425/100*(6.05-CW57)</f>
        <v>2.2974160101204202E-3</v>
      </c>
      <c r="CX63" s="373"/>
      <c r="CY63" s="374">
        <f>0.0425/100*(6.05-CY57)</f>
        <v>2.2949999999999997E-3</v>
      </c>
      <c r="CZ63" s="373"/>
      <c r="DA63" s="374">
        <f>0.0425/100*(6.05-DA57)</f>
        <v>2.2949999999999997E-3</v>
      </c>
      <c r="DB63" s="373"/>
      <c r="DC63" s="374">
        <f>0.0425/100*(6.05-DC57)</f>
        <v>2.2949999999999997E-3</v>
      </c>
      <c r="DD63" s="373"/>
      <c r="DE63" s="374">
        <f>0.0425/100*(6.05-DE57)</f>
        <v>2.2962762899516472E-3</v>
      </c>
      <c r="DF63" s="373"/>
      <c r="DG63" s="374">
        <f>0.0425/100*(6.05-DG57)</f>
        <v>2.2949999999999997E-3</v>
      </c>
      <c r="DH63" s="373"/>
      <c r="DI63" s="374">
        <f>0.0425/100*(6.05-DI57)</f>
        <v>2.2100000000000002E-3</v>
      </c>
      <c r="DJ63" s="373"/>
      <c r="DK63" s="374">
        <f>0.0425/100*(6.05-DK57)</f>
        <v>2.0825000000000001E-3</v>
      </c>
      <c r="DL63" s="373"/>
      <c r="DM63" s="374">
        <f>0.0425/100*(6.05-DM57)</f>
        <v>2.0825000000000001E-3</v>
      </c>
      <c r="DN63" s="373"/>
      <c r="DO63" s="374">
        <f>0.0425/100*(6.05-DO57)</f>
        <v>2.2949999999999997E-3</v>
      </c>
      <c r="DP63" s="373"/>
      <c r="DQ63" s="374">
        <f>0.0425/100*(6.05-DQ57)</f>
        <v>2.2949999999999997E-3</v>
      </c>
      <c r="DR63" s="373"/>
      <c r="DS63" s="374">
        <f>0.0425/100*(6.05-DS57)</f>
        <v>2.2949999999999997E-3</v>
      </c>
    </row>
    <row r="64" spans="1:123" s="4" customFormat="1" ht="18" customHeight="1" outlineLevel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720</v>
      </c>
      <c r="H64" s="42"/>
      <c r="I64" s="91">
        <v>1150</v>
      </c>
      <c r="J64" s="42"/>
      <c r="K64" s="91">
        <v>1150</v>
      </c>
      <c r="L64" s="42"/>
      <c r="M64" s="91">
        <v>1150</v>
      </c>
      <c r="N64" s="359"/>
      <c r="O64" s="91">
        <v>1201.6723737053464</v>
      </c>
      <c r="P64" s="359"/>
      <c r="Q64" s="91">
        <v>1200</v>
      </c>
      <c r="R64" s="359"/>
      <c r="S64" s="91">
        <v>1200</v>
      </c>
      <c r="T64" s="359"/>
      <c r="U64" s="91">
        <v>1207</v>
      </c>
      <c r="V64" s="359"/>
      <c r="W64" s="91">
        <v>1207</v>
      </c>
      <c r="X64" s="359"/>
      <c r="Y64" s="91">
        <v>1207</v>
      </c>
      <c r="Z64" s="359"/>
      <c r="AA64" s="91">
        <v>1207</v>
      </c>
      <c r="AB64" s="359"/>
      <c r="AC64" s="91">
        <v>1207</v>
      </c>
      <c r="AD64" s="359"/>
      <c r="AE64" s="91">
        <v>1207</v>
      </c>
      <c r="AF64" s="359"/>
      <c r="AG64" s="91">
        <v>1207</v>
      </c>
      <c r="AH64" s="359"/>
      <c r="AI64" s="91">
        <v>1207</v>
      </c>
      <c r="AJ64" s="359"/>
      <c r="AK64" s="91">
        <v>1207</v>
      </c>
      <c r="AL64" s="359"/>
      <c r="AM64" s="91">
        <v>1207</v>
      </c>
      <c r="AN64" s="359"/>
      <c r="AO64" s="91">
        <v>1207</v>
      </c>
      <c r="AP64" s="359"/>
      <c r="AQ64" s="91">
        <v>1207</v>
      </c>
      <c r="AR64" s="359"/>
      <c r="AS64" s="91">
        <v>1207</v>
      </c>
      <c r="AT64" s="359"/>
      <c r="AU64" s="91">
        <v>1207</v>
      </c>
      <c r="AV64" s="359"/>
      <c r="AW64" s="91">
        <v>1207</v>
      </c>
      <c r="AX64" s="359"/>
      <c r="AY64" s="91">
        <v>1207</v>
      </c>
      <c r="AZ64" s="359"/>
      <c r="BA64" s="91">
        <v>1207</v>
      </c>
      <c r="BB64" s="359"/>
      <c r="BC64" s="91">
        <v>1207</v>
      </c>
      <c r="BD64" s="359"/>
      <c r="BE64" s="91">
        <v>1207</v>
      </c>
      <c r="BF64" s="359"/>
      <c r="BG64" s="91">
        <v>1207</v>
      </c>
      <c r="BH64" s="359"/>
      <c r="BI64" s="91">
        <v>1207</v>
      </c>
      <c r="BJ64" s="359"/>
      <c r="BK64" s="91">
        <v>750</v>
      </c>
      <c r="BL64" s="359"/>
      <c r="BM64" s="91">
        <v>750</v>
      </c>
      <c r="BN64" s="359"/>
      <c r="BO64" s="91">
        <v>750</v>
      </c>
      <c r="BP64" s="359"/>
      <c r="BQ64" s="91">
        <v>750</v>
      </c>
      <c r="BR64" s="359"/>
      <c r="BS64" s="91">
        <v>750</v>
      </c>
      <c r="BT64" s="359"/>
      <c r="BU64" s="91">
        <v>750</v>
      </c>
      <c r="BV64" s="359"/>
      <c r="BW64" s="91">
        <v>750</v>
      </c>
      <c r="BX64" s="359"/>
      <c r="BY64" s="91">
        <v>750</v>
      </c>
      <c r="BZ64" s="359"/>
      <c r="CA64" s="91">
        <v>750</v>
      </c>
      <c r="CB64" s="359"/>
      <c r="CC64" s="91">
        <v>750</v>
      </c>
      <c r="CD64" s="359"/>
      <c r="CE64" s="91">
        <v>750</v>
      </c>
      <c r="CF64" s="359"/>
      <c r="CG64" s="91">
        <v>750</v>
      </c>
      <c r="CH64" s="359"/>
      <c r="CI64" s="91">
        <v>750</v>
      </c>
      <c r="CJ64" s="359"/>
      <c r="CK64" s="91">
        <v>750</v>
      </c>
      <c r="CL64" s="359"/>
      <c r="CM64" s="91">
        <v>750</v>
      </c>
      <c r="CN64" s="359"/>
      <c r="CO64" s="91">
        <v>750</v>
      </c>
      <c r="CP64" s="359"/>
      <c r="CQ64" s="91">
        <v>750</v>
      </c>
      <c r="CR64" s="359"/>
      <c r="CS64" s="91">
        <v>750</v>
      </c>
      <c r="CT64" s="359"/>
      <c r="CU64" s="91">
        <v>750</v>
      </c>
      <c r="CV64" s="359"/>
      <c r="CW64" s="91">
        <f>(SUMPRODUCT(U64,U$131)+SUMPRODUCT(W64,W$131)+SUMPRODUCT(O64,O$131))/SUM(O$131,U$131,W$131)</f>
        <v>1205.3855367665894</v>
      </c>
      <c r="CX64" s="359"/>
      <c r="CY64" s="91">
        <f>(SUMPRODUCT(AA64,AA$131)+SUMPRODUCT(AC64,AC$131)+SUMPRODUCT(Y64,Y$131))/SUM(Y$131,AA$131,AC$131)</f>
        <v>1207</v>
      </c>
      <c r="CZ64" s="359"/>
      <c r="DA64" s="91">
        <f>(SUMPRODUCT(AG64,AG$131)+SUMPRODUCT(AE64,AE$131)+SUMPRODUCT(AI64,AI$131))/SUM(AI$131,AG$131,AE$131)</f>
        <v>1207</v>
      </c>
      <c r="DB64" s="359"/>
      <c r="DC64" s="91">
        <v>1207</v>
      </c>
      <c r="DD64" s="359"/>
      <c r="DE64" s="91">
        <f>(SUMPRODUCT(O64,O$131)+SUMPRODUCT(U64,U$131)+SUMPRODUCT(W64,W$131)+SUMPRODUCT(Y64,Y$131)+SUMPRODUCT(AA64,AA$131)+SUMPRODUCT(AC64,AC$131))/SUM(U$131,O$131,W$131,Y$131,AA$131,AC$131)</f>
        <v>1206.1471380087817</v>
      </c>
      <c r="DF64" s="359"/>
      <c r="DG64" s="91">
        <v>1207</v>
      </c>
      <c r="DH64" s="359"/>
      <c r="DI64" s="91">
        <v>1207</v>
      </c>
      <c r="DJ64" s="359"/>
      <c r="DK64" s="91">
        <v>1207</v>
      </c>
      <c r="DL64" s="359"/>
      <c r="DM64" s="91">
        <v>1207</v>
      </c>
      <c r="DN64" s="359"/>
      <c r="DO64" s="91">
        <v>1207</v>
      </c>
      <c r="DP64" s="359"/>
      <c r="DQ64" s="91">
        <v>1207</v>
      </c>
      <c r="DR64" s="359"/>
      <c r="DS64" s="91">
        <v>1207</v>
      </c>
    </row>
    <row r="65" spans="1:123" s="97" customFormat="1" ht="18" customHeight="1" outlineLevel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0.20281690140845071</v>
      </c>
      <c r="H65" s="95"/>
      <c r="I65" s="96">
        <f>+I64/I66</f>
        <v>0.323943661971831</v>
      </c>
      <c r="J65" s="95"/>
      <c r="K65" s="96">
        <f t="shared" ref="K65" si="695">+K64/K66</f>
        <v>0.323943661971831</v>
      </c>
      <c r="L65" s="95"/>
      <c r="M65" s="96">
        <f t="shared" ref="M65" si="696">+M64/M66</f>
        <v>0.323943661971831</v>
      </c>
      <c r="N65" s="375"/>
      <c r="O65" s="376">
        <f>+O64/O66</f>
        <v>0.33849926019868914</v>
      </c>
      <c r="P65" s="375"/>
      <c r="Q65" s="376">
        <f>+Q64/Q66</f>
        <v>0.3380281690140845</v>
      </c>
      <c r="R65" s="375"/>
      <c r="S65" s="376">
        <f>+S64/S66</f>
        <v>0.3380281690140845</v>
      </c>
      <c r="T65" s="375"/>
      <c r="U65" s="376">
        <f>+U64/U66</f>
        <v>0.34</v>
      </c>
      <c r="V65" s="375"/>
      <c r="W65" s="376">
        <f>+W64/W66</f>
        <v>0.34</v>
      </c>
      <c r="X65" s="375"/>
      <c r="Y65" s="376">
        <f>+Y64/Y66</f>
        <v>0.34</v>
      </c>
      <c r="Z65" s="375"/>
      <c r="AA65" s="376">
        <f>+AA64/AA66</f>
        <v>0.34</v>
      </c>
      <c r="AB65" s="375"/>
      <c r="AC65" s="376">
        <f>+AC64/AC66</f>
        <v>0.34</v>
      </c>
      <c r="AD65" s="375"/>
      <c r="AE65" s="376">
        <f>+AE64/AE66</f>
        <v>0.34</v>
      </c>
      <c r="AF65" s="375"/>
      <c r="AG65" s="376">
        <f>+AG64/AG66</f>
        <v>0.34</v>
      </c>
      <c r="AH65" s="375"/>
      <c r="AI65" s="376">
        <f>+AI64/AI66</f>
        <v>0.34</v>
      </c>
      <c r="AJ65" s="375"/>
      <c r="AK65" s="376">
        <f>+AK64/AK66</f>
        <v>0.34</v>
      </c>
      <c r="AL65" s="375"/>
      <c r="AM65" s="376">
        <f>+AM64/AM66</f>
        <v>0.34</v>
      </c>
      <c r="AN65" s="375"/>
      <c r="AO65" s="376">
        <f>+AO64/AO66</f>
        <v>0.34</v>
      </c>
      <c r="AP65" s="375"/>
      <c r="AQ65" s="376">
        <f t="shared" ref="AQ65" si="697">+AQ64/AQ66</f>
        <v>0.34</v>
      </c>
      <c r="AR65" s="375"/>
      <c r="AS65" s="376">
        <f t="shared" ref="AS65" si="698">+AS64/AS66</f>
        <v>0.34</v>
      </c>
      <c r="AT65" s="375"/>
      <c r="AU65" s="376">
        <f t="shared" ref="AU65" si="699">+AU64/AU66</f>
        <v>0.34</v>
      </c>
      <c r="AV65" s="375"/>
      <c r="AW65" s="376">
        <f t="shared" ref="AW65" si="700">+AW64/AW66</f>
        <v>0.34</v>
      </c>
      <c r="AX65" s="375"/>
      <c r="AY65" s="376">
        <f t="shared" ref="AY65" si="701">+AY64/AY66</f>
        <v>0.34</v>
      </c>
      <c r="AZ65" s="375"/>
      <c r="BA65" s="376">
        <f t="shared" ref="BA65:BC65" si="702">+BA64/BA66</f>
        <v>0.34</v>
      </c>
      <c r="BB65" s="375"/>
      <c r="BC65" s="376">
        <f t="shared" si="702"/>
        <v>0.34</v>
      </c>
      <c r="BD65" s="375"/>
      <c r="BE65" s="376">
        <f t="shared" ref="BE65:BI65" si="703">+BE64/BE66</f>
        <v>0.34</v>
      </c>
      <c r="BF65" s="375"/>
      <c r="BG65" s="376">
        <f t="shared" si="703"/>
        <v>0.34</v>
      </c>
      <c r="BH65" s="375"/>
      <c r="BI65" s="376">
        <f t="shared" si="703"/>
        <v>0.34</v>
      </c>
      <c r="BJ65" s="375"/>
      <c r="BK65" s="376">
        <f t="shared" ref="BK65:BM65" si="704">+BK64/BK66</f>
        <v>0.21126760563380281</v>
      </c>
      <c r="BL65" s="375"/>
      <c r="BM65" s="376">
        <f t="shared" si="704"/>
        <v>0.20435967302452315</v>
      </c>
      <c r="BN65" s="375"/>
      <c r="BO65" s="376">
        <f t="shared" ref="BO65:BQ65" si="705">+BO64/BO66</f>
        <v>0.20435967302452315</v>
      </c>
      <c r="BP65" s="375"/>
      <c r="BQ65" s="376">
        <f t="shared" si="705"/>
        <v>0.20435967302452315</v>
      </c>
      <c r="BR65" s="375"/>
      <c r="BS65" s="376">
        <f t="shared" ref="BS65:CS65" si="706">+BS64/BS66</f>
        <v>0.20435967302452315</v>
      </c>
      <c r="BT65" s="375"/>
      <c r="BU65" s="376">
        <f t="shared" ref="BU65:BW65" si="707">+BU64/BU66</f>
        <v>0.20435967302452315</v>
      </c>
      <c r="BV65" s="375"/>
      <c r="BW65" s="376">
        <f t="shared" si="707"/>
        <v>0.20435967302452315</v>
      </c>
      <c r="BX65" s="375"/>
      <c r="BY65" s="376">
        <f t="shared" ref="BY65:CA65" si="708">+BY64/BY66</f>
        <v>0.20435967302452315</v>
      </c>
      <c r="BZ65" s="375"/>
      <c r="CA65" s="376">
        <f t="shared" si="708"/>
        <v>0.20435967302452315</v>
      </c>
      <c r="CB65" s="375"/>
      <c r="CC65" s="376">
        <f t="shared" ref="CC65:CE65" si="709">+CC64/CC66</f>
        <v>0.20435967302452315</v>
      </c>
      <c r="CD65" s="375"/>
      <c r="CE65" s="376">
        <f t="shared" si="709"/>
        <v>0.20435967302452315</v>
      </c>
      <c r="CF65" s="375"/>
      <c r="CG65" s="376">
        <f t="shared" ref="CG65:CI65" si="710">+CG64/CG66</f>
        <v>0.20435967302452315</v>
      </c>
      <c r="CH65" s="375"/>
      <c r="CI65" s="376">
        <f t="shared" si="710"/>
        <v>0.20435967302452315</v>
      </c>
      <c r="CJ65" s="375"/>
      <c r="CK65" s="376">
        <f t="shared" ref="CK65:CM65" si="711">+CK64/CK66</f>
        <v>0.20435967302452315</v>
      </c>
      <c r="CL65" s="375"/>
      <c r="CM65" s="376">
        <f t="shared" si="711"/>
        <v>0.20435967302452315</v>
      </c>
      <c r="CN65" s="375"/>
      <c r="CO65" s="376">
        <f t="shared" ref="CO65:CQ65" si="712">+CO64/CO66</f>
        <v>0.20435967302452315</v>
      </c>
      <c r="CP65" s="375"/>
      <c r="CQ65" s="376">
        <f t="shared" si="712"/>
        <v>0.20435967302452315</v>
      </c>
      <c r="CR65" s="375"/>
      <c r="CS65" s="376">
        <f t="shared" si="706"/>
        <v>0.20435967302452315</v>
      </c>
      <c r="CT65" s="375"/>
      <c r="CU65" s="376">
        <f t="shared" ref="CU65" si="713">+CU64/CU66</f>
        <v>0.20435967302452315</v>
      </c>
      <c r="CV65" s="375"/>
      <c r="CW65" s="376">
        <f>+CW64/CW66</f>
        <v>0.33954522162439138</v>
      </c>
      <c r="CX65" s="375"/>
      <c r="CY65" s="376">
        <f>+CY64/CY66</f>
        <v>0.34</v>
      </c>
      <c r="CZ65" s="375"/>
      <c r="DA65" s="376">
        <f>+DA64/DA66</f>
        <v>0.34</v>
      </c>
      <c r="DB65" s="375"/>
      <c r="DC65" s="376">
        <f>+DC64/DC66</f>
        <v>0.34</v>
      </c>
      <c r="DD65" s="375"/>
      <c r="DE65" s="376">
        <f>+DE64/DE66</f>
        <v>0.33975975718557228</v>
      </c>
      <c r="DF65" s="375"/>
      <c r="DG65" s="376">
        <f>+DG64/DG66</f>
        <v>0.34</v>
      </c>
      <c r="DH65" s="375"/>
      <c r="DI65" s="376">
        <f>+DI64/DI66</f>
        <v>0.34</v>
      </c>
      <c r="DJ65" s="375"/>
      <c r="DK65" s="376">
        <f>+DK64/DK66</f>
        <v>0.34</v>
      </c>
      <c r="DL65" s="375"/>
      <c r="DM65" s="376">
        <f>+DM64/DM66</f>
        <v>0.34</v>
      </c>
      <c r="DN65" s="375"/>
      <c r="DO65" s="376">
        <f>+DO64/DO66</f>
        <v>0.34</v>
      </c>
      <c r="DP65" s="375"/>
      <c r="DQ65" s="376">
        <f>+DQ64/DQ66</f>
        <v>0.34</v>
      </c>
      <c r="DR65" s="375"/>
      <c r="DS65" s="376">
        <f>+DS64/DS66</f>
        <v>0.34</v>
      </c>
    </row>
    <row r="66" spans="1:123" s="4" customFormat="1" ht="18" customHeight="1" outlineLevel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3550</v>
      </c>
      <c r="H66" s="42"/>
      <c r="I66" s="88">
        <v>3550</v>
      </c>
      <c r="J66" s="42"/>
      <c r="K66" s="88">
        <v>3550</v>
      </c>
      <c r="L66" s="42"/>
      <c r="M66" s="88">
        <v>3550</v>
      </c>
      <c r="N66" s="359"/>
      <c r="O66" s="372">
        <f>I66</f>
        <v>3550</v>
      </c>
      <c r="P66" s="359"/>
      <c r="Q66" s="372">
        <f>O66</f>
        <v>3550</v>
      </c>
      <c r="R66" s="359"/>
      <c r="S66" s="372">
        <f>Q66</f>
        <v>3550</v>
      </c>
      <c r="T66" s="359"/>
      <c r="U66" s="372">
        <f>O66</f>
        <v>3550</v>
      </c>
      <c r="V66" s="359"/>
      <c r="W66" s="372">
        <f>Q66</f>
        <v>3550</v>
      </c>
      <c r="X66" s="359"/>
      <c r="Y66" s="372">
        <f>S66</f>
        <v>3550</v>
      </c>
      <c r="Z66" s="359"/>
      <c r="AA66" s="372">
        <f>U66</f>
        <v>3550</v>
      </c>
      <c r="AB66" s="359"/>
      <c r="AC66" s="372">
        <f>W66</f>
        <v>3550</v>
      </c>
      <c r="AD66" s="359"/>
      <c r="AE66" s="372">
        <f>Y66</f>
        <v>3550</v>
      </c>
      <c r="AF66" s="359"/>
      <c r="AG66" s="372">
        <f>AA66</f>
        <v>3550</v>
      </c>
      <c r="AH66" s="359"/>
      <c r="AI66" s="372">
        <f>AC66</f>
        <v>3550</v>
      </c>
      <c r="AJ66" s="359"/>
      <c r="AK66" s="372">
        <f>AE66</f>
        <v>3550</v>
      </c>
      <c r="AL66" s="359"/>
      <c r="AM66" s="372">
        <f>AG66</f>
        <v>3550</v>
      </c>
      <c r="AN66" s="359"/>
      <c r="AO66" s="372">
        <f>AI66</f>
        <v>3550</v>
      </c>
      <c r="AP66" s="359"/>
      <c r="AQ66" s="372">
        <f t="shared" ref="AQ66" si="714">AK66</f>
        <v>3550</v>
      </c>
      <c r="AR66" s="359"/>
      <c r="AS66" s="372">
        <f t="shared" ref="AS66" si="715">AM66</f>
        <v>3550</v>
      </c>
      <c r="AT66" s="359"/>
      <c r="AU66" s="372">
        <f t="shared" ref="AU66" si="716">AO66</f>
        <v>3550</v>
      </c>
      <c r="AV66" s="359"/>
      <c r="AW66" s="372">
        <f t="shared" ref="AW66" si="717">AQ66</f>
        <v>3550</v>
      </c>
      <c r="AX66" s="359"/>
      <c r="AY66" s="372">
        <f t="shared" ref="AY66" si="718">AS66</f>
        <v>3550</v>
      </c>
      <c r="AZ66" s="359"/>
      <c r="BA66" s="372">
        <f t="shared" ref="BA66" si="719">AU66</f>
        <v>3550</v>
      </c>
      <c r="BB66" s="359"/>
      <c r="BC66" s="372">
        <f t="shared" ref="BC66" si="720">AW66</f>
        <v>3550</v>
      </c>
      <c r="BD66" s="359"/>
      <c r="BE66" s="372">
        <f t="shared" ref="BE66" si="721">AY66</f>
        <v>3550</v>
      </c>
      <c r="BF66" s="359"/>
      <c r="BG66" s="372">
        <f t="shared" ref="BG66" si="722">BA66</f>
        <v>3550</v>
      </c>
      <c r="BH66" s="359"/>
      <c r="BI66" s="372">
        <f t="shared" ref="BI66" si="723">BC66</f>
        <v>3550</v>
      </c>
      <c r="BJ66" s="359"/>
      <c r="BK66" s="372">
        <f t="shared" ref="BK66" si="724">BE66</f>
        <v>3550</v>
      </c>
      <c r="BL66" s="359"/>
      <c r="BM66" s="372">
        <v>3670</v>
      </c>
      <c r="BN66" s="359"/>
      <c r="BO66" s="372">
        <v>3670</v>
      </c>
      <c r="BP66" s="359"/>
      <c r="BQ66" s="372">
        <v>3670</v>
      </c>
      <c r="BR66" s="359"/>
      <c r="BS66" s="372">
        <v>3670</v>
      </c>
      <c r="BT66" s="359"/>
      <c r="BU66" s="372">
        <v>3670</v>
      </c>
      <c r="BV66" s="359"/>
      <c r="BW66" s="372">
        <v>3670</v>
      </c>
      <c r="BX66" s="359"/>
      <c r="BY66" s="372">
        <v>3670</v>
      </c>
      <c r="BZ66" s="359"/>
      <c r="CA66" s="372">
        <v>3670</v>
      </c>
      <c r="CB66" s="359"/>
      <c r="CC66" s="372">
        <v>3670</v>
      </c>
      <c r="CD66" s="359"/>
      <c r="CE66" s="372">
        <v>3670</v>
      </c>
      <c r="CF66" s="359"/>
      <c r="CG66" s="372">
        <v>3670</v>
      </c>
      <c r="CH66" s="359"/>
      <c r="CI66" s="372">
        <v>3670</v>
      </c>
      <c r="CJ66" s="359"/>
      <c r="CK66" s="372">
        <v>3670</v>
      </c>
      <c r="CL66" s="359"/>
      <c r="CM66" s="372">
        <v>3670</v>
      </c>
      <c r="CN66" s="359"/>
      <c r="CO66" s="372">
        <v>3670</v>
      </c>
      <c r="CP66" s="359"/>
      <c r="CQ66" s="372">
        <v>3670</v>
      </c>
      <c r="CR66" s="359"/>
      <c r="CS66" s="372">
        <v>3670</v>
      </c>
      <c r="CT66" s="359"/>
      <c r="CU66" s="372">
        <v>3670</v>
      </c>
      <c r="CV66" s="359"/>
      <c r="CW66" s="372">
        <f>AE66</f>
        <v>3550</v>
      </c>
      <c r="CX66" s="359"/>
      <c r="CY66" s="372">
        <f>AG66</f>
        <v>3550</v>
      </c>
      <c r="CZ66" s="359"/>
      <c r="DA66" s="372">
        <f>AI66</f>
        <v>3550</v>
      </c>
      <c r="DB66" s="359"/>
      <c r="DC66" s="372">
        <f>CW66</f>
        <v>3550</v>
      </c>
      <c r="DD66" s="359"/>
      <c r="DE66" s="372">
        <f>CY66</f>
        <v>3550</v>
      </c>
      <c r="DF66" s="359"/>
      <c r="DG66" s="372">
        <f>DA66</f>
        <v>3550</v>
      </c>
      <c r="DH66" s="359"/>
      <c r="DI66" s="372">
        <f>CY66</f>
        <v>3550</v>
      </c>
      <c r="DJ66" s="359"/>
      <c r="DK66" s="372">
        <f>DA66</f>
        <v>3550</v>
      </c>
      <c r="DL66" s="359"/>
      <c r="DM66" s="372">
        <f>DA66</f>
        <v>3550</v>
      </c>
      <c r="DN66" s="359"/>
      <c r="DO66" s="372">
        <f>DC66</f>
        <v>3550</v>
      </c>
      <c r="DP66" s="359"/>
      <c r="DQ66" s="372">
        <f>DK66</f>
        <v>3550</v>
      </c>
      <c r="DR66" s="359"/>
      <c r="DS66" s="372">
        <f>DM66</f>
        <v>3550</v>
      </c>
    </row>
    <row r="67" spans="1:123" s="7" customFormat="1" ht="18" customHeight="1" outlineLevel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f>G60-G65</f>
        <v>5.3971830985915492</v>
      </c>
      <c r="H67" s="81"/>
      <c r="I67" s="82">
        <f>I60-I65</f>
        <v>5.2760563380281686</v>
      </c>
      <c r="J67" s="81"/>
      <c r="K67" s="82">
        <f t="shared" ref="K67" si="725">K60-K65</f>
        <v>5.2760563380281686</v>
      </c>
      <c r="L67" s="81"/>
      <c r="M67" s="82">
        <f t="shared" ref="M67" si="726">M60-M65</f>
        <v>5.2760563380281686</v>
      </c>
      <c r="N67" s="81"/>
      <c r="O67" s="82">
        <v>5.6777340942718251</v>
      </c>
      <c r="P67" s="81"/>
      <c r="Q67" s="82">
        <f>5.4+0.26+0.05</f>
        <v>5.71</v>
      </c>
      <c r="R67" s="81"/>
      <c r="S67" s="82">
        <f>5.4+0.26+0.05</f>
        <v>5.71</v>
      </c>
      <c r="T67" s="81"/>
      <c r="U67" s="82">
        <f>5.4+0.26+0.05</f>
        <v>5.71</v>
      </c>
      <c r="V67" s="81"/>
      <c r="W67" s="82">
        <f>5.4+0.26+0.05</f>
        <v>5.71</v>
      </c>
      <c r="X67" s="81"/>
      <c r="Y67" s="82">
        <f>5.4+0.26+0.05</f>
        <v>5.71</v>
      </c>
      <c r="Z67" s="81"/>
      <c r="AA67" s="82">
        <f>5.4+0.26+0.05</f>
        <v>5.71</v>
      </c>
      <c r="AB67" s="81"/>
      <c r="AC67" s="82">
        <f>5.4+0.26+0.05</f>
        <v>5.71</v>
      </c>
      <c r="AD67" s="81"/>
      <c r="AE67" s="82">
        <f>5.4+0.26+0.05</f>
        <v>5.71</v>
      </c>
      <c r="AF67" s="81"/>
      <c r="AG67" s="82">
        <f>5.4+0.26+0.05</f>
        <v>5.71</v>
      </c>
      <c r="AH67" s="81"/>
      <c r="AI67" s="82">
        <f>5.4+0.26+0.05</f>
        <v>5.71</v>
      </c>
      <c r="AJ67" s="81"/>
      <c r="AK67" s="82">
        <f>5.4+0.26+0.05</f>
        <v>5.71</v>
      </c>
      <c r="AL67" s="81"/>
      <c r="AM67" s="82">
        <f>5.4+0.26+0.05</f>
        <v>5.71</v>
      </c>
      <c r="AN67" s="81"/>
      <c r="AO67" s="82">
        <f>5.4+0.26+0.05</f>
        <v>5.71</v>
      </c>
      <c r="AP67" s="81"/>
      <c r="AQ67" s="82">
        <f t="shared" ref="AQ67" si="727">5.4+0.26+0.05</f>
        <v>5.71</v>
      </c>
      <c r="AR67" s="81"/>
      <c r="AS67" s="82">
        <f t="shared" ref="AS67" si="728">5.4+0.26+0.05</f>
        <v>5.71</v>
      </c>
      <c r="AT67" s="81"/>
      <c r="AU67" s="82">
        <f t="shared" ref="AU67" si="729">5.4+0.26+0.05</f>
        <v>5.71</v>
      </c>
      <c r="AV67" s="81"/>
      <c r="AW67" s="82">
        <f t="shared" ref="AW67" si="730">5.4+0.26+0.05</f>
        <v>5.71</v>
      </c>
      <c r="AX67" s="81"/>
      <c r="AY67" s="82">
        <f t="shared" ref="AY67" si="731">5.4+0.26+0.05</f>
        <v>5.71</v>
      </c>
      <c r="AZ67" s="81"/>
      <c r="BA67" s="82">
        <f t="shared" ref="BA67:BI67" si="732">5.4+0.26+0.05</f>
        <v>5.71</v>
      </c>
      <c r="BB67" s="81"/>
      <c r="BC67" s="82">
        <f t="shared" si="732"/>
        <v>5.71</v>
      </c>
      <c r="BD67" s="81"/>
      <c r="BE67" s="82">
        <f t="shared" si="732"/>
        <v>5.71</v>
      </c>
      <c r="BF67" s="81"/>
      <c r="BG67" s="82">
        <f t="shared" si="732"/>
        <v>5.71</v>
      </c>
      <c r="BH67" s="81"/>
      <c r="BI67" s="82">
        <f t="shared" si="732"/>
        <v>5.71</v>
      </c>
      <c r="BJ67" s="81"/>
      <c r="BK67" s="82">
        <v>5.84</v>
      </c>
      <c r="BL67" s="81"/>
      <c r="BM67" s="82">
        <v>5.84</v>
      </c>
      <c r="BN67" s="81"/>
      <c r="BO67" s="82">
        <v>5.84</v>
      </c>
      <c r="BP67" s="81"/>
      <c r="BQ67" s="82">
        <v>5.84</v>
      </c>
      <c r="BR67" s="81"/>
      <c r="BS67" s="82">
        <v>5.84</v>
      </c>
      <c r="BT67" s="81"/>
      <c r="BU67" s="82">
        <v>5.84</v>
      </c>
      <c r="BV67" s="81"/>
      <c r="BW67" s="82">
        <v>5.84</v>
      </c>
      <c r="BX67" s="81"/>
      <c r="BY67" s="82">
        <v>5.84</v>
      </c>
      <c r="BZ67" s="81"/>
      <c r="CA67" s="82">
        <v>5.84</v>
      </c>
      <c r="CB67" s="81"/>
      <c r="CC67" s="82">
        <v>5.84</v>
      </c>
      <c r="CD67" s="81"/>
      <c r="CE67" s="82">
        <v>5.84</v>
      </c>
      <c r="CF67" s="81"/>
      <c r="CG67" s="82">
        <v>5.84</v>
      </c>
      <c r="CH67" s="81"/>
      <c r="CI67" s="82">
        <v>5.84</v>
      </c>
      <c r="CJ67" s="81"/>
      <c r="CK67" s="82">
        <v>5.84</v>
      </c>
      <c r="CL67" s="81"/>
      <c r="CM67" s="82">
        <v>5.84</v>
      </c>
      <c r="CN67" s="81"/>
      <c r="CO67" s="82">
        <v>5.84</v>
      </c>
      <c r="CP67" s="81"/>
      <c r="CQ67" s="82">
        <v>5.84</v>
      </c>
      <c r="CR67" s="81"/>
      <c r="CS67" s="82">
        <v>5.84</v>
      </c>
      <c r="CT67" s="81"/>
      <c r="CU67" s="82">
        <v>5.84</v>
      </c>
      <c r="CV67" s="81"/>
      <c r="CW67" s="82">
        <f>(SUMPRODUCT(U67,U$131)+SUMPRODUCT(W67,W$131)+SUMPRODUCT(O67,O$131))/SUM(O$131,U$131,W$131)</f>
        <v>5.7002222649244167</v>
      </c>
      <c r="CX67" s="81"/>
      <c r="CY67" s="82">
        <f>(SUMPRODUCT(AA67,AA$131)+SUMPRODUCT(AC67,AC$131)+SUMPRODUCT(Y67,Y$131))/SUM(Y$131,AA$131,AC$131)</f>
        <v>5.7099999999999991</v>
      </c>
      <c r="CZ67" s="81"/>
      <c r="DA67" s="82">
        <f>(SUMPRODUCT(AG67,AG$131)+SUMPRODUCT(AE67,AE$131)+SUMPRODUCT(AI67,AI$131))/SUM(AI$131,AG$131,AE$131)</f>
        <v>5.71</v>
      </c>
      <c r="DB67" s="81"/>
      <c r="DC67" s="82">
        <v>5.71</v>
      </c>
      <c r="DD67" s="81"/>
      <c r="DE67" s="82">
        <f>(SUMPRODUCT(O67,O$131)+SUMPRODUCT(U67,U$131)+SUMPRODUCT(W67,W$131)+SUMPRODUCT(Y67,Y$131)+SUMPRODUCT(AA67,AA$131)+SUMPRODUCT(AC67,AC$131))/SUM(U$131,O$131,W$131,Y$131,AA$131,AC$131)</f>
        <v>5.7048347794898051</v>
      </c>
      <c r="DF67" s="81"/>
      <c r="DG67" s="82">
        <v>5.71</v>
      </c>
      <c r="DH67" s="81"/>
      <c r="DI67" s="82">
        <f>5.71+0.6+0.2-0.01</f>
        <v>6.5</v>
      </c>
      <c r="DJ67" s="81"/>
      <c r="DK67" s="82">
        <f>5.76+0.24+0.5</f>
        <v>6.5</v>
      </c>
      <c r="DL67" s="81"/>
      <c r="DM67" s="82">
        <f>5.81-0.05+0.24+0.5</f>
        <v>6.5</v>
      </c>
      <c r="DN67" s="81"/>
      <c r="DO67" s="82">
        <v>5.71</v>
      </c>
      <c r="DP67" s="81"/>
      <c r="DQ67" s="82">
        <v>5.71</v>
      </c>
      <c r="DR67" s="81"/>
      <c r="DS67" s="82">
        <v>5.71</v>
      </c>
    </row>
    <row r="68" spans="1:123" s="7" customFormat="1" ht="18" customHeight="1" outlineLevel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4.8971830985915492</v>
      </c>
      <c r="H68" s="81"/>
      <c r="I68" s="82">
        <f>I56-I65</f>
        <v>4.8760563380281683</v>
      </c>
      <c r="J68" s="81"/>
      <c r="K68" s="82">
        <f t="shared" ref="K68" si="733">K56-K65</f>
        <v>4.8760563380281683</v>
      </c>
      <c r="L68" s="81"/>
      <c r="M68" s="82">
        <f t="shared" ref="M68" si="734">M56-M65</f>
        <v>4.8760563380281683</v>
      </c>
      <c r="N68" s="81"/>
      <c r="O68" s="82">
        <f>O56-O65</f>
        <v>5.0487963144684009</v>
      </c>
      <c r="P68" s="81"/>
      <c r="Q68" s="82">
        <f>Q56-Q65</f>
        <v>5.0622950000000007</v>
      </c>
      <c r="R68" s="81"/>
      <c r="S68" s="82">
        <f>S56-S65</f>
        <v>5.0622950000000007</v>
      </c>
      <c r="T68" s="81"/>
      <c r="U68" s="82">
        <f>U56-U65</f>
        <v>5.0622949999999998</v>
      </c>
      <c r="V68" s="81"/>
      <c r="W68" s="82">
        <f>W56-W65</f>
        <v>5.0622949999999998</v>
      </c>
      <c r="X68" s="81"/>
      <c r="Y68" s="82">
        <f>Y56-Y65</f>
        <v>5.0622949999999998</v>
      </c>
      <c r="Z68" s="81"/>
      <c r="AA68" s="82">
        <f>AA56-AA65</f>
        <v>5.0622949999999998</v>
      </c>
      <c r="AB68" s="81"/>
      <c r="AC68" s="82">
        <f>AC56-AC65</f>
        <v>5.0622949999999998</v>
      </c>
      <c r="AD68" s="81"/>
      <c r="AE68" s="82">
        <f>AE56-AE65</f>
        <v>5.0622949999999998</v>
      </c>
      <c r="AF68" s="81"/>
      <c r="AG68" s="82">
        <f>AG56-AG65</f>
        <v>5.0622949999999998</v>
      </c>
      <c r="AH68" s="81"/>
      <c r="AI68" s="82">
        <f>AI56-AI65</f>
        <v>5.0622949999999998</v>
      </c>
      <c r="AJ68" s="81"/>
      <c r="AK68" s="82">
        <f>AK56-AK65</f>
        <v>5.0622949999999998</v>
      </c>
      <c r="AL68" s="81"/>
      <c r="AM68" s="82">
        <f>AM56-AM65</f>
        <v>5.0622949999999998</v>
      </c>
      <c r="AN68" s="81"/>
      <c r="AO68" s="82">
        <f>AO56-AO65</f>
        <v>5.0622949999999998</v>
      </c>
      <c r="AP68" s="81"/>
      <c r="AQ68" s="82">
        <f t="shared" ref="AQ68" si="735">AQ56-AQ65</f>
        <v>5.0622949999999998</v>
      </c>
      <c r="AR68" s="81"/>
      <c r="AS68" s="82">
        <f t="shared" ref="AS68" si="736">AS56-AS65</f>
        <v>5.0622949999999998</v>
      </c>
      <c r="AT68" s="81"/>
      <c r="AU68" s="82">
        <f t="shared" ref="AU68" si="737">AU56-AU65</f>
        <v>5.0622949999999998</v>
      </c>
      <c r="AV68" s="81"/>
      <c r="AW68" s="82">
        <f t="shared" ref="AW68" si="738">AW56-AW65</f>
        <v>5.0622949999999998</v>
      </c>
      <c r="AX68" s="81"/>
      <c r="AY68" s="82">
        <f t="shared" ref="AY68" si="739">AY56-AY65</f>
        <v>5.0622949999999998</v>
      </c>
      <c r="AZ68" s="81"/>
      <c r="BA68" s="82">
        <f t="shared" ref="BA68:BC68" si="740">BA56-BA65</f>
        <v>5.0622949999999998</v>
      </c>
      <c r="BB68" s="81"/>
      <c r="BC68" s="82">
        <f t="shared" si="740"/>
        <v>5.0622949999999998</v>
      </c>
      <c r="BD68" s="81"/>
      <c r="BE68" s="82">
        <f t="shared" ref="BE68:BI68" si="741">BE56-BE65</f>
        <v>5.0622949999999998</v>
      </c>
      <c r="BF68" s="81"/>
      <c r="BG68" s="82">
        <f t="shared" si="741"/>
        <v>5.0622949999999998</v>
      </c>
      <c r="BH68" s="81"/>
      <c r="BI68" s="82">
        <f t="shared" si="741"/>
        <v>5.0622949999999998</v>
      </c>
      <c r="BJ68" s="81"/>
      <c r="BK68" s="82">
        <f t="shared" ref="BK68:BM68" si="742">BK56-BK65</f>
        <v>5.1899999999999995</v>
      </c>
      <c r="BL68" s="81"/>
      <c r="BM68" s="82">
        <f t="shared" si="742"/>
        <v>5.1999999999999993</v>
      </c>
      <c r="BN68" s="81"/>
      <c r="BO68" s="82">
        <f t="shared" ref="BO68:BQ68" si="743">BO56-BO65</f>
        <v>5.1999999999999993</v>
      </c>
      <c r="BP68" s="81"/>
      <c r="BQ68" s="82">
        <f t="shared" si="743"/>
        <v>5.1999999999999993</v>
      </c>
      <c r="BR68" s="81"/>
      <c r="BS68" s="82">
        <f t="shared" ref="BS68:CS68" si="744">BS56-BS65</f>
        <v>5.1999999999999993</v>
      </c>
      <c r="BT68" s="81"/>
      <c r="BU68" s="82">
        <f t="shared" ref="BU68:BW68" si="745">BU56-BU65</f>
        <v>5.1999999999999993</v>
      </c>
      <c r="BV68" s="81"/>
      <c r="BW68" s="82">
        <f t="shared" si="745"/>
        <v>5.1999999999999993</v>
      </c>
      <c r="BX68" s="81"/>
      <c r="BY68" s="82">
        <f t="shared" ref="BY68:CA68" si="746">BY56-BY65</f>
        <v>5.1999999999999993</v>
      </c>
      <c r="BZ68" s="81"/>
      <c r="CA68" s="82">
        <f t="shared" si="746"/>
        <v>5.1999999999999993</v>
      </c>
      <c r="CB68" s="81"/>
      <c r="CC68" s="82">
        <f t="shared" ref="CC68:CE68" si="747">CC56-CC65</f>
        <v>5.1999999999999993</v>
      </c>
      <c r="CD68" s="81"/>
      <c r="CE68" s="82">
        <f t="shared" si="747"/>
        <v>5.1999999999999993</v>
      </c>
      <c r="CF68" s="81"/>
      <c r="CG68" s="82">
        <f t="shared" ref="CG68:CI68" si="748">CG56-CG65</f>
        <v>5.1999999999999993</v>
      </c>
      <c r="CH68" s="81"/>
      <c r="CI68" s="82">
        <f t="shared" si="748"/>
        <v>5.1999999999999993</v>
      </c>
      <c r="CJ68" s="81"/>
      <c r="CK68" s="82">
        <f t="shared" ref="CK68:CM68" si="749">CK56-CK65</f>
        <v>5.1999999999999993</v>
      </c>
      <c r="CL68" s="81"/>
      <c r="CM68" s="82">
        <f t="shared" si="749"/>
        <v>5.1999999999999993</v>
      </c>
      <c r="CN68" s="81"/>
      <c r="CO68" s="82">
        <f t="shared" ref="CO68:CQ68" si="750">CO56-CO65</f>
        <v>5.1999999999999993</v>
      </c>
      <c r="CP68" s="81"/>
      <c r="CQ68" s="82">
        <f t="shared" si="750"/>
        <v>5.1999999999999993</v>
      </c>
      <c r="CR68" s="81"/>
      <c r="CS68" s="82">
        <f t="shared" si="744"/>
        <v>5.1999999999999993</v>
      </c>
      <c r="CT68" s="81"/>
      <c r="CU68" s="82">
        <f t="shared" ref="CU68" si="751">CU56-CU65</f>
        <v>5.1999999999999993</v>
      </c>
      <c r="CV68" s="81"/>
      <c r="CW68" s="82">
        <f>CW56-CW65</f>
        <v>5.0582044106296431</v>
      </c>
      <c r="CX68" s="81"/>
      <c r="CY68" s="82">
        <f>CY56-CY65</f>
        <v>5.0622949999999989</v>
      </c>
      <c r="CZ68" s="81"/>
      <c r="DA68" s="82">
        <f>DA56-DA65</f>
        <v>5.0622949999999998</v>
      </c>
      <c r="DB68" s="81"/>
      <c r="DC68" s="82">
        <f>DC56-DC65</f>
        <v>5.0622949999999998</v>
      </c>
      <c r="DD68" s="81"/>
      <c r="DE68" s="82">
        <f>DE56-DE65</f>
        <v>5.0601340909601022</v>
      </c>
      <c r="DF68" s="81"/>
      <c r="DG68" s="82">
        <f>DG56-DG65</f>
        <v>5.0622949999999998</v>
      </c>
      <c r="DH68" s="81"/>
      <c r="DI68" s="82">
        <f>DI56-DI65</f>
        <v>5.6599149999999998</v>
      </c>
      <c r="DJ68" s="81"/>
      <c r="DK68" s="82">
        <f>DK56-DK65</f>
        <v>5.3596812499999995</v>
      </c>
      <c r="DL68" s="81"/>
      <c r="DM68" s="82">
        <f>DM56-DM65</f>
        <v>5.3596812499999995</v>
      </c>
      <c r="DN68" s="81"/>
      <c r="DO68" s="82">
        <f>DO56-DO65</f>
        <v>5.0622949999999998</v>
      </c>
      <c r="DP68" s="81"/>
      <c r="DQ68" s="82">
        <f>DQ56-DQ65</f>
        <v>5.0622949999999998</v>
      </c>
      <c r="DR68" s="81"/>
      <c r="DS68" s="82">
        <f>DS56-DS65</f>
        <v>5.0622949999999998</v>
      </c>
    </row>
    <row r="69" spans="1:123" s="103" customFormat="1" ht="18" customHeight="1" outlineLevel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0.13492957746478873</v>
      </c>
      <c r="H69" s="101"/>
      <c r="I69" s="102">
        <f>+I67/I10</f>
        <v>0.13190140845070422</v>
      </c>
      <c r="J69" s="101"/>
      <c r="K69" s="102">
        <f>+K67/K10</f>
        <v>0.13190140845070422</v>
      </c>
      <c r="L69" s="101"/>
      <c r="M69" s="102">
        <f>+M67/M10</f>
        <v>0.13190140845070422</v>
      </c>
      <c r="N69" s="101"/>
      <c r="O69" s="102">
        <f>+O67/O10</f>
        <v>0.14194335235679562</v>
      </c>
      <c r="P69" s="101"/>
      <c r="Q69" s="102">
        <f>+Q67/Q10</f>
        <v>0.14274999999999999</v>
      </c>
      <c r="R69" s="101"/>
      <c r="S69" s="102">
        <f>+S67/S10</f>
        <v>0.14274999999999999</v>
      </c>
      <c r="T69" s="101"/>
      <c r="U69" s="102">
        <f>+U67/U10</f>
        <v>0.14274999999999999</v>
      </c>
      <c r="V69" s="101"/>
      <c r="W69" s="102">
        <f>+W67/W10</f>
        <v>0.14274999999999999</v>
      </c>
      <c r="X69" s="101"/>
      <c r="Y69" s="102">
        <f>+Y67/Y10</f>
        <v>0.14274999999999999</v>
      </c>
      <c r="Z69" s="101"/>
      <c r="AA69" s="102">
        <f>+AA67/AA10</f>
        <v>0.14274999999999999</v>
      </c>
      <c r="AB69" s="101"/>
      <c r="AC69" s="102">
        <f>+AC67/AC10</f>
        <v>0.14274999999999999</v>
      </c>
      <c r="AD69" s="101"/>
      <c r="AE69" s="102">
        <f>+AE67/AE10</f>
        <v>0.14274999999999999</v>
      </c>
      <c r="AF69" s="101"/>
      <c r="AG69" s="102">
        <f>+AG67/AG10</f>
        <v>0.14274999999999999</v>
      </c>
      <c r="AH69" s="101"/>
      <c r="AI69" s="102">
        <f>+AI67/AI10</f>
        <v>0.14274999999999999</v>
      </c>
      <c r="AJ69" s="101"/>
      <c r="AK69" s="102">
        <f>+AK67/AK10</f>
        <v>0.14274999999999999</v>
      </c>
      <c r="AL69" s="101"/>
      <c r="AM69" s="102">
        <f>+AM67/AM10</f>
        <v>0.14274999999999999</v>
      </c>
      <c r="AN69" s="101"/>
      <c r="AO69" s="102">
        <f>+AO67/AO10</f>
        <v>0.14274999999999999</v>
      </c>
      <c r="AP69" s="101"/>
      <c r="AQ69" s="102">
        <f>+AQ67/AQ10</f>
        <v>0.14274999999999999</v>
      </c>
      <c r="AR69" s="101"/>
      <c r="AS69" s="102">
        <f>+AS67/AS10</f>
        <v>0.14274999999999999</v>
      </c>
      <c r="AT69" s="101"/>
      <c r="AU69" s="102">
        <f>+AU67/AU10</f>
        <v>0.14274999999999999</v>
      </c>
      <c r="AV69" s="101"/>
      <c r="AW69" s="102">
        <f>+AW67/AW10</f>
        <v>0.14274999999999999</v>
      </c>
      <c r="AX69" s="101"/>
      <c r="AY69" s="102">
        <f>+AY67/AY10</f>
        <v>0.14274999999999999</v>
      </c>
      <c r="AZ69" s="101"/>
      <c r="BA69" s="102">
        <f>+BA67/BA10</f>
        <v>0.14274999999999999</v>
      </c>
      <c r="BB69" s="101"/>
      <c r="BC69" s="102">
        <f>+BC67/BC10</f>
        <v>0.14274999999999999</v>
      </c>
      <c r="BD69" s="101"/>
      <c r="BE69" s="102">
        <f>+BE67/BE10</f>
        <v>0.14274999999999999</v>
      </c>
      <c r="BF69" s="101"/>
      <c r="BG69" s="102">
        <f>+BG67/BG10</f>
        <v>0.14274999999999999</v>
      </c>
      <c r="BH69" s="101"/>
      <c r="BI69" s="102">
        <f>+BI67/BI10</f>
        <v>0.14274999999999999</v>
      </c>
      <c r="BJ69" s="101"/>
      <c r="BK69" s="102">
        <f>+BK67/BK10</f>
        <v>0.14599999999999999</v>
      </c>
      <c r="BL69" s="101"/>
      <c r="BM69" s="102">
        <f>+BM67/BM10</f>
        <v>0.14599999999999999</v>
      </c>
      <c r="BN69" s="101"/>
      <c r="BO69" s="102">
        <f>+BO67/BO10</f>
        <v>0.14599999999999999</v>
      </c>
      <c r="BP69" s="101"/>
      <c r="BQ69" s="102">
        <f>+BQ67/BQ10</f>
        <v>0.14599999999999999</v>
      </c>
      <c r="BR69" s="101"/>
      <c r="BS69" s="102">
        <f>+BS67/BS10</f>
        <v>0.14599999999999999</v>
      </c>
      <c r="BT69" s="101"/>
      <c r="BU69" s="102">
        <f>+BU67/BU10</f>
        <v>0.14599999999999999</v>
      </c>
      <c r="BV69" s="101"/>
      <c r="BW69" s="102">
        <f>+BW67/BW10</f>
        <v>0.14599999999999999</v>
      </c>
      <c r="BX69" s="101"/>
      <c r="BY69" s="102">
        <f>+BY67/BY10</f>
        <v>0.14599999999999999</v>
      </c>
      <c r="BZ69" s="101"/>
      <c r="CA69" s="102">
        <f>+CA67/CA10</f>
        <v>0.14599999999999999</v>
      </c>
      <c r="CB69" s="101"/>
      <c r="CC69" s="102">
        <f>+CC67/CC10</f>
        <v>0.14599999999999999</v>
      </c>
      <c r="CD69" s="101"/>
      <c r="CE69" s="102">
        <f>+CE67/CE10</f>
        <v>0.14599999999999999</v>
      </c>
      <c r="CF69" s="101"/>
      <c r="CG69" s="102">
        <f>+CG67/CG10</f>
        <v>0.14599999999999999</v>
      </c>
      <c r="CH69" s="101"/>
      <c r="CI69" s="102">
        <f>+CI67/CI10</f>
        <v>0.14599999999999999</v>
      </c>
      <c r="CJ69" s="101"/>
      <c r="CK69" s="102">
        <f>+CK67/CK10</f>
        <v>0.14599999999999999</v>
      </c>
      <c r="CL69" s="101"/>
      <c r="CM69" s="102">
        <f>+CM67/CM10</f>
        <v>0.14599999999999999</v>
      </c>
      <c r="CN69" s="101"/>
      <c r="CO69" s="102">
        <f>+CO67/CO10</f>
        <v>0.14599999999999999</v>
      </c>
      <c r="CP69" s="101"/>
      <c r="CQ69" s="102">
        <f>+CQ67/CQ10</f>
        <v>0.14599999999999999</v>
      </c>
      <c r="CR69" s="101"/>
      <c r="CS69" s="102">
        <f>+CS67/CS10</f>
        <v>0.14599999999999999</v>
      </c>
      <c r="CT69" s="101"/>
      <c r="CU69" s="102">
        <f>+CU67/CU10</f>
        <v>0.14599999999999999</v>
      </c>
      <c r="CV69" s="101"/>
      <c r="CW69" s="102">
        <f>+CW67/CW10</f>
        <v>0.14250555662311043</v>
      </c>
      <c r="CX69" s="101"/>
      <c r="CY69" s="102">
        <f>+CY67/CY10</f>
        <v>0.14274999999999999</v>
      </c>
      <c r="CZ69" s="101"/>
      <c r="DA69" s="102">
        <f>+DA67/DA10</f>
        <v>0.14274999999999999</v>
      </c>
      <c r="DB69" s="101"/>
      <c r="DC69" s="102">
        <f>+DC67/DC10</f>
        <v>0.14274999999999999</v>
      </c>
      <c r="DD69" s="101"/>
      <c r="DE69" s="102">
        <f>+DE67/DE10</f>
        <v>0.14262086948724512</v>
      </c>
      <c r="DF69" s="101"/>
      <c r="DG69" s="102">
        <f>+DG67/DG10</f>
        <v>0.14274999999999999</v>
      </c>
      <c r="DH69" s="101"/>
      <c r="DI69" s="102">
        <f>+DI67/DI10</f>
        <v>0.16250000000000001</v>
      </c>
      <c r="DJ69" s="101"/>
      <c r="DK69" s="102">
        <f>+DK67/DK10</f>
        <v>0.16250000000000001</v>
      </c>
      <c r="DL69" s="101"/>
      <c r="DM69" s="102">
        <f>+DM67/DM10</f>
        <v>0.16250000000000001</v>
      </c>
      <c r="DN69" s="101"/>
      <c r="DO69" s="102">
        <f>+DO67/DO10</f>
        <v>0.14274999999999999</v>
      </c>
      <c r="DP69" s="101"/>
      <c r="DQ69" s="102">
        <f>+DQ67/DQ10</f>
        <v>0.14274999999999999</v>
      </c>
      <c r="DR69" s="101"/>
      <c r="DS69" s="102">
        <f>+DS67/DS10</f>
        <v>0.14274999999999999</v>
      </c>
    </row>
    <row r="70" spans="1:123" s="4" customFormat="1" ht="18" customHeight="1" outlineLevel="1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377"/>
      <c r="O70" s="378"/>
      <c r="P70" s="377"/>
      <c r="Q70" s="378"/>
      <c r="R70" s="377"/>
      <c r="S70" s="378"/>
      <c r="T70" s="377"/>
      <c r="U70" s="378"/>
      <c r="V70" s="377"/>
      <c r="W70" s="378"/>
      <c r="X70" s="377"/>
      <c r="Y70" s="378"/>
      <c r="Z70" s="377"/>
      <c r="AA70" s="378"/>
      <c r="AB70" s="377"/>
      <c r="AC70" s="378"/>
      <c r="AD70" s="377"/>
      <c r="AE70" s="378"/>
      <c r="AF70" s="377"/>
      <c r="AG70" s="378"/>
      <c r="AH70" s="377"/>
      <c r="AI70" s="378"/>
      <c r="AJ70" s="377"/>
      <c r="AK70" s="378"/>
      <c r="AL70" s="377"/>
      <c r="AM70" s="378"/>
      <c r="AN70" s="377"/>
      <c r="AO70" s="378"/>
      <c r="AP70" s="377"/>
      <c r="AQ70" s="378"/>
      <c r="AR70" s="377"/>
      <c r="AS70" s="378"/>
      <c r="AT70" s="377"/>
      <c r="AU70" s="378"/>
      <c r="AV70" s="377"/>
      <c r="AW70" s="378"/>
      <c r="AX70" s="377"/>
      <c r="AY70" s="378"/>
      <c r="AZ70" s="377"/>
      <c r="BA70" s="378"/>
      <c r="BB70" s="377"/>
      <c r="BC70" s="378"/>
      <c r="BD70" s="377"/>
      <c r="BE70" s="378"/>
      <c r="BF70" s="377"/>
      <c r="BG70" s="378"/>
      <c r="BH70" s="377"/>
      <c r="BI70" s="378"/>
      <c r="BJ70" s="377"/>
      <c r="BK70" s="378"/>
      <c r="BL70" s="377"/>
      <c r="BM70" s="378"/>
      <c r="BN70" s="377"/>
      <c r="BO70" s="378"/>
      <c r="BP70" s="377"/>
      <c r="BQ70" s="378"/>
      <c r="BR70" s="377"/>
      <c r="BS70" s="378"/>
      <c r="BT70" s="377"/>
      <c r="BU70" s="378"/>
      <c r="BV70" s="377"/>
      <c r="BW70" s="378"/>
      <c r="BX70" s="377"/>
      <c r="BY70" s="378"/>
      <c r="BZ70" s="377"/>
      <c r="CA70" s="378"/>
      <c r="CB70" s="377"/>
      <c r="CC70" s="378"/>
      <c r="CD70" s="377"/>
      <c r="CE70" s="378"/>
      <c r="CF70" s="377"/>
      <c r="CG70" s="378"/>
      <c r="CH70" s="377"/>
      <c r="CI70" s="378"/>
      <c r="CJ70" s="377"/>
      <c r="CK70" s="378"/>
      <c r="CL70" s="377"/>
      <c r="CM70" s="378"/>
      <c r="CN70" s="377"/>
      <c r="CO70" s="378"/>
      <c r="CP70" s="377"/>
      <c r="CQ70" s="378"/>
      <c r="CR70" s="377"/>
      <c r="CS70" s="378"/>
      <c r="CT70" s="377"/>
      <c r="CU70" s="378"/>
      <c r="CV70" s="377"/>
      <c r="CW70" s="378"/>
      <c r="CX70" s="377"/>
      <c r="CY70" s="378"/>
      <c r="CZ70" s="377"/>
      <c r="DA70" s="378"/>
      <c r="DB70" s="377"/>
      <c r="DC70" s="378"/>
      <c r="DD70" s="377"/>
      <c r="DE70" s="378"/>
      <c r="DF70" s="377"/>
      <c r="DG70" s="378"/>
      <c r="DH70" s="377"/>
      <c r="DI70" s="378"/>
      <c r="DJ70" s="377"/>
      <c r="DK70" s="378"/>
      <c r="DL70" s="377"/>
      <c r="DM70" s="378"/>
      <c r="DN70" s="377"/>
      <c r="DO70" s="378"/>
      <c r="DP70" s="377"/>
      <c r="DQ70" s="378"/>
      <c r="DR70" s="377"/>
      <c r="DS70" s="378"/>
    </row>
    <row r="71" spans="1:123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4.55258978879362</v>
      </c>
      <c r="H71" s="111"/>
      <c r="I71" s="112">
        <f>I74+I72</f>
        <v>4.7424272172985571</v>
      </c>
      <c r="J71" s="111"/>
      <c r="K71" s="112">
        <f t="shared" ref="K71" si="752">K74+K72</f>
        <v>4.7424272172985571</v>
      </c>
      <c r="L71" s="111"/>
      <c r="M71" s="112">
        <f t="shared" ref="M71" si="753">M74+M72</f>
        <v>4.7424272172985571</v>
      </c>
      <c r="N71" s="111"/>
      <c r="O71" s="112">
        <f>O74+O72</f>
        <v>4.8207062363614588</v>
      </c>
      <c r="P71" s="111"/>
      <c r="Q71" s="112">
        <f>Q74+Q72</f>
        <v>0.12837234675659592</v>
      </c>
      <c r="R71" s="111"/>
      <c r="S71" s="112">
        <f>S74+S72</f>
        <v>0.12837234675659592</v>
      </c>
      <c r="T71" s="111"/>
      <c r="U71" s="112">
        <f>U74+U72</f>
        <v>5.1061453450487946</v>
      </c>
      <c r="V71" s="111"/>
      <c r="W71" s="112">
        <f>W74+W72</f>
        <v>5.1263840347819434</v>
      </c>
      <c r="X71" s="111"/>
      <c r="Y71" s="112">
        <f>Y74+Y72</f>
        <v>5.298036251195378</v>
      </c>
      <c r="Z71" s="111"/>
      <c r="AA71" s="112">
        <f>AA74+AA72</f>
        <v>5.4665263167138507</v>
      </c>
      <c r="AB71" s="111"/>
      <c r="AC71" s="112">
        <f>AC74+AC72</f>
        <v>5.3353304029582302</v>
      </c>
      <c r="AD71" s="111"/>
      <c r="AE71" s="112">
        <f>AE74+AE72</f>
        <v>5.2311070955115193</v>
      </c>
      <c r="AF71" s="111"/>
      <c r="AG71" s="112">
        <f>AG74+AG72</f>
        <v>5.4469412870521063</v>
      </c>
      <c r="AH71" s="111"/>
      <c r="AI71" s="112">
        <f>AI74+AI72</f>
        <v>5.0070012459365882</v>
      </c>
      <c r="AJ71" s="111"/>
      <c r="AK71" s="112">
        <f>AK74+AK72</f>
        <v>4.7543040171772279</v>
      </c>
      <c r="AL71" s="111"/>
      <c r="AM71" s="112">
        <f>AM74+AM72</f>
        <v>4.6768868813885529</v>
      </c>
      <c r="AN71" s="111"/>
      <c r="AO71" s="112">
        <f>AO74+AO72</f>
        <v>4.5599695576952186</v>
      </c>
      <c r="AP71" s="111"/>
      <c r="AQ71" s="112">
        <f t="shared" ref="AQ71" si="754">AQ74+AQ72</f>
        <v>4.7153157726584274</v>
      </c>
      <c r="AR71" s="111"/>
      <c r="AS71" s="112">
        <f t="shared" ref="AS71" si="755">AS74+AS72</f>
        <v>4.8398398376030656</v>
      </c>
      <c r="AT71" s="111"/>
      <c r="AU71" s="112">
        <f t="shared" ref="AU71" si="756">AU74+AU72</f>
        <v>4.7572103604021878</v>
      </c>
      <c r="AV71" s="111"/>
      <c r="AW71" s="112">
        <f t="shared" ref="AW71" si="757">AW74+AW72</f>
        <v>5.0177854660052112</v>
      </c>
      <c r="AX71" s="111"/>
      <c r="AY71" s="112">
        <f t="shared" ref="AY71" si="758">AY74+AY72</f>
        <v>5.0505069428903173</v>
      </c>
      <c r="AZ71" s="111"/>
      <c r="BA71" s="112">
        <f t="shared" ref="BA71:BC71" si="759">BA74+BA72</f>
        <v>5.0657915913711635</v>
      </c>
      <c r="BB71" s="111"/>
      <c r="BC71" s="112">
        <f t="shared" si="759"/>
        <v>4.8943230055503868</v>
      </c>
      <c r="BD71" s="111"/>
      <c r="BE71" s="112">
        <f t="shared" ref="BE71:BI71" si="760">BE74+BE72</f>
        <v>4.7580180835031687</v>
      </c>
      <c r="BF71" s="111"/>
      <c r="BG71" s="112">
        <f t="shared" si="760"/>
        <v>4.6434980911684978</v>
      </c>
      <c r="BH71" s="111"/>
      <c r="BI71" s="112">
        <f t="shared" si="760"/>
        <v>4.568454350742849</v>
      </c>
      <c r="BJ71" s="111"/>
      <c r="BK71" s="112">
        <f t="shared" ref="BK71:BM71" si="761">BK74+BK72</f>
        <v>4.489784094816998</v>
      </c>
      <c r="BL71" s="111"/>
      <c r="BM71" s="112">
        <f t="shared" si="761"/>
        <v>4.5967759971970947</v>
      </c>
      <c r="BN71" s="111"/>
      <c r="BO71" s="112">
        <f t="shared" ref="BO71:BQ71" si="762">BO74+BO72</f>
        <v>4.7977755389318935</v>
      </c>
      <c r="BP71" s="111"/>
      <c r="BQ71" s="112">
        <f t="shared" si="762"/>
        <v>5.0346917923521177</v>
      </c>
      <c r="BR71" s="111"/>
      <c r="BS71" s="112">
        <f t="shared" ref="BS71:CS71" si="763">BS74+BS72</f>
        <v>4.9717833116597996</v>
      </c>
      <c r="BT71" s="111"/>
      <c r="BU71" s="112">
        <f t="shared" ref="BU71:BW71" si="764">BU74+BU72</f>
        <v>5.1174385582700568</v>
      </c>
      <c r="BV71" s="111"/>
      <c r="BW71" s="112">
        <f t="shared" si="764"/>
        <v>5.0017437057608287</v>
      </c>
      <c r="BX71" s="111"/>
      <c r="BY71" s="112">
        <f t="shared" ref="BY71:CA71" si="765">BY74+BY72</f>
        <v>4.6292895031874313</v>
      </c>
      <c r="BZ71" s="111"/>
      <c r="CA71" s="112">
        <f t="shared" si="765"/>
        <v>4.6528890285603746</v>
      </c>
      <c r="CB71" s="111"/>
      <c r="CC71" s="112">
        <f t="shared" ref="CC71:CE71" si="766">CC74+CC72</f>
        <v>4.7623445210448585</v>
      </c>
      <c r="CD71" s="111"/>
      <c r="CE71" s="112">
        <f t="shared" si="766"/>
        <v>4.8503570942370304</v>
      </c>
      <c r="CF71" s="111"/>
      <c r="CG71" s="112">
        <f t="shared" ref="CG71:CI71" si="767">CG74+CG72</f>
        <v>4.8155183069653997</v>
      </c>
      <c r="CH71" s="111"/>
      <c r="CI71" s="112">
        <f t="shared" si="767"/>
        <v>4.5365929041495852</v>
      </c>
      <c r="CJ71" s="111"/>
      <c r="CK71" s="112">
        <f t="shared" ref="CK71:CM71" si="768">CK74+CK72</f>
        <v>4.4803989022707507</v>
      </c>
      <c r="CL71" s="111"/>
      <c r="CM71" s="112">
        <f t="shared" si="768"/>
        <v>4.7827599090325839</v>
      </c>
      <c r="CN71" s="111"/>
      <c r="CO71" s="112">
        <f t="shared" ref="CO71:CQ71" si="769">CO74+CO72</f>
        <v>4.7827599090325839</v>
      </c>
      <c r="CP71" s="111"/>
      <c r="CQ71" s="112">
        <f t="shared" si="769"/>
        <v>4.7827599090325839</v>
      </c>
      <c r="CR71" s="111"/>
      <c r="CS71" s="112">
        <f t="shared" si="763"/>
        <v>4.9635645301084326</v>
      </c>
      <c r="CT71" s="111"/>
      <c r="CU71" s="112">
        <f t="shared" ref="CU71" si="770">CU74+CU72</f>
        <v>4.9635645301084326</v>
      </c>
      <c r="CV71" s="111"/>
      <c r="CW71" s="112">
        <f>CW74+CW72</f>
        <v>5.0273899510974953</v>
      </c>
      <c r="CX71" s="111"/>
      <c r="CY71" s="112">
        <f>CY74+CY72</f>
        <v>5.3572801387676199</v>
      </c>
      <c r="CZ71" s="111"/>
      <c r="DA71" s="112">
        <f>DA74+DA72</f>
        <v>5.189932202102967</v>
      </c>
      <c r="DB71" s="111"/>
      <c r="DC71" s="112">
        <f>DC74+DC72</f>
        <v>4.6577394484150352</v>
      </c>
      <c r="DD71" s="111"/>
      <c r="DE71" s="112">
        <f>DE74+DE72</f>
        <v>5.1845479124583376</v>
      </c>
      <c r="DF71" s="111"/>
      <c r="DG71" s="112">
        <f>DG74+DG72</f>
        <v>4.9555749462505334</v>
      </c>
      <c r="DH71" s="111"/>
      <c r="DI71" s="112">
        <f>DI74+DI72</f>
        <v>5.0854450761206627</v>
      </c>
      <c r="DJ71" s="111"/>
      <c r="DK71" s="112">
        <f>DK74+DK72</f>
        <v>5.0816236878835346</v>
      </c>
      <c r="DL71" s="111"/>
      <c r="DM71" s="112">
        <f>DM74+DM72</f>
        <v>4.9907145969744438</v>
      </c>
      <c r="DN71" s="111"/>
      <c r="DO71" s="112">
        <f>DO74+DO72</f>
        <v>5.0816236878835346</v>
      </c>
      <c r="DP71" s="111"/>
      <c r="DQ71" s="112">
        <f>DQ74+DQ72</f>
        <v>4.9863455787624282</v>
      </c>
      <c r="DR71" s="111"/>
      <c r="DS71" s="112">
        <f>DS74+DS72</f>
        <v>4.7421897346065842</v>
      </c>
    </row>
    <row r="72" spans="1:123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f>G115</f>
        <v>0.12821118148910329</v>
      </c>
      <c r="H72" s="116"/>
      <c r="I72" s="117">
        <f>I115</f>
        <v>0.12821118148910329</v>
      </c>
      <c r="J72" s="116"/>
      <c r="K72" s="117">
        <f t="shared" ref="K72" si="771">K115</f>
        <v>0.12821118148910329</v>
      </c>
      <c r="L72" s="116"/>
      <c r="M72" s="117">
        <f t="shared" ref="M72" si="772">M115</f>
        <v>0.12821118148910329</v>
      </c>
      <c r="N72" s="1024">
        <f>O72/O67</f>
        <v>1.8473430507102592E-2</v>
      </c>
      <c r="O72" s="596">
        <v>0.10488722622833764</v>
      </c>
      <c r="P72" s="116"/>
      <c r="Q72" s="596">
        <f>Q115</f>
        <v>0.12837234675659592</v>
      </c>
      <c r="R72" s="116"/>
      <c r="S72" s="596">
        <f>S115</f>
        <v>0.12837234675659592</v>
      </c>
      <c r="T72" s="1024">
        <f>U72/U67</f>
        <v>1.8710768986093564E-2</v>
      </c>
      <c r="U72" s="596">
        <v>0.10683849091059425</v>
      </c>
      <c r="V72" s="1024">
        <f>W72/W67</f>
        <v>2.4478209040657083E-2</v>
      </c>
      <c r="W72" s="596">
        <v>0.13977057362215195</v>
      </c>
      <c r="X72" s="1024">
        <f>Y72/Y67</f>
        <v>9.3927918072706073E-3</v>
      </c>
      <c r="Y72" s="596">
        <v>5.363284121951517E-2</v>
      </c>
      <c r="Z72" s="1024">
        <f>AA72/AA67</f>
        <v>1.992522207484734E-2</v>
      </c>
      <c r="AA72" s="596">
        <v>0.11377301804737831</v>
      </c>
      <c r="AB72" s="1024">
        <f>AC72/AC67</f>
        <v>1.9182735008048551E-2</v>
      </c>
      <c r="AC72" s="596">
        <v>0.10953341689595722</v>
      </c>
      <c r="AD72" s="1024">
        <f>AE72/AE67</f>
        <v>2.1434231382745764E-2</v>
      </c>
      <c r="AE72" s="596">
        <v>0.12238946119547832</v>
      </c>
      <c r="AF72" s="1024">
        <f>AG72/AG67</f>
        <v>2.9056889333761073E-2</v>
      </c>
      <c r="AG72" s="596">
        <v>0.16591483809577573</v>
      </c>
      <c r="AH72" s="1024">
        <f>AI72/AI67</f>
        <v>1.9606023781017209E-2</v>
      </c>
      <c r="AI72" s="596">
        <v>0.11195039578960826</v>
      </c>
      <c r="AJ72" s="1024">
        <f>AK72/AK67</f>
        <v>1.91986878306383E-2</v>
      </c>
      <c r="AK72" s="596">
        <v>0.1096245075129447</v>
      </c>
      <c r="AL72" s="1024">
        <f>AM72/AM67</f>
        <v>2.2862450478234358E-2</v>
      </c>
      <c r="AM72" s="596">
        <v>0.13054459223071818</v>
      </c>
      <c r="AN72" s="1024">
        <f>AO72/AO67</f>
        <v>2.1006926404254118E-2</v>
      </c>
      <c r="AO72" s="596">
        <v>0.11994954976829102</v>
      </c>
      <c r="AP72" s="1024">
        <f t="shared" ref="AP72" si="773">AQ72/AQ67</f>
        <v>2.0627927496534283E-2</v>
      </c>
      <c r="AQ72" s="596">
        <v>0.11778546600521075</v>
      </c>
      <c r="AR72" s="1024">
        <f t="shared" ref="AR72" si="774">AS72/AS67</f>
        <v>1.9353229928251725E-2</v>
      </c>
      <c r="AS72" s="596">
        <v>0.11050694289031734</v>
      </c>
      <c r="AT72" s="1024">
        <f t="shared" ref="AT72" si="775">AU72/AU67</f>
        <v>1.7031374772305576E-2</v>
      </c>
      <c r="AU72" s="596">
        <v>9.7249149949864833E-2</v>
      </c>
      <c r="AV72" s="1024">
        <f t="shared" ref="AV72" si="776">AW72/AW67</f>
        <v>2.0627927496534283E-2</v>
      </c>
      <c r="AW72" s="596">
        <v>0.11778546600521075</v>
      </c>
      <c r="AX72" s="1024">
        <f t="shared" ref="AX72" si="777">AY72/AY67</f>
        <v>1.9353229928251725E-2</v>
      </c>
      <c r="AY72" s="596">
        <v>0.11050694289031734</v>
      </c>
      <c r="AZ72" s="1024">
        <f t="shared" ref="AZ72" si="778">BA72/BA67</f>
        <v>2.156812303476463E-2</v>
      </c>
      <c r="BA72" s="596">
        <v>0.12315398252850604</v>
      </c>
      <c r="BB72" s="1024">
        <f t="shared" ref="BB72" si="779">BC72/BC67</f>
        <v>1.9670292911772507E-2</v>
      </c>
      <c r="BC72" s="596">
        <v>0.11231737252622102</v>
      </c>
      <c r="BD72" s="1024">
        <f t="shared" ref="BD72" si="780">BE72/BE67</f>
        <v>1.9427008169349627E-2</v>
      </c>
      <c r="BE72" s="596">
        <v>0.11092821664698638</v>
      </c>
      <c r="BF72" s="1024">
        <f t="shared" ref="BF72" si="781">BG72/BG67</f>
        <v>1.9990708189159167E-2</v>
      </c>
      <c r="BG72" s="596">
        <v>0.11414694376009885</v>
      </c>
      <c r="BH72" s="1024">
        <f t="shared" ref="BH72" si="782">BI72/BI67</f>
        <v>1.8993756697521715E-2</v>
      </c>
      <c r="BI72" s="596">
        <v>0.108454350742849</v>
      </c>
      <c r="BJ72" s="1024">
        <f t="shared" ref="BJ72" si="783">BK72/BK67</f>
        <v>1.879864637277363E-2</v>
      </c>
      <c r="BK72" s="596">
        <v>0.109784094816998</v>
      </c>
      <c r="BL72" s="1024">
        <f t="shared" ref="BL72" si="784">BM72/BM67</f>
        <v>1.9329276659272945E-2</v>
      </c>
      <c r="BM72" s="596">
        <v>0.112882975690154</v>
      </c>
      <c r="BN72" s="1024">
        <f t="shared" ref="BN72" si="785">BO72/BO67</f>
        <v>1.8010534279507193E-2</v>
      </c>
      <c r="BO72" s="596">
        <v>0.10518152019232201</v>
      </c>
      <c r="BP72" s="1024">
        <f t="shared" ref="BP72" si="786">BQ72/BQ67</f>
        <v>1.9736285793250513E-2</v>
      </c>
      <c r="BQ72" s="596">
        <v>0.115259909032583</v>
      </c>
      <c r="BR72" s="1024">
        <f t="shared" ref="BR72" si="787">BS72/BS67</f>
        <v>1.9736285793250513E-2</v>
      </c>
      <c r="BS72" s="596">
        <v>0.115259909032583</v>
      </c>
      <c r="BT72" s="1024">
        <f t="shared" ref="BT72" si="788">BU72/BU67</f>
        <v>1.9736285793250513E-2</v>
      </c>
      <c r="BU72" s="596">
        <v>0.115259909032583</v>
      </c>
      <c r="BV72" s="1024">
        <f t="shared" ref="BV72" si="789">BW72/BW67</f>
        <v>1.9736285793250513E-2</v>
      </c>
      <c r="BW72" s="596">
        <v>0.115259909032583</v>
      </c>
      <c r="BX72" s="1024">
        <f t="shared" ref="BX72" si="790">BY72/BY67</f>
        <v>1.9736285793250513E-2</v>
      </c>
      <c r="BY72" s="596">
        <v>0.115259909032583</v>
      </c>
      <c r="BZ72" s="1024">
        <f t="shared" ref="BZ72" si="791">CA72/CA67</f>
        <v>1.9736285793250513E-2</v>
      </c>
      <c r="CA72" s="596">
        <v>0.115259909032583</v>
      </c>
      <c r="CB72" s="1024">
        <f t="shared" ref="CB72" si="792">CC72/CC67</f>
        <v>1.9736285793250513E-2</v>
      </c>
      <c r="CC72" s="596">
        <v>0.115259909032583</v>
      </c>
      <c r="CD72" s="1024"/>
      <c r="CE72" s="596">
        <v>0.115259909032583</v>
      </c>
      <c r="CF72" s="1024"/>
      <c r="CG72" s="596">
        <v>0.115259909032583</v>
      </c>
      <c r="CH72" s="1024"/>
      <c r="CI72" s="596">
        <v>0.115259909032583</v>
      </c>
      <c r="CJ72" s="1024"/>
      <c r="CK72" s="596">
        <v>0.115259909032583</v>
      </c>
      <c r="CL72" s="1024"/>
      <c r="CM72" s="596">
        <v>0.115259909032583</v>
      </c>
      <c r="CN72" s="1024"/>
      <c r="CO72" s="596">
        <v>0.115259909032583</v>
      </c>
      <c r="CP72" s="1024">
        <f t="shared" ref="CP72" si="793">CQ72/CQ67</f>
        <v>1.9736285793250513E-2</v>
      </c>
      <c r="CQ72" s="596">
        <v>0.115259909032583</v>
      </c>
      <c r="CR72" s="1024">
        <f t="shared" ref="CR72" si="794">CS72/CS67</f>
        <v>1.9736285793250513E-2</v>
      </c>
      <c r="CS72" s="596">
        <v>0.115259909032583</v>
      </c>
      <c r="CT72" s="1024">
        <f t="shared" ref="CT72" si="795">CU72/CU67</f>
        <v>1.9736285793250513E-2</v>
      </c>
      <c r="CU72" s="596">
        <v>0.115259909032583</v>
      </c>
      <c r="CV72" s="1024">
        <f>CW72/CW67</f>
        <v>2.0825058507722254E-2</v>
      </c>
      <c r="CW72" s="596">
        <f>(SUMPRODUCT(U72,U$131)+SUMPRODUCT(W72,W$131)+SUMPRODUCT(O72,O$131))/SUM(O$131,U$131,W$131)</f>
        <v>0.11870746217407203</v>
      </c>
      <c r="CX72" s="1024">
        <f>CY72/CY67</f>
        <v>1.737676310637493E-2</v>
      </c>
      <c r="CY72" s="596">
        <f>(SUMPRODUCT(AA72,AA$131)+SUMPRODUCT(AC72,AC$131)+SUMPRODUCT(Y72,Y$131))/SUM(Y$131,AA$131,AC$131)</f>
        <v>9.9221317337400833E-2</v>
      </c>
      <c r="CZ72" s="1024">
        <f>DA72/DA67</f>
        <v>2.1787410697320816E-2</v>
      </c>
      <c r="DA72" s="596">
        <f>(SUMPRODUCT(AG72,AG$131)+SUMPRODUCT(AE72,AE$131)+SUMPRODUCT(AI72,AI$131))/SUM(AI$131,AG$131,AE$131)</f>
        <v>0.12440611508170185</v>
      </c>
      <c r="DB72" s="1024">
        <f>DC72/DC67</f>
        <v>2.1787410697320816E-2</v>
      </c>
      <c r="DC72" s="596">
        <f>(SUMPRODUCT(AG72,AG$131)+SUMPRODUCT(AE72,AE$131)+SUMPRODUCT(AI72,AI$131))/SUM(AI$131,AG$131,AE$131)</f>
        <v>0.12440611508170185</v>
      </c>
      <c r="DD72" s="1024">
        <f>DE72/DE67</f>
        <v>1.9196898868754753E-2</v>
      </c>
      <c r="DE72" s="596">
        <f>(SUMPRODUCT(O72,O$131)+SUMPRODUCT(U72,U$131)+SUMPRODUCT(W72,W$131)+SUMPRODUCT(Y72,Y$131)+SUMPRODUCT(AA72,AA$131)+SUMPRODUCT(AC72,AC$131))/SUM(U$131,O$131,W$131,Y$131,AA$131,AC$131)</f>
        <v>0.1095151363248206</v>
      </c>
      <c r="DF72" s="1024">
        <f>DG72/DG67</f>
        <v>2.1787410697320816E-2</v>
      </c>
      <c r="DG72" s="596">
        <f>(SUMPRODUCT(AG72,AG$131)+SUMPRODUCT(AE72,AE$131)+SUMPRODUCT(AI72,AI$131))/SUM(AI$131,AG$131,AE$131)</f>
        <v>0.12440611508170185</v>
      </c>
      <c r="DH72" s="1024">
        <f>DI72/DI67</f>
        <v>1.9139402320261824E-2</v>
      </c>
      <c r="DI72" s="596">
        <f>(SUMPRODUCT(AG72,AG$131)+SUMPRODUCT(AE72,AE$131)+SUMPRODUCT(AI72,AI$131))/SUM(AI$131,AG$131,AE$131)</f>
        <v>0.12440611508170185</v>
      </c>
      <c r="DJ72" s="1024">
        <f>DK72/DK67</f>
        <v>1.8551496437626769E-2</v>
      </c>
      <c r="DK72" s="596">
        <f>(SUMPRODUCT(AI72,AI$131)+SUMPRODUCT(AG72,AG$131)+SUMPRODUCT(CW72,CW$131))/SUM(CW$131,AI$131,AG$131)</f>
        <v>0.120584726844574</v>
      </c>
      <c r="DL72" s="1024">
        <f>DM72/DM67</f>
        <v>1.8551496437626769E-2</v>
      </c>
      <c r="DM72" s="596">
        <f>(SUMPRODUCT(AI72,AI$131)+SUMPRODUCT(AG72,AG$131)+SUMPRODUCT(CW72,CW$131))/SUM(CW$131,AI$131,AG$131)</f>
        <v>0.120584726844574</v>
      </c>
      <c r="DN72" s="1024">
        <f>DO72/DO67</f>
        <v>2.1118165822167075E-2</v>
      </c>
      <c r="DO72" s="596">
        <f>DM72</f>
        <v>0.120584726844574</v>
      </c>
      <c r="DP72" s="1024">
        <f>DQ72/DQ67</f>
        <v>2.0353013771025986E-2</v>
      </c>
      <c r="DQ72" s="596">
        <f>(SUMPRODUCT(DE72,DE$131)+SUMPRODUCT(DC72,DC$131)+SUMPRODUCT(DA72,DA$131))/SUM(DA$131,DE$131,DC$131)</f>
        <v>0.11621570863255838</v>
      </c>
      <c r="DR72" s="1024">
        <f>DS72/DS67</f>
        <v>2.0353013771025986E-2</v>
      </c>
      <c r="DS72" s="596">
        <f>(SUMPRODUCT(DC72,DC$131)+SUMPRODUCT(DE72,DE$131)+SUMPRODUCT(DA72,DA$131))/SUM(DA$131,DC$131,DE$131)</f>
        <v>0.11621570863255838</v>
      </c>
    </row>
    <row r="73" spans="1:123" s="4" customFormat="1" ht="18" customHeight="1" outlineLevel="1" x14ac:dyDescent="0.45">
      <c r="A73" s="561"/>
      <c r="B73" s="1241"/>
      <c r="C73" s="16"/>
      <c r="D73" s="16"/>
      <c r="E73" s="16"/>
      <c r="F73" s="42"/>
      <c r="G73" s="88"/>
      <c r="H73" s="42"/>
      <c r="I73" s="88"/>
      <c r="J73" s="42"/>
      <c r="K73" s="88"/>
      <c r="L73" s="42"/>
      <c r="M73" s="88"/>
      <c r="N73" s="359"/>
      <c r="O73" s="685"/>
      <c r="P73" s="359"/>
      <c r="Q73" s="685"/>
      <c r="R73" s="359"/>
      <c r="S73" s="685"/>
      <c r="T73" s="359"/>
      <c r="U73" s="685"/>
      <c r="V73" s="359"/>
      <c r="W73" s="685"/>
      <c r="X73" s="359"/>
      <c r="Y73" s="685"/>
      <c r="Z73" s="359"/>
      <c r="AA73" s="685"/>
      <c r="AB73" s="359"/>
      <c r="AC73" s="685"/>
      <c r="AD73" s="359"/>
      <c r="AE73" s="685"/>
      <c r="AF73" s="359"/>
      <c r="AG73" s="685"/>
      <c r="AH73" s="359"/>
      <c r="AI73" s="685"/>
      <c r="AJ73" s="359"/>
      <c r="AK73" s="685"/>
      <c r="AL73" s="359"/>
      <c r="AM73" s="685"/>
      <c r="AN73" s="359"/>
      <c r="AO73" s="685"/>
      <c r="AP73" s="359"/>
      <c r="AQ73" s="685"/>
      <c r="AR73" s="359"/>
      <c r="AS73" s="685"/>
      <c r="AT73" s="359"/>
      <c r="AU73" s="685"/>
      <c r="AV73" s="359"/>
      <c r="AW73" s="685"/>
      <c r="AX73" s="359"/>
      <c r="AY73" s="685"/>
      <c r="AZ73" s="359"/>
      <c r="BA73" s="685"/>
      <c r="BB73" s="359"/>
      <c r="BC73" s="685"/>
      <c r="BD73" s="359"/>
      <c r="BE73" s="685"/>
      <c r="BF73" s="359"/>
      <c r="BG73" s="685"/>
      <c r="BH73" s="359"/>
      <c r="BI73" s="685"/>
      <c r="BJ73" s="359"/>
      <c r="BK73" s="685"/>
      <c r="BL73" s="359"/>
      <c r="BM73" s="685"/>
      <c r="BN73" s="359"/>
      <c r="BO73" s="685"/>
      <c r="BP73" s="359"/>
      <c r="BQ73" s="685"/>
      <c r="BR73" s="359"/>
      <c r="BS73" s="685"/>
      <c r="BT73" s="359"/>
      <c r="BU73" s="685"/>
      <c r="BV73" s="359"/>
      <c r="BW73" s="685"/>
      <c r="BX73" s="359"/>
      <c r="BY73" s="685"/>
      <c r="BZ73" s="359"/>
      <c r="CA73" s="685"/>
      <c r="CB73" s="359"/>
      <c r="CC73" s="685"/>
      <c r="CD73" s="359"/>
      <c r="CE73" s="685"/>
      <c r="CF73" s="359"/>
      <c r="CG73" s="685"/>
      <c r="CH73" s="359"/>
      <c r="CI73" s="685"/>
      <c r="CJ73" s="359"/>
      <c r="CK73" s="685"/>
      <c r="CL73" s="359"/>
      <c r="CM73" s="685"/>
      <c r="CN73" s="359"/>
      <c r="CO73" s="685"/>
      <c r="CP73" s="359"/>
      <c r="CQ73" s="685"/>
      <c r="CR73" s="359"/>
      <c r="CS73" s="685"/>
      <c r="CT73" s="359"/>
      <c r="CU73" s="685"/>
      <c r="CV73" s="359"/>
      <c r="CW73" s="685"/>
      <c r="CX73" s="359"/>
      <c r="CY73" s="685"/>
      <c r="CZ73" s="359"/>
      <c r="DA73" s="685"/>
      <c r="DB73" s="359"/>
      <c r="DC73" s="685"/>
      <c r="DD73" s="359"/>
      <c r="DE73" s="685"/>
      <c r="DF73" s="359"/>
      <c r="DG73" s="685"/>
      <c r="DH73" s="359"/>
      <c r="DI73" s="685"/>
      <c r="DJ73" s="359"/>
      <c r="DK73" s="685"/>
      <c r="DL73" s="359"/>
      <c r="DM73" s="685"/>
      <c r="DN73" s="359"/>
      <c r="DO73" s="685"/>
      <c r="DP73" s="359"/>
      <c r="DQ73" s="685"/>
      <c r="DR73" s="359"/>
      <c r="DS73" s="685"/>
    </row>
    <row r="74" spans="1:123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f>'Pricing Structure - All SKU'!AI74</f>
        <v>4.4243786073045168</v>
      </c>
      <c r="H74" s="66"/>
      <c r="I74" s="70">
        <v>4.6142160358094539</v>
      </c>
      <c r="J74" s="66"/>
      <c r="K74" s="70">
        <v>4.6142160358094539</v>
      </c>
      <c r="L74" s="66"/>
      <c r="M74" s="70">
        <v>4.6142160358094539</v>
      </c>
      <c r="N74" s="552"/>
      <c r="O74" s="70">
        <v>4.7158190101331208</v>
      </c>
      <c r="P74" s="552"/>
      <c r="Q74" s="70"/>
      <c r="R74" s="552"/>
      <c r="S74" s="70"/>
      <c r="T74" s="552"/>
      <c r="U74" s="70">
        <v>4.9993068541382</v>
      </c>
      <c r="V74" s="552"/>
      <c r="W74" s="70">
        <v>4.9866134611597914</v>
      </c>
      <c r="X74" s="552"/>
      <c r="Y74" s="70">
        <v>5.2444034099758632</v>
      </c>
      <c r="Z74" s="552"/>
      <c r="AA74" s="70">
        <v>5.3527532986664728</v>
      </c>
      <c r="AB74" s="552"/>
      <c r="AC74" s="70">
        <v>5.2257969860622726</v>
      </c>
      <c r="AD74" s="552"/>
      <c r="AE74" s="70">
        <v>5.108717634316041</v>
      </c>
      <c r="AF74" s="552"/>
      <c r="AG74" s="70">
        <v>5.2810264489563306</v>
      </c>
      <c r="AH74" s="552"/>
      <c r="AI74" s="70">
        <v>4.8950508501469798</v>
      </c>
      <c r="AJ74" s="552"/>
      <c r="AK74" s="70">
        <v>4.6446795096642832</v>
      </c>
      <c r="AL74" s="552"/>
      <c r="AM74" s="70">
        <v>4.5463422891578347</v>
      </c>
      <c r="AN74" s="552"/>
      <c r="AO74" s="70">
        <v>4.4400200079269272</v>
      </c>
      <c r="AP74" s="552"/>
      <c r="AQ74" s="70">
        <v>4.5975303066532165</v>
      </c>
      <c r="AR74" s="552"/>
      <c r="AS74" s="70">
        <v>4.7293328947127486</v>
      </c>
      <c r="AT74" s="552"/>
      <c r="AU74" s="70">
        <v>4.6599612104523231</v>
      </c>
      <c r="AV74" s="552"/>
      <c r="AW74" s="70">
        <v>4.9000000000000004</v>
      </c>
      <c r="AX74" s="552"/>
      <c r="AY74" s="70">
        <v>4.9400000000000004</v>
      </c>
      <c r="AZ74" s="552"/>
      <c r="BA74" s="70">
        <v>4.9426376088426576</v>
      </c>
      <c r="BB74" s="552"/>
      <c r="BC74" s="70">
        <v>4.7820056330241654</v>
      </c>
      <c r="BD74" s="552"/>
      <c r="BE74" s="70">
        <v>4.6470898668561826</v>
      </c>
      <c r="BF74" s="552"/>
      <c r="BG74" s="70">
        <v>4.5293511474083985</v>
      </c>
      <c r="BH74" s="552"/>
      <c r="BI74" s="70">
        <v>4.46</v>
      </c>
      <c r="BJ74" s="552"/>
      <c r="BK74" s="70">
        <v>4.38</v>
      </c>
      <c r="BL74" s="552"/>
      <c r="BM74" s="70">
        <v>4.4838930215069404</v>
      </c>
      <c r="BN74" s="552"/>
      <c r="BO74" s="70">
        <f>BO77/BO79*BO10</f>
        <v>4.6925940187395714</v>
      </c>
      <c r="BP74" s="552"/>
      <c r="BQ74" s="70">
        <f>BQ77/BQ79*BQ10</f>
        <v>4.9194318833195343</v>
      </c>
      <c r="BR74" s="552"/>
      <c r="BS74" s="70">
        <f>BS77/BS79*BS10</f>
        <v>4.8565234026272162</v>
      </c>
      <c r="BT74" s="552"/>
      <c r="BU74" s="70">
        <f>BU77/BU79*BU10</f>
        <v>5.0021786492374734</v>
      </c>
      <c r="BV74" s="552"/>
      <c r="BW74" s="70">
        <f>BW77/BW79*BW10</f>
        <v>4.8864837967282453</v>
      </c>
      <c r="BX74" s="552"/>
      <c r="BY74" s="70">
        <f>BY77/BY79*BY10</f>
        <v>4.5140295941548478</v>
      </c>
      <c r="BZ74" s="552"/>
      <c r="CA74" s="70">
        <f>CA77/CA79*CA10</f>
        <v>4.5376291195277911</v>
      </c>
      <c r="CB74" s="552"/>
      <c r="CC74" s="70">
        <f>CC77/CC79*CC10</f>
        <v>4.6470846120122751</v>
      </c>
      <c r="CD74" s="552"/>
      <c r="CE74" s="70">
        <f>CE77/CE79*CE10</f>
        <v>4.735097185204447</v>
      </c>
      <c r="CF74" s="552"/>
      <c r="CG74" s="70">
        <f>CG77/CG79*CG10</f>
        <v>4.7002583979328163</v>
      </c>
      <c r="CH74" s="552"/>
      <c r="CI74" s="70">
        <f>CI77/CI79*CI10</f>
        <v>4.4213329951170017</v>
      </c>
      <c r="CJ74" s="552"/>
      <c r="CK74" s="70">
        <f>CK77/CK79*CK10</f>
        <v>4.3651389932381672</v>
      </c>
      <c r="CL74" s="552"/>
      <c r="CM74" s="70">
        <f>CM77/CM79*CM10</f>
        <v>4.6675000000000004</v>
      </c>
      <c r="CN74" s="552"/>
      <c r="CO74" s="70">
        <f>CO77/CO79*CO10</f>
        <v>4.6675000000000004</v>
      </c>
      <c r="CP74" s="552"/>
      <c r="CQ74" s="70">
        <f>CO74</f>
        <v>4.6675000000000004</v>
      </c>
      <c r="CR74" s="552"/>
      <c r="CS74" s="70">
        <v>4.8483046210758491</v>
      </c>
      <c r="CT74" s="552"/>
      <c r="CU74" s="70">
        <v>4.8483046210758491</v>
      </c>
      <c r="CV74" s="552"/>
      <c r="CW74" s="70">
        <f>CW76/CW79</f>
        <v>4.9086824889234233</v>
      </c>
      <c r="CX74" s="552"/>
      <c r="CY74" s="70">
        <f>CY76/CY79</f>
        <v>5.2580588214302191</v>
      </c>
      <c r="CZ74" s="552"/>
      <c r="DA74" s="70">
        <f>DA76/DA79</f>
        <v>5.0655260870212651</v>
      </c>
      <c r="DB74" s="552"/>
      <c r="DC74" s="70">
        <f>DC76/DC79</f>
        <v>4.5333333333333332</v>
      </c>
      <c r="DD74" s="552"/>
      <c r="DE74" s="70">
        <f>DE76/DE79</f>
        <v>5.0750327761335168</v>
      </c>
      <c r="DF74" s="552"/>
      <c r="DG74" s="70">
        <f>DG76/DG79</f>
        <v>4.8311688311688314</v>
      </c>
      <c r="DH74" s="552"/>
      <c r="DI74" s="70">
        <f>DI76/DI79</f>
        <v>4.9610389610389607</v>
      </c>
      <c r="DJ74" s="552"/>
      <c r="DK74" s="70">
        <f>DK76/DK79</f>
        <v>4.9610389610389607</v>
      </c>
      <c r="DL74" s="552"/>
      <c r="DM74" s="70">
        <f>DM76/DM79</f>
        <v>4.8701298701298699</v>
      </c>
      <c r="DN74" s="552"/>
      <c r="DO74" s="70">
        <f>DO76/DO79</f>
        <v>4.9610389610389607</v>
      </c>
      <c r="DP74" s="552"/>
      <c r="DQ74" s="70">
        <f>DQ76/DQ79</f>
        <v>4.8701298701298699</v>
      </c>
      <c r="DR74" s="552"/>
      <c r="DS74" s="70">
        <f>DS76/DS79</f>
        <v>4.6259740259740258</v>
      </c>
    </row>
    <row r="75" spans="1:123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0.11060946518261291</v>
      </c>
      <c r="H75" s="124"/>
      <c r="I75" s="125">
        <f>+I74/I10</f>
        <v>0.11535540089523635</v>
      </c>
      <c r="J75" s="124"/>
      <c r="K75" s="125">
        <f>+K74/K10</f>
        <v>0.11535540089523635</v>
      </c>
      <c r="L75" s="124"/>
      <c r="M75" s="125">
        <f>+M74/M10</f>
        <v>0.11535540089523635</v>
      </c>
      <c r="N75" s="124"/>
      <c r="O75" s="125">
        <f>+O74/O10</f>
        <v>0.11789547525332802</v>
      </c>
      <c r="P75" s="124"/>
      <c r="Q75" s="125">
        <f>+Q74/Q10</f>
        <v>0</v>
      </c>
      <c r="R75" s="124"/>
      <c r="S75" s="125">
        <f>+S74/S10</f>
        <v>0</v>
      </c>
      <c r="T75" s="124"/>
      <c r="U75" s="125">
        <f>+U74/U10</f>
        <v>0.124982671353455</v>
      </c>
      <c r="V75" s="124"/>
      <c r="W75" s="125">
        <f>+W74/W10</f>
        <v>0.12466533652899478</v>
      </c>
      <c r="X75" s="124"/>
      <c r="Y75" s="125">
        <f>+Y74/Y10</f>
        <v>0.13111008524939657</v>
      </c>
      <c r="Z75" s="124"/>
      <c r="AA75" s="125">
        <f>+AA74/AA10</f>
        <v>0.13381883246666182</v>
      </c>
      <c r="AB75" s="124"/>
      <c r="AC75" s="125">
        <f>+AC74/AC10</f>
        <v>0.1306449246515568</v>
      </c>
      <c r="AD75" s="124"/>
      <c r="AE75" s="125">
        <f>+AE74/AE10</f>
        <v>0.12771794085790103</v>
      </c>
      <c r="AF75" s="124"/>
      <c r="AG75" s="125">
        <f>+AG74/AG10</f>
        <v>0.13202566122390827</v>
      </c>
      <c r="AH75" s="124"/>
      <c r="AI75" s="125">
        <f>+AI74/AI10</f>
        <v>0.12237627125367449</v>
      </c>
      <c r="AJ75" s="124"/>
      <c r="AK75" s="125">
        <f>+AK74/AK10</f>
        <v>0.11611698774160709</v>
      </c>
      <c r="AL75" s="124"/>
      <c r="AM75" s="125">
        <f>+AM74/AM10</f>
        <v>0.11365855722894587</v>
      </c>
      <c r="AN75" s="124"/>
      <c r="AO75" s="125">
        <f>+AO74/AO10</f>
        <v>0.11100050019817317</v>
      </c>
      <c r="AP75" s="124"/>
      <c r="AQ75" s="125">
        <f>+AQ74/AQ10</f>
        <v>0.11493825766633041</v>
      </c>
      <c r="AR75" s="124"/>
      <c r="AS75" s="125">
        <f>+AS74/AS10</f>
        <v>0.11823332236781872</v>
      </c>
      <c r="AT75" s="124"/>
      <c r="AU75" s="125">
        <f>+AU74/AU10</f>
        <v>0.11649903026130808</v>
      </c>
      <c r="AV75" s="124"/>
      <c r="AW75" s="125">
        <f>+AW74/AW10</f>
        <v>0.12250000000000001</v>
      </c>
      <c r="AX75" s="124"/>
      <c r="AY75" s="125">
        <f>+AY74/AY10</f>
        <v>0.12350000000000001</v>
      </c>
      <c r="AZ75" s="124"/>
      <c r="BA75" s="125">
        <f>+BA74/BA10</f>
        <v>0.12356594022106644</v>
      </c>
      <c r="BB75" s="124"/>
      <c r="BC75" s="125">
        <f>+BC74/BC10</f>
        <v>0.11955014082560414</v>
      </c>
      <c r="BD75" s="124"/>
      <c r="BE75" s="125">
        <f>+BE74/BE10</f>
        <v>0.11617724667140457</v>
      </c>
      <c r="BF75" s="124"/>
      <c r="BG75" s="125">
        <f>+BG74/BG10</f>
        <v>0.11323377868520997</v>
      </c>
      <c r="BH75" s="124"/>
      <c r="BI75" s="125">
        <f>+BI74/BI10</f>
        <v>0.1115</v>
      </c>
      <c r="BJ75" s="124"/>
      <c r="BK75" s="125">
        <f>+BK74/BK10</f>
        <v>0.1095</v>
      </c>
      <c r="BL75" s="124"/>
      <c r="BM75" s="125">
        <f>+BM74/BM10</f>
        <v>0.11209732553767351</v>
      </c>
      <c r="BN75" s="124"/>
      <c r="BO75" s="125">
        <f>+BO74/BO10</f>
        <v>0.11731485046848929</v>
      </c>
      <c r="BP75" s="124"/>
      <c r="BQ75" s="125">
        <f>+BQ74/BQ10</f>
        <v>0.12298579708298836</v>
      </c>
      <c r="BR75" s="124"/>
      <c r="BS75" s="125">
        <f>+BS74/BS10</f>
        <v>0.12141308506568041</v>
      </c>
      <c r="BT75" s="124"/>
      <c r="BU75" s="125">
        <f>+BU74/BU10</f>
        <v>0.12505446623093683</v>
      </c>
      <c r="BV75" s="124"/>
      <c r="BW75" s="125">
        <f>+BW74/BW10</f>
        <v>0.12216209491820613</v>
      </c>
      <c r="BX75" s="124"/>
      <c r="BY75" s="125">
        <f>+BY74/BY10</f>
        <v>0.1128507398538712</v>
      </c>
      <c r="BZ75" s="124"/>
      <c r="CA75" s="125">
        <f>+CA74/CA10</f>
        <v>0.11344072798819478</v>
      </c>
      <c r="CB75" s="124"/>
      <c r="CC75" s="125">
        <f>+CC74/CC10</f>
        <v>0.11617711530030687</v>
      </c>
      <c r="CD75" s="124"/>
      <c r="CE75" s="125">
        <f>+CE74/CE10</f>
        <v>0.11837742963011118</v>
      </c>
      <c r="CF75" s="124"/>
      <c r="CG75" s="125">
        <f>+CG74/CG10</f>
        <v>0.1175064599483204</v>
      </c>
      <c r="CH75" s="124"/>
      <c r="CI75" s="125">
        <f>+CI74/CI10</f>
        <v>0.11053332487792504</v>
      </c>
      <c r="CJ75" s="124"/>
      <c r="CK75" s="125">
        <f>+CK74/CK10</f>
        <v>0.10912847483095418</v>
      </c>
      <c r="CL75" s="124"/>
      <c r="CM75" s="125">
        <f>+CM74/CM10</f>
        <v>0.11668750000000001</v>
      </c>
      <c r="CN75" s="124"/>
      <c r="CO75" s="125">
        <f>+CO74/CO10</f>
        <v>0.11668750000000001</v>
      </c>
      <c r="CP75" s="124"/>
      <c r="CQ75" s="125">
        <f>+CQ74/CQ10</f>
        <v>0.11668750000000001</v>
      </c>
      <c r="CR75" s="124"/>
      <c r="CS75" s="125">
        <f>+CS74/CS10</f>
        <v>0.12120761552689623</v>
      </c>
      <c r="CT75" s="124"/>
      <c r="CU75" s="125">
        <f>+CU74/CU10</f>
        <v>0.12120761552689623</v>
      </c>
      <c r="CV75" s="124"/>
      <c r="CW75" s="125">
        <f>+CW74/CW10</f>
        <v>0.12271706222308558</v>
      </c>
      <c r="CX75" s="124"/>
      <c r="CY75" s="125">
        <f>+CY74/CY10</f>
        <v>0.13145147053575548</v>
      </c>
      <c r="CZ75" s="124"/>
      <c r="DA75" s="125">
        <f>+DA74/DA10</f>
        <v>0.12663815217553162</v>
      </c>
      <c r="DB75" s="124"/>
      <c r="DC75" s="125">
        <f>+DC74/DC10</f>
        <v>0.11333333333333333</v>
      </c>
      <c r="DD75" s="124"/>
      <c r="DE75" s="125">
        <f>+DE74/DE10</f>
        <v>0.12687581940333792</v>
      </c>
      <c r="DF75" s="124"/>
      <c r="DG75" s="125">
        <f>+DG74/DG10</f>
        <v>0.12077922077922079</v>
      </c>
      <c r="DH75" s="124"/>
      <c r="DI75" s="125">
        <f>+DI74/DI10</f>
        <v>0.12402597402597401</v>
      </c>
      <c r="DJ75" s="124"/>
      <c r="DK75" s="125">
        <f>+DK74/DK10</f>
        <v>0.12402597402597401</v>
      </c>
      <c r="DL75" s="124"/>
      <c r="DM75" s="125">
        <f>+DM74/DM10</f>
        <v>0.12175324675324675</v>
      </c>
      <c r="DN75" s="124"/>
      <c r="DO75" s="125">
        <f>+DO74/DO10</f>
        <v>0.12402597402597401</v>
      </c>
      <c r="DP75" s="124"/>
      <c r="DQ75" s="125">
        <f>+DQ74/DQ10</f>
        <v>0.12175324675324675</v>
      </c>
      <c r="DR75" s="124"/>
      <c r="DS75" s="125">
        <f>+DS74/DS10</f>
        <v>0.11564935064935064</v>
      </c>
    </row>
    <row r="76" spans="1:123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90">
        <f>G74*G79</f>
        <v>62954.483203335971</v>
      </c>
      <c r="H76" s="127"/>
      <c r="I76" s="90">
        <f>I74*I79</f>
        <v>65655.679973532722</v>
      </c>
      <c r="J76" s="127"/>
      <c r="K76" s="90">
        <f t="shared" ref="K76" si="796">K74*K79</f>
        <v>65655.679973532722</v>
      </c>
      <c r="L76" s="127"/>
      <c r="M76" s="90">
        <f t="shared" ref="M76" si="797">M74*M79</f>
        <v>65655.679973532722</v>
      </c>
      <c r="N76" s="380"/>
      <c r="O76" s="374">
        <f>O77*O10</f>
        <v>67572.970596197483</v>
      </c>
      <c r="P76" s="380"/>
      <c r="Q76" s="374">
        <f>Q77*Q10</f>
        <v>68730.019013869052</v>
      </c>
      <c r="R76" s="380"/>
      <c r="S76" s="374">
        <f>S77*S10</f>
        <v>68730.019013869052</v>
      </c>
      <c r="T76" s="380"/>
      <c r="U76" s="374">
        <f>U77*U10</f>
        <v>71755.051277445586</v>
      </c>
      <c r="V76" s="380"/>
      <c r="W76" s="374">
        <f>W77*W10</f>
        <v>71542.943327259534</v>
      </c>
      <c r="X76" s="380"/>
      <c r="Y76" s="374">
        <f>Y77*Y10</f>
        <v>75346.343791123232</v>
      </c>
      <c r="Z76" s="380"/>
      <c r="AA76" s="374">
        <f>AA77*AA10</f>
        <v>78241.194966607829</v>
      </c>
      <c r="AB76" s="380"/>
      <c r="AC76" s="374">
        <f>AC77*AC10</f>
        <v>76678.119176491731</v>
      </c>
      <c r="AD76" s="380"/>
      <c r="AE76" s="374">
        <f>AE77*AE10</f>
        <v>76523.481444419973</v>
      </c>
      <c r="AF76" s="380"/>
      <c r="AG76" s="374">
        <f>AG77*AG10</f>
        <v>78439.085846348375</v>
      </c>
      <c r="AH76" s="380"/>
      <c r="AI76" s="374">
        <f>AI77*AI10</f>
        <v>73606.879633660137</v>
      </c>
      <c r="AJ76" s="380"/>
      <c r="AK76" s="374">
        <f>AK77*AK10</f>
        <v>71611.668680003917</v>
      </c>
      <c r="AL76" s="380"/>
      <c r="AM76" s="374">
        <f>AM77*AM10</f>
        <v>71127.525113874319</v>
      </c>
      <c r="AN76" s="380"/>
      <c r="AO76" s="374">
        <f>AO77*AO10</f>
        <v>69366.432583842383</v>
      </c>
      <c r="AP76" s="380"/>
      <c r="AQ76" s="374">
        <f>AQ77*AQ10</f>
        <v>70484.737131300455</v>
      </c>
      <c r="AR76" s="380"/>
      <c r="AS76" s="374">
        <f>AS77*AS10</f>
        <v>71370.362714110088</v>
      </c>
      <c r="AT76" s="380"/>
      <c r="AU76" s="374">
        <f>AU77*AU10</f>
        <v>71180.907489659236</v>
      </c>
      <c r="AV76" s="380"/>
      <c r="AW76" s="374">
        <f>AW77*AW10</f>
        <v>72799.3</v>
      </c>
      <c r="AX76" s="380"/>
      <c r="AY76" s="374">
        <f>AY77*AY10</f>
        <v>73018.14</v>
      </c>
      <c r="AZ76" s="380"/>
      <c r="BA76" s="374">
        <f>BA77*BA10</f>
        <v>73798.522137629727</v>
      </c>
      <c r="BB76" s="380"/>
      <c r="BC76" s="374">
        <f>BC77*BC10</f>
        <v>71844.852630555062</v>
      </c>
      <c r="BD76" s="380"/>
      <c r="BE76" s="374">
        <f>BE77*BE10</f>
        <v>70803.061211420805</v>
      </c>
      <c r="BF76" s="380"/>
      <c r="BG76" s="374">
        <f>BG77*BG10</f>
        <v>69457.599845507793</v>
      </c>
      <c r="BH76" s="380"/>
      <c r="BI76" s="374">
        <f>BI77*BI10</f>
        <v>70079.98</v>
      </c>
      <c r="BJ76" s="380"/>
      <c r="BK76" s="374">
        <f>BK77*BK10</f>
        <v>68717.819999999992</v>
      </c>
      <c r="BL76" s="380"/>
      <c r="BM76" s="374">
        <f>BM77*BM10</f>
        <v>69590.019693787719</v>
      </c>
      <c r="BN76" s="380"/>
      <c r="BO76" s="374">
        <f>BO77*BO10</f>
        <v>73120</v>
      </c>
      <c r="BP76" s="380"/>
      <c r="BQ76" s="374">
        <f>BQ77*BQ10</f>
        <v>77240</v>
      </c>
      <c r="BR76" s="380"/>
      <c r="BS76" s="374">
        <f>BS77*BS10</f>
        <v>76160</v>
      </c>
      <c r="BT76" s="380"/>
      <c r="BU76" s="374">
        <f>BU77*BU10</f>
        <v>80360</v>
      </c>
      <c r="BV76" s="380"/>
      <c r="BW76" s="374">
        <f>BW77*BW10</f>
        <v>78560</v>
      </c>
      <c r="BX76" s="380"/>
      <c r="BY76" s="374">
        <f>BY77*BY10</f>
        <v>73520</v>
      </c>
      <c r="BZ76" s="380"/>
      <c r="CA76" s="374">
        <f>CA77*CA10</f>
        <v>73800</v>
      </c>
      <c r="CB76" s="380"/>
      <c r="CC76" s="374">
        <f>CC77*CC10</f>
        <v>74200</v>
      </c>
      <c r="CD76" s="380"/>
      <c r="CE76" s="374">
        <f>CE77*CE10</f>
        <v>72840</v>
      </c>
      <c r="CF76" s="380"/>
      <c r="CG76" s="374">
        <f>CG77*CG10</f>
        <v>72760</v>
      </c>
      <c r="CH76" s="380"/>
      <c r="CI76" s="374">
        <f>CI77*CI10</f>
        <v>69720</v>
      </c>
      <c r="CJ76" s="380"/>
      <c r="CK76" s="374">
        <f>CK77*CK10</f>
        <v>69720</v>
      </c>
      <c r="CL76" s="380"/>
      <c r="CM76" s="374">
        <f>CM77*CM10</f>
        <v>74680</v>
      </c>
      <c r="CN76" s="380"/>
      <c r="CO76" s="374">
        <f>CO77*CO10</f>
        <v>74680</v>
      </c>
      <c r="CP76" s="380"/>
      <c r="CQ76" s="374">
        <f>CQ77*CQ10</f>
        <v>74680</v>
      </c>
      <c r="CR76" s="380"/>
      <c r="CS76" s="374">
        <f>CS77*CS10</f>
        <v>76031.113067711471</v>
      </c>
      <c r="CT76" s="380"/>
      <c r="CU76" s="374">
        <f>CU77*CU10</f>
        <v>76031.113067711471</v>
      </c>
      <c r="CV76" s="380"/>
      <c r="CW76" s="374">
        <f>CW77*CW10</f>
        <v>70407.475991464686</v>
      </c>
      <c r="CX76" s="380"/>
      <c r="CY76" s="374">
        <f>CY77*CY10</f>
        <v>76761.075341622098</v>
      </c>
      <c r="CZ76" s="380"/>
      <c r="DA76" s="374">
        <f>DA77*DA10</f>
        <v>75888.397360430812</v>
      </c>
      <c r="DB76" s="380"/>
      <c r="DC76" s="374">
        <f>DC77*DC10</f>
        <v>68000</v>
      </c>
      <c r="DD76" s="380"/>
      <c r="DE76" s="374">
        <f>DE77*DE10</f>
        <v>73404.700739190434</v>
      </c>
      <c r="DF76" s="380"/>
      <c r="DG76" s="374">
        <f>DG77*DG10</f>
        <v>74400</v>
      </c>
      <c r="DH76" s="380"/>
      <c r="DI76" s="374">
        <f>DI77*DI10</f>
        <v>76400</v>
      </c>
      <c r="DJ76" s="380"/>
      <c r="DK76" s="374">
        <f>DK77*DK10</f>
        <v>76400</v>
      </c>
      <c r="DL76" s="380"/>
      <c r="DM76" s="374">
        <f>DM77*DM10</f>
        <v>75000</v>
      </c>
      <c r="DN76" s="380"/>
      <c r="DO76" s="374">
        <f>DO77*DO10</f>
        <v>76400</v>
      </c>
      <c r="DP76" s="380"/>
      <c r="DQ76" s="374">
        <f>DQ77*DQ10</f>
        <v>75000</v>
      </c>
      <c r="DR76" s="380"/>
      <c r="DS76" s="374">
        <f>DS77*DS10</f>
        <v>71240</v>
      </c>
    </row>
    <row r="77" spans="1:123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G76/G10</f>
        <v>1573.8620800833992</v>
      </c>
      <c r="H77" s="127"/>
      <c r="I77" s="90">
        <f>I76/I10</f>
        <v>1641.3919993383181</v>
      </c>
      <c r="J77" s="127"/>
      <c r="K77" s="90">
        <f>K76/K10</f>
        <v>1641.3919993383181</v>
      </c>
      <c r="L77" s="127"/>
      <c r="M77" s="90">
        <f>M76/M10</f>
        <v>1641.3919993383181</v>
      </c>
      <c r="N77" s="380"/>
      <c r="O77" s="622">
        <f>O74*O79/O10</f>
        <v>1689.3242649049371</v>
      </c>
      <c r="P77" s="380"/>
      <c r="Q77" s="622">
        <v>1718.2504753467265</v>
      </c>
      <c r="R77" s="380"/>
      <c r="S77" s="622">
        <v>1718.2504753467265</v>
      </c>
      <c r="T77" s="380"/>
      <c r="U77" s="622">
        <f>U74*U79/U10</f>
        <v>1793.8762819361395</v>
      </c>
      <c r="V77" s="380"/>
      <c r="W77" s="622">
        <f>W74*W79/W10</f>
        <v>1788.5735831814884</v>
      </c>
      <c r="X77" s="380"/>
      <c r="Y77" s="622">
        <f>Y74*Y79/Y10</f>
        <v>1883.6585947780809</v>
      </c>
      <c r="Z77" s="380"/>
      <c r="AA77" s="622">
        <f>AA74*AA79/AA10</f>
        <v>1956.0298741651957</v>
      </c>
      <c r="AB77" s="380"/>
      <c r="AC77" s="622">
        <f>AC74*AC79/AC10</f>
        <v>1916.9529794122932</v>
      </c>
      <c r="AD77" s="380"/>
      <c r="AE77" s="622">
        <f>AE74*AE79/AE10</f>
        <v>1913.0870361104994</v>
      </c>
      <c r="AF77" s="380"/>
      <c r="AG77" s="622">
        <f>AG74*AG79/AG10</f>
        <v>1960.9771461587093</v>
      </c>
      <c r="AH77" s="380"/>
      <c r="AI77" s="622">
        <f>AI74*AI79/AI10</f>
        <v>1840.1719908415034</v>
      </c>
      <c r="AJ77" s="380"/>
      <c r="AK77" s="622">
        <f>AK74*AK79/AK10</f>
        <v>1790.2917170000978</v>
      </c>
      <c r="AL77" s="380"/>
      <c r="AM77" s="622">
        <f>AM74*AM79/AM10</f>
        <v>1778.1881278468579</v>
      </c>
      <c r="AN77" s="380"/>
      <c r="AO77" s="622">
        <f>AO74*AO79/AO10</f>
        <v>1734.1608145960595</v>
      </c>
      <c r="AP77" s="380"/>
      <c r="AQ77" s="622">
        <f>AQ74*AQ79/AQ10</f>
        <v>1762.1184282825113</v>
      </c>
      <c r="AR77" s="380"/>
      <c r="AS77" s="622">
        <f>AS74*AS79/AS10</f>
        <v>1784.2590678527522</v>
      </c>
      <c r="AT77" s="380"/>
      <c r="AU77" s="622">
        <f>AU74*AU79/AU10</f>
        <v>1779.522687241481</v>
      </c>
      <c r="AV77" s="380"/>
      <c r="AW77" s="622">
        <f>AW74*AW79/AW10</f>
        <v>1819.9825000000001</v>
      </c>
      <c r="AX77" s="380"/>
      <c r="AY77" s="622">
        <f>AY74*AY79/AY10</f>
        <v>1825.4535000000001</v>
      </c>
      <c r="AZ77" s="380"/>
      <c r="BA77" s="622">
        <f>BA74*BA79/BA10</f>
        <v>1844.9630534407431</v>
      </c>
      <c r="BB77" s="380"/>
      <c r="BC77" s="622">
        <f>BC74*BC79/BC10</f>
        <v>1796.1213157638765</v>
      </c>
      <c r="BD77" s="380"/>
      <c r="BE77" s="622">
        <f>BE74*BE79/BE10</f>
        <v>1770.0765302855202</v>
      </c>
      <c r="BF77" s="380"/>
      <c r="BG77" s="622">
        <f>BG74*BG79/BG10</f>
        <v>1736.4399961376948</v>
      </c>
      <c r="BH77" s="380"/>
      <c r="BI77" s="622">
        <f>BI74*BI79/BI10</f>
        <v>1751.9994999999999</v>
      </c>
      <c r="BJ77" s="380"/>
      <c r="BK77" s="622">
        <f>BK74*BK79/BK10</f>
        <v>1717.9454999999998</v>
      </c>
      <c r="BL77" s="380"/>
      <c r="BM77" s="622">
        <f>BM74*BM79/BM10</f>
        <v>1739.7504923446929</v>
      </c>
      <c r="BN77" s="380"/>
      <c r="BO77" s="622">
        <v>1828</v>
      </c>
      <c r="BP77" s="380"/>
      <c r="BQ77" s="622">
        <v>1931</v>
      </c>
      <c r="BR77" s="380"/>
      <c r="BS77" s="622">
        <v>1904</v>
      </c>
      <c r="BT77" s="380"/>
      <c r="BU77" s="622">
        <v>2009</v>
      </c>
      <c r="BV77" s="380"/>
      <c r="BW77" s="622">
        <v>1964</v>
      </c>
      <c r="BX77" s="380"/>
      <c r="BY77" s="622">
        <v>1838</v>
      </c>
      <c r="BZ77" s="380"/>
      <c r="CA77" s="622">
        <v>1845</v>
      </c>
      <c r="CB77" s="380"/>
      <c r="CC77" s="622">
        <v>1855</v>
      </c>
      <c r="CD77" s="380"/>
      <c r="CE77" s="622">
        <v>1821</v>
      </c>
      <c r="CF77" s="380"/>
      <c r="CG77" s="622">
        <v>1819</v>
      </c>
      <c r="CH77" s="380"/>
      <c r="CI77" s="622">
        <v>1743</v>
      </c>
      <c r="CJ77" s="380"/>
      <c r="CK77" s="622">
        <v>1743</v>
      </c>
      <c r="CL77" s="380"/>
      <c r="CM77" s="622">
        <v>1867</v>
      </c>
      <c r="CN77" s="380"/>
      <c r="CO77" s="622">
        <v>1867</v>
      </c>
      <c r="CP77" s="380"/>
      <c r="CQ77" s="622">
        <f>CO77</f>
        <v>1867</v>
      </c>
      <c r="CR77" s="380"/>
      <c r="CS77" s="622">
        <f>CS74*CS79/CS10</f>
        <v>1900.7778266927867</v>
      </c>
      <c r="CT77" s="380"/>
      <c r="CU77" s="622">
        <f>CU74*CU79/CU10</f>
        <v>1900.7778266927867</v>
      </c>
      <c r="CV77" s="380"/>
      <c r="CW77" s="622">
        <f>(SUMPRODUCT(U77,U$131)+SUMPRODUCT(W77,W$131)+SUMPRODUCT(O77,O$131))/SUM(O$131,U$131,W$131)</f>
        <v>1760.1868997866172</v>
      </c>
      <c r="CX77" s="380"/>
      <c r="CY77" s="622">
        <f>(SUMPRODUCT(AA77,AA$131)+SUMPRODUCT(AC77,AC$131)+SUMPRODUCT(Y77,Y$131))/SUM(Y$131,AA$131,AC$131)</f>
        <v>1919.0268835405525</v>
      </c>
      <c r="CZ77" s="380"/>
      <c r="DA77" s="622">
        <f>(SUMPRODUCT(AG77,AG$131)+SUMPRODUCT(AE77,AE$131)+SUMPRODUCT(AI77,AI$131))/SUM(AI$131,AG$131,AE$131)</f>
        <v>1897.2099340107702</v>
      </c>
      <c r="DB77" s="380"/>
      <c r="DC77" s="622">
        <v>1700</v>
      </c>
      <c r="DD77" s="380"/>
      <c r="DE77" s="622">
        <f>(SUMPRODUCT(O77,O$131)+SUMPRODUCT(U77,U$131)+SUMPRODUCT(W77,W$131)+SUMPRODUCT(Y77,Y$131)+SUMPRODUCT(AA77,AA$131)+SUMPRODUCT(AC77,AC$131))/SUM(U$131,O$131,W$131,Y$131,AA$131,AC$131)</f>
        <v>1835.117518479761</v>
      </c>
      <c r="DF77" s="380"/>
      <c r="DG77" s="622">
        <v>1860</v>
      </c>
      <c r="DH77" s="380"/>
      <c r="DI77" s="622">
        <v>1910</v>
      </c>
      <c r="DJ77" s="380"/>
      <c r="DK77" s="622">
        <v>1910</v>
      </c>
      <c r="DL77" s="380"/>
      <c r="DM77" s="622">
        <v>1875</v>
      </c>
      <c r="DN77" s="380"/>
      <c r="DO77" s="622">
        <v>1910</v>
      </c>
      <c r="DP77" s="380"/>
      <c r="DQ77" s="622">
        <v>1875</v>
      </c>
      <c r="DR77" s="380"/>
      <c r="DS77" s="622">
        <v>1781</v>
      </c>
    </row>
    <row r="78" spans="1:123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380"/>
      <c r="O78" s="374"/>
      <c r="P78" s="380"/>
      <c r="Q78" s="374"/>
      <c r="R78" s="380"/>
      <c r="S78" s="374"/>
      <c r="T78" s="380"/>
      <c r="U78" s="374"/>
      <c r="V78" s="380"/>
      <c r="W78" s="374"/>
      <c r="X78" s="380"/>
      <c r="Y78" s="374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>
        <f>AK74/AK67</f>
        <v>0.81342898593069757</v>
      </c>
      <c r="AL78" s="380"/>
      <c r="AM78" s="374">
        <f>AM74/AM67</f>
        <v>0.79620705589454199</v>
      </c>
      <c r="AN78" s="380"/>
      <c r="AO78" s="374">
        <f>AO74/AO67</f>
        <v>0.77758669140576664</v>
      </c>
      <c r="AP78" s="380"/>
      <c r="AQ78" s="374">
        <f t="shared" ref="AQ78" si="798">AQ74/AQ67</f>
        <v>0.80517168242613246</v>
      </c>
      <c r="AR78" s="380"/>
      <c r="AS78" s="374">
        <f t="shared" ref="AS78" si="799">AS74/AS67</f>
        <v>0.82825444741028875</v>
      </c>
      <c r="AT78" s="380"/>
      <c r="AU78" s="374">
        <f t="shared" ref="AU78" si="800">AU74/AU67</f>
        <v>0.81610529079725447</v>
      </c>
      <c r="AV78" s="380"/>
      <c r="AW78" s="374">
        <f t="shared" ref="AW78" si="801">AW74/AW67</f>
        <v>0.85814360770577935</v>
      </c>
      <c r="AX78" s="380"/>
      <c r="AY78" s="374">
        <f t="shared" ref="AY78" si="802">AY74/AY67</f>
        <v>0.86514886164623472</v>
      </c>
      <c r="AZ78" s="380"/>
      <c r="BA78" s="374">
        <f t="shared" ref="BA78:BC78" si="803">BA74/BA67</f>
        <v>0.86561078963969484</v>
      </c>
      <c r="BB78" s="380"/>
      <c r="BC78" s="374">
        <f t="shared" si="803"/>
        <v>0.8374790951005544</v>
      </c>
      <c r="BD78" s="380"/>
      <c r="BE78" s="374">
        <f t="shared" ref="BE78:BI78" si="804">BE74/BE67</f>
        <v>0.81385111503610907</v>
      </c>
      <c r="BF78" s="380"/>
      <c r="BG78" s="374">
        <f t="shared" si="804"/>
        <v>0.79323137432721513</v>
      </c>
      <c r="BH78" s="380"/>
      <c r="BI78" s="374">
        <f t="shared" si="804"/>
        <v>0.78108581436077062</v>
      </c>
      <c r="BJ78" s="380"/>
      <c r="BK78" s="374">
        <f t="shared" ref="BK78:BM78" si="805">BK74/BK67</f>
        <v>0.75</v>
      </c>
      <c r="BL78" s="380"/>
      <c r="BM78" s="374">
        <f t="shared" si="805"/>
        <v>0.76778990094296928</v>
      </c>
      <c r="BN78" s="380"/>
      <c r="BO78" s="374">
        <f t="shared" ref="BO78:BQ78" si="806">BO74/BO67</f>
        <v>0.80352637307184438</v>
      </c>
      <c r="BP78" s="380"/>
      <c r="BQ78" s="374">
        <f t="shared" si="806"/>
        <v>0.84236847317115315</v>
      </c>
      <c r="BR78" s="380"/>
      <c r="BS78" s="374">
        <f t="shared" ref="BS78:CS78" si="807">BS74/BS67</f>
        <v>0.83159647305260553</v>
      </c>
      <c r="BT78" s="380"/>
      <c r="BU78" s="374">
        <f t="shared" ref="BU78:BW78" si="808">BU74/BU67</f>
        <v>0.85653743993792353</v>
      </c>
      <c r="BV78" s="380"/>
      <c r="BW78" s="374">
        <f t="shared" si="808"/>
        <v>0.83672667752195984</v>
      </c>
      <c r="BX78" s="380"/>
      <c r="BY78" s="374">
        <f t="shared" ref="BY78:CA78" si="809">BY74/BY67</f>
        <v>0.77295027297172059</v>
      </c>
      <c r="BZ78" s="380"/>
      <c r="CA78" s="374">
        <f t="shared" si="809"/>
        <v>0.77699128759037517</v>
      </c>
      <c r="CB78" s="380"/>
      <c r="CC78" s="374">
        <f t="shared" ref="CC78:CE78" si="810">CC74/CC67</f>
        <v>0.79573366644045807</v>
      </c>
      <c r="CD78" s="380"/>
      <c r="CE78" s="374">
        <f t="shared" si="810"/>
        <v>0.81080431253500806</v>
      </c>
      <c r="CF78" s="380"/>
      <c r="CG78" s="374">
        <f t="shared" ref="CG78:CI78" si="811">CG74/CG67</f>
        <v>0.80483876676931787</v>
      </c>
      <c r="CH78" s="380"/>
      <c r="CI78" s="374">
        <f t="shared" si="811"/>
        <v>0.75707756765702083</v>
      </c>
      <c r="CJ78" s="380"/>
      <c r="CK78" s="374">
        <f t="shared" ref="CK78:CM78" si="812">CK74/CK67</f>
        <v>0.74745530706133001</v>
      </c>
      <c r="CL78" s="380"/>
      <c r="CM78" s="374">
        <f t="shared" si="812"/>
        <v>0.79922945205479456</v>
      </c>
      <c r="CN78" s="380"/>
      <c r="CO78" s="374">
        <f t="shared" ref="CO78:CQ78" si="813">CO74/CO67</f>
        <v>0.79922945205479456</v>
      </c>
      <c r="CP78" s="380"/>
      <c r="CQ78" s="374">
        <f t="shared" si="813"/>
        <v>0.79922945205479456</v>
      </c>
      <c r="CR78" s="380"/>
      <c r="CS78" s="374">
        <f t="shared" si="807"/>
        <v>0.83018914744449479</v>
      </c>
      <c r="CT78" s="380"/>
      <c r="CU78" s="374">
        <f t="shared" ref="CU78" si="814">CU74/CU67</f>
        <v>0.83018914744449479</v>
      </c>
      <c r="CV78" s="380"/>
      <c r="CW78" s="374"/>
      <c r="CX78" s="380"/>
      <c r="CY78" s="374"/>
      <c r="CZ78" s="380"/>
      <c r="DA78" s="374"/>
      <c r="DB78" s="380"/>
      <c r="DC78" s="374"/>
      <c r="DD78" s="380"/>
      <c r="DE78" s="374"/>
      <c r="DF78" s="380"/>
      <c r="DG78" s="374"/>
      <c r="DH78" s="380"/>
      <c r="DI78" s="374"/>
      <c r="DJ78" s="380"/>
      <c r="DK78" s="374"/>
      <c r="DL78" s="380"/>
      <c r="DM78" s="374"/>
      <c r="DN78" s="380"/>
      <c r="DO78" s="374"/>
      <c r="DP78" s="380"/>
      <c r="DQ78" s="374"/>
      <c r="DR78" s="380"/>
      <c r="DS78" s="374"/>
    </row>
    <row r="79" spans="1:123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v>14229</v>
      </c>
      <c r="H79" s="42"/>
      <c r="I79" s="88">
        <v>14229</v>
      </c>
      <c r="J79" s="42"/>
      <c r="K79" s="88">
        <v>14229</v>
      </c>
      <c r="L79" s="42"/>
      <c r="M79" s="88">
        <v>14229</v>
      </c>
      <c r="N79" s="359"/>
      <c r="O79" s="372">
        <v>14329</v>
      </c>
      <c r="P79" s="359"/>
      <c r="Q79" s="372">
        <v>14200</v>
      </c>
      <c r="R79" s="359"/>
      <c r="S79" s="372">
        <v>14200</v>
      </c>
      <c r="T79" s="359"/>
      <c r="U79" s="372">
        <v>14353</v>
      </c>
      <c r="V79" s="359"/>
      <c r="W79" s="372">
        <v>14347</v>
      </c>
      <c r="X79" s="359"/>
      <c r="Y79" s="372">
        <v>14367</v>
      </c>
      <c r="Z79" s="359"/>
      <c r="AA79" s="372">
        <v>14617</v>
      </c>
      <c r="AB79" s="359"/>
      <c r="AC79" s="372">
        <v>14673</v>
      </c>
      <c r="AD79" s="359"/>
      <c r="AE79" s="372">
        <v>14979</v>
      </c>
      <c r="AF79" s="359"/>
      <c r="AG79" s="372">
        <v>14853</v>
      </c>
      <c r="AH79" s="359"/>
      <c r="AI79" s="372">
        <v>15037</v>
      </c>
      <c r="AJ79" s="359"/>
      <c r="AK79" s="372">
        <v>15418</v>
      </c>
      <c r="AL79" s="359"/>
      <c r="AM79" s="372">
        <f>'Pricing Structure - GSS'!AM79</f>
        <v>15645</v>
      </c>
      <c r="AN79" s="359"/>
      <c r="AO79" s="372">
        <f>'Pricing Structure - GSS'!AO79</f>
        <v>15623</v>
      </c>
      <c r="AP79" s="359"/>
      <c r="AQ79" s="372">
        <f>'Pricing Structure - GSS'!AQ79</f>
        <v>15331</v>
      </c>
      <c r="AR79" s="359"/>
      <c r="AS79" s="372">
        <f>'Pricing Structure - GSS'!AS79</f>
        <v>15091</v>
      </c>
      <c r="AT79" s="359"/>
      <c r="AU79" s="372">
        <f>'Pricing Structure - GSS'!AU79</f>
        <v>15275</v>
      </c>
      <c r="AV79" s="359"/>
      <c r="AW79" s="372">
        <f>'Pricing Structure - GSS'!AW79</f>
        <v>14857</v>
      </c>
      <c r="AX79" s="359"/>
      <c r="AY79" s="372">
        <f>'Pricing Structure - GSS'!AY79</f>
        <v>14781</v>
      </c>
      <c r="AZ79" s="359"/>
      <c r="BA79" s="372">
        <f>'Pricing Structure - GSS'!BA79</f>
        <v>14931</v>
      </c>
      <c r="BB79" s="359"/>
      <c r="BC79" s="372">
        <f>'Pricing Structure - GSS'!BC79</f>
        <v>15024</v>
      </c>
      <c r="BD79" s="359"/>
      <c r="BE79" s="372">
        <f>'Pricing Structure - GSS'!BE79</f>
        <v>15236</v>
      </c>
      <c r="BF79" s="359"/>
      <c r="BG79" s="372">
        <v>15335</v>
      </c>
      <c r="BH79" s="359"/>
      <c r="BI79" s="372">
        <v>15713</v>
      </c>
      <c r="BJ79" s="359"/>
      <c r="BK79" s="372">
        <v>15689</v>
      </c>
      <c r="BL79" s="359"/>
      <c r="BM79" s="372">
        <v>15520</v>
      </c>
      <c r="BN79" s="359"/>
      <c r="BO79" s="372">
        <v>15582</v>
      </c>
      <c r="BP79" s="359"/>
      <c r="BQ79" s="372">
        <v>15701</v>
      </c>
      <c r="BR79" s="359"/>
      <c r="BS79" s="372">
        <v>15682</v>
      </c>
      <c r="BT79" s="359"/>
      <c r="BU79" s="372">
        <v>16065</v>
      </c>
      <c r="BV79" s="359"/>
      <c r="BW79" s="372">
        <v>16077</v>
      </c>
      <c r="BX79" s="359"/>
      <c r="BY79" s="372">
        <v>16287</v>
      </c>
      <c r="BZ79" s="359"/>
      <c r="CA79" s="372">
        <v>16264</v>
      </c>
      <c r="CB79" s="359"/>
      <c r="CC79" s="372">
        <v>15967</v>
      </c>
      <c r="CD79" s="359"/>
      <c r="CE79" s="372">
        <v>15383</v>
      </c>
      <c r="CF79" s="359"/>
      <c r="CG79" s="372">
        <v>15480</v>
      </c>
      <c r="CH79" s="359"/>
      <c r="CI79" s="372">
        <v>15769</v>
      </c>
      <c r="CJ79" s="359"/>
      <c r="CK79" s="372">
        <v>15972</v>
      </c>
      <c r="CL79" s="359"/>
      <c r="CM79" s="372">
        <v>16000</v>
      </c>
      <c r="CN79" s="359"/>
      <c r="CO79" s="372">
        <v>16000</v>
      </c>
      <c r="CP79" s="359"/>
      <c r="CQ79" s="372">
        <f>CO79</f>
        <v>16000</v>
      </c>
      <c r="CR79" s="359"/>
      <c r="CS79" s="372">
        <v>15682</v>
      </c>
      <c r="CT79" s="359"/>
      <c r="CU79" s="372">
        <v>15682</v>
      </c>
      <c r="CV79" s="359"/>
      <c r="CW79" s="372">
        <f>(SUMPRODUCT(U79,U$131)+SUMPRODUCT(W79,W$131)+SUMPRODUCT(O79,O$131))/SUM(O$131,U$131,W$131)</f>
        <v>14343.456956187549</v>
      </c>
      <c r="CX79" s="359"/>
      <c r="CY79" s="372">
        <f>(SUMPRODUCT(AA79,AA$131)+SUMPRODUCT(AC79,AC$131)+SUMPRODUCT(Y79,Y$131))/SUM(Y$131,AA$131,AC$131)</f>
        <v>14598.747931226584</v>
      </c>
      <c r="CZ79" s="359"/>
      <c r="DA79" s="372">
        <f>(SUMPRODUCT(AG79,AG$131)+SUMPRODUCT(AE79,AE$131)+SUMPRODUCT(AI79,AI$131))/SUM(AI$131,AG$131,AE$131)</f>
        <v>14981.345679942253</v>
      </c>
      <c r="DB79" s="359"/>
      <c r="DC79" s="372">
        <v>15000</v>
      </c>
      <c r="DD79" s="359"/>
      <c r="DE79" s="372">
        <f>(SUMPRODUCT(O79,O$131)+SUMPRODUCT(U79,U$131)+SUMPRODUCT(W79,W$131)+SUMPRODUCT(Y79,Y$131)+SUMPRODUCT(AA79,AA$131)+SUMPRODUCT(AC79,AC$131))/SUM(U$131,O$131,W$131,Y$131,AA$131,AC$131)</f>
        <v>14463.887028354291</v>
      </c>
      <c r="DF79" s="359"/>
      <c r="DG79" s="372">
        <v>15400</v>
      </c>
      <c r="DH79" s="359"/>
      <c r="DI79" s="372">
        <v>15400</v>
      </c>
      <c r="DJ79" s="359"/>
      <c r="DK79" s="372">
        <v>15400</v>
      </c>
      <c r="DL79" s="359"/>
      <c r="DM79" s="372">
        <v>15400</v>
      </c>
      <c r="DN79" s="359"/>
      <c r="DO79" s="372">
        <v>15400</v>
      </c>
      <c r="DP79" s="359"/>
      <c r="DQ79" s="372">
        <v>15400</v>
      </c>
      <c r="DR79" s="359"/>
      <c r="DS79" s="372">
        <v>15400</v>
      </c>
    </row>
    <row r="80" spans="1:123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368">
        <f>+G67-G74</f>
        <v>0.97280449128703239</v>
      </c>
      <c r="H80" s="50"/>
      <c r="I80" s="72">
        <f>+I67-I74</f>
        <v>0.6618403022187147</v>
      </c>
      <c r="J80" s="50"/>
      <c r="K80" s="72">
        <f t="shared" ref="K80" si="815">+K67-K74</f>
        <v>0.6618403022187147</v>
      </c>
      <c r="L80" s="50"/>
      <c r="M80" s="72">
        <f t="shared" ref="M80" si="816">+M67-M74</f>
        <v>0.6618403022187147</v>
      </c>
      <c r="N80" s="363"/>
      <c r="O80" s="368">
        <f>+O67-O74</f>
        <v>0.9619150841387043</v>
      </c>
      <c r="P80" s="363"/>
      <c r="Q80" s="368">
        <f>+Q67-Q74</f>
        <v>5.71</v>
      </c>
      <c r="R80" s="363"/>
      <c r="S80" s="368">
        <f>+S67-S74</f>
        <v>5.71</v>
      </c>
      <c r="T80" s="363"/>
      <c r="U80" s="368">
        <f>+U67-U74</f>
        <v>0.71069314586179999</v>
      </c>
      <c r="V80" s="363"/>
      <c r="W80" s="368">
        <f>+W67-W74</f>
        <v>0.72338653884020854</v>
      </c>
      <c r="X80" s="363"/>
      <c r="Y80" s="368">
        <f>+Y67-Y74</f>
        <v>0.46559659002413678</v>
      </c>
      <c r="Z80" s="363"/>
      <c r="AA80" s="368">
        <f>+AA67-AA74</f>
        <v>0.35724670133352721</v>
      </c>
      <c r="AB80" s="363"/>
      <c r="AC80" s="368">
        <f>+AC67-AC74</f>
        <v>0.48420301393772736</v>
      </c>
      <c r="AD80" s="363"/>
      <c r="AE80" s="368">
        <f>+AE67-AE74</f>
        <v>0.60128236568395899</v>
      </c>
      <c r="AF80" s="363"/>
      <c r="AG80" s="368">
        <f>+AG67-AG74</f>
        <v>0.42897355104366941</v>
      </c>
      <c r="AH80" s="363"/>
      <c r="AI80" s="368">
        <f>+AI67-AI74</f>
        <v>0.81494914985302014</v>
      </c>
      <c r="AJ80" s="363"/>
      <c r="AK80" s="368">
        <f>+AK67-AK74</f>
        <v>1.0653204903357167</v>
      </c>
      <c r="AL80" s="363"/>
      <c r="AM80" s="368">
        <f>+AM67-AM74</f>
        <v>1.1636577108421653</v>
      </c>
      <c r="AN80" s="363"/>
      <c r="AO80" s="368">
        <f>+AO67-AO74</f>
        <v>1.2699799920730728</v>
      </c>
      <c r="AP80" s="363"/>
      <c r="AQ80" s="368">
        <f t="shared" ref="AQ80" si="817">+AQ67-AQ74</f>
        <v>1.1124696933467835</v>
      </c>
      <c r="AR80" s="363"/>
      <c r="AS80" s="368">
        <f t="shared" ref="AS80" si="818">+AS67-AS74</f>
        <v>0.98066710528725132</v>
      </c>
      <c r="AT80" s="363"/>
      <c r="AU80" s="368">
        <f t="shared" ref="AU80" si="819">+AU67-AU74</f>
        <v>1.0500387895476768</v>
      </c>
      <c r="AV80" s="363"/>
      <c r="AW80" s="368">
        <f t="shared" ref="AW80" si="820">+AW67-AW74</f>
        <v>0.80999999999999961</v>
      </c>
      <c r="AX80" s="363"/>
      <c r="AY80" s="368">
        <f t="shared" ref="AY80" si="821">+AY67-AY74</f>
        <v>0.76999999999999957</v>
      </c>
      <c r="AZ80" s="363"/>
      <c r="BA80" s="368">
        <f t="shared" ref="BA80:BC80" si="822">+BA67-BA74</f>
        <v>0.76736239115734239</v>
      </c>
      <c r="BB80" s="363"/>
      <c r="BC80" s="368">
        <f t="shared" si="822"/>
        <v>0.92799436697583459</v>
      </c>
      <c r="BD80" s="363"/>
      <c r="BE80" s="368">
        <f t="shared" ref="BE80:BI80" si="823">+BE67-BE74</f>
        <v>1.0629101331438173</v>
      </c>
      <c r="BF80" s="363"/>
      <c r="BG80" s="368">
        <f t="shared" si="823"/>
        <v>1.1806488525916015</v>
      </c>
      <c r="BH80" s="363"/>
      <c r="BI80" s="368">
        <f t="shared" si="823"/>
        <v>1.25</v>
      </c>
      <c r="BJ80" s="363"/>
      <c r="BK80" s="368">
        <f t="shared" ref="BK80:BM80" si="824">+BK67-BK74</f>
        <v>1.46</v>
      </c>
      <c r="BL80" s="363"/>
      <c r="BM80" s="368">
        <f t="shared" si="824"/>
        <v>1.3561069784930595</v>
      </c>
      <c r="BN80" s="363"/>
      <c r="BO80" s="368">
        <f t="shared" ref="BO80:BQ80" si="825">+BO67-BO74</f>
        <v>1.1474059812604285</v>
      </c>
      <c r="BP80" s="363"/>
      <c r="BQ80" s="368">
        <f t="shared" si="825"/>
        <v>0.92056811668046556</v>
      </c>
      <c r="BR80" s="363"/>
      <c r="BS80" s="368">
        <f t="shared" ref="BS80:CS80" si="826">+BS67-BS74</f>
        <v>0.9834765973727837</v>
      </c>
      <c r="BT80" s="363"/>
      <c r="BU80" s="368">
        <f t="shared" ref="BU80:BW80" si="827">+BU67-BU74</f>
        <v>0.83782135076252651</v>
      </c>
      <c r="BV80" s="363"/>
      <c r="BW80" s="368">
        <f t="shared" si="827"/>
        <v>0.95351620327175457</v>
      </c>
      <c r="BX80" s="363"/>
      <c r="BY80" s="368">
        <f t="shared" ref="BY80:CA80" si="828">+BY67-BY74</f>
        <v>1.325970405845152</v>
      </c>
      <c r="BZ80" s="363"/>
      <c r="CA80" s="368">
        <f t="shared" si="828"/>
        <v>1.3023708804722087</v>
      </c>
      <c r="CB80" s="363"/>
      <c r="CC80" s="368">
        <f t="shared" ref="CC80:CE80" si="829">+CC67-CC74</f>
        <v>1.1929153879877248</v>
      </c>
      <c r="CD80" s="363"/>
      <c r="CE80" s="368">
        <f t="shared" si="829"/>
        <v>1.1049028147955529</v>
      </c>
      <c r="CF80" s="363"/>
      <c r="CG80" s="368">
        <f t="shared" ref="CG80:CI80" si="830">+CG67-CG74</f>
        <v>1.1397416020671836</v>
      </c>
      <c r="CH80" s="363"/>
      <c r="CI80" s="368">
        <f t="shared" si="830"/>
        <v>1.4186670048829981</v>
      </c>
      <c r="CJ80" s="363"/>
      <c r="CK80" s="368">
        <f t="shared" ref="CK80:CM80" si="831">+CK67-CK74</f>
        <v>1.4748610067618326</v>
      </c>
      <c r="CL80" s="363"/>
      <c r="CM80" s="368">
        <f t="shared" si="831"/>
        <v>1.1724999999999994</v>
      </c>
      <c r="CN80" s="363"/>
      <c r="CO80" s="368">
        <f t="shared" ref="CO80:CQ80" si="832">+CO67-CO74</f>
        <v>1.1724999999999994</v>
      </c>
      <c r="CP80" s="363"/>
      <c r="CQ80" s="368">
        <f t="shared" si="832"/>
        <v>1.1724999999999994</v>
      </c>
      <c r="CR80" s="363"/>
      <c r="CS80" s="368">
        <f t="shared" si="826"/>
        <v>0.99169537892415072</v>
      </c>
      <c r="CT80" s="363"/>
      <c r="CU80" s="368">
        <f t="shared" ref="CU80" si="833">+CU67-CU74</f>
        <v>0.99169537892415072</v>
      </c>
      <c r="CV80" s="363"/>
      <c r="CW80" s="368">
        <f>+CW67-CW74</f>
        <v>0.79153977600099346</v>
      </c>
      <c r="CX80" s="363"/>
      <c r="CY80" s="368">
        <f>+CY67-CY74</f>
        <v>0.45194117856978</v>
      </c>
      <c r="CZ80" s="363"/>
      <c r="DA80" s="368">
        <f>+DA67-DA74</f>
        <v>0.64447391297873491</v>
      </c>
      <c r="DB80" s="363"/>
      <c r="DC80" s="368">
        <f>+DC67-DC74</f>
        <v>1.1766666666666667</v>
      </c>
      <c r="DD80" s="363"/>
      <c r="DE80" s="368">
        <f>+DE67-DE74</f>
        <v>0.62980200335628833</v>
      </c>
      <c r="DF80" s="363"/>
      <c r="DG80" s="368">
        <f>+DG67-DG74</f>
        <v>0.87883116883116852</v>
      </c>
      <c r="DH80" s="363"/>
      <c r="DI80" s="368">
        <f>+DI67-DI74</f>
        <v>1.5389610389610393</v>
      </c>
      <c r="DJ80" s="363"/>
      <c r="DK80" s="368">
        <f>+DK67-DK74</f>
        <v>1.5389610389610393</v>
      </c>
      <c r="DL80" s="363"/>
      <c r="DM80" s="368">
        <f>+DM67-DM74</f>
        <v>1.6298701298701301</v>
      </c>
      <c r="DN80" s="363"/>
      <c r="DO80" s="368">
        <f>+DO67-DO74</f>
        <v>0.74896103896103927</v>
      </c>
      <c r="DP80" s="363"/>
      <c r="DQ80" s="368">
        <f>+DQ67-DQ74</f>
        <v>0.8398701298701301</v>
      </c>
      <c r="DR80" s="363"/>
      <c r="DS80" s="368">
        <f>+DS67-DS74</f>
        <v>1.0840259740259741</v>
      </c>
    </row>
    <row r="81" spans="1:123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2.4320112282175808E-2</v>
      </c>
      <c r="H81" s="50"/>
      <c r="I81" s="72">
        <f>+I80/I10</f>
        <v>1.6546007555467868E-2</v>
      </c>
      <c r="J81" s="50"/>
      <c r="K81" s="72">
        <f>+K80/K10</f>
        <v>1.6546007555467868E-2</v>
      </c>
      <c r="L81" s="50"/>
      <c r="M81" s="72">
        <f>+M80/M10</f>
        <v>1.6546007555467868E-2</v>
      </c>
      <c r="N81" s="363"/>
      <c r="O81" s="368">
        <f>+O80/O10</f>
        <v>2.4047877103467608E-2</v>
      </c>
      <c r="P81" s="363"/>
      <c r="Q81" s="368">
        <f>+Q80/Q10</f>
        <v>0.14274999999999999</v>
      </c>
      <c r="R81" s="363"/>
      <c r="S81" s="368">
        <f>+S80/S10</f>
        <v>0.14274999999999999</v>
      </c>
      <c r="T81" s="363"/>
      <c r="U81" s="368">
        <f>+U80/U10</f>
        <v>1.7767328646545E-2</v>
      </c>
      <c r="V81" s="363"/>
      <c r="W81" s="368">
        <f>+W80/W10</f>
        <v>1.8084663471005215E-2</v>
      </c>
      <c r="X81" s="363"/>
      <c r="Y81" s="368">
        <f>+Y80/Y10</f>
        <v>1.1639914750603419E-2</v>
      </c>
      <c r="Z81" s="363"/>
      <c r="AA81" s="368">
        <f>+AA80/AA10</f>
        <v>8.9311675333381794E-3</v>
      </c>
      <c r="AB81" s="363"/>
      <c r="AC81" s="368">
        <f>+AC80/AC10</f>
        <v>1.2105075348443184E-2</v>
      </c>
      <c r="AD81" s="363"/>
      <c r="AE81" s="368">
        <f>+AE80/AE10</f>
        <v>1.5032059142098975E-2</v>
      </c>
      <c r="AF81" s="363"/>
      <c r="AG81" s="368">
        <f>+AG80/AG10</f>
        <v>1.0724338776091736E-2</v>
      </c>
      <c r="AH81" s="363"/>
      <c r="AI81" s="368">
        <f>+AI80/AI10</f>
        <v>2.0373728746325502E-2</v>
      </c>
      <c r="AJ81" s="363"/>
      <c r="AK81" s="368">
        <f>+AK80/AK10</f>
        <v>2.6633012258392919E-2</v>
      </c>
      <c r="AL81" s="363"/>
      <c r="AM81" s="368">
        <f>+AM80/AM10</f>
        <v>2.9091442771054132E-2</v>
      </c>
      <c r="AN81" s="363"/>
      <c r="AO81" s="368">
        <f>+AO80/AO10</f>
        <v>3.1749499801826821E-2</v>
      </c>
      <c r="AP81" s="363"/>
      <c r="AQ81" s="368">
        <f>+AQ80/AQ10</f>
        <v>2.7811742333669585E-2</v>
      </c>
      <c r="AR81" s="363"/>
      <c r="AS81" s="368">
        <f>+AS80/AS10</f>
        <v>2.4516677632181284E-2</v>
      </c>
      <c r="AT81" s="363"/>
      <c r="AU81" s="368">
        <f>+AU80/AU10</f>
        <v>2.6250969738691919E-2</v>
      </c>
      <c r="AV81" s="363"/>
      <c r="AW81" s="368">
        <f>+AW80/AW10</f>
        <v>2.024999999999999E-2</v>
      </c>
      <c r="AX81" s="363"/>
      <c r="AY81" s="368">
        <f>+AY80/AY10</f>
        <v>1.9249999999999989E-2</v>
      </c>
      <c r="AZ81" s="363"/>
      <c r="BA81" s="368">
        <f>+BA80/BA10</f>
        <v>1.918405977893356E-2</v>
      </c>
      <c r="BB81" s="363"/>
      <c r="BC81" s="368">
        <f>+BC80/BC10</f>
        <v>2.3199859174395866E-2</v>
      </c>
      <c r="BD81" s="363"/>
      <c r="BE81" s="368">
        <f>+BE80/BE10</f>
        <v>2.6572753328595433E-2</v>
      </c>
      <c r="BF81" s="363"/>
      <c r="BG81" s="368">
        <f>+BG80/BG10</f>
        <v>2.9516221314790037E-2</v>
      </c>
      <c r="BH81" s="363"/>
      <c r="BI81" s="368">
        <f>+BI80/BI10</f>
        <v>3.125E-2</v>
      </c>
      <c r="BJ81" s="363"/>
      <c r="BK81" s="368">
        <f>+BK80/BK10</f>
        <v>3.6499999999999998E-2</v>
      </c>
      <c r="BL81" s="363"/>
      <c r="BM81" s="368">
        <f>+BM80/BM10</f>
        <v>3.390267446232649E-2</v>
      </c>
      <c r="BN81" s="363"/>
      <c r="BO81" s="368">
        <f>+BO80/BO10</f>
        <v>2.8685149531510711E-2</v>
      </c>
      <c r="BP81" s="363"/>
      <c r="BQ81" s="368">
        <f>+BQ80/BQ10</f>
        <v>2.3014202917011638E-2</v>
      </c>
      <c r="BR81" s="363"/>
      <c r="BS81" s="368">
        <f>+BS80/BS10</f>
        <v>2.4586914934319592E-2</v>
      </c>
      <c r="BT81" s="363"/>
      <c r="BU81" s="368">
        <f>+BU80/BU10</f>
        <v>2.0945533769063163E-2</v>
      </c>
      <c r="BV81" s="363"/>
      <c r="BW81" s="368">
        <f>+BW80/BW10</f>
        <v>2.3837905081793863E-2</v>
      </c>
      <c r="BX81" s="363"/>
      <c r="BY81" s="368">
        <f>+BY80/BY10</f>
        <v>3.3149260146128803E-2</v>
      </c>
      <c r="BZ81" s="363"/>
      <c r="CA81" s="368">
        <f>+CA80/CA10</f>
        <v>3.2559272011805217E-2</v>
      </c>
      <c r="CB81" s="363"/>
      <c r="CC81" s="368">
        <f>+CC80/CC10</f>
        <v>2.982288469969312E-2</v>
      </c>
      <c r="CD81" s="363"/>
      <c r="CE81" s="368">
        <f>+CE80/CE10</f>
        <v>2.762257036988882E-2</v>
      </c>
      <c r="CF81" s="363"/>
      <c r="CG81" s="368">
        <f>+CG80/CG10</f>
        <v>2.8493540051679589E-2</v>
      </c>
      <c r="CH81" s="363"/>
      <c r="CI81" s="368">
        <f>+CI80/CI10</f>
        <v>3.546667512207495E-2</v>
      </c>
      <c r="CJ81" s="363"/>
      <c r="CK81" s="368">
        <f>+CK80/CK10</f>
        <v>3.6871525169045814E-2</v>
      </c>
      <c r="CL81" s="363"/>
      <c r="CM81" s="368">
        <f>+CM80/CM10</f>
        <v>2.9312499999999984E-2</v>
      </c>
      <c r="CN81" s="363"/>
      <c r="CO81" s="368">
        <f>+CO80/CO10</f>
        <v>2.9312499999999984E-2</v>
      </c>
      <c r="CP81" s="363"/>
      <c r="CQ81" s="368">
        <f>+CQ80/CQ10</f>
        <v>2.9312499999999984E-2</v>
      </c>
      <c r="CR81" s="363"/>
      <c r="CS81" s="368">
        <f>+CS80/CS10</f>
        <v>2.4792384473103769E-2</v>
      </c>
      <c r="CT81" s="363"/>
      <c r="CU81" s="368">
        <f>+CU80/CU10</f>
        <v>2.4792384473103769E-2</v>
      </c>
      <c r="CV81" s="363"/>
      <c r="CW81" s="368">
        <f>+CW80/CW10</f>
        <v>1.9788494400024836E-2</v>
      </c>
      <c r="CX81" s="363"/>
      <c r="CY81" s="368">
        <f>+CY80/CY10</f>
        <v>1.12985294642445E-2</v>
      </c>
      <c r="CZ81" s="363"/>
      <c r="DA81" s="368">
        <f>+DA80/DA10</f>
        <v>1.6111847824468374E-2</v>
      </c>
      <c r="DB81" s="363"/>
      <c r="DC81" s="368">
        <f>+DC80/DC10</f>
        <v>2.9416666666666667E-2</v>
      </c>
      <c r="DD81" s="363"/>
      <c r="DE81" s="368">
        <f>+DE80/DE10</f>
        <v>1.5745050083907208E-2</v>
      </c>
      <c r="DF81" s="363"/>
      <c r="DG81" s="368">
        <f>+DG80/DG10</f>
        <v>2.1970779220779214E-2</v>
      </c>
      <c r="DH81" s="363"/>
      <c r="DI81" s="368">
        <f>+DI80/DI10</f>
        <v>3.847402597402598E-2</v>
      </c>
      <c r="DJ81" s="363"/>
      <c r="DK81" s="368">
        <f>+DK80/DK10</f>
        <v>3.847402597402598E-2</v>
      </c>
      <c r="DL81" s="363"/>
      <c r="DM81" s="368">
        <f>+DM80/DM10</f>
        <v>4.0746753246753253E-2</v>
      </c>
      <c r="DN81" s="363"/>
      <c r="DO81" s="368">
        <f>+DO80/DO10</f>
        <v>1.8724025974025983E-2</v>
      </c>
      <c r="DP81" s="363"/>
      <c r="DQ81" s="368">
        <f>+DQ80/DQ10</f>
        <v>2.0996753246753253E-2</v>
      </c>
      <c r="DR81" s="363"/>
      <c r="DS81" s="368">
        <f>+DS80/DS10</f>
        <v>2.7100649350649354E-2</v>
      </c>
    </row>
    <row r="82" spans="1:123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382">
        <f>+G80/G67</f>
        <v>0.18024300334389171</v>
      </c>
      <c r="H82" s="132"/>
      <c r="I82" s="133">
        <f>+I80/I67</f>
        <v>0.1254422356047217</v>
      </c>
      <c r="J82" s="132"/>
      <c r="K82" s="133">
        <f t="shared" ref="K82" si="834">+K80/K67</f>
        <v>0.1254422356047217</v>
      </c>
      <c r="L82" s="132"/>
      <c r="M82" s="133">
        <f t="shared" ref="M82" si="835">+M80/M67</f>
        <v>0.1254422356047217</v>
      </c>
      <c r="N82" s="381"/>
      <c r="O82" s="1096">
        <f>+O80/O67</f>
        <v>0.16941883296527835</v>
      </c>
      <c r="P82" s="381"/>
      <c r="Q82" s="1096">
        <f>+Q80/Q67</f>
        <v>1</v>
      </c>
      <c r="R82" s="381"/>
      <c r="S82" s="1096">
        <f>+S80/S67</f>
        <v>1</v>
      </c>
      <c r="T82" s="381"/>
      <c r="U82" s="1096">
        <f>+U80/U67</f>
        <v>0.12446464901257442</v>
      </c>
      <c r="V82" s="381"/>
      <c r="W82" s="1096">
        <f>+W80/W67</f>
        <v>0.12668766004206805</v>
      </c>
      <c r="X82" s="381"/>
      <c r="Y82" s="1096">
        <f>+Y80/Y67</f>
        <v>8.1540558673228861E-2</v>
      </c>
      <c r="Z82" s="381"/>
      <c r="AA82" s="1096">
        <f>+AA80/AA67</f>
        <v>6.25650965557841E-2</v>
      </c>
      <c r="AB82" s="381"/>
      <c r="AC82" s="1096">
        <f>+AC80/AC67</f>
        <v>8.4799126784190437E-2</v>
      </c>
      <c r="AD82" s="381"/>
      <c r="AE82" s="1096">
        <f>+AE80/AE67</f>
        <v>0.10530339153834659</v>
      </c>
      <c r="AF82" s="381"/>
      <c r="AG82" s="1096">
        <f>+AG80/AG67</f>
        <v>7.5126716469994637E-2</v>
      </c>
      <c r="AH82" s="381"/>
      <c r="AI82" s="1096">
        <f>+AI80/AI67</f>
        <v>0.142723143581965</v>
      </c>
      <c r="AJ82" s="381"/>
      <c r="AK82" s="1096">
        <f>+AK80/AK67</f>
        <v>0.1865710140693024</v>
      </c>
      <c r="AL82" s="381"/>
      <c r="AM82" s="1096">
        <f>+AM80/AM67</f>
        <v>0.20379294410545803</v>
      </c>
      <c r="AN82" s="381"/>
      <c r="AO82" s="1096">
        <f>+AO80/AO67</f>
        <v>0.22241330859423342</v>
      </c>
      <c r="AP82" s="381"/>
      <c r="AQ82" s="1096">
        <f t="shared" ref="AQ82" si="836">+AQ80/AQ67</f>
        <v>0.19482831757386751</v>
      </c>
      <c r="AR82" s="381"/>
      <c r="AS82" s="1096">
        <f t="shared" ref="AS82" si="837">+AS80/AS67</f>
        <v>0.17174555258971128</v>
      </c>
      <c r="AT82" s="381"/>
      <c r="AU82" s="1096">
        <f t="shared" ref="AU82" si="838">+AU80/AU67</f>
        <v>0.1838947092027455</v>
      </c>
      <c r="AV82" s="381"/>
      <c r="AW82" s="1096">
        <f t="shared" ref="AW82" si="839">+AW80/AW67</f>
        <v>0.14185639229422059</v>
      </c>
      <c r="AX82" s="381"/>
      <c r="AY82" s="1096">
        <f t="shared" ref="AY82" si="840">+AY80/AY67</f>
        <v>0.13485113835376525</v>
      </c>
      <c r="AZ82" s="381"/>
      <c r="BA82" s="1096">
        <f t="shared" ref="BA82:BC82" si="841">+BA80/BA67</f>
        <v>0.13438921036030516</v>
      </c>
      <c r="BB82" s="381"/>
      <c r="BC82" s="1096">
        <f t="shared" si="841"/>
        <v>0.16252090489944565</v>
      </c>
      <c r="BD82" s="381"/>
      <c r="BE82" s="1096">
        <f t="shared" ref="BE82:BI82" si="842">+BE80/BE67</f>
        <v>0.18614888496389095</v>
      </c>
      <c r="BF82" s="381"/>
      <c r="BG82" s="1096">
        <f t="shared" si="842"/>
        <v>0.20676862567278484</v>
      </c>
      <c r="BH82" s="381"/>
      <c r="BI82" s="1096">
        <f t="shared" si="842"/>
        <v>0.21891418563922943</v>
      </c>
      <c r="BJ82" s="381"/>
      <c r="BK82" s="1096">
        <f t="shared" ref="BK82:BM82" si="843">+BK80/BK67</f>
        <v>0.25</v>
      </c>
      <c r="BL82" s="381"/>
      <c r="BM82" s="1096">
        <f t="shared" si="843"/>
        <v>0.23221009905703074</v>
      </c>
      <c r="BN82" s="381"/>
      <c r="BO82" s="1096">
        <f t="shared" ref="BO82:BQ82" si="844">+BO80/BO67</f>
        <v>0.19647362692815556</v>
      </c>
      <c r="BP82" s="381"/>
      <c r="BQ82" s="1096">
        <f t="shared" si="844"/>
        <v>0.15763152682884685</v>
      </c>
      <c r="BR82" s="381"/>
      <c r="BS82" s="1096">
        <f t="shared" ref="BS82:CS82" si="845">+BS80/BS67</f>
        <v>0.16840352694739447</v>
      </c>
      <c r="BT82" s="381"/>
      <c r="BU82" s="1096">
        <f t="shared" ref="BU82:BW82" si="846">+BU80/BU67</f>
        <v>0.14346256006207647</v>
      </c>
      <c r="BV82" s="381"/>
      <c r="BW82" s="1096">
        <f t="shared" si="846"/>
        <v>0.16327332247804016</v>
      </c>
      <c r="BX82" s="381"/>
      <c r="BY82" s="1096">
        <f t="shared" ref="BY82:CA82" si="847">+BY80/BY67</f>
        <v>0.22704972702827947</v>
      </c>
      <c r="BZ82" s="381"/>
      <c r="CA82" s="1096">
        <f t="shared" si="847"/>
        <v>0.22300871240962478</v>
      </c>
      <c r="CB82" s="381"/>
      <c r="CC82" s="1096">
        <f t="shared" ref="CC82:CE82" si="848">+CC80/CC67</f>
        <v>0.20426633355954191</v>
      </c>
      <c r="CD82" s="381"/>
      <c r="CE82" s="1096">
        <f t="shared" si="848"/>
        <v>0.18919568746499194</v>
      </c>
      <c r="CF82" s="381"/>
      <c r="CG82" s="1096">
        <f t="shared" ref="CG82:CI82" si="849">+CG80/CG67</f>
        <v>0.19516123323068213</v>
      </c>
      <c r="CH82" s="381"/>
      <c r="CI82" s="1096">
        <f t="shared" si="849"/>
        <v>0.24292243234297914</v>
      </c>
      <c r="CJ82" s="381"/>
      <c r="CK82" s="1096">
        <f t="shared" ref="CK82:CM82" si="850">+CK80/CK67</f>
        <v>0.25254469293866999</v>
      </c>
      <c r="CL82" s="381"/>
      <c r="CM82" s="1096">
        <f t="shared" si="850"/>
        <v>0.20077054794520538</v>
      </c>
      <c r="CN82" s="381"/>
      <c r="CO82" s="1096">
        <f t="shared" ref="CO82:CQ82" si="851">+CO80/CO67</f>
        <v>0.20077054794520538</v>
      </c>
      <c r="CP82" s="381"/>
      <c r="CQ82" s="1096">
        <f t="shared" si="851"/>
        <v>0.20077054794520538</v>
      </c>
      <c r="CR82" s="381"/>
      <c r="CS82" s="1096">
        <f t="shared" si="845"/>
        <v>0.16981085255550527</v>
      </c>
      <c r="CT82" s="381"/>
      <c r="CU82" s="1096">
        <f t="shared" ref="CU82" si="852">+CU80/CU67</f>
        <v>0.16981085255550527</v>
      </c>
      <c r="CV82" s="381"/>
      <c r="CW82" s="1096">
        <f>+CW80/CW67</f>
        <v>0.13886121263580045</v>
      </c>
      <c r="CX82" s="381"/>
      <c r="CY82" s="1096">
        <f>+CY80/CY67</f>
        <v>7.9149068050749574E-2</v>
      </c>
      <c r="CZ82" s="381"/>
      <c r="DA82" s="1096">
        <f>+DA80/DA67</f>
        <v>0.11286758546037388</v>
      </c>
      <c r="DB82" s="381"/>
      <c r="DC82" s="1096">
        <f>+DC80/DC67</f>
        <v>0.20607122008172798</v>
      </c>
      <c r="DD82" s="381"/>
      <c r="DE82" s="1096">
        <f>+DE80/DE67</f>
        <v>0.11039793923928727</v>
      </c>
      <c r="DF82" s="381"/>
      <c r="DG82" s="1096">
        <f>+DG80/DG67</f>
        <v>0.15391088771123793</v>
      </c>
      <c r="DH82" s="381"/>
      <c r="DI82" s="1096">
        <f>+DI80/DI67</f>
        <v>0.23676323676323682</v>
      </c>
      <c r="DJ82" s="381"/>
      <c r="DK82" s="1096">
        <f>+DK80/DK67</f>
        <v>0.23676323676323682</v>
      </c>
      <c r="DL82" s="381"/>
      <c r="DM82" s="1096">
        <f>+DM80/DM67</f>
        <v>0.25074925074925081</v>
      </c>
      <c r="DN82" s="381"/>
      <c r="DO82" s="1096">
        <f>+DO80/DO67</f>
        <v>0.13116655673573369</v>
      </c>
      <c r="DP82" s="381"/>
      <c r="DQ82" s="1096">
        <f>+DQ80/DQ67</f>
        <v>0.14708758841858671</v>
      </c>
      <c r="DR82" s="381"/>
      <c r="DS82" s="1096">
        <f>+DS80/DS67</f>
        <v>0.18984693065253488</v>
      </c>
    </row>
    <row r="83" spans="1:123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0.47280449128703239</v>
      </c>
      <c r="H83" s="137"/>
      <c r="I83" s="138">
        <f>I80-I57</f>
        <v>0.26184030221871468</v>
      </c>
      <c r="J83" s="137"/>
      <c r="K83" s="138">
        <f t="shared" ref="K83" si="853">K80-K57</f>
        <v>0.26184030221871468</v>
      </c>
      <c r="L83" s="137"/>
      <c r="M83" s="138">
        <f t="shared" ref="M83" si="854">M80-M57</f>
        <v>0.26184030221871468</v>
      </c>
      <c r="N83" s="137"/>
      <c r="O83" s="138">
        <f>O80-O57</f>
        <v>0.33067433165508564</v>
      </c>
      <c r="P83" s="137"/>
      <c r="Q83" s="138">
        <f>Q80-Q57</f>
        <v>5.0599999999999996</v>
      </c>
      <c r="R83" s="137"/>
      <c r="S83" s="138">
        <f>S80-S57</f>
        <v>5.0599999999999996</v>
      </c>
      <c r="T83" s="137"/>
      <c r="U83" s="138">
        <f>U80-U57</f>
        <v>6.0693145861799858E-2</v>
      </c>
      <c r="V83" s="137"/>
      <c r="W83" s="138">
        <f>W80-W57</f>
        <v>7.3386538840208404E-2</v>
      </c>
      <c r="X83" s="137"/>
      <c r="Y83" s="138">
        <f>Y80-Y57</f>
        <v>-0.18440340997586335</v>
      </c>
      <c r="Z83" s="137"/>
      <c r="AA83" s="138">
        <f>AA80-AA57</f>
        <v>-0.29275329866647293</v>
      </c>
      <c r="AB83" s="137"/>
      <c r="AC83" s="138">
        <f>AC80-AC57</f>
        <v>-0.16579698606227278</v>
      </c>
      <c r="AD83" s="137"/>
      <c r="AE83" s="138">
        <f>AE80-AE57</f>
        <v>-4.8717634316041147E-2</v>
      </c>
      <c r="AF83" s="137"/>
      <c r="AG83" s="138">
        <f>AG80-AG57</f>
        <v>-0.22102644895633072</v>
      </c>
      <c r="AH83" s="137"/>
      <c r="AI83" s="138">
        <f>AI80-AI57</f>
        <v>0.16494914985302001</v>
      </c>
      <c r="AJ83" s="137"/>
      <c r="AK83" s="138">
        <f>AK80-AK57</f>
        <v>0.41532049033571661</v>
      </c>
      <c r="AL83" s="137"/>
      <c r="AM83" s="138">
        <f>AM80-AM57</f>
        <v>0.51365771084216516</v>
      </c>
      <c r="AN83" s="137"/>
      <c r="AO83" s="138">
        <f>AO80-AO57</f>
        <v>0.61997999207307264</v>
      </c>
      <c r="AP83" s="137"/>
      <c r="AQ83" s="138">
        <f t="shared" ref="AQ83" si="855">AQ80-AQ57</f>
        <v>0.46246969334678334</v>
      </c>
      <c r="AR83" s="137"/>
      <c r="AS83" s="138">
        <f t="shared" ref="AS83" si="856">AS80-AS57</f>
        <v>0.33066710528725118</v>
      </c>
      <c r="AT83" s="137"/>
      <c r="AU83" s="138">
        <f t="shared" ref="AU83" si="857">AU80-AU57</f>
        <v>0.40003878954767669</v>
      </c>
      <c r="AV83" s="137"/>
      <c r="AW83" s="138">
        <f t="shared" ref="AW83" si="858">AW80-AW57</f>
        <v>0.15999999999999948</v>
      </c>
      <c r="AX83" s="137"/>
      <c r="AY83" s="138">
        <f t="shared" ref="AY83" si="859">AY80-AY57</f>
        <v>0.11999999999999944</v>
      </c>
      <c r="AZ83" s="137"/>
      <c r="BA83" s="138">
        <f t="shared" ref="BA83:BC83" si="860">BA80-BA57</f>
        <v>0.11736239115734226</v>
      </c>
      <c r="BB83" s="137"/>
      <c r="BC83" s="138">
        <f t="shared" si="860"/>
        <v>0.27799436697583446</v>
      </c>
      <c r="BD83" s="137"/>
      <c r="BE83" s="138">
        <f t="shared" ref="BE83:BI83" si="861">BE80-BE57</f>
        <v>0.41291013314381719</v>
      </c>
      <c r="BF83" s="137"/>
      <c r="BG83" s="138">
        <f t="shared" si="861"/>
        <v>0.53064885259160133</v>
      </c>
      <c r="BH83" s="137"/>
      <c r="BI83" s="138">
        <f t="shared" si="861"/>
        <v>0.59999999999999987</v>
      </c>
      <c r="BJ83" s="137"/>
      <c r="BK83" s="138">
        <f t="shared" ref="BK83:BM83" si="862">BK80-BK57</f>
        <v>0.80999999999999983</v>
      </c>
      <c r="BL83" s="137"/>
      <c r="BM83" s="138">
        <f t="shared" si="862"/>
        <v>0.70610697849305937</v>
      </c>
      <c r="BN83" s="137"/>
      <c r="BO83" s="138">
        <f t="shared" ref="BO83:BQ83" si="863">BO80-BO57</f>
        <v>0.49740598126042834</v>
      </c>
      <c r="BP83" s="137"/>
      <c r="BQ83" s="138">
        <f t="shared" si="863"/>
        <v>0.27056811668046543</v>
      </c>
      <c r="BR83" s="137"/>
      <c r="BS83" s="138">
        <f t="shared" ref="BS83:CS83" si="864">BS80-BS57</f>
        <v>0.33347659737278357</v>
      </c>
      <c r="BT83" s="137"/>
      <c r="BU83" s="138">
        <f t="shared" ref="BU83:BW83" si="865">BU80-BU57</f>
        <v>0.18782135076252637</v>
      </c>
      <c r="BV83" s="137"/>
      <c r="BW83" s="138">
        <f t="shared" si="865"/>
        <v>0.30351620327175444</v>
      </c>
      <c r="BX83" s="137"/>
      <c r="BY83" s="138">
        <f t="shared" ref="BY83:CA83" si="866">BY80-BY57</f>
        <v>0.67597040584515189</v>
      </c>
      <c r="BZ83" s="137"/>
      <c r="CA83" s="138">
        <f t="shared" si="866"/>
        <v>0.65237088047220859</v>
      </c>
      <c r="CB83" s="137"/>
      <c r="CC83" s="138">
        <f t="shared" ref="CC83:CE83" si="867">CC80-CC57</f>
        <v>0.54291538798772465</v>
      </c>
      <c r="CD83" s="137"/>
      <c r="CE83" s="138">
        <f t="shared" si="867"/>
        <v>0.45490281479555272</v>
      </c>
      <c r="CF83" s="137"/>
      <c r="CG83" s="138">
        <f t="shared" ref="CG83:CI83" si="868">CG80-CG57</f>
        <v>0.48974160206718342</v>
      </c>
      <c r="CH83" s="137"/>
      <c r="CI83" s="138">
        <f t="shared" si="868"/>
        <v>0.768667004882998</v>
      </c>
      <c r="CJ83" s="137"/>
      <c r="CK83" s="138">
        <f t="shared" ref="CK83:CM83" si="869">CK80-CK57</f>
        <v>0.82486100676183249</v>
      </c>
      <c r="CL83" s="137"/>
      <c r="CM83" s="138">
        <f t="shared" si="869"/>
        <v>0.5224999999999993</v>
      </c>
      <c r="CN83" s="137"/>
      <c r="CO83" s="138">
        <f t="shared" ref="CO83:CQ83" si="870">CO80-CO57</f>
        <v>0.5224999999999993</v>
      </c>
      <c r="CP83" s="137"/>
      <c r="CQ83" s="138">
        <f t="shared" si="870"/>
        <v>0.5224999999999993</v>
      </c>
      <c r="CR83" s="137"/>
      <c r="CS83" s="138">
        <f t="shared" si="864"/>
        <v>0.34169537892415058</v>
      </c>
      <c r="CT83" s="137"/>
      <c r="CU83" s="138">
        <f t="shared" ref="CU83" si="871">CU80-CU57</f>
        <v>0.34169537892415058</v>
      </c>
      <c r="CV83" s="137"/>
      <c r="CW83" s="138">
        <f>CW80-CW57</f>
        <v>0.14722450569609968</v>
      </c>
      <c r="CX83" s="137"/>
      <c r="CY83" s="138">
        <f>CY80-CY57</f>
        <v>-0.19805882143022013</v>
      </c>
      <c r="CZ83" s="137"/>
      <c r="DA83" s="138">
        <f>DA80-DA57</f>
        <v>-5.5260870212652247E-3</v>
      </c>
      <c r="DB83" s="137"/>
      <c r="DC83" s="138">
        <f>DC80-DC57</f>
        <v>0.52666666666666673</v>
      </c>
      <c r="DD83" s="137"/>
      <c r="DE83" s="138">
        <f>DE80-DE57</f>
        <v>-1.7194961463366076E-2</v>
      </c>
      <c r="DF83" s="137"/>
      <c r="DG83" s="138">
        <f>DG80-DG57</f>
        <v>0.2288311688311685</v>
      </c>
      <c r="DH83" s="137"/>
      <c r="DI83" s="138">
        <f>DI80-DI57</f>
        <v>0.68896103896103933</v>
      </c>
      <c r="DJ83" s="137"/>
      <c r="DK83" s="138">
        <f>DK80-DK57</f>
        <v>0.3889610389610394</v>
      </c>
      <c r="DL83" s="137"/>
      <c r="DM83" s="138">
        <f>DM80-DM57</f>
        <v>0.47987012987013022</v>
      </c>
      <c r="DN83" s="137"/>
      <c r="DO83" s="138">
        <f>DO80-DO57</f>
        <v>9.8961038961039249E-2</v>
      </c>
      <c r="DP83" s="137"/>
      <c r="DQ83" s="138">
        <f>DQ80-DQ57</f>
        <v>0.18987012987013008</v>
      </c>
      <c r="DR83" s="137"/>
      <c r="DS83" s="138">
        <f>DS80-DS57</f>
        <v>0.43402597402597409</v>
      </c>
    </row>
    <row r="84" spans="1:123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8.7602084763515914E-2</v>
      </c>
      <c r="H84" s="132"/>
      <c r="I84" s="133">
        <f>I83/I67</f>
        <v>4.9628033789452068E-2</v>
      </c>
      <c r="J84" s="132"/>
      <c r="K84" s="133">
        <f t="shared" ref="K84" si="872">K83/K67</f>
        <v>4.9628033789452068E-2</v>
      </c>
      <c r="L84" s="132"/>
      <c r="M84" s="133">
        <f t="shared" ref="M84" si="873">M83/M67</f>
        <v>4.9628033789452068E-2</v>
      </c>
      <c r="N84" s="381"/>
      <c r="O84" s="1096">
        <f>O83/O67</f>
        <v>5.824054564103269E-2</v>
      </c>
      <c r="P84" s="381"/>
      <c r="Q84" s="1096">
        <f>Q83/Q67</f>
        <v>0.88616462346760061</v>
      </c>
      <c r="R84" s="381"/>
      <c r="S84" s="1096">
        <f>S83/S67</f>
        <v>0.88616462346760061</v>
      </c>
      <c r="T84" s="381"/>
      <c r="U84" s="1096">
        <f>U83/U67</f>
        <v>1.0629272480175107E-2</v>
      </c>
      <c r="V84" s="381"/>
      <c r="W84" s="1096">
        <f>W83/W67</f>
        <v>1.2852283509668723E-2</v>
      </c>
      <c r="X84" s="381"/>
      <c r="Y84" s="1096">
        <f>Y83/Y67</f>
        <v>-3.2294817859170467E-2</v>
      </c>
      <c r="Z84" s="381"/>
      <c r="AA84" s="1096">
        <f>AA83/AA67</f>
        <v>-5.1270279976615221E-2</v>
      </c>
      <c r="AB84" s="381"/>
      <c r="AC84" s="1096">
        <f>AC83/AC67</f>
        <v>-2.9036249748208894E-2</v>
      </c>
      <c r="AD84" s="381"/>
      <c r="AE84" s="1096">
        <f>AE83/AE67</f>
        <v>-8.5319849940527406E-3</v>
      </c>
      <c r="AF84" s="381"/>
      <c r="AG84" s="1096">
        <f>AG83/AG67</f>
        <v>-3.8708660062404678E-2</v>
      </c>
      <c r="AH84" s="381"/>
      <c r="AI84" s="1096">
        <f>AI83/AI67</f>
        <v>2.8887767049565676E-2</v>
      </c>
      <c r="AJ84" s="381"/>
      <c r="AK84" s="1096">
        <f>AK83/AK67</f>
        <v>7.2735637536903083E-2</v>
      </c>
      <c r="AL84" s="381"/>
      <c r="AM84" s="1096">
        <f>AM83/AM67</f>
        <v>8.99575675730587E-2</v>
      </c>
      <c r="AN84" s="381"/>
      <c r="AO84" s="1096">
        <f>AO83/AO67</f>
        <v>0.10857793206183408</v>
      </c>
      <c r="AP84" s="381"/>
      <c r="AQ84" s="1096">
        <f t="shared" ref="AQ84" si="874">AQ83/AQ67</f>
        <v>8.0992941041468189E-2</v>
      </c>
      <c r="AR84" s="381"/>
      <c r="AS84" s="1096">
        <f t="shared" ref="AS84" si="875">AS83/AS67</f>
        <v>5.7910176057311941E-2</v>
      </c>
      <c r="AT84" s="381"/>
      <c r="AU84" s="1096">
        <f t="shared" ref="AU84" si="876">AU83/AU67</f>
        <v>7.0059332670346183E-2</v>
      </c>
      <c r="AV84" s="381"/>
      <c r="AW84" s="1096">
        <f t="shared" ref="AW84" si="877">AW83/AW67</f>
        <v>2.8021015761821276E-2</v>
      </c>
      <c r="AX84" s="381"/>
      <c r="AY84" s="1096">
        <f t="shared" ref="AY84" si="878">AY83/AY67</f>
        <v>2.1015761821365928E-2</v>
      </c>
      <c r="AZ84" s="381"/>
      <c r="BA84" s="1096">
        <f t="shared" ref="BA84:BC84" si="879">BA83/BA67</f>
        <v>2.0553833827905824E-2</v>
      </c>
      <c r="BB84" s="381"/>
      <c r="BC84" s="1096">
        <f t="shared" si="879"/>
        <v>4.8685528367046316E-2</v>
      </c>
      <c r="BD84" s="381"/>
      <c r="BE84" s="1096">
        <f t="shared" ref="BE84:BI84" si="880">BE83/BE67</f>
        <v>7.2313508431491633E-2</v>
      </c>
      <c r="BF84" s="381"/>
      <c r="BG84" s="1096">
        <f t="shared" si="880"/>
        <v>9.2933249140385518E-2</v>
      </c>
      <c r="BH84" s="381"/>
      <c r="BI84" s="1096">
        <f t="shared" si="880"/>
        <v>0.1050788091068301</v>
      </c>
      <c r="BJ84" s="381"/>
      <c r="BK84" s="1096">
        <f t="shared" ref="BK84:BM84" si="881">BK83/BK67</f>
        <v>0.13869863013698627</v>
      </c>
      <c r="BL84" s="381"/>
      <c r="BM84" s="1096">
        <f t="shared" si="881"/>
        <v>0.12090872919401702</v>
      </c>
      <c r="BN84" s="381"/>
      <c r="BO84" s="1096">
        <f t="shared" ref="BO84:BQ84" si="882">BO83/BO67</f>
        <v>8.5172257065141838E-2</v>
      </c>
      <c r="BP84" s="381"/>
      <c r="BQ84" s="1096">
        <f t="shared" si="882"/>
        <v>4.6330156965833126E-2</v>
      </c>
      <c r="BR84" s="381"/>
      <c r="BS84" s="1096">
        <f t="shared" ref="BS84:CS84" si="883">BS83/BS67</f>
        <v>5.7102157084380746E-2</v>
      </c>
      <c r="BT84" s="381"/>
      <c r="BU84" s="1096">
        <f t="shared" ref="BU84:BW84" si="884">BU83/BU67</f>
        <v>3.2161190199062738E-2</v>
      </c>
      <c r="BV84" s="381"/>
      <c r="BW84" s="1096">
        <f t="shared" si="884"/>
        <v>5.1971952615026448E-2</v>
      </c>
      <c r="BX84" s="381"/>
      <c r="BY84" s="1096">
        <f t="shared" ref="BY84:CA84" si="885">BY83/BY67</f>
        <v>0.11574835716526574</v>
      </c>
      <c r="BZ84" s="381"/>
      <c r="CA84" s="1096">
        <f t="shared" si="885"/>
        <v>0.11170734254661106</v>
      </c>
      <c r="CB84" s="381"/>
      <c r="CC84" s="1096">
        <f t="shared" ref="CC84:CE84" si="886">CC83/CC67</f>
        <v>9.2964963696528194E-2</v>
      </c>
      <c r="CD84" s="381"/>
      <c r="CE84" s="1096">
        <f t="shared" si="886"/>
        <v>7.7894317601978208E-2</v>
      </c>
      <c r="CF84" s="381"/>
      <c r="CG84" s="1096">
        <f t="shared" ref="CG84:CI84" si="887">CG83/CG67</f>
        <v>8.3859863367668402E-2</v>
      </c>
      <c r="CH84" s="381"/>
      <c r="CI84" s="1096">
        <f t="shared" si="887"/>
        <v>0.13162106247996541</v>
      </c>
      <c r="CJ84" s="381"/>
      <c r="CK84" s="1096">
        <f t="shared" ref="CK84:CM84" si="888">CK83/CK67</f>
        <v>0.14124332307565626</v>
      </c>
      <c r="CL84" s="381"/>
      <c r="CM84" s="1096">
        <f t="shared" si="888"/>
        <v>8.9469178082191667E-2</v>
      </c>
      <c r="CN84" s="381"/>
      <c r="CO84" s="1096">
        <f t="shared" ref="CO84:CQ84" si="889">CO83/CO67</f>
        <v>8.9469178082191667E-2</v>
      </c>
      <c r="CP84" s="381"/>
      <c r="CQ84" s="1096">
        <f t="shared" si="889"/>
        <v>8.9469178082191667E-2</v>
      </c>
      <c r="CR84" s="381"/>
      <c r="CS84" s="1096">
        <f t="shared" si="883"/>
        <v>5.8509482692491538E-2</v>
      </c>
      <c r="CT84" s="381"/>
      <c r="CU84" s="1096">
        <f t="shared" ref="CU84" si="890">CU83/CU67</f>
        <v>5.8509482692491538E-2</v>
      </c>
      <c r="CV84" s="381"/>
      <c r="CW84" s="1096">
        <f>CW83/CW67</f>
        <v>2.5827853521085783E-2</v>
      </c>
      <c r="CX84" s="381"/>
      <c r="CY84" s="1096">
        <f>CY83/CY67</f>
        <v>-3.4686308481649768E-2</v>
      </c>
      <c r="CZ84" s="381"/>
      <c r="DA84" s="1096">
        <f>DA83/DA67</f>
        <v>-9.6779107202543343E-4</v>
      </c>
      <c r="DB84" s="381"/>
      <c r="DC84" s="1096">
        <f>DC83/DC67</f>
        <v>9.2235843549328678E-2</v>
      </c>
      <c r="DD84" s="381"/>
      <c r="DE84" s="1096">
        <f>DE83/DE67</f>
        <v>-3.0141033225337083E-3</v>
      </c>
      <c r="DF84" s="381"/>
      <c r="DG84" s="1096">
        <f>DG83/DG67</f>
        <v>4.0075511178838619E-2</v>
      </c>
      <c r="DH84" s="381"/>
      <c r="DI84" s="1096">
        <f>DI83/DI67</f>
        <v>0.10599400599400605</v>
      </c>
      <c r="DJ84" s="381"/>
      <c r="DK84" s="1096">
        <f>DK83/DK67</f>
        <v>5.9840159840159904E-2</v>
      </c>
      <c r="DL84" s="381"/>
      <c r="DM84" s="1096">
        <f>DM83/DM67</f>
        <v>7.3826173826173874E-2</v>
      </c>
      <c r="DN84" s="381"/>
      <c r="DO84" s="1096">
        <f>DO83/DO67</f>
        <v>1.7331180203334368E-2</v>
      </c>
      <c r="DP84" s="381"/>
      <c r="DQ84" s="1096">
        <f>DQ83/DQ67</f>
        <v>3.3252211886187405E-2</v>
      </c>
      <c r="DR84" s="381"/>
      <c r="DS84" s="1096">
        <f>DS83/DS67</f>
        <v>7.6011554120135563E-2</v>
      </c>
    </row>
    <row r="85" spans="1:123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381"/>
      <c r="O85" s="382"/>
      <c r="P85" s="381"/>
      <c r="Q85" s="382"/>
      <c r="R85" s="381"/>
      <c r="S85" s="382"/>
      <c r="T85" s="381"/>
      <c r="U85" s="382"/>
      <c r="V85" s="381"/>
      <c r="W85" s="382"/>
      <c r="X85" s="381"/>
      <c r="Y85" s="382"/>
      <c r="Z85" s="381"/>
      <c r="AA85" s="382"/>
      <c r="AB85" s="381"/>
      <c r="AC85" s="382"/>
      <c r="AD85" s="381"/>
      <c r="AE85" s="382"/>
      <c r="AF85" s="381"/>
      <c r="AG85" s="382"/>
      <c r="AH85" s="381"/>
      <c r="AI85" s="382"/>
      <c r="AJ85" s="381"/>
      <c r="AK85" s="382"/>
      <c r="AL85" s="381"/>
      <c r="AM85" s="382"/>
      <c r="AN85" s="381"/>
      <c r="AO85" s="382"/>
      <c r="AP85" s="381"/>
      <c r="AQ85" s="382"/>
      <c r="AR85" s="381"/>
      <c r="AS85" s="382"/>
      <c r="AT85" s="381"/>
      <c r="AU85" s="382"/>
      <c r="AV85" s="381"/>
      <c r="AW85" s="382"/>
      <c r="AX85" s="381"/>
      <c r="AY85" s="382"/>
      <c r="AZ85" s="381"/>
      <c r="BA85" s="382"/>
      <c r="BB85" s="381"/>
      <c r="BC85" s="382"/>
      <c r="BD85" s="381"/>
      <c r="BE85" s="382"/>
      <c r="BF85" s="381"/>
      <c r="BG85" s="382"/>
      <c r="BH85" s="381"/>
      <c r="BI85" s="382"/>
      <c r="BJ85" s="381"/>
      <c r="BK85" s="382"/>
      <c r="BL85" s="381"/>
      <c r="BM85" s="382"/>
      <c r="BN85" s="381"/>
      <c r="BO85" s="382"/>
      <c r="BP85" s="381"/>
      <c r="BQ85" s="382"/>
      <c r="BR85" s="381"/>
      <c r="BS85" s="382"/>
      <c r="BT85" s="381"/>
      <c r="BU85" s="382"/>
      <c r="BV85" s="381"/>
      <c r="BW85" s="382"/>
      <c r="BX85" s="381"/>
      <c r="BY85" s="382"/>
      <c r="BZ85" s="381"/>
      <c r="CA85" s="382"/>
      <c r="CB85" s="381"/>
      <c r="CC85" s="382"/>
      <c r="CD85" s="381"/>
      <c r="CE85" s="382"/>
      <c r="CF85" s="381"/>
      <c r="CG85" s="382"/>
      <c r="CH85" s="381"/>
      <c r="CI85" s="382"/>
      <c r="CJ85" s="381"/>
      <c r="CK85" s="382"/>
      <c r="CL85" s="381"/>
      <c r="CM85" s="382"/>
      <c r="CN85" s="381"/>
      <c r="CO85" s="382"/>
      <c r="CP85" s="381"/>
      <c r="CQ85" s="382"/>
      <c r="CR85" s="381"/>
      <c r="CS85" s="382"/>
      <c r="CT85" s="381"/>
      <c r="CU85" s="382"/>
      <c r="CV85" s="381"/>
      <c r="CW85" s="382"/>
      <c r="CX85" s="381"/>
      <c r="CY85" s="382"/>
      <c r="CZ85" s="381"/>
      <c r="DA85" s="382"/>
      <c r="DB85" s="381"/>
      <c r="DC85" s="382"/>
      <c r="DD85" s="381"/>
      <c r="DE85" s="382"/>
      <c r="DF85" s="381"/>
      <c r="DG85" s="382"/>
      <c r="DH85" s="381"/>
      <c r="DI85" s="382"/>
      <c r="DJ85" s="381"/>
      <c r="DK85" s="382"/>
      <c r="DL85" s="381"/>
      <c r="DM85" s="382"/>
      <c r="DN85" s="381"/>
      <c r="DO85" s="382"/>
      <c r="DP85" s="381"/>
      <c r="DQ85" s="382"/>
      <c r="DR85" s="381"/>
      <c r="DS85" s="382"/>
    </row>
    <row r="86" spans="1:123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0.34459330979792913</v>
      </c>
      <c r="H86" s="141"/>
      <c r="I86" s="142">
        <f>I83-I72</f>
        <v>0.13362912072961139</v>
      </c>
      <c r="J86" s="141"/>
      <c r="K86" s="142">
        <f t="shared" ref="K86" si="891">K83-K72</f>
        <v>0.13362912072961139</v>
      </c>
      <c r="L86" s="141"/>
      <c r="M86" s="142">
        <f t="shared" ref="M86" si="892">M83-M72</f>
        <v>0.13362912072961139</v>
      </c>
      <c r="N86" s="141"/>
      <c r="O86" s="142">
        <f>O83-O72</f>
        <v>0.22578710542674801</v>
      </c>
      <c r="P86" s="141"/>
      <c r="Q86" s="142">
        <f>Q83-Q72</f>
        <v>4.931627653243404</v>
      </c>
      <c r="R86" s="141"/>
      <c r="S86" s="142">
        <f>S83-S72</f>
        <v>4.931627653243404</v>
      </c>
      <c r="T86" s="141"/>
      <c r="U86" s="142">
        <f>U83-U72</f>
        <v>-4.6145345048794389E-2</v>
      </c>
      <c r="V86" s="141"/>
      <c r="W86" s="142">
        <f>W83-W72</f>
        <v>-6.6384034781943546E-2</v>
      </c>
      <c r="X86" s="141"/>
      <c r="Y86" s="142">
        <f>Y83-Y72</f>
        <v>-0.23803625119537852</v>
      </c>
      <c r="Z86" s="141"/>
      <c r="AA86" s="142">
        <f>AA83-AA72</f>
        <v>-0.40652631671385125</v>
      </c>
      <c r="AB86" s="141"/>
      <c r="AC86" s="142">
        <f>AC83-AC72</f>
        <v>-0.27533040295822997</v>
      </c>
      <c r="AD86" s="141"/>
      <c r="AE86" s="142">
        <f>AE83-AE72</f>
        <v>-0.17110709551151948</v>
      </c>
      <c r="AF86" s="141"/>
      <c r="AG86" s="142">
        <f>AG83-AG72</f>
        <v>-0.38694128705210645</v>
      </c>
      <c r="AH86" s="141"/>
      <c r="AI86" s="142">
        <f>AI83-AI72</f>
        <v>5.2998754063411743E-2</v>
      </c>
      <c r="AJ86" s="141"/>
      <c r="AK86" s="142">
        <f>AK83-AK72</f>
        <v>0.30569598282277188</v>
      </c>
      <c r="AL86" s="141"/>
      <c r="AM86" s="142">
        <f>AM83-AM72</f>
        <v>0.38311311861144698</v>
      </c>
      <c r="AN86" s="141"/>
      <c r="AO86" s="142">
        <f>AO83-AO72</f>
        <v>0.50003044230478166</v>
      </c>
      <c r="AP86" s="141"/>
      <c r="AQ86" s="142">
        <f t="shared" ref="AQ86" si="893">AQ83-AQ72</f>
        <v>0.34468422734157256</v>
      </c>
      <c r="AR86" s="141"/>
      <c r="AS86" s="142">
        <f t="shared" ref="AS86" si="894">AS83-AS72</f>
        <v>0.22016016239693384</v>
      </c>
      <c r="AT86" s="141"/>
      <c r="AU86" s="142">
        <f t="shared" ref="AU86" si="895">AU83-AU72</f>
        <v>0.30278963959781185</v>
      </c>
      <c r="AV86" s="141"/>
      <c r="AW86" s="142">
        <f t="shared" ref="AW86" si="896">AW83-AW72</f>
        <v>4.2214533994788722E-2</v>
      </c>
      <c r="AX86" s="141"/>
      <c r="AY86" s="142">
        <f t="shared" ref="AY86" si="897">AY83-AY72</f>
        <v>9.4930571096820959E-3</v>
      </c>
      <c r="AZ86" s="141"/>
      <c r="BA86" s="142">
        <f t="shared" ref="BA86:BC86" si="898">BA83-BA72</f>
        <v>-5.791591371163779E-3</v>
      </c>
      <c r="BB86" s="141"/>
      <c r="BC86" s="142">
        <f t="shared" si="898"/>
        <v>0.16567699444961342</v>
      </c>
      <c r="BD86" s="141"/>
      <c r="BE86" s="142">
        <f t="shared" ref="BE86:BI86" si="899">BE83-BE72</f>
        <v>0.30198191649683082</v>
      </c>
      <c r="BF86" s="141"/>
      <c r="BG86" s="142">
        <f t="shared" si="899"/>
        <v>0.41650190883150251</v>
      </c>
      <c r="BH86" s="141"/>
      <c r="BI86" s="142">
        <f t="shared" si="899"/>
        <v>0.49154564925715089</v>
      </c>
      <c r="BJ86" s="141"/>
      <c r="BK86" s="142">
        <f t="shared" ref="BK86:BM86" si="900">BK83-BK72</f>
        <v>0.70021590518300181</v>
      </c>
      <c r="BL86" s="141"/>
      <c r="BM86" s="142">
        <f t="shared" si="900"/>
        <v>0.59322400280290533</v>
      </c>
      <c r="BN86" s="141"/>
      <c r="BO86" s="142">
        <f t="shared" ref="BO86:BQ86" si="901">BO83-BO72</f>
        <v>0.39222446106810632</v>
      </c>
      <c r="BP86" s="141"/>
      <c r="BQ86" s="142">
        <f t="shared" si="901"/>
        <v>0.15530820764788245</v>
      </c>
      <c r="BR86" s="141"/>
      <c r="BS86" s="142">
        <f t="shared" ref="BS86:CS86" si="902">BS83-BS72</f>
        <v>0.21821668834020058</v>
      </c>
      <c r="BT86" s="141"/>
      <c r="BU86" s="142">
        <f t="shared" ref="BU86:BW86" si="903">BU83-BU72</f>
        <v>7.2561441729943374E-2</v>
      </c>
      <c r="BV86" s="141"/>
      <c r="BW86" s="142">
        <f t="shared" si="903"/>
        <v>0.18825629423917145</v>
      </c>
      <c r="BX86" s="141"/>
      <c r="BY86" s="142">
        <f t="shared" ref="BY86:CA86" si="904">BY83-BY72</f>
        <v>0.5607104968125689</v>
      </c>
      <c r="BZ86" s="141"/>
      <c r="CA86" s="142">
        <f t="shared" si="904"/>
        <v>0.53711097143962561</v>
      </c>
      <c r="CB86" s="141"/>
      <c r="CC86" s="142">
        <f t="shared" ref="CC86:CE86" si="905">CC83-CC72</f>
        <v>0.42765547895514167</v>
      </c>
      <c r="CD86" s="141"/>
      <c r="CE86" s="142">
        <f t="shared" si="905"/>
        <v>0.33964290576296974</v>
      </c>
      <c r="CF86" s="141"/>
      <c r="CG86" s="142">
        <f t="shared" ref="CG86:CI86" si="906">CG83-CG72</f>
        <v>0.37448169303460044</v>
      </c>
      <c r="CH86" s="141"/>
      <c r="CI86" s="142">
        <f t="shared" si="906"/>
        <v>0.65340709585041501</v>
      </c>
      <c r="CJ86" s="141"/>
      <c r="CK86" s="142">
        <f t="shared" ref="CK86:CM86" si="907">CK83-CK72</f>
        <v>0.70960109772924951</v>
      </c>
      <c r="CL86" s="141"/>
      <c r="CM86" s="142">
        <f t="shared" si="907"/>
        <v>0.40724009096741631</v>
      </c>
      <c r="CN86" s="141"/>
      <c r="CO86" s="142">
        <f t="shared" ref="CO86:CQ86" si="908">CO83-CO72</f>
        <v>0.40724009096741631</v>
      </c>
      <c r="CP86" s="141"/>
      <c r="CQ86" s="142">
        <f t="shared" si="908"/>
        <v>0.40724009096741631</v>
      </c>
      <c r="CR86" s="141"/>
      <c r="CS86" s="142">
        <f t="shared" si="902"/>
        <v>0.2264354698915676</v>
      </c>
      <c r="CT86" s="141"/>
      <c r="CU86" s="142">
        <f t="shared" ref="CU86" si="909">CU83-CU72</f>
        <v>0.2264354698915676</v>
      </c>
      <c r="CV86" s="141"/>
      <c r="CW86" s="142">
        <f>CW83-CW72</f>
        <v>2.8517043522027649E-2</v>
      </c>
      <c r="CX86" s="141"/>
      <c r="CY86" s="142">
        <f>CY83-CY72</f>
        <v>-0.29728013876762094</v>
      </c>
      <c r="CZ86" s="141"/>
      <c r="DA86" s="142">
        <f>DA83-DA72</f>
        <v>-0.12993220210296708</v>
      </c>
      <c r="DB86" s="141"/>
      <c r="DC86" s="142">
        <f>DC83-DC72</f>
        <v>0.40226055158496488</v>
      </c>
      <c r="DD86" s="141"/>
      <c r="DE86" s="142">
        <f>DE83-DE72</f>
        <v>-0.12671009778818668</v>
      </c>
      <c r="DF86" s="141"/>
      <c r="DG86" s="142">
        <f>DG83-DG72</f>
        <v>0.10442505374946665</v>
      </c>
      <c r="DH86" s="141"/>
      <c r="DI86" s="142">
        <f>DI83-DI72</f>
        <v>0.56455492387933748</v>
      </c>
      <c r="DJ86" s="141"/>
      <c r="DK86" s="142">
        <f>DK83-DK72</f>
        <v>0.2683763121164654</v>
      </c>
      <c r="DL86" s="141"/>
      <c r="DM86" s="142">
        <f>DM83-DM72</f>
        <v>0.35928540302555623</v>
      </c>
      <c r="DN86" s="141"/>
      <c r="DO86" s="142">
        <f>DO83-DO72</f>
        <v>-2.1623687883534748E-2</v>
      </c>
      <c r="DP86" s="141"/>
      <c r="DQ86" s="142">
        <f>DQ83-DQ72</f>
        <v>7.3654421237571696E-2</v>
      </c>
      <c r="DR86" s="141"/>
      <c r="DS86" s="142">
        <f>DS83-DS72</f>
        <v>0.31781026539341573</v>
      </c>
    </row>
    <row r="87" spans="1:123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6.3846881512664322E-2</v>
      </c>
      <c r="H87" s="132"/>
      <c r="I87" s="133">
        <f>I86/I67</f>
        <v>2.532746281847947E-2</v>
      </c>
      <c r="J87" s="132"/>
      <c r="K87" s="133">
        <f t="shared" ref="K87" si="910">K86/K67</f>
        <v>2.532746281847947E-2</v>
      </c>
      <c r="L87" s="132"/>
      <c r="M87" s="133">
        <f t="shared" ref="M87" si="911">M86/M67</f>
        <v>2.532746281847947E-2</v>
      </c>
      <c r="N87" s="381"/>
      <c r="O87" s="1096">
        <f>O86/O67</f>
        <v>3.9767115133930102E-2</v>
      </c>
      <c r="P87" s="381"/>
      <c r="Q87" s="1096">
        <f>Q86/Q67</f>
        <v>0.86368260126854712</v>
      </c>
      <c r="R87" s="381"/>
      <c r="S87" s="1096">
        <f>S86/S67</f>
        <v>0.86368260126854712</v>
      </c>
      <c r="T87" s="381"/>
      <c r="U87" s="1096">
        <f>U86/U67</f>
        <v>-8.0814965059184569E-3</v>
      </c>
      <c r="V87" s="381"/>
      <c r="W87" s="1096">
        <f>W86/W67</f>
        <v>-1.1625925530988361E-2</v>
      </c>
      <c r="X87" s="381"/>
      <c r="Y87" s="1096">
        <f>Y86/Y67</f>
        <v>-4.1687609666441069E-2</v>
      </c>
      <c r="Z87" s="381"/>
      <c r="AA87" s="1096">
        <f>AA86/AA67</f>
        <v>-7.1195502051462564E-2</v>
      </c>
      <c r="AB87" s="381"/>
      <c r="AC87" s="1096">
        <f>AC86/AC67</f>
        <v>-4.8218984756257438E-2</v>
      </c>
      <c r="AD87" s="381"/>
      <c r="AE87" s="1096">
        <f>AE86/AE67</f>
        <v>-2.9966216376798509E-2</v>
      </c>
      <c r="AF87" s="381"/>
      <c r="AG87" s="1096">
        <f>AG86/AG67</f>
        <v>-6.7765549396165747E-2</v>
      </c>
      <c r="AH87" s="381"/>
      <c r="AI87" s="1096">
        <f>AI86/AI67</f>
        <v>9.2817432685484667E-3</v>
      </c>
      <c r="AJ87" s="381"/>
      <c r="AK87" s="1096">
        <f>AK86/AK67</f>
        <v>5.3536949706264776E-2</v>
      </c>
      <c r="AL87" s="381"/>
      <c r="AM87" s="1096">
        <f>AM86/AM67</f>
        <v>6.7095117094824339E-2</v>
      </c>
      <c r="AN87" s="381"/>
      <c r="AO87" s="1096">
        <f>AO86/AO67</f>
        <v>8.757100565757997E-2</v>
      </c>
      <c r="AP87" s="381"/>
      <c r="AQ87" s="1096">
        <f t="shared" ref="AQ87" si="912">AQ86/AQ67</f>
        <v>6.0365013544933899E-2</v>
      </c>
      <c r="AR87" s="381"/>
      <c r="AS87" s="1096">
        <f t="shared" ref="AS87" si="913">AS86/AS67</f>
        <v>3.8556946129060216E-2</v>
      </c>
      <c r="AT87" s="381"/>
      <c r="AU87" s="1096">
        <f t="shared" ref="AU87" si="914">AU86/AU67</f>
        <v>5.3027957898040608E-2</v>
      </c>
      <c r="AV87" s="381"/>
      <c r="AW87" s="1096">
        <f t="shared" ref="AW87" si="915">AW86/AW67</f>
        <v>7.3930882652869919E-3</v>
      </c>
      <c r="AX87" s="381"/>
      <c r="AY87" s="1096">
        <f t="shared" ref="AY87" si="916">AY86/AY67</f>
        <v>1.6625318931142025E-3</v>
      </c>
      <c r="AZ87" s="381"/>
      <c r="BA87" s="1096">
        <f t="shared" ref="BA87:BC87" si="917">BA86/BA67</f>
        <v>-1.0142892068588055E-3</v>
      </c>
      <c r="BB87" s="381"/>
      <c r="BC87" s="1096">
        <f t="shared" si="917"/>
        <v>2.9015235455273805E-2</v>
      </c>
      <c r="BD87" s="381"/>
      <c r="BE87" s="1096">
        <f t="shared" ref="BE87:BI87" si="918">BE86/BE67</f>
        <v>5.2886500262141999E-2</v>
      </c>
      <c r="BF87" s="381"/>
      <c r="BG87" s="1096">
        <f t="shared" si="918"/>
        <v>7.2942540951226362E-2</v>
      </c>
      <c r="BH87" s="381"/>
      <c r="BI87" s="1096">
        <f t="shared" si="918"/>
        <v>8.6085052409308388E-2</v>
      </c>
      <c r="BJ87" s="381"/>
      <c r="BK87" s="1096">
        <f t="shared" ref="BK87:BM87" si="919">BK86/BK67</f>
        <v>0.11989998376421264</v>
      </c>
      <c r="BL87" s="381"/>
      <c r="BM87" s="1096">
        <f t="shared" si="919"/>
        <v>0.10157945253474407</v>
      </c>
      <c r="BN87" s="381"/>
      <c r="BO87" s="1096">
        <f t="shared" ref="BO87:BQ87" si="920">BO86/BO67</f>
        <v>6.7161722785634648E-2</v>
      </c>
      <c r="BP87" s="381"/>
      <c r="BQ87" s="1096">
        <f t="shared" si="920"/>
        <v>2.6593871172582613E-2</v>
      </c>
      <c r="BR87" s="381"/>
      <c r="BS87" s="1096">
        <f t="shared" ref="BS87:CS87" si="921">BS86/BS67</f>
        <v>3.736587129113024E-2</v>
      </c>
      <c r="BT87" s="381"/>
      <c r="BU87" s="1096">
        <f t="shared" ref="BU87:BW87" si="922">BU86/BU67</f>
        <v>1.2424904405812221E-2</v>
      </c>
      <c r="BV87" s="381"/>
      <c r="BW87" s="1096">
        <f t="shared" si="922"/>
        <v>3.2235666821775935E-2</v>
      </c>
      <c r="BX87" s="381"/>
      <c r="BY87" s="1096">
        <f t="shared" ref="BY87:CA87" si="923">BY86/BY67</f>
        <v>9.6012071372015229E-2</v>
      </c>
      <c r="BZ87" s="381"/>
      <c r="CA87" s="1096">
        <f t="shared" si="923"/>
        <v>9.197105675336055E-2</v>
      </c>
      <c r="CB87" s="381"/>
      <c r="CC87" s="1096">
        <f t="shared" ref="CC87:CE87" si="924">CC86/CC67</f>
        <v>7.3228677903277681E-2</v>
      </c>
      <c r="CD87" s="381"/>
      <c r="CE87" s="1096">
        <f t="shared" si="924"/>
        <v>5.8158031808727695E-2</v>
      </c>
      <c r="CF87" s="381"/>
      <c r="CG87" s="1096">
        <f t="shared" ref="CG87:CI87" si="925">CG86/CG67</f>
        <v>6.4123577574417889E-2</v>
      </c>
      <c r="CH87" s="381"/>
      <c r="CI87" s="1096">
        <f t="shared" si="925"/>
        <v>0.1118847766867149</v>
      </c>
      <c r="CJ87" s="381"/>
      <c r="CK87" s="1096">
        <f t="shared" ref="CK87:CM87" si="926">CK86/CK67</f>
        <v>0.12150703728240574</v>
      </c>
      <c r="CL87" s="381"/>
      <c r="CM87" s="1096">
        <f t="shared" si="926"/>
        <v>6.9732892288941153E-2</v>
      </c>
      <c r="CN87" s="381"/>
      <c r="CO87" s="1096">
        <f t="shared" ref="CO87:CQ87" si="927">CO86/CO67</f>
        <v>6.9732892288941153E-2</v>
      </c>
      <c r="CP87" s="381"/>
      <c r="CQ87" s="1096">
        <f t="shared" si="927"/>
        <v>6.9732892288941153E-2</v>
      </c>
      <c r="CR87" s="381"/>
      <c r="CS87" s="1096">
        <f t="shared" si="921"/>
        <v>3.8773196899241025E-2</v>
      </c>
      <c r="CT87" s="381"/>
      <c r="CU87" s="1096">
        <f t="shared" ref="CU87" si="928">CU86/CU67</f>
        <v>3.8773196899241025E-2</v>
      </c>
      <c r="CV87" s="381"/>
      <c r="CW87" s="1096">
        <f>CW86/CW67</f>
        <v>5.0027950133635316E-3</v>
      </c>
      <c r="CX87" s="381"/>
      <c r="CY87" s="1096">
        <f>CY86/CY67</f>
        <v>-5.2063071588024694E-2</v>
      </c>
      <c r="CZ87" s="381"/>
      <c r="DA87" s="1096">
        <f>DA86/DA67</f>
        <v>-2.2755201769346249E-2</v>
      </c>
      <c r="DB87" s="381"/>
      <c r="DC87" s="1096">
        <f>DC86/DC67</f>
        <v>7.0448432852007858E-2</v>
      </c>
      <c r="DD87" s="381"/>
      <c r="DE87" s="1096">
        <f>DE86/DE67</f>
        <v>-2.2211002191288458E-2</v>
      </c>
      <c r="DF87" s="381"/>
      <c r="DG87" s="1096">
        <f>DG86/DG67</f>
        <v>1.8288100481517803E-2</v>
      </c>
      <c r="DH87" s="381"/>
      <c r="DI87" s="1096">
        <f>DI86/DI67</f>
        <v>8.685460367374423E-2</v>
      </c>
      <c r="DJ87" s="381"/>
      <c r="DK87" s="1096">
        <f>DK86/DK67</f>
        <v>4.1288663402533135E-2</v>
      </c>
      <c r="DL87" s="381"/>
      <c r="DM87" s="1096">
        <f>DM86/DM67</f>
        <v>5.5274677388547112E-2</v>
      </c>
      <c r="DN87" s="381"/>
      <c r="DO87" s="1096">
        <f>DO86/DO67</f>
        <v>-3.7869856188327052E-3</v>
      </c>
      <c r="DP87" s="381"/>
      <c r="DQ87" s="1096">
        <f>DQ86/DQ67</f>
        <v>1.2899198115161417E-2</v>
      </c>
      <c r="DR87" s="381"/>
      <c r="DS87" s="1096">
        <f>DS86/DS67</f>
        <v>5.5658540349109588E-2</v>
      </c>
    </row>
    <row r="88" spans="1:123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381"/>
      <c r="O88" s="382"/>
      <c r="P88" s="381"/>
      <c r="Q88" s="382"/>
      <c r="R88" s="381"/>
      <c r="S88" s="382"/>
      <c r="T88" s="381"/>
      <c r="U88" s="382"/>
      <c r="V88" s="381"/>
      <c r="W88" s="382"/>
      <c r="X88" s="381"/>
      <c r="Y88" s="382"/>
      <c r="Z88" s="381"/>
      <c r="AA88" s="382"/>
      <c r="AB88" s="381"/>
      <c r="AC88" s="382"/>
      <c r="AD88" s="381"/>
      <c r="AE88" s="382"/>
      <c r="AF88" s="381"/>
      <c r="AG88" s="382"/>
      <c r="AH88" s="381"/>
      <c r="AI88" s="382"/>
      <c r="AJ88" s="381"/>
      <c r="AK88" s="382"/>
      <c r="AL88" s="381"/>
      <c r="AM88" s="382"/>
      <c r="AN88" s="381"/>
      <c r="AO88" s="382"/>
      <c r="AP88" s="381"/>
      <c r="AQ88" s="382"/>
      <c r="AR88" s="381"/>
      <c r="AS88" s="382"/>
      <c r="AT88" s="381"/>
      <c r="AU88" s="382"/>
      <c r="AV88" s="381"/>
      <c r="AW88" s="382"/>
      <c r="AX88" s="381"/>
      <c r="AY88" s="382"/>
      <c r="AZ88" s="381"/>
      <c r="BA88" s="382"/>
      <c r="BB88" s="381"/>
      <c r="BC88" s="382"/>
      <c r="BD88" s="381"/>
      <c r="BE88" s="382"/>
      <c r="BF88" s="381"/>
      <c r="BG88" s="382"/>
      <c r="BH88" s="381"/>
      <c r="BI88" s="382"/>
      <c r="BJ88" s="381"/>
      <c r="BK88" s="382"/>
      <c r="BL88" s="381"/>
      <c r="BM88" s="382"/>
      <c r="BN88" s="381"/>
      <c r="BO88" s="382"/>
      <c r="BP88" s="381"/>
      <c r="BQ88" s="382"/>
      <c r="BR88" s="381"/>
      <c r="BS88" s="382"/>
      <c r="BT88" s="381"/>
      <c r="BU88" s="382"/>
      <c r="BV88" s="381"/>
      <c r="BW88" s="382"/>
      <c r="BX88" s="381"/>
      <c r="BY88" s="382"/>
      <c r="BZ88" s="381"/>
      <c r="CA88" s="382"/>
      <c r="CB88" s="381"/>
      <c r="CC88" s="382"/>
      <c r="CD88" s="381"/>
      <c r="CE88" s="382"/>
      <c r="CF88" s="381"/>
      <c r="CG88" s="382"/>
      <c r="CH88" s="381"/>
      <c r="CI88" s="382"/>
      <c r="CJ88" s="381"/>
      <c r="CK88" s="382"/>
      <c r="CL88" s="381"/>
      <c r="CM88" s="382"/>
      <c r="CN88" s="381"/>
      <c r="CO88" s="382"/>
      <c r="CP88" s="381"/>
      <c r="CQ88" s="382"/>
      <c r="CR88" s="381"/>
      <c r="CS88" s="382"/>
      <c r="CT88" s="381"/>
      <c r="CU88" s="382"/>
      <c r="CV88" s="381"/>
      <c r="CW88" s="382"/>
      <c r="CX88" s="381"/>
      <c r="CY88" s="382"/>
      <c r="CZ88" s="381"/>
      <c r="DA88" s="382"/>
      <c r="DB88" s="381"/>
      <c r="DC88" s="382"/>
      <c r="DD88" s="381"/>
      <c r="DE88" s="382"/>
      <c r="DF88" s="381"/>
      <c r="DG88" s="382"/>
      <c r="DH88" s="381"/>
      <c r="DI88" s="382"/>
      <c r="DJ88" s="381"/>
      <c r="DK88" s="382"/>
      <c r="DL88" s="381"/>
      <c r="DM88" s="382"/>
      <c r="DN88" s="381"/>
      <c r="DO88" s="382"/>
      <c r="DP88" s="381"/>
      <c r="DQ88" s="382"/>
      <c r="DR88" s="381"/>
      <c r="DS88" s="382"/>
    </row>
    <row r="89" spans="1:123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0.34459330979792913</v>
      </c>
      <c r="H89" s="146"/>
      <c r="I89" s="147">
        <f>I86</f>
        <v>0.13362912072961139</v>
      </c>
      <c r="J89" s="146"/>
      <c r="K89" s="147">
        <f t="shared" ref="K89" si="929">K86</f>
        <v>0.13362912072961139</v>
      </c>
      <c r="L89" s="146"/>
      <c r="M89" s="147">
        <f t="shared" ref="M89" si="930">M86</f>
        <v>0.13362912072961139</v>
      </c>
      <c r="N89" s="146"/>
      <c r="O89" s="147">
        <f>O86</f>
        <v>0.22578710542674801</v>
      </c>
      <c r="P89" s="146"/>
      <c r="Q89" s="147">
        <f>Q86</f>
        <v>4.931627653243404</v>
      </c>
      <c r="R89" s="146"/>
      <c r="S89" s="147">
        <f>S86</f>
        <v>4.931627653243404</v>
      </c>
      <c r="T89" s="146"/>
      <c r="U89" s="147">
        <f>U86</f>
        <v>-4.6145345048794389E-2</v>
      </c>
      <c r="V89" s="146"/>
      <c r="W89" s="147">
        <f>W86</f>
        <v>-6.6384034781943546E-2</v>
      </c>
      <c r="X89" s="146"/>
      <c r="Y89" s="147">
        <f>Y86</f>
        <v>-0.23803625119537852</v>
      </c>
      <c r="Z89" s="146"/>
      <c r="AA89" s="147">
        <f>AA86</f>
        <v>-0.40652631671385125</v>
      </c>
      <c r="AB89" s="146"/>
      <c r="AC89" s="147">
        <f>AC86</f>
        <v>-0.27533040295822997</v>
      </c>
      <c r="AD89" s="146"/>
      <c r="AE89" s="147">
        <f>AE86</f>
        <v>-0.17110709551151948</v>
      </c>
      <c r="AF89" s="146"/>
      <c r="AG89" s="147">
        <f>AG86</f>
        <v>-0.38694128705210645</v>
      </c>
      <c r="AH89" s="146"/>
      <c r="AI89" s="147">
        <f>AI86</f>
        <v>5.2998754063411743E-2</v>
      </c>
      <c r="AJ89" s="146"/>
      <c r="AK89" s="147">
        <f>AK86</f>
        <v>0.30569598282277188</v>
      </c>
      <c r="AL89" s="146"/>
      <c r="AM89" s="147">
        <f>AM86</f>
        <v>0.38311311861144698</v>
      </c>
      <c r="AN89" s="146"/>
      <c r="AO89" s="147">
        <f>AO86</f>
        <v>0.50003044230478166</v>
      </c>
      <c r="AP89" s="146"/>
      <c r="AQ89" s="147">
        <f t="shared" ref="AQ89" si="931">AQ86</f>
        <v>0.34468422734157256</v>
      </c>
      <c r="AR89" s="146"/>
      <c r="AS89" s="147">
        <f t="shared" ref="AS89" si="932">AS86</f>
        <v>0.22016016239693384</v>
      </c>
      <c r="AT89" s="146"/>
      <c r="AU89" s="147">
        <f t="shared" ref="AU89" si="933">AU86</f>
        <v>0.30278963959781185</v>
      </c>
      <c r="AV89" s="146"/>
      <c r="AW89" s="147">
        <f t="shared" ref="AW89" si="934">AW86</f>
        <v>4.2214533994788722E-2</v>
      </c>
      <c r="AX89" s="146"/>
      <c r="AY89" s="147">
        <f t="shared" ref="AY89" si="935">AY86</f>
        <v>9.4930571096820959E-3</v>
      </c>
      <c r="AZ89" s="146"/>
      <c r="BA89" s="147">
        <f t="shared" ref="BA89:BC89" si="936">BA86</f>
        <v>-5.791591371163779E-3</v>
      </c>
      <c r="BB89" s="146"/>
      <c r="BC89" s="147">
        <f t="shared" si="936"/>
        <v>0.16567699444961342</v>
      </c>
      <c r="BD89" s="146"/>
      <c r="BE89" s="147">
        <f t="shared" ref="BE89:BI89" si="937">BE86</f>
        <v>0.30198191649683082</v>
      </c>
      <c r="BF89" s="146"/>
      <c r="BG89" s="147">
        <f t="shared" si="937"/>
        <v>0.41650190883150251</v>
      </c>
      <c r="BH89" s="146"/>
      <c r="BI89" s="147">
        <f t="shared" si="937"/>
        <v>0.49154564925715089</v>
      </c>
      <c r="BJ89" s="146"/>
      <c r="BK89" s="147">
        <f t="shared" ref="BK89:BM89" si="938">BK86</f>
        <v>0.70021590518300181</v>
      </c>
      <c r="BL89" s="146"/>
      <c r="BM89" s="147">
        <f t="shared" si="938"/>
        <v>0.59322400280290533</v>
      </c>
      <c r="BN89" s="146"/>
      <c r="BO89" s="147">
        <f t="shared" ref="BO89:BQ89" si="939">BO86</f>
        <v>0.39222446106810632</v>
      </c>
      <c r="BP89" s="146"/>
      <c r="BQ89" s="147">
        <f t="shared" si="939"/>
        <v>0.15530820764788245</v>
      </c>
      <c r="BR89" s="146"/>
      <c r="BS89" s="147">
        <f t="shared" ref="BS89:CS89" si="940">BS86</f>
        <v>0.21821668834020058</v>
      </c>
      <c r="BT89" s="146"/>
      <c r="BU89" s="147">
        <f t="shared" ref="BU89:BW89" si="941">BU86</f>
        <v>7.2561441729943374E-2</v>
      </c>
      <c r="BV89" s="146"/>
      <c r="BW89" s="147">
        <f t="shared" si="941"/>
        <v>0.18825629423917145</v>
      </c>
      <c r="BX89" s="146"/>
      <c r="BY89" s="147">
        <f t="shared" ref="BY89:CA89" si="942">BY86</f>
        <v>0.5607104968125689</v>
      </c>
      <c r="BZ89" s="146"/>
      <c r="CA89" s="147">
        <f t="shared" si="942"/>
        <v>0.53711097143962561</v>
      </c>
      <c r="CB89" s="146"/>
      <c r="CC89" s="147">
        <f t="shared" ref="CC89:CE89" si="943">CC86</f>
        <v>0.42765547895514167</v>
      </c>
      <c r="CD89" s="146"/>
      <c r="CE89" s="147">
        <f t="shared" si="943"/>
        <v>0.33964290576296974</v>
      </c>
      <c r="CF89" s="146"/>
      <c r="CG89" s="147">
        <f t="shared" ref="CG89:CI89" si="944">CG86</f>
        <v>0.37448169303460044</v>
      </c>
      <c r="CH89" s="146"/>
      <c r="CI89" s="147">
        <f t="shared" si="944"/>
        <v>0.65340709585041501</v>
      </c>
      <c r="CJ89" s="146"/>
      <c r="CK89" s="147">
        <f t="shared" ref="CK89:CM89" si="945">CK86</f>
        <v>0.70960109772924951</v>
      </c>
      <c r="CL89" s="146"/>
      <c r="CM89" s="147">
        <f t="shared" si="945"/>
        <v>0.40724009096741631</v>
      </c>
      <c r="CN89" s="146"/>
      <c r="CO89" s="147">
        <f t="shared" ref="CO89:CQ89" si="946">CO86</f>
        <v>0.40724009096741631</v>
      </c>
      <c r="CP89" s="146"/>
      <c r="CQ89" s="147">
        <f t="shared" si="946"/>
        <v>0.40724009096741631</v>
      </c>
      <c r="CR89" s="146"/>
      <c r="CS89" s="147">
        <f t="shared" si="940"/>
        <v>0.2264354698915676</v>
      </c>
      <c r="CT89" s="146"/>
      <c r="CU89" s="147">
        <f t="shared" ref="CU89" si="947">CU86</f>
        <v>0.2264354698915676</v>
      </c>
      <c r="CV89" s="146"/>
      <c r="CW89" s="147">
        <f>CW86</f>
        <v>2.8517043522027649E-2</v>
      </c>
      <c r="CX89" s="146"/>
      <c r="CY89" s="147">
        <f>CY86</f>
        <v>-0.29728013876762094</v>
      </c>
      <c r="CZ89" s="146"/>
      <c r="DA89" s="147">
        <f>DA86</f>
        <v>-0.12993220210296708</v>
      </c>
      <c r="DB89" s="146"/>
      <c r="DC89" s="147">
        <f>DC86</f>
        <v>0.40226055158496488</v>
      </c>
      <c r="DD89" s="146"/>
      <c r="DE89" s="147">
        <f>DE86</f>
        <v>-0.12671009778818668</v>
      </c>
      <c r="DF89" s="146"/>
      <c r="DG89" s="147">
        <f>DG86</f>
        <v>0.10442505374946665</v>
      </c>
      <c r="DH89" s="146"/>
      <c r="DI89" s="147">
        <f>DI86</f>
        <v>0.56455492387933748</v>
      </c>
      <c r="DJ89" s="146"/>
      <c r="DK89" s="147">
        <f>DK86</f>
        <v>0.2683763121164654</v>
      </c>
      <c r="DL89" s="146"/>
      <c r="DM89" s="147">
        <f>DM86</f>
        <v>0.35928540302555623</v>
      </c>
      <c r="DN89" s="146"/>
      <c r="DO89" s="147">
        <f>DO86</f>
        <v>-2.1623687883534748E-2</v>
      </c>
      <c r="DP89" s="146"/>
      <c r="DQ89" s="147">
        <f>DQ86</f>
        <v>7.3654421237571696E-2</v>
      </c>
      <c r="DR89" s="146"/>
      <c r="DS89" s="147">
        <f>DS86</f>
        <v>0.31781026539341573</v>
      </c>
    </row>
    <row r="90" spans="1:123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6.3846881512664322E-2</v>
      </c>
      <c r="H90" s="132"/>
      <c r="I90" s="133">
        <f>I89/I67</f>
        <v>2.532746281847947E-2</v>
      </c>
      <c r="J90" s="132"/>
      <c r="K90" s="133">
        <f t="shared" ref="K90" si="948">K89/K67</f>
        <v>2.532746281847947E-2</v>
      </c>
      <c r="L90" s="132"/>
      <c r="M90" s="133">
        <f t="shared" ref="M90" si="949">M89/M67</f>
        <v>2.532746281847947E-2</v>
      </c>
      <c r="N90" s="381"/>
      <c r="O90" s="1096">
        <f>O89/O67</f>
        <v>3.9767115133930102E-2</v>
      </c>
      <c r="P90" s="381"/>
      <c r="Q90" s="1096">
        <f>Q89/Q67</f>
        <v>0.86368260126854712</v>
      </c>
      <c r="R90" s="381"/>
      <c r="S90" s="1096">
        <f>S89/S67</f>
        <v>0.86368260126854712</v>
      </c>
      <c r="T90" s="381"/>
      <c r="U90" s="1096">
        <f>U89/U67</f>
        <v>-8.0814965059184569E-3</v>
      </c>
      <c r="V90" s="381"/>
      <c r="W90" s="1096">
        <f>W89/W67</f>
        <v>-1.1625925530988361E-2</v>
      </c>
      <c r="X90" s="381"/>
      <c r="Y90" s="1096">
        <f>Y89/Y67</f>
        <v>-4.1687609666441069E-2</v>
      </c>
      <c r="Z90" s="381"/>
      <c r="AA90" s="1096">
        <f>AA89/AA67</f>
        <v>-7.1195502051462564E-2</v>
      </c>
      <c r="AB90" s="381"/>
      <c r="AC90" s="1096">
        <f>AC89/AC67</f>
        <v>-4.8218984756257438E-2</v>
      </c>
      <c r="AD90" s="381"/>
      <c r="AE90" s="1096">
        <f>AE89/AE67</f>
        <v>-2.9966216376798509E-2</v>
      </c>
      <c r="AF90" s="381"/>
      <c r="AG90" s="1096">
        <f>AG89/AG67</f>
        <v>-6.7765549396165747E-2</v>
      </c>
      <c r="AH90" s="381"/>
      <c r="AI90" s="1096">
        <f>AI89/AI67</f>
        <v>9.2817432685484667E-3</v>
      </c>
      <c r="AJ90" s="381"/>
      <c r="AK90" s="1096">
        <f>AK89/AK67</f>
        <v>5.3536949706264776E-2</v>
      </c>
      <c r="AL90" s="381"/>
      <c r="AM90" s="1096">
        <f>AM89/AM67</f>
        <v>6.7095117094824339E-2</v>
      </c>
      <c r="AN90" s="381"/>
      <c r="AO90" s="1096">
        <f>AO89/AO67</f>
        <v>8.757100565757997E-2</v>
      </c>
      <c r="AP90" s="381"/>
      <c r="AQ90" s="1096">
        <f t="shared" ref="AQ90" si="950">AQ89/AQ67</f>
        <v>6.0365013544933899E-2</v>
      </c>
      <c r="AR90" s="381"/>
      <c r="AS90" s="1096">
        <f t="shared" ref="AS90" si="951">AS89/AS67</f>
        <v>3.8556946129060216E-2</v>
      </c>
      <c r="AT90" s="381"/>
      <c r="AU90" s="1096">
        <f t="shared" ref="AU90" si="952">AU89/AU67</f>
        <v>5.3027957898040608E-2</v>
      </c>
      <c r="AV90" s="381"/>
      <c r="AW90" s="1096">
        <f t="shared" ref="AW90" si="953">AW89/AW67</f>
        <v>7.3930882652869919E-3</v>
      </c>
      <c r="AX90" s="381"/>
      <c r="AY90" s="1096">
        <f t="shared" ref="AY90" si="954">AY89/AY67</f>
        <v>1.6625318931142025E-3</v>
      </c>
      <c r="AZ90" s="381"/>
      <c r="BA90" s="1096">
        <f t="shared" ref="BA90:BC90" si="955">BA89/BA67</f>
        <v>-1.0142892068588055E-3</v>
      </c>
      <c r="BB90" s="381"/>
      <c r="BC90" s="1096">
        <f t="shared" si="955"/>
        <v>2.9015235455273805E-2</v>
      </c>
      <c r="BD90" s="381"/>
      <c r="BE90" s="1096">
        <f t="shared" ref="BE90:BI90" si="956">BE89/BE67</f>
        <v>5.2886500262141999E-2</v>
      </c>
      <c r="BF90" s="381"/>
      <c r="BG90" s="1096">
        <f t="shared" si="956"/>
        <v>7.2942540951226362E-2</v>
      </c>
      <c r="BH90" s="381"/>
      <c r="BI90" s="1096">
        <f t="shared" si="956"/>
        <v>8.6085052409308388E-2</v>
      </c>
      <c r="BJ90" s="381"/>
      <c r="BK90" s="1096">
        <f t="shared" ref="BK90:BM90" si="957">BK89/BK67</f>
        <v>0.11989998376421264</v>
      </c>
      <c r="BL90" s="381"/>
      <c r="BM90" s="1096">
        <f t="shared" si="957"/>
        <v>0.10157945253474407</v>
      </c>
      <c r="BN90" s="381"/>
      <c r="BO90" s="1096">
        <f t="shared" ref="BO90:BQ90" si="958">BO89/BO67</f>
        <v>6.7161722785634648E-2</v>
      </c>
      <c r="BP90" s="381"/>
      <c r="BQ90" s="1096">
        <f t="shared" si="958"/>
        <v>2.6593871172582613E-2</v>
      </c>
      <c r="BR90" s="381"/>
      <c r="BS90" s="1096">
        <f t="shared" ref="BS90:CS90" si="959">BS89/BS67</f>
        <v>3.736587129113024E-2</v>
      </c>
      <c r="BT90" s="381"/>
      <c r="BU90" s="1096">
        <f t="shared" ref="BU90:BW90" si="960">BU89/BU67</f>
        <v>1.2424904405812221E-2</v>
      </c>
      <c r="BV90" s="381"/>
      <c r="BW90" s="1096">
        <f t="shared" si="960"/>
        <v>3.2235666821775935E-2</v>
      </c>
      <c r="BX90" s="381"/>
      <c r="BY90" s="1096">
        <f t="shared" ref="BY90:CA90" si="961">BY89/BY67</f>
        <v>9.6012071372015229E-2</v>
      </c>
      <c r="BZ90" s="381"/>
      <c r="CA90" s="1096">
        <f t="shared" si="961"/>
        <v>9.197105675336055E-2</v>
      </c>
      <c r="CB90" s="381"/>
      <c r="CC90" s="1096">
        <f t="shared" ref="CC90:CE90" si="962">CC89/CC67</f>
        <v>7.3228677903277681E-2</v>
      </c>
      <c r="CD90" s="381"/>
      <c r="CE90" s="1096">
        <f t="shared" si="962"/>
        <v>5.8158031808727695E-2</v>
      </c>
      <c r="CF90" s="381"/>
      <c r="CG90" s="1096">
        <f t="shared" ref="CG90:CI90" si="963">CG89/CG67</f>
        <v>6.4123577574417889E-2</v>
      </c>
      <c r="CH90" s="381"/>
      <c r="CI90" s="1096">
        <f t="shared" si="963"/>
        <v>0.1118847766867149</v>
      </c>
      <c r="CJ90" s="381"/>
      <c r="CK90" s="1096">
        <f t="shared" ref="CK90:CM90" si="964">CK89/CK67</f>
        <v>0.12150703728240574</v>
      </c>
      <c r="CL90" s="381"/>
      <c r="CM90" s="1096">
        <f t="shared" si="964"/>
        <v>6.9732892288941153E-2</v>
      </c>
      <c r="CN90" s="381"/>
      <c r="CO90" s="1096">
        <f t="shared" ref="CO90:CQ90" si="965">CO89/CO67</f>
        <v>6.9732892288941153E-2</v>
      </c>
      <c r="CP90" s="381"/>
      <c r="CQ90" s="1096">
        <f t="shared" si="965"/>
        <v>6.9732892288941153E-2</v>
      </c>
      <c r="CR90" s="381"/>
      <c r="CS90" s="1096">
        <f t="shared" si="959"/>
        <v>3.8773196899241025E-2</v>
      </c>
      <c r="CT90" s="381"/>
      <c r="CU90" s="1096">
        <f t="shared" ref="CU90" si="966">CU89/CU67</f>
        <v>3.8773196899241025E-2</v>
      </c>
      <c r="CV90" s="381"/>
      <c r="CW90" s="1096">
        <f>CW89/CW67</f>
        <v>5.0027950133635316E-3</v>
      </c>
      <c r="CX90" s="381"/>
      <c r="CY90" s="1096">
        <f>CY89/CY67</f>
        <v>-5.2063071588024694E-2</v>
      </c>
      <c r="CZ90" s="381"/>
      <c r="DA90" s="1096">
        <f>DA89/DA67</f>
        <v>-2.2755201769346249E-2</v>
      </c>
      <c r="DB90" s="381"/>
      <c r="DC90" s="1096">
        <f>DC89/DC67</f>
        <v>7.0448432852007858E-2</v>
      </c>
      <c r="DD90" s="381"/>
      <c r="DE90" s="1096">
        <f>DE89/DE67</f>
        <v>-2.2211002191288458E-2</v>
      </c>
      <c r="DF90" s="381"/>
      <c r="DG90" s="1096">
        <f>DG89/DG67</f>
        <v>1.8288100481517803E-2</v>
      </c>
      <c r="DH90" s="381"/>
      <c r="DI90" s="1096">
        <f>DI89/DI67</f>
        <v>8.685460367374423E-2</v>
      </c>
      <c r="DJ90" s="381"/>
      <c r="DK90" s="1096">
        <f>DK89/DK67</f>
        <v>4.1288663402533135E-2</v>
      </c>
      <c r="DL90" s="381"/>
      <c r="DM90" s="1096">
        <f>DM89/DM67</f>
        <v>5.5274677388547112E-2</v>
      </c>
      <c r="DN90" s="381"/>
      <c r="DO90" s="1096">
        <f>DO89/DO67</f>
        <v>-3.7869856188327052E-3</v>
      </c>
      <c r="DP90" s="381"/>
      <c r="DQ90" s="1096">
        <f>DQ89/DQ67</f>
        <v>1.2899198115161417E-2</v>
      </c>
      <c r="DR90" s="381"/>
      <c r="DS90" s="1096">
        <f>DS89/DS67</f>
        <v>5.5658540349109588E-2</v>
      </c>
    </row>
    <row r="91" spans="1:123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381"/>
      <c r="O91" s="382"/>
      <c r="P91" s="381"/>
      <c r="Q91" s="382"/>
      <c r="R91" s="381"/>
      <c r="S91" s="382"/>
      <c r="T91" s="381"/>
      <c r="U91" s="382"/>
      <c r="V91" s="381"/>
      <c r="W91" s="382"/>
      <c r="X91" s="381"/>
      <c r="Y91" s="382"/>
      <c r="Z91" s="381"/>
      <c r="AA91" s="382"/>
      <c r="AB91" s="381"/>
      <c r="AC91" s="382"/>
      <c r="AD91" s="381"/>
      <c r="AE91" s="382"/>
      <c r="AF91" s="381"/>
      <c r="AG91" s="382"/>
      <c r="AH91" s="381"/>
      <c r="AI91" s="382"/>
      <c r="AJ91" s="381"/>
      <c r="AK91" s="382"/>
      <c r="AL91" s="381"/>
      <c r="AM91" s="382"/>
      <c r="AN91" s="381"/>
      <c r="AO91" s="382"/>
      <c r="AP91" s="381"/>
      <c r="AQ91" s="382"/>
      <c r="AR91" s="381"/>
      <c r="AS91" s="382"/>
      <c r="AT91" s="381"/>
      <c r="AU91" s="382"/>
      <c r="AV91" s="381"/>
      <c r="AW91" s="382"/>
      <c r="AX91" s="381"/>
      <c r="AY91" s="382"/>
      <c r="AZ91" s="381"/>
      <c r="BA91" s="382"/>
      <c r="BB91" s="381"/>
      <c r="BC91" s="382"/>
      <c r="BD91" s="381"/>
      <c r="BE91" s="382"/>
      <c r="BF91" s="381"/>
      <c r="BG91" s="382"/>
      <c r="BH91" s="381"/>
      <c r="BI91" s="382"/>
      <c r="BJ91" s="381"/>
      <c r="BK91" s="382"/>
      <c r="BL91" s="381"/>
      <c r="BM91" s="382"/>
      <c r="BN91" s="381"/>
      <c r="BO91" s="382"/>
      <c r="BP91" s="381"/>
      <c r="BQ91" s="382"/>
      <c r="BR91" s="381"/>
      <c r="BS91" s="382"/>
      <c r="BT91" s="381"/>
      <c r="BU91" s="382"/>
      <c r="BV91" s="381"/>
      <c r="BW91" s="382"/>
      <c r="BX91" s="381"/>
      <c r="BY91" s="382"/>
      <c r="BZ91" s="381"/>
      <c r="CA91" s="382"/>
      <c r="CB91" s="381"/>
      <c r="CC91" s="382"/>
      <c r="CD91" s="381"/>
      <c r="CE91" s="382"/>
      <c r="CF91" s="381"/>
      <c r="CG91" s="382"/>
      <c r="CH91" s="381"/>
      <c r="CI91" s="382"/>
      <c r="CJ91" s="381"/>
      <c r="CK91" s="382"/>
      <c r="CL91" s="381"/>
      <c r="CM91" s="382"/>
      <c r="CN91" s="381"/>
      <c r="CO91" s="382"/>
      <c r="CP91" s="381"/>
      <c r="CQ91" s="382"/>
      <c r="CR91" s="381"/>
      <c r="CS91" s="382"/>
      <c r="CT91" s="381"/>
      <c r="CU91" s="382"/>
      <c r="CV91" s="381"/>
      <c r="CW91" s="382"/>
      <c r="CX91" s="381"/>
      <c r="CY91" s="382"/>
      <c r="CZ91" s="381"/>
      <c r="DA91" s="382"/>
      <c r="DB91" s="381"/>
      <c r="DC91" s="382"/>
      <c r="DD91" s="381"/>
      <c r="DE91" s="382"/>
      <c r="DF91" s="381"/>
      <c r="DG91" s="382"/>
      <c r="DH91" s="381"/>
      <c r="DI91" s="382"/>
      <c r="DJ91" s="381"/>
      <c r="DK91" s="382"/>
      <c r="DL91" s="381"/>
      <c r="DM91" s="382"/>
      <c r="DN91" s="381"/>
      <c r="DO91" s="382"/>
      <c r="DP91" s="381"/>
      <c r="DQ91" s="382"/>
      <c r="DR91" s="381"/>
      <c r="DS91" s="382"/>
    </row>
    <row r="92" spans="1:123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257">
        <v>0</v>
      </c>
      <c r="AZ92" s="256"/>
      <c r="BA92" s="257">
        <v>0</v>
      </c>
      <c r="BB92" s="256"/>
      <c r="BC92" s="257">
        <v>0</v>
      </c>
      <c r="BD92" s="256"/>
      <c r="BE92" s="257">
        <v>0</v>
      </c>
      <c r="BF92" s="256"/>
      <c r="BG92" s="257">
        <v>0</v>
      </c>
      <c r="BH92" s="256"/>
      <c r="BI92" s="257">
        <v>0.25</v>
      </c>
      <c r="BJ92" s="256"/>
      <c r="BK92" s="257">
        <v>0.25</v>
      </c>
      <c r="BL92" s="256"/>
      <c r="BM92" s="257">
        <v>0.25</v>
      </c>
      <c r="BN92" s="256"/>
      <c r="BO92" s="257">
        <v>0.25</v>
      </c>
      <c r="BP92" s="256"/>
      <c r="BQ92" s="257">
        <v>0.25</v>
      </c>
      <c r="BR92" s="256"/>
      <c r="BS92" s="257">
        <v>0.25</v>
      </c>
      <c r="BT92" s="256"/>
      <c r="BU92" s="257">
        <v>0.25</v>
      </c>
      <c r="BV92" s="256"/>
      <c r="BW92" s="257">
        <v>0.25</v>
      </c>
      <c r="BX92" s="256"/>
      <c r="BY92" s="257">
        <v>0.25</v>
      </c>
      <c r="BZ92" s="256"/>
      <c r="CA92" s="257">
        <v>0.15</v>
      </c>
      <c r="CB92" s="256"/>
      <c r="CC92" s="257">
        <v>0.15</v>
      </c>
      <c r="CD92" s="256"/>
      <c r="CE92" s="257">
        <v>0.2</v>
      </c>
      <c r="CF92" s="256"/>
      <c r="CG92" s="257">
        <v>0.2</v>
      </c>
      <c r="CH92" s="256"/>
      <c r="CI92" s="257">
        <v>0.2</v>
      </c>
      <c r="CJ92" s="256"/>
      <c r="CK92" s="257">
        <v>0.25</v>
      </c>
      <c r="CL92" s="256"/>
      <c r="CM92" s="257">
        <v>0.25</v>
      </c>
      <c r="CN92" s="256"/>
      <c r="CO92" s="257">
        <v>0.15</v>
      </c>
      <c r="CP92" s="256"/>
      <c r="CQ92" s="257">
        <v>0.15</v>
      </c>
      <c r="CR92" s="256"/>
      <c r="CS92" s="257">
        <v>0.25</v>
      </c>
      <c r="CT92" s="256"/>
      <c r="CU92" s="257">
        <v>0.25</v>
      </c>
      <c r="CV92" s="256"/>
      <c r="CW92" s="257">
        <f>(SUMPRODUCT(U92,U$131)+SUMPRODUCT(W92,W$131)+SUMPRODUCT(O92,O$131))/SUM(O$131,U$131,W$131)</f>
        <v>0</v>
      </c>
      <c r="CX92" s="256"/>
      <c r="CY92" s="257">
        <f>(SUMPRODUCT(AA92,AA$131)+SUMPRODUCT(AC92,AC$131)+SUMPRODUCT(Y92,Y$131))/SUM(Y$131,AA$131,AC$131)</f>
        <v>0</v>
      </c>
      <c r="CZ92" s="256"/>
      <c r="DA92" s="257">
        <f>(SUMPRODUCT(AG92,AG$131)+SUMPRODUCT(AE92,AE$131)+SUMPRODUCT(AI92,AI$131))/SUM(AI$131,AG$131,AE$131)</f>
        <v>0</v>
      </c>
      <c r="DB92" s="256"/>
      <c r="DC92" s="257">
        <f>(SUMPRODUCT(AI92,AI$131)+SUMPRODUCT(AG92,AG$131)+SUMPRODUCT(CW92,CW$131))/SUM(CW$131,AI$131,AG$131)</f>
        <v>0</v>
      </c>
      <c r="DD92" s="256"/>
      <c r="DE92" s="257">
        <f>(SUMPRODUCT(O92,O$131)+SUMPRODUCT(U92,U$131)+SUMPRODUCT(W92,W$131)+SUMPRODUCT(Y92,Y$131)+SUMPRODUCT(AA92,AA$131)+SUMPRODUCT(AC92,AC$131))/SUM(U$131,O$131,W$131,Y$131,AA$131,AC$131)</f>
        <v>0</v>
      </c>
      <c r="DF92" s="256"/>
      <c r="DG92" s="257">
        <f>(SUMPRODUCT(CY92,CY$131)+SUMPRODUCT(CW92,CW$131)+SUMPRODUCT(DA92,DA$131))/SUM(DA$131,CY$131,CW$131)</f>
        <v>0</v>
      </c>
      <c r="DH92" s="256"/>
      <c r="DI92" s="257">
        <v>0</v>
      </c>
      <c r="DJ92" s="256"/>
      <c r="DK92" s="257">
        <v>0</v>
      </c>
      <c r="DL92" s="256"/>
      <c r="DM92" s="257">
        <v>0</v>
      </c>
      <c r="DN92" s="256"/>
      <c r="DO92" s="257">
        <v>0</v>
      </c>
      <c r="DP92" s="256"/>
      <c r="DQ92" s="257">
        <f>(SUMPRODUCT(DG92,DG$131)+SUMPRODUCT(DE92,DE$131)+SUMPRODUCT(DK92,DK$131))/SUM(DK$131,DG$131,DE$131)</f>
        <v>0</v>
      </c>
      <c r="DR92" s="256"/>
      <c r="DS92" s="257">
        <f>(SUMPRODUCT(DI92,DI$131)+SUMPRODUCT(DG92,DG$131)+SUMPRODUCT(DM92,DM$131))/SUM(DM$131,DI$131,DG$131)</f>
        <v>0</v>
      </c>
    </row>
    <row r="93" spans="1:123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0.34459330979792913</v>
      </c>
      <c r="H93" s="146"/>
      <c r="I93" s="147">
        <f>I89-I92</f>
        <v>0.13362912072961139</v>
      </c>
      <c r="J93" s="146"/>
      <c r="K93" s="147">
        <f t="shared" ref="K93" si="967">K89-K92</f>
        <v>0.13362912072961139</v>
      </c>
      <c r="L93" s="146"/>
      <c r="M93" s="147">
        <f t="shared" ref="M93" si="968">M89-M92</f>
        <v>0.13362912072961139</v>
      </c>
      <c r="N93" s="146"/>
      <c r="O93" s="147">
        <f>O89-O92</f>
        <v>0.22578710542674801</v>
      </c>
      <c r="P93" s="146"/>
      <c r="Q93" s="147">
        <f>Q89-Q92</f>
        <v>4.931627653243404</v>
      </c>
      <c r="R93" s="146"/>
      <c r="S93" s="147">
        <f>S89-S92</f>
        <v>4.931627653243404</v>
      </c>
      <c r="T93" s="146"/>
      <c r="U93" s="147">
        <f>U89-U92</f>
        <v>-4.6145345048794389E-2</v>
      </c>
      <c r="V93" s="146"/>
      <c r="W93" s="147">
        <f>W89-W92</f>
        <v>-6.6384034781943546E-2</v>
      </c>
      <c r="X93" s="146"/>
      <c r="Y93" s="147">
        <f>Y89-Y92</f>
        <v>-0.23803625119537852</v>
      </c>
      <c r="Z93" s="146"/>
      <c r="AA93" s="147">
        <f>AA89-AA92</f>
        <v>-0.40652631671385125</v>
      </c>
      <c r="AB93" s="146"/>
      <c r="AC93" s="147">
        <f>AC89-AC92</f>
        <v>-0.27533040295822997</v>
      </c>
      <c r="AD93" s="146"/>
      <c r="AE93" s="147">
        <f>AE89-AE92</f>
        <v>-0.17110709551151948</v>
      </c>
      <c r="AF93" s="146"/>
      <c r="AG93" s="147">
        <f>AG89-AG92</f>
        <v>-0.38694128705210645</v>
      </c>
      <c r="AH93" s="146"/>
      <c r="AI93" s="147">
        <f>AI89-AI92</f>
        <v>5.2998754063411743E-2</v>
      </c>
      <c r="AJ93" s="146"/>
      <c r="AK93" s="147">
        <f>AK89-AK92</f>
        <v>0.30569598282277188</v>
      </c>
      <c r="AL93" s="146"/>
      <c r="AM93" s="147">
        <f>AM89-AM92</f>
        <v>0.38311311861144698</v>
      </c>
      <c r="AN93" s="146"/>
      <c r="AO93" s="147">
        <f>AO89-AO92</f>
        <v>0.50003044230478166</v>
      </c>
      <c r="AP93" s="146"/>
      <c r="AQ93" s="147">
        <f t="shared" ref="AQ93" si="969">AQ89-AQ92</f>
        <v>0.34468422734157256</v>
      </c>
      <c r="AR93" s="146"/>
      <c r="AS93" s="147">
        <f t="shared" ref="AS93" si="970">AS89-AS92</f>
        <v>0.22016016239693384</v>
      </c>
      <c r="AT93" s="146"/>
      <c r="AU93" s="147">
        <f t="shared" ref="AU93" si="971">AU89-AU92</f>
        <v>0.30278963959781185</v>
      </c>
      <c r="AV93" s="146"/>
      <c r="AW93" s="147">
        <f t="shared" ref="AW93" si="972">AW89-AW92</f>
        <v>4.2214533994788722E-2</v>
      </c>
      <c r="AX93" s="146"/>
      <c r="AY93" s="147">
        <f t="shared" ref="AY93" si="973">AY89-AY92</f>
        <v>9.4930571096820959E-3</v>
      </c>
      <c r="AZ93" s="146"/>
      <c r="BA93" s="147">
        <f t="shared" ref="BA93:BC93" si="974">BA89-BA92</f>
        <v>-5.791591371163779E-3</v>
      </c>
      <c r="BB93" s="146"/>
      <c r="BC93" s="147">
        <f t="shared" si="974"/>
        <v>0.16567699444961342</v>
      </c>
      <c r="BD93" s="146"/>
      <c r="BE93" s="147">
        <f t="shared" ref="BE93:BI93" si="975">BE89-BE92</f>
        <v>0.30198191649683082</v>
      </c>
      <c r="BF93" s="146"/>
      <c r="BG93" s="147">
        <f t="shared" si="975"/>
        <v>0.41650190883150251</v>
      </c>
      <c r="BH93" s="146"/>
      <c r="BI93" s="147">
        <f t="shared" si="975"/>
        <v>0.24154564925715089</v>
      </c>
      <c r="BJ93" s="146"/>
      <c r="BK93" s="147">
        <f t="shared" ref="BK93:BM93" si="976">BK89-BK92</f>
        <v>0.45021590518300181</v>
      </c>
      <c r="BL93" s="146"/>
      <c r="BM93" s="147">
        <f t="shared" si="976"/>
        <v>0.34322400280290533</v>
      </c>
      <c r="BN93" s="146"/>
      <c r="BO93" s="147">
        <f t="shared" ref="BO93:BQ93" si="977">BO89-BO92</f>
        <v>0.14222446106810632</v>
      </c>
      <c r="BP93" s="146"/>
      <c r="BQ93" s="147">
        <f t="shared" si="977"/>
        <v>-9.4691792352117554E-2</v>
      </c>
      <c r="BR93" s="146"/>
      <c r="BS93" s="147">
        <f t="shared" ref="BS93:CS93" si="978">BS89-BS92</f>
        <v>-3.1783311659799418E-2</v>
      </c>
      <c r="BT93" s="146"/>
      <c r="BU93" s="147">
        <f t="shared" ref="BU93:BW93" si="979">BU89-BU92</f>
        <v>-0.17743855827005661</v>
      </c>
      <c r="BV93" s="146"/>
      <c r="BW93" s="147">
        <f t="shared" si="979"/>
        <v>-6.1743705760828549E-2</v>
      </c>
      <c r="BX93" s="146"/>
      <c r="BY93" s="147">
        <f t="shared" ref="BY93:CA93" si="980">BY89-BY92</f>
        <v>0.3107104968125689</v>
      </c>
      <c r="BZ93" s="146"/>
      <c r="CA93" s="147">
        <f t="shared" si="980"/>
        <v>0.38711097143962558</v>
      </c>
      <c r="CB93" s="146"/>
      <c r="CC93" s="147">
        <f t="shared" ref="CC93:CE93" si="981">CC89-CC92</f>
        <v>0.27765547895514164</v>
      </c>
      <c r="CD93" s="146"/>
      <c r="CE93" s="147">
        <f t="shared" si="981"/>
        <v>0.13964290576296973</v>
      </c>
      <c r="CF93" s="146"/>
      <c r="CG93" s="147">
        <f t="shared" ref="CG93:CI93" si="982">CG89-CG92</f>
        <v>0.17448169303460043</v>
      </c>
      <c r="CH93" s="146"/>
      <c r="CI93" s="147">
        <f t="shared" si="982"/>
        <v>0.453407095850415</v>
      </c>
      <c r="CJ93" s="146"/>
      <c r="CK93" s="147">
        <f t="shared" ref="CK93:CM93" si="983">CK89-CK92</f>
        <v>0.45960109772924951</v>
      </c>
      <c r="CL93" s="146"/>
      <c r="CM93" s="147">
        <f t="shared" si="983"/>
        <v>0.15724009096741631</v>
      </c>
      <c r="CN93" s="146"/>
      <c r="CO93" s="147">
        <f t="shared" ref="CO93:CQ93" si="984">CO89-CO92</f>
        <v>0.25724009096741629</v>
      </c>
      <c r="CP93" s="146"/>
      <c r="CQ93" s="147">
        <f t="shared" si="984"/>
        <v>0.25724009096741629</v>
      </c>
      <c r="CR93" s="146"/>
      <c r="CS93" s="147">
        <f t="shared" si="978"/>
        <v>-2.3564530108432402E-2</v>
      </c>
      <c r="CT93" s="146"/>
      <c r="CU93" s="147">
        <f t="shared" ref="CU93" si="985">CU89-CU92</f>
        <v>-2.3564530108432402E-2</v>
      </c>
      <c r="CV93" s="146"/>
      <c r="CW93" s="147">
        <f>CW89-CW92</f>
        <v>2.8517043522027649E-2</v>
      </c>
      <c r="CX93" s="146"/>
      <c r="CY93" s="147">
        <f>CY89-CY92</f>
        <v>-0.29728013876762094</v>
      </c>
      <c r="CZ93" s="146"/>
      <c r="DA93" s="147">
        <f>DA89-DA92</f>
        <v>-0.12993220210296708</v>
      </c>
      <c r="DB93" s="146"/>
      <c r="DC93" s="147">
        <f>DC89-DC92</f>
        <v>0.40226055158496488</v>
      </c>
      <c r="DD93" s="146"/>
      <c r="DE93" s="147">
        <f>DE89-DE92</f>
        <v>-0.12671009778818668</v>
      </c>
      <c r="DF93" s="146"/>
      <c r="DG93" s="147">
        <f>DG89-DG92</f>
        <v>0.10442505374946665</v>
      </c>
      <c r="DH93" s="146"/>
      <c r="DI93" s="147">
        <f>DI89-DI92</f>
        <v>0.56455492387933748</v>
      </c>
      <c r="DJ93" s="146"/>
      <c r="DK93" s="147">
        <f>DK89-DK92</f>
        <v>0.2683763121164654</v>
      </c>
      <c r="DL93" s="146"/>
      <c r="DM93" s="147">
        <f>DM89-DM92</f>
        <v>0.35928540302555623</v>
      </c>
      <c r="DN93" s="146"/>
      <c r="DO93" s="147">
        <f>DO89-DO92</f>
        <v>-2.1623687883534748E-2</v>
      </c>
      <c r="DP93" s="146"/>
      <c r="DQ93" s="147">
        <f>DQ89-DQ92</f>
        <v>7.3654421237571696E-2</v>
      </c>
      <c r="DR93" s="146"/>
      <c r="DS93" s="147">
        <f>DS89-DS92</f>
        <v>0.31781026539341573</v>
      </c>
    </row>
    <row r="94" spans="1:123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6.3846881512664322E-2</v>
      </c>
      <c r="H94" s="132"/>
      <c r="I94" s="133">
        <f>I93/I67</f>
        <v>2.532746281847947E-2</v>
      </c>
      <c r="J94" s="132"/>
      <c r="K94" s="133">
        <f t="shared" ref="K94" si="986">K93/K67</f>
        <v>2.532746281847947E-2</v>
      </c>
      <c r="L94" s="132"/>
      <c r="M94" s="133">
        <f t="shared" ref="M94" si="987">M93/M67</f>
        <v>2.532746281847947E-2</v>
      </c>
      <c r="N94" s="548"/>
      <c r="O94" s="1096">
        <f>O93/O67</f>
        <v>3.9767115133930102E-2</v>
      </c>
      <c r="P94" s="381"/>
      <c r="Q94" s="1096">
        <f>Q93/Q67</f>
        <v>0.86368260126854712</v>
      </c>
      <c r="R94" s="381"/>
      <c r="S94" s="1096">
        <f>S93/S67</f>
        <v>0.86368260126854712</v>
      </c>
      <c r="T94" s="381"/>
      <c r="U94" s="1096">
        <f>U93/U67</f>
        <v>-8.0814965059184569E-3</v>
      </c>
      <c r="V94" s="381"/>
      <c r="W94" s="1096">
        <f>W93/W67</f>
        <v>-1.1625925530988361E-2</v>
      </c>
      <c r="X94" s="381"/>
      <c r="Y94" s="1096">
        <f>Y93/Y67</f>
        <v>-4.1687609666441069E-2</v>
      </c>
      <c r="Z94" s="381"/>
      <c r="AA94" s="1096">
        <f>AA93/AA67</f>
        <v>-7.1195502051462564E-2</v>
      </c>
      <c r="AB94" s="381"/>
      <c r="AC94" s="1096">
        <f>AC93/AC67</f>
        <v>-4.8218984756257438E-2</v>
      </c>
      <c r="AD94" s="381"/>
      <c r="AE94" s="1096">
        <f>AE93/AE67</f>
        <v>-2.9966216376798509E-2</v>
      </c>
      <c r="AF94" s="381"/>
      <c r="AG94" s="1096">
        <f>AG93/AG67</f>
        <v>-6.7765549396165747E-2</v>
      </c>
      <c r="AH94" s="381"/>
      <c r="AI94" s="1096">
        <f>AI93/AI67</f>
        <v>9.2817432685484667E-3</v>
      </c>
      <c r="AJ94" s="381"/>
      <c r="AK94" s="1096">
        <f>AK93/AK67</f>
        <v>5.3536949706264776E-2</v>
      </c>
      <c r="AL94" s="381"/>
      <c r="AM94" s="1096">
        <f>AM93/AM67</f>
        <v>6.7095117094824339E-2</v>
      </c>
      <c r="AN94" s="381"/>
      <c r="AO94" s="1096">
        <f>AO93/AO67</f>
        <v>8.757100565757997E-2</v>
      </c>
      <c r="AP94" s="381"/>
      <c r="AQ94" s="1096">
        <f t="shared" ref="AQ94" si="988">AQ93/AQ67</f>
        <v>6.0365013544933899E-2</v>
      </c>
      <c r="AR94" s="381"/>
      <c r="AS94" s="1096">
        <f t="shared" ref="AS94" si="989">AS93/AS67</f>
        <v>3.8556946129060216E-2</v>
      </c>
      <c r="AT94" s="381"/>
      <c r="AU94" s="1096">
        <f t="shared" ref="AU94" si="990">AU93/AU67</f>
        <v>5.3027957898040608E-2</v>
      </c>
      <c r="AV94" s="381"/>
      <c r="AW94" s="1096">
        <f t="shared" ref="AW94" si="991">AW93/AW67</f>
        <v>7.3930882652869919E-3</v>
      </c>
      <c r="AX94" s="381"/>
      <c r="AY94" s="1096">
        <f t="shared" ref="AY94" si="992">AY93/AY67</f>
        <v>1.6625318931142025E-3</v>
      </c>
      <c r="AZ94" s="381"/>
      <c r="BA94" s="1096">
        <f t="shared" ref="BA94:BC94" si="993">BA93/BA67</f>
        <v>-1.0142892068588055E-3</v>
      </c>
      <c r="BB94" s="381"/>
      <c r="BC94" s="1096">
        <f t="shared" si="993"/>
        <v>2.9015235455273805E-2</v>
      </c>
      <c r="BD94" s="381"/>
      <c r="BE94" s="1096">
        <f t="shared" ref="BE94:BI94" si="994">BE93/BE67</f>
        <v>5.2886500262141999E-2</v>
      </c>
      <c r="BF94" s="381"/>
      <c r="BG94" s="1096">
        <f t="shared" si="994"/>
        <v>7.2942540951226362E-2</v>
      </c>
      <c r="BH94" s="381"/>
      <c r="BI94" s="1096">
        <f t="shared" si="994"/>
        <v>4.2302215281462503E-2</v>
      </c>
      <c r="BJ94" s="381"/>
      <c r="BK94" s="1096">
        <f t="shared" ref="BK94:BM94" si="995">BK93/BK67</f>
        <v>7.7091764586130443E-2</v>
      </c>
      <c r="BL94" s="381"/>
      <c r="BM94" s="1096">
        <f t="shared" si="995"/>
        <v>5.8771233356661873E-2</v>
      </c>
      <c r="BN94" s="381"/>
      <c r="BO94" s="1096">
        <f t="shared" ref="BO94:BQ94" si="996">BO93/BO67</f>
        <v>2.4353503607552451E-2</v>
      </c>
      <c r="BP94" s="381"/>
      <c r="BQ94" s="1096">
        <f t="shared" si="996"/>
        <v>-1.621434800549958E-2</v>
      </c>
      <c r="BR94" s="381"/>
      <c r="BS94" s="1096">
        <f t="shared" ref="BS94:CS94" si="997">BS93/BS67</f>
        <v>-5.4423478869519556E-3</v>
      </c>
      <c r="BT94" s="381"/>
      <c r="BU94" s="1096">
        <f t="shared" ref="BU94:BW94" si="998">BU93/BU67</f>
        <v>-3.0383314772269968E-2</v>
      </c>
      <c r="BV94" s="381"/>
      <c r="BW94" s="1096">
        <f t="shared" si="998"/>
        <v>-1.0572552356306259E-2</v>
      </c>
      <c r="BX94" s="381"/>
      <c r="BY94" s="1096">
        <f t="shared" ref="BY94:CA94" si="999">BY93/BY67</f>
        <v>5.3203852193933032E-2</v>
      </c>
      <c r="BZ94" s="381"/>
      <c r="CA94" s="1096">
        <f t="shared" si="999"/>
        <v>6.6286125246511229E-2</v>
      </c>
      <c r="CB94" s="381"/>
      <c r="CC94" s="1096">
        <f t="shared" ref="CC94:CE94" si="1000">CC93/CC67</f>
        <v>4.7543746396428367E-2</v>
      </c>
      <c r="CD94" s="381"/>
      <c r="CE94" s="1096">
        <f t="shared" si="1000"/>
        <v>2.391145646626194E-2</v>
      </c>
      <c r="CF94" s="381"/>
      <c r="CG94" s="1096">
        <f t="shared" ref="CG94:CI94" si="1001">CG93/CG67</f>
        <v>2.9877002231952127E-2</v>
      </c>
      <c r="CH94" s="381"/>
      <c r="CI94" s="1096">
        <f t="shared" si="1001"/>
        <v>7.7638201344249147E-2</v>
      </c>
      <c r="CJ94" s="381"/>
      <c r="CK94" s="1096">
        <f t="shared" ref="CK94:CM94" si="1002">CK93/CK67</f>
        <v>7.8698818104323554E-2</v>
      </c>
      <c r="CL94" s="381"/>
      <c r="CM94" s="1096">
        <f t="shared" si="1002"/>
        <v>2.6924673110858957E-2</v>
      </c>
      <c r="CN94" s="381"/>
      <c r="CO94" s="1096">
        <f t="shared" ref="CO94:CQ94" si="1003">CO93/CO67</f>
        <v>4.4047960782091833E-2</v>
      </c>
      <c r="CP94" s="381"/>
      <c r="CQ94" s="1096">
        <f t="shared" si="1003"/>
        <v>4.4047960782091833E-2</v>
      </c>
      <c r="CR94" s="381"/>
      <c r="CS94" s="1096">
        <f t="shared" si="997"/>
        <v>-4.0350222788411647E-3</v>
      </c>
      <c r="CT94" s="381"/>
      <c r="CU94" s="1096">
        <f t="shared" ref="CU94" si="1004">CU93/CU67</f>
        <v>-4.0350222788411647E-3</v>
      </c>
      <c r="CV94" s="381"/>
      <c r="CW94" s="1096">
        <f>CW93/CW67</f>
        <v>5.0027950133635316E-3</v>
      </c>
      <c r="CX94" s="381"/>
      <c r="CY94" s="1096">
        <f>CY93/CY67</f>
        <v>-5.2063071588024694E-2</v>
      </c>
      <c r="CZ94" s="381"/>
      <c r="DA94" s="1096">
        <f>DA93/DA67</f>
        <v>-2.2755201769346249E-2</v>
      </c>
      <c r="DB94" s="381"/>
      <c r="DC94" s="1096">
        <f>DC93/DC67</f>
        <v>7.0448432852007858E-2</v>
      </c>
      <c r="DD94" s="381"/>
      <c r="DE94" s="1096">
        <f>DE93/DE67</f>
        <v>-2.2211002191288458E-2</v>
      </c>
      <c r="DF94" s="381"/>
      <c r="DG94" s="1096">
        <f>DG93/DG67</f>
        <v>1.8288100481517803E-2</v>
      </c>
      <c r="DH94" s="381"/>
      <c r="DI94" s="1096">
        <f>DI93/DI67</f>
        <v>8.685460367374423E-2</v>
      </c>
      <c r="DJ94" s="381"/>
      <c r="DK94" s="1096">
        <f>DK93/DK67</f>
        <v>4.1288663402533135E-2</v>
      </c>
      <c r="DL94" s="381"/>
      <c r="DM94" s="1096">
        <f>DM93/DM67</f>
        <v>5.5274677388547112E-2</v>
      </c>
      <c r="DN94" s="381"/>
      <c r="DO94" s="1096">
        <f>DO93/DO67</f>
        <v>-3.7869856188327052E-3</v>
      </c>
      <c r="DP94" s="381"/>
      <c r="DQ94" s="1096">
        <f>DQ93/DQ67</f>
        <v>1.2899198115161417E-2</v>
      </c>
      <c r="DR94" s="381"/>
      <c r="DS94" s="1096">
        <f>DS93/DS67</f>
        <v>5.5658540349109588E-2</v>
      </c>
    </row>
    <row r="95" spans="1:123" s="65" customFormat="1" ht="6.75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2"/>
      <c r="P95" s="381"/>
      <c r="Q95" s="382"/>
      <c r="R95" s="381"/>
      <c r="S95" s="382"/>
      <c r="T95" s="381"/>
      <c r="U95" s="382"/>
      <c r="V95" s="381"/>
      <c r="W95" s="382"/>
      <c r="X95" s="381"/>
      <c r="Y95" s="382"/>
      <c r="Z95" s="381"/>
      <c r="AA95" s="382"/>
      <c r="AB95" s="381"/>
      <c r="AC95" s="382"/>
      <c r="AD95" s="381"/>
      <c r="AE95" s="382"/>
      <c r="AF95" s="381"/>
      <c r="AG95" s="382"/>
      <c r="AH95" s="381"/>
      <c r="AI95" s="382"/>
      <c r="AJ95" s="381"/>
      <c r="AK95" s="382"/>
      <c r="AL95" s="381"/>
      <c r="AM95" s="382"/>
      <c r="AN95" s="381"/>
      <c r="AO95" s="382"/>
      <c r="AP95" s="381"/>
      <c r="AQ95" s="382"/>
      <c r="AR95" s="381"/>
      <c r="AS95" s="382"/>
      <c r="AT95" s="381"/>
      <c r="AU95" s="382"/>
      <c r="AV95" s="381"/>
      <c r="AW95" s="382"/>
      <c r="AX95" s="381"/>
      <c r="AY95" s="382"/>
      <c r="AZ95" s="381"/>
      <c r="BA95" s="382"/>
      <c r="BB95" s="381"/>
      <c r="BC95" s="382"/>
      <c r="BD95" s="381"/>
      <c r="BE95" s="382"/>
      <c r="BF95" s="381"/>
      <c r="BG95" s="382"/>
      <c r="BH95" s="381"/>
      <c r="BI95" s="382"/>
      <c r="BJ95" s="381"/>
      <c r="BK95" s="382"/>
      <c r="BL95" s="381"/>
      <c r="BM95" s="382"/>
      <c r="BN95" s="381"/>
      <c r="BO95" s="382"/>
      <c r="BP95" s="381"/>
      <c r="BQ95" s="382"/>
      <c r="BR95" s="381"/>
      <c r="BS95" s="382"/>
      <c r="BT95" s="381"/>
      <c r="BU95" s="382"/>
      <c r="BV95" s="381"/>
      <c r="BW95" s="382"/>
      <c r="BX95" s="381"/>
      <c r="BY95" s="382"/>
      <c r="BZ95" s="381"/>
      <c r="CA95" s="382"/>
      <c r="CB95" s="381"/>
      <c r="CC95" s="382"/>
      <c r="CD95" s="381"/>
      <c r="CE95" s="382"/>
      <c r="CF95" s="381"/>
      <c r="CG95" s="382"/>
      <c r="CH95" s="381"/>
      <c r="CI95" s="382"/>
      <c r="CJ95" s="381"/>
      <c r="CK95" s="382"/>
      <c r="CL95" s="381"/>
      <c r="CM95" s="382"/>
      <c r="CN95" s="381"/>
      <c r="CO95" s="382"/>
      <c r="CP95" s="381"/>
      <c r="CQ95" s="382"/>
      <c r="CR95" s="381"/>
      <c r="CS95" s="382"/>
      <c r="CT95" s="381"/>
      <c r="CU95" s="382"/>
      <c r="CV95" s="381"/>
      <c r="CW95" s="382"/>
      <c r="CX95" s="381"/>
      <c r="CY95" s="382"/>
      <c r="CZ95" s="381"/>
      <c r="DA95" s="382"/>
      <c r="DB95" s="381"/>
      <c r="DC95" s="382"/>
      <c r="DD95" s="381"/>
      <c r="DE95" s="382"/>
      <c r="DF95" s="381"/>
      <c r="DG95" s="382"/>
      <c r="DH95" s="381"/>
      <c r="DI95" s="382"/>
      <c r="DJ95" s="381"/>
      <c r="DK95" s="382"/>
      <c r="DL95" s="381"/>
      <c r="DM95" s="382"/>
      <c r="DN95" s="381"/>
      <c r="DO95" s="382"/>
      <c r="DP95" s="381"/>
      <c r="DQ95" s="382"/>
      <c r="DR95" s="381"/>
      <c r="DS95" s="382"/>
    </row>
    <row r="96" spans="1:123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(G137-G135)/G66</f>
        <v>0.21971830985915494</v>
      </c>
      <c r="H96" s="132"/>
      <c r="I96" s="383">
        <f>(I137-I135)/I66</f>
        <v>9.8591549295774641E-2</v>
      </c>
      <c r="J96" s="132"/>
      <c r="K96" s="383">
        <f>(K137-K135)/K66</f>
        <v>9.8591549295774641E-2</v>
      </c>
      <c r="L96" s="132"/>
      <c r="M96" s="383">
        <f>(M137-M135)/M66</f>
        <v>9.8591549295774641E-2</v>
      </c>
      <c r="N96" s="381"/>
      <c r="O96" s="383">
        <f>(O136-O135)/O66</f>
        <v>4.7212975088414683E-3</v>
      </c>
      <c r="P96" s="381"/>
      <c r="Q96" s="383">
        <f>(Q137-Q135)/Q66</f>
        <v>5.0704225352112674E-3</v>
      </c>
      <c r="R96" s="381"/>
      <c r="S96" s="383">
        <f>(S137-S135)/S66</f>
        <v>5.0704225352112674E-3</v>
      </c>
      <c r="T96" s="381"/>
      <c r="U96" s="383">
        <f>(U136-U135)/U66</f>
        <v>1.4796073005576815E-2</v>
      </c>
      <c r="V96" s="381"/>
      <c r="W96" s="383">
        <f>(W136-W135)/W66</f>
        <v>2.8814437260747659E-3</v>
      </c>
      <c r="X96" s="381"/>
      <c r="Y96" s="1099">
        <f>(Y136-Y135)/Y66</f>
        <v>-1.7455765317192447E-2</v>
      </c>
      <c r="Z96" s="381"/>
      <c r="AA96" s="383">
        <f>(AA136-AA135)/AA66</f>
        <v>-3.4244795687970994E-2</v>
      </c>
      <c r="AB96" s="381"/>
      <c r="AC96" s="383">
        <f>(AC136-AC135)/AC66</f>
        <v>-2.7781522186668565E-2</v>
      </c>
      <c r="AD96" s="381"/>
      <c r="AE96" s="383">
        <f>(AE136-AE135)/AE66</f>
        <v>-2.8955027052032511E-2</v>
      </c>
      <c r="AF96" s="381"/>
      <c r="AG96" s="383">
        <f>(AG136-AG135)/AG66</f>
        <v>-4.2588013394636262E-2</v>
      </c>
      <c r="AH96" s="381"/>
      <c r="AI96" s="383">
        <f>(AI136-AI135)/AI66</f>
        <v>-8.9295774647887322E-2</v>
      </c>
      <c r="AJ96" s="381"/>
      <c r="AK96" s="383">
        <f>(AK136-AK135)/AK66</f>
        <v>-0.14313735902796465</v>
      </c>
      <c r="AL96" s="381"/>
      <c r="AM96" s="383">
        <f>(AM136-AM135)/AM66</f>
        <v>-0.17006984819851326</v>
      </c>
      <c r="AN96" s="381"/>
      <c r="AO96" s="383">
        <f>(AO136-AO135)/AO66</f>
        <v>-0.20145406844193203</v>
      </c>
      <c r="AP96" s="381"/>
      <c r="AQ96" s="383">
        <f t="shared" ref="AQ96" si="1005">(AQ136-AQ135)/AQ66</f>
        <v>-0.24042715919230259</v>
      </c>
      <c r="AR96" s="381"/>
      <c r="AS96" s="383">
        <f t="shared" ref="AS96" si="1006">(AS136-AS135)/AS66</f>
        <v>-0.25814507816242049</v>
      </c>
      <c r="AT96" s="381"/>
      <c r="AU96" s="383">
        <f t="shared" ref="AU96" si="1007">(AU136-AU135)/AU66</f>
        <v>-0.25964664756831202</v>
      </c>
      <c r="AV96" s="381"/>
      <c r="AW96" s="383">
        <f t="shared" ref="AW96" si="1008">(AW136-AW135)/AW66</f>
        <v>-0.27154929577464787</v>
      </c>
      <c r="AX96" s="381"/>
      <c r="AY96" s="383">
        <f t="shared" ref="AY96" si="1009">(AY136-AY135)/AY66</f>
        <v>-0.2752112676056338</v>
      </c>
      <c r="AZ96" s="381"/>
      <c r="BA96" s="383">
        <f t="shared" ref="BA96:BC96" si="1010">(BA136-BA135)/BA66</f>
        <v>-0.30957746478873238</v>
      </c>
      <c r="BB96" s="381"/>
      <c r="BC96" s="383">
        <f t="shared" si="1010"/>
        <v>-0.31042253521126761</v>
      </c>
      <c r="BD96" s="381"/>
      <c r="BE96" s="383">
        <f t="shared" ref="BE96:BI96" si="1011">(BE136-BE135)/BE66</f>
        <v>-0.31042253521126761</v>
      </c>
      <c r="BF96" s="381"/>
      <c r="BG96" s="383">
        <f t="shared" si="1011"/>
        <v>-0.31380281690140843</v>
      </c>
      <c r="BH96" s="381"/>
      <c r="BI96" s="383">
        <f t="shared" si="1011"/>
        <v>-0.32309859154929577</v>
      </c>
      <c r="BJ96" s="381"/>
      <c r="BK96" s="383">
        <f t="shared" ref="BK96:BM96" si="1012">(BK136-BK135)/BK66</f>
        <v>-0.19436619718309858</v>
      </c>
      <c r="BL96" s="381"/>
      <c r="BM96" s="383">
        <f t="shared" si="1012"/>
        <v>-0.18937329700272479</v>
      </c>
      <c r="BN96" s="381"/>
      <c r="BO96" s="383">
        <f t="shared" ref="BO96:BQ96" si="1013">(BO136-BO135)/BO66</f>
        <v>-0.18365122615803814</v>
      </c>
      <c r="BP96" s="381"/>
      <c r="BQ96" s="383">
        <f t="shared" si="1013"/>
        <v>-0.19100817438692097</v>
      </c>
      <c r="BR96" s="381"/>
      <c r="BS96" s="383">
        <f t="shared" ref="BS96:CS96" si="1014">(BS136-BS135)/BS66</f>
        <v>-0.18583106267029972</v>
      </c>
      <c r="BT96" s="381"/>
      <c r="BU96" s="383">
        <f t="shared" ref="BU96:BW96" si="1015">(BU136-BU135)/BU66</f>
        <v>-0.18801089918256131</v>
      </c>
      <c r="BV96" s="381"/>
      <c r="BW96" s="383">
        <f t="shared" si="1015"/>
        <v>-0.20108991825613079</v>
      </c>
      <c r="BX96" s="381"/>
      <c r="BY96" s="383">
        <f t="shared" ref="BY96:CA96" si="1016">(BY136-BY135)/BY66</f>
        <v>-0.17991825613079018</v>
      </c>
      <c r="BZ96" s="381"/>
      <c r="CA96" s="383">
        <f t="shared" si="1016"/>
        <v>-0.1238951713814597</v>
      </c>
      <c r="CB96" s="381"/>
      <c r="CC96" s="383">
        <f t="shared" ref="CC96:CE96" si="1017">(CC136-CC135)/CC66</f>
        <v>-0.14659400544959128</v>
      </c>
      <c r="CD96" s="381"/>
      <c r="CE96" s="383">
        <f t="shared" si="1017"/>
        <v>-0.19100817438692097</v>
      </c>
      <c r="CF96" s="381"/>
      <c r="CG96" s="383">
        <f t="shared" ref="CG96:CI96" si="1018">(CG136-CG135)/CG66</f>
        <v>-0.18753221886736873</v>
      </c>
      <c r="CH96" s="381"/>
      <c r="CI96" s="383">
        <f t="shared" si="1018"/>
        <v>-0.20027247956403268</v>
      </c>
      <c r="CJ96" s="381"/>
      <c r="CK96" s="383">
        <f t="shared" ref="CK96:CM96" si="1019">(CK136-CK135)/CK66</f>
        <v>-0.20245231607629427</v>
      </c>
      <c r="CL96" s="381"/>
      <c r="CM96" s="383">
        <f t="shared" si="1019"/>
        <v>-0.17711171662125341</v>
      </c>
      <c r="CN96" s="381"/>
      <c r="CO96" s="383">
        <f t="shared" ref="CO96:CQ96" si="1020">(CO136-CO135)/CO66</f>
        <v>-0.17711171662125341</v>
      </c>
      <c r="CP96" s="381"/>
      <c r="CQ96" s="383">
        <f t="shared" si="1020"/>
        <v>-0.1226158038147139</v>
      </c>
      <c r="CR96" s="381"/>
      <c r="CS96" s="383">
        <f t="shared" si="1014"/>
        <v>-0.19482288828337874</v>
      </c>
      <c r="CT96" s="381"/>
      <c r="CU96" s="383">
        <f t="shared" ref="CU96" si="1021">(CU136-CU135)/CU66</f>
        <v>-0.19482288828337874</v>
      </c>
      <c r="CV96" s="381"/>
      <c r="CW96" s="383">
        <f>(CW136-CW135)/CW66</f>
        <v>7.2349995986415311E-3</v>
      </c>
      <c r="CX96" s="381"/>
      <c r="CY96" s="383">
        <f>(CY136-CY135)/CY66</f>
        <v>-2.7153441828113883E-2</v>
      </c>
      <c r="CZ96" s="381"/>
      <c r="DA96" s="383">
        <f>(DA136-DA135)/DA66</f>
        <v>-4.8325246923074994E-2</v>
      </c>
      <c r="DB96" s="381"/>
      <c r="DC96" s="383">
        <f>(DC136-DC135)/DC66</f>
        <v>-0.17098591549295775</v>
      </c>
      <c r="DD96" s="381"/>
      <c r="DE96" s="383">
        <f>(DE136-DE135)/DE66</f>
        <v>-8.9872835513708678E-3</v>
      </c>
      <c r="DF96" s="381"/>
      <c r="DG96" s="383">
        <f>(DG136-DG135)/DG66</f>
        <v>-8.6478873239436621E-2</v>
      </c>
      <c r="DH96" s="381"/>
      <c r="DI96" s="383">
        <f>(DI136-DI135)/DI66</f>
        <v>-8.6478873239436621E-2</v>
      </c>
      <c r="DJ96" s="381"/>
      <c r="DK96" s="383">
        <f>(DK136-DK135)/DK66</f>
        <v>-8.6478873239436621E-2</v>
      </c>
      <c r="DL96" s="381"/>
      <c r="DM96" s="383">
        <f>(DM136-DM135)/DM66</f>
        <v>-8.6478873239436621E-2</v>
      </c>
      <c r="DN96" s="381"/>
      <c r="DO96" s="383">
        <f>(DO136-DO135)/DO66</f>
        <v>-8.6478873239436621E-2</v>
      </c>
      <c r="DP96" s="381"/>
      <c r="DQ96" s="383">
        <f>(DQ136-DQ135)/DQ66</f>
        <v>-8.6478873239436621E-2</v>
      </c>
      <c r="DR96" s="381"/>
      <c r="DS96" s="383">
        <f>(DS136-DS135)/DS66</f>
        <v>-8.6478873239436621E-2</v>
      </c>
    </row>
    <row r="97" spans="1:123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381"/>
      <c r="O97" s="382"/>
      <c r="P97" s="381"/>
      <c r="Q97" s="382"/>
      <c r="R97" s="381"/>
      <c r="S97" s="382"/>
      <c r="T97" s="381"/>
      <c r="U97" s="382"/>
      <c r="V97" s="381"/>
      <c r="W97" s="382"/>
      <c r="X97" s="381"/>
      <c r="Y97" s="382"/>
      <c r="Z97" s="381"/>
      <c r="AA97" s="382"/>
      <c r="AB97" s="381"/>
      <c r="AC97" s="382"/>
      <c r="AD97" s="381"/>
      <c r="AE97" s="382"/>
      <c r="AF97" s="381"/>
      <c r="AG97" s="382"/>
      <c r="AH97" s="381"/>
      <c r="AI97" s="382"/>
      <c r="AJ97" s="381"/>
      <c r="AK97" s="382"/>
      <c r="AL97" s="381"/>
      <c r="AM97" s="382"/>
      <c r="AN97" s="381"/>
      <c r="AO97" s="382"/>
      <c r="AP97" s="381"/>
      <c r="AQ97" s="382"/>
      <c r="AR97" s="381"/>
      <c r="AS97" s="382"/>
      <c r="AT97" s="381"/>
      <c r="AU97" s="382"/>
      <c r="AV97" s="381"/>
      <c r="AW97" s="382"/>
      <c r="AX97" s="381"/>
      <c r="AY97" s="382"/>
      <c r="AZ97" s="381"/>
      <c r="BA97" s="382"/>
      <c r="BB97" s="381"/>
      <c r="BC97" s="382"/>
      <c r="BD97" s="381"/>
      <c r="BE97" s="382"/>
      <c r="BF97" s="381"/>
      <c r="BG97" s="382"/>
      <c r="BH97" s="381"/>
      <c r="BI97" s="382"/>
      <c r="BJ97" s="381"/>
      <c r="BK97" s="382"/>
      <c r="BL97" s="381"/>
      <c r="BM97" s="382"/>
      <c r="BN97" s="381"/>
      <c r="BO97" s="382"/>
      <c r="BP97" s="381"/>
      <c r="BQ97" s="382"/>
      <c r="BR97" s="381"/>
      <c r="BS97" s="382"/>
      <c r="BT97" s="381"/>
      <c r="BU97" s="382"/>
      <c r="BV97" s="381"/>
      <c r="BW97" s="382"/>
      <c r="BX97" s="381"/>
      <c r="BY97" s="382"/>
      <c r="BZ97" s="381"/>
      <c r="CA97" s="382"/>
      <c r="CB97" s="381"/>
      <c r="CC97" s="382"/>
      <c r="CD97" s="381"/>
      <c r="CE97" s="382"/>
      <c r="CF97" s="381"/>
      <c r="CG97" s="382"/>
      <c r="CH97" s="381"/>
      <c r="CI97" s="382"/>
      <c r="CJ97" s="381"/>
      <c r="CK97" s="382"/>
      <c r="CL97" s="381"/>
      <c r="CM97" s="382"/>
      <c r="CN97" s="381"/>
      <c r="CO97" s="382"/>
      <c r="CP97" s="381"/>
      <c r="CQ97" s="382"/>
      <c r="CR97" s="381"/>
      <c r="CS97" s="382"/>
      <c r="CT97" s="381"/>
      <c r="CU97" s="382"/>
      <c r="CV97" s="381"/>
      <c r="CW97" s="382"/>
      <c r="CX97" s="381"/>
      <c r="CY97" s="382"/>
      <c r="CZ97" s="381"/>
      <c r="DA97" s="382"/>
      <c r="DB97" s="381"/>
      <c r="DC97" s="382"/>
      <c r="DD97" s="381"/>
      <c r="DE97" s="382"/>
      <c r="DF97" s="381"/>
      <c r="DG97" s="382"/>
      <c r="DH97" s="381"/>
      <c r="DI97" s="382"/>
      <c r="DJ97" s="381"/>
      <c r="DK97" s="382"/>
      <c r="DL97" s="381"/>
      <c r="DM97" s="382"/>
      <c r="DN97" s="381"/>
      <c r="DO97" s="382"/>
      <c r="DP97" s="381"/>
      <c r="DQ97" s="382"/>
      <c r="DR97" s="381"/>
      <c r="DS97" s="382"/>
    </row>
    <row r="98" spans="1:123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0.12487499993877418</v>
      </c>
      <c r="H98" s="591"/>
      <c r="I98" s="590">
        <f>I93-I96</f>
        <v>3.5037571433836748E-2</v>
      </c>
      <c r="J98" s="591"/>
      <c r="K98" s="590">
        <f t="shared" ref="K98" si="1022">K93-K96</f>
        <v>3.5037571433836748E-2</v>
      </c>
      <c r="L98" s="591"/>
      <c r="M98" s="590">
        <f t="shared" ref="M98" si="1023">M93-M96</f>
        <v>3.5037571433836748E-2</v>
      </c>
      <c r="N98" s="591"/>
      <c r="O98" s="590">
        <f>O93-O96</f>
        <v>0.22106580791790653</v>
      </c>
      <c r="P98" s="591"/>
      <c r="Q98" s="590">
        <f>Q93-Q96</f>
        <v>4.9265572307081928</v>
      </c>
      <c r="R98" s="591"/>
      <c r="S98" s="590">
        <f>S93-S96</f>
        <v>4.9265572307081928</v>
      </c>
      <c r="T98" s="591"/>
      <c r="U98" s="590">
        <f>U93-U96</f>
        <v>-6.0941418054371206E-2</v>
      </c>
      <c r="V98" s="591"/>
      <c r="W98" s="590">
        <f>W93-W96</f>
        <v>-6.9265478508018313E-2</v>
      </c>
      <c r="X98" s="591"/>
      <c r="Y98" s="590">
        <f>Y93-Y96</f>
        <v>-0.22058048587818607</v>
      </c>
      <c r="Z98" s="591"/>
      <c r="AA98" s="590">
        <f>AA93-AA96</f>
        <v>-0.37228152102588025</v>
      </c>
      <c r="AB98" s="591"/>
      <c r="AC98" s="590">
        <f>AC93-AC96</f>
        <v>-0.2475488807715614</v>
      </c>
      <c r="AD98" s="591"/>
      <c r="AE98" s="590">
        <f>AE93-AE96</f>
        <v>-0.14215206845948697</v>
      </c>
      <c r="AF98" s="591"/>
      <c r="AG98" s="590">
        <f>AG93-AG96</f>
        <v>-0.3443532736574702</v>
      </c>
      <c r="AH98" s="591"/>
      <c r="AI98" s="590">
        <f>AI93-AI96</f>
        <v>0.14229452871129905</v>
      </c>
      <c r="AJ98" s="591"/>
      <c r="AK98" s="590">
        <f>AK93-AK96</f>
        <v>0.44883334185073653</v>
      </c>
      <c r="AL98" s="591"/>
      <c r="AM98" s="590">
        <f>AM93-AM96</f>
        <v>0.55318296680996026</v>
      </c>
      <c r="AN98" s="591"/>
      <c r="AO98" s="590">
        <f>AO93-AO96</f>
        <v>0.7014845107467137</v>
      </c>
      <c r="AP98" s="591"/>
      <c r="AQ98" s="590">
        <f t="shared" ref="AQ98" si="1024">AQ93-AQ96</f>
        <v>0.58511138653387518</v>
      </c>
      <c r="AR98" s="591"/>
      <c r="AS98" s="590">
        <f t="shared" ref="AS98" si="1025">AS93-AS96</f>
        <v>0.47830524055935431</v>
      </c>
      <c r="AT98" s="591"/>
      <c r="AU98" s="590">
        <f t="shared" ref="AU98" si="1026">AU93-AU96</f>
        <v>0.56243628716612393</v>
      </c>
      <c r="AV98" s="591"/>
      <c r="AW98" s="590">
        <f t="shared" ref="AW98" si="1027">AW93-AW96</f>
        <v>0.31376382976943662</v>
      </c>
      <c r="AX98" s="591"/>
      <c r="AY98" s="590">
        <f t="shared" ref="AY98" si="1028">AY93-AY96</f>
        <v>0.28470432471531593</v>
      </c>
      <c r="AZ98" s="591"/>
      <c r="BA98" s="590">
        <f t="shared" ref="BA98:BC98" si="1029">BA93-BA96</f>
        <v>0.30378587341756857</v>
      </c>
      <c r="BB98" s="591"/>
      <c r="BC98" s="590">
        <f t="shared" si="1029"/>
        <v>0.47609952966088104</v>
      </c>
      <c r="BD98" s="591"/>
      <c r="BE98" s="590">
        <f t="shared" ref="BE98:BI98" si="1030">BE93-BE96</f>
        <v>0.61240445170809843</v>
      </c>
      <c r="BF98" s="591"/>
      <c r="BG98" s="590">
        <f t="shared" si="1030"/>
        <v>0.73030472573291094</v>
      </c>
      <c r="BH98" s="591"/>
      <c r="BI98" s="590">
        <f t="shared" si="1030"/>
        <v>0.56464424080644671</v>
      </c>
      <c r="BJ98" s="591"/>
      <c r="BK98" s="590">
        <f t="shared" ref="BK98:BM98" si="1031">BK93-BK96</f>
        <v>0.64458210236610036</v>
      </c>
      <c r="BL98" s="591"/>
      <c r="BM98" s="590">
        <f t="shared" si="1031"/>
        <v>0.53259729980563009</v>
      </c>
      <c r="BN98" s="591"/>
      <c r="BO98" s="590">
        <f t="shared" ref="BO98:BQ98" si="1032">BO93-BO96</f>
        <v>0.32587568722614446</v>
      </c>
      <c r="BP98" s="591"/>
      <c r="BQ98" s="590">
        <f t="shared" si="1032"/>
        <v>9.6316382034803416E-2</v>
      </c>
      <c r="BR98" s="591"/>
      <c r="BS98" s="590">
        <f t="shared" ref="BS98:CS98" si="1033">BS93-BS96</f>
        <v>0.15404775101050031</v>
      </c>
      <c r="BT98" s="591"/>
      <c r="BU98" s="590">
        <f t="shared" ref="BU98:BW98" si="1034">BU93-BU96</f>
        <v>1.0572340912504696E-2</v>
      </c>
      <c r="BV98" s="591"/>
      <c r="BW98" s="590">
        <f t="shared" si="1034"/>
        <v>0.13934621249530224</v>
      </c>
      <c r="BX98" s="591"/>
      <c r="BY98" s="590">
        <f t="shared" ref="BY98:CA98" si="1035">BY93-BY96</f>
        <v>0.49062875294335906</v>
      </c>
      <c r="BZ98" s="591"/>
      <c r="CA98" s="590">
        <f t="shared" si="1035"/>
        <v>0.51100614282108525</v>
      </c>
      <c r="CB98" s="591"/>
      <c r="CC98" s="590">
        <f t="shared" ref="CC98:CE98" si="1036">CC93-CC96</f>
        <v>0.42424948440473292</v>
      </c>
      <c r="CD98" s="591"/>
      <c r="CE98" s="590">
        <f t="shared" si="1036"/>
        <v>0.3306510801498907</v>
      </c>
      <c r="CF98" s="591"/>
      <c r="CG98" s="590">
        <f t="shared" ref="CG98:CI98" si="1037">CG93-CG96</f>
        <v>0.36201391190196919</v>
      </c>
      <c r="CH98" s="591"/>
      <c r="CI98" s="590">
        <f t="shared" si="1037"/>
        <v>0.65367957541444766</v>
      </c>
      <c r="CJ98" s="591"/>
      <c r="CK98" s="590">
        <f t="shared" ref="CK98:CM98" si="1038">CK93-CK96</f>
        <v>0.66205341380554383</v>
      </c>
      <c r="CL98" s="591"/>
      <c r="CM98" s="590">
        <f t="shared" si="1038"/>
        <v>0.33435180758866972</v>
      </c>
      <c r="CN98" s="591"/>
      <c r="CO98" s="590">
        <f t="shared" ref="CO98:CQ98" si="1039">CO93-CO96</f>
        <v>0.4343518075886697</v>
      </c>
      <c r="CP98" s="591"/>
      <c r="CQ98" s="590">
        <f t="shared" si="1039"/>
        <v>0.37985589478213022</v>
      </c>
      <c r="CR98" s="591"/>
      <c r="CS98" s="590">
        <f t="shared" si="1033"/>
        <v>0.17125835817494633</v>
      </c>
      <c r="CT98" s="591"/>
      <c r="CU98" s="590">
        <f t="shared" ref="CU98" si="1040">CU93-CU96</f>
        <v>0.17125835817494633</v>
      </c>
      <c r="CV98" s="591"/>
      <c r="CW98" s="590">
        <f>CW93-CW96</f>
        <v>2.1282043923386118E-2</v>
      </c>
      <c r="CX98" s="591"/>
      <c r="CY98" s="590">
        <f>CY93-CY96</f>
        <v>-0.27012669693950708</v>
      </c>
      <c r="CZ98" s="591"/>
      <c r="DA98" s="590">
        <f>DA93-DA96</f>
        <v>-8.1606955179892082E-2</v>
      </c>
      <c r="DB98" s="591"/>
      <c r="DC98" s="590">
        <f>DC93-DC96</f>
        <v>0.57324646707792259</v>
      </c>
      <c r="DD98" s="591"/>
      <c r="DE98" s="590">
        <f>DE93-DE96</f>
        <v>-0.11772281423681581</v>
      </c>
      <c r="DF98" s="591"/>
      <c r="DG98" s="590">
        <f>DG93-DG96</f>
        <v>0.19090392698890327</v>
      </c>
      <c r="DH98" s="591"/>
      <c r="DI98" s="590">
        <f>DI93-DI96</f>
        <v>0.65103379711877407</v>
      </c>
      <c r="DJ98" s="591"/>
      <c r="DK98" s="590">
        <f>DK93-DK96</f>
        <v>0.35485518535590199</v>
      </c>
      <c r="DL98" s="591"/>
      <c r="DM98" s="590">
        <f>DM93-DM96</f>
        <v>0.44576427626499282</v>
      </c>
      <c r="DN98" s="591"/>
      <c r="DO98" s="590">
        <f>DO93-DO96</f>
        <v>6.4855185355901873E-2</v>
      </c>
      <c r="DP98" s="591"/>
      <c r="DQ98" s="590">
        <f>DQ93-DQ96</f>
        <v>0.1601332944770083</v>
      </c>
      <c r="DR98" s="591"/>
      <c r="DS98" s="590">
        <f>DS93-DS96</f>
        <v>0.40428913863285232</v>
      </c>
    </row>
    <row r="99" spans="1:123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60">
        <f>G98/G67</f>
        <v>2.3137069404104819E-2</v>
      </c>
      <c r="H99" s="159"/>
      <c r="I99" s="160">
        <f>I98/I67</f>
        <v>6.6408637795045628E-3</v>
      </c>
      <c r="J99" s="159"/>
      <c r="K99" s="160">
        <f t="shared" ref="K99" si="1041">K98/K67</f>
        <v>6.6408637795045628E-3</v>
      </c>
      <c r="L99" s="159"/>
      <c r="M99" s="160">
        <f t="shared" ref="M99" si="1042">M98/M67</f>
        <v>6.6408637795045628E-3</v>
      </c>
      <c r="N99" s="159"/>
      <c r="O99" s="1097">
        <f>O98/O67</f>
        <v>3.8935569057546436E-2</v>
      </c>
      <c r="P99" s="159"/>
      <c r="Q99" s="1097">
        <f>Q98/Q67</f>
        <v>0.86279461133243307</v>
      </c>
      <c r="R99" s="159"/>
      <c r="S99" s="1097">
        <f>S98/S67</f>
        <v>0.86279461133243307</v>
      </c>
      <c r="T99" s="159"/>
      <c r="U99" s="1097">
        <f>U98/U67</f>
        <v>-1.0672752724058005E-2</v>
      </c>
      <c r="V99" s="159"/>
      <c r="W99" s="1097">
        <f>W98/W67</f>
        <v>-1.2130556656395501E-2</v>
      </c>
      <c r="X99" s="159"/>
      <c r="Y99" s="1097">
        <f>Y98/Y67</f>
        <v>-3.8630557947142923E-2</v>
      </c>
      <c r="Z99" s="159"/>
      <c r="AA99" s="1097">
        <f>AA98/AA67</f>
        <v>-6.5198164803131398E-2</v>
      </c>
      <c r="AB99" s="159"/>
      <c r="AC99" s="1097">
        <f>AC98/AC67</f>
        <v>-4.3353569312007248E-2</v>
      </c>
      <c r="AD99" s="159"/>
      <c r="AE99" s="1097">
        <f>AE98/AE67</f>
        <v>-2.4895283442992463E-2</v>
      </c>
      <c r="AF99" s="159"/>
      <c r="AG99" s="1097">
        <f>AG98/AG67</f>
        <v>-6.0307053179942241E-2</v>
      </c>
      <c r="AH99" s="159"/>
      <c r="AI99" s="1097">
        <f>AI98/AI67</f>
        <v>2.4920232699001586E-2</v>
      </c>
      <c r="AJ99" s="159"/>
      <c r="AK99" s="1097">
        <f>AK98/AK67</f>
        <v>7.860478841519028E-2</v>
      </c>
      <c r="AL99" s="159"/>
      <c r="AM99" s="1097">
        <f>AM98/AM67</f>
        <v>9.6879678950956269E-2</v>
      </c>
      <c r="AN99" s="159"/>
      <c r="AO99" s="1097">
        <f>AO98/AO67</f>
        <v>0.12285192832692009</v>
      </c>
      <c r="AP99" s="159"/>
      <c r="AQ99" s="1097">
        <f t="shared" ref="AQ99" si="1043">AQ98/AQ67</f>
        <v>0.10247134615304294</v>
      </c>
      <c r="AR99" s="159"/>
      <c r="AS99" s="1097">
        <f t="shared" ref="AS99" si="1044">AS98/AS67</f>
        <v>8.3766241779221415E-2</v>
      </c>
      <c r="AT99" s="159"/>
      <c r="AU99" s="1097">
        <f t="shared" ref="AU99" si="1045">AU98/AU67</f>
        <v>9.8500225423139048E-2</v>
      </c>
      <c r="AV99" s="159"/>
      <c r="AW99" s="1097">
        <f t="shared" ref="AW99" si="1046">AW98/AW67</f>
        <v>5.4949882621617624E-2</v>
      </c>
      <c r="AX99" s="159"/>
      <c r="AY99" s="1097">
        <f t="shared" ref="AY99" si="1047">AY98/AY67</f>
        <v>4.9860652314416103E-2</v>
      </c>
      <c r="AZ99" s="159"/>
      <c r="BA99" s="1097">
        <f t="shared" ref="BA99:BC99" si="1048">BA98/BA67</f>
        <v>5.3202429670327248E-2</v>
      </c>
      <c r="BB99" s="159"/>
      <c r="BC99" s="1097">
        <f t="shared" si="1048"/>
        <v>8.3379952655145542E-2</v>
      </c>
      <c r="BD99" s="159"/>
      <c r="BE99" s="1097">
        <f t="shared" ref="BE99:BI99" si="1049">BE98/BE67</f>
        <v>0.10725121746201374</v>
      </c>
      <c r="BF99" s="159"/>
      <c r="BG99" s="1097">
        <f t="shared" si="1049"/>
        <v>0.12789925144184081</v>
      </c>
      <c r="BH99" s="159"/>
      <c r="BI99" s="1097">
        <f t="shared" si="1049"/>
        <v>9.8886907321619394E-2</v>
      </c>
      <c r="BJ99" s="159"/>
      <c r="BK99" s="1097">
        <f t="shared" ref="BK99:BM99" si="1050">BK98/BK67</f>
        <v>0.11037364766542815</v>
      </c>
      <c r="BL99" s="159"/>
      <c r="BM99" s="1097">
        <f t="shared" si="1050"/>
        <v>9.1198167774936667E-2</v>
      </c>
      <c r="BN99" s="159"/>
      <c r="BO99" s="1097">
        <f t="shared" ref="BO99:BQ99" si="1051">BO98/BO67</f>
        <v>5.5800631374339806E-2</v>
      </c>
      <c r="BP99" s="159"/>
      <c r="BQ99" s="1097">
        <f t="shared" si="1051"/>
        <v>1.649253117034305E-2</v>
      </c>
      <c r="BR99" s="159"/>
      <c r="BS99" s="1097">
        <f t="shared" ref="BS99:CS99" si="1052">BS98/BS67</f>
        <v>2.6378039556592518E-2</v>
      </c>
      <c r="BT99" s="159"/>
      <c r="BU99" s="1097">
        <f t="shared" ref="BU99:BW99" si="1053">BU98/BU67</f>
        <v>1.8103323480316261E-3</v>
      </c>
      <c r="BV99" s="159"/>
      <c r="BW99" s="1097">
        <f t="shared" si="1053"/>
        <v>2.3860652824538055E-2</v>
      </c>
      <c r="BX99" s="159"/>
      <c r="BY99" s="1097">
        <f t="shared" ref="BY99:CA99" si="1054">BY98/BY67</f>
        <v>8.4011772764273809E-2</v>
      </c>
      <c r="BZ99" s="159"/>
      <c r="CA99" s="1097">
        <f t="shared" si="1054"/>
        <v>8.750105185292556E-2</v>
      </c>
      <c r="CB99" s="159"/>
      <c r="CC99" s="1097">
        <f t="shared" ref="CC99:CE99" si="1055">CC98/CC67</f>
        <v>7.264545965834468E-2</v>
      </c>
      <c r="CD99" s="159"/>
      <c r="CE99" s="1097">
        <f t="shared" si="1055"/>
        <v>5.661833564210457E-2</v>
      </c>
      <c r="CF99" s="159"/>
      <c r="CG99" s="1097">
        <f t="shared" ref="CG99:CI99" si="1056">CG98/CG67</f>
        <v>6.1988683544857738E-2</v>
      </c>
      <c r="CH99" s="159"/>
      <c r="CI99" s="1097">
        <f t="shared" si="1056"/>
        <v>0.11193143414630953</v>
      </c>
      <c r="CJ99" s="159"/>
      <c r="CK99" s="1097">
        <f t="shared" ref="CK99:CM99" si="1057">CK98/CK67</f>
        <v>0.11336531058314107</v>
      </c>
      <c r="CL99" s="159"/>
      <c r="CM99" s="1097">
        <f t="shared" si="1057"/>
        <v>5.7252021847374955E-2</v>
      </c>
      <c r="CN99" s="159"/>
      <c r="CO99" s="1097">
        <f t="shared" ref="CO99:CQ99" si="1058">CO98/CO67</f>
        <v>7.4375309518607824E-2</v>
      </c>
      <c r="CP99" s="159"/>
      <c r="CQ99" s="1097">
        <f t="shared" si="1058"/>
        <v>6.5043817599679837E-2</v>
      </c>
      <c r="CR99" s="159"/>
      <c r="CS99" s="1097">
        <f t="shared" si="1052"/>
        <v>2.9325061331326428E-2</v>
      </c>
      <c r="CT99" s="159"/>
      <c r="CU99" s="1097">
        <f t="shared" ref="CU99" si="1059">CU98/CU67</f>
        <v>2.9325061331326428E-2</v>
      </c>
      <c r="CV99" s="159"/>
      <c r="CW99" s="1097">
        <f>CW98/CW67</f>
        <v>3.7335463310514106E-3</v>
      </c>
      <c r="CX99" s="159"/>
      <c r="CY99" s="1097">
        <f>CY98/CY67</f>
        <v>-4.7307652703941702E-2</v>
      </c>
      <c r="CZ99" s="159"/>
      <c r="DA99" s="1097">
        <f>DA98/DA67</f>
        <v>-1.4291936108562536E-2</v>
      </c>
      <c r="DB99" s="159"/>
      <c r="DC99" s="1097">
        <f>DC98/DC67</f>
        <v>0.10039342680874301</v>
      </c>
      <c r="DD99" s="159"/>
      <c r="DE99" s="1097">
        <f>DE98/DE67</f>
        <v>-2.0635622027136778E-2</v>
      </c>
      <c r="DF99" s="159"/>
      <c r="DG99" s="1097">
        <f>DG98/DG67</f>
        <v>3.3433262169685334E-2</v>
      </c>
      <c r="DH99" s="159"/>
      <c r="DI99" s="1097">
        <f>DI98/DI67</f>
        <v>0.10015904571058062</v>
      </c>
      <c r="DJ99" s="159"/>
      <c r="DK99" s="1097">
        <f>DK98/DK67</f>
        <v>5.4593105439369537E-2</v>
      </c>
      <c r="DL99" s="159"/>
      <c r="DM99" s="1097">
        <f>DM98/DM67</f>
        <v>6.8579119425383514E-2</v>
      </c>
      <c r="DN99" s="159"/>
      <c r="DO99" s="1097">
        <f>DO98/DO67</f>
        <v>1.1358176069334829E-2</v>
      </c>
      <c r="DP99" s="159"/>
      <c r="DQ99" s="1097">
        <f>DQ98/DQ67</f>
        <v>2.804435980332895E-2</v>
      </c>
      <c r="DR99" s="159"/>
      <c r="DS99" s="1097">
        <f>DS98/DS67</f>
        <v>7.0803702037277108E-2</v>
      </c>
    </row>
    <row r="100" spans="1:123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620</v>
      </c>
      <c r="BN100" s="251"/>
      <c r="BO100" s="167">
        <v>620</v>
      </c>
      <c r="BP100" s="251"/>
      <c r="BQ100" s="167">
        <v>620</v>
      </c>
      <c r="BR100" s="251"/>
      <c r="BS100" s="167">
        <v>620</v>
      </c>
      <c r="BT100" s="251"/>
      <c r="BU100" s="167">
        <v>620</v>
      </c>
      <c r="BV100" s="251"/>
      <c r="BW100" s="167">
        <v>620</v>
      </c>
      <c r="BX100" s="251"/>
      <c r="BY100" s="167">
        <v>620</v>
      </c>
      <c r="BZ100" s="251"/>
      <c r="CA100" s="167">
        <v>620</v>
      </c>
      <c r="CB100" s="251"/>
      <c r="CC100" s="167">
        <v>620</v>
      </c>
      <c r="CD100" s="251"/>
      <c r="CE100" s="167">
        <v>620</v>
      </c>
      <c r="CF100" s="251"/>
      <c r="CG100" s="167">
        <v>620</v>
      </c>
      <c r="CH100" s="251"/>
      <c r="CI100" s="167">
        <v>620</v>
      </c>
      <c r="CJ100" s="251"/>
      <c r="CK100" s="167">
        <v>620</v>
      </c>
      <c r="CL100" s="251"/>
      <c r="CM100" s="167">
        <v>620</v>
      </c>
      <c r="CN100" s="251"/>
      <c r="CO100" s="167">
        <v>620</v>
      </c>
      <c r="CP100" s="251"/>
      <c r="CQ100" s="167">
        <v>620</v>
      </c>
      <c r="CR100" s="251"/>
      <c r="CS100" s="167">
        <v>620</v>
      </c>
      <c r="CT100" s="251"/>
      <c r="CU100" s="167">
        <v>620</v>
      </c>
      <c r="CV100" s="251"/>
      <c r="CW100" s="167">
        <v>620</v>
      </c>
      <c r="CX100" s="251"/>
      <c r="CY100" s="167">
        <v>620</v>
      </c>
      <c r="CZ100" s="251"/>
      <c r="DA100" s="167">
        <v>620</v>
      </c>
      <c r="DB100" s="251"/>
      <c r="DC100" s="167">
        <v>620</v>
      </c>
      <c r="DD100" s="251"/>
      <c r="DE100" s="167">
        <v>620</v>
      </c>
      <c r="DF100" s="251"/>
      <c r="DG100" s="167">
        <v>620</v>
      </c>
      <c r="DH100" s="251"/>
      <c r="DI100" s="167">
        <v>620</v>
      </c>
      <c r="DJ100" s="251"/>
      <c r="DK100" s="167">
        <v>620</v>
      </c>
      <c r="DL100" s="251"/>
      <c r="DM100" s="167">
        <v>620</v>
      </c>
      <c r="DN100" s="251"/>
      <c r="DO100" s="167">
        <v>620</v>
      </c>
      <c r="DP100" s="251"/>
      <c r="DQ100" s="167">
        <v>620</v>
      </c>
      <c r="DR100" s="251"/>
      <c r="DS100" s="167">
        <v>620</v>
      </c>
    </row>
    <row r="101" spans="1:123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>
        <v>1150</v>
      </c>
      <c r="BX101" s="164"/>
      <c r="BY101" s="168">
        <v>1150</v>
      </c>
      <c r="BZ101" s="164"/>
      <c r="CA101" s="168">
        <v>1150</v>
      </c>
      <c r="CB101" s="164"/>
      <c r="CC101" s="168">
        <v>1150</v>
      </c>
      <c r="CD101" s="164"/>
      <c r="CE101" s="168">
        <v>1150</v>
      </c>
      <c r="CF101" s="164"/>
      <c r="CG101" s="168">
        <v>1150</v>
      </c>
      <c r="CH101" s="164"/>
      <c r="CI101" s="168">
        <v>1150</v>
      </c>
      <c r="CJ101" s="164"/>
      <c r="CK101" s="168">
        <v>1150</v>
      </c>
      <c r="CL101" s="164"/>
      <c r="CM101" s="168">
        <v>1150</v>
      </c>
      <c r="CN101" s="164"/>
      <c r="CO101" s="168">
        <v>1150</v>
      </c>
      <c r="CP101" s="164"/>
      <c r="CQ101" s="168">
        <v>1150</v>
      </c>
      <c r="CR101" s="164"/>
      <c r="CS101" s="168">
        <v>1150</v>
      </c>
      <c r="CT101" s="164"/>
      <c r="CU101" s="168">
        <v>1150</v>
      </c>
      <c r="CV101" s="164"/>
      <c r="CW101" s="168">
        <v>1150</v>
      </c>
      <c r="CX101" s="164"/>
      <c r="CY101" s="168">
        <v>1150</v>
      </c>
      <c r="CZ101" s="164"/>
      <c r="DA101" s="168">
        <v>1150</v>
      </c>
      <c r="DB101" s="164"/>
      <c r="DC101" s="168">
        <v>1150</v>
      </c>
      <c r="DD101" s="164"/>
      <c r="DE101" s="168">
        <v>1150</v>
      </c>
      <c r="DF101" s="164"/>
      <c r="DG101" s="168">
        <v>1150</v>
      </c>
      <c r="DH101" s="164"/>
      <c r="DI101" s="168">
        <v>1150</v>
      </c>
      <c r="DJ101" s="164"/>
      <c r="DK101" s="168">
        <v>1150</v>
      </c>
      <c r="DL101" s="164"/>
      <c r="DM101" s="168">
        <v>1150</v>
      </c>
      <c r="DN101" s="164"/>
      <c r="DO101" s="168">
        <v>1150</v>
      </c>
      <c r="DP101" s="164"/>
      <c r="DQ101" s="168">
        <v>1150</v>
      </c>
      <c r="DR101" s="164"/>
      <c r="DS101" s="168">
        <v>1150</v>
      </c>
    </row>
    <row r="102" spans="1:123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>
        <v>750</v>
      </c>
      <c r="BX102" s="164"/>
      <c r="BY102" s="168">
        <v>750</v>
      </c>
      <c r="BZ102" s="164"/>
      <c r="CA102" s="168">
        <v>750</v>
      </c>
      <c r="CB102" s="164"/>
      <c r="CC102" s="168">
        <v>750</v>
      </c>
      <c r="CD102" s="164"/>
      <c r="CE102" s="168">
        <v>750</v>
      </c>
      <c r="CF102" s="164"/>
      <c r="CG102" s="168">
        <v>750</v>
      </c>
      <c r="CH102" s="164"/>
      <c r="CI102" s="168">
        <v>750</v>
      </c>
      <c r="CJ102" s="164"/>
      <c r="CK102" s="168">
        <v>750</v>
      </c>
      <c r="CL102" s="164"/>
      <c r="CM102" s="168">
        <v>750</v>
      </c>
      <c r="CN102" s="164"/>
      <c r="CO102" s="168">
        <v>750</v>
      </c>
      <c r="CP102" s="164"/>
      <c r="CQ102" s="168">
        <v>750</v>
      </c>
      <c r="CR102" s="164"/>
      <c r="CS102" s="168">
        <v>750</v>
      </c>
      <c r="CT102" s="164"/>
      <c r="CU102" s="168">
        <v>750</v>
      </c>
      <c r="CV102" s="164"/>
      <c r="CW102" s="168">
        <v>750</v>
      </c>
      <c r="CX102" s="164"/>
      <c r="CY102" s="168">
        <v>750</v>
      </c>
      <c r="CZ102" s="164"/>
      <c r="DA102" s="168">
        <v>750</v>
      </c>
      <c r="DB102" s="164"/>
      <c r="DC102" s="168">
        <v>750</v>
      </c>
      <c r="DD102" s="164"/>
      <c r="DE102" s="168">
        <v>750</v>
      </c>
      <c r="DF102" s="164"/>
      <c r="DG102" s="168">
        <v>750</v>
      </c>
      <c r="DH102" s="164"/>
      <c r="DI102" s="168">
        <v>750</v>
      </c>
      <c r="DJ102" s="164"/>
      <c r="DK102" s="168">
        <v>750</v>
      </c>
      <c r="DL102" s="164"/>
      <c r="DM102" s="168">
        <v>750</v>
      </c>
      <c r="DN102" s="164"/>
      <c r="DO102" s="168">
        <v>750</v>
      </c>
      <c r="DP102" s="164"/>
      <c r="DQ102" s="168">
        <v>750</v>
      </c>
      <c r="DR102" s="164"/>
      <c r="DS102" s="168">
        <v>750</v>
      </c>
    </row>
    <row r="103" spans="1:123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164"/>
      <c r="BY103" s="171"/>
      <c r="BZ103" s="164"/>
      <c r="CA103" s="171"/>
      <c r="CB103" s="164"/>
      <c r="CC103" s="171"/>
      <c r="CD103" s="164"/>
      <c r="CE103" s="171"/>
      <c r="CF103" s="164"/>
      <c r="CG103" s="171"/>
      <c r="CH103" s="164"/>
      <c r="CI103" s="171"/>
      <c r="CJ103" s="164"/>
      <c r="CK103" s="171"/>
      <c r="CL103" s="164"/>
      <c r="CM103" s="171"/>
      <c r="CN103" s="164"/>
      <c r="CO103" s="171"/>
      <c r="CP103" s="164"/>
      <c r="CQ103" s="171"/>
      <c r="CR103" s="164"/>
      <c r="CS103" s="171"/>
      <c r="CT103" s="164"/>
      <c r="CU103" s="171"/>
      <c r="CV103" s="164"/>
      <c r="CW103" s="171"/>
      <c r="CX103" s="164"/>
      <c r="CY103" s="171"/>
      <c r="CZ103" s="164"/>
      <c r="DA103" s="171"/>
      <c r="DB103" s="164"/>
      <c r="DC103" s="171"/>
      <c r="DD103" s="164"/>
      <c r="DE103" s="171"/>
      <c r="DF103" s="164"/>
      <c r="DG103" s="171"/>
      <c r="DH103" s="164"/>
      <c r="DI103" s="171"/>
      <c r="DJ103" s="164"/>
      <c r="DK103" s="171"/>
      <c r="DL103" s="164"/>
      <c r="DM103" s="171"/>
      <c r="DN103" s="164"/>
      <c r="DO103" s="171"/>
      <c r="DP103" s="164"/>
      <c r="DQ103" s="171"/>
      <c r="DR103" s="164"/>
      <c r="DS103" s="171"/>
    </row>
    <row r="104" spans="1:123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 t="shared" ref="K104" si="1060">K101-K100</f>
        <v>530</v>
      </c>
      <c r="L104" s="173"/>
      <c r="M104" s="165">
        <f t="shared" ref="M104" si="1061">M101-M100</f>
        <v>530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530</v>
      </c>
      <c r="T104" s="173"/>
      <c r="U104" s="165">
        <f>U101-U100</f>
        <v>530</v>
      </c>
      <c r="V104" s="173"/>
      <c r="W104" s="165">
        <f>W101-W100</f>
        <v>530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530</v>
      </c>
      <c r="AD104" s="173"/>
      <c r="AE104" s="165">
        <f>AE101-AE100</f>
        <v>530</v>
      </c>
      <c r="AF104" s="173"/>
      <c r="AG104" s="165">
        <f>AG101-AG100</f>
        <v>530</v>
      </c>
      <c r="AH104" s="173"/>
      <c r="AI104" s="165">
        <f>AI101-AI100</f>
        <v>530</v>
      </c>
      <c r="AJ104" s="173"/>
      <c r="AK104" s="165">
        <f>AK101-AK100</f>
        <v>530</v>
      </c>
      <c r="AL104" s="173"/>
      <c r="AM104" s="165">
        <f>AM101-AM100</f>
        <v>530</v>
      </c>
      <c r="AN104" s="173"/>
      <c r="AO104" s="165">
        <f>AO101-AO100</f>
        <v>530</v>
      </c>
      <c r="AP104" s="173"/>
      <c r="AQ104" s="165">
        <f t="shared" ref="AQ104" si="1062">AQ101-AQ100</f>
        <v>530</v>
      </c>
      <c r="AR104" s="173"/>
      <c r="AS104" s="165">
        <f t="shared" ref="AS104" si="1063">AS101-AS100</f>
        <v>530</v>
      </c>
      <c r="AT104" s="173"/>
      <c r="AU104" s="165">
        <f t="shared" ref="AU104" si="1064">AU101-AU100</f>
        <v>530</v>
      </c>
      <c r="AV104" s="173"/>
      <c r="AW104" s="165">
        <f t="shared" ref="AW104" si="1065">AW101-AW100</f>
        <v>530</v>
      </c>
      <c r="AX104" s="173"/>
      <c r="AY104" s="165">
        <f t="shared" ref="AY104" si="1066">AY101-AY100</f>
        <v>530</v>
      </c>
      <c r="AZ104" s="173"/>
      <c r="BA104" s="165">
        <f t="shared" ref="BA104:BC104" si="1067">BA101-BA100</f>
        <v>530</v>
      </c>
      <c r="BB104" s="173"/>
      <c r="BC104" s="165">
        <f t="shared" si="1067"/>
        <v>530</v>
      </c>
      <c r="BD104" s="173"/>
      <c r="BE104" s="165">
        <f t="shared" ref="BE104:BI104" si="1068">BE101-BE100</f>
        <v>530</v>
      </c>
      <c r="BF104" s="173"/>
      <c r="BG104" s="165">
        <f t="shared" si="1068"/>
        <v>530</v>
      </c>
      <c r="BH104" s="173"/>
      <c r="BI104" s="165">
        <f t="shared" si="1068"/>
        <v>530</v>
      </c>
      <c r="BJ104" s="173"/>
      <c r="BK104" s="165">
        <f t="shared" ref="BK104:BM104" si="1069">BK101-BK100</f>
        <v>530</v>
      </c>
      <c r="BL104" s="173"/>
      <c r="BM104" s="165">
        <f t="shared" si="1069"/>
        <v>530</v>
      </c>
      <c r="BN104" s="173"/>
      <c r="BO104" s="165">
        <f t="shared" ref="BO104:BQ104" si="1070">BO101-BO100</f>
        <v>530</v>
      </c>
      <c r="BP104" s="173"/>
      <c r="BQ104" s="165">
        <f t="shared" si="1070"/>
        <v>530</v>
      </c>
      <c r="BR104" s="173"/>
      <c r="BS104" s="165">
        <f t="shared" ref="BS104:CS104" si="1071">BS101-BS100</f>
        <v>530</v>
      </c>
      <c r="BT104" s="173"/>
      <c r="BU104" s="165">
        <f t="shared" ref="BU104:BW104" si="1072">BU101-BU100</f>
        <v>530</v>
      </c>
      <c r="BV104" s="173"/>
      <c r="BW104" s="165">
        <f t="shared" si="1072"/>
        <v>530</v>
      </c>
      <c r="BX104" s="173"/>
      <c r="BY104" s="165">
        <f t="shared" ref="BY104:CA104" si="1073">BY101-BY100</f>
        <v>530</v>
      </c>
      <c r="BZ104" s="173"/>
      <c r="CA104" s="165">
        <f t="shared" si="1073"/>
        <v>530</v>
      </c>
      <c r="CB104" s="173"/>
      <c r="CC104" s="165">
        <f t="shared" ref="CC104:CE104" si="1074">CC101-CC100</f>
        <v>530</v>
      </c>
      <c r="CD104" s="173"/>
      <c r="CE104" s="165">
        <f t="shared" si="1074"/>
        <v>530</v>
      </c>
      <c r="CF104" s="173"/>
      <c r="CG104" s="165">
        <f t="shared" ref="CG104:CI104" si="1075">CG101-CG100</f>
        <v>530</v>
      </c>
      <c r="CH104" s="173"/>
      <c r="CI104" s="165">
        <f t="shared" si="1075"/>
        <v>530</v>
      </c>
      <c r="CJ104" s="173"/>
      <c r="CK104" s="165">
        <f t="shared" ref="CK104:CM104" si="1076">CK101-CK100</f>
        <v>530</v>
      </c>
      <c r="CL104" s="173"/>
      <c r="CM104" s="165">
        <f t="shared" si="1076"/>
        <v>530</v>
      </c>
      <c r="CN104" s="173"/>
      <c r="CO104" s="165">
        <f t="shared" ref="CO104:CQ104" si="1077">CO101-CO100</f>
        <v>530</v>
      </c>
      <c r="CP104" s="173"/>
      <c r="CQ104" s="165">
        <f t="shared" si="1077"/>
        <v>530</v>
      </c>
      <c r="CR104" s="173"/>
      <c r="CS104" s="165">
        <f t="shared" si="1071"/>
        <v>530</v>
      </c>
      <c r="CT104" s="173"/>
      <c r="CU104" s="165">
        <f t="shared" ref="CU104" si="1078">CU101-CU100</f>
        <v>530</v>
      </c>
      <c r="CV104" s="173"/>
      <c r="CW104" s="165">
        <f>CW101-CW100</f>
        <v>530</v>
      </c>
      <c r="CX104" s="173"/>
      <c r="CY104" s="165">
        <f>CY101-CY100</f>
        <v>530</v>
      </c>
      <c r="CZ104" s="173"/>
      <c r="DA104" s="165">
        <f>DA101-DA100</f>
        <v>530</v>
      </c>
      <c r="DB104" s="173"/>
      <c r="DC104" s="165">
        <f>DC101-DC100</f>
        <v>530</v>
      </c>
      <c r="DD104" s="173"/>
      <c r="DE104" s="165">
        <f>DE101-DE100</f>
        <v>530</v>
      </c>
      <c r="DF104" s="173"/>
      <c r="DG104" s="165">
        <f>DG101-DG100</f>
        <v>530</v>
      </c>
      <c r="DH104" s="173"/>
      <c r="DI104" s="165">
        <f>DI101-DI100</f>
        <v>530</v>
      </c>
      <c r="DJ104" s="173"/>
      <c r="DK104" s="165">
        <f>DK101-DK100</f>
        <v>530</v>
      </c>
      <c r="DL104" s="173"/>
      <c r="DM104" s="165">
        <f>DM101-DM100</f>
        <v>530</v>
      </c>
      <c r="DN104" s="173"/>
      <c r="DO104" s="165">
        <f>DO101-DO100</f>
        <v>530</v>
      </c>
      <c r="DP104" s="173"/>
      <c r="DQ104" s="165">
        <f>DQ101-DQ100</f>
        <v>530</v>
      </c>
      <c r="DR104" s="173"/>
      <c r="DS104" s="165">
        <f>DS101-DS100</f>
        <v>530</v>
      </c>
    </row>
    <row r="105" spans="1:123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0.14929577464788732</v>
      </c>
      <c r="H105" s="177"/>
      <c r="I105" s="178">
        <f>I104/I66</f>
        <v>0.14929577464788732</v>
      </c>
      <c r="J105" s="177"/>
      <c r="K105" s="178">
        <f t="shared" ref="K105" si="1079">K104/K66</f>
        <v>0.14929577464788732</v>
      </c>
      <c r="L105" s="177"/>
      <c r="M105" s="178">
        <f t="shared" ref="M105" si="1080">M104/M66</f>
        <v>0.14929577464788732</v>
      </c>
      <c r="N105" s="177"/>
      <c r="O105" s="178">
        <f>O104/O66</f>
        <v>0.14929577464788732</v>
      </c>
      <c r="P105" s="177"/>
      <c r="Q105" s="178">
        <f>Q104/Q66</f>
        <v>0.14929577464788732</v>
      </c>
      <c r="R105" s="177"/>
      <c r="S105" s="178">
        <f>S104/S66</f>
        <v>0.14929577464788732</v>
      </c>
      <c r="T105" s="177"/>
      <c r="U105" s="178">
        <f>U104/U66</f>
        <v>0.14929577464788732</v>
      </c>
      <c r="V105" s="177"/>
      <c r="W105" s="178">
        <f>W104/W66</f>
        <v>0.14929577464788732</v>
      </c>
      <c r="X105" s="177"/>
      <c r="Y105" s="178">
        <f>Y104/Y66</f>
        <v>0.14929577464788732</v>
      </c>
      <c r="Z105" s="177"/>
      <c r="AA105" s="178">
        <f>AA104/AA66</f>
        <v>0.14929577464788732</v>
      </c>
      <c r="AB105" s="177"/>
      <c r="AC105" s="178">
        <f>AC104/AC66</f>
        <v>0.14929577464788732</v>
      </c>
      <c r="AD105" s="177"/>
      <c r="AE105" s="178">
        <f>AE104/AE66</f>
        <v>0.14929577464788732</v>
      </c>
      <c r="AF105" s="177"/>
      <c r="AG105" s="178">
        <f>AG104/AG66</f>
        <v>0.14929577464788732</v>
      </c>
      <c r="AH105" s="177"/>
      <c r="AI105" s="178">
        <f>AI104/AI66</f>
        <v>0.14929577464788732</v>
      </c>
      <c r="AJ105" s="177"/>
      <c r="AK105" s="178">
        <f>AK104/AK66</f>
        <v>0.14929577464788732</v>
      </c>
      <c r="AL105" s="177"/>
      <c r="AM105" s="178">
        <f>AM104/AM66</f>
        <v>0.14929577464788732</v>
      </c>
      <c r="AN105" s="177"/>
      <c r="AO105" s="178">
        <f>AO104/AO66</f>
        <v>0.14929577464788732</v>
      </c>
      <c r="AP105" s="177"/>
      <c r="AQ105" s="178">
        <f t="shared" ref="AQ105" si="1081">AQ104/AQ66</f>
        <v>0.14929577464788732</v>
      </c>
      <c r="AR105" s="177"/>
      <c r="AS105" s="178">
        <f t="shared" ref="AS105" si="1082">AS104/AS66</f>
        <v>0.14929577464788732</v>
      </c>
      <c r="AT105" s="177"/>
      <c r="AU105" s="178">
        <f t="shared" ref="AU105" si="1083">AU104/AU66</f>
        <v>0.14929577464788732</v>
      </c>
      <c r="AV105" s="177"/>
      <c r="AW105" s="178">
        <f t="shared" ref="AW105" si="1084">AW104/AW66</f>
        <v>0.14929577464788732</v>
      </c>
      <c r="AX105" s="177"/>
      <c r="AY105" s="178">
        <f t="shared" ref="AY105" si="1085">AY104/AY66</f>
        <v>0.14929577464788732</v>
      </c>
      <c r="AZ105" s="177"/>
      <c r="BA105" s="178">
        <f t="shared" ref="BA105:BC105" si="1086">BA104/BA66</f>
        <v>0.14929577464788732</v>
      </c>
      <c r="BB105" s="177"/>
      <c r="BC105" s="178">
        <f t="shared" si="1086"/>
        <v>0.14929577464788732</v>
      </c>
      <c r="BD105" s="177"/>
      <c r="BE105" s="178">
        <f t="shared" ref="BE105:BI105" si="1087">BE104/BE66</f>
        <v>0.14929577464788732</v>
      </c>
      <c r="BF105" s="177"/>
      <c r="BG105" s="178">
        <f t="shared" si="1087"/>
        <v>0.14929577464788732</v>
      </c>
      <c r="BH105" s="177"/>
      <c r="BI105" s="178">
        <f t="shared" si="1087"/>
        <v>0.14929577464788732</v>
      </c>
      <c r="BJ105" s="177"/>
      <c r="BK105" s="178">
        <f t="shared" ref="BK105:BM105" si="1088">BK104/BK66</f>
        <v>0.14929577464788732</v>
      </c>
      <c r="BL105" s="177"/>
      <c r="BM105" s="178">
        <f t="shared" si="1088"/>
        <v>0.1444141689373297</v>
      </c>
      <c r="BN105" s="177"/>
      <c r="BO105" s="178">
        <f t="shared" ref="BO105:BQ105" si="1089">BO104/BO66</f>
        <v>0.1444141689373297</v>
      </c>
      <c r="BP105" s="177"/>
      <c r="BQ105" s="178">
        <f t="shared" si="1089"/>
        <v>0.1444141689373297</v>
      </c>
      <c r="BR105" s="177"/>
      <c r="BS105" s="178">
        <f t="shared" ref="BS105:CS105" si="1090">BS104/BS66</f>
        <v>0.1444141689373297</v>
      </c>
      <c r="BT105" s="177"/>
      <c r="BU105" s="178">
        <f t="shared" ref="BU105:BW105" si="1091">BU104/BU66</f>
        <v>0.1444141689373297</v>
      </c>
      <c r="BV105" s="177"/>
      <c r="BW105" s="178">
        <f t="shared" si="1091"/>
        <v>0.1444141689373297</v>
      </c>
      <c r="BX105" s="177"/>
      <c r="BY105" s="178">
        <f t="shared" ref="BY105:CA105" si="1092">BY104/BY66</f>
        <v>0.1444141689373297</v>
      </c>
      <c r="BZ105" s="177"/>
      <c r="CA105" s="178">
        <f t="shared" si="1092"/>
        <v>0.1444141689373297</v>
      </c>
      <c r="CB105" s="177"/>
      <c r="CC105" s="178">
        <f t="shared" ref="CC105:CE105" si="1093">CC104/CC66</f>
        <v>0.1444141689373297</v>
      </c>
      <c r="CD105" s="177"/>
      <c r="CE105" s="178">
        <f t="shared" si="1093"/>
        <v>0.1444141689373297</v>
      </c>
      <c r="CF105" s="177"/>
      <c r="CG105" s="178">
        <f t="shared" ref="CG105:CI105" si="1094">CG104/CG66</f>
        <v>0.1444141689373297</v>
      </c>
      <c r="CH105" s="177"/>
      <c r="CI105" s="178">
        <f t="shared" si="1094"/>
        <v>0.1444141689373297</v>
      </c>
      <c r="CJ105" s="177"/>
      <c r="CK105" s="178">
        <f t="shared" ref="CK105:CM105" si="1095">CK104/CK66</f>
        <v>0.1444141689373297</v>
      </c>
      <c r="CL105" s="177"/>
      <c r="CM105" s="178">
        <f t="shared" si="1095"/>
        <v>0.1444141689373297</v>
      </c>
      <c r="CN105" s="177"/>
      <c r="CO105" s="178">
        <f t="shared" ref="CO105:CQ105" si="1096">CO104/CO66</f>
        <v>0.1444141689373297</v>
      </c>
      <c r="CP105" s="177"/>
      <c r="CQ105" s="178">
        <f t="shared" si="1096"/>
        <v>0.1444141689373297</v>
      </c>
      <c r="CR105" s="177"/>
      <c r="CS105" s="178">
        <f t="shared" si="1090"/>
        <v>0.1444141689373297</v>
      </c>
      <c r="CT105" s="177"/>
      <c r="CU105" s="178">
        <f t="shared" ref="CU105" si="1097">CU104/CU66</f>
        <v>0.1444141689373297</v>
      </c>
      <c r="CV105" s="177"/>
      <c r="CW105" s="178">
        <f>CW104/CW66</f>
        <v>0.14929577464788732</v>
      </c>
      <c r="CX105" s="177"/>
      <c r="CY105" s="178">
        <f>CY104/CY66</f>
        <v>0.14929577464788732</v>
      </c>
      <c r="CZ105" s="177"/>
      <c r="DA105" s="178">
        <f>DA104/DA66</f>
        <v>0.14929577464788732</v>
      </c>
      <c r="DB105" s="177"/>
      <c r="DC105" s="178">
        <f>DC104/DC66</f>
        <v>0.14929577464788732</v>
      </c>
      <c r="DD105" s="177"/>
      <c r="DE105" s="178">
        <f>DE104/DE66</f>
        <v>0.14929577464788732</v>
      </c>
      <c r="DF105" s="177"/>
      <c r="DG105" s="178">
        <f>DG104/DG66</f>
        <v>0.14929577464788732</v>
      </c>
      <c r="DH105" s="177"/>
      <c r="DI105" s="178">
        <f>DI104/DI66</f>
        <v>0.14929577464788732</v>
      </c>
      <c r="DJ105" s="177"/>
      <c r="DK105" s="178">
        <f>DK104/DK66</f>
        <v>0.14929577464788732</v>
      </c>
      <c r="DL105" s="177"/>
      <c r="DM105" s="178">
        <f>DM104/DM66</f>
        <v>0.14929577464788732</v>
      </c>
      <c r="DN105" s="177"/>
      <c r="DO105" s="178">
        <f>DO104/DO66</f>
        <v>0.14929577464788732</v>
      </c>
      <c r="DP105" s="177"/>
      <c r="DQ105" s="178">
        <f>DQ104/DQ66</f>
        <v>0.14929577464788732</v>
      </c>
      <c r="DR105" s="177"/>
      <c r="DS105" s="178">
        <f>DS104/DS66</f>
        <v>0.14929577464788732</v>
      </c>
    </row>
    <row r="106" spans="1:123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0.11267605633802817</v>
      </c>
      <c r="H106" s="177"/>
      <c r="I106" s="178">
        <f>(I101-I102)/I66</f>
        <v>0.11267605633802817</v>
      </c>
      <c r="J106" s="177"/>
      <c r="K106" s="178">
        <f t="shared" ref="K106" si="1098">(K101-K102)/K66</f>
        <v>0.11267605633802817</v>
      </c>
      <c r="L106" s="177"/>
      <c r="M106" s="178">
        <f t="shared" ref="M106" si="1099">(M101-M102)/M66</f>
        <v>0.11267605633802817</v>
      </c>
      <c r="N106" s="177"/>
      <c r="O106" s="178">
        <f>(O101-O102)/O66</f>
        <v>0.11267605633802817</v>
      </c>
      <c r="P106" s="177"/>
      <c r="Q106" s="178">
        <f>(Q101-Q102)/Q66</f>
        <v>0.11267605633802817</v>
      </c>
      <c r="R106" s="177"/>
      <c r="S106" s="178">
        <f>(S101-S102)/S66</f>
        <v>0.11267605633802817</v>
      </c>
      <c r="T106" s="177"/>
      <c r="U106" s="178">
        <f>(U101-U102)/U66</f>
        <v>0.11267605633802817</v>
      </c>
      <c r="V106" s="177"/>
      <c r="W106" s="178">
        <f>(W101-W102)/W66</f>
        <v>0.11267605633802817</v>
      </c>
      <c r="X106" s="177"/>
      <c r="Y106" s="178">
        <f>(Y101-Y102)/Y66</f>
        <v>0.11267605633802817</v>
      </c>
      <c r="Z106" s="177"/>
      <c r="AA106" s="178">
        <f>(AA101-AA102)/AA66</f>
        <v>0.11267605633802817</v>
      </c>
      <c r="AB106" s="177"/>
      <c r="AC106" s="178">
        <f>(AC101-AC102)/AC66</f>
        <v>0.11267605633802817</v>
      </c>
      <c r="AD106" s="177"/>
      <c r="AE106" s="178">
        <f>(AE101-AE102)/AE66</f>
        <v>0.11267605633802817</v>
      </c>
      <c r="AF106" s="177"/>
      <c r="AG106" s="178">
        <f>(AG101-AG102)/AG66</f>
        <v>0.11267605633802817</v>
      </c>
      <c r="AH106" s="177"/>
      <c r="AI106" s="178">
        <f>(AI101-AI102)/AI66</f>
        <v>0.11267605633802817</v>
      </c>
      <c r="AJ106" s="177"/>
      <c r="AK106" s="178">
        <f>(AK101-AK102)/AK66</f>
        <v>0.11267605633802817</v>
      </c>
      <c r="AL106" s="177"/>
      <c r="AM106" s="178">
        <f>(AM101-AM102)/AM66</f>
        <v>0.11267605633802817</v>
      </c>
      <c r="AN106" s="177"/>
      <c r="AO106" s="178">
        <f>(AO101-AO102)/AO66</f>
        <v>0.11267605633802817</v>
      </c>
      <c r="AP106" s="177"/>
      <c r="AQ106" s="178">
        <f t="shared" ref="AQ106" si="1100">(AQ101-AQ102)/AQ66</f>
        <v>0.11267605633802817</v>
      </c>
      <c r="AR106" s="177"/>
      <c r="AS106" s="178">
        <f t="shared" ref="AS106" si="1101">(AS101-AS102)/AS66</f>
        <v>0.11267605633802817</v>
      </c>
      <c r="AT106" s="177"/>
      <c r="AU106" s="178">
        <f t="shared" ref="AU106" si="1102">(AU101-AU102)/AU66</f>
        <v>0.11267605633802817</v>
      </c>
      <c r="AV106" s="177"/>
      <c r="AW106" s="178">
        <f t="shared" ref="AW106" si="1103">(AW101-AW102)/AW66</f>
        <v>0.11267605633802817</v>
      </c>
      <c r="AX106" s="177"/>
      <c r="AY106" s="178">
        <f t="shared" ref="AY106" si="1104">(AY101-AY102)/AY66</f>
        <v>0.11267605633802817</v>
      </c>
      <c r="AZ106" s="177"/>
      <c r="BA106" s="178">
        <f t="shared" ref="BA106:BC106" si="1105">(BA101-BA102)/BA66</f>
        <v>0.11267605633802817</v>
      </c>
      <c r="BB106" s="177"/>
      <c r="BC106" s="178">
        <f t="shared" si="1105"/>
        <v>0.11267605633802817</v>
      </c>
      <c r="BD106" s="177"/>
      <c r="BE106" s="178">
        <f t="shared" ref="BE106:BI106" si="1106">(BE101-BE102)/BE66</f>
        <v>0.11267605633802817</v>
      </c>
      <c r="BF106" s="177"/>
      <c r="BG106" s="178">
        <f t="shared" si="1106"/>
        <v>0.11267605633802817</v>
      </c>
      <c r="BH106" s="177"/>
      <c r="BI106" s="178">
        <f t="shared" si="1106"/>
        <v>0.11267605633802817</v>
      </c>
      <c r="BJ106" s="177"/>
      <c r="BK106" s="178">
        <f t="shared" ref="BK106:BM106" si="1107">(BK101-BK102)/BK66</f>
        <v>0.11267605633802817</v>
      </c>
      <c r="BL106" s="177"/>
      <c r="BM106" s="178">
        <f t="shared" si="1107"/>
        <v>0.10899182561307902</v>
      </c>
      <c r="BN106" s="177"/>
      <c r="BO106" s="178">
        <f t="shared" ref="BO106:BQ106" si="1108">(BO101-BO102)/BO66</f>
        <v>0.10899182561307902</v>
      </c>
      <c r="BP106" s="177"/>
      <c r="BQ106" s="178">
        <f t="shared" si="1108"/>
        <v>0.10899182561307902</v>
      </c>
      <c r="BR106" s="177"/>
      <c r="BS106" s="178">
        <f t="shared" ref="BS106:CS106" si="1109">(BS101-BS102)/BS66</f>
        <v>0.10899182561307902</v>
      </c>
      <c r="BT106" s="177"/>
      <c r="BU106" s="178">
        <f t="shared" ref="BU106:BW106" si="1110">(BU101-BU102)/BU66</f>
        <v>0.10899182561307902</v>
      </c>
      <c r="BV106" s="177"/>
      <c r="BW106" s="178">
        <f t="shared" si="1110"/>
        <v>0.10899182561307902</v>
      </c>
      <c r="BX106" s="177"/>
      <c r="BY106" s="178">
        <f t="shared" ref="BY106:CA106" si="1111">(BY101-BY102)/BY66</f>
        <v>0.10899182561307902</v>
      </c>
      <c r="BZ106" s="177"/>
      <c r="CA106" s="178">
        <f t="shared" si="1111"/>
        <v>0.10899182561307902</v>
      </c>
      <c r="CB106" s="177"/>
      <c r="CC106" s="178">
        <f t="shared" ref="CC106:CE106" si="1112">(CC101-CC102)/CC66</f>
        <v>0.10899182561307902</v>
      </c>
      <c r="CD106" s="177"/>
      <c r="CE106" s="178">
        <f t="shared" si="1112"/>
        <v>0.10899182561307902</v>
      </c>
      <c r="CF106" s="177"/>
      <c r="CG106" s="178">
        <f t="shared" ref="CG106:CI106" si="1113">(CG101-CG102)/CG66</f>
        <v>0.10899182561307902</v>
      </c>
      <c r="CH106" s="177"/>
      <c r="CI106" s="178">
        <f t="shared" si="1113"/>
        <v>0.10899182561307902</v>
      </c>
      <c r="CJ106" s="177"/>
      <c r="CK106" s="178">
        <f t="shared" ref="CK106:CM106" si="1114">(CK101-CK102)/CK66</f>
        <v>0.10899182561307902</v>
      </c>
      <c r="CL106" s="177"/>
      <c r="CM106" s="178">
        <f t="shared" si="1114"/>
        <v>0.10899182561307902</v>
      </c>
      <c r="CN106" s="177"/>
      <c r="CO106" s="178">
        <f t="shared" ref="CO106:CQ106" si="1115">(CO101-CO102)/CO66</f>
        <v>0.10899182561307902</v>
      </c>
      <c r="CP106" s="177"/>
      <c r="CQ106" s="178">
        <f t="shared" si="1115"/>
        <v>0.10899182561307902</v>
      </c>
      <c r="CR106" s="177"/>
      <c r="CS106" s="178">
        <f t="shared" si="1109"/>
        <v>0.10899182561307902</v>
      </c>
      <c r="CT106" s="177"/>
      <c r="CU106" s="178">
        <f t="shared" ref="CU106" si="1116">(CU101-CU102)/CU66</f>
        <v>0.10899182561307902</v>
      </c>
      <c r="CV106" s="177"/>
      <c r="CW106" s="178">
        <f>(CW101-CW102)/CW66</f>
        <v>0.11267605633802817</v>
      </c>
      <c r="CX106" s="177"/>
      <c r="CY106" s="178">
        <f>(CY101-CY102)/CY66</f>
        <v>0.11267605633802817</v>
      </c>
      <c r="CZ106" s="177"/>
      <c r="DA106" s="178">
        <f>(DA101-DA102)/DA66</f>
        <v>0.11267605633802817</v>
      </c>
      <c r="DB106" s="177"/>
      <c r="DC106" s="178">
        <f>(DC101-DC102)/DC66</f>
        <v>0.11267605633802817</v>
      </c>
      <c r="DD106" s="177"/>
      <c r="DE106" s="178">
        <f>(DE101-DE102)/DE66</f>
        <v>0.11267605633802817</v>
      </c>
      <c r="DF106" s="177"/>
      <c r="DG106" s="178">
        <f>(DG101-DG102)/DG66</f>
        <v>0.11267605633802817</v>
      </c>
      <c r="DH106" s="177"/>
      <c r="DI106" s="178">
        <f>(DI101-DI102)/DI66</f>
        <v>0.11267605633802817</v>
      </c>
      <c r="DJ106" s="177"/>
      <c r="DK106" s="178">
        <f>(DK101-DK102)/DK66</f>
        <v>0.11267605633802817</v>
      </c>
      <c r="DL106" s="177"/>
      <c r="DM106" s="178">
        <f>(DM101-DM102)/DM66</f>
        <v>0.11267605633802817</v>
      </c>
      <c r="DN106" s="177"/>
      <c r="DO106" s="178">
        <f>(DO101-DO102)/DO66</f>
        <v>0.11267605633802817</v>
      </c>
      <c r="DP106" s="177"/>
      <c r="DQ106" s="178">
        <f>(DQ101-DQ102)/DQ66</f>
        <v>0.11267605633802817</v>
      </c>
      <c r="DR106" s="177"/>
      <c r="DS106" s="178">
        <f>(DS101-DS102)/DS66</f>
        <v>0.11267605633802817</v>
      </c>
    </row>
    <row r="107" spans="1:123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180"/>
      <c r="BY107" s="181"/>
      <c r="BZ107" s="180"/>
      <c r="CA107" s="181"/>
      <c r="CB107" s="180"/>
      <c r="CC107" s="181"/>
      <c r="CD107" s="180"/>
      <c r="CE107" s="181"/>
      <c r="CF107" s="180"/>
      <c r="CG107" s="181"/>
      <c r="CH107" s="180"/>
      <c r="CI107" s="181"/>
      <c r="CJ107" s="180"/>
      <c r="CK107" s="181"/>
      <c r="CL107" s="180"/>
      <c r="CM107" s="181"/>
      <c r="CN107" s="180"/>
      <c r="CO107" s="181"/>
      <c r="CP107" s="180"/>
      <c r="CQ107" s="181"/>
      <c r="CR107" s="180"/>
      <c r="CS107" s="181"/>
      <c r="CT107" s="180"/>
      <c r="CU107" s="181"/>
      <c r="CV107" s="180"/>
      <c r="CW107" s="181"/>
      <c r="CX107" s="180"/>
      <c r="CY107" s="181"/>
      <c r="CZ107" s="180"/>
      <c r="DA107" s="181"/>
      <c r="DB107" s="180"/>
      <c r="DC107" s="181"/>
      <c r="DD107" s="180"/>
      <c r="DE107" s="181"/>
      <c r="DF107" s="180"/>
      <c r="DG107" s="181"/>
      <c r="DH107" s="180"/>
      <c r="DI107" s="181"/>
      <c r="DJ107" s="180"/>
      <c r="DK107" s="181"/>
      <c r="DL107" s="180"/>
      <c r="DM107" s="181"/>
      <c r="DN107" s="180"/>
      <c r="DO107" s="181"/>
      <c r="DP107" s="180"/>
      <c r="DQ107" s="181"/>
      <c r="DR107" s="180"/>
      <c r="DS107" s="181"/>
    </row>
    <row r="108" spans="1:123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0.85167773072365183</v>
      </c>
      <c r="H108" s="186"/>
      <c r="I108" s="187">
        <f>I60-(I101/I66)-I74</f>
        <v>0.6618403022187147</v>
      </c>
      <c r="J108" s="186"/>
      <c r="K108" s="187">
        <f t="shared" ref="K108" si="1117">K60-(K101/K66)-K74</f>
        <v>0.6618403022187147</v>
      </c>
      <c r="L108" s="186"/>
      <c r="M108" s="187">
        <f t="shared" ref="M108" si="1118">M60-(M101/M66)-M74</f>
        <v>0.6618403022187147</v>
      </c>
      <c r="N108" s="186"/>
      <c r="O108" s="187">
        <f>O60-(O101/O66)-O74</f>
        <v>0.97877365504575664</v>
      </c>
      <c r="P108" s="186"/>
      <c r="Q108" s="187">
        <f>Q60-(Q101/Q66)-Q74</f>
        <v>5.7263795070422541</v>
      </c>
      <c r="R108" s="186"/>
      <c r="S108" s="187">
        <f>S60-(S101/S66)-S74</f>
        <v>5.7263795070422541</v>
      </c>
      <c r="T108" s="186"/>
      <c r="U108" s="187">
        <f>U60-(U101/U66)-U74</f>
        <v>0.72904448388996901</v>
      </c>
      <c r="V108" s="186"/>
      <c r="W108" s="187">
        <f>W60-(W101/W66)-W74</f>
        <v>0.74173787686837755</v>
      </c>
      <c r="X108" s="186"/>
      <c r="Y108" s="187">
        <f>Y60-(Y101/Y66)-Y74</f>
        <v>0.4839479280523058</v>
      </c>
      <c r="Z108" s="186"/>
      <c r="AA108" s="187">
        <f>AA60-(AA101/AA66)-AA74</f>
        <v>0.37559803936169622</v>
      </c>
      <c r="AB108" s="186"/>
      <c r="AC108" s="187">
        <f>AC60-(AC101/AC66)-AC74</f>
        <v>0.50255435196589637</v>
      </c>
      <c r="AD108" s="186"/>
      <c r="AE108" s="187">
        <f>AE60-(AE101/AE66)-AE74</f>
        <v>0.619633703712128</v>
      </c>
      <c r="AF108" s="186"/>
      <c r="AG108" s="187">
        <f>AG60-(AG101/AG66)-AG74</f>
        <v>0.44732488907183843</v>
      </c>
      <c r="AH108" s="186"/>
      <c r="AI108" s="187">
        <f>AI60-(AI101/AI66)-AI74</f>
        <v>0.83330048788118916</v>
      </c>
      <c r="AJ108" s="186"/>
      <c r="AK108" s="187">
        <f>AK60-(AK101/AK66)-AK74</f>
        <v>1.0836718283638858</v>
      </c>
      <c r="AL108" s="186"/>
      <c r="AM108" s="187">
        <f>AM60-(AM101/AM66)-AM74</f>
        <v>1.1820090488703343</v>
      </c>
      <c r="AN108" s="186"/>
      <c r="AO108" s="187">
        <f>AO60-(AO101/AO66)-AO74</f>
        <v>1.2883313301012418</v>
      </c>
      <c r="AP108" s="186"/>
      <c r="AQ108" s="187">
        <f t="shared" ref="AQ108" si="1119">AQ60-(AQ101/AQ66)-AQ74</f>
        <v>1.1308210313749525</v>
      </c>
      <c r="AR108" s="186"/>
      <c r="AS108" s="187">
        <f t="shared" ref="AS108" si="1120">AS60-(AS101/AS66)-AS74</f>
        <v>0.99901844331542033</v>
      </c>
      <c r="AT108" s="186"/>
      <c r="AU108" s="187">
        <f t="shared" ref="AU108" si="1121">AU60-(AU101/AU66)-AU74</f>
        <v>1.0683901275758458</v>
      </c>
      <c r="AV108" s="186"/>
      <c r="AW108" s="187">
        <f t="shared" ref="AW108" si="1122">AW60-(AW101/AW66)-AW74</f>
        <v>0.82835133802816863</v>
      </c>
      <c r="AX108" s="186"/>
      <c r="AY108" s="187">
        <f t="shared" ref="AY108" si="1123">AY60-(AY101/AY66)-AY74</f>
        <v>0.78835133802816859</v>
      </c>
      <c r="AZ108" s="186"/>
      <c r="BA108" s="187">
        <f t="shared" ref="BA108:BC108" si="1124">BA60-(BA101/BA66)-BA74</f>
        <v>0.78571372918551141</v>
      </c>
      <c r="BB108" s="186"/>
      <c r="BC108" s="187">
        <f t="shared" si="1124"/>
        <v>0.94634570500400361</v>
      </c>
      <c r="BD108" s="186"/>
      <c r="BE108" s="187">
        <f t="shared" ref="BE108:BI108" si="1125">BE60-(BE101/BE66)-BE74</f>
        <v>1.0812614711719863</v>
      </c>
      <c r="BF108" s="186"/>
      <c r="BG108" s="187">
        <f t="shared" si="1125"/>
        <v>1.1990001906197705</v>
      </c>
      <c r="BH108" s="186"/>
      <c r="BI108" s="187">
        <f t="shared" si="1125"/>
        <v>1.268351338028169</v>
      </c>
      <c r="BJ108" s="186"/>
      <c r="BK108" s="187">
        <f t="shared" ref="BK108:BM108" si="1126">BK60-(BK101/BK66)-BK74</f>
        <v>1.3473239436619719</v>
      </c>
      <c r="BL108" s="186"/>
      <c r="BM108" s="187">
        <f t="shared" si="1126"/>
        <v>1.2571151528799804</v>
      </c>
      <c r="BN108" s="186"/>
      <c r="BO108" s="187">
        <f t="shared" ref="BO108:BQ108" si="1127">BO60-(BO101/BO66)-BO74</f>
        <v>1.0484141556473494</v>
      </c>
      <c r="BP108" s="186"/>
      <c r="BQ108" s="187">
        <f t="shared" si="1127"/>
        <v>0.8215762910673865</v>
      </c>
      <c r="BR108" s="186"/>
      <c r="BS108" s="187">
        <f t="shared" ref="BS108:CS108" si="1128">BS60-(BS101/BS66)-BS74</f>
        <v>0.88448477175970464</v>
      </c>
      <c r="BT108" s="186"/>
      <c r="BU108" s="187">
        <f t="shared" ref="BU108:BW108" si="1129">BU60-(BU101/BU66)-BU74</f>
        <v>0.73882952514944744</v>
      </c>
      <c r="BV108" s="186"/>
      <c r="BW108" s="187">
        <f t="shared" si="1129"/>
        <v>0.8545243776586755</v>
      </c>
      <c r="BX108" s="186"/>
      <c r="BY108" s="187">
        <f t="shared" ref="BY108:CA108" si="1130">BY60-(BY101/BY66)-BY74</f>
        <v>1.226978580232073</v>
      </c>
      <c r="BZ108" s="186"/>
      <c r="CA108" s="187">
        <f t="shared" si="1130"/>
        <v>1.2033790548591297</v>
      </c>
      <c r="CB108" s="186"/>
      <c r="CC108" s="187">
        <f t="shared" ref="CC108:CE108" si="1131">CC60-(CC101/CC66)-CC74</f>
        <v>1.0939235623746457</v>
      </c>
      <c r="CD108" s="186"/>
      <c r="CE108" s="187">
        <f t="shared" si="1131"/>
        <v>1.0059109891824738</v>
      </c>
      <c r="CF108" s="186"/>
      <c r="CG108" s="187">
        <f t="shared" ref="CG108:CI108" si="1132">CG60-(CG101/CG66)-CG74</f>
        <v>1.0407497764541045</v>
      </c>
      <c r="CH108" s="186"/>
      <c r="CI108" s="187">
        <f t="shared" si="1132"/>
        <v>1.3196751792699191</v>
      </c>
      <c r="CJ108" s="186"/>
      <c r="CK108" s="187">
        <f t="shared" ref="CK108:CM108" si="1133">CK60-(CK101/CK66)-CK74</f>
        <v>1.3758691811487536</v>
      </c>
      <c r="CL108" s="186"/>
      <c r="CM108" s="187">
        <f t="shared" si="1133"/>
        <v>1.0735081743869204</v>
      </c>
      <c r="CN108" s="186"/>
      <c r="CO108" s="187">
        <f t="shared" ref="CO108:CQ108" si="1134">CO60-(CO101/CO66)-CO74</f>
        <v>1.0735081743869204</v>
      </c>
      <c r="CP108" s="186"/>
      <c r="CQ108" s="187">
        <f t="shared" si="1134"/>
        <v>1.0735081743869204</v>
      </c>
      <c r="CR108" s="186"/>
      <c r="CS108" s="187">
        <f t="shared" si="1128"/>
        <v>0.89270355331107165</v>
      </c>
      <c r="CT108" s="186"/>
      <c r="CU108" s="187">
        <f t="shared" ref="CU108" si="1135">CU60-(CU101/CU66)-CU74</f>
        <v>0.89270355331107165</v>
      </c>
      <c r="CV108" s="186"/>
      <c r="CW108" s="187">
        <f>CW60-(CW101/CW66)-CW74</f>
        <v>0.80943875166367363</v>
      </c>
      <c r="CX108" s="186"/>
      <c r="CY108" s="187">
        <f>CY60-(CY101/CY66)-CY74</f>
        <v>0.47029251659794902</v>
      </c>
      <c r="CZ108" s="186"/>
      <c r="DA108" s="187">
        <f>DA60-(DA101/DA66)-DA74</f>
        <v>0.66282525100690393</v>
      </c>
      <c r="DB108" s="186"/>
      <c r="DC108" s="187">
        <f>DC60-(DC101/DC66)-DC74</f>
        <v>1.1950180046948358</v>
      </c>
      <c r="DD108" s="186"/>
      <c r="DE108" s="187">
        <f>DE60-(DE101/DE66)-DE74</f>
        <v>0.64791437485998049</v>
      </c>
      <c r="DF108" s="186"/>
      <c r="DG108" s="187">
        <f>DG60-(DG101/DG66)-DG74</f>
        <v>0.89718250685933754</v>
      </c>
      <c r="DH108" s="186"/>
      <c r="DI108" s="187">
        <f>DI60-(DI101/DI66)-DI74</f>
        <v>1.5649323769892076</v>
      </c>
      <c r="DJ108" s="186"/>
      <c r="DK108" s="187">
        <f>DK60-(DK101/DK66)-DK74</f>
        <v>1.564698626989208</v>
      </c>
      <c r="DL108" s="186"/>
      <c r="DM108" s="187">
        <f>DM60-(DM101/DM66)-DM74</f>
        <v>1.6556077178982989</v>
      </c>
      <c r="DN108" s="186"/>
      <c r="DO108" s="187">
        <f>DO60-(DO101/DO66)-DO74</f>
        <v>0.76731237698920829</v>
      </c>
      <c r="DP108" s="186"/>
      <c r="DQ108" s="187">
        <f>DQ60-(DQ101/DQ66)-DQ74</f>
        <v>0.85822146789829912</v>
      </c>
      <c r="DR108" s="186"/>
      <c r="DS108" s="187">
        <f>DS60-(DS101/DS66)-DS74</f>
        <v>1.1023773120541431</v>
      </c>
    </row>
    <row r="109" spans="1:123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0.15780041461737809</v>
      </c>
      <c r="H109" s="192"/>
      <c r="I109" s="193">
        <f>I108/I67</f>
        <v>0.1254422356047217</v>
      </c>
      <c r="J109" s="192"/>
      <c r="K109" s="193">
        <f t="shared" ref="K109" si="1136">K108/K67</f>
        <v>0.1254422356047217</v>
      </c>
      <c r="L109" s="192"/>
      <c r="M109" s="193">
        <f t="shared" ref="M109" si="1137">M108/M67</f>
        <v>0.1254422356047217</v>
      </c>
      <c r="N109" s="192"/>
      <c r="O109" s="193">
        <f>O108/O67</f>
        <v>0.17238807573486503</v>
      </c>
      <c r="P109" s="192"/>
      <c r="Q109" s="193">
        <f>Q108/Q67</f>
        <v>1.0028685651562617</v>
      </c>
      <c r="R109" s="192"/>
      <c r="S109" s="193">
        <f>S108/S67</f>
        <v>1.0028685651562617</v>
      </c>
      <c r="T109" s="192"/>
      <c r="U109" s="193">
        <f>U108/U67</f>
        <v>0.12767854358843592</v>
      </c>
      <c r="V109" s="192"/>
      <c r="W109" s="193">
        <f>W108/W67</f>
        <v>0.12990155461792952</v>
      </c>
      <c r="X109" s="192"/>
      <c r="Y109" s="193">
        <f>Y108/Y67</f>
        <v>8.4754453249090339E-2</v>
      </c>
      <c r="Z109" s="192"/>
      <c r="AA109" s="193">
        <f>AA108/AA67</f>
        <v>6.5778991131645578E-2</v>
      </c>
      <c r="AB109" s="192"/>
      <c r="AC109" s="193">
        <f>AC108/AC67</f>
        <v>8.8013021360051902E-2</v>
      </c>
      <c r="AD109" s="192"/>
      <c r="AE109" s="193">
        <f>AE108/AE67</f>
        <v>0.10851728611420806</v>
      </c>
      <c r="AF109" s="192"/>
      <c r="AG109" s="193">
        <f>AG108/AG67</f>
        <v>7.8340611045856115E-2</v>
      </c>
      <c r="AH109" s="192"/>
      <c r="AI109" s="193">
        <f>AI108/AI67</f>
        <v>0.14593703815782647</v>
      </c>
      <c r="AJ109" s="192"/>
      <c r="AK109" s="193">
        <f>AK108/AK67</f>
        <v>0.18978490864516387</v>
      </c>
      <c r="AL109" s="192"/>
      <c r="AM109" s="193">
        <f>AM108/AM67</f>
        <v>0.2070068386813195</v>
      </c>
      <c r="AN109" s="192"/>
      <c r="AO109" s="193">
        <f>AO108/AO67</f>
        <v>0.22562720317009488</v>
      </c>
      <c r="AP109" s="192"/>
      <c r="AQ109" s="193">
        <f t="shared" ref="AQ109" si="1138">AQ108/AQ67</f>
        <v>0.19804221214972897</v>
      </c>
      <c r="AR109" s="192"/>
      <c r="AS109" s="193">
        <f t="shared" ref="AS109" si="1139">AS108/AS67</f>
        <v>0.17495944716557274</v>
      </c>
      <c r="AT109" s="192"/>
      <c r="AU109" s="193">
        <f t="shared" ref="AU109" si="1140">AU108/AU67</f>
        <v>0.18710860377860697</v>
      </c>
      <c r="AV109" s="192"/>
      <c r="AW109" s="193">
        <f t="shared" ref="AW109" si="1141">AW108/AW67</f>
        <v>0.14507028687008208</v>
      </c>
      <c r="AX109" s="192"/>
      <c r="AY109" s="193">
        <f t="shared" ref="AY109" si="1142">AY108/AY67</f>
        <v>0.13806503292962671</v>
      </c>
      <c r="AZ109" s="192"/>
      <c r="BA109" s="193">
        <f t="shared" ref="BA109:BC109" si="1143">BA108/BA67</f>
        <v>0.13760310493616662</v>
      </c>
      <c r="BB109" s="192"/>
      <c r="BC109" s="193">
        <f t="shared" si="1143"/>
        <v>0.16573479947530712</v>
      </c>
      <c r="BD109" s="192"/>
      <c r="BE109" s="193">
        <f t="shared" ref="BE109:BI109" si="1144">BE108/BE67</f>
        <v>0.18936277953975242</v>
      </c>
      <c r="BF109" s="192"/>
      <c r="BG109" s="193">
        <f t="shared" si="1144"/>
        <v>0.20998252024864633</v>
      </c>
      <c r="BH109" s="192"/>
      <c r="BI109" s="193">
        <f t="shared" si="1144"/>
        <v>0.2221280802150909</v>
      </c>
      <c r="BJ109" s="192"/>
      <c r="BK109" s="193">
        <f t="shared" ref="BK109:BM109" si="1145">BK108/BK67</f>
        <v>0.23070615473663902</v>
      </c>
      <c r="BL109" s="192"/>
      <c r="BM109" s="193">
        <f t="shared" si="1145"/>
        <v>0.21525944398629804</v>
      </c>
      <c r="BN109" s="192"/>
      <c r="BO109" s="193">
        <f t="shared" ref="BO109:BQ109" si="1146">BO108/BO67</f>
        <v>0.17952297185742286</v>
      </c>
      <c r="BP109" s="192"/>
      <c r="BQ109" s="193">
        <f t="shared" si="1146"/>
        <v>0.14068087175811414</v>
      </c>
      <c r="BR109" s="192"/>
      <c r="BS109" s="193">
        <f t="shared" ref="BS109:CS109" si="1147">BS108/BS67</f>
        <v>0.15145287187666176</v>
      </c>
      <c r="BT109" s="192"/>
      <c r="BU109" s="193">
        <f t="shared" ref="BU109:BW109" si="1148">BU108/BU67</f>
        <v>0.12651190499134374</v>
      </c>
      <c r="BV109" s="192"/>
      <c r="BW109" s="193">
        <f t="shared" si="1148"/>
        <v>0.14632266740730746</v>
      </c>
      <c r="BX109" s="192"/>
      <c r="BY109" s="193">
        <f t="shared" ref="BY109:CA109" si="1149">BY108/BY67</f>
        <v>0.21009907195754673</v>
      </c>
      <c r="BZ109" s="192"/>
      <c r="CA109" s="193">
        <f t="shared" si="1149"/>
        <v>0.20605805733889207</v>
      </c>
      <c r="CB109" s="192"/>
      <c r="CC109" s="193">
        <f t="shared" ref="CC109:CE109" si="1150">CC108/CC67</f>
        <v>0.1873156784888092</v>
      </c>
      <c r="CD109" s="192"/>
      <c r="CE109" s="193">
        <f t="shared" si="1150"/>
        <v>0.17224503239425923</v>
      </c>
      <c r="CF109" s="192"/>
      <c r="CG109" s="193">
        <f t="shared" ref="CG109:CI109" si="1151">CG108/CG67</f>
        <v>0.1782105781599494</v>
      </c>
      <c r="CH109" s="192"/>
      <c r="CI109" s="193">
        <f t="shared" si="1151"/>
        <v>0.22597177727224643</v>
      </c>
      <c r="CJ109" s="192"/>
      <c r="CK109" s="193">
        <f t="shared" ref="CK109:CM109" si="1152">CK108/CK67</f>
        <v>0.23559403786793726</v>
      </c>
      <c r="CL109" s="192"/>
      <c r="CM109" s="193">
        <f t="shared" si="1152"/>
        <v>0.18381989287447267</v>
      </c>
      <c r="CN109" s="192"/>
      <c r="CO109" s="193">
        <f t="shared" ref="CO109:CQ109" si="1153">CO108/CO67</f>
        <v>0.18381989287447267</v>
      </c>
      <c r="CP109" s="192"/>
      <c r="CQ109" s="193">
        <f t="shared" si="1153"/>
        <v>0.18381989287447267</v>
      </c>
      <c r="CR109" s="192"/>
      <c r="CS109" s="193">
        <f t="shared" si="1147"/>
        <v>0.15286019748477256</v>
      </c>
      <c r="CT109" s="192"/>
      <c r="CU109" s="193">
        <f t="shared" ref="CU109" si="1154">CU108/CU67</f>
        <v>0.15286019748477256</v>
      </c>
      <c r="CV109" s="192"/>
      <c r="CW109" s="193">
        <f>CW108/CW67</f>
        <v>0.14200126136211402</v>
      </c>
      <c r="CX109" s="192"/>
      <c r="CY109" s="193">
        <f>CY108/CY67</f>
        <v>8.2362962626611053E-2</v>
      </c>
      <c r="CZ109" s="192"/>
      <c r="DA109" s="193">
        <f>DA108/DA67</f>
        <v>0.11608148003623536</v>
      </c>
      <c r="DB109" s="192"/>
      <c r="DC109" s="193">
        <f>DC108/DC67</f>
        <v>0.20928511465758945</v>
      </c>
      <c r="DD109" s="192"/>
      <c r="DE109" s="193">
        <f>DE108/DE67</f>
        <v>0.11357285528923325</v>
      </c>
      <c r="DF109" s="192"/>
      <c r="DG109" s="193">
        <f>DG108/DG67</f>
        <v>0.15712478228709939</v>
      </c>
      <c r="DH109" s="192"/>
      <c r="DI109" s="193">
        <f>DI108/DI67</f>
        <v>0.24075882722910885</v>
      </c>
      <c r="DJ109" s="192"/>
      <c r="DK109" s="193">
        <f>DK108/DK67</f>
        <v>0.24072286569064738</v>
      </c>
      <c r="DL109" s="192"/>
      <c r="DM109" s="193">
        <f>DM108/DM67</f>
        <v>0.25470887967666134</v>
      </c>
      <c r="DN109" s="192"/>
      <c r="DO109" s="193">
        <f>DO108/DO67</f>
        <v>0.13438045131159515</v>
      </c>
      <c r="DP109" s="192"/>
      <c r="DQ109" s="193">
        <f>DQ108/DQ67</f>
        <v>0.15030148299444818</v>
      </c>
      <c r="DR109" s="192"/>
      <c r="DS109" s="193">
        <f>DS108/DS67</f>
        <v>0.19306082522839635</v>
      </c>
    </row>
    <row r="110" spans="1:123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>
        <v>0.35</v>
      </c>
      <c r="BT110" s="164"/>
      <c r="BU110" s="198">
        <v>0.35</v>
      </c>
      <c r="BV110" s="164"/>
      <c r="BW110" s="198">
        <v>0.35</v>
      </c>
      <c r="BX110" s="164"/>
      <c r="BY110" s="198">
        <v>0.35</v>
      </c>
      <c r="BZ110" s="164"/>
      <c r="CA110" s="198">
        <v>0.35</v>
      </c>
      <c r="CB110" s="164"/>
      <c r="CC110" s="198">
        <v>0.35</v>
      </c>
      <c r="CD110" s="164"/>
      <c r="CE110" s="198">
        <v>0.35</v>
      </c>
      <c r="CF110" s="164"/>
      <c r="CG110" s="198">
        <v>0.35</v>
      </c>
      <c r="CH110" s="164"/>
      <c r="CI110" s="198">
        <v>0.35</v>
      </c>
      <c r="CJ110" s="164"/>
      <c r="CK110" s="198">
        <v>0.35</v>
      </c>
      <c r="CL110" s="164"/>
      <c r="CM110" s="198">
        <v>0.35</v>
      </c>
      <c r="CN110" s="164"/>
      <c r="CO110" s="198">
        <v>0.35</v>
      </c>
      <c r="CP110" s="164"/>
      <c r="CQ110" s="198">
        <v>0.35</v>
      </c>
      <c r="CR110" s="164"/>
      <c r="CS110" s="198">
        <v>0.35</v>
      </c>
      <c r="CT110" s="164"/>
      <c r="CU110" s="198">
        <v>0.35</v>
      </c>
      <c r="CV110" s="164"/>
      <c r="CW110" s="198"/>
      <c r="CX110" s="164"/>
      <c r="CY110" s="198"/>
      <c r="CZ110" s="164"/>
      <c r="DA110" s="198"/>
      <c r="DB110" s="164"/>
      <c r="DC110" s="198"/>
      <c r="DD110" s="164"/>
      <c r="DE110" s="198"/>
      <c r="DF110" s="164"/>
      <c r="DG110" s="198"/>
      <c r="DH110" s="164"/>
      <c r="DI110" s="198"/>
      <c r="DJ110" s="164"/>
      <c r="DK110" s="198"/>
      <c r="DL110" s="164"/>
      <c r="DM110" s="198"/>
      <c r="DN110" s="164"/>
      <c r="DO110" s="198"/>
      <c r="DP110" s="164"/>
      <c r="DQ110" s="198"/>
      <c r="DR110" s="164"/>
      <c r="DS110" s="198"/>
    </row>
    <row r="111" spans="1:123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0.96435378706167985</v>
      </c>
      <c r="H111" s="186"/>
      <c r="I111" s="187">
        <f>I60-(I102/I66)-I74</f>
        <v>0.77451635855674272</v>
      </c>
      <c r="J111" s="186"/>
      <c r="K111" s="187">
        <f t="shared" ref="K111" si="1155">K60-(K102/K66)-K74</f>
        <v>0.77451635855674272</v>
      </c>
      <c r="L111" s="186"/>
      <c r="M111" s="187">
        <f t="shared" ref="M111" si="1156">M60-(M102/M66)-M74</f>
        <v>0.77451635855674272</v>
      </c>
      <c r="N111" s="186"/>
      <c r="O111" s="187">
        <f>O60-(O102/O66)-O74</f>
        <v>1.0914497113837847</v>
      </c>
      <c r="P111" s="186"/>
      <c r="Q111" s="187">
        <f>Q60-(Q102/Q66)-Q74</f>
        <v>5.8390555633802821</v>
      </c>
      <c r="R111" s="186"/>
      <c r="S111" s="187">
        <f>S60-(S102/S66)-S74</f>
        <v>5.8390555633802821</v>
      </c>
      <c r="T111" s="186"/>
      <c r="U111" s="187">
        <f>U60-(U102/U66)-U74</f>
        <v>0.84172054022799703</v>
      </c>
      <c r="V111" s="186"/>
      <c r="W111" s="187">
        <f>W60-(W102/W66)-W74</f>
        <v>0.85441393320640557</v>
      </c>
      <c r="X111" s="186"/>
      <c r="Y111" s="187">
        <f>Y60-(Y102/Y66)-Y74</f>
        <v>0.59662398439033382</v>
      </c>
      <c r="Z111" s="186"/>
      <c r="AA111" s="187">
        <f>AA60-(AA102/AA66)-AA74</f>
        <v>0.48827409569972424</v>
      </c>
      <c r="AB111" s="186"/>
      <c r="AC111" s="187">
        <f>AC60-(AC102/AC66)-AC74</f>
        <v>0.61523040830392439</v>
      </c>
      <c r="AD111" s="186"/>
      <c r="AE111" s="187">
        <f>AE60-(AE102/AE66)-AE74</f>
        <v>0.73230976005015602</v>
      </c>
      <c r="AF111" s="186"/>
      <c r="AG111" s="187">
        <f>AG60-(AG102/AG66)-AG74</f>
        <v>0.56000094540986645</v>
      </c>
      <c r="AH111" s="186"/>
      <c r="AI111" s="187">
        <f>AI60-(AI102/AI66)-AI74</f>
        <v>0.94597654421921717</v>
      </c>
      <c r="AJ111" s="186"/>
      <c r="AK111" s="187">
        <f>AK60-(AK102/AK66)-AK74</f>
        <v>1.1963478847019138</v>
      </c>
      <c r="AL111" s="186"/>
      <c r="AM111" s="187">
        <f>AM60-(AM102/AM66)-AM74</f>
        <v>1.2946851052083623</v>
      </c>
      <c r="AN111" s="186"/>
      <c r="AO111" s="187">
        <f>AO60-(AO102/AO66)-AO74</f>
        <v>1.4010073864392698</v>
      </c>
      <c r="AP111" s="186"/>
      <c r="AQ111" s="187">
        <f t="shared" ref="AQ111" si="1157">AQ60-(AQ102/AQ66)-AQ74</f>
        <v>1.2434970877129805</v>
      </c>
      <c r="AR111" s="186"/>
      <c r="AS111" s="187">
        <f t="shared" ref="AS111" si="1158">AS60-(AS102/AS66)-AS74</f>
        <v>1.1116944996534484</v>
      </c>
      <c r="AT111" s="186"/>
      <c r="AU111" s="187">
        <f t="shared" ref="AU111" si="1159">AU60-(AU102/AU66)-AU74</f>
        <v>1.1810661839138739</v>
      </c>
      <c r="AV111" s="186"/>
      <c r="AW111" s="187">
        <f t="shared" ref="AW111" si="1160">AW60-(AW102/AW66)-AW74</f>
        <v>0.94102739436619665</v>
      </c>
      <c r="AX111" s="186"/>
      <c r="AY111" s="187">
        <f t="shared" ref="AY111" si="1161">AY60-(AY102/AY66)-AY74</f>
        <v>0.90102739436619661</v>
      </c>
      <c r="AZ111" s="186"/>
      <c r="BA111" s="187">
        <f t="shared" ref="BA111:BC111" si="1162">BA60-(BA102/BA66)-BA74</f>
        <v>0.89838978552353943</v>
      </c>
      <c r="BB111" s="186"/>
      <c r="BC111" s="187">
        <f t="shared" si="1162"/>
        <v>1.0590217613420316</v>
      </c>
      <c r="BD111" s="186"/>
      <c r="BE111" s="187">
        <f t="shared" ref="BE111:BI111" si="1163">BE60-(BE102/BE66)-BE74</f>
        <v>1.1939375275100144</v>
      </c>
      <c r="BF111" s="186"/>
      <c r="BG111" s="187">
        <f t="shared" si="1163"/>
        <v>1.3116762469577985</v>
      </c>
      <c r="BH111" s="186"/>
      <c r="BI111" s="187">
        <f t="shared" si="1163"/>
        <v>1.381027394366197</v>
      </c>
      <c r="BJ111" s="186"/>
      <c r="BK111" s="187">
        <f t="shared" ref="BK111:BM111" si="1164">BK60-(BK102/BK66)-BK74</f>
        <v>1.46</v>
      </c>
      <c r="BL111" s="186"/>
      <c r="BM111" s="187">
        <f t="shared" si="1164"/>
        <v>1.3661069784930593</v>
      </c>
      <c r="BN111" s="186"/>
      <c r="BO111" s="187">
        <f t="shared" ref="BO111:BQ111" si="1165">BO60-(BO102/BO66)-BO74</f>
        <v>1.1574059812604283</v>
      </c>
      <c r="BP111" s="186"/>
      <c r="BQ111" s="187">
        <f t="shared" si="1165"/>
        <v>0.93056811668046535</v>
      </c>
      <c r="BR111" s="186"/>
      <c r="BS111" s="187">
        <f t="shared" ref="BS111:CS111" si="1166">BS60-(BS102/BS66)-BS74</f>
        <v>0.99347659737278349</v>
      </c>
      <c r="BT111" s="186"/>
      <c r="BU111" s="187">
        <f t="shared" ref="BU111:BW111" si="1167">BU60-(BU102/BU66)-BU74</f>
        <v>0.84782135076252629</v>
      </c>
      <c r="BV111" s="186"/>
      <c r="BW111" s="187">
        <f t="shared" si="1167"/>
        <v>0.96351620327175436</v>
      </c>
      <c r="BX111" s="186"/>
      <c r="BY111" s="187">
        <f t="shared" ref="BY111:CA111" si="1168">BY60-(BY102/BY66)-BY74</f>
        <v>1.3359704058451518</v>
      </c>
      <c r="BZ111" s="186"/>
      <c r="CA111" s="187">
        <f t="shared" si="1168"/>
        <v>1.3123708804722085</v>
      </c>
      <c r="CB111" s="186"/>
      <c r="CC111" s="187">
        <f t="shared" ref="CC111:CE111" si="1169">CC60-(CC102/CC66)-CC74</f>
        <v>1.2029153879877246</v>
      </c>
      <c r="CD111" s="186"/>
      <c r="CE111" s="187">
        <f t="shared" si="1169"/>
        <v>1.1149028147955526</v>
      </c>
      <c r="CF111" s="186"/>
      <c r="CG111" s="187">
        <f t="shared" ref="CG111:CI111" si="1170">CG60-(CG102/CG66)-CG74</f>
        <v>1.1497416020671833</v>
      </c>
      <c r="CH111" s="186"/>
      <c r="CI111" s="187">
        <f t="shared" si="1170"/>
        <v>1.4286670048829979</v>
      </c>
      <c r="CJ111" s="186"/>
      <c r="CK111" s="187">
        <f t="shared" ref="CK111:CM111" si="1171">CK60-(CK102/CK66)-CK74</f>
        <v>1.4848610067618324</v>
      </c>
      <c r="CL111" s="186"/>
      <c r="CM111" s="187">
        <f t="shared" si="1171"/>
        <v>1.1824999999999992</v>
      </c>
      <c r="CN111" s="186"/>
      <c r="CO111" s="187">
        <f t="shared" ref="CO111:CQ111" si="1172">CO60-(CO102/CO66)-CO74</f>
        <v>1.1824999999999992</v>
      </c>
      <c r="CP111" s="186"/>
      <c r="CQ111" s="187">
        <f t="shared" si="1172"/>
        <v>1.1824999999999992</v>
      </c>
      <c r="CR111" s="186"/>
      <c r="CS111" s="187">
        <f t="shared" si="1166"/>
        <v>1.0016953789241505</v>
      </c>
      <c r="CT111" s="186"/>
      <c r="CU111" s="187">
        <f t="shared" ref="CU111" si="1173">CU60-(CU102/CU66)-CU74</f>
        <v>1.0016953789241505</v>
      </c>
      <c r="CV111" s="186"/>
      <c r="CW111" s="187">
        <f>CW60-(CW102/CW66)-CW74</f>
        <v>0.92211480800170165</v>
      </c>
      <c r="CX111" s="186"/>
      <c r="CY111" s="187">
        <f>CY60-(CY102/CY66)-CY74</f>
        <v>0.58296857293597704</v>
      </c>
      <c r="CZ111" s="186"/>
      <c r="DA111" s="187">
        <f>DA60-(DA102/DA66)-DA74</f>
        <v>0.77550130734493194</v>
      </c>
      <c r="DB111" s="186"/>
      <c r="DC111" s="187">
        <f>DC60-(DC102/DC66)-DC74</f>
        <v>1.3076940610328638</v>
      </c>
      <c r="DD111" s="186"/>
      <c r="DE111" s="187">
        <f>DE60-(DE102/DE66)-DE74</f>
        <v>0.76059043119800851</v>
      </c>
      <c r="DF111" s="186"/>
      <c r="DG111" s="187">
        <f>DG60-(DG102/DG66)-DG74</f>
        <v>1.0098585631973656</v>
      </c>
      <c r="DH111" s="186"/>
      <c r="DI111" s="187">
        <f>DI60-(DI102/DI66)-DI74</f>
        <v>1.6776084333272356</v>
      </c>
      <c r="DJ111" s="186"/>
      <c r="DK111" s="187">
        <f>DK60-(DK102/DK66)-DK74</f>
        <v>1.677374683327236</v>
      </c>
      <c r="DL111" s="186"/>
      <c r="DM111" s="187">
        <f>DM60-(DM102/DM66)-DM74</f>
        <v>1.7682837742363269</v>
      </c>
      <c r="DN111" s="186"/>
      <c r="DO111" s="187">
        <f>DO60-(DO102/DO66)-DO74</f>
        <v>0.87998843332723631</v>
      </c>
      <c r="DP111" s="186"/>
      <c r="DQ111" s="187">
        <f>DQ60-(DQ102/DQ66)-DQ74</f>
        <v>0.97089752423632714</v>
      </c>
      <c r="DR111" s="186"/>
      <c r="DS111" s="187">
        <f>DS60-(DS102/DS66)-DS74</f>
        <v>1.2150533683921712</v>
      </c>
    </row>
    <row r="112" spans="1:123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0.17867724133971627</v>
      </c>
      <c r="H112" s="192"/>
      <c r="I112" s="193">
        <f>I111/I67</f>
        <v>0.14679834879212156</v>
      </c>
      <c r="J112" s="192"/>
      <c r="K112" s="193">
        <f t="shared" ref="K112" si="1174">K111/K67</f>
        <v>0.14679834879212156</v>
      </c>
      <c r="L112" s="192"/>
      <c r="M112" s="193">
        <f t="shared" ref="M112" si="1175">M111/M67</f>
        <v>0.14679834879212156</v>
      </c>
      <c r="N112" s="192"/>
      <c r="O112" s="193">
        <f>O111/O67</f>
        <v>0.19223332640479426</v>
      </c>
      <c r="P112" s="192"/>
      <c r="Q112" s="193">
        <f>Q111/Q67</f>
        <v>1.0226016748476852</v>
      </c>
      <c r="R112" s="192"/>
      <c r="S112" s="193">
        <f>S111/S67</f>
        <v>1.0226016748476852</v>
      </c>
      <c r="T112" s="192"/>
      <c r="U112" s="193">
        <f>U111/U67</f>
        <v>0.14741165327985936</v>
      </c>
      <c r="V112" s="192"/>
      <c r="W112" s="193">
        <f>W111/W67</f>
        <v>0.14963466430935299</v>
      </c>
      <c r="X112" s="192"/>
      <c r="Y112" s="193">
        <f>Y111/Y67</f>
        <v>0.1044875629405138</v>
      </c>
      <c r="Z112" s="192"/>
      <c r="AA112" s="193">
        <f>AA111/AA67</f>
        <v>8.5512100823069051E-2</v>
      </c>
      <c r="AB112" s="192"/>
      <c r="AC112" s="193">
        <f>AC111/AC67</f>
        <v>0.10774613105147537</v>
      </c>
      <c r="AD112" s="192"/>
      <c r="AE112" s="193">
        <f>AE111/AE67</f>
        <v>0.12825039580563152</v>
      </c>
      <c r="AF112" s="192"/>
      <c r="AG112" s="193">
        <f>AG111/AG67</f>
        <v>9.8073720737279588E-2</v>
      </c>
      <c r="AH112" s="192"/>
      <c r="AI112" s="193">
        <f>AI111/AI67</f>
        <v>0.16567014784924994</v>
      </c>
      <c r="AJ112" s="192"/>
      <c r="AK112" s="193">
        <f>AK111/AK67</f>
        <v>0.20951801833658734</v>
      </c>
      <c r="AL112" s="192"/>
      <c r="AM112" s="193">
        <f>AM111/AM67</f>
        <v>0.22673994837274297</v>
      </c>
      <c r="AN112" s="192"/>
      <c r="AO112" s="193">
        <f>AO111/AO67</f>
        <v>0.24536031286151835</v>
      </c>
      <c r="AP112" s="192"/>
      <c r="AQ112" s="193">
        <f t="shared" ref="AQ112" si="1176">AQ111/AQ67</f>
        <v>0.21777532184115245</v>
      </c>
      <c r="AR112" s="192"/>
      <c r="AS112" s="193">
        <f t="shared" ref="AS112" si="1177">AS111/AS67</f>
        <v>0.19469255685699621</v>
      </c>
      <c r="AT112" s="192"/>
      <c r="AU112" s="193">
        <f t="shared" ref="AU112" si="1178">AU111/AU67</f>
        <v>0.20684171347003044</v>
      </c>
      <c r="AV112" s="192"/>
      <c r="AW112" s="193">
        <f t="shared" ref="AW112" si="1179">AW111/AW67</f>
        <v>0.16480339656150556</v>
      </c>
      <c r="AX112" s="192"/>
      <c r="AY112" s="193">
        <f t="shared" ref="AY112" si="1180">AY111/AY67</f>
        <v>0.15779814262105019</v>
      </c>
      <c r="AZ112" s="192"/>
      <c r="BA112" s="193">
        <f t="shared" ref="BA112:BC112" si="1181">BA111/BA67</f>
        <v>0.15733621462759009</v>
      </c>
      <c r="BB112" s="192"/>
      <c r="BC112" s="193">
        <f t="shared" si="1181"/>
        <v>0.18546790916673059</v>
      </c>
      <c r="BD112" s="192"/>
      <c r="BE112" s="193">
        <f t="shared" ref="BE112:BI112" si="1182">BE111/BE67</f>
        <v>0.20909588923117589</v>
      </c>
      <c r="BF112" s="192"/>
      <c r="BG112" s="193">
        <f t="shared" si="1182"/>
        <v>0.2297156299400698</v>
      </c>
      <c r="BH112" s="192"/>
      <c r="BI112" s="193">
        <f t="shared" si="1182"/>
        <v>0.24186118990651437</v>
      </c>
      <c r="BJ112" s="192"/>
      <c r="BK112" s="193">
        <f t="shared" ref="BK112:BM112" si="1183">BK111/BK67</f>
        <v>0.25</v>
      </c>
      <c r="BL112" s="192"/>
      <c r="BM112" s="193">
        <f t="shared" si="1183"/>
        <v>0.23392242782415398</v>
      </c>
      <c r="BN112" s="192"/>
      <c r="BO112" s="193">
        <f t="shared" ref="BO112:BQ112" si="1184">BO111/BO67</f>
        <v>0.1981859556952788</v>
      </c>
      <c r="BP112" s="192"/>
      <c r="BQ112" s="193">
        <f t="shared" si="1184"/>
        <v>0.15934385559597009</v>
      </c>
      <c r="BR112" s="192"/>
      <c r="BS112" s="193">
        <f t="shared" ref="BS112:CS112" si="1185">BS111/BS67</f>
        <v>0.17011585571451773</v>
      </c>
      <c r="BT112" s="192"/>
      <c r="BU112" s="193">
        <f t="shared" ref="BU112:BW112" si="1186">BU111/BU67</f>
        <v>0.14517488882919971</v>
      </c>
      <c r="BV112" s="192"/>
      <c r="BW112" s="193">
        <f t="shared" si="1186"/>
        <v>0.16498565124516343</v>
      </c>
      <c r="BX112" s="192"/>
      <c r="BY112" s="193">
        <f t="shared" ref="BY112:CA112" si="1187">BY111/BY67</f>
        <v>0.22876205579540271</v>
      </c>
      <c r="BZ112" s="192"/>
      <c r="CA112" s="193">
        <f t="shared" si="1187"/>
        <v>0.22472104117674804</v>
      </c>
      <c r="CB112" s="192"/>
      <c r="CC112" s="193">
        <f t="shared" ref="CC112:CE112" si="1188">CC111/CC67</f>
        <v>0.20597866232666517</v>
      </c>
      <c r="CD112" s="192"/>
      <c r="CE112" s="193">
        <f t="shared" si="1188"/>
        <v>0.19090801623211517</v>
      </c>
      <c r="CF112" s="192"/>
      <c r="CG112" s="193">
        <f t="shared" ref="CG112:CI112" si="1189">CG111/CG67</f>
        <v>0.19687356199780537</v>
      </c>
      <c r="CH112" s="192"/>
      <c r="CI112" s="193">
        <f t="shared" si="1189"/>
        <v>0.24463476111010238</v>
      </c>
      <c r="CJ112" s="192"/>
      <c r="CK112" s="193">
        <f t="shared" ref="CK112:CM112" si="1190">CK111/CK67</f>
        <v>0.25425702170579323</v>
      </c>
      <c r="CL112" s="192"/>
      <c r="CM112" s="193">
        <f t="shared" si="1190"/>
        <v>0.20248287671232865</v>
      </c>
      <c r="CN112" s="192"/>
      <c r="CO112" s="193">
        <f t="shared" ref="CO112:CQ112" si="1191">CO111/CO67</f>
        <v>0.20248287671232865</v>
      </c>
      <c r="CP112" s="192"/>
      <c r="CQ112" s="193">
        <f t="shared" si="1191"/>
        <v>0.20248287671232865</v>
      </c>
      <c r="CR112" s="192"/>
      <c r="CS112" s="193">
        <f t="shared" si="1185"/>
        <v>0.1715231813226285</v>
      </c>
      <c r="CT112" s="192"/>
      <c r="CU112" s="193">
        <f t="shared" ref="CU112" si="1192">CU111/CU67</f>
        <v>0.1715231813226285</v>
      </c>
      <c r="CV112" s="192"/>
      <c r="CW112" s="193">
        <f>CW111/CW67</f>
        <v>0.16176821975448508</v>
      </c>
      <c r="CX112" s="192"/>
      <c r="CY112" s="193">
        <f>CY111/CY67</f>
        <v>0.10209607231803453</v>
      </c>
      <c r="CZ112" s="192"/>
      <c r="DA112" s="193">
        <f>DA111/DA67</f>
        <v>0.13581458972765884</v>
      </c>
      <c r="DB112" s="192"/>
      <c r="DC112" s="193">
        <f>DC111/DC67</f>
        <v>0.22901822434901292</v>
      </c>
      <c r="DD112" s="192"/>
      <c r="DE112" s="193">
        <f>DE111/DE67</f>
        <v>0.13332383155643809</v>
      </c>
      <c r="DF112" s="192"/>
      <c r="DG112" s="193">
        <f>DG111/DG67</f>
        <v>0.17685789197852286</v>
      </c>
      <c r="DH112" s="192"/>
      <c r="DI112" s="193">
        <f>DI111/DI67</f>
        <v>0.25809360512726703</v>
      </c>
      <c r="DJ112" s="192"/>
      <c r="DK112" s="193">
        <f>DK111/DK67</f>
        <v>0.25805764358880556</v>
      </c>
      <c r="DL112" s="192"/>
      <c r="DM112" s="193">
        <f>DM111/DM67</f>
        <v>0.27204365757481952</v>
      </c>
      <c r="DN112" s="192"/>
      <c r="DO112" s="193">
        <f>DO111/DO67</f>
        <v>0.15411356100301862</v>
      </c>
      <c r="DP112" s="192"/>
      <c r="DQ112" s="193">
        <f>DQ111/DQ67</f>
        <v>0.17003459268587165</v>
      </c>
      <c r="DR112" s="192"/>
      <c r="DS112" s="193">
        <f>DS111/DS67</f>
        <v>0.21279393491981982</v>
      </c>
    </row>
    <row r="113" spans="1:123" s="4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173"/>
      <c r="BY113" s="165"/>
      <c r="BZ113" s="173"/>
      <c r="CA113" s="165"/>
      <c r="CB113" s="173"/>
      <c r="CC113" s="165"/>
      <c r="CD113" s="173"/>
      <c r="CE113" s="165"/>
      <c r="CF113" s="173"/>
      <c r="CG113" s="165"/>
      <c r="CH113" s="173"/>
      <c r="CI113" s="165"/>
      <c r="CJ113" s="173"/>
      <c r="CK113" s="165"/>
      <c r="CL113" s="173"/>
      <c r="CM113" s="165"/>
      <c r="CN113" s="173"/>
      <c r="CO113" s="165"/>
      <c r="CP113" s="173"/>
      <c r="CQ113" s="165"/>
      <c r="CR113" s="173"/>
      <c r="CS113" s="165"/>
      <c r="CT113" s="173"/>
      <c r="CU113" s="165"/>
      <c r="CV113" s="173"/>
      <c r="CW113" s="165"/>
      <c r="CX113" s="173"/>
      <c r="CY113" s="165"/>
      <c r="CZ113" s="173"/>
      <c r="DA113" s="165"/>
      <c r="DB113" s="173"/>
      <c r="DC113" s="165"/>
      <c r="DD113" s="173"/>
      <c r="DE113" s="165"/>
      <c r="DF113" s="173"/>
      <c r="DG113" s="165"/>
      <c r="DH113" s="173"/>
      <c r="DI113" s="165"/>
      <c r="DJ113" s="173"/>
      <c r="DK113" s="165"/>
      <c r="DL113" s="173"/>
      <c r="DM113" s="165"/>
      <c r="DN113" s="173"/>
      <c r="DO113" s="165"/>
      <c r="DP113" s="173"/>
      <c r="DQ113" s="165"/>
      <c r="DR113" s="173"/>
      <c r="DS113" s="165"/>
    </row>
    <row r="114" spans="1:123" s="65" customFormat="1" ht="18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455.14969428631667</v>
      </c>
      <c r="H114" s="202" t="s">
        <v>111</v>
      </c>
      <c r="I114" s="203">
        <f>I116/I79</f>
        <v>455.14969428631667</v>
      </c>
      <c r="J114" s="202" t="s">
        <v>111</v>
      </c>
      <c r="K114" s="203">
        <f t="shared" ref="K114" si="1193">K116/K79</f>
        <v>455.14969428631667</v>
      </c>
      <c r="L114" s="202" t="s">
        <v>111</v>
      </c>
      <c r="M114" s="203">
        <f t="shared" ref="M114" si="1194">M116/M79</f>
        <v>455.14969428631667</v>
      </c>
      <c r="N114" s="202" t="s">
        <v>111</v>
      </c>
      <c r="O114" s="203">
        <f>O116/O79</f>
        <v>453.19457045153183</v>
      </c>
      <c r="P114" s="202" t="s">
        <v>111</v>
      </c>
      <c r="Q114" s="203">
        <f>Q116/Q79</f>
        <v>455.72183098591552</v>
      </c>
      <c r="R114" s="202" t="s">
        <v>111</v>
      </c>
      <c r="S114" s="203">
        <f>S116/S79</f>
        <v>455.72183098591552</v>
      </c>
      <c r="T114" s="202" t="s">
        <v>111</v>
      </c>
      <c r="U114" s="203">
        <f>U116/U79</f>
        <v>452.72939455166176</v>
      </c>
      <c r="V114" s="202" t="s">
        <v>111</v>
      </c>
      <c r="W114" s="203">
        <f>W116/W79</f>
        <v>452.84554262215102</v>
      </c>
      <c r="X114" s="202" t="s">
        <v>111</v>
      </c>
      <c r="Y114" s="203">
        <f>Y116/Y79</f>
        <v>452.45875965754863</v>
      </c>
      <c r="Z114" s="202" t="s">
        <v>111</v>
      </c>
      <c r="AA114" s="203">
        <f>AA116/AA79</f>
        <v>447.71327905863035</v>
      </c>
      <c r="AB114" s="202" t="s">
        <v>111</v>
      </c>
      <c r="AC114" s="203">
        <f>AC116/AC79</f>
        <v>446.67245961970968</v>
      </c>
      <c r="AD114" s="202" t="s">
        <v>111</v>
      </c>
      <c r="AE114" s="203">
        <f>AE116/AE79</f>
        <v>441.12257160024041</v>
      </c>
      <c r="AF114" s="202" t="s">
        <v>111</v>
      </c>
      <c r="AG114" s="203">
        <f>AG116/AG79</f>
        <v>443.38012522722681</v>
      </c>
      <c r="AH114" s="202" t="s">
        <v>111</v>
      </c>
      <c r="AI114" s="203">
        <f>AI116/AI79</f>
        <v>440.09609629580376</v>
      </c>
      <c r="AJ114" s="202" t="s">
        <v>111</v>
      </c>
      <c r="AK114" s="203">
        <f>AK116/AK79</f>
        <v>433.54520690102481</v>
      </c>
      <c r="AL114" s="202" t="s">
        <v>111</v>
      </c>
      <c r="AM114" s="203">
        <f>AM116/AM79</f>
        <v>429.79386385426659</v>
      </c>
      <c r="AN114" s="202" t="s">
        <v>111</v>
      </c>
      <c r="AO114" s="203">
        <f>AO116/AO79</f>
        <v>430.15265954042115</v>
      </c>
      <c r="AP114" s="202" t="s">
        <v>111</v>
      </c>
      <c r="AQ114" s="203">
        <f t="shared" ref="AQ114" si="1195">AQ116/AQ79</f>
        <v>435.01239319026809</v>
      </c>
      <c r="AR114" s="202" t="s">
        <v>111</v>
      </c>
      <c r="AS114" s="203">
        <f t="shared" ref="AS114" si="1196">AS116/AS79</f>
        <v>439.14750513551121</v>
      </c>
      <c r="AT114" s="202" t="s">
        <v>111</v>
      </c>
      <c r="AU114" s="203">
        <f t="shared" ref="AU114" si="1197">AU116/AU79</f>
        <v>435.9656301145663</v>
      </c>
      <c r="AV114" s="202" t="s">
        <v>111</v>
      </c>
      <c r="AW114" s="203">
        <f t="shared" ref="AW114" si="1198">AW116/AW79</f>
        <v>443.30786834488799</v>
      </c>
      <c r="AX114" s="202" t="s">
        <v>111</v>
      </c>
      <c r="AY114" s="203">
        <f t="shared" ref="AY114" si="1199">AY116/AY79</f>
        <v>444.68743657398011</v>
      </c>
      <c r="AZ114" s="202" t="s">
        <v>111</v>
      </c>
      <c r="BA114" s="203">
        <f t="shared" ref="BA114:BC114" si="1200">BA116/BA79</f>
        <v>441.97809925658026</v>
      </c>
      <c r="BB114" s="202" t="s">
        <v>111</v>
      </c>
      <c r="BC114" s="203">
        <f t="shared" si="1200"/>
        <v>440.32547923322687</v>
      </c>
      <c r="BD114" s="202" t="s">
        <v>111</v>
      </c>
      <c r="BE114" s="203">
        <f t="shared" ref="BE114:BI114" si="1201">BE116/BE79</f>
        <v>436.63363087424523</v>
      </c>
      <c r="BF114" s="202" t="s">
        <v>111</v>
      </c>
      <c r="BG114" s="203">
        <f t="shared" si="1201"/>
        <v>434.94457124225636</v>
      </c>
      <c r="BH114" s="202" t="s">
        <v>111</v>
      </c>
      <c r="BI114" s="203">
        <f t="shared" si="1201"/>
        <v>428.69121109908997</v>
      </c>
      <c r="BJ114" s="202" t="s">
        <v>111</v>
      </c>
      <c r="BK114" s="203">
        <f t="shared" ref="BK114:BM114" si="1202">BK116/BK79</f>
        <v>429.07929122315005</v>
      </c>
      <c r="BL114" s="202" t="s">
        <v>111</v>
      </c>
      <c r="BM114" s="203">
        <f t="shared" si="1202"/>
        <v>432.4259020618556</v>
      </c>
      <c r="BN114" s="202" t="s">
        <v>111</v>
      </c>
      <c r="BO114" s="203">
        <f t="shared" ref="BO114:BQ114" si="1203">BO116/BO79</f>
        <v>431.40161725067378</v>
      </c>
      <c r="BP114" s="202" t="s">
        <v>111</v>
      </c>
      <c r="BQ114" s="203">
        <f t="shared" si="1203"/>
        <v>429.45831475702181</v>
      </c>
      <c r="BR114" s="202" t="s">
        <v>111</v>
      </c>
      <c r="BS114" s="203">
        <f t="shared" ref="BS114:CS114" si="1204">BS116/BS79</f>
        <v>429.76661140160689</v>
      </c>
      <c r="BT114" s="202" t="s">
        <v>111</v>
      </c>
      <c r="BU114" s="203">
        <f t="shared" ref="BU114:BW114" si="1205">BU116/BU79</f>
        <v>423.69281045751626</v>
      </c>
      <c r="BV114" s="202" t="s">
        <v>111</v>
      </c>
      <c r="BW114" s="203">
        <f t="shared" si="1205"/>
        <v>423.50718417615229</v>
      </c>
      <c r="BX114" s="202" t="s">
        <v>111</v>
      </c>
      <c r="BY114" s="203">
        <f t="shared" ref="BY114:CA114" si="1206">BY116/BY79</f>
        <v>420.30300239454772</v>
      </c>
      <c r="BZ114" s="202" t="s">
        <v>111</v>
      </c>
      <c r="CA114" s="203">
        <f t="shared" si="1206"/>
        <v>420.64990162321686</v>
      </c>
      <c r="CB114" s="202" t="s">
        <v>111</v>
      </c>
      <c r="CC114" s="203">
        <f t="shared" ref="CC114:CE114" si="1207">CC116/CC79</f>
        <v>425.21920210434013</v>
      </c>
      <c r="CD114" s="202" t="s">
        <v>111</v>
      </c>
      <c r="CE114" s="203">
        <f t="shared" si="1207"/>
        <v>434.71852044464669</v>
      </c>
      <c r="CF114" s="202" t="s">
        <v>111</v>
      </c>
      <c r="CG114" s="203">
        <f t="shared" ref="CG114:CI114" si="1208">CG116/CG79</f>
        <v>433.09108527131775</v>
      </c>
      <c r="CH114" s="202" t="s">
        <v>111</v>
      </c>
      <c r="CI114" s="203">
        <f t="shared" si="1208"/>
        <v>428.36102479548475</v>
      </c>
      <c r="CJ114" s="202" t="s">
        <v>111</v>
      </c>
      <c r="CK114" s="203">
        <f t="shared" ref="CK114:CM114" si="1209">CK116/CK79</f>
        <v>425.14087152516896</v>
      </c>
      <c r="CL114" s="202" t="s">
        <v>111</v>
      </c>
      <c r="CM114" s="203">
        <f t="shared" si="1209"/>
        <v>442.203125</v>
      </c>
      <c r="CN114" s="202" t="s">
        <v>111</v>
      </c>
      <c r="CO114" s="203">
        <f t="shared" ref="CO114:CQ114" si="1210">CO116/CO79</f>
        <v>424.70312499999994</v>
      </c>
      <c r="CP114" s="202" t="s">
        <v>111</v>
      </c>
      <c r="CQ114" s="203">
        <f t="shared" si="1210"/>
        <v>424.70312499999994</v>
      </c>
      <c r="CR114" s="202" t="s">
        <v>111</v>
      </c>
      <c r="CS114" s="203">
        <f t="shared" si="1204"/>
        <v>429.76661140160689</v>
      </c>
      <c r="CT114" s="202" t="s">
        <v>111</v>
      </c>
      <c r="CU114" s="203">
        <f t="shared" ref="CU114" si="1211">CU116/CU79</f>
        <v>429.76661140160689</v>
      </c>
      <c r="CV114" s="202" t="s">
        <v>111</v>
      </c>
      <c r="CW114" s="203">
        <f>CW116/CW79</f>
        <v>452.9141745379863</v>
      </c>
      <c r="CX114" s="202" t="s">
        <v>111</v>
      </c>
      <c r="CY114" s="203">
        <f>CY116/CY79</f>
        <v>448.05423854010451</v>
      </c>
      <c r="CZ114" s="202" t="s">
        <v>111</v>
      </c>
      <c r="DA114" s="203">
        <f>DA116/DA79</f>
        <v>441.08090388949392</v>
      </c>
      <c r="DB114" s="202" t="s">
        <v>111</v>
      </c>
      <c r="DC114" s="203">
        <f>DC116/DC79</f>
        <v>440.75</v>
      </c>
      <c r="DD114" s="202" t="s">
        <v>111</v>
      </c>
      <c r="DE114" s="203">
        <f>DE116/DE79</f>
        <v>450.60018909063331</v>
      </c>
      <c r="DF114" s="202" t="s">
        <v>111</v>
      </c>
      <c r="DG114" s="203">
        <f>DG116/DG79</f>
        <v>433.84740259740266</v>
      </c>
      <c r="DH114" s="202" t="s">
        <v>111</v>
      </c>
      <c r="DI114" s="203">
        <f>DI116/DI79</f>
        <v>433.84740259740266</v>
      </c>
      <c r="DJ114" s="202" t="s">
        <v>111</v>
      </c>
      <c r="DK114" s="203">
        <f>DK116/DK79</f>
        <v>433.84740259740266</v>
      </c>
      <c r="DL114" s="202" t="s">
        <v>111</v>
      </c>
      <c r="DM114" s="203">
        <f>DM116/DM79</f>
        <v>433.84740259740266</v>
      </c>
      <c r="DN114" s="202" t="s">
        <v>111</v>
      </c>
      <c r="DO114" s="203">
        <f>DO116/DO79</f>
        <v>433.84740259740266</v>
      </c>
      <c r="DP114" s="202" t="s">
        <v>111</v>
      </c>
      <c r="DQ114" s="203">
        <f>DQ116/DQ79</f>
        <v>433.84740259740266</v>
      </c>
      <c r="DR114" s="202" t="s">
        <v>111</v>
      </c>
      <c r="DS114" s="203">
        <f>DS116/DS79</f>
        <v>433.84740259740266</v>
      </c>
    </row>
    <row r="115" spans="1:123" s="65" customFormat="1" ht="18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0.12821118148910329</v>
      </c>
      <c r="H115" s="202" t="s">
        <v>111</v>
      </c>
      <c r="I115" s="203">
        <f>I114/I66</f>
        <v>0.12821118148910329</v>
      </c>
      <c r="J115" s="202" t="s">
        <v>111</v>
      </c>
      <c r="K115" s="203">
        <f t="shared" ref="K115" si="1212">K114/K66</f>
        <v>0.12821118148910329</v>
      </c>
      <c r="L115" s="202" t="s">
        <v>111</v>
      </c>
      <c r="M115" s="203">
        <f t="shared" ref="M115" si="1213">M114/M66</f>
        <v>0.12821118148910329</v>
      </c>
      <c r="N115" s="202" t="s">
        <v>111</v>
      </c>
      <c r="O115" s="203">
        <f>O114/O66</f>
        <v>0.1276604423807132</v>
      </c>
      <c r="P115" s="202" t="s">
        <v>111</v>
      </c>
      <c r="Q115" s="203">
        <f>Q114/Q66</f>
        <v>0.12837234675659592</v>
      </c>
      <c r="R115" s="202" t="s">
        <v>111</v>
      </c>
      <c r="S115" s="203">
        <f>S114/S66</f>
        <v>0.12837234675659592</v>
      </c>
      <c r="T115" s="202" t="s">
        <v>111</v>
      </c>
      <c r="U115" s="203">
        <f>U114/U66</f>
        <v>0.12752940691596107</v>
      </c>
      <c r="V115" s="202" t="s">
        <v>111</v>
      </c>
      <c r="W115" s="203">
        <f>W114/W66</f>
        <v>0.12756212468229605</v>
      </c>
      <c r="X115" s="202" t="s">
        <v>111</v>
      </c>
      <c r="Y115" s="203">
        <f>Y114/Y66</f>
        <v>0.12745317173452073</v>
      </c>
      <c r="Z115" s="202" t="s">
        <v>111</v>
      </c>
      <c r="AA115" s="203">
        <f>AA114/AA66</f>
        <v>0.12611641663623391</v>
      </c>
      <c r="AB115" s="202" t="s">
        <v>111</v>
      </c>
      <c r="AC115" s="203">
        <f>AC114/AC66</f>
        <v>0.12582322806189006</v>
      </c>
      <c r="AD115" s="202" t="s">
        <v>111</v>
      </c>
      <c r="AE115" s="203">
        <f>AE114/AE66</f>
        <v>0.12425987932401138</v>
      </c>
      <c r="AF115" s="202" t="s">
        <v>111</v>
      </c>
      <c r="AG115" s="203">
        <f>AG114/AG66</f>
        <v>0.12489580992316249</v>
      </c>
      <c r="AH115" s="202" t="s">
        <v>111</v>
      </c>
      <c r="AI115" s="203">
        <f>AI114/AI66</f>
        <v>0.12397073135093063</v>
      </c>
      <c r="AJ115" s="202" t="s">
        <v>111</v>
      </c>
      <c r="AK115" s="203">
        <f>AK114/AK66</f>
        <v>0.12212541039465488</v>
      </c>
      <c r="AL115" s="202" t="s">
        <v>111</v>
      </c>
      <c r="AM115" s="203">
        <f>AM114/AM66</f>
        <v>0.12106869404345538</v>
      </c>
      <c r="AN115" s="202" t="s">
        <v>111</v>
      </c>
      <c r="AO115" s="203">
        <f>AO114/AO66</f>
        <v>0.12116976325082286</v>
      </c>
      <c r="AP115" s="202" t="s">
        <v>111</v>
      </c>
      <c r="AQ115" s="203">
        <f t="shared" ref="AQ115" si="1214">AQ114/AQ66</f>
        <v>0.12253870230711778</v>
      </c>
      <c r="AR115" s="202" t="s">
        <v>111</v>
      </c>
      <c r="AS115" s="203">
        <f t="shared" ref="AS115" si="1215">AS114/AS66</f>
        <v>0.12370352257338343</v>
      </c>
      <c r="AT115" s="202" t="s">
        <v>111</v>
      </c>
      <c r="AU115" s="203">
        <f t="shared" ref="AU115" si="1216">AU114/AU66</f>
        <v>0.12280721975058205</v>
      </c>
      <c r="AV115" s="202" t="s">
        <v>111</v>
      </c>
      <c r="AW115" s="203">
        <f t="shared" ref="AW115" si="1217">AW114/AW66</f>
        <v>0.12487545587179943</v>
      </c>
      <c r="AX115" s="202" t="s">
        <v>111</v>
      </c>
      <c r="AY115" s="203">
        <f t="shared" ref="AY115" si="1218">AY114/AY66</f>
        <v>0.12526406664055778</v>
      </c>
      <c r="AZ115" s="202" t="s">
        <v>111</v>
      </c>
      <c r="BA115" s="203">
        <f t="shared" ref="BA115:BC115" si="1219">BA114/BA66</f>
        <v>0.12450087303002261</v>
      </c>
      <c r="BB115" s="202" t="s">
        <v>111</v>
      </c>
      <c r="BC115" s="203">
        <f t="shared" si="1219"/>
        <v>0.12403534626288081</v>
      </c>
      <c r="BD115" s="202" t="s">
        <v>111</v>
      </c>
      <c r="BE115" s="203">
        <f t="shared" ref="BE115:BI115" si="1220">BE114/BE66</f>
        <v>0.12299538897866062</v>
      </c>
      <c r="BF115" s="202" t="s">
        <v>111</v>
      </c>
      <c r="BG115" s="203">
        <f t="shared" si="1220"/>
        <v>0.12251959753302996</v>
      </c>
      <c r="BH115" s="202" t="s">
        <v>111</v>
      </c>
      <c r="BI115" s="203">
        <f t="shared" si="1220"/>
        <v>0.12075808763354647</v>
      </c>
      <c r="BJ115" s="202" t="s">
        <v>111</v>
      </c>
      <c r="BK115" s="203">
        <f t="shared" ref="BK115:BM115" si="1221">BK114/BK66</f>
        <v>0.12086740597835213</v>
      </c>
      <c r="BL115" s="202" t="s">
        <v>111</v>
      </c>
      <c r="BM115" s="203">
        <f t="shared" si="1221"/>
        <v>0.11782722127026038</v>
      </c>
      <c r="BN115" s="202" t="s">
        <v>111</v>
      </c>
      <c r="BO115" s="203">
        <f t="shared" ref="BO115:BQ115" si="1222">BO114/BO66</f>
        <v>0.11754812459146424</v>
      </c>
      <c r="BP115" s="202" t="s">
        <v>111</v>
      </c>
      <c r="BQ115" s="203">
        <f t="shared" si="1222"/>
        <v>0.1170186143752103</v>
      </c>
      <c r="BR115" s="202" t="s">
        <v>111</v>
      </c>
      <c r="BS115" s="203">
        <f t="shared" ref="BS115:CS115" si="1223">BS114/BS66</f>
        <v>0.1171026189105196</v>
      </c>
      <c r="BT115" s="202" t="s">
        <v>111</v>
      </c>
      <c r="BU115" s="203">
        <f t="shared" ref="BU115:BW115" si="1224">BU114/BU66</f>
        <v>0.11544763227725238</v>
      </c>
      <c r="BV115" s="202" t="s">
        <v>111</v>
      </c>
      <c r="BW115" s="203">
        <f t="shared" si="1224"/>
        <v>0.11539705290903332</v>
      </c>
      <c r="BX115" s="202" t="s">
        <v>111</v>
      </c>
      <c r="BY115" s="203">
        <f t="shared" ref="BY115:CA115" si="1225">BY114/BY66</f>
        <v>0.11452397885410019</v>
      </c>
      <c r="BZ115" s="202" t="s">
        <v>111</v>
      </c>
      <c r="CA115" s="203">
        <f t="shared" si="1225"/>
        <v>0.11461850180469124</v>
      </c>
      <c r="CB115" s="202" t="s">
        <v>111</v>
      </c>
      <c r="CC115" s="203">
        <f t="shared" ref="CC115:CE115" si="1226">CC114/CC66</f>
        <v>0.11586354280772211</v>
      </c>
      <c r="CD115" s="202" t="s">
        <v>111</v>
      </c>
      <c r="CE115" s="203">
        <f t="shared" si="1226"/>
        <v>0.11845191292769665</v>
      </c>
      <c r="CF115" s="202" t="s">
        <v>111</v>
      </c>
      <c r="CG115" s="203">
        <f t="shared" ref="CG115:CI115" si="1227">CG114/CG66</f>
        <v>0.1180084701011765</v>
      </c>
      <c r="CH115" s="202" t="s">
        <v>111</v>
      </c>
      <c r="CI115" s="203">
        <f t="shared" si="1227"/>
        <v>0.11671962528487323</v>
      </c>
      <c r="CJ115" s="202" t="s">
        <v>111</v>
      </c>
      <c r="CK115" s="203">
        <f t="shared" ref="CK115:CM115" si="1228">CK114/CK66</f>
        <v>0.11584219932565912</v>
      </c>
      <c r="CL115" s="202" t="s">
        <v>111</v>
      </c>
      <c r="CM115" s="203">
        <f t="shared" si="1228"/>
        <v>0.12049131471389646</v>
      </c>
      <c r="CN115" s="202" t="s">
        <v>111</v>
      </c>
      <c r="CO115" s="203">
        <f t="shared" ref="CO115:CQ115" si="1229">CO114/CO66</f>
        <v>0.11572292234332424</v>
      </c>
      <c r="CP115" s="202" t="s">
        <v>111</v>
      </c>
      <c r="CQ115" s="203">
        <f t="shared" si="1229"/>
        <v>0.11572292234332424</v>
      </c>
      <c r="CR115" s="202" t="s">
        <v>111</v>
      </c>
      <c r="CS115" s="203">
        <f t="shared" si="1223"/>
        <v>0.1171026189105196</v>
      </c>
      <c r="CT115" s="202" t="s">
        <v>111</v>
      </c>
      <c r="CU115" s="203">
        <f t="shared" ref="CU115" si="1230">CU114/CU66</f>
        <v>0.1171026189105196</v>
      </c>
      <c r="CV115" s="202" t="s">
        <v>111</v>
      </c>
      <c r="CW115" s="203">
        <f>CW114/CW66</f>
        <v>0.12758145761633416</v>
      </c>
      <c r="CX115" s="202" t="s">
        <v>111</v>
      </c>
      <c r="CY115" s="203">
        <f>CY114/CY66</f>
        <v>0.12621246156059282</v>
      </c>
      <c r="CZ115" s="202" t="s">
        <v>111</v>
      </c>
      <c r="DA115" s="203">
        <f>DA114/DA66</f>
        <v>0.12424814194070251</v>
      </c>
      <c r="DB115" s="202" t="s">
        <v>111</v>
      </c>
      <c r="DC115" s="203">
        <f>DC114/DC66</f>
        <v>0.1241549295774648</v>
      </c>
      <c r="DD115" s="202" t="s">
        <v>111</v>
      </c>
      <c r="DE115" s="203">
        <f>DE114/DE66</f>
        <v>0.12692963072975585</v>
      </c>
      <c r="DF115" s="202" t="s">
        <v>111</v>
      </c>
      <c r="DG115" s="203">
        <f>DG114/DG66</f>
        <v>0.12221053594293033</v>
      </c>
      <c r="DH115" s="202" t="s">
        <v>111</v>
      </c>
      <c r="DI115" s="203">
        <f>DI114/DI66</f>
        <v>0.12221053594293033</v>
      </c>
      <c r="DJ115" s="202" t="s">
        <v>111</v>
      </c>
      <c r="DK115" s="203">
        <f>DK114/DK66</f>
        <v>0.12221053594293033</v>
      </c>
      <c r="DL115" s="202" t="s">
        <v>111</v>
      </c>
      <c r="DM115" s="203">
        <f>DM114/DM66</f>
        <v>0.12221053594293033</v>
      </c>
      <c r="DN115" s="202" t="s">
        <v>111</v>
      </c>
      <c r="DO115" s="203">
        <f>DO114/DO66</f>
        <v>0.12221053594293033</v>
      </c>
      <c r="DP115" s="202" t="s">
        <v>111</v>
      </c>
      <c r="DQ115" s="203">
        <f>DQ114/DQ66</f>
        <v>0.12221053594293033</v>
      </c>
      <c r="DR115" s="202" t="s">
        <v>111</v>
      </c>
      <c r="DS115" s="203">
        <f>DS114/DS66</f>
        <v>0.12221053594293033</v>
      </c>
    </row>
    <row r="116" spans="1:123" s="65" customFormat="1" ht="18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6476325</v>
      </c>
      <c r="H116" s="202" t="s">
        <v>114</v>
      </c>
      <c r="I116" s="204">
        <f>I117*I66</f>
        <v>6476325</v>
      </c>
      <c r="J116" s="202" t="s">
        <v>114</v>
      </c>
      <c r="K116" s="204">
        <f t="shared" ref="K116" si="1231">K117*K66</f>
        <v>6476325</v>
      </c>
      <c r="L116" s="202" t="s">
        <v>114</v>
      </c>
      <c r="M116" s="204">
        <f t="shared" ref="M116" si="1232">M117*M66</f>
        <v>6476325</v>
      </c>
      <c r="N116" s="202" t="s">
        <v>114</v>
      </c>
      <c r="O116" s="204">
        <f>O117*O66</f>
        <v>6493825</v>
      </c>
      <c r="P116" s="202" t="s">
        <v>114</v>
      </c>
      <c r="Q116" s="204">
        <f>Q117*Q66</f>
        <v>6471250</v>
      </c>
      <c r="R116" s="202" t="s">
        <v>114</v>
      </c>
      <c r="S116" s="204">
        <f>S117*S66</f>
        <v>6471250</v>
      </c>
      <c r="T116" s="202" t="s">
        <v>114</v>
      </c>
      <c r="U116" s="204">
        <f>U117*U66</f>
        <v>6498025.0000000009</v>
      </c>
      <c r="V116" s="202" t="s">
        <v>114</v>
      </c>
      <c r="W116" s="204">
        <f>W117*W66</f>
        <v>6496975.0000000009</v>
      </c>
      <c r="X116" s="202" t="s">
        <v>114</v>
      </c>
      <c r="Y116" s="204">
        <f>Y117*Y66</f>
        <v>6500475.0000000009</v>
      </c>
      <c r="Z116" s="202" t="s">
        <v>114</v>
      </c>
      <c r="AA116" s="204">
        <f>AA117*AA66</f>
        <v>6544225</v>
      </c>
      <c r="AB116" s="202" t="s">
        <v>114</v>
      </c>
      <c r="AC116" s="204">
        <f>AC117*AC66</f>
        <v>6554025</v>
      </c>
      <c r="AD116" s="202" t="s">
        <v>114</v>
      </c>
      <c r="AE116" s="204">
        <f>AE117*AE66</f>
        <v>6607575.0000000009</v>
      </c>
      <c r="AF116" s="202" t="s">
        <v>114</v>
      </c>
      <c r="AG116" s="204">
        <f>AG117*AG66</f>
        <v>6585525</v>
      </c>
      <c r="AH116" s="202" t="s">
        <v>114</v>
      </c>
      <c r="AI116" s="204">
        <f>AI117*AI66</f>
        <v>6617725.0000000009</v>
      </c>
      <c r="AJ116" s="202" t="s">
        <v>114</v>
      </c>
      <c r="AK116" s="204">
        <f>AK117*AK66</f>
        <v>6684400.0000000009</v>
      </c>
      <c r="AL116" s="202" t="s">
        <v>114</v>
      </c>
      <c r="AM116" s="204">
        <f>AM117*AM66</f>
        <v>6724125.0000000009</v>
      </c>
      <c r="AN116" s="202" t="s">
        <v>114</v>
      </c>
      <c r="AO116" s="204">
        <f>AO117*AO66</f>
        <v>6720275</v>
      </c>
      <c r="AP116" s="202" t="s">
        <v>114</v>
      </c>
      <c r="AQ116" s="204">
        <f t="shared" ref="AQ116" si="1233">AQ117*AQ66</f>
        <v>6669175</v>
      </c>
      <c r="AR116" s="202" t="s">
        <v>114</v>
      </c>
      <c r="AS116" s="204">
        <f t="shared" ref="AS116" si="1234">AS117*AS66</f>
        <v>6627175</v>
      </c>
      <c r="AT116" s="202" t="s">
        <v>114</v>
      </c>
      <c r="AU116" s="204">
        <f t="shared" ref="AU116" si="1235">AU117*AU66</f>
        <v>6659375</v>
      </c>
      <c r="AV116" s="202" t="s">
        <v>114</v>
      </c>
      <c r="AW116" s="204">
        <f t="shared" ref="AW116" si="1236">AW117*AW66</f>
        <v>6586225.0000000009</v>
      </c>
      <c r="AX116" s="202" t="s">
        <v>114</v>
      </c>
      <c r="AY116" s="204">
        <f t="shared" ref="AY116" si="1237">AY117*AY66</f>
        <v>6572925</v>
      </c>
      <c r="AZ116" s="202" t="s">
        <v>114</v>
      </c>
      <c r="BA116" s="204">
        <f t="shared" ref="BA116:BC116" si="1238">BA117*BA66</f>
        <v>6599175</v>
      </c>
      <c r="BB116" s="202" t="s">
        <v>114</v>
      </c>
      <c r="BC116" s="204">
        <f t="shared" si="1238"/>
        <v>6615450.0000000009</v>
      </c>
      <c r="BD116" s="202" t="s">
        <v>114</v>
      </c>
      <c r="BE116" s="204">
        <f t="shared" ref="BE116:BI116" si="1239">BE117*BE66</f>
        <v>6652550</v>
      </c>
      <c r="BF116" s="202" t="s">
        <v>114</v>
      </c>
      <c r="BG116" s="204">
        <f t="shared" si="1239"/>
        <v>6669875.0000000009</v>
      </c>
      <c r="BH116" s="202" t="s">
        <v>114</v>
      </c>
      <c r="BI116" s="204">
        <f t="shared" si="1239"/>
        <v>6736025.0000000009</v>
      </c>
      <c r="BJ116" s="202" t="s">
        <v>114</v>
      </c>
      <c r="BK116" s="204">
        <f t="shared" ref="BK116:BM116" si="1240">BK117*BK66</f>
        <v>6731825.0000000009</v>
      </c>
      <c r="BL116" s="202" t="s">
        <v>114</v>
      </c>
      <c r="BM116" s="204">
        <f t="shared" si="1240"/>
        <v>6711249.9999999991</v>
      </c>
      <c r="BN116" s="202" t="s">
        <v>114</v>
      </c>
      <c r="BO116" s="204">
        <f t="shared" ref="BO116:BQ116" si="1241">BO117*BO66</f>
        <v>6722099.9999999991</v>
      </c>
      <c r="BP116" s="202" t="s">
        <v>114</v>
      </c>
      <c r="BQ116" s="204">
        <f t="shared" si="1241"/>
        <v>6742924.9999999991</v>
      </c>
      <c r="BR116" s="202" t="s">
        <v>114</v>
      </c>
      <c r="BS116" s="204">
        <f t="shared" ref="BS116:CS116" si="1242">BS117*BS66</f>
        <v>6739599.9999999991</v>
      </c>
      <c r="BT116" s="202" t="s">
        <v>114</v>
      </c>
      <c r="BU116" s="204">
        <f t="shared" ref="BU116:BW116" si="1243">BU117*BU66</f>
        <v>6806624.9999999991</v>
      </c>
      <c r="BV116" s="202" t="s">
        <v>114</v>
      </c>
      <c r="BW116" s="204">
        <f t="shared" si="1243"/>
        <v>6808725</v>
      </c>
      <c r="BX116" s="202" t="s">
        <v>114</v>
      </c>
      <c r="BY116" s="204">
        <f t="shared" ref="BY116:CA116" si="1244">BY117*BY66</f>
        <v>6845474.9999999991</v>
      </c>
      <c r="BZ116" s="202" t="s">
        <v>114</v>
      </c>
      <c r="CA116" s="204">
        <f t="shared" si="1244"/>
        <v>6841449.9999999991</v>
      </c>
      <c r="CB116" s="202" t="s">
        <v>114</v>
      </c>
      <c r="CC116" s="204">
        <f t="shared" ref="CC116:CE116" si="1245">CC117*CC66</f>
        <v>6789474.9999999991</v>
      </c>
      <c r="CD116" s="202" t="s">
        <v>114</v>
      </c>
      <c r="CE116" s="204">
        <f t="shared" si="1245"/>
        <v>6687275</v>
      </c>
      <c r="CF116" s="202" t="s">
        <v>114</v>
      </c>
      <c r="CG116" s="204">
        <f t="shared" ref="CG116:CI116" si="1246">CG117*CG66</f>
        <v>6704249.9999999991</v>
      </c>
      <c r="CH116" s="202" t="s">
        <v>114</v>
      </c>
      <c r="CI116" s="204">
        <f t="shared" si="1246"/>
        <v>6754824.9999999991</v>
      </c>
      <c r="CJ116" s="202" t="s">
        <v>114</v>
      </c>
      <c r="CK116" s="204">
        <f t="shared" ref="CK116:CM116" si="1247">CK117*CK66</f>
        <v>6790349.9999999991</v>
      </c>
      <c r="CL116" s="202" t="s">
        <v>114</v>
      </c>
      <c r="CM116" s="204">
        <f t="shared" si="1247"/>
        <v>7075250</v>
      </c>
      <c r="CN116" s="202" t="s">
        <v>114</v>
      </c>
      <c r="CO116" s="204">
        <f t="shared" ref="CO116:CQ116" si="1248">CO117*CO66</f>
        <v>6795249.9999999991</v>
      </c>
      <c r="CP116" s="202" t="s">
        <v>114</v>
      </c>
      <c r="CQ116" s="204">
        <f t="shared" si="1248"/>
        <v>6795249.9999999991</v>
      </c>
      <c r="CR116" s="202" t="s">
        <v>114</v>
      </c>
      <c r="CS116" s="204">
        <f t="shared" si="1242"/>
        <v>6739599.9999999991</v>
      </c>
      <c r="CT116" s="202" t="s">
        <v>114</v>
      </c>
      <c r="CU116" s="204">
        <f t="shared" ref="CU116" si="1249">CU117*CU66</f>
        <v>6739599.9999999991</v>
      </c>
      <c r="CV116" s="202" t="s">
        <v>114</v>
      </c>
      <c r="CW116" s="204">
        <f>CW117*CW66</f>
        <v>6496354.9673328213</v>
      </c>
      <c r="CX116" s="202" t="s">
        <v>114</v>
      </c>
      <c r="CY116" s="204">
        <f>CY117*CY66</f>
        <v>6541030.8879646529</v>
      </c>
      <c r="CZ116" s="202" t="s">
        <v>114</v>
      </c>
      <c r="DA116" s="204">
        <f>DA117*DA66</f>
        <v>6607985.4939898942</v>
      </c>
      <c r="DB116" s="202" t="s">
        <v>114</v>
      </c>
      <c r="DC116" s="204">
        <f>DC117*DC66</f>
        <v>6611250</v>
      </c>
      <c r="DD116" s="202" t="s">
        <v>114</v>
      </c>
      <c r="DE116" s="204">
        <f>DE117*DE66</f>
        <v>6517430.2299620016</v>
      </c>
      <c r="DF116" s="202" t="s">
        <v>114</v>
      </c>
      <c r="DG116" s="204">
        <f>DG117*DG66</f>
        <v>6681250.0000000009</v>
      </c>
      <c r="DH116" s="202" t="s">
        <v>114</v>
      </c>
      <c r="DI116" s="204">
        <f>DI117*DI66</f>
        <v>6681250.0000000009</v>
      </c>
      <c r="DJ116" s="202" t="s">
        <v>114</v>
      </c>
      <c r="DK116" s="204">
        <f>DK117*DK66</f>
        <v>6681250.0000000009</v>
      </c>
      <c r="DL116" s="202" t="s">
        <v>114</v>
      </c>
      <c r="DM116" s="204">
        <f>DM117*DM66</f>
        <v>6681250.0000000009</v>
      </c>
      <c r="DN116" s="202" t="s">
        <v>114</v>
      </c>
      <c r="DO116" s="204">
        <f>DO117*DO66</f>
        <v>6681250.0000000009</v>
      </c>
      <c r="DP116" s="202" t="s">
        <v>114</v>
      </c>
      <c r="DQ116" s="204">
        <f>DQ117*DQ66</f>
        <v>6681250.0000000009</v>
      </c>
      <c r="DR116" s="202" t="s">
        <v>114</v>
      </c>
      <c r="DS116" s="204">
        <f>DS117*DS66</f>
        <v>6681250.0000000009</v>
      </c>
    </row>
    <row r="117" spans="1:123" s="65" customFormat="1" ht="18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1824.3169014084508</v>
      </c>
      <c r="H117" s="202" t="s">
        <v>114</v>
      </c>
      <c r="I117" s="204">
        <f>SUM(I118:I123)</f>
        <v>1824.3169014084508</v>
      </c>
      <c r="J117" s="202" t="s">
        <v>114</v>
      </c>
      <c r="K117" s="204">
        <f t="shared" ref="K117" si="1250">SUM(K118:K123)</f>
        <v>1824.3169014084508</v>
      </c>
      <c r="L117" s="202" t="s">
        <v>114</v>
      </c>
      <c r="M117" s="204">
        <f t="shared" ref="M117" si="1251">SUM(M118:M123)</f>
        <v>1824.3169014084508</v>
      </c>
      <c r="N117" s="202" t="s">
        <v>114</v>
      </c>
      <c r="O117" s="204">
        <f>SUM(O118:O123)</f>
        <v>1829.2464788732395</v>
      </c>
      <c r="P117" s="202" t="s">
        <v>114</v>
      </c>
      <c r="Q117" s="204">
        <f>SUM(Q118:Q123)</f>
        <v>1822.8873239436621</v>
      </c>
      <c r="R117" s="202" t="s">
        <v>114</v>
      </c>
      <c r="S117" s="204">
        <f>SUM(S118:S123)</f>
        <v>1822.8873239436621</v>
      </c>
      <c r="T117" s="202" t="s">
        <v>114</v>
      </c>
      <c r="U117" s="204">
        <f>SUM(U118:U123)</f>
        <v>1830.429577464789</v>
      </c>
      <c r="V117" s="202" t="s">
        <v>114</v>
      </c>
      <c r="W117" s="204">
        <f>SUM(W118:W123)</f>
        <v>1830.1338028169016</v>
      </c>
      <c r="X117" s="202" t="s">
        <v>114</v>
      </c>
      <c r="Y117" s="204">
        <f>SUM(Y118:Y123)</f>
        <v>1831.1197183098593</v>
      </c>
      <c r="Z117" s="202" t="s">
        <v>114</v>
      </c>
      <c r="AA117" s="204">
        <f>SUM(AA118:AA123)</f>
        <v>1843.443661971831</v>
      </c>
      <c r="AB117" s="202" t="s">
        <v>114</v>
      </c>
      <c r="AC117" s="204">
        <f>SUM(AC118:AC123)</f>
        <v>1846.2042253521126</v>
      </c>
      <c r="AD117" s="202" t="s">
        <v>114</v>
      </c>
      <c r="AE117" s="204">
        <f>SUM(AE118:AE123)</f>
        <v>1861.2887323943664</v>
      </c>
      <c r="AF117" s="202" t="s">
        <v>114</v>
      </c>
      <c r="AG117" s="204">
        <f>SUM(AG118:AG123)</f>
        <v>1855.0774647887324</v>
      </c>
      <c r="AH117" s="202" t="s">
        <v>114</v>
      </c>
      <c r="AI117" s="204">
        <f>SUM(AI118:AI123)</f>
        <v>1864.1478873239439</v>
      </c>
      <c r="AJ117" s="202" t="s">
        <v>114</v>
      </c>
      <c r="AK117" s="204">
        <f>SUM(AK118:AK123)</f>
        <v>1882.929577464789</v>
      </c>
      <c r="AL117" s="202" t="s">
        <v>114</v>
      </c>
      <c r="AM117" s="204">
        <f>SUM(AM118:AM123)</f>
        <v>1894.1197183098593</v>
      </c>
      <c r="AN117" s="202" t="s">
        <v>114</v>
      </c>
      <c r="AO117" s="204">
        <f>SUM(AO118:AO123)</f>
        <v>1893.0352112676057</v>
      </c>
      <c r="AP117" s="202" t="s">
        <v>114</v>
      </c>
      <c r="AQ117" s="204">
        <f t="shared" ref="AQ117" si="1252">SUM(AQ118:AQ123)</f>
        <v>1878.6408450704225</v>
      </c>
      <c r="AR117" s="202" t="s">
        <v>114</v>
      </c>
      <c r="AS117" s="204">
        <f t="shared" ref="AS117" si="1253">SUM(AS118:AS123)</f>
        <v>1866.8098591549297</v>
      </c>
      <c r="AT117" s="202" t="s">
        <v>114</v>
      </c>
      <c r="AU117" s="204">
        <f t="shared" ref="AU117" si="1254">SUM(AU118:AU123)</f>
        <v>1875.8802816901409</v>
      </c>
      <c r="AV117" s="202" t="s">
        <v>114</v>
      </c>
      <c r="AW117" s="204">
        <f t="shared" ref="AW117" si="1255">SUM(AW118:AW123)</f>
        <v>1855.2746478873241</v>
      </c>
      <c r="AX117" s="202" t="s">
        <v>114</v>
      </c>
      <c r="AY117" s="204">
        <f t="shared" ref="AY117" si="1256">SUM(AY118:AY123)</f>
        <v>1851.5281690140846</v>
      </c>
      <c r="AZ117" s="202" t="s">
        <v>114</v>
      </c>
      <c r="BA117" s="204">
        <f t="shared" ref="BA117:BC117" si="1257">SUM(BA118:BA123)</f>
        <v>1858.9225352112676</v>
      </c>
      <c r="BB117" s="202" t="s">
        <v>114</v>
      </c>
      <c r="BC117" s="204">
        <f t="shared" si="1257"/>
        <v>1863.5070422535214</v>
      </c>
      <c r="BD117" s="202" t="s">
        <v>114</v>
      </c>
      <c r="BE117" s="204">
        <f t="shared" ref="BE117:BI117" si="1258">SUM(BE118:BE123)</f>
        <v>1873.9577464788733</v>
      </c>
      <c r="BF117" s="202" t="s">
        <v>114</v>
      </c>
      <c r="BG117" s="204">
        <f t="shared" si="1258"/>
        <v>1878.8380281690143</v>
      </c>
      <c r="BH117" s="202" t="s">
        <v>114</v>
      </c>
      <c r="BI117" s="204">
        <f t="shared" si="1258"/>
        <v>1897.4718309859156</v>
      </c>
      <c r="BJ117" s="202" t="s">
        <v>114</v>
      </c>
      <c r="BK117" s="204">
        <f t="shared" ref="BK117:BM117" si="1259">SUM(BK118:BK123)</f>
        <v>1896.2887323943664</v>
      </c>
      <c r="BL117" s="202" t="s">
        <v>114</v>
      </c>
      <c r="BM117" s="204">
        <f t="shared" si="1259"/>
        <v>1828.6784741144411</v>
      </c>
      <c r="BN117" s="202" t="s">
        <v>114</v>
      </c>
      <c r="BO117" s="204">
        <f t="shared" ref="BO117:BQ117" si="1260">SUM(BO118:BO123)</f>
        <v>1831.634877384196</v>
      </c>
      <c r="BP117" s="202" t="s">
        <v>114</v>
      </c>
      <c r="BQ117" s="204">
        <f t="shared" si="1260"/>
        <v>1837.3092643051768</v>
      </c>
      <c r="BR117" s="202" t="s">
        <v>114</v>
      </c>
      <c r="BS117" s="204">
        <f t="shared" ref="BS117:CS117" si="1261">SUM(BS118:BS123)</f>
        <v>1836.4032697547682</v>
      </c>
      <c r="BT117" s="202" t="s">
        <v>114</v>
      </c>
      <c r="BU117" s="204">
        <f t="shared" ref="BU117:BW117" si="1262">SUM(BU118:BU123)</f>
        <v>1854.6662125340597</v>
      </c>
      <c r="BV117" s="202" t="s">
        <v>114</v>
      </c>
      <c r="BW117" s="204">
        <f t="shared" si="1262"/>
        <v>1855.2384196185285</v>
      </c>
      <c r="BX117" s="202" t="s">
        <v>114</v>
      </c>
      <c r="BY117" s="204">
        <f t="shared" ref="BY117:CA117" si="1263">SUM(BY118:BY123)</f>
        <v>1865.2520435967299</v>
      </c>
      <c r="BZ117" s="202" t="s">
        <v>114</v>
      </c>
      <c r="CA117" s="204">
        <f t="shared" si="1263"/>
        <v>1864.1553133514983</v>
      </c>
      <c r="CB117" s="202" t="s">
        <v>114</v>
      </c>
      <c r="CC117" s="204">
        <f t="shared" ref="CC117:CE117" si="1264">SUM(CC118:CC123)</f>
        <v>1849.9931880108988</v>
      </c>
      <c r="CD117" s="202" t="s">
        <v>114</v>
      </c>
      <c r="CE117" s="204">
        <f t="shared" si="1264"/>
        <v>1822.1457765667574</v>
      </c>
      <c r="CF117" s="202" t="s">
        <v>114</v>
      </c>
      <c r="CG117" s="204">
        <f t="shared" ref="CG117:CI117" si="1265">SUM(CG118:CG123)</f>
        <v>1826.7711171662122</v>
      </c>
      <c r="CH117" s="202" t="s">
        <v>114</v>
      </c>
      <c r="CI117" s="204">
        <f t="shared" si="1265"/>
        <v>1840.551771117166</v>
      </c>
      <c r="CJ117" s="202" t="s">
        <v>114</v>
      </c>
      <c r="CK117" s="204">
        <f t="shared" ref="CK117:CM117" si="1266">SUM(CK118:CK123)</f>
        <v>1850.2316076294276</v>
      </c>
      <c r="CL117" s="202" t="s">
        <v>114</v>
      </c>
      <c r="CM117" s="204">
        <f t="shared" si="1266"/>
        <v>1927.8610354223433</v>
      </c>
      <c r="CN117" s="202" t="s">
        <v>114</v>
      </c>
      <c r="CO117" s="204">
        <f t="shared" ref="CO117:CQ117" si="1267">SUM(CO118:CO123)</f>
        <v>1851.5667574931877</v>
      </c>
      <c r="CP117" s="202" t="s">
        <v>114</v>
      </c>
      <c r="CQ117" s="204">
        <f t="shared" si="1267"/>
        <v>1851.5667574931877</v>
      </c>
      <c r="CR117" s="202" t="s">
        <v>114</v>
      </c>
      <c r="CS117" s="204">
        <f t="shared" si="1261"/>
        <v>1836.4032697547682</v>
      </c>
      <c r="CT117" s="202" t="s">
        <v>114</v>
      </c>
      <c r="CU117" s="204">
        <f t="shared" ref="CU117" si="1268">SUM(CU118:CU123)</f>
        <v>1836.4032697547682</v>
      </c>
      <c r="CV117" s="202" t="s">
        <v>114</v>
      </c>
      <c r="CW117" s="204">
        <f>SUM(CW118:CW123)</f>
        <v>1829.9591457275553</v>
      </c>
      <c r="CX117" s="202" t="s">
        <v>114</v>
      </c>
      <c r="CY117" s="204">
        <f>SUM(CY118:CY123)</f>
        <v>1842.5439121027191</v>
      </c>
      <c r="CZ117" s="202" t="s">
        <v>114</v>
      </c>
      <c r="DA117" s="204">
        <f>SUM(DA118:DA123)</f>
        <v>1861.4043645041957</v>
      </c>
      <c r="DB117" s="202" t="s">
        <v>114</v>
      </c>
      <c r="DC117" s="204">
        <f>SUM(DC118:DC123)</f>
        <v>1862.323943661972</v>
      </c>
      <c r="DD117" s="202" t="s">
        <v>114</v>
      </c>
      <c r="DE117" s="204">
        <f>SUM(DE118:DE123)</f>
        <v>1835.8958394259159</v>
      </c>
      <c r="DF117" s="202" t="s">
        <v>114</v>
      </c>
      <c r="DG117" s="204">
        <f>SUM(DG118:DG123)</f>
        <v>1882.0422535211269</v>
      </c>
      <c r="DH117" s="202" t="s">
        <v>114</v>
      </c>
      <c r="DI117" s="204">
        <f>SUM(DI118:DI123)</f>
        <v>1882.0422535211269</v>
      </c>
      <c r="DJ117" s="202" t="s">
        <v>114</v>
      </c>
      <c r="DK117" s="204">
        <f>SUM(DK118:DK123)</f>
        <v>1882.0422535211269</v>
      </c>
      <c r="DL117" s="202" t="s">
        <v>114</v>
      </c>
      <c r="DM117" s="204">
        <f>SUM(DM118:DM123)</f>
        <v>1882.0422535211269</v>
      </c>
      <c r="DN117" s="202" t="s">
        <v>114</v>
      </c>
      <c r="DO117" s="204">
        <f>SUM(DO118:DO123)</f>
        <v>1882.0422535211269</v>
      </c>
      <c r="DP117" s="202" t="s">
        <v>114</v>
      </c>
      <c r="DQ117" s="204">
        <f>SUM(DQ118:DQ123)</f>
        <v>1882.0422535211269</v>
      </c>
      <c r="DR117" s="202" t="s">
        <v>114</v>
      </c>
      <c r="DS117" s="204">
        <f>SUM(DS118:DS123)</f>
        <v>1882.0422535211269</v>
      </c>
    </row>
    <row r="118" spans="1:123" s="65" customFormat="1" ht="18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  <c r="BX118" s="202" t="s">
        <v>114</v>
      </c>
      <c r="BY118" s="204">
        <v>75</v>
      </c>
      <c r="BZ118" s="202" t="s">
        <v>114</v>
      </c>
      <c r="CA118" s="204">
        <v>75</v>
      </c>
      <c r="CB118" s="202" t="s">
        <v>114</v>
      </c>
      <c r="CC118" s="204">
        <v>75</v>
      </c>
      <c r="CD118" s="202" t="s">
        <v>114</v>
      </c>
      <c r="CE118" s="204">
        <v>75</v>
      </c>
      <c r="CF118" s="202" t="s">
        <v>114</v>
      </c>
      <c r="CG118" s="204">
        <v>75</v>
      </c>
      <c r="CH118" s="202" t="s">
        <v>114</v>
      </c>
      <c r="CI118" s="204">
        <v>75</v>
      </c>
      <c r="CJ118" s="202" t="s">
        <v>114</v>
      </c>
      <c r="CK118" s="204">
        <v>75</v>
      </c>
      <c r="CL118" s="202" t="s">
        <v>114</v>
      </c>
      <c r="CM118" s="204">
        <v>75</v>
      </c>
      <c r="CN118" s="202" t="s">
        <v>114</v>
      </c>
      <c r="CO118" s="204">
        <v>75</v>
      </c>
      <c r="CP118" s="202" t="s">
        <v>114</v>
      </c>
      <c r="CQ118" s="204">
        <v>75</v>
      </c>
      <c r="CR118" s="202" t="s">
        <v>114</v>
      </c>
      <c r="CS118" s="204">
        <v>75</v>
      </c>
      <c r="CT118" s="202" t="s">
        <v>114</v>
      </c>
      <c r="CU118" s="204">
        <v>75</v>
      </c>
      <c r="CV118" s="202" t="s">
        <v>114</v>
      </c>
      <c r="CW118" s="204">
        <v>75</v>
      </c>
      <c r="CX118" s="202" t="s">
        <v>114</v>
      </c>
      <c r="CY118" s="204">
        <v>75</v>
      </c>
      <c r="CZ118" s="202" t="s">
        <v>114</v>
      </c>
      <c r="DA118" s="204">
        <v>75</v>
      </c>
      <c r="DB118" s="202" t="s">
        <v>114</v>
      </c>
      <c r="DC118" s="204">
        <v>75</v>
      </c>
      <c r="DD118" s="202" t="s">
        <v>114</v>
      </c>
      <c r="DE118" s="204">
        <v>75</v>
      </c>
      <c r="DF118" s="202" t="s">
        <v>114</v>
      </c>
      <c r="DG118" s="204">
        <v>75</v>
      </c>
      <c r="DH118" s="202" t="s">
        <v>114</v>
      </c>
      <c r="DI118" s="204">
        <v>75</v>
      </c>
      <c r="DJ118" s="202" t="s">
        <v>114</v>
      </c>
      <c r="DK118" s="204">
        <v>75</v>
      </c>
      <c r="DL118" s="202" t="s">
        <v>114</v>
      </c>
      <c r="DM118" s="204">
        <v>75</v>
      </c>
      <c r="DN118" s="202" t="s">
        <v>114</v>
      </c>
      <c r="DO118" s="204">
        <v>75</v>
      </c>
      <c r="DP118" s="202" t="s">
        <v>114</v>
      </c>
      <c r="DQ118" s="204">
        <v>75</v>
      </c>
      <c r="DR118" s="202" t="s">
        <v>114</v>
      </c>
      <c r="DS118" s="204">
        <v>75</v>
      </c>
    </row>
    <row r="119" spans="1:123" s="65" customFormat="1" ht="18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546.47887323943667</v>
      </c>
      <c r="H119" s="202" t="s">
        <v>114</v>
      </c>
      <c r="I119" s="204">
        <f>1940000/I66</f>
        <v>546.47887323943667</v>
      </c>
      <c r="J119" s="202" t="s">
        <v>114</v>
      </c>
      <c r="K119" s="204">
        <f t="shared" ref="K119" si="1269">1940000/K66</f>
        <v>546.47887323943667</v>
      </c>
      <c r="L119" s="202" t="s">
        <v>114</v>
      </c>
      <c r="M119" s="204">
        <f t="shared" ref="M119" si="1270">1940000/M66</f>
        <v>546.47887323943667</v>
      </c>
      <c r="N119" s="202" t="s">
        <v>114</v>
      </c>
      <c r="O119" s="204">
        <f>1940000/O66</f>
        <v>546.47887323943667</v>
      </c>
      <c r="P119" s="202" t="s">
        <v>114</v>
      </c>
      <c r="Q119" s="204">
        <f>1940000/Q66</f>
        <v>546.47887323943667</v>
      </c>
      <c r="R119" s="202" t="s">
        <v>114</v>
      </c>
      <c r="S119" s="204">
        <f>1940000/S66</f>
        <v>546.47887323943667</v>
      </c>
      <c r="T119" s="202" t="s">
        <v>114</v>
      </c>
      <c r="U119" s="204">
        <f>1940000/U66</f>
        <v>546.47887323943667</v>
      </c>
      <c r="V119" s="202" t="s">
        <v>114</v>
      </c>
      <c r="W119" s="204">
        <f>1940000/W66</f>
        <v>546.47887323943667</v>
      </c>
      <c r="X119" s="202" t="s">
        <v>114</v>
      </c>
      <c r="Y119" s="204">
        <f>1940000/Y66</f>
        <v>546.47887323943667</v>
      </c>
      <c r="Z119" s="202" t="s">
        <v>114</v>
      </c>
      <c r="AA119" s="204">
        <f>1940000/AA66</f>
        <v>546.47887323943667</v>
      </c>
      <c r="AB119" s="202" t="s">
        <v>114</v>
      </c>
      <c r="AC119" s="204">
        <f>1940000/AC66</f>
        <v>546.47887323943667</v>
      </c>
      <c r="AD119" s="202" t="s">
        <v>114</v>
      </c>
      <c r="AE119" s="204">
        <f>1940000/AE66</f>
        <v>546.47887323943667</v>
      </c>
      <c r="AF119" s="202" t="s">
        <v>114</v>
      </c>
      <c r="AG119" s="204">
        <f>1940000/AG66</f>
        <v>546.47887323943667</v>
      </c>
      <c r="AH119" s="202" t="s">
        <v>114</v>
      </c>
      <c r="AI119" s="204">
        <f>1940000/AI66</f>
        <v>546.47887323943667</v>
      </c>
      <c r="AJ119" s="202" t="s">
        <v>114</v>
      </c>
      <c r="AK119" s="204">
        <f>1940000/AK66</f>
        <v>546.47887323943667</v>
      </c>
      <c r="AL119" s="202" t="s">
        <v>114</v>
      </c>
      <c r="AM119" s="204">
        <f>1940000/AM66</f>
        <v>546.47887323943667</v>
      </c>
      <c r="AN119" s="202" t="s">
        <v>114</v>
      </c>
      <c r="AO119" s="204">
        <f>1940000/AO66</f>
        <v>546.47887323943667</v>
      </c>
      <c r="AP119" s="202" t="s">
        <v>114</v>
      </c>
      <c r="AQ119" s="204">
        <f t="shared" ref="AQ119" si="1271">1940000/AQ66</f>
        <v>546.47887323943667</v>
      </c>
      <c r="AR119" s="202" t="s">
        <v>114</v>
      </c>
      <c r="AS119" s="204">
        <f t="shared" ref="AS119" si="1272">1940000/AS66</f>
        <v>546.47887323943667</v>
      </c>
      <c r="AT119" s="202" t="s">
        <v>114</v>
      </c>
      <c r="AU119" s="204">
        <f t="shared" ref="AU119" si="1273">1940000/AU66</f>
        <v>546.47887323943667</v>
      </c>
      <c r="AV119" s="202" t="s">
        <v>114</v>
      </c>
      <c r="AW119" s="204">
        <f t="shared" ref="AW119" si="1274">1940000/AW66</f>
        <v>546.47887323943667</v>
      </c>
      <c r="AX119" s="202" t="s">
        <v>114</v>
      </c>
      <c r="AY119" s="204">
        <f t="shared" ref="AY119" si="1275">1940000/AY66</f>
        <v>546.47887323943667</v>
      </c>
      <c r="AZ119" s="202" t="s">
        <v>114</v>
      </c>
      <c r="BA119" s="204">
        <f t="shared" ref="BA119:BC119" si="1276">1940000/BA66</f>
        <v>546.47887323943667</v>
      </c>
      <c r="BB119" s="202" t="s">
        <v>114</v>
      </c>
      <c r="BC119" s="204">
        <f t="shared" si="1276"/>
        <v>546.47887323943667</v>
      </c>
      <c r="BD119" s="202" t="s">
        <v>114</v>
      </c>
      <c r="BE119" s="204">
        <f t="shared" ref="BE119:BI119" si="1277">1940000/BE66</f>
        <v>546.47887323943667</v>
      </c>
      <c r="BF119" s="202" t="s">
        <v>114</v>
      </c>
      <c r="BG119" s="204">
        <f t="shared" si="1277"/>
        <v>546.47887323943667</v>
      </c>
      <c r="BH119" s="202" t="s">
        <v>114</v>
      </c>
      <c r="BI119" s="204">
        <f t="shared" si="1277"/>
        <v>546.47887323943667</v>
      </c>
      <c r="BJ119" s="202" t="s">
        <v>114</v>
      </c>
      <c r="BK119" s="204">
        <f t="shared" ref="BK119:BM119" si="1278">1940000/BK66</f>
        <v>546.47887323943667</v>
      </c>
      <c r="BL119" s="202" t="s">
        <v>114</v>
      </c>
      <c r="BM119" s="204">
        <f t="shared" si="1278"/>
        <v>528.61035422343321</v>
      </c>
      <c r="BN119" s="202" t="s">
        <v>114</v>
      </c>
      <c r="BO119" s="204">
        <f t="shared" ref="BO119:BQ119" si="1279">1940000/BO66</f>
        <v>528.61035422343321</v>
      </c>
      <c r="BP119" s="202" t="s">
        <v>114</v>
      </c>
      <c r="BQ119" s="204">
        <f t="shared" si="1279"/>
        <v>528.61035422343321</v>
      </c>
      <c r="BR119" s="202" t="s">
        <v>114</v>
      </c>
      <c r="BS119" s="204">
        <f t="shared" ref="BS119:CS119" si="1280">1940000/BS66</f>
        <v>528.61035422343321</v>
      </c>
      <c r="BT119" s="202" t="s">
        <v>114</v>
      </c>
      <c r="BU119" s="204">
        <f t="shared" ref="BU119:BW119" si="1281">1940000/BU66</f>
        <v>528.61035422343321</v>
      </c>
      <c r="BV119" s="202" t="s">
        <v>114</v>
      </c>
      <c r="BW119" s="204">
        <f t="shared" si="1281"/>
        <v>528.61035422343321</v>
      </c>
      <c r="BX119" s="202" t="s">
        <v>114</v>
      </c>
      <c r="BY119" s="204">
        <f t="shared" ref="BY119:CA119" si="1282">1940000/BY66</f>
        <v>528.61035422343321</v>
      </c>
      <c r="BZ119" s="202" t="s">
        <v>114</v>
      </c>
      <c r="CA119" s="204">
        <f t="shared" si="1282"/>
        <v>528.61035422343321</v>
      </c>
      <c r="CB119" s="202" t="s">
        <v>114</v>
      </c>
      <c r="CC119" s="204">
        <f t="shared" ref="CC119:CE119" si="1283">1940000/CC66</f>
        <v>528.61035422343321</v>
      </c>
      <c r="CD119" s="202" t="s">
        <v>114</v>
      </c>
      <c r="CE119" s="204">
        <f t="shared" si="1283"/>
        <v>528.61035422343321</v>
      </c>
      <c r="CF119" s="202" t="s">
        <v>114</v>
      </c>
      <c r="CG119" s="204">
        <f t="shared" ref="CG119:CI119" si="1284">1940000/CG66</f>
        <v>528.61035422343321</v>
      </c>
      <c r="CH119" s="202" t="s">
        <v>114</v>
      </c>
      <c r="CI119" s="204">
        <f t="shared" si="1284"/>
        <v>528.61035422343321</v>
      </c>
      <c r="CJ119" s="202" t="s">
        <v>114</v>
      </c>
      <c r="CK119" s="204">
        <f t="shared" ref="CK119" si="1285">1940000/CK66</f>
        <v>528.61035422343321</v>
      </c>
      <c r="CL119" s="202" t="s">
        <v>114</v>
      </c>
      <c r="CM119" s="204">
        <f>2150000/CM66</f>
        <v>585.83106267029973</v>
      </c>
      <c r="CN119" s="202" t="s">
        <v>114</v>
      </c>
      <c r="CO119" s="204">
        <f t="shared" ref="CO119:CQ119" si="1286">1940000/CO66</f>
        <v>528.61035422343321</v>
      </c>
      <c r="CP119" s="202" t="s">
        <v>114</v>
      </c>
      <c r="CQ119" s="204">
        <f t="shared" si="1286"/>
        <v>528.61035422343321</v>
      </c>
      <c r="CR119" s="202" t="s">
        <v>114</v>
      </c>
      <c r="CS119" s="204">
        <f t="shared" si="1280"/>
        <v>528.61035422343321</v>
      </c>
      <c r="CT119" s="202" t="s">
        <v>114</v>
      </c>
      <c r="CU119" s="204">
        <f t="shared" ref="CU119" si="1287">1940000/CU66</f>
        <v>528.61035422343321</v>
      </c>
      <c r="CV119" s="202" t="s">
        <v>114</v>
      </c>
      <c r="CW119" s="204">
        <f>1940000/CW66</f>
        <v>546.47887323943667</v>
      </c>
      <c r="CX119" s="202" t="s">
        <v>114</v>
      </c>
      <c r="CY119" s="204">
        <f>1940000/CY66</f>
        <v>546.47887323943667</v>
      </c>
      <c r="CZ119" s="202" t="s">
        <v>114</v>
      </c>
      <c r="DA119" s="204">
        <f>1940000/DA66</f>
        <v>546.47887323943667</v>
      </c>
      <c r="DB119" s="202" t="s">
        <v>114</v>
      </c>
      <c r="DC119" s="204">
        <f>1940000/DC66</f>
        <v>546.47887323943667</v>
      </c>
      <c r="DD119" s="202" t="s">
        <v>114</v>
      </c>
      <c r="DE119" s="204">
        <f>1940000/DE66</f>
        <v>546.47887323943667</v>
      </c>
      <c r="DF119" s="202" t="s">
        <v>114</v>
      </c>
      <c r="DG119" s="204">
        <f>1940000/DG66</f>
        <v>546.47887323943667</v>
      </c>
      <c r="DH119" s="202" t="s">
        <v>114</v>
      </c>
      <c r="DI119" s="204">
        <f>1940000/DI66</f>
        <v>546.47887323943667</v>
      </c>
      <c r="DJ119" s="202" t="s">
        <v>114</v>
      </c>
      <c r="DK119" s="204">
        <f>1940000/DK66</f>
        <v>546.47887323943667</v>
      </c>
      <c r="DL119" s="202" t="s">
        <v>114</v>
      </c>
      <c r="DM119" s="204">
        <f>1940000/DM66</f>
        <v>546.47887323943667</v>
      </c>
      <c r="DN119" s="202" t="s">
        <v>114</v>
      </c>
      <c r="DO119" s="204">
        <f>1940000/DO66</f>
        <v>546.47887323943667</v>
      </c>
      <c r="DP119" s="202" t="s">
        <v>114</v>
      </c>
      <c r="DQ119" s="204">
        <f>1940000/DQ66</f>
        <v>546.47887323943667</v>
      </c>
      <c r="DR119" s="202" t="s">
        <v>114</v>
      </c>
      <c r="DS119" s="204">
        <f>1940000/DS66</f>
        <v>546.47887323943667</v>
      </c>
    </row>
    <row r="120" spans="1:123" s="65" customFormat="1" ht="18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77.464788732394368</v>
      </c>
      <c r="H120" s="202" t="s">
        <v>114</v>
      </c>
      <c r="I120" s="204">
        <f>275000/I66</f>
        <v>77.464788732394368</v>
      </c>
      <c r="J120" s="202" t="s">
        <v>114</v>
      </c>
      <c r="K120" s="204">
        <f t="shared" ref="K120" si="1288">275000/K66</f>
        <v>77.464788732394368</v>
      </c>
      <c r="L120" s="202" t="s">
        <v>114</v>
      </c>
      <c r="M120" s="204">
        <f t="shared" ref="M120" si="1289">275000/M66</f>
        <v>77.464788732394368</v>
      </c>
      <c r="N120" s="202" t="s">
        <v>114</v>
      </c>
      <c r="O120" s="204">
        <f>275000/O66</f>
        <v>77.464788732394368</v>
      </c>
      <c r="P120" s="202" t="s">
        <v>114</v>
      </c>
      <c r="Q120" s="204">
        <f>275000/Q66</f>
        <v>77.464788732394368</v>
      </c>
      <c r="R120" s="202" t="s">
        <v>114</v>
      </c>
      <c r="S120" s="204">
        <f>275000/S66</f>
        <v>77.464788732394368</v>
      </c>
      <c r="T120" s="202" t="s">
        <v>114</v>
      </c>
      <c r="U120" s="204">
        <f>275000/U66</f>
        <v>77.464788732394368</v>
      </c>
      <c r="V120" s="202" t="s">
        <v>114</v>
      </c>
      <c r="W120" s="204">
        <f>275000/W66</f>
        <v>77.464788732394368</v>
      </c>
      <c r="X120" s="202" t="s">
        <v>114</v>
      </c>
      <c r="Y120" s="204">
        <f>275000/Y66</f>
        <v>77.464788732394368</v>
      </c>
      <c r="Z120" s="202" t="s">
        <v>114</v>
      </c>
      <c r="AA120" s="204">
        <f>275000/AA66</f>
        <v>77.464788732394368</v>
      </c>
      <c r="AB120" s="202" t="s">
        <v>114</v>
      </c>
      <c r="AC120" s="204">
        <f>275000/AC66</f>
        <v>77.464788732394368</v>
      </c>
      <c r="AD120" s="202" t="s">
        <v>114</v>
      </c>
      <c r="AE120" s="204">
        <f>275000/AE66</f>
        <v>77.464788732394368</v>
      </c>
      <c r="AF120" s="202" t="s">
        <v>114</v>
      </c>
      <c r="AG120" s="204">
        <f>275000/AG66</f>
        <v>77.464788732394368</v>
      </c>
      <c r="AH120" s="202" t="s">
        <v>114</v>
      </c>
      <c r="AI120" s="204">
        <f>275000/AI66</f>
        <v>77.464788732394368</v>
      </c>
      <c r="AJ120" s="202" t="s">
        <v>114</v>
      </c>
      <c r="AK120" s="204">
        <f>275000/AK66</f>
        <v>77.464788732394368</v>
      </c>
      <c r="AL120" s="202" t="s">
        <v>114</v>
      </c>
      <c r="AM120" s="204">
        <f>275000/AM66</f>
        <v>77.464788732394368</v>
      </c>
      <c r="AN120" s="202" t="s">
        <v>114</v>
      </c>
      <c r="AO120" s="204">
        <f>275000/AO66</f>
        <v>77.464788732394368</v>
      </c>
      <c r="AP120" s="202" t="s">
        <v>114</v>
      </c>
      <c r="AQ120" s="204">
        <f t="shared" ref="AQ120" si="1290">275000/AQ66</f>
        <v>77.464788732394368</v>
      </c>
      <c r="AR120" s="202" t="s">
        <v>114</v>
      </c>
      <c r="AS120" s="204">
        <f t="shared" ref="AS120" si="1291">275000/AS66</f>
        <v>77.464788732394368</v>
      </c>
      <c r="AT120" s="202" t="s">
        <v>114</v>
      </c>
      <c r="AU120" s="204">
        <f t="shared" ref="AU120" si="1292">275000/AU66</f>
        <v>77.464788732394368</v>
      </c>
      <c r="AV120" s="202" t="s">
        <v>114</v>
      </c>
      <c r="AW120" s="204">
        <f t="shared" ref="AW120" si="1293">275000/AW66</f>
        <v>77.464788732394368</v>
      </c>
      <c r="AX120" s="202" t="s">
        <v>114</v>
      </c>
      <c r="AY120" s="204">
        <f t="shared" ref="AY120" si="1294">275000/AY66</f>
        <v>77.464788732394368</v>
      </c>
      <c r="AZ120" s="202" t="s">
        <v>114</v>
      </c>
      <c r="BA120" s="204">
        <f t="shared" ref="BA120:BC120" si="1295">275000/BA66</f>
        <v>77.464788732394368</v>
      </c>
      <c r="BB120" s="202" t="s">
        <v>114</v>
      </c>
      <c r="BC120" s="204">
        <f t="shared" si="1295"/>
        <v>77.464788732394368</v>
      </c>
      <c r="BD120" s="202" t="s">
        <v>114</v>
      </c>
      <c r="BE120" s="204">
        <f t="shared" ref="BE120:BI120" si="1296">275000/BE66</f>
        <v>77.464788732394368</v>
      </c>
      <c r="BF120" s="202" t="s">
        <v>114</v>
      </c>
      <c r="BG120" s="204">
        <f t="shared" si="1296"/>
        <v>77.464788732394368</v>
      </c>
      <c r="BH120" s="202" t="s">
        <v>114</v>
      </c>
      <c r="BI120" s="204">
        <f t="shared" si="1296"/>
        <v>77.464788732394368</v>
      </c>
      <c r="BJ120" s="202" t="s">
        <v>114</v>
      </c>
      <c r="BK120" s="204">
        <f t="shared" ref="BK120:BM120" si="1297">275000/BK66</f>
        <v>77.464788732394368</v>
      </c>
      <c r="BL120" s="202" t="s">
        <v>114</v>
      </c>
      <c r="BM120" s="204">
        <f t="shared" si="1297"/>
        <v>74.93188010899182</v>
      </c>
      <c r="BN120" s="202" t="s">
        <v>114</v>
      </c>
      <c r="BO120" s="204">
        <f t="shared" ref="BO120:BQ120" si="1298">275000/BO66</f>
        <v>74.93188010899182</v>
      </c>
      <c r="BP120" s="202" t="s">
        <v>114</v>
      </c>
      <c r="BQ120" s="204">
        <f t="shared" si="1298"/>
        <v>74.93188010899182</v>
      </c>
      <c r="BR120" s="202" t="s">
        <v>114</v>
      </c>
      <c r="BS120" s="204">
        <f t="shared" ref="BS120:CS120" si="1299">275000/BS66</f>
        <v>74.93188010899182</v>
      </c>
      <c r="BT120" s="202" t="s">
        <v>114</v>
      </c>
      <c r="BU120" s="204">
        <f t="shared" ref="BU120:BW120" si="1300">275000/BU66</f>
        <v>74.93188010899182</v>
      </c>
      <c r="BV120" s="202" t="s">
        <v>114</v>
      </c>
      <c r="BW120" s="204">
        <f t="shared" si="1300"/>
        <v>74.93188010899182</v>
      </c>
      <c r="BX120" s="202" t="s">
        <v>114</v>
      </c>
      <c r="BY120" s="204">
        <f t="shared" ref="BY120:CA120" si="1301">275000/BY66</f>
        <v>74.93188010899182</v>
      </c>
      <c r="BZ120" s="202" t="s">
        <v>114</v>
      </c>
      <c r="CA120" s="204">
        <f t="shared" si="1301"/>
        <v>74.93188010899182</v>
      </c>
      <c r="CB120" s="202" t="s">
        <v>114</v>
      </c>
      <c r="CC120" s="204">
        <f t="shared" ref="CC120:CE120" si="1302">275000/CC66</f>
        <v>74.93188010899182</v>
      </c>
      <c r="CD120" s="202" t="s">
        <v>114</v>
      </c>
      <c r="CE120" s="204">
        <f t="shared" si="1302"/>
        <v>74.93188010899182</v>
      </c>
      <c r="CF120" s="202" t="s">
        <v>114</v>
      </c>
      <c r="CG120" s="204">
        <f t="shared" ref="CG120:CI120" si="1303">275000/CG66</f>
        <v>74.93188010899182</v>
      </c>
      <c r="CH120" s="202" t="s">
        <v>114</v>
      </c>
      <c r="CI120" s="204">
        <f t="shared" si="1303"/>
        <v>74.93188010899182</v>
      </c>
      <c r="CJ120" s="202" t="s">
        <v>114</v>
      </c>
      <c r="CK120" s="204">
        <f t="shared" ref="CK120" si="1304">275000/CK66</f>
        <v>74.93188010899182</v>
      </c>
      <c r="CL120" s="202" t="s">
        <v>114</v>
      </c>
      <c r="CM120" s="204">
        <f>300000/CM66</f>
        <v>81.743869209809262</v>
      </c>
      <c r="CN120" s="202" t="s">
        <v>114</v>
      </c>
      <c r="CO120" s="204">
        <f t="shared" ref="CO120:CQ120" si="1305">275000/CO66</f>
        <v>74.93188010899182</v>
      </c>
      <c r="CP120" s="202" t="s">
        <v>114</v>
      </c>
      <c r="CQ120" s="204">
        <f t="shared" si="1305"/>
        <v>74.93188010899182</v>
      </c>
      <c r="CR120" s="202" t="s">
        <v>114</v>
      </c>
      <c r="CS120" s="204">
        <f t="shared" si="1299"/>
        <v>74.93188010899182</v>
      </c>
      <c r="CT120" s="202" t="s">
        <v>114</v>
      </c>
      <c r="CU120" s="204">
        <f t="shared" ref="CU120" si="1306">275000/CU66</f>
        <v>74.93188010899182</v>
      </c>
      <c r="CV120" s="202" t="s">
        <v>114</v>
      </c>
      <c r="CW120" s="204">
        <f>275000/CW66</f>
        <v>77.464788732394368</v>
      </c>
      <c r="CX120" s="202" t="s">
        <v>114</v>
      </c>
      <c r="CY120" s="204">
        <f>275000/CY66</f>
        <v>77.464788732394368</v>
      </c>
      <c r="CZ120" s="202" t="s">
        <v>114</v>
      </c>
      <c r="DA120" s="204">
        <f>275000/DA66</f>
        <v>77.464788732394368</v>
      </c>
      <c r="DB120" s="202" t="s">
        <v>114</v>
      </c>
      <c r="DC120" s="204">
        <f>275000/DC66</f>
        <v>77.464788732394368</v>
      </c>
      <c r="DD120" s="202" t="s">
        <v>114</v>
      </c>
      <c r="DE120" s="204">
        <f>275000/DE66</f>
        <v>77.464788732394368</v>
      </c>
      <c r="DF120" s="202" t="s">
        <v>114</v>
      </c>
      <c r="DG120" s="204">
        <f>275000/DG66</f>
        <v>77.464788732394368</v>
      </c>
      <c r="DH120" s="202" t="s">
        <v>114</v>
      </c>
      <c r="DI120" s="204">
        <f>275000/DI66</f>
        <v>77.464788732394368</v>
      </c>
      <c r="DJ120" s="202" t="s">
        <v>114</v>
      </c>
      <c r="DK120" s="204">
        <f>275000/DK66</f>
        <v>77.464788732394368</v>
      </c>
      <c r="DL120" s="202" t="s">
        <v>114</v>
      </c>
      <c r="DM120" s="204">
        <f>275000/DM66</f>
        <v>77.464788732394368</v>
      </c>
      <c r="DN120" s="202" t="s">
        <v>114</v>
      </c>
      <c r="DO120" s="204">
        <f>275000/DO66</f>
        <v>77.464788732394368</v>
      </c>
      <c r="DP120" s="202" t="s">
        <v>114</v>
      </c>
      <c r="DQ120" s="204">
        <f>275000/DQ66</f>
        <v>77.464788732394368</v>
      </c>
      <c r="DR120" s="202" t="s">
        <v>114</v>
      </c>
      <c r="DS120" s="204">
        <f>275000/DS66</f>
        <v>77.464788732394368</v>
      </c>
    </row>
    <row r="121" spans="1:123" s="65" customFormat="1" ht="18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360.56338028169012</v>
      </c>
      <c r="H121" s="202" t="s">
        <v>114</v>
      </c>
      <c r="I121" s="204">
        <f>1280000/I66</f>
        <v>360.56338028169012</v>
      </c>
      <c r="J121" s="202" t="s">
        <v>114</v>
      </c>
      <c r="K121" s="204">
        <f t="shared" ref="K121" si="1307">1280000/K66</f>
        <v>360.56338028169012</v>
      </c>
      <c r="L121" s="202" t="s">
        <v>114</v>
      </c>
      <c r="M121" s="204">
        <f t="shared" ref="M121" si="1308">1280000/M66</f>
        <v>360.56338028169012</v>
      </c>
      <c r="N121" s="202" t="s">
        <v>114</v>
      </c>
      <c r="O121" s="204">
        <f>1280000/O66</f>
        <v>360.56338028169012</v>
      </c>
      <c r="P121" s="202" t="s">
        <v>114</v>
      </c>
      <c r="Q121" s="204">
        <f>1280000/Q66</f>
        <v>360.56338028169012</v>
      </c>
      <c r="R121" s="202" t="s">
        <v>114</v>
      </c>
      <c r="S121" s="204">
        <f>1280000/S66</f>
        <v>360.56338028169012</v>
      </c>
      <c r="T121" s="202" t="s">
        <v>114</v>
      </c>
      <c r="U121" s="204">
        <f>1280000/U66</f>
        <v>360.56338028169012</v>
      </c>
      <c r="V121" s="202" t="s">
        <v>114</v>
      </c>
      <c r="W121" s="204">
        <f>1280000/W66</f>
        <v>360.56338028169012</v>
      </c>
      <c r="X121" s="202" t="s">
        <v>114</v>
      </c>
      <c r="Y121" s="204">
        <f>1280000/Y66</f>
        <v>360.56338028169012</v>
      </c>
      <c r="Z121" s="202" t="s">
        <v>114</v>
      </c>
      <c r="AA121" s="204">
        <f>1280000/AA66</f>
        <v>360.56338028169012</v>
      </c>
      <c r="AB121" s="202" t="s">
        <v>114</v>
      </c>
      <c r="AC121" s="204">
        <f>1280000/AC66</f>
        <v>360.56338028169012</v>
      </c>
      <c r="AD121" s="202" t="s">
        <v>114</v>
      </c>
      <c r="AE121" s="204">
        <f>1280000/AE66</f>
        <v>360.56338028169012</v>
      </c>
      <c r="AF121" s="202" t="s">
        <v>114</v>
      </c>
      <c r="AG121" s="204">
        <f>1280000/AG66</f>
        <v>360.56338028169012</v>
      </c>
      <c r="AH121" s="202" t="s">
        <v>114</v>
      </c>
      <c r="AI121" s="204">
        <f>1280000/AI66</f>
        <v>360.56338028169012</v>
      </c>
      <c r="AJ121" s="202" t="s">
        <v>114</v>
      </c>
      <c r="AK121" s="204">
        <f>1280000/AK66</f>
        <v>360.56338028169012</v>
      </c>
      <c r="AL121" s="202" t="s">
        <v>114</v>
      </c>
      <c r="AM121" s="204">
        <f>1280000/AM66</f>
        <v>360.56338028169012</v>
      </c>
      <c r="AN121" s="202" t="s">
        <v>114</v>
      </c>
      <c r="AO121" s="204">
        <f>1280000/AO66</f>
        <v>360.56338028169012</v>
      </c>
      <c r="AP121" s="202" t="s">
        <v>114</v>
      </c>
      <c r="AQ121" s="204">
        <f t="shared" ref="AQ121" si="1309">1280000/AQ66</f>
        <v>360.56338028169012</v>
      </c>
      <c r="AR121" s="202" t="s">
        <v>114</v>
      </c>
      <c r="AS121" s="204">
        <f t="shared" ref="AS121" si="1310">1280000/AS66</f>
        <v>360.56338028169012</v>
      </c>
      <c r="AT121" s="202" t="s">
        <v>114</v>
      </c>
      <c r="AU121" s="204">
        <f t="shared" ref="AU121" si="1311">1280000/AU66</f>
        <v>360.56338028169012</v>
      </c>
      <c r="AV121" s="202" t="s">
        <v>114</v>
      </c>
      <c r="AW121" s="204">
        <f t="shared" ref="AW121" si="1312">1280000/AW66</f>
        <v>360.56338028169012</v>
      </c>
      <c r="AX121" s="202" t="s">
        <v>114</v>
      </c>
      <c r="AY121" s="204">
        <f t="shared" ref="AY121" si="1313">1280000/AY66</f>
        <v>360.56338028169012</v>
      </c>
      <c r="AZ121" s="202" t="s">
        <v>114</v>
      </c>
      <c r="BA121" s="204">
        <f t="shared" ref="BA121:BC121" si="1314">1280000/BA66</f>
        <v>360.56338028169012</v>
      </c>
      <c r="BB121" s="202" t="s">
        <v>114</v>
      </c>
      <c r="BC121" s="204">
        <f t="shared" si="1314"/>
        <v>360.56338028169012</v>
      </c>
      <c r="BD121" s="202" t="s">
        <v>114</v>
      </c>
      <c r="BE121" s="204">
        <f t="shared" ref="BE121:BI121" si="1315">1280000/BE66</f>
        <v>360.56338028169012</v>
      </c>
      <c r="BF121" s="202" t="s">
        <v>114</v>
      </c>
      <c r="BG121" s="204">
        <f t="shared" si="1315"/>
        <v>360.56338028169012</v>
      </c>
      <c r="BH121" s="202" t="s">
        <v>114</v>
      </c>
      <c r="BI121" s="204">
        <f t="shared" si="1315"/>
        <v>360.56338028169012</v>
      </c>
      <c r="BJ121" s="202" t="s">
        <v>114</v>
      </c>
      <c r="BK121" s="204">
        <f t="shared" ref="BK121:BM121" si="1316">1280000/BK66</f>
        <v>360.56338028169012</v>
      </c>
      <c r="BL121" s="202" t="s">
        <v>114</v>
      </c>
      <c r="BM121" s="204">
        <f t="shared" si="1316"/>
        <v>348.77384196185284</v>
      </c>
      <c r="BN121" s="202" t="s">
        <v>114</v>
      </c>
      <c r="BO121" s="204">
        <f t="shared" ref="BO121:BQ121" si="1317">1280000/BO66</f>
        <v>348.77384196185284</v>
      </c>
      <c r="BP121" s="202" t="s">
        <v>114</v>
      </c>
      <c r="BQ121" s="204">
        <f t="shared" si="1317"/>
        <v>348.77384196185284</v>
      </c>
      <c r="BR121" s="202" t="s">
        <v>114</v>
      </c>
      <c r="BS121" s="204">
        <f t="shared" ref="BS121:CS121" si="1318">1280000/BS66</f>
        <v>348.77384196185284</v>
      </c>
      <c r="BT121" s="202" t="s">
        <v>114</v>
      </c>
      <c r="BU121" s="204">
        <f t="shared" ref="BU121:BW121" si="1319">1280000/BU66</f>
        <v>348.77384196185284</v>
      </c>
      <c r="BV121" s="202" t="s">
        <v>114</v>
      </c>
      <c r="BW121" s="204">
        <f t="shared" si="1319"/>
        <v>348.77384196185284</v>
      </c>
      <c r="BX121" s="202" t="s">
        <v>114</v>
      </c>
      <c r="BY121" s="204">
        <f t="shared" ref="BY121:CA121" si="1320">1280000/BY66</f>
        <v>348.77384196185284</v>
      </c>
      <c r="BZ121" s="202" t="s">
        <v>114</v>
      </c>
      <c r="CA121" s="204">
        <f t="shared" si="1320"/>
        <v>348.77384196185284</v>
      </c>
      <c r="CB121" s="202" t="s">
        <v>114</v>
      </c>
      <c r="CC121" s="204">
        <f t="shared" ref="CC121:CE121" si="1321">1280000/CC66</f>
        <v>348.77384196185284</v>
      </c>
      <c r="CD121" s="202" t="s">
        <v>114</v>
      </c>
      <c r="CE121" s="204">
        <f t="shared" si="1321"/>
        <v>348.77384196185284</v>
      </c>
      <c r="CF121" s="202" t="s">
        <v>114</v>
      </c>
      <c r="CG121" s="204">
        <f t="shared" ref="CG121:CI121" si="1322">1280000/CG66</f>
        <v>348.77384196185284</v>
      </c>
      <c r="CH121" s="202" t="s">
        <v>114</v>
      </c>
      <c r="CI121" s="204">
        <f t="shared" si="1322"/>
        <v>348.77384196185284</v>
      </c>
      <c r="CJ121" s="202" t="s">
        <v>114</v>
      </c>
      <c r="CK121" s="204">
        <f t="shared" ref="CK121" si="1323">1280000/CK66</f>
        <v>348.77384196185284</v>
      </c>
      <c r="CL121" s="202" t="s">
        <v>114</v>
      </c>
      <c r="CM121" s="204">
        <f t="shared" ref="CM121" si="1324">1280000/CM66</f>
        <v>348.77384196185284</v>
      </c>
      <c r="CN121" s="202" t="s">
        <v>114</v>
      </c>
      <c r="CO121" s="204">
        <f t="shared" ref="CO121:CQ121" si="1325">1280000/CO66</f>
        <v>348.77384196185284</v>
      </c>
      <c r="CP121" s="202" t="s">
        <v>114</v>
      </c>
      <c r="CQ121" s="204">
        <f t="shared" si="1325"/>
        <v>348.77384196185284</v>
      </c>
      <c r="CR121" s="202" t="s">
        <v>114</v>
      </c>
      <c r="CS121" s="204">
        <f t="shared" si="1318"/>
        <v>348.77384196185284</v>
      </c>
      <c r="CT121" s="202" t="s">
        <v>114</v>
      </c>
      <c r="CU121" s="204">
        <f t="shared" ref="CU121" si="1326">1280000/CU66</f>
        <v>348.77384196185284</v>
      </c>
      <c r="CV121" s="202" t="s">
        <v>114</v>
      </c>
      <c r="CW121" s="204">
        <f>1280000/CW66</f>
        <v>360.56338028169012</v>
      </c>
      <c r="CX121" s="202" t="s">
        <v>114</v>
      </c>
      <c r="CY121" s="204">
        <f>1280000/CY66</f>
        <v>360.56338028169012</v>
      </c>
      <c r="CZ121" s="202" t="s">
        <v>114</v>
      </c>
      <c r="DA121" s="204">
        <f>1280000/DA66</f>
        <v>360.56338028169012</v>
      </c>
      <c r="DB121" s="202" t="s">
        <v>114</v>
      </c>
      <c r="DC121" s="204">
        <f>1280000/DC66</f>
        <v>360.56338028169012</v>
      </c>
      <c r="DD121" s="202" t="s">
        <v>114</v>
      </c>
      <c r="DE121" s="204">
        <f>1280000/DE66</f>
        <v>360.56338028169012</v>
      </c>
      <c r="DF121" s="202" t="s">
        <v>114</v>
      </c>
      <c r="DG121" s="204">
        <f>1280000/DG66</f>
        <v>360.56338028169012</v>
      </c>
      <c r="DH121" s="202" t="s">
        <v>114</v>
      </c>
      <c r="DI121" s="204">
        <f>1280000/DI66</f>
        <v>360.56338028169012</v>
      </c>
      <c r="DJ121" s="202" t="s">
        <v>114</v>
      </c>
      <c r="DK121" s="204">
        <f>1280000/DK66</f>
        <v>360.56338028169012</v>
      </c>
      <c r="DL121" s="202" t="s">
        <v>114</v>
      </c>
      <c r="DM121" s="204">
        <f>1280000/DM66</f>
        <v>360.56338028169012</v>
      </c>
      <c r="DN121" s="202" t="s">
        <v>114</v>
      </c>
      <c r="DO121" s="204">
        <f>1280000/DO66</f>
        <v>360.56338028169012</v>
      </c>
      <c r="DP121" s="202" t="s">
        <v>114</v>
      </c>
      <c r="DQ121" s="204">
        <f>1280000/DQ66</f>
        <v>360.56338028169012</v>
      </c>
      <c r="DR121" s="202" t="s">
        <v>114</v>
      </c>
      <c r="DS121" s="204">
        <f>1280000/DS66</f>
        <v>360.56338028169012</v>
      </c>
    </row>
    <row r="122" spans="1:123" s="65" customFormat="1" ht="18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63.380281690140848</v>
      </c>
      <c r="H122" s="202" t="s">
        <v>114</v>
      </c>
      <c r="I122" s="204">
        <f>225000/I66</f>
        <v>63.380281690140848</v>
      </c>
      <c r="J122" s="202" t="s">
        <v>114</v>
      </c>
      <c r="K122" s="204">
        <f t="shared" ref="K122" si="1327">225000/K66</f>
        <v>63.380281690140848</v>
      </c>
      <c r="L122" s="202" t="s">
        <v>114</v>
      </c>
      <c r="M122" s="204">
        <f t="shared" ref="M122" si="1328">225000/M66</f>
        <v>63.380281690140848</v>
      </c>
      <c r="N122" s="202" t="s">
        <v>114</v>
      </c>
      <c r="O122" s="204">
        <f>225000/O66</f>
        <v>63.380281690140848</v>
      </c>
      <c r="P122" s="202" t="s">
        <v>114</v>
      </c>
      <c r="Q122" s="204">
        <f>225000/Q66</f>
        <v>63.380281690140848</v>
      </c>
      <c r="R122" s="202" t="s">
        <v>114</v>
      </c>
      <c r="S122" s="204">
        <f>225000/S66</f>
        <v>63.380281690140848</v>
      </c>
      <c r="T122" s="202" t="s">
        <v>114</v>
      </c>
      <c r="U122" s="204">
        <f>225000/U66</f>
        <v>63.380281690140848</v>
      </c>
      <c r="V122" s="202" t="s">
        <v>114</v>
      </c>
      <c r="W122" s="204">
        <f>225000/W66</f>
        <v>63.380281690140848</v>
      </c>
      <c r="X122" s="202" t="s">
        <v>114</v>
      </c>
      <c r="Y122" s="204">
        <f>225000/Y66</f>
        <v>63.380281690140848</v>
      </c>
      <c r="Z122" s="202" t="s">
        <v>114</v>
      </c>
      <c r="AA122" s="204">
        <f>225000/AA66</f>
        <v>63.380281690140848</v>
      </c>
      <c r="AB122" s="202" t="s">
        <v>114</v>
      </c>
      <c r="AC122" s="204">
        <f>225000/AC66</f>
        <v>63.380281690140848</v>
      </c>
      <c r="AD122" s="202" t="s">
        <v>114</v>
      </c>
      <c r="AE122" s="204">
        <f>225000/AE66</f>
        <v>63.380281690140848</v>
      </c>
      <c r="AF122" s="202" t="s">
        <v>114</v>
      </c>
      <c r="AG122" s="204">
        <f>225000/AG66</f>
        <v>63.380281690140848</v>
      </c>
      <c r="AH122" s="202" t="s">
        <v>114</v>
      </c>
      <c r="AI122" s="204">
        <f>225000/AI66</f>
        <v>63.380281690140848</v>
      </c>
      <c r="AJ122" s="202" t="s">
        <v>114</v>
      </c>
      <c r="AK122" s="204">
        <f>225000/AK66</f>
        <v>63.380281690140848</v>
      </c>
      <c r="AL122" s="202" t="s">
        <v>114</v>
      </c>
      <c r="AM122" s="204">
        <f>225000/AM66</f>
        <v>63.380281690140848</v>
      </c>
      <c r="AN122" s="202" t="s">
        <v>114</v>
      </c>
      <c r="AO122" s="204">
        <f>225000/AO66</f>
        <v>63.380281690140848</v>
      </c>
      <c r="AP122" s="202" t="s">
        <v>114</v>
      </c>
      <c r="AQ122" s="204">
        <f t="shared" ref="AQ122" si="1329">225000/AQ66</f>
        <v>63.380281690140848</v>
      </c>
      <c r="AR122" s="202" t="s">
        <v>114</v>
      </c>
      <c r="AS122" s="204">
        <f t="shared" ref="AS122" si="1330">225000/AS66</f>
        <v>63.380281690140848</v>
      </c>
      <c r="AT122" s="202" t="s">
        <v>114</v>
      </c>
      <c r="AU122" s="204">
        <f t="shared" ref="AU122" si="1331">225000/AU66</f>
        <v>63.380281690140848</v>
      </c>
      <c r="AV122" s="202" t="s">
        <v>114</v>
      </c>
      <c r="AW122" s="204">
        <f t="shared" ref="AW122" si="1332">225000/AW66</f>
        <v>63.380281690140848</v>
      </c>
      <c r="AX122" s="202" t="s">
        <v>114</v>
      </c>
      <c r="AY122" s="204">
        <f t="shared" ref="AY122" si="1333">225000/AY66</f>
        <v>63.380281690140848</v>
      </c>
      <c r="AZ122" s="202" t="s">
        <v>114</v>
      </c>
      <c r="BA122" s="204">
        <f t="shared" ref="BA122:BC122" si="1334">225000/BA66</f>
        <v>63.380281690140848</v>
      </c>
      <c r="BB122" s="202" t="s">
        <v>114</v>
      </c>
      <c r="BC122" s="204">
        <f t="shared" si="1334"/>
        <v>63.380281690140848</v>
      </c>
      <c r="BD122" s="202" t="s">
        <v>114</v>
      </c>
      <c r="BE122" s="204">
        <f t="shared" ref="BE122:BI122" si="1335">225000/BE66</f>
        <v>63.380281690140848</v>
      </c>
      <c r="BF122" s="202" t="s">
        <v>114</v>
      </c>
      <c r="BG122" s="204">
        <f t="shared" si="1335"/>
        <v>63.380281690140848</v>
      </c>
      <c r="BH122" s="202" t="s">
        <v>114</v>
      </c>
      <c r="BI122" s="204">
        <f t="shared" si="1335"/>
        <v>63.380281690140848</v>
      </c>
      <c r="BJ122" s="202" t="s">
        <v>114</v>
      </c>
      <c r="BK122" s="204">
        <f t="shared" ref="BK122:BM122" si="1336">225000/BK66</f>
        <v>63.380281690140848</v>
      </c>
      <c r="BL122" s="202" t="s">
        <v>114</v>
      </c>
      <c r="BM122" s="204">
        <f t="shared" si="1336"/>
        <v>61.30790190735695</v>
      </c>
      <c r="BN122" s="202" t="s">
        <v>114</v>
      </c>
      <c r="BO122" s="204">
        <f t="shared" ref="BO122:BQ122" si="1337">225000/BO66</f>
        <v>61.30790190735695</v>
      </c>
      <c r="BP122" s="202" t="s">
        <v>114</v>
      </c>
      <c r="BQ122" s="204">
        <f t="shared" si="1337"/>
        <v>61.30790190735695</v>
      </c>
      <c r="BR122" s="202" t="s">
        <v>114</v>
      </c>
      <c r="BS122" s="204">
        <f t="shared" ref="BS122:CS122" si="1338">225000/BS66</f>
        <v>61.30790190735695</v>
      </c>
      <c r="BT122" s="202" t="s">
        <v>114</v>
      </c>
      <c r="BU122" s="204">
        <f t="shared" ref="BU122:BW122" si="1339">225000/BU66</f>
        <v>61.30790190735695</v>
      </c>
      <c r="BV122" s="202" t="s">
        <v>114</v>
      </c>
      <c r="BW122" s="204">
        <f t="shared" si="1339"/>
        <v>61.30790190735695</v>
      </c>
      <c r="BX122" s="202" t="s">
        <v>114</v>
      </c>
      <c r="BY122" s="204">
        <f t="shared" ref="BY122:CA122" si="1340">225000/BY66</f>
        <v>61.30790190735695</v>
      </c>
      <c r="BZ122" s="202" t="s">
        <v>114</v>
      </c>
      <c r="CA122" s="204">
        <f t="shared" si="1340"/>
        <v>61.30790190735695</v>
      </c>
      <c r="CB122" s="202" t="s">
        <v>114</v>
      </c>
      <c r="CC122" s="204">
        <f t="shared" ref="CC122:CE122" si="1341">225000/CC66</f>
        <v>61.30790190735695</v>
      </c>
      <c r="CD122" s="202" t="s">
        <v>114</v>
      </c>
      <c r="CE122" s="204">
        <f t="shared" si="1341"/>
        <v>61.30790190735695</v>
      </c>
      <c r="CF122" s="202" t="s">
        <v>114</v>
      </c>
      <c r="CG122" s="204">
        <f t="shared" ref="CG122:CI122" si="1342">225000/CG66</f>
        <v>61.30790190735695</v>
      </c>
      <c r="CH122" s="202" t="s">
        <v>114</v>
      </c>
      <c r="CI122" s="204">
        <f t="shared" si="1342"/>
        <v>61.30790190735695</v>
      </c>
      <c r="CJ122" s="202" t="s">
        <v>114</v>
      </c>
      <c r="CK122" s="204">
        <f t="shared" ref="CK122" si="1343">225000/CK66</f>
        <v>61.30790190735695</v>
      </c>
      <c r="CL122" s="202" t="s">
        <v>114</v>
      </c>
      <c r="CM122" s="204">
        <f>(225000+45000)/CM66</f>
        <v>73.56948228882834</v>
      </c>
      <c r="CN122" s="202" t="s">
        <v>114</v>
      </c>
      <c r="CO122" s="204">
        <f t="shared" ref="CO122:CQ122" si="1344">225000/CO66</f>
        <v>61.30790190735695</v>
      </c>
      <c r="CP122" s="202" t="s">
        <v>114</v>
      </c>
      <c r="CQ122" s="204">
        <f t="shared" si="1344"/>
        <v>61.30790190735695</v>
      </c>
      <c r="CR122" s="202" t="s">
        <v>114</v>
      </c>
      <c r="CS122" s="204">
        <f t="shared" si="1338"/>
        <v>61.30790190735695</v>
      </c>
      <c r="CT122" s="202" t="s">
        <v>114</v>
      </c>
      <c r="CU122" s="204">
        <f t="shared" ref="CU122" si="1345">225000/CU66</f>
        <v>61.30790190735695</v>
      </c>
      <c r="CV122" s="202" t="s">
        <v>114</v>
      </c>
      <c r="CW122" s="204">
        <f>225000/CW66</f>
        <v>63.380281690140848</v>
      </c>
      <c r="CX122" s="202" t="s">
        <v>114</v>
      </c>
      <c r="CY122" s="204">
        <f>225000/CY66</f>
        <v>63.380281690140848</v>
      </c>
      <c r="CZ122" s="202" t="s">
        <v>114</v>
      </c>
      <c r="DA122" s="204">
        <f>225000/DA66</f>
        <v>63.380281690140848</v>
      </c>
      <c r="DB122" s="202" t="s">
        <v>114</v>
      </c>
      <c r="DC122" s="204">
        <f>225000/DC66</f>
        <v>63.380281690140848</v>
      </c>
      <c r="DD122" s="202" t="s">
        <v>114</v>
      </c>
      <c r="DE122" s="204">
        <f>225000/DE66</f>
        <v>63.380281690140848</v>
      </c>
      <c r="DF122" s="202" t="s">
        <v>114</v>
      </c>
      <c r="DG122" s="204">
        <f>225000/DG66</f>
        <v>63.380281690140848</v>
      </c>
      <c r="DH122" s="202" t="s">
        <v>114</v>
      </c>
      <c r="DI122" s="204">
        <f>225000/DI66</f>
        <v>63.380281690140848</v>
      </c>
      <c r="DJ122" s="202" t="s">
        <v>114</v>
      </c>
      <c r="DK122" s="204">
        <f>225000/DK66</f>
        <v>63.380281690140848</v>
      </c>
      <c r="DL122" s="202" t="s">
        <v>114</v>
      </c>
      <c r="DM122" s="204">
        <f>225000/DM66</f>
        <v>63.380281690140848</v>
      </c>
      <c r="DN122" s="202" t="s">
        <v>114</v>
      </c>
      <c r="DO122" s="204">
        <f>225000/DO66</f>
        <v>63.380281690140848</v>
      </c>
      <c r="DP122" s="202" t="s">
        <v>114</v>
      </c>
      <c r="DQ122" s="204">
        <f>225000/DQ66</f>
        <v>63.380281690140848</v>
      </c>
      <c r="DR122" s="202" t="s">
        <v>114</v>
      </c>
      <c r="DS122" s="204">
        <f>225000/DS66</f>
        <v>63.380281690140848</v>
      </c>
    </row>
    <row r="123" spans="1:123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701.42957746478874</v>
      </c>
      <c r="H123" s="208" t="s">
        <v>114</v>
      </c>
      <c r="I123" s="209">
        <f>(175*I79)/I66</f>
        <v>701.42957746478874</v>
      </c>
      <c r="J123" s="208" t="s">
        <v>114</v>
      </c>
      <c r="K123" s="209">
        <f t="shared" ref="K123" si="1346">(175*K79)/K66</f>
        <v>701.42957746478874</v>
      </c>
      <c r="L123" s="208" t="s">
        <v>114</v>
      </c>
      <c r="M123" s="209">
        <f t="shared" ref="M123" si="1347">(175*M79)/M66</f>
        <v>701.42957746478874</v>
      </c>
      <c r="N123" s="208" t="s">
        <v>114</v>
      </c>
      <c r="O123" s="209">
        <f>(175*O79)/O66</f>
        <v>706.35915492957747</v>
      </c>
      <c r="P123" s="208" t="s">
        <v>114</v>
      </c>
      <c r="Q123" s="209">
        <f>(175*Q79)/Q66</f>
        <v>700</v>
      </c>
      <c r="R123" s="208" t="s">
        <v>114</v>
      </c>
      <c r="S123" s="209">
        <f>(175*S79)/S66</f>
        <v>700</v>
      </c>
      <c r="T123" s="208" t="s">
        <v>114</v>
      </c>
      <c r="U123" s="209">
        <f>(175*U79)/U66</f>
        <v>707.54225352112678</v>
      </c>
      <c r="V123" s="208" t="s">
        <v>114</v>
      </c>
      <c r="W123" s="209">
        <f>(175*W79)/W66</f>
        <v>707.24647887323943</v>
      </c>
      <c r="X123" s="208" t="s">
        <v>114</v>
      </c>
      <c r="Y123" s="209">
        <f>(175*Y79)/Y66</f>
        <v>708.23239436619713</v>
      </c>
      <c r="Z123" s="208" t="s">
        <v>114</v>
      </c>
      <c r="AA123" s="209">
        <f>(175*AA79)/AA66</f>
        <v>720.55633802816897</v>
      </c>
      <c r="AB123" s="208" t="s">
        <v>114</v>
      </c>
      <c r="AC123" s="209">
        <f>(175*AC79)/AC66</f>
        <v>723.31690140845069</v>
      </c>
      <c r="AD123" s="208" t="s">
        <v>114</v>
      </c>
      <c r="AE123" s="209">
        <f>(175*AE79)/AE66</f>
        <v>738.40140845070425</v>
      </c>
      <c r="AF123" s="208" t="s">
        <v>114</v>
      </c>
      <c r="AG123" s="209">
        <f>(175*AG79)/AG66</f>
        <v>732.19014084507046</v>
      </c>
      <c r="AH123" s="208" t="s">
        <v>114</v>
      </c>
      <c r="AI123" s="209">
        <f>(175*AI79)/AI66</f>
        <v>741.26056338028172</v>
      </c>
      <c r="AJ123" s="208" t="s">
        <v>114</v>
      </c>
      <c r="AK123" s="209">
        <f>(175*AK79)/AK66</f>
        <v>760.04225352112678</v>
      </c>
      <c r="AL123" s="208" t="s">
        <v>114</v>
      </c>
      <c r="AM123" s="209">
        <f>(175*AM79)/AM66</f>
        <v>771.23239436619713</v>
      </c>
      <c r="AN123" s="208" t="s">
        <v>114</v>
      </c>
      <c r="AO123" s="209">
        <f>(175*AO79)/AO66</f>
        <v>770.14788732394368</v>
      </c>
      <c r="AP123" s="208" t="s">
        <v>114</v>
      </c>
      <c r="AQ123" s="209">
        <f t="shared" ref="AQ123" si="1348">(175*AQ79)/AQ66</f>
        <v>755.75352112676057</v>
      </c>
      <c r="AR123" s="208" t="s">
        <v>114</v>
      </c>
      <c r="AS123" s="209">
        <f t="shared" ref="AS123" si="1349">(175*AS79)/AS66</f>
        <v>743.92253521126759</v>
      </c>
      <c r="AT123" s="208" t="s">
        <v>114</v>
      </c>
      <c r="AU123" s="209">
        <f t="shared" ref="AU123" si="1350">(175*AU79)/AU66</f>
        <v>752.99295774647885</v>
      </c>
      <c r="AV123" s="208" t="s">
        <v>114</v>
      </c>
      <c r="AW123" s="209">
        <f t="shared" ref="AW123" si="1351">(175*AW79)/AW66</f>
        <v>732.38732394366195</v>
      </c>
      <c r="AX123" s="208" t="s">
        <v>114</v>
      </c>
      <c r="AY123" s="209">
        <f t="shared" ref="AY123" si="1352">(175*AY79)/AY66</f>
        <v>728.64084507042253</v>
      </c>
      <c r="AZ123" s="208" t="s">
        <v>114</v>
      </c>
      <c r="BA123" s="209">
        <f t="shared" ref="BA123:BC123" si="1353">(175*BA79)/BA66</f>
        <v>736.03521126760563</v>
      </c>
      <c r="BB123" s="208" t="s">
        <v>114</v>
      </c>
      <c r="BC123" s="209">
        <f t="shared" si="1353"/>
        <v>740.61971830985919</v>
      </c>
      <c r="BD123" s="208" t="s">
        <v>114</v>
      </c>
      <c r="BE123" s="209">
        <f t="shared" ref="BE123:BI123" si="1354">(175*BE79)/BE66</f>
        <v>751.07042253521126</v>
      </c>
      <c r="BF123" s="208" t="s">
        <v>114</v>
      </c>
      <c r="BG123" s="209">
        <f t="shared" si="1354"/>
        <v>755.95070422535207</v>
      </c>
      <c r="BH123" s="208" t="s">
        <v>114</v>
      </c>
      <c r="BI123" s="209">
        <f t="shared" si="1354"/>
        <v>774.58450704225356</v>
      </c>
      <c r="BJ123" s="208" t="s">
        <v>114</v>
      </c>
      <c r="BK123" s="209">
        <f t="shared" ref="BK123:BM123" si="1355">(175*BK79)/BK66</f>
        <v>773.40140845070425</v>
      </c>
      <c r="BL123" s="208" t="s">
        <v>114</v>
      </c>
      <c r="BM123" s="209">
        <f t="shared" si="1355"/>
        <v>740.05449591280649</v>
      </c>
      <c r="BN123" s="208" t="s">
        <v>114</v>
      </c>
      <c r="BO123" s="209">
        <f t="shared" ref="BO123:BQ123" si="1356">(175*BO79)/BO66</f>
        <v>743.01089918256127</v>
      </c>
      <c r="BP123" s="208" t="s">
        <v>114</v>
      </c>
      <c r="BQ123" s="209">
        <f t="shared" si="1356"/>
        <v>748.68528610354224</v>
      </c>
      <c r="BR123" s="208" t="s">
        <v>114</v>
      </c>
      <c r="BS123" s="209">
        <f t="shared" ref="BS123:CS123" si="1357">(175*BS79)/BS66</f>
        <v>747.77929155313348</v>
      </c>
      <c r="BT123" s="208" t="s">
        <v>114</v>
      </c>
      <c r="BU123" s="209">
        <f t="shared" ref="BU123:BW123" si="1358">(175*BU79)/BU66</f>
        <v>766.0422343324251</v>
      </c>
      <c r="BV123" s="208" t="s">
        <v>114</v>
      </c>
      <c r="BW123" s="209">
        <f t="shared" si="1358"/>
        <v>766.61444141689378</v>
      </c>
      <c r="BX123" s="208" t="s">
        <v>114</v>
      </c>
      <c r="BY123" s="209">
        <f t="shared" ref="BY123:CA123" si="1359">(175*BY79)/BY66</f>
        <v>776.6280653950954</v>
      </c>
      <c r="BZ123" s="208" t="s">
        <v>114</v>
      </c>
      <c r="CA123" s="209">
        <f t="shared" si="1359"/>
        <v>775.53133514986371</v>
      </c>
      <c r="CB123" s="208" t="s">
        <v>114</v>
      </c>
      <c r="CC123" s="209">
        <f t="shared" ref="CC123:CE123" si="1360">(175*CC79)/CC66</f>
        <v>761.36920980926436</v>
      </c>
      <c r="CD123" s="208" t="s">
        <v>114</v>
      </c>
      <c r="CE123" s="209">
        <f t="shared" si="1360"/>
        <v>733.52179836512266</v>
      </c>
      <c r="CF123" s="208" t="s">
        <v>114</v>
      </c>
      <c r="CG123" s="209">
        <f t="shared" ref="CG123:CI123" si="1361">(175*CG79)/CG66</f>
        <v>738.14713896457761</v>
      </c>
      <c r="CH123" s="208" t="s">
        <v>114</v>
      </c>
      <c r="CI123" s="209">
        <f t="shared" si="1361"/>
        <v>751.92779291553131</v>
      </c>
      <c r="CJ123" s="208" t="s">
        <v>114</v>
      </c>
      <c r="CK123" s="209">
        <f t="shared" ref="CK123" si="1362">(175*CK79)/CK66</f>
        <v>761.60762942779297</v>
      </c>
      <c r="CL123" s="208" t="s">
        <v>114</v>
      </c>
      <c r="CM123" s="209">
        <f t="shared" ref="CM123" si="1363">(175*CM79)/CM66</f>
        <v>762.94277929155317</v>
      </c>
      <c r="CN123" s="208" t="s">
        <v>114</v>
      </c>
      <c r="CO123" s="209">
        <f t="shared" ref="CO123:CQ123" si="1364">(175*CO79)/CO66</f>
        <v>762.94277929155317</v>
      </c>
      <c r="CP123" s="208" t="s">
        <v>114</v>
      </c>
      <c r="CQ123" s="209">
        <f t="shared" si="1364"/>
        <v>762.94277929155317</v>
      </c>
      <c r="CR123" s="208" t="s">
        <v>114</v>
      </c>
      <c r="CS123" s="209">
        <f t="shared" si="1357"/>
        <v>747.77929155313348</v>
      </c>
      <c r="CT123" s="208" t="s">
        <v>114</v>
      </c>
      <c r="CU123" s="209">
        <f t="shared" ref="CU123" si="1365">(175*CU79)/CU66</f>
        <v>747.77929155313348</v>
      </c>
      <c r="CV123" s="208" t="s">
        <v>114</v>
      </c>
      <c r="CW123" s="209">
        <f>(175*CW79)/CW66</f>
        <v>707.07182178389326</v>
      </c>
      <c r="CX123" s="208" t="s">
        <v>114</v>
      </c>
      <c r="CY123" s="209">
        <f>(175*CY79)/CY66</f>
        <v>719.65658815905704</v>
      </c>
      <c r="CZ123" s="208" t="s">
        <v>114</v>
      </c>
      <c r="DA123" s="209">
        <f>(175*DA79)/DA66</f>
        <v>738.51704056053359</v>
      </c>
      <c r="DB123" s="208" t="s">
        <v>114</v>
      </c>
      <c r="DC123" s="209">
        <f>(175*DC79)/DC66</f>
        <v>739.43661971830988</v>
      </c>
      <c r="DD123" s="208" t="s">
        <v>114</v>
      </c>
      <c r="DE123" s="209">
        <f>(175*DE79)/DE66</f>
        <v>713.00851548225387</v>
      </c>
      <c r="DF123" s="208" t="s">
        <v>114</v>
      </c>
      <c r="DG123" s="209">
        <f>(175*DG79)/DG66</f>
        <v>759.15492957746483</v>
      </c>
      <c r="DH123" s="208" t="s">
        <v>114</v>
      </c>
      <c r="DI123" s="209">
        <f>(175*DI79)/DI66</f>
        <v>759.15492957746483</v>
      </c>
      <c r="DJ123" s="208" t="s">
        <v>114</v>
      </c>
      <c r="DK123" s="209">
        <f>(175*DK79)/DK66</f>
        <v>759.15492957746483</v>
      </c>
      <c r="DL123" s="208" t="s">
        <v>114</v>
      </c>
      <c r="DM123" s="209">
        <f>(175*DM79)/DM66</f>
        <v>759.15492957746483</v>
      </c>
      <c r="DN123" s="208" t="s">
        <v>114</v>
      </c>
      <c r="DO123" s="209">
        <f>(175*DO79)/DO66</f>
        <v>759.15492957746483</v>
      </c>
      <c r="DP123" s="208" t="s">
        <v>114</v>
      </c>
      <c r="DQ123" s="209">
        <f>(175*DQ79)/DQ66</f>
        <v>759.15492957746483</v>
      </c>
      <c r="DR123" s="208" t="s">
        <v>114</v>
      </c>
      <c r="DS123" s="209">
        <f>(175*DS79)/DS66</f>
        <v>759.15492957746483</v>
      </c>
    </row>
    <row r="124" spans="1:123" ht="15" customHeight="1" outlineLevel="2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359"/>
      <c r="O124" s="1094">
        <f>O99+N72</f>
        <v>5.7408999564649024E-2</v>
      </c>
      <c r="P124" s="1095"/>
      <c r="Q124" s="1094"/>
      <c r="R124" s="1095"/>
      <c r="S124" s="1094"/>
      <c r="T124" s="1095"/>
      <c r="U124" s="1094">
        <f>U99+T72</f>
        <v>8.0380162620355584E-3</v>
      </c>
      <c r="V124" s="1095"/>
      <c r="W124" s="1094">
        <f>W99+V72</f>
        <v>1.2347652384261582E-2</v>
      </c>
      <c r="X124" s="1095"/>
      <c r="Y124" s="1100">
        <f>Y99+X72</f>
        <v>-2.9237766139872313E-2</v>
      </c>
      <c r="Z124" s="1095"/>
      <c r="AA124" s="1094">
        <f>AA99+Z72</f>
        <v>-4.5272942728284055E-2</v>
      </c>
      <c r="AB124" s="1095"/>
      <c r="AC124" s="1094">
        <f>AC99+AB72</f>
        <v>-2.4170834303958697E-2</v>
      </c>
      <c r="AD124" s="1095"/>
      <c r="AE124" s="1094">
        <f>AE99+AD72</f>
        <v>-3.4610520602466992E-3</v>
      </c>
      <c r="AF124" s="1095"/>
      <c r="AG124" s="1094">
        <f>AG99+AF72</f>
        <v>-3.1250163846181164E-2</v>
      </c>
      <c r="AH124" s="1095"/>
      <c r="AI124" s="1094">
        <f>AI99+AH72</f>
        <v>4.4526256480018796E-2</v>
      </c>
      <c r="AJ124" s="1095"/>
      <c r="AK124" s="1094">
        <f>AK99+AJ72</f>
        <v>9.780347624582858E-2</v>
      </c>
      <c r="AL124" s="1095"/>
      <c r="AM124" s="1094">
        <f>AM99+AL72</f>
        <v>0.11974212942919063</v>
      </c>
      <c r="AN124" s="1095"/>
      <c r="AO124" s="1094">
        <f>AO99+AN72</f>
        <v>0.14385885473117421</v>
      </c>
      <c r="AP124" s="1095"/>
      <c r="AQ124" s="1094">
        <f t="shared" ref="AQ124" si="1366">AQ99+AP72</f>
        <v>0.12309927364957723</v>
      </c>
      <c r="AR124" s="1095"/>
      <c r="AS124" s="1094">
        <f t="shared" ref="AS124" si="1367">AS99+AR72</f>
        <v>0.10311947170747314</v>
      </c>
      <c r="AT124" s="1095"/>
      <c r="AU124" s="1094">
        <f t="shared" ref="AU124" si="1368">AU99+AT72</f>
        <v>0.11553160019544462</v>
      </c>
      <c r="AV124" s="1095"/>
      <c r="AW124" s="1094">
        <f t="shared" ref="AW124" si="1369">AW99+AV72</f>
        <v>7.55778101181519E-2</v>
      </c>
      <c r="AX124" s="1095"/>
      <c r="AY124" s="1094">
        <f t="shared" ref="AY124" si="1370">AY99+AX72</f>
        <v>6.9213882242667835E-2</v>
      </c>
      <c r="AZ124" s="1095"/>
      <c r="BA124" s="1094">
        <f t="shared" ref="BA124" si="1371">BA99+AZ72</f>
        <v>7.4770552705091878E-2</v>
      </c>
      <c r="BB124" s="1095"/>
      <c r="BC124" s="1094">
        <f t="shared" ref="BC124" si="1372">BC99+BB72</f>
        <v>0.10305024556691805</v>
      </c>
      <c r="BD124" s="1095"/>
      <c r="BE124" s="1094">
        <f t="shared" ref="BE124" si="1373">BE99+BD72</f>
        <v>0.12667822563136338</v>
      </c>
      <c r="BF124" s="1095"/>
      <c r="BG124" s="1094">
        <f t="shared" ref="BG124" si="1374">BG99+BF72</f>
        <v>0.14788995963099996</v>
      </c>
      <c r="BH124" s="1095"/>
      <c r="BI124" s="1094">
        <f t="shared" ref="BI124" si="1375">BI99+BH72</f>
        <v>0.1178806640191411</v>
      </c>
      <c r="BJ124" s="1095"/>
      <c r="BK124" s="1094">
        <f t="shared" ref="BK124" si="1376">BK99+BJ72</f>
        <v>0.12917229403820177</v>
      </c>
      <c r="BL124" s="1095"/>
      <c r="BM124" s="1094">
        <f t="shared" ref="BM124" si="1377">BM99+BL72</f>
        <v>0.11052744443420962</v>
      </c>
      <c r="BN124" s="1095"/>
      <c r="BO124" s="1094">
        <f t="shared" ref="BO124" si="1378">BO99+BN72</f>
        <v>7.3811165653847002E-2</v>
      </c>
      <c r="BP124" s="1095"/>
      <c r="BQ124" s="1094">
        <f t="shared" ref="BQ124" si="1379">BQ99+BP72</f>
        <v>3.6228816963593563E-2</v>
      </c>
      <c r="BR124" s="1095"/>
      <c r="BS124" s="1094">
        <f t="shared" ref="BS124" si="1380">BS99+BR72</f>
        <v>4.6114325349843027E-2</v>
      </c>
      <c r="BT124" s="1095"/>
      <c r="BU124" s="1094">
        <f t="shared" ref="BU124" si="1381">BU99+BT72</f>
        <v>2.1546618141282139E-2</v>
      </c>
      <c r="BV124" s="1095"/>
      <c r="BW124" s="1094">
        <f t="shared" ref="BW124" si="1382">BW99+BV72</f>
        <v>4.3596938617788572E-2</v>
      </c>
      <c r="BX124" s="1095"/>
      <c r="BY124" s="1094">
        <f t="shared" ref="BY124" si="1383">BY99+BX72</f>
        <v>0.10374805855752432</v>
      </c>
      <c r="BZ124" s="1095"/>
      <c r="CA124" s="1094">
        <f t="shared" ref="CA124" si="1384">CA99+BZ72</f>
        <v>0.10723733764617607</v>
      </c>
      <c r="CB124" s="1095"/>
      <c r="CC124" s="1094">
        <f t="shared" ref="CC124" si="1385">CC99+CB72</f>
        <v>9.2381745451595193E-2</v>
      </c>
      <c r="CD124" s="1095"/>
      <c r="CE124" s="1094">
        <f t="shared" ref="CE124" si="1386">CE99+CD72</f>
        <v>5.661833564210457E-2</v>
      </c>
      <c r="CF124" s="1095"/>
      <c r="CG124" s="1094">
        <f t="shared" ref="CG124" si="1387">CG99+CF72</f>
        <v>6.1988683544857738E-2</v>
      </c>
      <c r="CH124" s="1095"/>
      <c r="CI124" s="1094">
        <f t="shared" ref="CI124" si="1388">CI99+CH72</f>
        <v>0.11193143414630953</v>
      </c>
      <c r="CJ124" s="1095"/>
      <c r="CK124" s="1094">
        <f t="shared" ref="CK124" si="1389">CK99+CJ72</f>
        <v>0.11336531058314107</v>
      </c>
      <c r="CL124" s="1095"/>
      <c r="CM124" s="1094">
        <f t="shared" ref="CM124" si="1390">CM99+CL72</f>
        <v>5.7252021847374955E-2</v>
      </c>
      <c r="CN124" s="1095"/>
      <c r="CO124" s="1094">
        <f t="shared" ref="CO124" si="1391">CO99+CN72</f>
        <v>7.4375309518607824E-2</v>
      </c>
      <c r="CP124" s="1095"/>
      <c r="CQ124" s="1094">
        <f t="shared" ref="CQ124" si="1392">CQ99+CP72</f>
        <v>8.478010339293035E-2</v>
      </c>
      <c r="CR124" s="1095"/>
      <c r="CS124" s="1094">
        <f t="shared" ref="CS124" si="1393">CS99+CR72</f>
        <v>4.9061347124576937E-2</v>
      </c>
      <c r="CT124" s="1095"/>
      <c r="CU124" s="1094">
        <f t="shared" ref="CU124" si="1394">CU99+CT72</f>
        <v>4.9061347124576937E-2</v>
      </c>
      <c r="CV124" s="1095"/>
      <c r="CW124" s="1094">
        <f>CW99+CV72</f>
        <v>2.4558604838773663E-2</v>
      </c>
      <c r="CX124" s="1095"/>
      <c r="CY124" s="1094">
        <f>CY99+CX72</f>
        <v>-2.9930889597566773E-2</v>
      </c>
      <c r="CZ124" s="1095"/>
      <c r="DA124" s="1094">
        <f>DA99+CZ72</f>
        <v>7.4954745887582802E-3</v>
      </c>
      <c r="DB124" s="1095"/>
      <c r="DC124" s="1094">
        <f>DC99+DB72</f>
        <v>0.12218083750606383</v>
      </c>
      <c r="DD124" s="1095"/>
      <c r="DE124" s="1094">
        <f>DE99+DD72</f>
        <v>-1.4387231583820256E-3</v>
      </c>
      <c r="DF124" s="1095"/>
      <c r="DG124" s="1094">
        <f>DG99+DF72</f>
        <v>5.5220672867006146E-2</v>
      </c>
      <c r="DH124" s="1095"/>
      <c r="DI124" s="1094">
        <f>DI99+DH72</f>
        <v>0.11929844803084244</v>
      </c>
      <c r="DJ124" s="1095"/>
      <c r="DK124" s="1094">
        <f>DK99+DJ72</f>
        <v>7.3144601876996312E-2</v>
      </c>
      <c r="DL124" s="1095"/>
      <c r="DM124" s="1094">
        <f>DM99+DL72</f>
        <v>8.7130615863010283E-2</v>
      </c>
      <c r="DN124" s="1095"/>
      <c r="DO124" s="1094">
        <f>DO99+DN72</f>
        <v>3.2476341891501906E-2</v>
      </c>
      <c r="DP124" s="1095"/>
      <c r="DQ124" s="1094">
        <f>DQ99+DP72</f>
        <v>4.8397373574354932E-2</v>
      </c>
      <c r="DR124" s="1095"/>
      <c r="DS124" s="1094">
        <f>DS99+DR72</f>
        <v>9.115671580830309E-2</v>
      </c>
    </row>
    <row r="125" spans="1:123" ht="15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11492280</v>
      </c>
      <c r="H125" s="214"/>
      <c r="I125" s="215">
        <v>11492280</v>
      </c>
      <c r="J125" s="214"/>
      <c r="K125" s="215">
        <v>11492280</v>
      </c>
      <c r="L125" s="214"/>
      <c r="M125" s="215">
        <v>11492280</v>
      </c>
      <c r="N125" s="214"/>
      <c r="O125" s="215">
        <v>11492280</v>
      </c>
      <c r="P125" s="214"/>
      <c r="Q125" s="215">
        <f>O125</f>
        <v>11492280</v>
      </c>
      <c r="R125" s="214"/>
      <c r="S125" s="215">
        <f>Q125</f>
        <v>11492280</v>
      </c>
      <c r="T125" s="214"/>
      <c r="U125" s="215">
        <v>11492280</v>
      </c>
      <c r="V125" s="214"/>
      <c r="W125" s="215">
        <v>11492280</v>
      </c>
      <c r="X125" s="214"/>
      <c r="Y125" s="215">
        <v>11492280</v>
      </c>
      <c r="Z125" s="214"/>
      <c r="AA125" s="215">
        <v>11492280</v>
      </c>
      <c r="AB125" s="214"/>
      <c r="AC125" s="215">
        <v>11492280</v>
      </c>
      <c r="AD125" s="214"/>
      <c r="AE125" s="215">
        <v>11492280</v>
      </c>
      <c r="AF125" s="214"/>
      <c r="AG125" s="215">
        <v>11492280</v>
      </c>
      <c r="AH125" s="214"/>
      <c r="AI125" s="215">
        <v>11492280</v>
      </c>
      <c r="AJ125" s="214"/>
      <c r="AK125" s="215">
        <v>11492280</v>
      </c>
      <c r="AL125" s="214"/>
      <c r="AM125" s="215">
        <v>11492280</v>
      </c>
      <c r="AN125" s="214"/>
      <c r="AO125" s="215">
        <v>11492280</v>
      </c>
      <c r="AP125" s="214"/>
      <c r="AQ125" s="215">
        <v>11492280</v>
      </c>
      <c r="AR125" s="214"/>
      <c r="AS125" s="215">
        <v>11492280</v>
      </c>
      <c r="AT125" s="214"/>
      <c r="AU125" s="215">
        <v>11492280</v>
      </c>
      <c r="AV125" s="214"/>
      <c r="AW125" s="215">
        <v>11492280</v>
      </c>
      <c r="AX125" s="214"/>
      <c r="AY125" s="215">
        <v>11492280</v>
      </c>
      <c r="AZ125" s="214"/>
      <c r="BA125" s="215">
        <v>11492280</v>
      </c>
      <c r="BB125" s="214"/>
      <c r="BC125" s="215">
        <v>11492280</v>
      </c>
      <c r="BD125" s="214"/>
      <c r="BE125" s="215">
        <v>11492280</v>
      </c>
      <c r="BF125" s="214"/>
      <c r="BG125" s="215">
        <v>11492280</v>
      </c>
      <c r="BH125" s="214"/>
      <c r="BI125" s="215">
        <v>11492280</v>
      </c>
      <c r="BJ125" s="214"/>
      <c r="BK125" s="215">
        <v>11492280</v>
      </c>
      <c r="BL125" s="214"/>
      <c r="BM125" s="215">
        <v>11492280</v>
      </c>
      <c r="BN125" s="214"/>
      <c r="BO125" s="215">
        <v>11492280</v>
      </c>
      <c r="BP125" s="214"/>
      <c r="BQ125" s="215">
        <v>11492280</v>
      </c>
      <c r="BR125" s="214"/>
      <c r="BS125" s="215">
        <v>11492280</v>
      </c>
      <c r="BT125" s="214"/>
      <c r="BU125" s="215">
        <v>11492280</v>
      </c>
      <c r="BV125" s="214"/>
      <c r="BW125" s="215">
        <v>11492280</v>
      </c>
      <c r="BX125" s="214"/>
      <c r="BY125" s="215">
        <v>11492280</v>
      </c>
      <c r="BZ125" s="214"/>
      <c r="CA125" s="215">
        <v>11492280</v>
      </c>
      <c r="CB125" s="214"/>
      <c r="CC125" s="215">
        <v>11492280</v>
      </c>
      <c r="CD125" s="214"/>
      <c r="CE125" s="215">
        <v>11492280</v>
      </c>
      <c r="CF125" s="214"/>
      <c r="CG125" s="215">
        <v>11492280</v>
      </c>
      <c r="CH125" s="214"/>
      <c r="CI125" s="215">
        <v>11492280</v>
      </c>
      <c r="CJ125" s="214"/>
      <c r="CK125" s="215">
        <v>11492280</v>
      </c>
      <c r="CL125" s="214"/>
      <c r="CM125" s="215">
        <v>11492280</v>
      </c>
      <c r="CN125" s="214"/>
      <c r="CO125" s="215">
        <v>11492280</v>
      </c>
      <c r="CP125" s="214"/>
      <c r="CQ125" s="215">
        <v>11492280</v>
      </c>
      <c r="CR125" s="214"/>
      <c r="CS125" s="215">
        <v>11492280</v>
      </c>
      <c r="CT125" s="214"/>
      <c r="CU125" s="215">
        <v>11492280</v>
      </c>
      <c r="CV125" s="214"/>
      <c r="CW125" s="215">
        <v>11492280</v>
      </c>
      <c r="CX125" s="214"/>
      <c r="CY125" s="215">
        <v>11492280</v>
      </c>
      <c r="CZ125" s="214"/>
      <c r="DA125" s="215">
        <v>11492280</v>
      </c>
      <c r="DB125" s="214"/>
      <c r="DC125" s="215">
        <v>11492280</v>
      </c>
      <c r="DD125" s="214"/>
      <c r="DE125" s="215">
        <v>11492280</v>
      </c>
      <c r="DF125" s="214"/>
      <c r="DG125" s="215">
        <v>11492280</v>
      </c>
      <c r="DH125" s="214"/>
      <c r="DI125" s="215">
        <v>11492280</v>
      </c>
      <c r="DJ125" s="214"/>
      <c r="DK125" s="215">
        <v>11492280</v>
      </c>
      <c r="DL125" s="214"/>
      <c r="DM125" s="215">
        <v>11492280</v>
      </c>
      <c r="DN125" s="214"/>
      <c r="DO125" s="215">
        <v>11492280</v>
      </c>
      <c r="DP125" s="214"/>
      <c r="DQ125" s="215">
        <v>11492280</v>
      </c>
      <c r="DR125" s="214"/>
      <c r="DS125" s="215">
        <v>11492280</v>
      </c>
    </row>
    <row r="126" spans="1:123" ht="15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>
        <f>O125/O10</f>
        <v>287307</v>
      </c>
      <c r="P126" s="214"/>
      <c r="Q126" s="215">
        <f>Q125/Q10</f>
        <v>287307</v>
      </c>
      <c r="R126" s="214"/>
      <c r="S126" s="215">
        <f>S125/S10</f>
        <v>287307</v>
      </c>
      <c r="T126" s="214"/>
      <c r="U126" s="215">
        <f>U125/U10</f>
        <v>287307</v>
      </c>
      <c r="V126" s="214"/>
      <c r="W126" s="215">
        <f>W125/W10</f>
        <v>287307</v>
      </c>
      <c r="X126" s="214"/>
      <c r="Y126" s="215">
        <f>Y125/Y10</f>
        <v>287307</v>
      </c>
      <c r="Z126" s="214"/>
      <c r="AA126" s="215">
        <f>AA125/AA10</f>
        <v>287307</v>
      </c>
      <c r="AB126" s="214"/>
      <c r="AC126" s="215">
        <f>AC125/AC10</f>
        <v>287307</v>
      </c>
      <c r="AD126" s="214"/>
      <c r="AE126" s="215">
        <f>AE125/AE10</f>
        <v>287307</v>
      </c>
      <c r="AF126" s="214"/>
      <c r="AG126" s="215">
        <f>AG125/AG10</f>
        <v>287307</v>
      </c>
      <c r="AH126" s="214"/>
      <c r="AI126" s="215">
        <f>AI125/AI10</f>
        <v>287307</v>
      </c>
      <c r="AJ126" s="214"/>
      <c r="AK126" s="215">
        <f>AK125/AK10</f>
        <v>287307</v>
      </c>
      <c r="AL126" s="214"/>
      <c r="AM126" s="215">
        <f>AM125/AM10</f>
        <v>287307</v>
      </c>
      <c r="AN126" s="214"/>
      <c r="AO126" s="215">
        <f>AO125/AO10</f>
        <v>287307</v>
      </c>
      <c r="AP126" s="214"/>
      <c r="AQ126" s="215">
        <f>AQ125/AQ10</f>
        <v>287307</v>
      </c>
      <c r="AR126" s="214"/>
      <c r="AS126" s="215">
        <f>AS125/AS10</f>
        <v>287307</v>
      </c>
      <c r="AT126" s="214"/>
      <c r="AU126" s="215">
        <f>AU125/AU10</f>
        <v>287307</v>
      </c>
      <c r="AV126" s="214"/>
      <c r="AW126" s="215">
        <f>AW125/AW10</f>
        <v>287307</v>
      </c>
      <c r="AX126" s="214"/>
      <c r="AY126" s="215">
        <f>AY125/AY10</f>
        <v>287307</v>
      </c>
      <c r="AZ126" s="214"/>
      <c r="BA126" s="215">
        <f>BA125/BA10</f>
        <v>287307</v>
      </c>
      <c r="BB126" s="214"/>
      <c r="BC126" s="215">
        <f>BC125/BC10</f>
        <v>287307</v>
      </c>
      <c r="BD126" s="214"/>
      <c r="BE126" s="215">
        <f>BE125/BE10</f>
        <v>287307</v>
      </c>
      <c r="BF126" s="214"/>
      <c r="BG126" s="215">
        <f>BG125/BG10</f>
        <v>287307</v>
      </c>
      <c r="BH126" s="214"/>
      <c r="BI126" s="215">
        <f>BI125/BI10</f>
        <v>287307</v>
      </c>
      <c r="BJ126" s="214"/>
      <c r="BK126" s="215">
        <f>BK125/BK10</f>
        <v>287307</v>
      </c>
      <c r="BL126" s="214"/>
      <c r="BM126" s="215">
        <f>BM125/BM10</f>
        <v>287307</v>
      </c>
      <c r="BN126" s="214"/>
      <c r="BO126" s="215">
        <f>BO125/BO10</f>
        <v>287307</v>
      </c>
      <c r="BP126" s="214"/>
      <c r="BQ126" s="215">
        <f>BQ125/BQ10</f>
        <v>287307</v>
      </c>
      <c r="BR126" s="214"/>
      <c r="BS126" s="215">
        <f>BS125/BS10</f>
        <v>287307</v>
      </c>
      <c r="BT126" s="214"/>
      <c r="BU126" s="215">
        <f>BU125/BU10</f>
        <v>287307</v>
      </c>
      <c r="BV126" s="214"/>
      <c r="BW126" s="215">
        <f>BW125/BW10</f>
        <v>287307</v>
      </c>
      <c r="BX126" s="214"/>
      <c r="BY126" s="215">
        <f>BY125/BY10</f>
        <v>287307</v>
      </c>
      <c r="BZ126" s="214"/>
      <c r="CA126" s="215">
        <f>CA125/CA10</f>
        <v>287307</v>
      </c>
      <c r="CB126" s="214"/>
      <c r="CC126" s="215">
        <f>CC125/CC10</f>
        <v>287307</v>
      </c>
      <c r="CD126" s="214"/>
      <c r="CE126" s="215">
        <f>CE125/CE10</f>
        <v>287307</v>
      </c>
      <c r="CF126" s="214"/>
      <c r="CG126" s="215">
        <f>CG125/CG10</f>
        <v>287307</v>
      </c>
      <c r="CH126" s="214"/>
      <c r="CI126" s="215">
        <f>CI125/CI10</f>
        <v>287307</v>
      </c>
      <c r="CJ126" s="214"/>
      <c r="CK126" s="215">
        <f>CK125/CK10</f>
        <v>287307</v>
      </c>
      <c r="CL126" s="214"/>
      <c r="CM126" s="215">
        <f>CM125/CM10</f>
        <v>287307</v>
      </c>
      <c r="CN126" s="214"/>
      <c r="CO126" s="215">
        <f>CO125/CO10</f>
        <v>287307</v>
      </c>
      <c r="CP126" s="214"/>
      <c r="CQ126" s="215">
        <f>CQ125/CQ10</f>
        <v>287307</v>
      </c>
      <c r="CR126" s="214"/>
      <c r="CS126" s="215">
        <f>CS125/CS10</f>
        <v>287307</v>
      </c>
      <c r="CT126" s="214"/>
      <c r="CU126" s="215">
        <f>CU125/CU10</f>
        <v>287307</v>
      </c>
      <c r="CV126" s="214"/>
      <c r="CW126" s="215">
        <f>CW125/CW10</f>
        <v>287307</v>
      </c>
      <c r="CX126" s="214"/>
      <c r="CY126" s="215">
        <f>CY125/CY10</f>
        <v>287307</v>
      </c>
      <c r="CZ126" s="214"/>
      <c r="DA126" s="215">
        <f>DA125/DA10</f>
        <v>287307</v>
      </c>
      <c r="DB126" s="214"/>
      <c r="DC126" s="215">
        <f>DC125/DC10</f>
        <v>287307</v>
      </c>
      <c r="DD126" s="214"/>
      <c r="DE126" s="215">
        <f>DE125/DE10</f>
        <v>287307</v>
      </c>
      <c r="DF126" s="214"/>
      <c r="DG126" s="215">
        <f>DG125/DG10</f>
        <v>287307</v>
      </c>
      <c r="DH126" s="214"/>
      <c r="DI126" s="215">
        <f>DI125/DI10</f>
        <v>287307</v>
      </c>
      <c r="DJ126" s="214"/>
      <c r="DK126" s="215">
        <f>DK125/DK10</f>
        <v>287307</v>
      </c>
      <c r="DL126" s="214"/>
      <c r="DM126" s="215">
        <f>DM125/DM10</f>
        <v>287307</v>
      </c>
      <c r="DN126" s="214"/>
      <c r="DO126" s="215">
        <f>DO125/DO10</f>
        <v>287307</v>
      </c>
      <c r="DP126" s="214"/>
      <c r="DQ126" s="215">
        <f>DQ125/DQ10</f>
        <v>287307</v>
      </c>
      <c r="DR126" s="214"/>
      <c r="DS126" s="215">
        <f>DS125/DS10</f>
        <v>287307</v>
      </c>
    </row>
    <row r="127" spans="1:123" ht="15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>
        <f>O126/O66</f>
        <v>80.931549295774644</v>
      </c>
      <c r="P127" s="214"/>
      <c r="Q127" s="215">
        <f>Q126/Q66</f>
        <v>80.931549295774644</v>
      </c>
      <c r="R127" s="214"/>
      <c r="S127" s="215">
        <f>S126/S66</f>
        <v>80.931549295774644</v>
      </c>
      <c r="T127" s="214"/>
      <c r="U127" s="215">
        <f>U126/U66</f>
        <v>80.931549295774644</v>
      </c>
      <c r="V127" s="214"/>
      <c r="W127" s="215">
        <f>W126/W66</f>
        <v>80.931549295774644</v>
      </c>
      <c r="X127" s="214"/>
      <c r="Y127" s="215">
        <f>Y126/Y66</f>
        <v>80.931549295774644</v>
      </c>
      <c r="Z127" s="214"/>
      <c r="AA127" s="215">
        <f>AA126/AA66</f>
        <v>80.931549295774644</v>
      </c>
      <c r="AB127" s="214"/>
      <c r="AC127" s="215">
        <f>AC126/AC66</f>
        <v>80.931549295774644</v>
      </c>
      <c r="AD127" s="214"/>
      <c r="AE127" s="215">
        <f>AE126/AE66</f>
        <v>80.931549295774644</v>
      </c>
      <c r="AF127" s="214"/>
      <c r="AG127" s="215">
        <f>AG126/AG66</f>
        <v>80.931549295774644</v>
      </c>
      <c r="AH127" s="214"/>
      <c r="AI127" s="215">
        <f>AI126/AI66</f>
        <v>80.931549295774644</v>
      </c>
      <c r="AJ127" s="214"/>
      <c r="AK127" s="215">
        <f>AK126/AK66</f>
        <v>80.931549295774644</v>
      </c>
      <c r="AL127" s="214"/>
      <c r="AM127" s="215">
        <f>AM126/AM66</f>
        <v>80.931549295774644</v>
      </c>
      <c r="AN127" s="214"/>
      <c r="AO127" s="215">
        <f>AO126/AO66</f>
        <v>80.931549295774644</v>
      </c>
      <c r="AP127" s="214"/>
      <c r="AQ127" s="215">
        <f t="shared" ref="AQ127" si="1395">AQ126/AQ66</f>
        <v>80.931549295774644</v>
      </c>
      <c r="AR127" s="214"/>
      <c r="AS127" s="215">
        <f t="shared" ref="AS127" si="1396">AS126/AS66</f>
        <v>80.931549295774644</v>
      </c>
      <c r="AT127" s="214"/>
      <c r="AU127" s="215">
        <f t="shared" ref="AU127" si="1397">AU126/AU66</f>
        <v>80.931549295774644</v>
      </c>
      <c r="AV127" s="214"/>
      <c r="AW127" s="215">
        <f t="shared" ref="AW127" si="1398">AW126/AW66</f>
        <v>80.931549295774644</v>
      </c>
      <c r="AX127" s="214"/>
      <c r="AY127" s="215">
        <f t="shared" ref="AY127" si="1399">AY126/AY66</f>
        <v>80.931549295774644</v>
      </c>
      <c r="AZ127" s="214"/>
      <c r="BA127" s="215">
        <f t="shared" ref="BA127:BC127" si="1400">BA126/BA66</f>
        <v>80.931549295774644</v>
      </c>
      <c r="BB127" s="214"/>
      <c r="BC127" s="215">
        <f t="shared" si="1400"/>
        <v>80.931549295774644</v>
      </c>
      <c r="BD127" s="214"/>
      <c r="BE127" s="215">
        <f t="shared" ref="BE127:BI127" si="1401">BE126/BE66</f>
        <v>80.931549295774644</v>
      </c>
      <c r="BF127" s="214"/>
      <c r="BG127" s="215">
        <f t="shared" si="1401"/>
        <v>80.931549295774644</v>
      </c>
      <c r="BH127" s="214"/>
      <c r="BI127" s="215">
        <f t="shared" si="1401"/>
        <v>80.931549295774644</v>
      </c>
      <c r="BJ127" s="214"/>
      <c r="BK127" s="215">
        <f t="shared" ref="BK127:BM127" si="1402">BK126/BK66</f>
        <v>80.931549295774644</v>
      </c>
      <c r="BL127" s="214"/>
      <c r="BM127" s="215">
        <f t="shared" si="1402"/>
        <v>78.285286103542234</v>
      </c>
      <c r="BN127" s="214"/>
      <c r="BO127" s="215">
        <f t="shared" ref="BO127:BQ127" si="1403">BO126/BO66</f>
        <v>78.285286103542234</v>
      </c>
      <c r="BP127" s="214"/>
      <c r="BQ127" s="215">
        <f t="shared" si="1403"/>
        <v>78.285286103542234</v>
      </c>
      <c r="BR127" s="214"/>
      <c r="BS127" s="215">
        <f t="shared" ref="BS127:CS127" si="1404">BS126/BS66</f>
        <v>78.285286103542234</v>
      </c>
      <c r="BT127" s="214"/>
      <c r="BU127" s="215">
        <f t="shared" ref="BU127:BW127" si="1405">BU126/BU66</f>
        <v>78.285286103542234</v>
      </c>
      <c r="BV127" s="214"/>
      <c r="BW127" s="215">
        <f t="shared" si="1405"/>
        <v>78.285286103542234</v>
      </c>
      <c r="BX127" s="214"/>
      <c r="BY127" s="215">
        <f t="shared" ref="BY127:CA127" si="1406">BY126/BY66</f>
        <v>78.285286103542234</v>
      </c>
      <c r="BZ127" s="214"/>
      <c r="CA127" s="215">
        <f t="shared" si="1406"/>
        <v>78.285286103542234</v>
      </c>
      <c r="CB127" s="214"/>
      <c r="CC127" s="215">
        <f t="shared" ref="CC127:CE127" si="1407">CC126/CC66</f>
        <v>78.285286103542234</v>
      </c>
      <c r="CD127" s="214"/>
      <c r="CE127" s="215">
        <f t="shared" si="1407"/>
        <v>78.285286103542234</v>
      </c>
      <c r="CF127" s="214"/>
      <c r="CG127" s="215">
        <f t="shared" ref="CG127:CI127" si="1408">CG126/CG66</f>
        <v>78.285286103542234</v>
      </c>
      <c r="CH127" s="214"/>
      <c r="CI127" s="215">
        <f t="shared" si="1408"/>
        <v>78.285286103542234</v>
      </c>
      <c r="CJ127" s="214"/>
      <c r="CK127" s="215">
        <f t="shared" ref="CK127:CM127" si="1409">CK126/CK66</f>
        <v>78.285286103542234</v>
      </c>
      <c r="CL127" s="214"/>
      <c r="CM127" s="215">
        <f t="shared" si="1409"/>
        <v>78.285286103542234</v>
      </c>
      <c r="CN127" s="214"/>
      <c r="CO127" s="215">
        <f t="shared" ref="CO127:CQ127" si="1410">CO126/CO66</f>
        <v>78.285286103542234</v>
      </c>
      <c r="CP127" s="214"/>
      <c r="CQ127" s="215">
        <f t="shared" si="1410"/>
        <v>78.285286103542234</v>
      </c>
      <c r="CR127" s="214"/>
      <c r="CS127" s="215">
        <f t="shared" si="1404"/>
        <v>78.285286103542234</v>
      </c>
      <c r="CT127" s="214"/>
      <c r="CU127" s="215">
        <f t="shared" ref="CU127" si="1411">CU126/CU66</f>
        <v>78.285286103542234</v>
      </c>
      <c r="CV127" s="214"/>
      <c r="CW127" s="215">
        <f>CW126/CW66</f>
        <v>80.931549295774644</v>
      </c>
      <c r="CX127" s="214"/>
      <c r="CY127" s="215">
        <f>CY126/CY66</f>
        <v>80.931549295774644</v>
      </c>
      <c r="CZ127" s="214"/>
      <c r="DA127" s="215">
        <f>DA126/DA66</f>
        <v>80.931549295774644</v>
      </c>
      <c r="DB127" s="214"/>
      <c r="DC127" s="215">
        <f>DC126/DC66</f>
        <v>80.931549295774644</v>
      </c>
      <c r="DD127" s="214"/>
      <c r="DE127" s="215">
        <f>DE126/DE66</f>
        <v>80.931549295774644</v>
      </c>
      <c r="DF127" s="214"/>
      <c r="DG127" s="215">
        <f>DG126/DG66</f>
        <v>80.931549295774644</v>
      </c>
      <c r="DH127" s="214"/>
      <c r="DI127" s="215">
        <f>DI126/DI66</f>
        <v>80.931549295774644</v>
      </c>
      <c r="DJ127" s="214"/>
      <c r="DK127" s="215">
        <f>DK126/DK66</f>
        <v>80.931549295774644</v>
      </c>
      <c r="DL127" s="214"/>
      <c r="DM127" s="215">
        <f>DM126/DM66</f>
        <v>80.931549295774644</v>
      </c>
      <c r="DN127" s="214"/>
      <c r="DO127" s="215">
        <f>DO126/DO66</f>
        <v>80.931549295774644</v>
      </c>
      <c r="DP127" s="214"/>
      <c r="DQ127" s="215">
        <f>DQ126/DQ66</f>
        <v>80.931549295774644</v>
      </c>
      <c r="DR127" s="214"/>
      <c r="DS127" s="215">
        <f>DS126/DS66</f>
        <v>80.931549295774644</v>
      </c>
    </row>
    <row r="128" spans="1:123" ht="15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36131400</v>
      </c>
      <c r="H128" s="219"/>
      <c r="I128" s="220">
        <f>G128</f>
        <v>36131400</v>
      </c>
      <c r="J128" s="219"/>
      <c r="K128" s="220">
        <f t="shared" ref="K128" si="1412">I128</f>
        <v>36131400</v>
      </c>
      <c r="L128" s="219"/>
      <c r="M128" s="220">
        <f t="shared" ref="M128" si="1413">K128</f>
        <v>36131400</v>
      </c>
      <c r="N128" s="219"/>
      <c r="O128" s="220">
        <v>34493800</v>
      </c>
      <c r="P128" s="219"/>
      <c r="Q128" s="220">
        <f>O128</f>
        <v>34493800</v>
      </c>
      <c r="R128" s="219"/>
      <c r="S128" s="220">
        <f>Q128</f>
        <v>34493800</v>
      </c>
      <c r="T128" s="219"/>
      <c r="U128" s="220">
        <v>34493800</v>
      </c>
      <c r="V128" s="219"/>
      <c r="W128" s="220">
        <v>34493800</v>
      </c>
      <c r="X128" s="219"/>
      <c r="Y128" s="220">
        <v>34493800</v>
      </c>
      <c r="Z128" s="219"/>
      <c r="AA128" s="220">
        <v>34493800</v>
      </c>
      <c r="AB128" s="219"/>
      <c r="AC128" s="220">
        <v>34493800</v>
      </c>
      <c r="AD128" s="219"/>
      <c r="AE128" s="220">
        <v>34493800</v>
      </c>
      <c r="AF128" s="219"/>
      <c r="AG128" s="220">
        <v>34493800</v>
      </c>
      <c r="AH128" s="219"/>
      <c r="AI128" s="220">
        <v>34493800</v>
      </c>
      <c r="AJ128" s="219"/>
      <c r="AK128" s="220">
        <v>34493800</v>
      </c>
      <c r="AL128" s="219"/>
      <c r="AM128" s="220">
        <v>34493800</v>
      </c>
      <c r="AN128" s="219"/>
      <c r="AO128" s="220">
        <v>34493800</v>
      </c>
      <c r="AP128" s="219"/>
      <c r="AQ128" s="220">
        <v>34493800</v>
      </c>
      <c r="AR128" s="219"/>
      <c r="AS128" s="220">
        <v>34493800</v>
      </c>
      <c r="AT128" s="219"/>
      <c r="AU128" s="220">
        <v>34493800</v>
      </c>
      <c r="AV128" s="219"/>
      <c r="AW128" s="220">
        <v>34493800</v>
      </c>
      <c r="AX128" s="219"/>
      <c r="AY128" s="220">
        <v>34493800</v>
      </c>
      <c r="AZ128" s="219"/>
      <c r="BA128" s="220">
        <v>34493800</v>
      </c>
      <c r="BB128" s="219"/>
      <c r="BC128" s="220">
        <v>34493800</v>
      </c>
      <c r="BD128" s="219"/>
      <c r="BE128" s="220">
        <v>34493800</v>
      </c>
      <c r="BF128" s="219"/>
      <c r="BG128" s="220">
        <v>34493800</v>
      </c>
      <c r="BH128" s="219"/>
      <c r="BI128" s="220">
        <v>34493800</v>
      </c>
      <c r="BJ128" s="219"/>
      <c r="BK128" s="220">
        <v>34493800</v>
      </c>
      <c r="BL128" s="219"/>
      <c r="BM128" s="220">
        <v>34493800</v>
      </c>
      <c r="BN128" s="219"/>
      <c r="BO128" s="220">
        <v>34493800</v>
      </c>
      <c r="BP128" s="219"/>
      <c r="BQ128" s="220">
        <v>34493800</v>
      </c>
      <c r="BR128" s="219"/>
      <c r="BS128" s="220">
        <v>34493800</v>
      </c>
      <c r="BT128" s="219"/>
      <c r="BU128" s="220">
        <v>34493800</v>
      </c>
      <c r="BV128" s="219"/>
      <c r="BW128" s="220">
        <v>34493800</v>
      </c>
      <c r="BX128" s="219"/>
      <c r="BY128" s="220">
        <v>34493800</v>
      </c>
      <c r="BZ128" s="219"/>
      <c r="CA128" s="220">
        <v>34493800</v>
      </c>
      <c r="CB128" s="219"/>
      <c r="CC128" s="220">
        <v>34493800</v>
      </c>
      <c r="CD128" s="219"/>
      <c r="CE128" s="220">
        <v>34493800</v>
      </c>
      <c r="CF128" s="219"/>
      <c r="CG128" s="220">
        <v>34493800</v>
      </c>
      <c r="CH128" s="219"/>
      <c r="CI128" s="220">
        <v>34493800</v>
      </c>
      <c r="CJ128" s="219"/>
      <c r="CK128" s="220">
        <v>34493800</v>
      </c>
      <c r="CL128" s="219"/>
      <c r="CM128" s="220">
        <v>34493800</v>
      </c>
      <c r="CN128" s="219"/>
      <c r="CO128" s="220">
        <v>34493800</v>
      </c>
      <c r="CP128" s="219"/>
      <c r="CQ128" s="220">
        <v>34493800</v>
      </c>
      <c r="CR128" s="219"/>
      <c r="CS128" s="220">
        <v>34493800</v>
      </c>
      <c r="CT128" s="219"/>
      <c r="CU128" s="220">
        <v>34493800</v>
      </c>
      <c r="CV128" s="219"/>
      <c r="CW128" s="220">
        <v>34493800</v>
      </c>
      <c r="CX128" s="219"/>
      <c r="CY128" s="220">
        <v>34493800</v>
      </c>
      <c r="CZ128" s="219"/>
      <c r="DA128" s="220">
        <v>34493800</v>
      </c>
      <c r="DB128" s="219"/>
      <c r="DC128" s="220">
        <v>34493800</v>
      </c>
      <c r="DD128" s="219"/>
      <c r="DE128" s="220">
        <v>34493800</v>
      </c>
      <c r="DF128" s="219"/>
      <c r="DG128" s="220">
        <v>34493800</v>
      </c>
      <c r="DH128" s="219"/>
      <c r="DI128" s="220">
        <v>34493800</v>
      </c>
      <c r="DJ128" s="219"/>
      <c r="DK128" s="220">
        <v>34493800</v>
      </c>
      <c r="DL128" s="219"/>
      <c r="DM128" s="220">
        <v>34493800</v>
      </c>
      <c r="DN128" s="219"/>
      <c r="DO128" s="220">
        <v>34493800</v>
      </c>
      <c r="DP128" s="219"/>
      <c r="DQ128" s="220">
        <v>34493800</v>
      </c>
      <c r="DR128" s="219"/>
      <c r="DS128" s="220">
        <v>34493800</v>
      </c>
    </row>
    <row r="129" spans="1:123" ht="15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903285</v>
      </c>
      <c r="H129" s="219"/>
      <c r="I129" s="221">
        <f>I128/I10</f>
        <v>903285</v>
      </c>
      <c r="J129" s="219"/>
      <c r="K129" s="221">
        <f>K128/K10</f>
        <v>903285</v>
      </c>
      <c r="L129" s="219"/>
      <c r="M129" s="221">
        <f>M128/M10</f>
        <v>903285</v>
      </c>
      <c r="N129" s="219"/>
      <c r="O129" s="221">
        <f>O128/O10</f>
        <v>862345</v>
      </c>
      <c r="P129" s="219"/>
      <c r="Q129" s="221">
        <f>Q128/Q10</f>
        <v>862345</v>
      </c>
      <c r="R129" s="219"/>
      <c r="S129" s="221">
        <f>S128/S10</f>
        <v>862345</v>
      </c>
      <c r="T129" s="219"/>
      <c r="U129" s="221">
        <f>U128/U10</f>
        <v>862345</v>
      </c>
      <c r="V129" s="219"/>
      <c r="W129" s="221">
        <f>W128/W10</f>
        <v>862345</v>
      </c>
      <c r="X129" s="219"/>
      <c r="Y129" s="221">
        <f>Y128/Y10</f>
        <v>862345</v>
      </c>
      <c r="Z129" s="219"/>
      <c r="AA129" s="221">
        <f>AA128/AA10</f>
        <v>862345</v>
      </c>
      <c r="AB129" s="219"/>
      <c r="AC129" s="221">
        <f>AC128/AC10</f>
        <v>862345</v>
      </c>
      <c r="AD129" s="219"/>
      <c r="AE129" s="221">
        <f>AE128/AE10</f>
        <v>862345</v>
      </c>
      <c r="AF129" s="219"/>
      <c r="AG129" s="221">
        <f>AG128/AG10</f>
        <v>862345</v>
      </c>
      <c r="AH129" s="219"/>
      <c r="AI129" s="221">
        <f>AI128/AI10</f>
        <v>862345</v>
      </c>
      <c r="AJ129" s="219"/>
      <c r="AK129" s="221">
        <f>AK128/AK10</f>
        <v>862345</v>
      </c>
      <c r="AL129" s="219"/>
      <c r="AM129" s="221">
        <f>AM128/AM10</f>
        <v>862345</v>
      </c>
      <c r="AN129" s="219"/>
      <c r="AO129" s="221">
        <f>AO128/AO10</f>
        <v>862345</v>
      </c>
      <c r="AP129" s="219"/>
      <c r="AQ129" s="221">
        <f>AQ128/AQ10</f>
        <v>862345</v>
      </c>
      <c r="AR129" s="219"/>
      <c r="AS129" s="221">
        <f>AS128/AS10</f>
        <v>862345</v>
      </c>
      <c r="AT129" s="219"/>
      <c r="AU129" s="221">
        <f>AU128/AU10</f>
        <v>862345</v>
      </c>
      <c r="AV129" s="219"/>
      <c r="AW129" s="221">
        <f>AW128/AW10</f>
        <v>862345</v>
      </c>
      <c r="AX129" s="219"/>
      <c r="AY129" s="221">
        <f>AY128/AY10</f>
        <v>862345</v>
      </c>
      <c r="AZ129" s="219"/>
      <c r="BA129" s="221">
        <f>BA128/BA10</f>
        <v>862345</v>
      </c>
      <c r="BB129" s="219"/>
      <c r="BC129" s="221">
        <f>BC128/BC10</f>
        <v>862345</v>
      </c>
      <c r="BD129" s="219"/>
      <c r="BE129" s="221">
        <f>BE128/BE10</f>
        <v>862345</v>
      </c>
      <c r="BF129" s="219"/>
      <c r="BG129" s="221">
        <f>BG128/BG10</f>
        <v>862345</v>
      </c>
      <c r="BH129" s="219"/>
      <c r="BI129" s="221">
        <f>BI128/BI10</f>
        <v>862345</v>
      </c>
      <c r="BJ129" s="219"/>
      <c r="BK129" s="221">
        <f>BK128/BK10</f>
        <v>862345</v>
      </c>
      <c r="BL129" s="219"/>
      <c r="BM129" s="221">
        <f>BM128/BM10</f>
        <v>862345</v>
      </c>
      <c r="BN129" s="219"/>
      <c r="BO129" s="221">
        <f>BO128/BO10</f>
        <v>862345</v>
      </c>
      <c r="BP129" s="219"/>
      <c r="BQ129" s="221">
        <f>BQ128/BQ10</f>
        <v>862345</v>
      </c>
      <c r="BR129" s="219"/>
      <c r="BS129" s="221">
        <f>BS128/BS10</f>
        <v>862345</v>
      </c>
      <c r="BT129" s="219"/>
      <c r="BU129" s="221">
        <f>BU128/BU10</f>
        <v>862345</v>
      </c>
      <c r="BV129" s="219"/>
      <c r="BW129" s="221">
        <f>BW128/BW10</f>
        <v>862345</v>
      </c>
      <c r="BX129" s="219"/>
      <c r="BY129" s="221">
        <f>BY128/BY10</f>
        <v>862345</v>
      </c>
      <c r="BZ129" s="219"/>
      <c r="CA129" s="221">
        <f>CA128/CA10</f>
        <v>862345</v>
      </c>
      <c r="CB129" s="219"/>
      <c r="CC129" s="221">
        <f>CC128/CC10</f>
        <v>862345</v>
      </c>
      <c r="CD129" s="219"/>
      <c r="CE129" s="221">
        <f>CE128/CE10</f>
        <v>862345</v>
      </c>
      <c r="CF129" s="219"/>
      <c r="CG129" s="221">
        <f>CG128/CG10</f>
        <v>862345</v>
      </c>
      <c r="CH129" s="219"/>
      <c r="CI129" s="221">
        <f>CI128/CI10</f>
        <v>862345</v>
      </c>
      <c r="CJ129" s="219"/>
      <c r="CK129" s="221">
        <f>CK128/CK10</f>
        <v>862345</v>
      </c>
      <c r="CL129" s="219"/>
      <c r="CM129" s="221">
        <f>CM128/CM10</f>
        <v>862345</v>
      </c>
      <c r="CN129" s="219"/>
      <c r="CO129" s="221">
        <f>CO128/CO10</f>
        <v>862345</v>
      </c>
      <c r="CP129" s="219"/>
      <c r="CQ129" s="221">
        <f>CQ128/CQ10</f>
        <v>862345</v>
      </c>
      <c r="CR129" s="219"/>
      <c r="CS129" s="221">
        <f>CS128/CS10</f>
        <v>862345</v>
      </c>
      <c r="CT129" s="219"/>
      <c r="CU129" s="221">
        <f>CU128/CU10</f>
        <v>862345</v>
      </c>
      <c r="CV129" s="219"/>
      <c r="CW129" s="221">
        <f>CW128/CW10</f>
        <v>862345</v>
      </c>
      <c r="CX129" s="219"/>
      <c r="CY129" s="221">
        <f>CY128/CY10</f>
        <v>862345</v>
      </c>
      <c r="CZ129" s="219"/>
      <c r="DA129" s="221">
        <f>DA128/DA10</f>
        <v>862345</v>
      </c>
      <c r="DB129" s="219"/>
      <c r="DC129" s="221">
        <f>DC128/DC10</f>
        <v>862345</v>
      </c>
      <c r="DD129" s="219"/>
      <c r="DE129" s="221">
        <f>DE128/DE10</f>
        <v>862345</v>
      </c>
      <c r="DF129" s="219"/>
      <c r="DG129" s="221">
        <f>DG128/DG10</f>
        <v>862345</v>
      </c>
      <c r="DH129" s="219"/>
      <c r="DI129" s="221">
        <f>DI128/DI10</f>
        <v>862345</v>
      </c>
      <c r="DJ129" s="219"/>
      <c r="DK129" s="221">
        <f>DK128/DK10</f>
        <v>862345</v>
      </c>
      <c r="DL129" s="219"/>
      <c r="DM129" s="221">
        <f>DM128/DM10</f>
        <v>862345</v>
      </c>
      <c r="DN129" s="219"/>
      <c r="DO129" s="221">
        <f>DO128/DO10</f>
        <v>862345</v>
      </c>
      <c r="DP129" s="219"/>
      <c r="DQ129" s="221">
        <f>DQ128/DQ10</f>
        <v>862345</v>
      </c>
      <c r="DR129" s="219"/>
      <c r="DS129" s="221">
        <f>DS128/DS10</f>
        <v>862345</v>
      </c>
    </row>
    <row r="130" spans="1:123" ht="15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254.44647887323944</v>
      </c>
      <c r="H130" s="222"/>
      <c r="I130" s="220">
        <f>I129/I66</f>
        <v>254.44647887323944</v>
      </c>
      <c r="J130" s="222"/>
      <c r="K130" s="220">
        <f t="shared" ref="K130" si="1414">K129/K66</f>
        <v>254.44647887323944</v>
      </c>
      <c r="L130" s="222"/>
      <c r="M130" s="220">
        <f t="shared" ref="M130" si="1415">M129/M66</f>
        <v>254.44647887323944</v>
      </c>
      <c r="N130" s="222"/>
      <c r="O130" s="220">
        <f>O129/O66</f>
        <v>242.91408450704225</v>
      </c>
      <c r="P130" s="222"/>
      <c r="Q130" s="220">
        <f>Q129/Q66</f>
        <v>242.91408450704225</v>
      </c>
      <c r="R130" s="222"/>
      <c r="S130" s="220">
        <f>S129/S66</f>
        <v>242.91408450704225</v>
      </c>
      <c r="T130" s="222"/>
      <c r="U130" s="220">
        <f>U129/U66</f>
        <v>242.91408450704225</v>
      </c>
      <c r="V130" s="222"/>
      <c r="W130" s="220">
        <f>W129/W66</f>
        <v>242.91408450704225</v>
      </c>
      <c r="X130" s="222"/>
      <c r="Y130" s="220">
        <f>Y129/Y66</f>
        <v>242.91408450704225</v>
      </c>
      <c r="Z130" s="222"/>
      <c r="AA130" s="220">
        <f>AA129/AA66</f>
        <v>242.91408450704225</v>
      </c>
      <c r="AB130" s="222"/>
      <c r="AC130" s="220">
        <f>AC129/AC66</f>
        <v>242.91408450704225</v>
      </c>
      <c r="AD130" s="222"/>
      <c r="AE130" s="220">
        <f>AE129/AE66</f>
        <v>242.91408450704225</v>
      </c>
      <c r="AF130" s="222"/>
      <c r="AG130" s="220">
        <f>AG129/AG66</f>
        <v>242.91408450704225</v>
      </c>
      <c r="AH130" s="222"/>
      <c r="AI130" s="220">
        <f>AI129/AI66</f>
        <v>242.91408450704225</v>
      </c>
      <c r="AJ130" s="222"/>
      <c r="AK130" s="220">
        <f>AK129/AK66</f>
        <v>242.91408450704225</v>
      </c>
      <c r="AL130" s="222"/>
      <c r="AM130" s="220">
        <f>AM129/AM66</f>
        <v>242.91408450704225</v>
      </c>
      <c r="AN130" s="222"/>
      <c r="AO130" s="220">
        <f>AO129/AO66</f>
        <v>242.91408450704225</v>
      </c>
      <c r="AP130" s="222"/>
      <c r="AQ130" s="220">
        <f t="shared" ref="AQ130" si="1416">AQ129/AQ66</f>
        <v>242.91408450704225</v>
      </c>
      <c r="AR130" s="222"/>
      <c r="AS130" s="220">
        <f t="shared" ref="AS130" si="1417">AS129/AS66</f>
        <v>242.91408450704225</v>
      </c>
      <c r="AT130" s="222"/>
      <c r="AU130" s="220">
        <f t="shared" ref="AU130" si="1418">AU129/AU66</f>
        <v>242.91408450704225</v>
      </c>
      <c r="AV130" s="222"/>
      <c r="AW130" s="220">
        <f t="shared" ref="AW130" si="1419">AW129/AW66</f>
        <v>242.91408450704225</v>
      </c>
      <c r="AX130" s="222"/>
      <c r="AY130" s="220">
        <f t="shared" ref="AY130" si="1420">AY129/AY66</f>
        <v>242.91408450704225</v>
      </c>
      <c r="AZ130" s="222"/>
      <c r="BA130" s="220">
        <f t="shared" ref="BA130:BC130" si="1421">BA129/BA66</f>
        <v>242.91408450704225</v>
      </c>
      <c r="BB130" s="222"/>
      <c r="BC130" s="220">
        <f t="shared" si="1421"/>
        <v>242.91408450704225</v>
      </c>
      <c r="BD130" s="222"/>
      <c r="BE130" s="220">
        <f t="shared" ref="BE130:BI130" si="1422">BE129/BE66</f>
        <v>242.91408450704225</v>
      </c>
      <c r="BF130" s="222"/>
      <c r="BG130" s="220">
        <f t="shared" si="1422"/>
        <v>242.91408450704225</v>
      </c>
      <c r="BH130" s="222"/>
      <c r="BI130" s="220">
        <f t="shared" si="1422"/>
        <v>242.91408450704225</v>
      </c>
      <c r="BJ130" s="222"/>
      <c r="BK130" s="220">
        <f t="shared" ref="BK130:BM130" si="1423">BK129/BK66</f>
        <v>242.91408450704225</v>
      </c>
      <c r="BL130" s="222"/>
      <c r="BM130" s="220">
        <f t="shared" si="1423"/>
        <v>234.97138964577655</v>
      </c>
      <c r="BN130" s="222"/>
      <c r="BO130" s="220">
        <f t="shared" ref="BO130:BQ130" si="1424">BO129/BO66</f>
        <v>234.97138964577655</v>
      </c>
      <c r="BP130" s="222"/>
      <c r="BQ130" s="220">
        <f t="shared" si="1424"/>
        <v>234.97138964577655</v>
      </c>
      <c r="BR130" s="222"/>
      <c r="BS130" s="220">
        <f t="shared" ref="BS130:CS130" si="1425">BS129/BS66</f>
        <v>234.97138964577655</v>
      </c>
      <c r="BT130" s="222"/>
      <c r="BU130" s="220">
        <f t="shared" ref="BU130:BW130" si="1426">BU129/BU66</f>
        <v>234.97138964577655</v>
      </c>
      <c r="BV130" s="222"/>
      <c r="BW130" s="220">
        <f t="shared" si="1426"/>
        <v>234.97138964577655</v>
      </c>
      <c r="BX130" s="222"/>
      <c r="BY130" s="220">
        <f t="shared" ref="BY130:CA130" si="1427">BY129/BY66</f>
        <v>234.97138964577655</v>
      </c>
      <c r="BZ130" s="222"/>
      <c r="CA130" s="220">
        <f t="shared" si="1427"/>
        <v>234.97138964577655</v>
      </c>
      <c r="CB130" s="222"/>
      <c r="CC130" s="220">
        <f t="shared" ref="CC130:CE130" si="1428">CC129/CC66</f>
        <v>234.97138964577655</v>
      </c>
      <c r="CD130" s="222"/>
      <c r="CE130" s="220">
        <f t="shared" si="1428"/>
        <v>234.97138964577655</v>
      </c>
      <c r="CF130" s="222"/>
      <c r="CG130" s="220">
        <f t="shared" ref="CG130:CI130" si="1429">CG129/CG66</f>
        <v>234.97138964577655</v>
      </c>
      <c r="CH130" s="222"/>
      <c r="CI130" s="220">
        <f t="shared" si="1429"/>
        <v>234.97138964577655</v>
      </c>
      <c r="CJ130" s="222"/>
      <c r="CK130" s="220">
        <f t="shared" ref="CK130:CM130" si="1430">CK129/CK66</f>
        <v>234.97138964577655</v>
      </c>
      <c r="CL130" s="222"/>
      <c r="CM130" s="220">
        <f t="shared" si="1430"/>
        <v>234.97138964577655</v>
      </c>
      <c r="CN130" s="222"/>
      <c r="CO130" s="220">
        <f t="shared" ref="CO130:CQ130" si="1431">CO129/CO66</f>
        <v>234.97138964577655</v>
      </c>
      <c r="CP130" s="222"/>
      <c r="CQ130" s="220">
        <f t="shared" si="1431"/>
        <v>234.97138964577655</v>
      </c>
      <c r="CR130" s="222"/>
      <c r="CS130" s="220">
        <f t="shared" si="1425"/>
        <v>234.97138964577655</v>
      </c>
      <c r="CT130" s="222"/>
      <c r="CU130" s="220">
        <f t="shared" ref="CU130" si="1432">CU129/CU66</f>
        <v>234.97138964577655</v>
      </c>
      <c r="CV130" s="222"/>
      <c r="CW130" s="220">
        <f>CW129/CW66</f>
        <v>242.91408450704225</v>
      </c>
      <c r="CX130" s="222"/>
      <c r="CY130" s="220">
        <f>CY129/CY66</f>
        <v>242.91408450704225</v>
      </c>
      <c r="CZ130" s="222"/>
      <c r="DA130" s="220">
        <f>DA129/DA66</f>
        <v>242.91408450704225</v>
      </c>
      <c r="DB130" s="222"/>
      <c r="DC130" s="220">
        <f>DC129/DC66</f>
        <v>242.91408450704225</v>
      </c>
      <c r="DD130" s="222"/>
      <c r="DE130" s="220">
        <f>DE129/DE66</f>
        <v>242.91408450704225</v>
      </c>
      <c r="DF130" s="222"/>
      <c r="DG130" s="220">
        <f>DG129/DG66</f>
        <v>242.91408450704225</v>
      </c>
      <c r="DH130" s="222"/>
      <c r="DI130" s="220">
        <f>DI129/DI66</f>
        <v>242.91408450704225</v>
      </c>
      <c r="DJ130" s="222"/>
      <c r="DK130" s="220">
        <f>DK129/DK66</f>
        <v>242.91408450704225</v>
      </c>
      <c r="DL130" s="222"/>
      <c r="DM130" s="220">
        <f>DM129/DM66</f>
        <v>242.91408450704225</v>
      </c>
      <c r="DN130" s="222"/>
      <c r="DO130" s="220">
        <f>DO129/DO66</f>
        <v>242.91408450704225</v>
      </c>
      <c r="DP130" s="222"/>
      <c r="DQ130" s="220">
        <f>DQ129/DQ66</f>
        <v>242.91408450704225</v>
      </c>
      <c r="DR130" s="222"/>
      <c r="DS130" s="220">
        <f>DS129/DS66</f>
        <v>242.91408450704225</v>
      </c>
    </row>
    <row r="131" spans="1:123" ht="15" customHeight="1" outlineLevel="3" x14ac:dyDescent="0.45">
      <c r="A131" s="561"/>
      <c r="B131" s="1187"/>
      <c r="C131" s="582" t="s">
        <v>387</v>
      </c>
      <c r="D131" s="583"/>
      <c r="E131" s="584" t="s">
        <v>123</v>
      </c>
      <c r="F131" s="585"/>
      <c r="G131" s="586"/>
      <c r="H131" s="585"/>
      <c r="I131" s="586"/>
      <c r="J131" s="585"/>
      <c r="K131" s="586"/>
      <c r="L131" s="585"/>
      <c r="M131" s="586"/>
      <c r="N131" s="585"/>
      <c r="O131" s="586">
        <f>INDEX(Table5[#All],MATCH(N$4,Table5[[#All],[SKU]],0),MATCH(LEFT(N$3,3),Table5[#Headers],0))</f>
        <v>5677200</v>
      </c>
      <c r="P131" s="585"/>
      <c r="Q131" s="586">
        <f>INDEX(Table5[#All],MATCH(P$4,Table5[[#All],[SKU]],0),MATCH(LEFT(P$3,3),Table5[#Headers],0))</f>
        <v>5677200</v>
      </c>
      <c r="R131" s="585"/>
      <c r="S131" s="586">
        <f>INDEX(Table5[#All],MATCH(R$4,Table5[[#All],[SKU]],0),MATCH(LEFT(R$3,3),Table5[#Headers],0))</f>
        <v>5677200</v>
      </c>
      <c r="T131" s="585"/>
      <c r="U131" s="586">
        <f>INDEX(Table5[#All],MATCH(T$4,Table5[[#All],[SKU]],0),MATCH(LEFT(T$3,3),Table5[#Headers],0))</f>
        <v>5968800</v>
      </c>
      <c r="V131" s="585"/>
      <c r="W131" s="586">
        <f>INDEX(Table5[#All],MATCH(V$4,Table5[[#All],[SKU]],0),MATCH(LEFT(V$3,3),Table5[#Headers],0))</f>
        <v>7088400</v>
      </c>
      <c r="X131" s="585"/>
      <c r="Y131" s="586">
        <f>INDEX(Table5[#All],MATCH(X$4,Table5[[#All],[SKU]],0),MATCH(LEFT(X$3,3),Table5[#Headers],0))</f>
        <v>3371360</v>
      </c>
      <c r="Z131" s="585"/>
      <c r="AA131" s="586">
        <f>INDEX(Table5[#All],MATCH(Z$4,Table5[[#All],[SKU]],0),MATCH(LEFT(Z$3,3),Table5[#Headers],0))</f>
        <v>3760360</v>
      </c>
      <c r="AB131" s="585"/>
      <c r="AC131" s="586">
        <f>INDEX(Table5[#All],MATCH(AB$4,Table5[[#All],[SKU]],0),MATCH(LEFT(AB$3,3),Table5[#Headers],0))</f>
        <v>9598000</v>
      </c>
      <c r="AD131" s="585"/>
      <c r="AE131" s="586">
        <f>INDEX(Table5[#All],MATCH(AD$4,Table5[[#All],[SKU]],0),MATCH(LEFT(AD$3,3),Table5[#Headers],0))</f>
        <v>7499680</v>
      </c>
      <c r="AF131" s="585"/>
      <c r="AG131" s="586">
        <f>INDEX(Table5[#All],MATCH(AF$4,Table5[[#All],[SKU]],0),MATCH(LEFT(AF$3,3),Table5[#Headers],0))</f>
        <v>1491000</v>
      </c>
      <c r="AH131" s="585"/>
      <c r="AI131" s="586">
        <f>INDEX(Table5[#All],MATCH(AH$4,Table5[[#All],[SKU]],0),MATCH(LEFT(AH$3,3),Table5[#Headers],0))</f>
        <v>3754520</v>
      </c>
      <c r="AJ131" s="585"/>
      <c r="AK131" s="586">
        <f>INDEX(Table5[#All],MATCH(AJ$4,Table5[[#All],[SKU]],0),MATCH(LEFT(AJ$3,3),Table5[#Headers],0))</f>
        <v>2766360</v>
      </c>
      <c r="AL131" s="585"/>
      <c r="AM131" s="586">
        <f>INDEX(Table5[#All],MATCH(AL$4,Table5[[#All],[SKU]],0),MATCH(LEFT(AL$3,3),Table5[#Headers],0))</f>
        <v>5458760</v>
      </c>
      <c r="AN131" s="585"/>
      <c r="AO131" s="586">
        <f>INDEX(Table5[#All],MATCH(AN$4,Table5[[#All],[SKU]],0),MATCH(LEFT(AN$3,3),Table5[#Headers],0))</f>
        <v>16101120</v>
      </c>
      <c r="AP131" s="585"/>
      <c r="AQ131" s="586">
        <f>'Sales Volume'!P7</f>
        <v>10101560</v>
      </c>
      <c r="AR131" s="585"/>
      <c r="AS131" s="586">
        <f>'Sales Volume'!Q7</f>
        <v>8547800</v>
      </c>
      <c r="AT131" s="585"/>
      <c r="AU131" s="586">
        <f>'Sales Volume'!R7</f>
        <v>8430080</v>
      </c>
      <c r="AV131" s="585"/>
      <c r="AW131" s="586">
        <f>'Sales Volume'!S7</f>
        <v>5128960</v>
      </c>
      <c r="AX131" s="585"/>
      <c r="AY131" s="586">
        <f>'Sales Volume'!T7</f>
        <v>6437800</v>
      </c>
      <c r="AZ131" s="585"/>
      <c r="BA131" s="586">
        <f>'Sales Volume'!U7</f>
        <v>12250920</v>
      </c>
      <c r="BB131" s="585"/>
      <c r="BC131" s="586">
        <f>'Sales Volume'!V7</f>
        <v>12059800</v>
      </c>
      <c r="BD131" s="585"/>
      <c r="BE131" s="586">
        <f>'Sales Volume'!X7</f>
        <v>10675520</v>
      </c>
      <c r="BF131" s="585"/>
      <c r="BG131" s="586">
        <f>'Sales Volume'!Z7</f>
        <v>0</v>
      </c>
      <c r="BH131" s="585"/>
      <c r="BI131" s="586">
        <f>'Sales Volume'!AB7</f>
        <v>0</v>
      </c>
      <c r="BJ131" s="585"/>
      <c r="BK131" s="586">
        <f>'Sales Volume'!AD7</f>
        <v>0</v>
      </c>
      <c r="BL131" s="585"/>
      <c r="BM131" s="586">
        <f>'Sales Volume'!AF7</f>
        <v>0</v>
      </c>
      <c r="BN131" s="585"/>
      <c r="BO131" s="586">
        <f>'Sales Volume'!AH7</f>
        <v>0</v>
      </c>
      <c r="BP131" s="585"/>
      <c r="BQ131" s="586">
        <f>'Sales Volume'!AJ7</f>
        <v>0</v>
      </c>
      <c r="BR131" s="585"/>
      <c r="BS131" s="586">
        <f>'Sales Volume'!AL7</f>
        <v>0</v>
      </c>
      <c r="BT131" s="585"/>
      <c r="BU131" s="586">
        <f>'Sales Volume'!AN7</f>
        <v>0</v>
      </c>
      <c r="BV131" s="585"/>
      <c r="BW131" s="586">
        <f>'Sales Volume'!AP7</f>
        <v>0</v>
      </c>
      <c r="BX131" s="585"/>
      <c r="BY131" s="586">
        <f>'Sales Volume'!AR7</f>
        <v>0</v>
      </c>
      <c r="BZ131" s="585"/>
      <c r="CA131" s="586">
        <f>'Sales Volume'!AT7</f>
        <v>0</v>
      </c>
      <c r="CB131" s="585"/>
      <c r="CC131" s="586">
        <f>'Sales Volume'!AV7</f>
        <v>0</v>
      </c>
      <c r="CD131" s="585"/>
      <c r="CE131" s="586">
        <f>'Sales Volume'!AX7</f>
        <v>0</v>
      </c>
      <c r="CF131" s="585"/>
      <c r="CG131" s="586">
        <f>'Sales Volume'!AZ7</f>
        <v>0</v>
      </c>
      <c r="CH131" s="585"/>
      <c r="CI131" s="586">
        <f>'Sales Volume'!BB7</f>
        <v>0</v>
      </c>
      <c r="CJ131" s="585"/>
      <c r="CK131" s="586">
        <f>'Sales Volume'!BD7</f>
        <v>0</v>
      </c>
      <c r="CL131" s="585"/>
      <c r="CM131" s="586">
        <f>'Sales Volume'!BF7</f>
        <v>0</v>
      </c>
      <c r="CN131" s="585"/>
      <c r="CO131" s="586">
        <f>'Sales Volume'!AR7</f>
        <v>0</v>
      </c>
      <c r="CP131" s="585"/>
      <c r="CQ131" s="586">
        <f>'Sales Volume'!AT7</f>
        <v>0</v>
      </c>
      <c r="CR131" s="585"/>
      <c r="CS131" s="586">
        <f>'Sales Volume'!AN7</f>
        <v>0</v>
      </c>
      <c r="CT131" s="585"/>
      <c r="CU131" s="586">
        <f>'Sales Volume'!AP7</f>
        <v>0</v>
      </c>
      <c r="CV131" s="585"/>
      <c r="CW131" s="586">
        <f>SUM(O131,U131,W131)</f>
        <v>18734400</v>
      </c>
      <c r="CX131" s="585"/>
      <c r="CY131" s="586">
        <f>SUM(Y$131,AA$131,AC$131)</f>
        <v>16729720</v>
      </c>
      <c r="CZ131" s="585"/>
      <c r="DA131" s="586">
        <f>SUM(AI$131,AG$131,AE$131)</f>
        <v>12745200</v>
      </c>
      <c r="DB131" s="585"/>
      <c r="DC131" s="586">
        <v>16268000</v>
      </c>
      <c r="DD131" s="585"/>
      <c r="DE131" s="586">
        <f>SUM(CY$131,CW$131)</f>
        <v>35464120</v>
      </c>
      <c r="DF131" s="585"/>
      <c r="DG131" s="586">
        <v>16268000</v>
      </c>
      <c r="DH131" s="585"/>
      <c r="DI131" s="586">
        <v>70612344</v>
      </c>
      <c r="DJ131" s="585"/>
      <c r="DK131" s="586">
        <v>70612344</v>
      </c>
      <c r="DL131" s="585"/>
      <c r="DM131" s="586">
        <v>70612344</v>
      </c>
      <c r="DN131" s="585"/>
      <c r="DO131" s="586">
        <v>70612344</v>
      </c>
      <c r="DP131" s="585"/>
      <c r="DQ131" s="586">
        <v>16268000</v>
      </c>
      <c r="DR131" s="585"/>
      <c r="DS131" s="586">
        <v>16268000</v>
      </c>
    </row>
    <row r="132" spans="1:123" ht="15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/>
      <c r="H132" s="585"/>
      <c r="I132" s="586"/>
      <c r="J132" s="585"/>
      <c r="K132" s="586"/>
      <c r="L132" s="585"/>
      <c r="M132" s="586"/>
      <c r="N132" s="585"/>
      <c r="O132" s="586">
        <f>O131/O10</f>
        <v>141930</v>
      </c>
      <c r="P132" s="585"/>
      <c r="Q132" s="586">
        <f>Q131/Q10</f>
        <v>141930</v>
      </c>
      <c r="R132" s="585"/>
      <c r="S132" s="586">
        <f>S131/S10</f>
        <v>141930</v>
      </c>
      <c r="T132" s="585"/>
      <c r="U132" s="586">
        <f>U131/U10</f>
        <v>149220</v>
      </c>
      <c r="V132" s="585"/>
      <c r="W132" s="586">
        <f>W131/W10</f>
        <v>177210</v>
      </c>
      <c r="X132" s="585"/>
      <c r="Y132" s="586">
        <f>Y131/Y10</f>
        <v>84284</v>
      </c>
      <c r="Z132" s="585"/>
      <c r="AA132" s="586">
        <f>AA131/AA10</f>
        <v>94009</v>
      </c>
      <c r="AB132" s="585"/>
      <c r="AC132" s="586">
        <f>AC131/AC10</f>
        <v>239950</v>
      </c>
      <c r="AD132" s="585"/>
      <c r="AE132" s="586">
        <f>AE131/AE10</f>
        <v>187492</v>
      </c>
      <c r="AF132" s="585"/>
      <c r="AG132" s="586">
        <f>AG131/AG10</f>
        <v>37275</v>
      </c>
      <c r="AH132" s="585"/>
      <c r="AI132" s="586">
        <f>AI131/AI10</f>
        <v>93863</v>
      </c>
      <c r="AJ132" s="585"/>
      <c r="AK132" s="586">
        <f>AK131/AK10</f>
        <v>69159</v>
      </c>
      <c r="AL132" s="585"/>
      <c r="AM132" s="586">
        <f>AM131/AM10</f>
        <v>136469</v>
      </c>
      <c r="AN132" s="585"/>
      <c r="AO132" s="586">
        <f>AO131/AO10</f>
        <v>402528</v>
      </c>
      <c r="AP132" s="585"/>
      <c r="AQ132" s="586">
        <f>AQ131/AQ10</f>
        <v>252539</v>
      </c>
      <c r="AR132" s="585"/>
      <c r="AS132" s="586">
        <f>AS131/AS10</f>
        <v>213695</v>
      </c>
      <c r="AT132" s="585"/>
      <c r="AU132" s="586">
        <f>AU131/AU10</f>
        <v>210752</v>
      </c>
      <c r="AV132" s="585"/>
      <c r="AW132" s="586">
        <f>AW131/AW10</f>
        <v>128224</v>
      </c>
      <c r="AX132" s="585"/>
      <c r="AY132" s="586">
        <f>AY131/AY10</f>
        <v>160945</v>
      </c>
      <c r="AZ132" s="585"/>
      <c r="BA132" s="586">
        <f>BA131/BA10</f>
        <v>306273</v>
      </c>
      <c r="BB132" s="585"/>
      <c r="BC132" s="586">
        <f>BC131/BC10</f>
        <v>301495</v>
      </c>
      <c r="BD132" s="585"/>
      <c r="BE132" s="586">
        <f>BE131/BE10</f>
        <v>266888</v>
      </c>
      <c r="BF132" s="585"/>
      <c r="BG132" s="586">
        <f>BG131/BG10</f>
        <v>0</v>
      </c>
      <c r="BH132" s="585"/>
      <c r="BI132" s="586">
        <f>BI131/BI10</f>
        <v>0</v>
      </c>
      <c r="BJ132" s="585"/>
      <c r="BK132" s="586">
        <f>BK131/BK10</f>
        <v>0</v>
      </c>
      <c r="BL132" s="585"/>
      <c r="BM132" s="586">
        <f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>BS131/BS10</f>
        <v>0</v>
      </c>
      <c r="BT132" s="585"/>
      <c r="BU132" s="586">
        <f>BU131/BU10</f>
        <v>0</v>
      </c>
      <c r="BV132" s="585"/>
      <c r="BW132" s="586">
        <f>BW131/BW10</f>
        <v>0</v>
      </c>
      <c r="BX132" s="585"/>
      <c r="BY132" s="586">
        <f>BY131/BY10</f>
        <v>0</v>
      </c>
      <c r="BZ132" s="585"/>
      <c r="CA132" s="586">
        <f>CA131/CA10</f>
        <v>0</v>
      </c>
      <c r="CB132" s="585"/>
      <c r="CC132" s="586">
        <f>CC131/CC10</f>
        <v>0</v>
      </c>
      <c r="CD132" s="585"/>
      <c r="CE132" s="586">
        <f>CE131/CE10</f>
        <v>0</v>
      </c>
      <c r="CF132" s="585"/>
      <c r="CG132" s="586">
        <f>CG131/CG10</f>
        <v>0</v>
      </c>
      <c r="CH132" s="585"/>
      <c r="CI132" s="586">
        <f>CI131/CI10</f>
        <v>0</v>
      </c>
      <c r="CJ132" s="585"/>
      <c r="CK132" s="586">
        <f>CK131/CK10</f>
        <v>0</v>
      </c>
      <c r="CL132" s="585"/>
      <c r="CM132" s="586">
        <f>CM131/CM10</f>
        <v>0</v>
      </c>
      <c r="CN132" s="585"/>
      <c r="CO132" s="586">
        <f>CO131/CO10</f>
        <v>0</v>
      </c>
      <c r="CP132" s="585"/>
      <c r="CQ132" s="586">
        <f>CQ131/CQ10</f>
        <v>0</v>
      </c>
      <c r="CR132" s="585"/>
      <c r="CS132" s="586">
        <f>CS131/CS10</f>
        <v>0</v>
      </c>
      <c r="CT132" s="585"/>
      <c r="CU132" s="586">
        <f>CU131/CU10</f>
        <v>0</v>
      </c>
      <c r="CV132" s="585"/>
      <c r="CW132" s="586">
        <f>CW131/CW10</f>
        <v>468360</v>
      </c>
      <c r="CX132" s="585"/>
      <c r="CY132" s="586">
        <f>CY131/CY10</f>
        <v>418243</v>
      </c>
      <c r="CZ132" s="585"/>
      <c r="DA132" s="586">
        <f>DA131/DA10</f>
        <v>318630</v>
      </c>
      <c r="DB132" s="585"/>
      <c r="DC132" s="586">
        <f>DC131/DC10</f>
        <v>406700</v>
      </c>
      <c r="DD132" s="585"/>
      <c r="DE132" s="586">
        <f>DE131/DE10</f>
        <v>886603</v>
      </c>
      <c r="DF132" s="585"/>
      <c r="DG132" s="586">
        <f>DG131/DG10</f>
        <v>406700</v>
      </c>
      <c r="DH132" s="585"/>
      <c r="DI132" s="586">
        <f>DI131/DI10</f>
        <v>1765308.6</v>
      </c>
      <c r="DJ132" s="585"/>
      <c r="DK132" s="586">
        <f>DK131/DK10</f>
        <v>1765308.6</v>
      </c>
      <c r="DL132" s="585"/>
      <c r="DM132" s="586">
        <f>DM131/DM10</f>
        <v>1765308.6</v>
      </c>
      <c r="DN132" s="585"/>
      <c r="DO132" s="586">
        <f>DO131/DO10</f>
        <v>1765308.6</v>
      </c>
      <c r="DP132" s="585"/>
      <c r="DQ132" s="586">
        <f>DQ131/DQ10</f>
        <v>406700</v>
      </c>
      <c r="DR132" s="585"/>
      <c r="DS132" s="586">
        <f>DS131/DS10</f>
        <v>406700</v>
      </c>
    </row>
    <row r="133" spans="1:123" ht="15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/>
      <c r="H133" s="585"/>
      <c r="I133" s="586"/>
      <c r="J133" s="585"/>
      <c r="K133" s="586"/>
      <c r="L133" s="585"/>
      <c r="M133" s="586"/>
      <c r="N133" s="585"/>
      <c r="O133" s="586">
        <f>O132/O66</f>
        <v>39.980281690140842</v>
      </c>
      <c r="P133" s="585"/>
      <c r="Q133" s="586">
        <f>Q132/Q66</f>
        <v>39.980281690140842</v>
      </c>
      <c r="R133" s="585"/>
      <c r="S133" s="586">
        <f>S132/S66</f>
        <v>39.980281690140842</v>
      </c>
      <c r="T133" s="585"/>
      <c r="U133" s="586">
        <f>U132/U66</f>
        <v>42.033802816901407</v>
      </c>
      <c r="V133" s="585"/>
      <c r="W133" s="586">
        <f>W132/W66</f>
        <v>49.918309859154931</v>
      </c>
      <c r="X133" s="585"/>
      <c r="Y133" s="586">
        <f>Y132/Y66</f>
        <v>23.741971830985914</v>
      </c>
      <c r="Z133" s="585"/>
      <c r="AA133" s="586">
        <f>AA132/AA66</f>
        <v>26.481408450704226</v>
      </c>
      <c r="AB133" s="585"/>
      <c r="AC133" s="586">
        <f>AC132/AC66</f>
        <v>67.591549295774641</v>
      </c>
      <c r="AD133" s="585"/>
      <c r="AE133" s="586">
        <f>AE132/AE66</f>
        <v>52.814647887323943</v>
      </c>
      <c r="AF133" s="585"/>
      <c r="AG133" s="586">
        <f>AG132/AG66</f>
        <v>10.5</v>
      </c>
      <c r="AH133" s="585"/>
      <c r="AI133" s="586">
        <f>AI132/AI66</f>
        <v>26.440281690140846</v>
      </c>
      <c r="AJ133" s="585"/>
      <c r="AK133" s="586">
        <f>AK132/AK66</f>
        <v>19.481408450704226</v>
      </c>
      <c r="AL133" s="585"/>
      <c r="AM133" s="586">
        <f>AM132/AM66</f>
        <v>38.441971830985914</v>
      </c>
      <c r="AN133" s="585"/>
      <c r="AO133" s="586">
        <f>AO132/AO66</f>
        <v>113.38816901408451</v>
      </c>
      <c r="AP133" s="585"/>
      <c r="AQ133" s="586">
        <f t="shared" ref="AQ133" si="1433">AQ132/AQ66</f>
        <v>71.13774647887324</v>
      </c>
      <c r="AR133" s="585"/>
      <c r="AS133" s="586">
        <f t="shared" ref="AS133" si="1434">AS132/AS66</f>
        <v>60.195774647887326</v>
      </c>
      <c r="AT133" s="585"/>
      <c r="AU133" s="586">
        <f t="shared" ref="AU133" si="1435">AU132/AU66</f>
        <v>59.366760563380282</v>
      </c>
      <c r="AV133" s="585"/>
      <c r="AW133" s="586">
        <f t="shared" ref="AW133" si="1436">AW132/AW66</f>
        <v>36.119436619718307</v>
      </c>
      <c r="AX133" s="585"/>
      <c r="AY133" s="586">
        <f t="shared" ref="AY133" si="1437">AY132/AY66</f>
        <v>45.336619718309862</v>
      </c>
      <c r="AZ133" s="585"/>
      <c r="BA133" s="586">
        <f t="shared" ref="BA133:BC133" si="1438">BA132/BA66</f>
        <v>86.274084507042247</v>
      </c>
      <c r="BB133" s="585"/>
      <c r="BC133" s="586">
        <f t="shared" si="1438"/>
        <v>84.928169014084503</v>
      </c>
      <c r="BD133" s="585"/>
      <c r="BE133" s="586">
        <f t="shared" ref="BE133:BI133" si="1439">BE132/BE66</f>
        <v>75.179718309859155</v>
      </c>
      <c r="BF133" s="585"/>
      <c r="BG133" s="586">
        <f t="shared" si="1439"/>
        <v>0</v>
      </c>
      <c r="BH133" s="585"/>
      <c r="BI133" s="586">
        <f t="shared" si="1439"/>
        <v>0</v>
      </c>
      <c r="BJ133" s="585"/>
      <c r="BK133" s="586">
        <f t="shared" ref="BK133:BM133" si="1440">BK132/BK66</f>
        <v>0</v>
      </c>
      <c r="BL133" s="585"/>
      <c r="BM133" s="586">
        <f t="shared" si="1440"/>
        <v>0</v>
      </c>
      <c r="BN133" s="585"/>
      <c r="BO133" s="586">
        <f t="shared" ref="BO133:BQ133" si="1441">BO132/BO66</f>
        <v>0</v>
      </c>
      <c r="BP133" s="585"/>
      <c r="BQ133" s="586">
        <f t="shared" si="1441"/>
        <v>0</v>
      </c>
      <c r="BR133" s="585"/>
      <c r="BS133" s="586">
        <f t="shared" ref="BS133:CS133" si="1442">BS132/BS66</f>
        <v>0</v>
      </c>
      <c r="BT133" s="585"/>
      <c r="BU133" s="586">
        <f t="shared" ref="BU133:BW133" si="1443">BU132/BU66</f>
        <v>0</v>
      </c>
      <c r="BV133" s="585"/>
      <c r="BW133" s="586">
        <f t="shared" si="1443"/>
        <v>0</v>
      </c>
      <c r="BX133" s="585"/>
      <c r="BY133" s="586">
        <f t="shared" ref="BY133:CA133" si="1444">BY132/BY66</f>
        <v>0</v>
      </c>
      <c r="BZ133" s="585"/>
      <c r="CA133" s="586">
        <f t="shared" si="1444"/>
        <v>0</v>
      </c>
      <c r="CB133" s="585"/>
      <c r="CC133" s="586">
        <f t="shared" ref="CC133:CE133" si="1445">CC132/CC66</f>
        <v>0</v>
      </c>
      <c r="CD133" s="585"/>
      <c r="CE133" s="586">
        <f t="shared" si="1445"/>
        <v>0</v>
      </c>
      <c r="CF133" s="585"/>
      <c r="CG133" s="586">
        <f t="shared" ref="CG133:CI133" si="1446">CG132/CG66</f>
        <v>0</v>
      </c>
      <c r="CH133" s="585"/>
      <c r="CI133" s="586">
        <f t="shared" si="1446"/>
        <v>0</v>
      </c>
      <c r="CJ133" s="585"/>
      <c r="CK133" s="586">
        <f t="shared" ref="CK133:CM133" si="1447">CK132/CK66</f>
        <v>0</v>
      </c>
      <c r="CL133" s="585"/>
      <c r="CM133" s="586">
        <f t="shared" si="1447"/>
        <v>0</v>
      </c>
      <c r="CN133" s="585"/>
      <c r="CO133" s="586">
        <f t="shared" ref="CO133:CQ133" si="1448">CO132/CO66</f>
        <v>0</v>
      </c>
      <c r="CP133" s="585"/>
      <c r="CQ133" s="586">
        <f t="shared" si="1448"/>
        <v>0</v>
      </c>
      <c r="CR133" s="585"/>
      <c r="CS133" s="586">
        <f t="shared" si="1442"/>
        <v>0</v>
      </c>
      <c r="CT133" s="585"/>
      <c r="CU133" s="586">
        <f t="shared" ref="CU133" si="1449">CU132/CU66</f>
        <v>0</v>
      </c>
      <c r="CV133" s="585"/>
      <c r="CW133" s="586">
        <f>CW132/CW66</f>
        <v>131.93239436619717</v>
      </c>
      <c r="CX133" s="585"/>
      <c r="CY133" s="586">
        <f>CY132/CY66</f>
        <v>117.8149295774648</v>
      </c>
      <c r="CZ133" s="585"/>
      <c r="DA133" s="586">
        <f>DA132/DA66</f>
        <v>89.754929577464793</v>
      </c>
      <c r="DB133" s="585"/>
      <c r="DC133" s="586">
        <f>DC132/DC66</f>
        <v>114.56338028169014</v>
      </c>
      <c r="DD133" s="585"/>
      <c r="DE133" s="586">
        <f>DE132/DE66</f>
        <v>249.74732394366197</v>
      </c>
      <c r="DF133" s="585"/>
      <c r="DG133" s="586">
        <f>DG132/DG66</f>
        <v>114.56338028169014</v>
      </c>
      <c r="DH133" s="585"/>
      <c r="DI133" s="586">
        <f>DI132/DI66</f>
        <v>497.2700281690141</v>
      </c>
      <c r="DJ133" s="585"/>
      <c r="DK133" s="586">
        <f>DK132/DK66</f>
        <v>497.2700281690141</v>
      </c>
      <c r="DL133" s="585"/>
      <c r="DM133" s="586">
        <f>DM132/DM66</f>
        <v>497.2700281690141</v>
      </c>
      <c r="DN133" s="585"/>
      <c r="DO133" s="586">
        <f>DO132/DO66</f>
        <v>497.2700281690141</v>
      </c>
      <c r="DP133" s="585"/>
      <c r="DQ133" s="586">
        <f>DQ132/DQ66</f>
        <v>114.56338028169014</v>
      </c>
      <c r="DR133" s="585"/>
      <c r="DS133" s="586">
        <f>DS132/DS66</f>
        <v>114.56338028169014</v>
      </c>
    </row>
    <row r="134" spans="1:123" outlineLevel="2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375"/>
      <c r="O134" s="376"/>
      <c r="P134" s="375"/>
      <c r="Q134" s="376"/>
      <c r="R134" s="375"/>
      <c r="S134" s="376"/>
      <c r="T134" s="375"/>
      <c r="U134" s="376"/>
      <c r="V134" s="375"/>
      <c r="W134" s="376"/>
      <c r="X134" s="375"/>
      <c r="Y134" s="376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375"/>
      <c r="BY134" s="376"/>
      <c r="BZ134" s="375"/>
      <c r="CA134" s="376"/>
      <c r="CB134" s="375"/>
      <c r="CC134" s="376"/>
      <c r="CD134" s="375"/>
      <c r="CE134" s="376"/>
      <c r="CF134" s="375"/>
      <c r="CG134" s="376"/>
      <c r="CH134" s="375"/>
      <c r="CI134" s="376"/>
      <c r="CJ134" s="375"/>
      <c r="CK134" s="376"/>
      <c r="CL134" s="375"/>
      <c r="CM134" s="376"/>
      <c r="CN134" s="375"/>
      <c r="CO134" s="376"/>
      <c r="CP134" s="375"/>
      <c r="CQ134" s="376"/>
      <c r="CR134" s="375"/>
      <c r="CS134" s="376"/>
      <c r="CT134" s="375"/>
      <c r="CU134" s="376"/>
      <c r="CV134" s="375"/>
      <c r="CW134" s="376"/>
      <c r="CX134" s="375"/>
      <c r="CY134" s="376"/>
      <c r="CZ134" s="375"/>
      <c r="DA134" s="376"/>
      <c r="DB134" s="375"/>
      <c r="DC134" s="376"/>
      <c r="DD134" s="375"/>
      <c r="DE134" s="376"/>
      <c r="DF134" s="375"/>
      <c r="DG134" s="376"/>
      <c r="DH134" s="375"/>
      <c r="DI134" s="376"/>
      <c r="DJ134" s="375"/>
      <c r="DK134" s="376"/>
      <c r="DL134" s="375"/>
      <c r="DM134" s="376"/>
      <c r="DN134" s="375"/>
      <c r="DO134" s="376"/>
      <c r="DP134" s="375"/>
      <c r="DQ134" s="376"/>
      <c r="DR134" s="375"/>
      <c r="DS134" s="376"/>
    </row>
    <row r="135" spans="1:123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224">
        <f>G64</f>
        <v>720</v>
      </c>
      <c r="H135" s="180"/>
      <c r="I135" s="224">
        <f>I64</f>
        <v>1150</v>
      </c>
      <c r="J135" s="180"/>
      <c r="K135" s="224">
        <f t="shared" ref="K135" si="1450">K64</f>
        <v>1150</v>
      </c>
      <c r="L135" s="180"/>
      <c r="M135" s="224">
        <f t="shared" ref="M135" si="1451">M64</f>
        <v>1150</v>
      </c>
      <c r="N135" s="380"/>
      <c r="O135" s="384">
        <f>O64</f>
        <v>1201.6723737053464</v>
      </c>
      <c r="P135" s="380"/>
      <c r="Q135" s="384">
        <f>Q64</f>
        <v>1200</v>
      </c>
      <c r="R135" s="380"/>
      <c r="S135" s="384">
        <f>S64</f>
        <v>1200</v>
      </c>
      <c r="T135" s="380"/>
      <c r="U135" s="384">
        <f>U64</f>
        <v>1207</v>
      </c>
      <c r="V135" s="380"/>
      <c r="W135" s="384">
        <f>W64</f>
        <v>1207</v>
      </c>
      <c r="X135" s="380"/>
      <c r="Y135" s="384">
        <f>Y64</f>
        <v>1207</v>
      </c>
      <c r="Z135" s="380"/>
      <c r="AA135" s="384">
        <f>AA64</f>
        <v>1207</v>
      </c>
      <c r="AB135" s="380"/>
      <c r="AC135" s="384">
        <f>AC64</f>
        <v>1207</v>
      </c>
      <c r="AD135" s="380"/>
      <c r="AE135" s="384">
        <f>AE64</f>
        <v>1207</v>
      </c>
      <c r="AF135" s="380"/>
      <c r="AG135" s="384">
        <f>AG64</f>
        <v>1207</v>
      </c>
      <c r="AH135" s="380"/>
      <c r="AI135" s="384">
        <f>AI64</f>
        <v>1207</v>
      </c>
      <c r="AJ135" s="380"/>
      <c r="AK135" s="384">
        <f>AK64</f>
        <v>1207</v>
      </c>
      <c r="AL135" s="380"/>
      <c r="AM135" s="384">
        <f>AM64</f>
        <v>1207</v>
      </c>
      <c r="AN135" s="380"/>
      <c r="AO135" s="384">
        <f>AO64</f>
        <v>1207</v>
      </c>
      <c r="AP135" s="380"/>
      <c r="AQ135" s="384">
        <f t="shared" ref="AQ135" si="1452">AQ64</f>
        <v>1207</v>
      </c>
      <c r="AR135" s="380"/>
      <c r="AS135" s="384">
        <f t="shared" ref="AS135" si="1453">AS64</f>
        <v>1207</v>
      </c>
      <c r="AT135" s="380"/>
      <c r="AU135" s="384">
        <f t="shared" ref="AU135" si="1454">AU64</f>
        <v>1207</v>
      </c>
      <c r="AV135" s="380"/>
      <c r="AW135" s="384">
        <f t="shared" ref="AW135" si="1455">AW64</f>
        <v>1207</v>
      </c>
      <c r="AX135" s="380"/>
      <c r="AY135" s="384">
        <f t="shared" ref="AY135" si="1456">AY64</f>
        <v>1207</v>
      </c>
      <c r="AZ135" s="380"/>
      <c r="BA135" s="384">
        <f t="shared" ref="BA135:BC135" si="1457">BA64</f>
        <v>1207</v>
      </c>
      <c r="BB135" s="380"/>
      <c r="BC135" s="384">
        <f t="shared" si="1457"/>
        <v>1207</v>
      </c>
      <c r="BD135" s="380"/>
      <c r="BE135" s="384">
        <f t="shared" ref="BE135:BI135" si="1458">BE64</f>
        <v>1207</v>
      </c>
      <c r="BF135" s="380"/>
      <c r="BG135" s="384">
        <f t="shared" si="1458"/>
        <v>1207</v>
      </c>
      <c r="BH135" s="380"/>
      <c r="BI135" s="384">
        <f t="shared" si="1458"/>
        <v>1207</v>
      </c>
      <c r="BJ135" s="380"/>
      <c r="BK135" s="384">
        <f t="shared" ref="BK135:BM135" si="1459">BK64</f>
        <v>750</v>
      </c>
      <c r="BL135" s="380"/>
      <c r="BM135" s="384">
        <f t="shared" si="1459"/>
        <v>750</v>
      </c>
      <c r="BN135" s="380"/>
      <c r="BO135" s="384">
        <f t="shared" ref="BO135:BQ135" si="1460">BO64</f>
        <v>750</v>
      </c>
      <c r="BP135" s="380"/>
      <c r="BQ135" s="384">
        <f t="shared" si="1460"/>
        <v>750</v>
      </c>
      <c r="BR135" s="380"/>
      <c r="BS135" s="384">
        <f t="shared" ref="BS135:CS135" si="1461">BS64</f>
        <v>750</v>
      </c>
      <c r="BT135" s="380"/>
      <c r="BU135" s="384">
        <f t="shared" ref="BU135:BW135" si="1462">BU64</f>
        <v>750</v>
      </c>
      <c r="BV135" s="380"/>
      <c r="BW135" s="384">
        <f t="shared" si="1462"/>
        <v>750</v>
      </c>
      <c r="BX135" s="380"/>
      <c r="BY135" s="384">
        <f t="shared" ref="BY135:CA135" si="1463">BY64</f>
        <v>750</v>
      </c>
      <c r="BZ135" s="380"/>
      <c r="CA135" s="384">
        <f t="shared" si="1463"/>
        <v>750</v>
      </c>
      <c r="CB135" s="380"/>
      <c r="CC135" s="384">
        <f t="shared" ref="CC135:CE135" si="1464">CC64</f>
        <v>750</v>
      </c>
      <c r="CD135" s="380"/>
      <c r="CE135" s="384">
        <f t="shared" si="1464"/>
        <v>750</v>
      </c>
      <c r="CF135" s="380"/>
      <c r="CG135" s="384">
        <f t="shared" ref="CG135:CI135" si="1465">CG64</f>
        <v>750</v>
      </c>
      <c r="CH135" s="380"/>
      <c r="CI135" s="384">
        <f t="shared" si="1465"/>
        <v>750</v>
      </c>
      <c r="CJ135" s="380"/>
      <c r="CK135" s="384">
        <f t="shared" ref="CK135:CM135" si="1466">CK64</f>
        <v>750</v>
      </c>
      <c r="CL135" s="380"/>
      <c r="CM135" s="384">
        <f t="shared" si="1466"/>
        <v>750</v>
      </c>
      <c r="CN135" s="380"/>
      <c r="CO135" s="384">
        <f t="shared" ref="CO135:CQ135" si="1467">CO64</f>
        <v>750</v>
      </c>
      <c r="CP135" s="380"/>
      <c r="CQ135" s="384">
        <f t="shared" si="1467"/>
        <v>750</v>
      </c>
      <c r="CR135" s="380"/>
      <c r="CS135" s="384">
        <f t="shared" si="1461"/>
        <v>750</v>
      </c>
      <c r="CT135" s="380"/>
      <c r="CU135" s="384">
        <f t="shared" ref="CU135" si="1468">CU64</f>
        <v>750</v>
      </c>
      <c r="CV135" s="380"/>
      <c r="CW135" s="384">
        <f>CW64</f>
        <v>1205.3855367665894</v>
      </c>
      <c r="CX135" s="380"/>
      <c r="CY135" s="384">
        <f>CY64</f>
        <v>1207</v>
      </c>
      <c r="CZ135" s="380"/>
      <c r="DA135" s="384">
        <f>DA64</f>
        <v>1207</v>
      </c>
      <c r="DB135" s="380"/>
      <c r="DC135" s="384">
        <f>DC64</f>
        <v>1207</v>
      </c>
      <c r="DD135" s="380"/>
      <c r="DE135" s="384">
        <f>DE64</f>
        <v>1206.1471380087817</v>
      </c>
      <c r="DF135" s="380"/>
      <c r="DG135" s="384">
        <f>DG64</f>
        <v>1207</v>
      </c>
      <c r="DH135" s="380"/>
      <c r="DI135" s="384">
        <f>DI64</f>
        <v>1207</v>
      </c>
      <c r="DJ135" s="380"/>
      <c r="DK135" s="384">
        <f>DK64</f>
        <v>1207</v>
      </c>
      <c r="DL135" s="380"/>
      <c r="DM135" s="384">
        <f>DM64</f>
        <v>1207</v>
      </c>
      <c r="DN135" s="380"/>
      <c r="DO135" s="384">
        <f>DO64</f>
        <v>1207</v>
      </c>
      <c r="DP135" s="380"/>
      <c r="DQ135" s="384">
        <f>DQ64</f>
        <v>1207</v>
      </c>
      <c r="DR135" s="380"/>
      <c r="DS135" s="384">
        <f>DS64</f>
        <v>1207</v>
      </c>
    </row>
    <row r="136" spans="1:123" outlineLevel="3" x14ac:dyDescent="0.45">
      <c r="A136" s="561"/>
      <c r="B136" s="1187"/>
      <c r="C136" s="161" t="s">
        <v>388</v>
      </c>
      <c r="D136" s="162"/>
      <c r="E136" s="179"/>
      <c r="F136" s="180"/>
      <c r="G136" s="224"/>
      <c r="H136" s="180"/>
      <c r="I136" s="224"/>
      <c r="J136" s="180"/>
      <c r="K136" s="224"/>
      <c r="L136" s="180"/>
      <c r="M136" s="224"/>
      <c r="N136" s="380"/>
      <c r="O136" s="384">
        <v>1218.4329798617337</v>
      </c>
      <c r="P136" s="380"/>
      <c r="Q136" s="384"/>
      <c r="R136" s="380"/>
      <c r="S136" s="384"/>
      <c r="T136" s="380"/>
      <c r="U136" s="384">
        <v>1259.5260591697977</v>
      </c>
      <c r="V136" s="380"/>
      <c r="W136" s="384">
        <v>1217.2291252275654</v>
      </c>
      <c r="X136" s="380"/>
      <c r="Y136" s="384">
        <v>1145.0320331239668</v>
      </c>
      <c r="Z136" s="380"/>
      <c r="AA136" s="384">
        <v>1085.430975307703</v>
      </c>
      <c r="AB136" s="380"/>
      <c r="AC136" s="384">
        <v>1108.3755962373266</v>
      </c>
      <c r="AD136" s="380"/>
      <c r="AE136" s="384">
        <v>1104.2096539652846</v>
      </c>
      <c r="AF136" s="380"/>
      <c r="AG136" s="384">
        <v>1055.8125524490413</v>
      </c>
      <c r="AH136" s="380"/>
      <c r="AI136" s="384">
        <v>890</v>
      </c>
      <c r="AJ136" s="380"/>
      <c r="AK136" s="384">
        <v>698.86237545072549</v>
      </c>
      <c r="AL136" s="380"/>
      <c r="AM136" s="384">
        <v>603.25203889527791</v>
      </c>
      <c r="AN136" s="380"/>
      <c r="AO136" s="384">
        <v>491.83805703114126</v>
      </c>
      <c r="AP136" s="380"/>
      <c r="AQ136" s="384">
        <v>353.48358486732587</v>
      </c>
      <c r="AR136" s="380"/>
      <c r="AS136" s="384">
        <v>290.58497252340732</v>
      </c>
      <c r="AT136" s="380"/>
      <c r="AU136" s="384">
        <v>285.25440113249226</v>
      </c>
      <c r="AV136" s="380"/>
      <c r="AW136" s="384">
        <v>243</v>
      </c>
      <c r="AX136" s="380"/>
      <c r="AY136" s="384">
        <v>230</v>
      </c>
      <c r="AZ136" s="380"/>
      <c r="BA136" s="384">
        <v>108</v>
      </c>
      <c r="BB136" s="380"/>
      <c r="BC136" s="384">
        <v>105</v>
      </c>
      <c r="BD136" s="380"/>
      <c r="BE136" s="384">
        <v>105</v>
      </c>
      <c r="BF136" s="380"/>
      <c r="BG136" s="384">
        <v>93</v>
      </c>
      <c r="BH136" s="380"/>
      <c r="BI136" s="384">
        <v>60</v>
      </c>
      <c r="BJ136" s="380"/>
      <c r="BK136" s="384">
        <v>60</v>
      </c>
      <c r="BL136" s="380"/>
      <c r="BM136" s="384">
        <v>55</v>
      </c>
      <c r="BN136" s="380"/>
      <c r="BO136" s="384">
        <v>76</v>
      </c>
      <c r="BP136" s="380"/>
      <c r="BQ136" s="384">
        <v>49</v>
      </c>
      <c r="BR136" s="380"/>
      <c r="BS136" s="384">
        <v>68</v>
      </c>
      <c r="BT136" s="380"/>
      <c r="BU136" s="384">
        <v>60</v>
      </c>
      <c r="BV136" s="380"/>
      <c r="BW136" s="384">
        <v>12</v>
      </c>
      <c r="BX136" s="380"/>
      <c r="BY136" s="384">
        <v>89.7</v>
      </c>
      <c r="BZ136" s="380"/>
      <c r="CA136" s="384">
        <v>295.30472103004291</v>
      </c>
      <c r="CB136" s="380"/>
      <c r="CC136" s="384">
        <v>212</v>
      </c>
      <c r="CD136" s="380"/>
      <c r="CE136" s="384">
        <v>49</v>
      </c>
      <c r="CF136" s="380"/>
      <c r="CG136" s="384">
        <v>61.756756756756758</v>
      </c>
      <c r="CH136" s="380"/>
      <c r="CI136" s="384">
        <v>15</v>
      </c>
      <c r="CJ136" s="380"/>
      <c r="CK136" s="384">
        <v>7</v>
      </c>
      <c r="CL136" s="380"/>
      <c r="CM136" s="384">
        <v>100</v>
      </c>
      <c r="CN136" s="380"/>
      <c r="CO136" s="384">
        <v>100</v>
      </c>
      <c r="CP136" s="380"/>
      <c r="CQ136" s="384">
        <v>300</v>
      </c>
      <c r="CR136" s="380"/>
      <c r="CS136" s="384">
        <v>35</v>
      </c>
      <c r="CT136" s="380"/>
      <c r="CU136" s="384">
        <v>35</v>
      </c>
      <c r="CV136" s="380"/>
      <c r="CW136" s="384">
        <f>(SUMPRODUCT(U136,U$131)+SUMPRODUCT(W136,W$131)+SUMPRODUCT(O136,O$131))/SUM(O$131,U$131,W$131)</f>
        <v>1231.0697853417669</v>
      </c>
      <c r="CX136" s="380"/>
      <c r="CY136" s="384">
        <f>(SUMPRODUCT(AA136,AA$131)+SUMPRODUCT(AC136,AC$131)+SUMPRODUCT(Y136,Y$131))/SUM(Y$131,AA$131,AC$131)</f>
        <v>1110.6052815101957</v>
      </c>
      <c r="CZ136" s="380"/>
      <c r="DA136" s="384">
        <f>(SUMPRODUCT(AG136,AG$131)+SUMPRODUCT(AE136,AE$131)+SUMPRODUCT(AI136,AI$131))/SUM(AI$131,AG$131,AE$131)</f>
        <v>1035.4453734230838</v>
      </c>
      <c r="DB136" s="380"/>
      <c r="DC136" s="384">
        <v>600</v>
      </c>
      <c r="DD136" s="380"/>
      <c r="DE136" s="384">
        <f>(SUMPRODUCT(O136,O$131)+SUMPRODUCT(U136,U$131)+SUMPRODUCT(W136,W$131)+SUMPRODUCT(Y136,Y$131)+SUMPRODUCT(AA136,AA$131)+SUMPRODUCT(AC136,AC$131))/SUM(U$131,O$131,W$131,Y$131,AA$131,AC$131)</f>
        <v>1174.2422814014151</v>
      </c>
      <c r="DF136" s="380"/>
      <c r="DG136" s="384">
        <v>900</v>
      </c>
      <c r="DH136" s="380"/>
      <c r="DI136" s="384">
        <v>900</v>
      </c>
      <c r="DJ136" s="380"/>
      <c r="DK136" s="384">
        <v>900</v>
      </c>
      <c r="DL136" s="380"/>
      <c r="DM136" s="384">
        <v>900</v>
      </c>
      <c r="DN136" s="380"/>
      <c r="DO136" s="384">
        <v>900</v>
      </c>
      <c r="DP136" s="380"/>
      <c r="DQ136" s="384">
        <v>900</v>
      </c>
      <c r="DR136" s="380"/>
      <c r="DS136" s="384">
        <v>900</v>
      </c>
    </row>
    <row r="137" spans="1:123" ht="14.45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>
        <v>1500</v>
      </c>
      <c r="H137" s="180"/>
      <c r="I137" s="224">
        <f>G137</f>
        <v>1500</v>
      </c>
      <c r="J137" s="180"/>
      <c r="K137" s="224">
        <f t="shared" ref="K137:K138" si="1469">I137</f>
        <v>1500</v>
      </c>
      <c r="L137" s="180"/>
      <c r="M137" s="224">
        <f t="shared" ref="M137:M138" si="1470">K137</f>
        <v>1500</v>
      </c>
      <c r="N137" s="380"/>
      <c r="O137" s="224">
        <f>'Pricing Structure - GSS'!O137</f>
        <v>1218</v>
      </c>
      <c r="P137" s="380"/>
      <c r="Q137" s="224">
        <f>O137</f>
        <v>1218</v>
      </c>
      <c r="R137" s="380"/>
      <c r="S137" s="224">
        <f>Q137</f>
        <v>1218</v>
      </c>
      <c r="T137" s="380"/>
      <c r="U137" s="224">
        <f>'Pricing Structure - GSS'!U137</f>
        <v>1244</v>
      </c>
      <c r="V137" s="380"/>
      <c r="W137" s="224">
        <f>'Pricing Structure - GSS'!W137</f>
        <v>1244</v>
      </c>
      <c r="X137" s="380"/>
      <c r="Y137" s="224">
        <f>'Pricing Structure - GSS'!Y137</f>
        <v>1244</v>
      </c>
      <c r="Z137" s="380"/>
      <c r="AA137" s="224">
        <f>'Pricing Structure - GSS'!AA137</f>
        <v>1244</v>
      </c>
      <c r="AB137" s="380"/>
      <c r="AC137" s="224">
        <f>'Pricing Structure - GSS'!AC137</f>
        <v>1244</v>
      </c>
      <c r="AD137" s="380"/>
      <c r="AE137" s="224">
        <f>'Pricing Structure - GSS'!AE137</f>
        <v>1244</v>
      </c>
      <c r="AF137" s="380"/>
      <c r="AG137" s="224">
        <f>'Pricing Structure - GSS'!AG137</f>
        <v>1244</v>
      </c>
      <c r="AH137" s="380"/>
      <c r="AI137" s="224">
        <f>'Pricing Structure - GSS'!AI137</f>
        <v>1244</v>
      </c>
      <c r="AJ137" s="380"/>
      <c r="AK137" s="224">
        <f>'Pricing Structure - GSS'!CW137</f>
        <v>1244</v>
      </c>
      <c r="AL137" s="380"/>
      <c r="AM137" s="224">
        <f>'Pricing Structure - GSS'!CY137</f>
        <v>1244</v>
      </c>
      <c r="AN137" s="380"/>
      <c r="AO137" s="224">
        <f>'Pricing Structure - GSS'!DA137</f>
        <v>1244</v>
      </c>
      <c r="AP137" s="380"/>
      <c r="AQ137" s="224">
        <f>'Pricing Structure - GSS'!DC137</f>
        <v>1244</v>
      </c>
      <c r="AR137" s="380"/>
      <c r="AS137" s="224">
        <f>'Pricing Structure - GSS'!DE137</f>
        <v>1244</v>
      </c>
      <c r="AT137" s="380"/>
      <c r="AU137" s="224">
        <f>'Pricing Structure - GSS'!DG137</f>
        <v>1244</v>
      </c>
      <c r="AV137" s="380"/>
      <c r="AW137" s="224">
        <f>'Pricing Structure - GSS'!DI137</f>
        <v>1244</v>
      </c>
      <c r="AX137" s="380"/>
      <c r="AY137" s="224">
        <f>'Pricing Structure - GSS'!DK137</f>
        <v>1244</v>
      </c>
      <c r="AZ137" s="380"/>
      <c r="BA137" s="224">
        <f>'Pricing Structure - GSS'!DM137</f>
        <v>0</v>
      </c>
      <c r="BB137" s="380"/>
      <c r="BC137" s="224">
        <f>'Pricing Structure - GSS'!DO137</f>
        <v>0</v>
      </c>
      <c r="BD137" s="380"/>
      <c r="BE137" s="224">
        <f>'Pricing Structure - GSS'!DQ137</f>
        <v>0</v>
      </c>
      <c r="BF137" s="380"/>
      <c r="BG137" s="224">
        <f>'Pricing Structure - GSS'!DS137</f>
        <v>0</v>
      </c>
      <c r="BH137" s="380"/>
      <c r="BI137" s="224">
        <f>'Pricing Structure - GSS'!DU137</f>
        <v>0</v>
      </c>
      <c r="BJ137" s="380"/>
      <c r="BK137" s="224">
        <f>'Pricing Structure - GSS'!DW137</f>
        <v>0</v>
      </c>
      <c r="BL137" s="380"/>
      <c r="BM137" s="224">
        <f>'Pricing Structure - GSS'!DY137</f>
        <v>0</v>
      </c>
      <c r="BN137" s="380"/>
      <c r="BO137" s="224">
        <f>'Pricing Structure - GSS'!EA137</f>
        <v>0</v>
      </c>
      <c r="BP137" s="380"/>
      <c r="BQ137" s="224">
        <f>'Pricing Structure - GSS'!EC137</f>
        <v>0</v>
      </c>
      <c r="BR137" s="380"/>
      <c r="BS137" s="224">
        <f>'Pricing Structure - GSS'!EE137</f>
        <v>0</v>
      </c>
      <c r="BT137" s="380"/>
      <c r="BU137" s="224">
        <f>'Pricing Structure - GSS'!EG137</f>
        <v>0</v>
      </c>
      <c r="BV137" s="380"/>
      <c r="BW137" s="224">
        <f>'Pricing Structure - GSS'!EI137</f>
        <v>0</v>
      </c>
      <c r="BX137" s="380"/>
      <c r="BY137" s="224">
        <f>'Pricing Structure - GSS'!EK137</f>
        <v>0</v>
      </c>
      <c r="BZ137" s="380"/>
      <c r="CA137" s="224">
        <f>'Pricing Structure - GSS'!EM137</f>
        <v>0</v>
      </c>
      <c r="CB137" s="380"/>
      <c r="CC137" s="224">
        <f>'Pricing Structure - GSS'!EO137</f>
        <v>0</v>
      </c>
      <c r="CD137" s="380"/>
      <c r="CE137" s="224">
        <f>'Pricing Structure - GSS'!EQ137</f>
        <v>0</v>
      </c>
      <c r="CF137" s="380"/>
      <c r="CG137" s="224">
        <f>'Pricing Structure - GSS'!ES137</f>
        <v>0</v>
      </c>
      <c r="CH137" s="380"/>
      <c r="CI137" s="224">
        <f>'Pricing Structure - GSS'!EU137</f>
        <v>0</v>
      </c>
      <c r="CJ137" s="380"/>
      <c r="CK137" s="224">
        <f>'Pricing Structure - GSS'!EW137</f>
        <v>0</v>
      </c>
      <c r="CL137" s="380"/>
      <c r="CM137" s="224">
        <f>'Pricing Structure - GSS'!EY137</f>
        <v>0</v>
      </c>
      <c r="CN137" s="380"/>
      <c r="CO137" s="224">
        <f>'Pricing Structure - GSS'!EK137</f>
        <v>0</v>
      </c>
      <c r="CP137" s="380"/>
      <c r="CQ137" s="224">
        <f>'Pricing Structure - GSS'!EM137</f>
        <v>0</v>
      </c>
      <c r="CR137" s="380"/>
      <c r="CS137" s="224">
        <f>'Pricing Structure - GSS'!EG137</f>
        <v>0</v>
      </c>
      <c r="CT137" s="380"/>
      <c r="CU137" s="224">
        <f>'Pricing Structure - GSS'!EI137</f>
        <v>0</v>
      </c>
      <c r="CV137" s="380"/>
      <c r="CW137" s="224">
        <f>'Pricing Structure - GSS'!CW137</f>
        <v>1244</v>
      </c>
      <c r="CX137" s="380"/>
      <c r="CY137" s="224">
        <f>'Pricing Structure - GSS'!CY137</f>
        <v>1244</v>
      </c>
      <c r="CZ137" s="380"/>
      <c r="DA137" s="224">
        <f>'Pricing Structure - GSS'!DA137</f>
        <v>1244</v>
      </c>
      <c r="DB137" s="380"/>
      <c r="DC137" s="224">
        <f>'Pricing Structure - GSS'!DC137</f>
        <v>1244</v>
      </c>
      <c r="DD137" s="380"/>
      <c r="DE137" s="224">
        <f>'Pricing Structure - GSS'!DE137</f>
        <v>1244</v>
      </c>
      <c r="DF137" s="380"/>
      <c r="DG137" s="224">
        <f>'Pricing Structure - GSS'!DG137</f>
        <v>1244</v>
      </c>
      <c r="DH137" s="380"/>
      <c r="DI137" s="224">
        <f>'Pricing Structure - GSS'!DI137</f>
        <v>1244</v>
      </c>
      <c r="DJ137" s="380"/>
      <c r="DK137" s="224">
        <f>'Pricing Structure - GSS'!DK137</f>
        <v>1244</v>
      </c>
      <c r="DL137" s="380"/>
      <c r="DM137" s="224">
        <f>'Pricing Structure - GSS'!DK137</f>
        <v>1244</v>
      </c>
      <c r="DN137" s="380"/>
      <c r="DO137" s="224">
        <f>'Pricing Structure - GSS'!DM137</f>
        <v>0</v>
      </c>
      <c r="DP137" s="380"/>
      <c r="DQ137" s="224">
        <f>'Pricing Structure - GSS'!DQ137</f>
        <v>0</v>
      </c>
      <c r="DR137" s="380"/>
      <c r="DS137" s="224">
        <f>'Pricing Structure - GSS'!DS137</f>
        <v>0</v>
      </c>
    </row>
    <row r="138" spans="1:123" ht="14.45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1200</v>
      </c>
      <c r="H138" s="180"/>
      <c r="I138" s="224">
        <f>G138</f>
        <v>1200</v>
      </c>
      <c r="J138" s="180"/>
      <c r="K138" s="224">
        <f t="shared" si="1469"/>
        <v>1200</v>
      </c>
      <c r="L138" s="180"/>
      <c r="M138" s="224">
        <f t="shared" si="1470"/>
        <v>1200</v>
      </c>
      <c r="N138" s="380"/>
      <c r="O138" s="224">
        <v>1200</v>
      </c>
      <c r="P138" s="380"/>
      <c r="Q138" s="224">
        <f>O138</f>
        <v>1200</v>
      </c>
      <c r="R138" s="380"/>
      <c r="S138" s="224">
        <f>Q138</f>
        <v>1200</v>
      </c>
      <c r="T138" s="380"/>
      <c r="U138" s="224">
        <v>1200</v>
      </c>
      <c r="V138" s="380"/>
      <c r="W138" s="224">
        <v>1200</v>
      </c>
      <c r="X138" s="380"/>
      <c r="Y138" s="224">
        <v>1200</v>
      </c>
      <c r="Z138" s="380"/>
      <c r="AA138" s="224">
        <v>1200</v>
      </c>
      <c r="AB138" s="380"/>
      <c r="AC138" s="224">
        <v>1200</v>
      </c>
      <c r="AD138" s="380"/>
      <c r="AE138" s="224">
        <v>1200</v>
      </c>
      <c r="AF138" s="380"/>
      <c r="AG138" s="224">
        <v>1200</v>
      </c>
      <c r="AH138" s="380"/>
      <c r="AI138" s="224">
        <v>1200</v>
      </c>
      <c r="AJ138" s="380"/>
      <c r="AK138" s="224">
        <v>1200</v>
      </c>
      <c r="AL138" s="380"/>
      <c r="AM138" s="224">
        <v>1200</v>
      </c>
      <c r="AN138" s="380"/>
      <c r="AO138" s="224">
        <v>1200</v>
      </c>
      <c r="AP138" s="380"/>
      <c r="AQ138" s="224">
        <v>1200</v>
      </c>
      <c r="AR138" s="380"/>
      <c r="AS138" s="224">
        <v>1200</v>
      </c>
      <c r="AT138" s="380"/>
      <c r="AU138" s="224">
        <v>1200</v>
      </c>
      <c r="AV138" s="380"/>
      <c r="AW138" s="224">
        <v>1200</v>
      </c>
      <c r="AX138" s="380"/>
      <c r="AY138" s="224">
        <v>1200</v>
      </c>
      <c r="AZ138" s="380"/>
      <c r="BA138" s="224">
        <v>1200</v>
      </c>
      <c r="BB138" s="380"/>
      <c r="BC138" s="224">
        <v>1200</v>
      </c>
      <c r="BD138" s="380"/>
      <c r="BE138" s="224">
        <v>1200</v>
      </c>
      <c r="BF138" s="380"/>
      <c r="BG138" s="224">
        <v>1200</v>
      </c>
      <c r="BH138" s="380"/>
      <c r="BI138" s="224">
        <v>1200</v>
      </c>
      <c r="BJ138" s="380"/>
      <c r="BK138" s="224">
        <v>1200</v>
      </c>
      <c r="BL138" s="380"/>
      <c r="BM138" s="224">
        <v>1200</v>
      </c>
      <c r="BN138" s="380"/>
      <c r="BO138" s="224">
        <v>1200</v>
      </c>
      <c r="BP138" s="380"/>
      <c r="BQ138" s="224">
        <v>1200</v>
      </c>
      <c r="BR138" s="380"/>
      <c r="BS138" s="224">
        <v>1200</v>
      </c>
      <c r="BT138" s="380"/>
      <c r="BU138" s="224">
        <v>1200</v>
      </c>
      <c r="BV138" s="380"/>
      <c r="BW138" s="224">
        <v>1200</v>
      </c>
      <c r="BX138" s="380"/>
      <c r="BY138" s="224">
        <v>1200</v>
      </c>
      <c r="BZ138" s="380"/>
      <c r="CA138" s="224">
        <v>1200</v>
      </c>
      <c r="CB138" s="380"/>
      <c r="CC138" s="224">
        <v>1200</v>
      </c>
      <c r="CD138" s="380"/>
      <c r="CE138" s="224">
        <v>1200</v>
      </c>
      <c r="CF138" s="380"/>
      <c r="CG138" s="224">
        <v>1200</v>
      </c>
      <c r="CH138" s="380"/>
      <c r="CI138" s="224">
        <v>1200</v>
      </c>
      <c r="CJ138" s="380"/>
      <c r="CK138" s="224">
        <v>1200</v>
      </c>
      <c r="CL138" s="380"/>
      <c r="CM138" s="224">
        <v>1200</v>
      </c>
      <c r="CN138" s="380"/>
      <c r="CO138" s="224">
        <v>1200</v>
      </c>
      <c r="CP138" s="380"/>
      <c r="CQ138" s="224">
        <v>1200</v>
      </c>
      <c r="CR138" s="380"/>
      <c r="CS138" s="224">
        <v>1200</v>
      </c>
      <c r="CT138" s="380"/>
      <c r="CU138" s="224">
        <v>1200</v>
      </c>
      <c r="CV138" s="380"/>
      <c r="CW138" s="224">
        <v>1200</v>
      </c>
      <c r="CX138" s="380"/>
      <c r="CY138" s="224">
        <v>1200</v>
      </c>
      <c r="CZ138" s="380"/>
      <c r="DA138" s="224">
        <v>1200</v>
      </c>
      <c r="DB138" s="380"/>
      <c r="DC138" s="224">
        <v>1200</v>
      </c>
      <c r="DD138" s="380"/>
      <c r="DE138" s="224">
        <v>1200</v>
      </c>
      <c r="DF138" s="380"/>
      <c r="DG138" s="224">
        <v>1200</v>
      </c>
      <c r="DH138" s="380"/>
      <c r="DI138" s="224">
        <v>1200</v>
      </c>
      <c r="DJ138" s="380"/>
      <c r="DK138" s="224">
        <v>1200</v>
      </c>
      <c r="DL138" s="380"/>
      <c r="DM138" s="224">
        <v>1200</v>
      </c>
      <c r="DN138" s="380"/>
      <c r="DO138" s="224">
        <v>1200</v>
      </c>
      <c r="DP138" s="380"/>
      <c r="DQ138" s="224">
        <v>1200</v>
      </c>
      <c r="DR138" s="380"/>
      <c r="DS138" s="224">
        <v>1200</v>
      </c>
    </row>
    <row r="139" spans="1:123" ht="14.45" customHeight="1" outlineLevel="4" x14ac:dyDescent="0.45">
      <c r="A139" s="561"/>
      <c r="B139" s="1187"/>
      <c r="C139" s="225" t="s">
        <v>130</v>
      </c>
      <c r="D139" s="162"/>
      <c r="E139" s="179"/>
      <c r="F139" s="180"/>
      <c r="G139" s="224">
        <v>750</v>
      </c>
      <c r="H139" s="180"/>
      <c r="I139" s="224">
        <v>750</v>
      </c>
      <c r="J139" s="180"/>
      <c r="K139" s="224">
        <v>750</v>
      </c>
      <c r="L139" s="180"/>
      <c r="M139" s="224">
        <v>750</v>
      </c>
      <c r="N139" s="380"/>
      <c r="O139" s="384">
        <v>750</v>
      </c>
      <c r="P139" s="380"/>
      <c r="Q139" s="384">
        <v>750</v>
      </c>
      <c r="R139" s="380"/>
      <c r="S139" s="384">
        <v>750</v>
      </c>
      <c r="T139" s="380"/>
      <c r="U139" s="384">
        <v>750</v>
      </c>
      <c r="V139" s="380"/>
      <c r="W139" s="384">
        <v>750</v>
      </c>
      <c r="X139" s="380"/>
      <c r="Y139" s="384">
        <v>750</v>
      </c>
      <c r="Z139" s="380"/>
      <c r="AA139" s="384">
        <v>750</v>
      </c>
      <c r="AB139" s="380"/>
      <c r="AC139" s="384">
        <v>750</v>
      </c>
      <c r="AD139" s="380"/>
      <c r="AE139" s="384">
        <v>750</v>
      </c>
      <c r="AF139" s="380"/>
      <c r="AG139" s="384">
        <v>750</v>
      </c>
      <c r="AH139" s="380"/>
      <c r="AI139" s="384">
        <v>750</v>
      </c>
      <c r="AJ139" s="380"/>
      <c r="AK139" s="384">
        <v>750</v>
      </c>
      <c r="AL139" s="380"/>
      <c r="AM139" s="384">
        <v>750</v>
      </c>
      <c r="AN139" s="380"/>
      <c r="AO139" s="384">
        <v>750</v>
      </c>
      <c r="AP139" s="380"/>
      <c r="AQ139" s="384">
        <v>750</v>
      </c>
      <c r="AR139" s="380"/>
      <c r="AS139" s="384">
        <v>750</v>
      </c>
      <c r="AT139" s="380"/>
      <c r="AU139" s="384">
        <v>750</v>
      </c>
      <c r="AV139" s="380"/>
      <c r="AW139" s="384">
        <v>750</v>
      </c>
      <c r="AX139" s="380"/>
      <c r="AY139" s="384">
        <v>750</v>
      </c>
      <c r="AZ139" s="380"/>
      <c r="BA139" s="384">
        <v>750</v>
      </c>
      <c r="BB139" s="380"/>
      <c r="BC139" s="384">
        <v>750</v>
      </c>
      <c r="BD139" s="380"/>
      <c r="BE139" s="384">
        <v>750</v>
      </c>
      <c r="BF139" s="380"/>
      <c r="BG139" s="384">
        <v>750</v>
      </c>
      <c r="BH139" s="380"/>
      <c r="BI139" s="384">
        <v>750</v>
      </c>
      <c r="BJ139" s="380"/>
      <c r="BK139" s="384">
        <v>750</v>
      </c>
      <c r="BL139" s="380"/>
      <c r="BM139" s="384">
        <v>750</v>
      </c>
      <c r="BN139" s="380"/>
      <c r="BO139" s="384">
        <v>750</v>
      </c>
      <c r="BP139" s="380"/>
      <c r="BQ139" s="384">
        <v>750</v>
      </c>
      <c r="BR139" s="380"/>
      <c r="BS139" s="384">
        <v>750</v>
      </c>
      <c r="BT139" s="380"/>
      <c r="BU139" s="384">
        <v>750</v>
      </c>
      <c r="BV139" s="380"/>
      <c r="BW139" s="384">
        <v>750</v>
      </c>
      <c r="BX139" s="380"/>
      <c r="BY139" s="384">
        <v>750</v>
      </c>
      <c r="BZ139" s="380"/>
      <c r="CA139" s="384">
        <v>750</v>
      </c>
      <c r="CB139" s="380"/>
      <c r="CC139" s="384">
        <v>750</v>
      </c>
      <c r="CD139" s="380"/>
      <c r="CE139" s="384">
        <v>750</v>
      </c>
      <c r="CF139" s="380"/>
      <c r="CG139" s="384">
        <v>750</v>
      </c>
      <c r="CH139" s="380"/>
      <c r="CI139" s="384">
        <v>750</v>
      </c>
      <c r="CJ139" s="380"/>
      <c r="CK139" s="384">
        <v>750</v>
      </c>
      <c r="CL139" s="380"/>
      <c r="CM139" s="384">
        <v>750</v>
      </c>
      <c r="CN139" s="380"/>
      <c r="CO139" s="384">
        <v>750</v>
      </c>
      <c r="CP139" s="380"/>
      <c r="CQ139" s="384">
        <v>750</v>
      </c>
      <c r="CR139" s="380"/>
      <c r="CS139" s="384">
        <v>750</v>
      </c>
      <c r="CT139" s="380"/>
      <c r="CU139" s="384">
        <v>750</v>
      </c>
      <c r="CV139" s="380"/>
      <c r="CW139" s="384">
        <v>750</v>
      </c>
      <c r="CX139" s="380"/>
      <c r="CY139" s="384">
        <v>750</v>
      </c>
      <c r="CZ139" s="380"/>
      <c r="DA139" s="384">
        <v>750</v>
      </c>
      <c r="DB139" s="380"/>
      <c r="DC139" s="384">
        <v>750</v>
      </c>
      <c r="DD139" s="380"/>
      <c r="DE139" s="384">
        <v>750</v>
      </c>
      <c r="DF139" s="380"/>
      <c r="DG139" s="384">
        <v>750</v>
      </c>
      <c r="DH139" s="380"/>
      <c r="DI139" s="384">
        <v>750</v>
      </c>
      <c r="DJ139" s="380"/>
      <c r="DK139" s="384">
        <v>750</v>
      </c>
      <c r="DL139" s="380"/>
      <c r="DM139" s="384">
        <v>750</v>
      </c>
      <c r="DN139" s="380"/>
      <c r="DO139" s="384">
        <v>750</v>
      </c>
      <c r="DP139" s="380"/>
      <c r="DQ139" s="384">
        <v>750</v>
      </c>
      <c r="DR139" s="380"/>
      <c r="DS139" s="384">
        <v>750</v>
      </c>
    </row>
    <row r="140" spans="1:123" outlineLevel="3" x14ac:dyDescent="0.45">
      <c r="A140" s="561"/>
      <c r="B140" s="1187"/>
      <c r="C140" s="170"/>
      <c r="D140" s="162"/>
      <c r="E140" s="197"/>
      <c r="F140" s="164"/>
      <c r="G140" s="171"/>
      <c r="H140" s="164"/>
      <c r="I140" s="171"/>
      <c r="J140" s="164"/>
      <c r="K140" s="171"/>
      <c r="L140" s="164"/>
      <c r="M140" s="171"/>
      <c r="N140" s="359"/>
      <c r="O140" s="372"/>
      <c r="P140" s="359"/>
      <c r="Q140" s="372"/>
      <c r="R140" s="359"/>
      <c r="S140" s="372"/>
      <c r="T140" s="359"/>
      <c r="U140" s="372"/>
      <c r="V140" s="359"/>
      <c r="W140" s="372"/>
      <c r="X140" s="359"/>
      <c r="Y140" s="372"/>
      <c r="Z140" s="359"/>
      <c r="AA140" s="372"/>
      <c r="AB140" s="359"/>
      <c r="AC140" s="372"/>
      <c r="AD140" s="359"/>
      <c r="AE140" s="372"/>
      <c r="AF140" s="359"/>
      <c r="AG140" s="372"/>
      <c r="AH140" s="359"/>
      <c r="AI140" s="372"/>
      <c r="AJ140" s="359"/>
      <c r="AK140" s="372"/>
      <c r="AL140" s="359"/>
      <c r="AM140" s="372"/>
      <c r="AN140" s="359"/>
      <c r="AO140" s="372"/>
      <c r="AP140" s="359"/>
      <c r="AQ140" s="372"/>
      <c r="AR140" s="359"/>
      <c r="AS140" s="372"/>
      <c r="AT140" s="359"/>
      <c r="AU140" s="372"/>
      <c r="AV140" s="359"/>
      <c r="AW140" s="372"/>
      <c r="AX140" s="359"/>
      <c r="AY140" s="372"/>
      <c r="AZ140" s="359"/>
      <c r="BA140" s="372"/>
      <c r="BB140" s="359"/>
      <c r="BC140" s="372"/>
      <c r="BD140" s="359"/>
      <c r="BE140" s="372"/>
      <c r="BF140" s="359"/>
      <c r="BG140" s="372"/>
      <c r="BH140" s="359"/>
      <c r="BI140" s="372"/>
      <c r="BJ140" s="359"/>
      <c r="BK140" s="372"/>
      <c r="BL140" s="359"/>
      <c r="BM140" s="372"/>
      <c r="BN140" s="359"/>
      <c r="BO140" s="372"/>
      <c r="BP140" s="359"/>
      <c r="BQ140" s="372"/>
      <c r="BR140" s="359"/>
      <c r="BS140" s="372"/>
      <c r="BT140" s="359"/>
      <c r="BU140" s="372"/>
      <c r="BV140" s="359"/>
      <c r="BW140" s="372"/>
      <c r="BX140" s="359"/>
      <c r="BY140" s="372"/>
      <c r="BZ140" s="359"/>
      <c r="CA140" s="372"/>
      <c r="CB140" s="359"/>
      <c r="CC140" s="372"/>
      <c r="CD140" s="359"/>
      <c r="CE140" s="372"/>
      <c r="CF140" s="359"/>
      <c r="CG140" s="372"/>
      <c r="CH140" s="359"/>
      <c r="CI140" s="372"/>
      <c r="CJ140" s="359"/>
      <c r="CK140" s="372"/>
      <c r="CL140" s="359"/>
      <c r="CM140" s="372"/>
      <c r="CN140" s="359"/>
      <c r="CO140" s="372"/>
      <c r="CP140" s="359"/>
      <c r="CQ140" s="372"/>
      <c r="CR140" s="359"/>
      <c r="CS140" s="372"/>
      <c r="CT140" s="359"/>
      <c r="CU140" s="372"/>
      <c r="CV140" s="359"/>
      <c r="CW140" s="372"/>
      <c r="CX140" s="359"/>
      <c r="CY140" s="372"/>
      <c r="CZ140" s="359"/>
      <c r="DA140" s="372"/>
      <c r="DB140" s="359"/>
      <c r="DC140" s="372"/>
      <c r="DD140" s="359"/>
      <c r="DE140" s="372"/>
      <c r="DF140" s="359"/>
      <c r="DG140" s="372"/>
      <c r="DH140" s="359"/>
      <c r="DI140" s="372"/>
      <c r="DJ140" s="359"/>
      <c r="DK140" s="372"/>
      <c r="DL140" s="359"/>
      <c r="DM140" s="372"/>
      <c r="DN140" s="359"/>
      <c r="DO140" s="372"/>
      <c r="DP140" s="359"/>
      <c r="DQ140" s="372"/>
      <c r="DR140" s="359"/>
      <c r="DS140" s="372"/>
    </row>
    <row r="141" spans="1:123" outlineLevel="3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G137-G135</f>
        <v>780</v>
      </c>
      <c r="H141" s="229"/>
      <c r="I141" s="230">
        <f>I137-I135</f>
        <v>350</v>
      </c>
      <c r="J141" s="229"/>
      <c r="K141" s="230">
        <f>K137-K135</f>
        <v>350</v>
      </c>
      <c r="L141" s="229"/>
      <c r="M141" s="230">
        <f>M137-M135</f>
        <v>350</v>
      </c>
      <c r="N141" s="229"/>
      <c r="O141" s="588">
        <f>O136-O135</f>
        <v>16.760606156387212</v>
      </c>
      <c r="P141" s="1102"/>
      <c r="Q141" s="588">
        <f>Q137-Q135</f>
        <v>18</v>
      </c>
      <c r="R141" s="1102"/>
      <c r="S141" s="588">
        <f>S137-S135</f>
        <v>18</v>
      </c>
      <c r="T141" s="1102"/>
      <c r="U141" s="588">
        <f>U136-U135</f>
        <v>52.526059169797691</v>
      </c>
      <c r="V141" s="1102"/>
      <c r="W141" s="588">
        <f>W136-W135</f>
        <v>10.229125227565419</v>
      </c>
      <c r="X141" s="1102"/>
      <c r="Y141" s="588">
        <f>Y136-Y135</f>
        <v>-61.967966876033188</v>
      </c>
      <c r="Z141" s="1102"/>
      <c r="AA141" s="588">
        <f>AA136-AA135</f>
        <v>-121.56902469229703</v>
      </c>
      <c r="AB141" s="1102"/>
      <c r="AC141" s="588">
        <f>AC136-AC135</f>
        <v>-98.62440376267341</v>
      </c>
      <c r="AD141" s="1102"/>
      <c r="AE141" s="588">
        <f>AE136-AE135</f>
        <v>-102.79034603471541</v>
      </c>
      <c r="AF141" s="1102"/>
      <c r="AG141" s="588">
        <f>AG136-AG135</f>
        <v>-151.18744755095872</v>
      </c>
      <c r="AH141" s="1102"/>
      <c r="AI141" s="588">
        <f>AI136-AI135</f>
        <v>-317</v>
      </c>
      <c r="AJ141" s="1102"/>
      <c r="AK141" s="588">
        <f>AK136-AK135</f>
        <v>-508.13762454927451</v>
      </c>
      <c r="AL141" s="1102"/>
      <c r="AM141" s="588">
        <f>AM136-AM135</f>
        <v>-603.74796110472209</v>
      </c>
      <c r="AN141" s="1102"/>
      <c r="AO141" s="588">
        <f>AO136-AO135</f>
        <v>-715.16194296885874</v>
      </c>
      <c r="AP141" s="1102"/>
      <c r="AQ141" s="588">
        <f t="shared" ref="AQ141" si="1471">AQ136-AQ135</f>
        <v>-853.51641513267418</v>
      </c>
      <c r="AR141" s="1102"/>
      <c r="AS141" s="588">
        <f t="shared" ref="AS141" si="1472">AS136-AS135</f>
        <v>-916.41502747659274</v>
      </c>
      <c r="AT141" s="1102"/>
      <c r="AU141" s="588">
        <f t="shared" ref="AU141" si="1473">AU136-AU135</f>
        <v>-921.74559886750774</v>
      </c>
      <c r="AV141" s="1102"/>
      <c r="AW141" s="588">
        <f t="shared" ref="AW141" si="1474">AW136-AW135</f>
        <v>-964</v>
      </c>
      <c r="AX141" s="1102"/>
      <c r="AY141" s="588">
        <f t="shared" ref="AY141" si="1475">AY136-AY135</f>
        <v>-977</v>
      </c>
      <c r="AZ141" s="1102"/>
      <c r="BA141" s="588">
        <f t="shared" ref="BA141:BC141" si="1476">BA136-BA135</f>
        <v>-1099</v>
      </c>
      <c r="BB141" s="1102"/>
      <c r="BC141" s="588">
        <f t="shared" si="1476"/>
        <v>-1102</v>
      </c>
      <c r="BD141" s="1102"/>
      <c r="BE141" s="588">
        <f t="shared" ref="BE141:BI141" si="1477">BE136-BE135</f>
        <v>-1102</v>
      </c>
      <c r="BF141" s="1102"/>
      <c r="BG141" s="588">
        <f t="shared" si="1477"/>
        <v>-1114</v>
      </c>
      <c r="BH141" s="1102"/>
      <c r="BI141" s="588">
        <f t="shared" si="1477"/>
        <v>-1147</v>
      </c>
      <c r="BJ141" s="1102"/>
      <c r="BK141" s="588">
        <f t="shared" ref="BK141:BM141" si="1478">BK136-BK135</f>
        <v>-690</v>
      </c>
      <c r="BL141" s="1102"/>
      <c r="BM141" s="588">
        <f t="shared" si="1478"/>
        <v>-695</v>
      </c>
      <c r="BN141" s="1102"/>
      <c r="BO141" s="588">
        <f t="shared" ref="BO141:BQ141" si="1479">BO136-BO135</f>
        <v>-674</v>
      </c>
      <c r="BP141" s="1102"/>
      <c r="BQ141" s="588">
        <f t="shared" si="1479"/>
        <v>-701</v>
      </c>
      <c r="BR141" s="1102"/>
      <c r="BS141" s="588">
        <f t="shared" ref="BS141:CS141" si="1480">BS136-BS135</f>
        <v>-682</v>
      </c>
      <c r="BT141" s="1102"/>
      <c r="BU141" s="588">
        <f t="shared" ref="BU141:BW141" si="1481">BU136-BU135</f>
        <v>-690</v>
      </c>
      <c r="BV141" s="1102"/>
      <c r="BW141" s="588">
        <f t="shared" si="1481"/>
        <v>-738</v>
      </c>
      <c r="BX141" s="1102"/>
      <c r="BY141" s="588">
        <f t="shared" ref="BY141:CA141" si="1482">BY136-BY135</f>
        <v>-660.3</v>
      </c>
      <c r="BZ141" s="1102"/>
      <c r="CA141" s="588">
        <f t="shared" si="1482"/>
        <v>-454.69527896995709</v>
      </c>
      <c r="CB141" s="1102"/>
      <c r="CC141" s="588">
        <f t="shared" ref="CC141:CE141" si="1483">CC136-CC135</f>
        <v>-538</v>
      </c>
      <c r="CD141" s="1102"/>
      <c r="CE141" s="588">
        <f t="shared" si="1483"/>
        <v>-701</v>
      </c>
      <c r="CF141" s="1102"/>
      <c r="CG141" s="588">
        <f t="shared" ref="CG141:CI141" si="1484">CG136-CG135</f>
        <v>-688.24324324324323</v>
      </c>
      <c r="CH141" s="1102"/>
      <c r="CI141" s="588">
        <f t="shared" si="1484"/>
        <v>-735</v>
      </c>
      <c r="CJ141" s="1102"/>
      <c r="CK141" s="588">
        <f t="shared" ref="CK141:CM141" si="1485">CK136-CK135</f>
        <v>-743</v>
      </c>
      <c r="CL141" s="1102"/>
      <c r="CM141" s="588">
        <f t="shared" si="1485"/>
        <v>-650</v>
      </c>
      <c r="CN141" s="1102"/>
      <c r="CO141" s="588">
        <f t="shared" ref="CO141:CQ141" si="1486">CO136-CO135</f>
        <v>-650</v>
      </c>
      <c r="CP141" s="1102"/>
      <c r="CQ141" s="588">
        <f t="shared" si="1486"/>
        <v>-450</v>
      </c>
      <c r="CR141" s="1102"/>
      <c r="CS141" s="588">
        <f t="shared" si="1480"/>
        <v>-715</v>
      </c>
      <c r="CT141" s="1102"/>
      <c r="CU141" s="588">
        <f t="shared" ref="CU141" si="1487">CU136-CU135</f>
        <v>-715</v>
      </c>
      <c r="CV141" s="1102"/>
      <c r="CW141" s="588">
        <f>CW136-CW135</f>
        <v>25.684248575177435</v>
      </c>
      <c r="CX141" s="1102"/>
      <c r="CY141" s="588">
        <f>CY136-CY135</f>
        <v>-96.394718489804291</v>
      </c>
      <c r="CZ141" s="1102"/>
      <c r="DA141" s="588">
        <f>DA136-DA135</f>
        <v>-171.55462657691623</v>
      </c>
      <c r="DB141" s="1102"/>
      <c r="DC141" s="588">
        <f>DC136-DC135</f>
        <v>-607</v>
      </c>
      <c r="DD141" s="1102"/>
      <c r="DE141" s="588">
        <f>DE137-DE135</f>
        <v>37.852861991218333</v>
      </c>
      <c r="DF141" s="1102"/>
      <c r="DG141" s="588">
        <f>DG136-DG135</f>
        <v>-307</v>
      </c>
      <c r="DH141" s="1102"/>
      <c r="DI141" s="588">
        <f>DI136-DI135</f>
        <v>-307</v>
      </c>
      <c r="DJ141" s="1102"/>
      <c r="DK141" s="588">
        <f>DK136-DK135</f>
        <v>-307</v>
      </c>
      <c r="DL141" s="1102"/>
      <c r="DM141" s="588">
        <f>DM136-DM135</f>
        <v>-307</v>
      </c>
      <c r="DN141" s="1102"/>
      <c r="DO141" s="588">
        <f>DO136-DO135</f>
        <v>-307</v>
      </c>
      <c r="DP141" s="1102"/>
      <c r="DQ141" s="588">
        <f>DQ136-DQ135</f>
        <v>-307</v>
      </c>
      <c r="DR141" s="1102"/>
      <c r="DS141" s="588">
        <f>DS136-DS135</f>
        <v>-307</v>
      </c>
    </row>
    <row r="142" spans="1:123" outlineLevel="3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198468.25352112675</v>
      </c>
      <c r="H142" s="229"/>
      <c r="I142" s="230">
        <f>I141*I130</f>
        <v>89056.26760563381</v>
      </c>
      <c r="J142" s="229"/>
      <c r="K142" s="230">
        <f>K141*K130</f>
        <v>89056.26760563381</v>
      </c>
      <c r="L142" s="229"/>
      <c r="M142" s="230">
        <f>M141*M130</f>
        <v>89056.26760563381</v>
      </c>
      <c r="N142" s="229"/>
      <c r="O142" s="588">
        <f>O141*O133</f>
        <v>670.09375542986947</v>
      </c>
      <c r="P142" s="1102"/>
      <c r="Q142" s="588">
        <f>Q141*Q133</f>
        <v>719.64507042253513</v>
      </c>
      <c r="R142" s="1102"/>
      <c r="S142" s="588">
        <f>S141*S133</f>
        <v>719.64507042253513</v>
      </c>
      <c r="T142" s="1102"/>
      <c r="U142" s="588">
        <f>U141*U133</f>
        <v>2207.8700138921722</v>
      </c>
      <c r="V142" s="1102"/>
      <c r="W142" s="588">
        <f>W141*W133</f>
        <v>510.62064269770929</v>
      </c>
      <c r="X142" s="1102"/>
      <c r="Y142" s="588">
        <f>Y141*Y133</f>
        <v>-1471.2417239942481</v>
      </c>
      <c r="Z142" s="1102"/>
      <c r="AA142" s="588">
        <f>AA141*AA133</f>
        <v>-3219.3189978304654</v>
      </c>
      <c r="AB142" s="1102"/>
      <c r="AC142" s="588">
        <f>AC141*AC133</f>
        <v>-6666.1762486911221</v>
      </c>
      <c r="AD142" s="1102"/>
      <c r="AE142" s="588">
        <f>AE141*AE133</f>
        <v>-5428.8359320396794</v>
      </c>
      <c r="AF142" s="1102"/>
      <c r="AG142" s="588">
        <f>AG141*AG133</f>
        <v>-1587.4681992850665</v>
      </c>
      <c r="AH142" s="1102"/>
      <c r="AI142" s="588">
        <f>AI141*AI133</f>
        <v>-8381.5692957746487</v>
      </c>
      <c r="AJ142" s="1102"/>
      <c r="AK142" s="588">
        <f>AK141*AK133</f>
        <v>-9899.2366130150076</v>
      </c>
      <c r="AL142" s="1102"/>
      <c r="AM142" s="588">
        <f>AM141*AM133</f>
        <v>-23209.262113802906</v>
      </c>
      <c r="AN142" s="1102"/>
      <c r="AO142" s="588">
        <f>AO141*AO133</f>
        <v>-81090.903261794025</v>
      </c>
      <c r="AP142" s="1102"/>
      <c r="AQ142" s="588">
        <f t="shared" ref="AQ142" si="1488">AQ141*AQ133</f>
        <v>-60717.234355264904</v>
      </c>
      <c r="AR142" s="1102"/>
      <c r="AS142" s="588">
        <f t="shared" ref="AS142" si="1489">AS141*AS133</f>
        <v>-55164.312477918451</v>
      </c>
      <c r="AT142" s="1102"/>
      <c r="AU142" s="588">
        <f t="shared" ref="AU142" si="1490">AU141*AU133</f>
        <v>-54721.050268316896</v>
      </c>
      <c r="AV142" s="1102"/>
      <c r="AW142" s="588">
        <f t="shared" ref="AW142" si="1491">AW141*AW133</f>
        <v>-34819.136901408448</v>
      </c>
      <c r="AX142" s="1102"/>
      <c r="AY142" s="588">
        <f t="shared" ref="AY142" si="1492">AY141*AY133</f>
        <v>-44293.877464788733</v>
      </c>
      <c r="AZ142" s="1102"/>
      <c r="BA142" s="588">
        <f t="shared" ref="BA142:BC142" si="1493">BA141*BA133</f>
        <v>-94815.218873239428</v>
      </c>
      <c r="BB142" s="1102"/>
      <c r="BC142" s="588">
        <f t="shared" si="1493"/>
        <v>-93590.842253521128</v>
      </c>
      <c r="BD142" s="1102"/>
      <c r="BE142" s="588">
        <f t="shared" ref="BE142:BI142" si="1494">BE141*BE133</f>
        <v>-82848.049577464786</v>
      </c>
      <c r="BF142" s="1102"/>
      <c r="BG142" s="588">
        <f t="shared" si="1494"/>
        <v>0</v>
      </c>
      <c r="BH142" s="1102"/>
      <c r="BI142" s="588">
        <f t="shared" si="1494"/>
        <v>0</v>
      </c>
      <c r="BJ142" s="1102"/>
      <c r="BK142" s="588">
        <f t="shared" ref="BK142:BM142" si="1495">BK141*BK133</f>
        <v>0</v>
      </c>
      <c r="BL142" s="1102"/>
      <c r="BM142" s="588">
        <f t="shared" si="1495"/>
        <v>0</v>
      </c>
      <c r="BN142" s="1102"/>
      <c r="BO142" s="588">
        <f t="shared" ref="BO142:BQ142" si="1496">BO141*BO133</f>
        <v>0</v>
      </c>
      <c r="BP142" s="1102"/>
      <c r="BQ142" s="588">
        <f t="shared" si="1496"/>
        <v>0</v>
      </c>
      <c r="BR142" s="1102"/>
      <c r="BS142" s="588">
        <f t="shared" ref="BS142:CS142" si="1497">BS141*BS133</f>
        <v>0</v>
      </c>
      <c r="BT142" s="1102"/>
      <c r="BU142" s="588">
        <f t="shared" ref="BU142:BW142" si="1498">BU141*BU133</f>
        <v>0</v>
      </c>
      <c r="BV142" s="1102"/>
      <c r="BW142" s="588">
        <f t="shared" si="1498"/>
        <v>0</v>
      </c>
      <c r="BX142" s="1102"/>
      <c r="BY142" s="588">
        <f t="shared" ref="BY142:CA142" si="1499">BY141*BY133</f>
        <v>0</v>
      </c>
      <c r="BZ142" s="1102"/>
      <c r="CA142" s="588">
        <f t="shared" si="1499"/>
        <v>0</v>
      </c>
      <c r="CB142" s="1102"/>
      <c r="CC142" s="588">
        <f t="shared" ref="CC142:CE142" si="1500">CC141*CC133</f>
        <v>0</v>
      </c>
      <c r="CD142" s="1102"/>
      <c r="CE142" s="588">
        <f t="shared" si="1500"/>
        <v>0</v>
      </c>
      <c r="CF142" s="1102"/>
      <c r="CG142" s="588">
        <f t="shared" ref="CG142:CI142" si="1501">CG141*CG133</f>
        <v>0</v>
      </c>
      <c r="CH142" s="1102"/>
      <c r="CI142" s="588">
        <f t="shared" si="1501"/>
        <v>0</v>
      </c>
      <c r="CJ142" s="1102"/>
      <c r="CK142" s="588">
        <f t="shared" ref="CK142:CM142" si="1502">CK141*CK133</f>
        <v>0</v>
      </c>
      <c r="CL142" s="1102"/>
      <c r="CM142" s="588">
        <f t="shared" si="1502"/>
        <v>0</v>
      </c>
      <c r="CN142" s="1102"/>
      <c r="CO142" s="588">
        <f t="shared" ref="CO142:CQ142" si="1503">CO141*CO133</f>
        <v>0</v>
      </c>
      <c r="CP142" s="1102"/>
      <c r="CQ142" s="588">
        <f t="shared" si="1503"/>
        <v>0</v>
      </c>
      <c r="CR142" s="1102"/>
      <c r="CS142" s="588">
        <f t="shared" si="1497"/>
        <v>0</v>
      </c>
      <c r="CT142" s="1102"/>
      <c r="CU142" s="588">
        <f t="shared" ref="CU142" si="1504">CU141*CU133</f>
        <v>0</v>
      </c>
      <c r="CV142" s="1102"/>
      <c r="CW142" s="588">
        <f>CW141*CW133</f>
        <v>3388.5844120197471</v>
      </c>
      <c r="CX142" s="1102"/>
      <c r="CY142" s="588">
        <f>CY141*CY133</f>
        <v>-11356.736970515836</v>
      </c>
      <c r="CZ142" s="1102"/>
      <c r="DA142" s="588">
        <f>DA141*DA133</f>
        <v>-15397.873427099386</v>
      </c>
      <c r="DB142" s="1102"/>
      <c r="DC142" s="588">
        <f>DC141*DC133</f>
        <v>-69539.971830985916</v>
      </c>
      <c r="DD142" s="1102"/>
      <c r="DE142" s="588">
        <f>DE141*DE133</f>
        <v>9453.650985915534</v>
      </c>
      <c r="DF142" s="1102"/>
      <c r="DG142" s="588">
        <f>DG141*DG133</f>
        <v>-35170.957746478874</v>
      </c>
      <c r="DH142" s="1102"/>
      <c r="DI142" s="588">
        <f>DI141*DI133</f>
        <v>-152661.89864788734</v>
      </c>
      <c r="DJ142" s="1102"/>
      <c r="DK142" s="588">
        <f>DK141*DK133</f>
        <v>-152661.89864788734</v>
      </c>
      <c r="DL142" s="1102"/>
      <c r="DM142" s="588">
        <f>DM141*DM133</f>
        <v>-152661.89864788734</v>
      </c>
      <c r="DN142" s="1102"/>
      <c r="DO142" s="588">
        <f>DO141*DO133</f>
        <v>-152661.89864788734</v>
      </c>
      <c r="DP142" s="1102"/>
      <c r="DQ142" s="588">
        <f>DQ141*DQ133</f>
        <v>-35170.957746478874</v>
      </c>
      <c r="DR142" s="1102"/>
      <c r="DS142" s="588">
        <f>DS141*DS133</f>
        <v>-35170.957746478874</v>
      </c>
    </row>
    <row r="143" spans="1:123" outlineLevel="2" x14ac:dyDescent="0.4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381"/>
      <c r="O143" s="385"/>
      <c r="P143" s="381"/>
      <c r="Q143" s="385"/>
      <c r="R143" s="381"/>
      <c r="S143" s="385"/>
      <c r="T143" s="381"/>
      <c r="U143" s="385"/>
      <c r="V143" s="381"/>
      <c r="W143" s="385"/>
      <c r="X143" s="381"/>
      <c r="Y143" s="385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  <c r="BP143" s="381"/>
      <c r="BQ143" s="385"/>
      <c r="BR143" s="381"/>
      <c r="BS143" s="385"/>
      <c r="BT143" s="381"/>
      <c r="BU143" s="385"/>
      <c r="BV143" s="381"/>
      <c r="BW143" s="385"/>
      <c r="BX143" s="381"/>
      <c r="BY143" s="385"/>
      <c r="BZ143" s="381"/>
      <c r="CA143" s="385"/>
      <c r="CB143" s="381"/>
      <c r="CC143" s="385"/>
      <c r="CD143" s="381"/>
      <c r="CE143" s="385"/>
      <c r="CF143" s="381"/>
      <c r="CG143" s="385"/>
      <c r="CH143" s="381"/>
      <c r="CI143" s="385"/>
      <c r="CJ143" s="381"/>
      <c r="CK143" s="385"/>
      <c r="CL143" s="381"/>
      <c r="CM143" s="385"/>
      <c r="CN143" s="381"/>
      <c r="CO143" s="385"/>
      <c r="CP143" s="381"/>
      <c r="CQ143" s="385"/>
      <c r="CR143" s="381"/>
      <c r="CS143" s="385"/>
      <c r="CT143" s="381"/>
      <c r="CU143" s="385"/>
      <c r="CV143" s="381"/>
      <c r="CW143" s="385"/>
      <c r="CX143" s="381"/>
      <c r="CY143" s="385"/>
      <c r="CZ143" s="381"/>
      <c r="DA143" s="385"/>
      <c r="DB143" s="381"/>
      <c r="DC143" s="385"/>
      <c r="DD143" s="381"/>
      <c r="DE143" s="385"/>
      <c r="DF143" s="381"/>
      <c r="DG143" s="385"/>
      <c r="DH143" s="381"/>
      <c r="DI143" s="385"/>
      <c r="DJ143" s="381"/>
      <c r="DK143" s="385"/>
      <c r="DL143" s="381"/>
      <c r="DM143" s="385"/>
      <c r="DN143" s="381"/>
      <c r="DO143" s="385"/>
      <c r="DP143" s="381"/>
      <c r="DQ143" s="385"/>
      <c r="DR143" s="381"/>
      <c r="DS143" s="385"/>
    </row>
    <row r="144" spans="1:123" ht="15.75" customHeight="1" outlineLevel="3" thickBot="1" x14ac:dyDescent="0.5">
      <c r="A144" s="561"/>
      <c r="B144" s="1188"/>
      <c r="C144" s="301" t="s">
        <v>134</v>
      </c>
      <c r="D144" s="302"/>
      <c r="E144" s="303"/>
      <c r="F144" s="304"/>
      <c r="G144" s="305">
        <f>G98*G129</f>
        <v>112797.71431969565</v>
      </c>
      <c r="H144" s="304"/>
      <c r="I144" s="305">
        <f>I98*I129</f>
        <v>31648.912712613226</v>
      </c>
      <c r="J144" s="304"/>
      <c r="K144" s="305">
        <f t="shared" ref="K144" si="1505">K98*K129</f>
        <v>31648.912712613226</v>
      </c>
      <c r="L144" s="304"/>
      <c r="M144" s="305">
        <f t="shared" ref="M144" si="1506">M98*M129</f>
        <v>31648.912712613226</v>
      </c>
      <c r="N144" s="304"/>
      <c r="O144" s="305">
        <f>O98*O132</f>
        <v>31375.870117788472</v>
      </c>
      <c r="P144" s="304"/>
      <c r="Q144" s="305">
        <f>Q98*Q132</f>
        <v>699226.26775441377</v>
      </c>
      <c r="R144" s="304"/>
      <c r="S144" s="305">
        <f>S98*S132</f>
        <v>699226.26775441377</v>
      </c>
      <c r="T144" s="304"/>
      <c r="U144" s="305">
        <f>U98*U132</f>
        <v>-9093.6784020732721</v>
      </c>
      <c r="V144" s="304"/>
      <c r="W144" s="305">
        <f>W98*W132</f>
        <v>-12274.535446405926</v>
      </c>
      <c r="X144" s="304"/>
      <c r="Y144" s="305">
        <f>Y98*Y132</f>
        <v>-18591.405671757035</v>
      </c>
      <c r="Z144" s="304"/>
      <c r="AA144" s="305">
        <f>AA98*AA132</f>
        <v>-34997.813510121974</v>
      </c>
      <c r="AB144" s="304"/>
      <c r="AC144" s="305">
        <f>AC98*AC132</f>
        <v>-59399.353941136156</v>
      </c>
      <c r="AD144" s="304"/>
      <c r="AE144" s="305">
        <f>AE98*AE132</f>
        <v>-26652.375619606129</v>
      </c>
      <c r="AF144" s="304"/>
      <c r="AG144" s="305">
        <f>AG98*AG132</f>
        <v>-12835.768275582202</v>
      </c>
      <c r="AH144" s="304"/>
      <c r="AI144" s="305">
        <f>AI98*AI132</f>
        <v>13356.191348428663</v>
      </c>
      <c r="AJ144" s="304"/>
      <c r="AK144" s="305">
        <f>AK98*AK132</f>
        <v>31040.865089055089</v>
      </c>
      <c r="AL144" s="304"/>
      <c r="AM144" s="305">
        <f>AM98*AM132</f>
        <v>75492.326297588472</v>
      </c>
      <c r="AN144" s="304"/>
      <c r="AO144" s="305">
        <f>AO98*AO132</f>
        <v>282367.15714185318</v>
      </c>
      <c r="AP144" s="304"/>
      <c r="AQ144" s="305">
        <f t="shared" ref="AQ144" si="1507">AQ98*AQ132</f>
        <v>147763.44444387831</v>
      </c>
      <c r="AR144" s="304"/>
      <c r="AS144" s="305">
        <f t="shared" ref="AS144" si="1508">AS98*AS132</f>
        <v>102211.43838133122</v>
      </c>
      <c r="AT144" s="304"/>
      <c r="AU144" s="305">
        <f t="shared" ref="AU144" si="1509">AU98*AU132</f>
        <v>118534.57239283495</v>
      </c>
      <c r="AV144" s="304"/>
      <c r="AW144" s="305">
        <f t="shared" ref="AW144" si="1510">AW98*AW132</f>
        <v>40232.05330835624</v>
      </c>
      <c r="AX144" s="304"/>
      <c r="AY144" s="305">
        <f t="shared" ref="AY144" si="1511">AY98*AY132</f>
        <v>45821.737541306524</v>
      </c>
      <c r="AZ144" s="304"/>
      <c r="BA144" s="305">
        <f t="shared" ref="BA144:BC144" si="1512">BA98*BA132</f>
        <v>93041.410809218985</v>
      </c>
      <c r="BB144" s="304"/>
      <c r="BC144" s="305">
        <f t="shared" si="1512"/>
        <v>143541.62769510734</v>
      </c>
      <c r="BD144" s="304"/>
      <c r="BE144" s="305">
        <f t="shared" ref="BE144:BI144" si="1513">BE98*BE132</f>
        <v>163443.39930747097</v>
      </c>
      <c r="BF144" s="304"/>
      <c r="BG144" s="305">
        <f t="shared" si="1513"/>
        <v>0</v>
      </c>
      <c r="BH144" s="304"/>
      <c r="BI144" s="305">
        <f t="shared" si="1513"/>
        <v>0</v>
      </c>
      <c r="BJ144" s="304"/>
      <c r="BK144" s="305">
        <f t="shared" ref="BK144:BM144" si="1514">BK98*BK132</f>
        <v>0</v>
      </c>
      <c r="BL144" s="304"/>
      <c r="BM144" s="305">
        <f t="shared" si="1514"/>
        <v>0</v>
      </c>
      <c r="BN144" s="304"/>
      <c r="BO144" s="305">
        <f t="shared" ref="BO144:BQ144" si="1515">BO98*BO132</f>
        <v>0</v>
      </c>
      <c r="BP144" s="304"/>
      <c r="BQ144" s="305">
        <f t="shared" si="1515"/>
        <v>0</v>
      </c>
      <c r="BR144" s="304"/>
      <c r="BS144" s="305">
        <f t="shared" ref="BS144:CS144" si="1516">BS98*BS132</f>
        <v>0</v>
      </c>
      <c r="BT144" s="304"/>
      <c r="BU144" s="305">
        <f t="shared" ref="BU144:BW144" si="1517">BU98*BU132</f>
        <v>0</v>
      </c>
      <c r="BV144" s="304"/>
      <c r="BW144" s="305">
        <f t="shared" si="1517"/>
        <v>0</v>
      </c>
      <c r="BX144" s="304"/>
      <c r="BY144" s="305">
        <f t="shared" ref="BY144:CA144" si="1518">BY98*BY132</f>
        <v>0</v>
      </c>
      <c r="BZ144" s="304"/>
      <c r="CA144" s="305">
        <f t="shared" si="1518"/>
        <v>0</v>
      </c>
      <c r="CB144" s="304"/>
      <c r="CC144" s="305">
        <f t="shared" ref="CC144:CE144" si="1519">CC98*CC132</f>
        <v>0</v>
      </c>
      <c r="CD144" s="304"/>
      <c r="CE144" s="305">
        <f t="shared" si="1519"/>
        <v>0</v>
      </c>
      <c r="CF144" s="304"/>
      <c r="CG144" s="305">
        <f t="shared" ref="CG144:CI144" si="1520">CG98*CG132</f>
        <v>0</v>
      </c>
      <c r="CH144" s="304"/>
      <c r="CI144" s="305">
        <f t="shared" si="1520"/>
        <v>0</v>
      </c>
      <c r="CJ144" s="304"/>
      <c r="CK144" s="305">
        <f t="shared" ref="CK144:CM144" si="1521">CK98*CK132</f>
        <v>0</v>
      </c>
      <c r="CL144" s="304"/>
      <c r="CM144" s="305">
        <f t="shared" si="1521"/>
        <v>0</v>
      </c>
      <c r="CN144" s="304"/>
      <c r="CO144" s="305">
        <f t="shared" ref="CO144:CQ144" si="1522">CO98*CO132</f>
        <v>0</v>
      </c>
      <c r="CP144" s="304"/>
      <c r="CQ144" s="305">
        <f t="shared" si="1522"/>
        <v>0</v>
      </c>
      <c r="CR144" s="304"/>
      <c r="CS144" s="305">
        <f t="shared" si="1516"/>
        <v>0</v>
      </c>
      <c r="CT144" s="304"/>
      <c r="CU144" s="305">
        <f t="shared" ref="CU144" si="1523">CU98*CU132</f>
        <v>0</v>
      </c>
      <c r="CV144" s="304"/>
      <c r="CW144" s="305">
        <f>CW98*CW132</f>
        <v>9967.6580919571225</v>
      </c>
      <c r="CX144" s="304"/>
      <c r="CY144" s="305">
        <f>CY98*CY132</f>
        <v>-112978.60010807026</v>
      </c>
      <c r="CZ144" s="304"/>
      <c r="DA144" s="305">
        <f>DA98*DA132</f>
        <v>-26002.424128969014</v>
      </c>
      <c r="DB144" s="304"/>
      <c r="DC144" s="305">
        <f>DC98*DC132</f>
        <v>233139.33816059111</v>
      </c>
      <c r="DD144" s="304"/>
      <c r="DE144" s="305">
        <f>DE98*DE132</f>
        <v>-104373.40027080361</v>
      </c>
      <c r="DF144" s="304"/>
      <c r="DG144" s="305">
        <f>DG98*DG132</f>
        <v>77640.627106386964</v>
      </c>
      <c r="DH144" s="304"/>
      <c r="DI144" s="305">
        <f>DI98*DI132</f>
        <v>1149275.560944427</v>
      </c>
      <c r="DJ144" s="304"/>
      <c r="DK144" s="305">
        <f>DK98*DK132</f>
        <v>626428.91046336794</v>
      </c>
      <c r="DL144" s="304"/>
      <c r="DM144" s="305">
        <f>DM98*DM132</f>
        <v>786911.5104633678</v>
      </c>
      <c r="DN144" s="304"/>
      <c r="DO144" s="305">
        <f>DO98*DO132</f>
        <v>114489.41646336764</v>
      </c>
      <c r="DP144" s="304"/>
      <c r="DQ144" s="305">
        <f>DQ98*DQ132</f>
        <v>65126.210863799279</v>
      </c>
      <c r="DR144" s="304"/>
      <c r="DS144" s="305">
        <f>DS98*DS132</f>
        <v>164424.39268198103</v>
      </c>
    </row>
    <row r="145" spans="25:119" ht="14.65" outlineLevel="2" thickTop="1" x14ac:dyDescent="0.45"/>
    <row r="146" spans="25:119" outlineLevel="1" x14ac:dyDescent="0.45">
      <c r="Y146" s="410">
        <f>3371360/40*Y136/3550</f>
        <v>27185.318276005753</v>
      </c>
    </row>
    <row r="147" spans="25:119" outlineLevel="1" x14ac:dyDescent="0.45"/>
    <row r="155" spans="25:119" x14ac:dyDescent="0.45">
      <c r="DO155" s="1105">
        <f>DO132*DO67</f>
        <v>10079912.106000001</v>
      </c>
    </row>
    <row r="166" ht="15" hidden="1" customHeight="1" thickBot="1" x14ac:dyDescent="0.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spans="14:122" ht="15" hidden="1" customHeight="1" x14ac:dyDescent="0.45"/>
    <row r="178" spans="14:122" ht="15" hidden="1" customHeight="1" x14ac:dyDescent="0.45">
      <c r="N178" s="410"/>
      <c r="P178" s="410"/>
      <c r="R178" s="410"/>
      <c r="T178" s="410"/>
      <c r="V178" s="410"/>
      <c r="X178" s="410"/>
      <c r="Z178" s="410"/>
      <c r="AB178" s="410"/>
      <c r="AD178" s="410"/>
      <c r="AF178" s="410"/>
      <c r="AH178" s="410"/>
      <c r="AJ178" s="410"/>
      <c r="AL178" s="410"/>
      <c r="AN178" s="410"/>
      <c r="AP178" s="410"/>
      <c r="AR178" s="410"/>
      <c r="AT178" s="410"/>
      <c r="AV178" s="410"/>
      <c r="AX178" s="410"/>
      <c r="AZ178" s="410"/>
      <c r="BB178" s="410"/>
      <c r="BD178" s="410"/>
      <c r="BF178" s="410"/>
      <c r="BH178" s="410"/>
      <c r="BJ178" s="410"/>
      <c r="BL178" s="410"/>
      <c r="BN178" s="410"/>
      <c r="BP178" s="410"/>
      <c r="BR178" s="410"/>
      <c r="BT178" s="410"/>
      <c r="BV178" s="410"/>
      <c r="BX178" s="410"/>
      <c r="BZ178" s="410"/>
      <c r="CB178" s="410"/>
      <c r="CD178" s="410"/>
      <c r="CF178" s="410"/>
      <c r="CH178" s="410"/>
      <c r="CJ178" s="410"/>
      <c r="CL178" s="410"/>
      <c r="CN178" s="410"/>
      <c r="CP178" s="410"/>
      <c r="CR178" s="410"/>
      <c r="CT178" s="410"/>
      <c r="CV178" s="410"/>
      <c r="CX178" s="410"/>
      <c r="CZ178" s="410"/>
      <c r="DB178" s="410"/>
      <c r="DD178" s="410"/>
      <c r="DF178" s="410"/>
      <c r="DH178" s="410"/>
      <c r="DJ178" s="410"/>
      <c r="DL178" s="410"/>
      <c r="DN178" s="410"/>
      <c r="DP178" s="410"/>
      <c r="DR178" s="410"/>
    </row>
    <row r="181" spans="14:122" x14ac:dyDescent="0.45">
      <c r="N181" s="606" t="e">
        <f>#REF!/12*2</f>
        <v>#REF!</v>
      </c>
      <c r="P181" s="606" t="e">
        <f>#REF!/12*2</f>
        <v>#REF!</v>
      </c>
      <c r="R181" s="606" t="e">
        <f>#REF!/12*2</f>
        <v>#REF!</v>
      </c>
      <c r="T181" s="606" t="e">
        <f>#REF!/12*2</f>
        <v>#REF!</v>
      </c>
      <c r="V181" s="606" t="e">
        <f>#REF!/12*2</f>
        <v>#REF!</v>
      </c>
      <c r="X181" s="606" t="e">
        <f>#REF!/12*2</f>
        <v>#REF!</v>
      </c>
      <c r="Z181" s="606" t="e">
        <f>#REF!/12*2</f>
        <v>#REF!</v>
      </c>
      <c r="AB181" s="606" t="e">
        <f>#REF!/12*2</f>
        <v>#REF!</v>
      </c>
      <c r="AD181" s="606" t="e">
        <f>#REF!/12*2</f>
        <v>#REF!</v>
      </c>
      <c r="AF181" s="606" t="e">
        <f>#REF!/12*2</f>
        <v>#REF!</v>
      </c>
      <c r="AH181" s="606" t="e">
        <f>#REF!/12*2</f>
        <v>#REF!</v>
      </c>
      <c r="AJ181" s="606" t="e">
        <f>#REF!/12*2</f>
        <v>#REF!</v>
      </c>
      <c r="AL181" s="606" t="e">
        <f>#REF!/12*2</f>
        <v>#REF!</v>
      </c>
      <c r="AN181" s="606" t="e">
        <f>#REF!/12*2</f>
        <v>#REF!</v>
      </c>
      <c r="AP181" s="606" t="e">
        <f>#REF!/12*2</f>
        <v>#REF!</v>
      </c>
      <c r="AR181" s="606" t="e">
        <f>#REF!/12*2</f>
        <v>#REF!</v>
      </c>
      <c r="AT181" s="606" t="e">
        <f>#REF!/12*2</f>
        <v>#REF!</v>
      </c>
      <c r="AV181" s="606" t="e">
        <f>#REF!/12*2</f>
        <v>#REF!</v>
      </c>
      <c r="AX181" s="606" t="e">
        <f>#REF!/12*2</f>
        <v>#REF!</v>
      </c>
      <c r="AZ181" s="606" t="e">
        <f>#REF!/12*2</f>
        <v>#REF!</v>
      </c>
      <c r="BB181" s="606" t="e">
        <f>#REF!/12*2</f>
        <v>#REF!</v>
      </c>
      <c r="BD181" s="606" t="e">
        <f>#REF!/12*2</f>
        <v>#REF!</v>
      </c>
      <c r="BF181" s="606" t="e">
        <f>#REF!/12*2</f>
        <v>#REF!</v>
      </c>
      <c r="BH181" s="606" t="e">
        <f>#REF!/12*2</f>
        <v>#REF!</v>
      </c>
      <c r="BJ181" s="606" t="e">
        <f>#REF!/12*2</f>
        <v>#REF!</v>
      </c>
      <c r="BL181" s="606" t="e">
        <f>#REF!/12*2</f>
        <v>#REF!</v>
      </c>
      <c r="BN181" s="606" t="e">
        <f>#REF!/12*2</f>
        <v>#REF!</v>
      </c>
      <c r="BP181" s="606" t="e">
        <f>#REF!/12*2</f>
        <v>#REF!</v>
      </c>
      <c r="BR181" s="606" t="e">
        <f>#REF!/12*2</f>
        <v>#REF!</v>
      </c>
      <c r="BT181" s="606" t="e">
        <f>#REF!/12*2</f>
        <v>#REF!</v>
      </c>
      <c r="BV181" s="606" t="e">
        <f>#REF!/12*2</f>
        <v>#REF!</v>
      </c>
      <c r="BX181" s="606" t="e">
        <f>#REF!/12*2</f>
        <v>#REF!</v>
      </c>
      <c r="BZ181" s="606" t="e">
        <f>#REF!/12*2</f>
        <v>#REF!</v>
      </c>
      <c r="CB181" s="606" t="e">
        <f>#REF!/12*2</f>
        <v>#REF!</v>
      </c>
      <c r="CD181" s="606" t="e">
        <f>#REF!/12*2</f>
        <v>#REF!</v>
      </c>
      <c r="CF181" s="606" t="e">
        <f>#REF!/12*2</f>
        <v>#REF!</v>
      </c>
      <c r="CH181" s="606" t="e">
        <f>#REF!/12*2</f>
        <v>#REF!</v>
      </c>
      <c r="CJ181" s="606" t="e">
        <f>#REF!/12*2</f>
        <v>#REF!</v>
      </c>
      <c r="CL181" s="606" t="e">
        <f>#REF!/12*2</f>
        <v>#REF!</v>
      </c>
      <c r="CN181" s="606" t="e">
        <f>#REF!/12*2</f>
        <v>#REF!</v>
      </c>
      <c r="CP181" s="606" t="e">
        <f>#REF!/12*2</f>
        <v>#REF!</v>
      </c>
      <c r="CR181" s="606" t="e">
        <f>#REF!/12*2</f>
        <v>#REF!</v>
      </c>
      <c r="CT181" s="606" t="e">
        <f>#REF!/12*2</f>
        <v>#REF!</v>
      </c>
      <c r="CV181" s="606" t="e">
        <f>#REF!/12*2</f>
        <v>#REF!</v>
      </c>
      <c r="CX181" s="606" t="e">
        <f>#REF!/12*2</f>
        <v>#REF!</v>
      </c>
      <c r="CZ181" s="606" t="e">
        <f>#REF!/12*2</f>
        <v>#REF!</v>
      </c>
      <c r="DB181" s="606" t="e">
        <f>#REF!/12*2</f>
        <v>#REF!</v>
      </c>
      <c r="DD181" s="606" t="e">
        <f>#REF!/12*2</f>
        <v>#REF!</v>
      </c>
      <c r="DF181" s="606" t="e">
        <f>#REF!/12*2</f>
        <v>#REF!</v>
      </c>
      <c r="DH181" s="606" t="e">
        <f>#REF!/12*2</f>
        <v>#REF!</v>
      </c>
      <c r="DJ181" s="606" t="e">
        <f>#REF!/12*2</f>
        <v>#REF!</v>
      </c>
      <c r="DL181" s="606" t="e">
        <f>#REF!/12*2</f>
        <v>#REF!</v>
      </c>
      <c r="DN181" s="606" t="e">
        <f>#REF!/12*2</f>
        <v>#REF!</v>
      </c>
      <c r="DP181" s="606" t="e">
        <f>#REF!/12*2</f>
        <v>#REF!</v>
      </c>
      <c r="DR181" s="606" t="e">
        <f>#REF!/12*2</f>
        <v>#REF!</v>
      </c>
    </row>
  </sheetData>
  <mergeCells count="424">
    <mergeCell ref="CN3:CO3"/>
    <mergeCell ref="CN4:CO5"/>
    <mergeCell ref="CD2:CE2"/>
    <mergeCell ref="CD3:CE3"/>
    <mergeCell ref="CD4:CE5"/>
    <mergeCell ref="CD6:CE6"/>
    <mergeCell ref="CD7:CE7"/>
    <mergeCell ref="CF2:CG2"/>
    <mergeCell ref="CF3:CG3"/>
    <mergeCell ref="CF4:CG5"/>
    <mergeCell ref="CF6:CG6"/>
    <mergeCell ref="CF7:CG7"/>
    <mergeCell ref="CH2:CI2"/>
    <mergeCell ref="CJ2:CK2"/>
    <mergeCell ref="CJ3:CK3"/>
    <mergeCell ref="CJ4:CK5"/>
    <mergeCell ref="CJ6:CK6"/>
    <mergeCell ref="CJ7:CK7"/>
    <mergeCell ref="CL2:CM2"/>
    <mergeCell ref="BR3:BS3"/>
    <mergeCell ref="BR4:BS5"/>
    <mergeCell ref="BR6:BS6"/>
    <mergeCell ref="BR7:BS7"/>
    <mergeCell ref="BR8:BS8"/>
    <mergeCell ref="BR9:BS9"/>
    <mergeCell ref="BX2:BY2"/>
    <mergeCell ref="BX3:BY3"/>
    <mergeCell ref="BX4:BY5"/>
    <mergeCell ref="BX6:BY6"/>
    <mergeCell ref="BX7:BY7"/>
    <mergeCell ref="BX8:BY8"/>
    <mergeCell ref="BX9:BY9"/>
    <mergeCell ref="BT2:BU2"/>
    <mergeCell ref="BT3:BU3"/>
    <mergeCell ref="BT4:BU5"/>
    <mergeCell ref="BV9:BW9"/>
    <mergeCell ref="BL3:BM3"/>
    <mergeCell ref="BL4:BM5"/>
    <mergeCell ref="BL6:BM6"/>
    <mergeCell ref="BL7:BM7"/>
    <mergeCell ref="BL8:BM8"/>
    <mergeCell ref="BL9:BM9"/>
    <mergeCell ref="BN2:BO2"/>
    <mergeCell ref="BN3:BO3"/>
    <mergeCell ref="BN4:BO5"/>
    <mergeCell ref="BN6:BO6"/>
    <mergeCell ref="BN7:BO7"/>
    <mergeCell ref="BN8:BO8"/>
    <mergeCell ref="BN9:BO9"/>
    <mergeCell ref="BP2:BQ2"/>
    <mergeCell ref="BP3:BQ3"/>
    <mergeCell ref="BP4:BQ5"/>
    <mergeCell ref="BP6:BQ6"/>
    <mergeCell ref="BP7:BQ7"/>
    <mergeCell ref="BP8:BQ8"/>
    <mergeCell ref="BP9:BQ9"/>
    <mergeCell ref="BR2:BS2"/>
    <mergeCell ref="BD8:BE8"/>
    <mergeCell ref="BD9:BE9"/>
    <mergeCell ref="BL2:BM2"/>
    <mergeCell ref="BD3:BE3"/>
    <mergeCell ref="BD4:BE5"/>
    <mergeCell ref="BD6:BE6"/>
    <mergeCell ref="BD7:BE7"/>
    <mergeCell ref="BJ2:BK2"/>
    <mergeCell ref="BJ3:BK3"/>
    <mergeCell ref="BJ4:BK5"/>
    <mergeCell ref="BJ6:BK6"/>
    <mergeCell ref="BJ7:BK7"/>
    <mergeCell ref="BF2:BG2"/>
    <mergeCell ref="BH2:BI2"/>
    <mergeCell ref="BF3:BG3"/>
    <mergeCell ref="BH3:BI3"/>
    <mergeCell ref="BB2:BC2"/>
    <mergeCell ref="BB3:BC3"/>
    <mergeCell ref="BB4:BC5"/>
    <mergeCell ref="BB6:BC6"/>
    <mergeCell ref="BB7:BC7"/>
    <mergeCell ref="BB8:BC8"/>
    <mergeCell ref="BB9:BC9"/>
    <mergeCell ref="AV6:AW6"/>
    <mergeCell ref="AX6:AY6"/>
    <mergeCell ref="AZ6:BA6"/>
    <mergeCell ref="AV7:AW7"/>
    <mergeCell ref="AX7:AY7"/>
    <mergeCell ref="AZ7:BA7"/>
    <mergeCell ref="AV8:AW8"/>
    <mergeCell ref="DR8:DS8"/>
    <mergeCell ref="DR9:DS9"/>
    <mergeCell ref="DJ9:DK9"/>
    <mergeCell ref="DN8:DO8"/>
    <mergeCell ref="DN9:DO9"/>
    <mergeCell ref="DL2:DM2"/>
    <mergeCell ref="DL3:DM3"/>
    <mergeCell ref="DL9:DM9"/>
    <mergeCell ref="DJ2:DK2"/>
    <mergeCell ref="DJ3:DK3"/>
    <mergeCell ref="DJ4:DK5"/>
    <mergeCell ref="DJ6:DK6"/>
    <mergeCell ref="DJ7:DK7"/>
    <mergeCell ref="DJ8:DK8"/>
    <mergeCell ref="DL4:DM5"/>
    <mergeCell ref="DL6:DM6"/>
    <mergeCell ref="DL7:DM7"/>
    <mergeCell ref="DL8:DM8"/>
    <mergeCell ref="DP2:DQ2"/>
    <mergeCell ref="DP8:DQ8"/>
    <mergeCell ref="DP9:DQ9"/>
    <mergeCell ref="DN2:DO2"/>
    <mergeCell ref="DN3:DO3"/>
    <mergeCell ref="DN4:DO5"/>
    <mergeCell ref="DR2:DS2"/>
    <mergeCell ref="DR3:DS3"/>
    <mergeCell ref="DR4:DS5"/>
    <mergeCell ref="DR6:DS6"/>
    <mergeCell ref="DR7:DS7"/>
    <mergeCell ref="AN7:AO7"/>
    <mergeCell ref="AP2:AQ2"/>
    <mergeCell ref="AR2:AS2"/>
    <mergeCell ref="AT2:AU2"/>
    <mergeCell ref="AP3:AQ3"/>
    <mergeCell ref="AR3:AS3"/>
    <mergeCell ref="AT3:AU3"/>
    <mergeCell ref="AP4:AQ5"/>
    <mergeCell ref="AR4:AS5"/>
    <mergeCell ref="AT4:AU5"/>
    <mergeCell ref="AP6:AQ6"/>
    <mergeCell ref="AR6:AS6"/>
    <mergeCell ref="AT6:AU6"/>
    <mergeCell ref="AP7:AQ7"/>
    <mergeCell ref="AV2:AW2"/>
    <mergeCell ref="AX2:AY2"/>
    <mergeCell ref="AZ2:BA2"/>
    <mergeCell ref="AV3:AW3"/>
    <mergeCell ref="BD2:BE2"/>
    <mergeCell ref="AJ2:AK2"/>
    <mergeCell ref="AJ3:AK3"/>
    <mergeCell ref="AJ4:AK5"/>
    <mergeCell ref="AJ6:AK6"/>
    <mergeCell ref="AJ7:AK7"/>
    <mergeCell ref="AZ3:BA3"/>
    <mergeCell ref="AV4:AW5"/>
    <mergeCell ref="AX4:AY5"/>
    <mergeCell ref="AZ4:BA5"/>
    <mergeCell ref="AX3:AY3"/>
    <mergeCell ref="AL2:AM2"/>
    <mergeCell ref="AL3:AM3"/>
    <mergeCell ref="AL4:AM5"/>
    <mergeCell ref="AL6:AM6"/>
    <mergeCell ref="AL7:AM7"/>
    <mergeCell ref="AN2:AO2"/>
    <mergeCell ref="AN3:AO3"/>
    <mergeCell ref="AN4:AO5"/>
    <mergeCell ref="AN6:AO6"/>
    <mergeCell ref="DB2:DC2"/>
    <mergeCell ref="DB3:DC3"/>
    <mergeCell ref="CV2:CW2"/>
    <mergeCell ref="CX2:CY2"/>
    <mergeCell ref="BV2:BW2"/>
    <mergeCell ref="BV3:BW3"/>
    <mergeCell ref="BV4:BW5"/>
    <mergeCell ref="BV6:BW6"/>
    <mergeCell ref="BV7:BW7"/>
    <mergeCell ref="BZ2:CA2"/>
    <mergeCell ref="BZ3:CA3"/>
    <mergeCell ref="BZ4:CA5"/>
    <mergeCell ref="CP2:CQ2"/>
    <mergeCell ref="CP3:CQ3"/>
    <mergeCell ref="CB2:CC2"/>
    <mergeCell ref="CB3:CC3"/>
    <mergeCell ref="CB4:CC5"/>
    <mergeCell ref="CB6:CC6"/>
    <mergeCell ref="CT2:CU2"/>
    <mergeCell ref="CT3:CU3"/>
    <mergeCell ref="CT4:CU5"/>
    <mergeCell ref="CT6:CU6"/>
    <mergeCell ref="CT7:CU7"/>
    <mergeCell ref="CR2:CS2"/>
    <mergeCell ref="DF9:DG9"/>
    <mergeCell ref="DB4:DC5"/>
    <mergeCell ref="CV8:CW8"/>
    <mergeCell ref="CX8:CY8"/>
    <mergeCell ref="DF8:DG8"/>
    <mergeCell ref="CP6:CQ6"/>
    <mergeCell ref="CP7:CQ7"/>
    <mergeCell ref="CP8:CQ8"/>
    <mergeCell ref="CP9:CQ9"/>
    <mergeCell ref="DD8:DE8"/>
    <mergeCell ref="DD9:DE9"/>
    <mergeCell ref="DB7:DC7"/>
    <mergeCell ref="CP4:CQ5"/>
    <mergeCell ref="CV6:CW6"/>
    <mergeCell ref="CR4:CS5"/>
    <mergeCell ref="CR6:CS6"/>
    <mergeCell ref="CR7:CS7"/>
    <mergeCell ref="CV9:CW9"/>
    <mergeCell ref="CX9:CY9"/>
    <mergeCell ref="CZ9:DA9"/>
    <mergeCell ref="F2:G2"/>
    <mergeCell ref="H2:I2"/>
    <mergeCell ref="N2:O2"/>
    <mergeCell ref="P2:Q2"/>
    <mergeCell ref="R2:S2"/>
    <mergeCell ref="J2:K2"/>
    <mergeCell ref="L2:M2"/>
    <mergeCell ref="T2:U2"/>
    <mergeCell ref="F3:G3"/>
    <mergeCell ref="H3:I3"/>
    <mergeCell ref="N3:O3"/>
    <mergeCell ref="J3:K3"/>
    <mergeCell ref="L3:M3"/>
    <mergeCell ref="R3:S3"/>
    <mergeCell ref="R4:S5"/>
    <mergeCell ref="R7:S7"/>
    <mergeCell ref="R8:S8"/>
    <mergeCell ref="Z2:AA2"/>
    <mergeCell ref="Z3:AA3"/>
    <mergeCell ref="AH2:AI2"/>
    <mergeCell ref="AH3:AI3"/>
    <mergeCell ref="AH4:AI5"/>
    <mergeCell ref="AH6:AI6"/>
    <mergeCell ref="AF6:AG6"/>
    <mergeCell ref="T6:U6"/>
    <mergeCell ref="V6:W6"/>
    <mergeCell ref="X6:Y6"/>
    <mergeCell ref="Z6:AA6"/>
    <mergeCell ref="AD6:AE6"/>
    <mergeCell ref="V2:W2"/>
    <mergeCell ref="X2:Y2"/>
    <mergeCell ref="AD2:AE2"/>
    <mergeCell ref="T3:U3"/>
    <mergeCell ref="V3:W3"/>
    <mergeCell ref="X3:Y3"/>
    <mergeCell ref="T4:U5"/>
    <mergeCell ref="AB2:AC2"/>
    <mergeCell ref="AF2:AG2"/>
    <mergeCell ref="F4:G5"/>
    <mergeCell ref="P3:Q3"/>
    <mergeCell ref="P4:Q5"/>
    <mergeCell ref="P7:Q7"/>
    <mergeCell ref="P8:Q8"/>
    <mergeCell ref="P9:Q9"/>
    <mergeCell ref="F9:G9"/>
    <mergeCell ref="H9:I9"/>
    <mergeCell ref="N9:O9"/>
    <mergeCell ref="F6:G6"/>
    <mergeCell ref="H6:I6"/>
    <mergeCell ref="N6:O6"/>
    <mergeCell ref="P6:Q6"/>
    <mergeCell ref="H4:I5"/>
    <mergeCell ref="N4:O5"/>
    <mergeCell ref="J9:K9"/>
    <mergeCell ref="L9:M9"/>
    <mergeCell ref="J4:K5"/>
    <mergeCell ref="L4:M5"/>
    <mergeCell ref="J8:K8"/>
    <mergeCell ref="L8:M8"/>
    <mergeCell ref="J6:K6"/>
    <mergeCell ref="L6:M6"/>
    <mergeCell ref="B124:B144"/>
    <mergeCell ref="B15:B21"/>
    <mergeCell ref="B22:B27"/>
    <mergeCell ref="B28:B33"/>
    <mergeCell ref="B34:B39"/>
    <mergeCell ref="B40:B46"/>
    <mergeCell ref="B47:B70"/>
    <mergeCell ref="B100:B113"/>
    <mergeCell ref="T9:U9"/>
    <mergeCell ref="B71:B84"/>
    <mergeCell ref="D12:E12"/>
    <mergeCell ref="R9:S9"/>
    <mergeCell ref="B6:B13"/>
    <mergeCell ref="R6:S6"/>
    <mergeCell ref="F7:G7"/>
    <mergeCell ref="H7:I7"/>
    <mergeCell ref="N7:O7"/>
    <mergeCell ref="J7:K7"/>
    <mergeCell ref="L7:M7"/>
    <mergeCell ref="F8:G8"/>
    <mergeCell ref="H8:I8"/>
    <mergeCell ref="N8:O8"/>
    <mergeCell ref="T7:U7"/>
    <mergeCell ref="T8:U8"/>
    <mergeCell ref="DH2:DI2"/>
    <mergeCell ref="DH3:DI3"/>
    <mergeCell ref="DH9:DI9"/>
    <mergeCell ref="DD2:DE2"/>
    <mergeCell ref="DD3:DE3"/>
    <mergeCell ref="DD4:DE5"/>
    <mergeCell ref="AB3:AC3"/>
    <mergeCell ref="V4:W5"/>
    <mergeCell ref="X4:Y5"/>
    <mergeCell ref="Z9:AA9"/>
    <mergeCell ref="V8:W8"/>
    <mergeCell ref="AD9:AE9"/>
    <mergeCell ref="Z4:AA5"/>
    <mergeCell ref="V7:W7"/>
    <mergeCell ref="X7:Y7"/>
    <mergeCell ref="DB6:DC6"/>
    <mergeCell ref="AB6:AC6"/>
    <mergeCell ref="AB7:AC7"/>
    <mergeCell ref="AB8:AC8"/>
    <mergeCell ref="DF2:DG2"/>
    <mergeCell ref="AH8:AI8"/>
    <mergeCell ref="AH9:AI9"/>
    <mergeCell ref="AD7:AE7"/>
    <mergeCell ref="BF9:BG9"/>
    <mergeCell ref="V9:W9"/>
    <mergeCell ref="X9:Y9"/>
    <mergeCell ref="DB8:DC8"/>
    <mergeCell ref="DB9:DC9"/>
    <mergeCell ref="BH9:BI9"/>
    <mergeCell ref="BJ8:BK8"/>
    <mergeCell ref="BJ9:BK9"/>
    <mergeCell ref="AL8:AM8"/>
    <mergeCell ref="X8:Y8"/>
    <mergeCell ref="CL8:CM8"/>
    <mergeCell ref="CL9:CM9"/>
    <mergeCell ref="CZ8:DA8"/>
    <mergeCell ref="BT8:BU8"/>
    <mergeCell ref="BT9:BU9"/>
    <mergeCell ref="BV8:BW8"/>
    <mergeCell ref="CF8:CG8"/>
    <mergeCell ref="CJ8:CK8"/>
    <mergeCell ref="CD8:CE8"/>
    <mergeCell ref="CT8:CU8"/>
    <mergeCell ref="CT9:CU9"/>
    <mergeCell ref="CR8:CS8"/>
    <mergeCell ref="CR9:CS9"/>
    <mergeCell ref="CJ9:CK9"/>
    <mergeCell ref="AV9:AW9"/>
    <mergeCell ref="Z7:AA7"/>
    <mergeCell ref="Z8:AA8"/>
    <mergeCell ref="AB4:AC5"/>
    <mergeCell ref="AD4:AE5"/>
    <mergeCell ref="AD8:AE8"/>
    <mergeCell ref="AF9:AG9"/>
    <mergeCell ref="AF7:AG7"/>
    <mergeCell ref="AD3:AE3"/>
    <mergeCell ref="AF8:AG8"/>
    <mergeCell ref="AF3:AG3"/>
    <mergeCell ref="CZ2:DA2"/>
    <mergeCell ref="CV3:CW3"/>
    <mergeCell ref="CX3:CY3"/>
    <mergeCell ref="CZ3:DA3"/>
    <mergeCell ref="BZ6:CA6"/>
    <mergeCell ref="BZ7:CA7"/>
    <mergeCell ref="BZ8:CA8"/>
    <mergeCell ref="CB7:CC7"/>
    <mergeCell ref="CB8:CC8"/>
    <mergeCell ref="CH3:CI3"/>
    <mergeCell ref="CH4:CI5"/>
    <mergeCell ref="CH6:CI6"/>
    <mergeCell ref="CH7:CI7"/>
    <mergeCell ref="CH8:CI8"/>
    <mergeCell ref="CL3:CM3"/>
    <mergeCell ref="CV4:CW5"/>
    <mergeCell ref="CX4:CY5"/>
    <mergeCell ref="CZ4:DA5"/>
    <mergeCell ref="CX6:CY6"/>
    <mergeCell ref="CL4:CM5"/>
    <mergeCell ref="CL6:CM6"/>
    <mergeCell ref="CL7:CM7"/>
    <mergeCell ref="CR3:CS3"/>
    <mergeCell ref="CN2:CO2"/>
    <mergeCell ref="AR9:AS9"/>
    <mergeCell ref="AT9:AU9"/>
    <mergeCell ref="BF8:BG8"/>
    <mergeCell ref="AZ9:BA9"/>
    <mergeCell ref="AN8:AO8"/>
    <mergeCell ref="AP8:AQ8"/>
    <mergeCell ref="AR8:AS8"/>
    <mergeCell ref="AT8:AU8"/>
    <mergeCell ref="AX8:AY8"/>
    <mergeCell ref="AZ8:BA8"/>
    <mergeCell ref="AX9:AY9"/>
    <mergeCell ref="CH9:CI9"/>
    <mergeCell ref="BH8:BI8"/>
    <mergeCell ref="AJ8:AK8"/>
    <mergeCell ref="AJ9:AK9"/>
    <mergeCell ref="AB9:AC9"/>
    <mergeCell ref="AF4:AG5"/>
    <mergeCell ref="BZ9:CA9"/>
    <mergeCell ref="CB9:CC9"/>
    <mergeCell ref="CD9:CE9"/>
    <mergeCell ref="CF9:CG9"/>
    <mergeCell ref="AL9:AM9"/>
    <mergeCell ref="AH7:AI7"/>
    <mergeCell ref="AR7:AS7"/>
    <mergeCell ref="AT7:AU7"/>
    <mergeCell ref="BT6:BU6"/>
    <mergeCell ref="BT7:BU7"/>
    <mergeCell ref="BH4:BI5"/>
    <mergeCell ref="BF6:BG6"/>
    <mergeCell ref="BH6:BI6"/>
    <mergeCell ref="BF7:BG7"/>
    <mergeCell ref="BH7:BI7"/>
    <mergeCell ref="BF4:BG5"/>
    <mergeCell ref="AN9:AO9"/>
    <mergeCell ref="AP9:AQ9"/>
    <mergeCell ref="DP3:DQ3"/>
    <mergeCell ref="DP4:DQ5"/>
    <mergeCell ref="DP6:DQ6"/>
    <mergeCell ref="DP7:DQ7"/>
    <mergeCell ref="DF3:DG3"/>
    <mergeCell ref="CN6:CO6"/>
    <mergeCell ref="CN7:CO7"/>
    <mergeCell ref="CN8:CO8"/>
    <mergeCell ref="CN9:CO9"/>
    <mergeCell ref="DN6:DO6"/>
    <mergeCell ref="DN7:DO7"/>
    <mergeCell ref="DF4:DG5"/>
    <mergeCell ref="CZ6:DA6"/>
    <mergeCell ref="CV7:CW7"/>
    <mergeCell ref="CX7:CY7"/>
    <mergeCell ref="CZ7:DA7"/>
    <mergeCell ref="DD6:DE6"/>
    <mergeCell ref="DD7:DE7"/>
    <mergeCell ref="DF6:DG6"/>
    <mergeCell ref="DF7:DG7"/>
    <mergeCell ref="DH4:DI5"/>
    <mergeCell ref="DH6:DI6"/>
    <mergeCell ref="DH7:DI7"/>
    <mergeCell ref="DH8:DI8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6DBD-8E51-4F0F-8CF4-53D6B3B1DA9E}">
  <sheetPr>
    <pageSetUpPr fitToPage="1"/>
  </sheetPr>
  <dimension ref="A1:DU178"/>
  <sheetViews>
    <sheetView showGridLines="0" zoomScale="88" zoomScaleNormal="85" zoomScaleSheetLayoutView="80" workbookViewId="0">
      <pane xSplit="5" ySplit="6" topLeftCell="DH33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3" outlineLevelCol="2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1.86328125" hidden="1" customWidth="1"/>
    <col min="7" max="7" width="13" hidden="1" customWidth="1"/>
    <col min="8" max="9" width="11.86328125" hidden="1" customWidth="1"/>
    <col min="10" max="13" width="11.86328125" hidden="1" customWidth="1" outlineLevel="1"/>
    <col min="14" max="14" width="11.59765625" hidden="1" customWidth="1" collapsed="1"/>
    <col min="15" max="15" width="13.73046875" hidden="1" customWidth="1"/>
    <col min="16" max="16" width="11.59765625" hidden="1" customWidth="1" outlineLevel="1"/>
    <col min="17" max="17" width="13.73046875" hidden="1" customWidth="1" outlineLevel="1"/>
    <col min="18" max="18" width="11.59765625" hidden="1" customWidth="1" outlineLevel="1"/>
    <col min="19" max="19" width="13.73046875" hidden="1" customWidth="1" outlineLevel="1"/>
    <col min="20" max="20" width="11.59765625" hidden="1" customWidth="1" collapsed="1"/>
    <col min="21" max="21" width="13.73046875" hidden="1" customWidth="1"/>
    <col min="22" max="22" width="11.59765625" hidden="1" customWidth="1" collapsed="1"/>
    <col min="23" max="23" width="13.73046875" hidden="1" customWidth="1"/>
    <col min="24" max="24" width="11.59765625" hidden="1" customWidth="1" collapsed="1"/>
    <col min="25" max="25" width="13.73046875" hidden="1" customWidth="1"/>
    <col min="26" max="26" width="11.59765625" hidden="1" customWidth="1" collapsed="1"/>
    <col min="27" max="27" width="13.73046875" hidden="1" customWidth="1"/>
    <col min="28" max="28" width="11.59765625" hidden="1" customWidth="1" collapsed="1"/>
    <col min="29" max="29" width="13.73046875" hidden="1" customWidth="1"/>
    <col min="30" max="30" width="11.59765625" hidden="1" customWidth="1" collapsed="1"/>
    <col min="31" max="31" width="13.73046875" hidden="1" customWidth="1"/>
    <col min="32" max="32" width="11.59765625" hidden="1" customWidth="1" collapsed="1"/>
    <col min="33" max="33" width="13.73046875" hidden="1" customWidth="1"/>
    <col min="34" max="34" width="11.59765625" hidden="1" customWidth="1" collapsed="1"/>
    <col min="35" max="35" width="13.73046875" hidden="1" customWidth="1"/>
    <col min="36" max="36" width="11.59765625" hidden="1" customWidth="1" collapsed="1"/>
    <col min="37" max="37" width="13.73046875" hidden="1" customWidth="1"/>
    <col min="38" max="38" width="11.59765625" hidden="1" customWidth="1" collapsed="1"/>
    <col min="39" max="39" width="13.73046875" hidden="1" customWidth="1"/>
    <col min="40" max="40" width="11.59765625" hidden="1" customWidth="1" collapsed="1"/>
    <col min="41" max="41" width="13.73046875" hidden="1" customWidth="1"/>
    <col min="42" max="42" width="11.59765625" hidden="1" customWidth="1" collapsed="1"/>
    <col min="43" max="43" width="13.73046875" hidden="1" customWidth="1"/>
    <col min="44" max="44" width="11.59765625" hidden="1" customWidth="1" collapsed="1"/>
    <col min="45" max="45" width="13.73046875" hidden="1" customWidth="1"/>
    <col min="46" max="46" width="11.59765625" hidden="1" customWidth="1" collapsed="1"/>
    <col min="47" max="47" width="13.73046875" hidden="1" customWidth="1"/>
    <col min="48" max="48" width="11.59765625" hidden="1" customWidth="1" collapsed="1"/>
    <col min="49" max="49" width="13.73046875" hidden="1" customWidth="1"/>
    <col min="50" max="50" width="11.59765625" hidden="1" customWidth="1" collapsed="1"/>
    <col min="51" max="51" width="13.73046875" hidden="1" customWidth="1"/>
    <col min="52" max="52" width="11.59765625" hidden="1" customWidth="1" collapsed="1"/>
    <col min="53" max="53" width="13.73046875" hidden="1" customWidth="1"/>
    <col min="54" max="54" width="11.59765625" hidden="1" customWidth="1" collapsed="1"/>
    <col min="55" max="55" width="13.73046875" hidden="1" customWidth="1"/>
    <col min="56" max="56" width="11.59765625" hidden="1" customWidth="1" collapsed="1"/>
    <col min="57" max="57" width="13.73046875" hidden="1" customWidth="1"/>
    <col min="58" max="58" width="11.59765625" hidden="1" customWidth="1" collapsed="1"/>
    <col min="59" max="59" width="13.73046875" hidden="1" customWidth="1"/>
    <col min="60" max="60" width="11.59765625" hidden="1" customWidth="1" collapsed="1"/>
    <col min="61" max="61" width="13.73046875" hidden="1" customWidth="1"/>
    <col min="62" max="62" width="11.59765625" customWidth="1" collapsed="1"/>
    <col min="63" max="63" width="13.73046875" customWidth="1"/>
    <col min="64" max="64" width="11.59765625" customWidth="1" collapsed="1"/>
    <col min="65" max="65" width="13.73046875" customWidth="1"/>
    <col min="66" max="66" width="11.59765625" customWidth="1" collapsed="1"/>
    <col min="67" max="67" width="13.73046875" customWidth="1"/>
    <col min="68" max="68" width="11.59765625" customWidth="1" collapsed="1"/>
    <col min="69" max="69" width="13.73046875" customWidth="1"/>
    <col min="70" max="70" width="11.59765625" customWidth="1" collapsed="1"/>
    <col min="71" max="71" width="13.73046875" customWidth="1"/>
    <col min="72" max="72" width="11.59765625" customWidth="1" collapsed="1"/>
    <col min="73" max="73" width="13.73046875" customWidth="1"/>
    <col min="74" max="74" width="11.59765625" customWidth="1" collapsed="1"/>
    <col min="75" max="75" width="13.73046875" customWidth="1"/>
    <col min="76" max="76" width="11.59765625" customWidth="1" collapsed="1"/>
    <col min="77" max="77" width="13.73046875" customWidth="1"/>
    <col min="78" max="78" width="11.59765625" customWidth="1" collapsed="1"/>
    <col min="79" max="79" width="13.73046875" customWidth="1"/>
    <col min="80" max="80" width="11.59765625" customWidth="1" collapsed="1"/>
    <col min="81" max="81" width="13.73046875" customWidth="1"/>
    <col min="82" max="82" width="11.59765625" customWidth="1" collapsed="1"/>
    <col min="83" max="87" width="13.73046875" customWidth="1"/>
    <col min="88" max="88" width="11.59765625" hidden="1" customWidth="1" outlineLevel="1" collapsed="1"/>
    <col min="89" max="89" width="13.73046875" hidden="1" customWidth="1" outlineLevel="1"/>
    <col min="90" max="90" width="11.59765625" hidden="1" customWidth="1" outlineLevel="1" collapsed="1"/>
    <col min="91" max="91" width="13.73046875" hidden="1" customWidth="1" outlineLevel="1"/>
    <col min="92" max="92" width="11.59765625" hidden="1" customWidth="1" outlineLevel="1" collapsed="1"/>
    <col min="93" max="93" width="13.73046875" hidden="1" customWidth="1" outlineLevel="1"/>
    <col min="94" max="94" width="11.59765625" hidden="1" customWidth="1" outlineLevel="1"/>
    <col min="95" max="95" width="13.73046875" hidden="1" customWidth="1" outlineLevel="1"/>
    <col min="96" max="96" width="11.59765625" hidden="1" customWidth="1" outlineLevel="2" collapsed="1"/>
    <col min="97" max="97" width="13.73046875" hidden="1" customWidth="1" outlineLevel="2"/>
    <col min="98" max="98" width="11.59765625" hidden="1" customWidth="1" outlineLevel="1"/>
    <col min="99" max="99" width="13.73046875" hidden="1" customWidth="1" outlineLevel="1"/>
    <col min="100" max="100" width="11.59765625" hidden="1" customWidth="1" outlineLevel="1"/>
    <col min="101" max="101" width="13.73046875" hidden="1" customWidth="1" outlineLevel="1"/>
    <col min="102" max="102" width="11.59765625" hidden="1" customWidth="1" outlineLevel="1"/>
    <col min="103" max="103" width="13.73046875" hidden="1" customWidth="1" outlineLevel="1"/>
    <col min="104" max="104" width="13.3984375" hidden="1" customWidth="1" outlineLevel="1"/>
    <col min="105" max="105" width="11.59765625" hidden="1" customWidth="1" collapsed="1"/>
    <col min="106" max="106" width="13.73046875" hidden="1" customWidth="1"/>
    <col min="107" max="107" width="11.59765625" hidden="1" customWidth="1" collapsed="1"/>
    <col min="108" max="108" width="13.73046875" hidden="1" customWidth="1"/>
    <col min="109" max="109" width="11.59765625" customWidth="1" collapsed="1"/>
    <col min="110" max="110" width="13.73046875" customWidth="1"/>
    <col min="111" max="111" width="11.59765625" customWidth="1" collapsed="1"/>
    <col min="112" max="112" width="13.73046875" customWidth="1"/>
    <col min="113" max="113" width="11.59765625" customWidth="1" collapsed="1"/>
    <col min="114" max="114" width="13.73046875" customWidth="1"/>
    <col min="115" max="115" width="11.59765625" customWidth="1" collapsed="1"/>
    <col min="116" max="116" width="13.73046875" customWidth="1"/>
    <col min="117" max="117" width="11.59765625" customWidth="1" collapsed="1"/>
    <col min="118" max="118" width="13.73046875" customWidth="1"/>
    <col min="119" max="119" width="11.59765625" customWidth="1" collapsed="1"/>
    <col min="120" max="120" width="13.73046875" customWidth="1"/>
    <col min="121" max="121" width="9" customWidth="1"/>
    <col min="122" max="122" width="11.59765625" hidden="1" customWidth="1" collapsed="1"/>
    <col min="123" max="123" width="13.73046875" hidden="1" customWidth="1"/>
    <col min="124" max="124" width="11.59765625" hidden="1" customWidth="1" collapsed="1"/>
    <col min="125" max="125" width="13.73046875" hidden="1" customWidth="1"/>
    <col min="2036" max="2036" width="2.3984375" customWidth="1"/>
  </cols>
  <sheetData>
    <row r="1" spans="1:125" x14ac:dyDescent="0.45">
      <c r="N1" s="1330" t="s">
        <v>284</v>
      </c>
      <c r="O1" s="1330"/>
      <c r="P1" s="1330"/>
      <c r="Q1" s="1330"/>
      <c r="R1" s="1330"/>
      <c r="S1" s="1330"/>
      <c r="T1" s="708"/>
      <c r="U1" s="708"/>
      <c r="V1" s="708"/>
      <c r="W1" s="708"/>
      <c r="X1" s="708"/>
      <c r="Y1" s="708"/>
      <c r="Z1" s="708"/>
      <c r="AA1" s="708"/>
      <c r="AB1" s="708"/>
      <c r="AC1" s="708"/>
      <c r="AD1" s="708"/>
      <c r="AE1" s="708"/>
      <c r="AF1" s="708"/>
      <c r="AG1" s="708"/>
      <c r="AH1" s="708"/>
      <c r="AI1" s="708"/>
      <c r="AJ1" s="708"/>
      <c r="AK1" s="708"/>
      <c r="AL1" s="708"/>
      <c r="AM1" s="708"/>
      <c r="AN1" s="708"/>
      <c r="AO1" s="708"/>
      <c r="AP1" s="708"/>
      <c r="AQ1" s="708"/>
      <c r="AR1" s="708"/>
      <c r="AS1" s="708"/>
      <c r="AT1" s="708"/>
      <c r="AU1" s="708"/>
      <c r="AV1" s="708"/>
      <c r="AW1" s="708"/>
      <c r="AX1" s="708"/>
      <c r="AY1" s="708"/>
      <c r="AZ1" s="708"/>
      <c r="BA1" s="708"/>
      <c r="BB1" s="708"/>
      <c r="BC1" s="708"/>
      <c r="BD1" s="708"/>
      <c r="BE1" s="708"/>
      <c r="BF1" s="708"/>
      <c r="BG1" s="708"/>
      <c r="BH1" s="708"/>
      <c r="BI1" s="708"/>
      <c r="BJ1" s="708"/>
      <c r="BK1" s="708"/>
      <c r="BL1" s="708"/>
      <c r="BM1" s="708"/>
      <c r="BN1" s="708"/>
      <c r="BO1" s="708"/>
      <c r="BP1" s="708"/>
      <c r="BQ1" s="708"/>
      <c r="BR1" s="708"/>
      <c r="BS1" s="708"/>
      <c r="BT1" s="708"/>
      <c r="BU1" s="708"/>
      <c r="BV1" s="708"/>
      <c r="BW1" s="708"/>
      <c r="BX1" s="708"/>
      <c r="BY1" s="708"/>
      <c r="BZ1" s="708"/>
      <c r="CA1" s="708"/>
      <c r="CB1" s="708"/>
      <c r="CC1" s="708"/>
      <c r="CD1" s="708"/>
      <c r="CE1" s="708"/>
      <c r="CF1" s="708"/>
      <c r="CG1" s="708"/>
      <c r="CH1" s="708"/>
      <c r="CI1" s="708"/>
      <c r="CJ1" s="708"/>
      <c r="CK1" s="708"/>
      <c r="CL1" s="708"/>
      <c r="CM1" s="708"/>
      <c r="CN1" s="708"/>
      <c r="CO1" s="708"/>
      <c r="CP1" s="708"/>
      <c r="CQ1" s="708"/>
      <c r="CR1" s="708"/>
      <c r="CS1" s="708"/>
      <c r="CT1" s="708"/>
      <c r="CU1" s="708"/>
      <c r="CV1" s="708"/>
      <c r="CW1" s="708"/>
      <c r="CX1" s="708"/>
      <c r="CY1" s="708"/>
      <c r="DA1" s="708"/>
      <c r="DB1" s="708"/>
      <c r="DC1" s="708"/>
      <c r="DD1" s="708"/>
      <c r="DE1" s="708"/>
      <c r="DF1" s="708"/>
      <c r="DG1" s="708"/>
      <c r="DH1" s="708"/>
      <c r="DI1" s="708"/>
      <c r="DJ1" s="708"/>
      <c r="DK1" s="708"/>
      <c r="DL1" s="708"/>
      <c r="DM1" s="708"/>
      <c r="DN1" s="708"/>
      <c r="DO1" s="708"/>
      <c r="DP1" s="708"/>
      <c r="DR1" s="708"/>
      <c r="DS1" s="708"/>
      <c r="DT1" s="708"/>
      <c r="DU1" s="708"/>
    </row>
    <row r="2" spans="1:125" ht="15.75" customHeight="1" thickBot="1" x14ac:dyDescent="0.5">
      <c r="F2" s="1273" t="str">
        <f>F4</f>
        <v>GSS LOKAL 40</v>
      </c>
      <c r="G2" s="1273"/>
      <c r="H2" s="1273" t="str">
        <f>H4</f>
        <v>GSS LOKAL 40</v>
      </c>
      <c r="I2" s="1273"/>
      <c r="J2" s="1273" t="str">
        <f>J4</f>
        <v>GSS LOKAL 40</v>
      </c>
      <c r="K2" s="1273"/>
      <c r="L2" s="1273" t="str">
        <f>L4</f>
        <v>GSS LOKAL 40</v>
      </c>
      <c r="M2" s="1273"/>
      <c r="N2" s="1273" t="str">
        <f>N4</f>
        <v>GSS LOKAL 40</v>
      </c>
      <c r="O2" s="1273"/>
      <c r="P2" s="1273" t="str">
        <f>P4</f>
        <v>GSS LOKAL 40</v>
      </c>
      <c r="Q2" s="1273"/>
      <c r="R2" s="1273" t="str">
        <f>R4</f>
        <v>GSS LOKAL 40</v>
      </c>
      <c r="S2" s="1273"/>
      <c r="T2" s="1273" t="str">
        <f>T4</f>
        <v>GSS LOKAL 40</v>
      </c>
      <c r="U2" s="1273"/>
      <c r="V2" s="1273" t="str">
        <f>V4</f>
        <v>GSS LOKAL 40</v>
      </c>
      <c r="W2" s="1273"/>
      <c r="X2" s="1273" t="str">
        <f>X4</f>
        <v>GSS LOKAL 40</v>
      </c>
      <c r="Y2" s="1273"/>
      <c r="Z2" s="1273" t="str">
        <f>Z4</f>
        <v>GSS LOKAL 40</v>
      </c>
      <c r="AA2" s="1273"/>
      <c r="AB2" s="1273" t="str">
        <f>AB4</f>
        <v>GSS LOKAL 40</v>
      </c>
      <c r="AC2" s="1273"/>
      <c r="AD2" s="1273" t="str">
        <f>AD4</f>
        <v>GSS LOKAL 40</v>
      </c>
      <c r="AE2" s="1273"/>
      <c r="AF2" s="1273" t="str">
        <f>AF4</f>
        <v>GSS LOKAL 40</v>
      </c>
      <c r="AG2" s="1273"/>
      <c r="AH2" s="1273" t="str">
        <f>AH4</f>
        <v>GSS LOKAL 40</v>
      </c>
      <c r="AI2" s="1273"/>
      <c r="AJ2" s="1273" t="str">
        <f>AJ4</f>
        <v>GSS LOKAL 40</v>
      </c>
      <c r="AK2" s="1273"/>
      <c r="AL2" s="1273" t="str">
        <f>AL4</f>
        <v>GSS LOKAL 40</v>
      </c>
      <c r="AM2" s="1273"/>
      <c r="AN2" s="1273" t="str">
        <f>AN4</f>
        <v>GSS LOKAL 40</v>
      </c>
      <c r="AO2" s="1273"/>
      <c r="AP2" s="1273" t="str">
        <f>AP4</f>
        <v>GSS LOKAL 40</v>
      </c>
      <c r="AQ2" s="1273"/>
      <c r="AR2" s="1273" t="str">
        <f>AR4</f>
        <v>GSS LOKAL 40</v>
      </c>
      <c r="AS2" s="1273"/>
      <c r="AT2" s="1273" t="str">
        <f>AT4</f>
        <v>GSS LOKAL 40</v>
      </c>
      <c r="AU2" s="1273"/>
      <c r="AV2" s="1273" t="str">
        <f>AV4</f>
        <v>GSS LOKAL 40</v>
      </c>
      <c r="AW2" s="1273"/>
      <c r="AX2" s="1273" t="str">
        <f>AX4</f>
        <v>GSS LOKAL 40</v>
      </c>
      <c r="AY2" s="1273"/>
      <c r="AZ2" s="1273" t="str">
        <f>AZ4</f>
        <v>GSS LOKAL 40</v>
      </c>
      <c r="BA2" s="1273"/>
      <c r="BB2" s="1273" t="str">
        <f>BB4</f>
        <v>GSS LOKAL 40</v>
      </c>
      <c r="BC2" s="1273"/>
      <c r="BD2" s="1273" t="str">
        <f>BD4</f>
        <v>GRS LOKAL 40</v>
      </c>
      <c r="BE2" s="1273"/>
      <c r="BF2" s="1273" t="str">
        <f>BF4</f>
        <v>GRS LOKAL 40</v>
      </c>
      <c r="BG2" s="1273"/>
      <c r="BH2" s="1273" t="str">
        <f>BH4</f>
        <v>GRS LOKAL 40</v>
      </c>
      <c r="BI2" s="1273"/>
      <c r="BJ2" s="1273" t="str">
        <f>BJ4</f>
        <v>GRS LOKAL 40</v>
      </c>
      <c r="BK2" s="1273"/>
      <c r="BL2" s="1273" t="str">
        <f>BL4</f>
        <v>GRS LOKAL 40</v>
      </c>
      <c r="BM2" s="1273"/>
      <c r="BN2" s="1273" t="str">
        <f>BN4</f>
        <v>GRS LOKAL 40</v>
      </c>
      <c r="BO2" s="1273"/>
      <c r="BP2" s="1273" t="str">
        <f>BP4</f>
        <v>GRS LOKAL 40</v>
      </c>
      <c r="BQ2" s="1273"/>
      <c r="BR2" s="1273" t="str">
        <f>BR4</f>
        <v>GRS LOKAL 40</v>
      </c>
      <c r="BS2" s="1273"/>
      <c r="BT2" s="1273" t="str">
        <f>BT4</f>
        <v>GRS LOKAL 40</v>
      </c>
      <c r="BU2" s="1273"/>
      <c r="BV2" s="1273" t="str">
        <f>BV4</f>
        <v>GRS LOKAL 40</v>
      </c>
      <c r="BW2" s="1273"/>
      <c r="BX2" s="1273" t="str">
        <f>BX4</f>
        <v>GRS LOKAL 40</v>
      </c>
      <c r="BY2" s="1273"/>
      <c r="BZ2" s="1273" t="str">
        <f>BZ4</f>
        <v>GRS LOKAL 40</v>
      </c>
      <c r="CA2" s="1273"/>
      <c r="CB2" s="1273" t="str">
        <f>CB4</f>
        <v>GRS LOKAL 40</v>
      </c>
      <c r="CC2" s="1273"/>
      <c r="CD2" s="1273" t="str">
        <f>CD4</f>
        <v>GRS LOKAL 40</v>
      </c>
      <c r="CE2" s="1273"/>
      <c r="CF2" s="620"/>
      <c r="CG2" s="620"/>
      <c r="CH2" s="620"/>
      <c r="CI2" s="620"/>
      <c r="CJ2" s="1231" t="str">
        <f>CJ4</f>
        <v>GSS LOKAL 40</v>
      </c>
      <c r="CK2" s="1231"/>
      <c r="CL2" s="1231" t="str">
        <f>CL4</f>
        <v>GSS LOKAL 40</v>
      </c>
      <c r="CM2" s="1231"/>
      <c r="CN2" s="1231" t="str">
        <f>CN4</f>
        <v>GSS LOKAL 40</v>
      </c>
      <c r="CO2" s="1231"/>
      <c r="CP2" s="1231" t="str">
        <f>CP4</f>
        <v>GSS LOKAL 40</v>
      </c>
      <c r="CQ2" s="1231"/>
      <c r="CR2" s="1231" t="str">
        <f>CR4</f>
        <v>GSS LOKAL 40</v>
      </c>
      <c r="CS2" s="1231"/>
      <c r="CT2" s="1231" t="str">
        <f>CT4</f>
        <v>GSS LOKAL 40</v>
      </c>
      <c r="CU2" s="1231"/>
      <c r="CV2" s="1231" t="str">
        <f>CV4</f>
        <v>GSS LOKAL 40</v>
      </c>
      <c r="CW2" s="1231"/>
      <c r="CX2" s="1231" t="str">
        <f>CX4</f>
        <v>GSS LOKAL 40</v>
      </c>
      <c r="CY2" s="1231"/>
      <c r="DA2" s="1273" t="str">
        <f>DA4</f>
        <v>GPD LOKAL 40</v>
      </c>
      <c r="DB2" s="1273"/>
      <c r="DC2" s="1273" t="str">
        <f>DC4</f>
        <v>GPD LOKAL 40</v>
      </c>
      <c r="DD2" s="1273"/>
      <c r="DE2" s="1273" t="str">
        <f>DE4</f>
        <v>GPD LOKAL 40</v>
      </c>
      <c r="DF2" s="1273"/>
      <c r="DG2" s="1273" t="str">
        <f>DG4</f>
        <v>GPD LOKAL 40</v>
      </c>
      <c r="DH2" s="1273"/>
      <c r="DI2" s="1273" t="str">
        <f>DI4</f>
        <v>GPD LOKAL 40</v>
      </c>
      <c r="DJ2" s="1273"/>
      <c r="DK2" s="1273" t="str">
        <f>DK4</f>
        <v>GPD LOKAL 40</v>
      </c>
      <c r="DL2" s="1273"/>
      <c r="DM2" s="1273" t="str">
        <f>DM4</f>
        <v>GPD LOKAL 40</v>
      </c>
      <c r="DN2" s="1273"/>
      <c r="DO2" s="1273" t="str">
        <f>DO4</f>
        <v>GPD LOKAL 40</v>
      </c>
      <c r="DP2" s="1273"/>
      <c r="DR2" s="1273" t="str">
        <f>DR4</f>
        <v>GPD LOKAL 40</v>
      </c>
      <c r="DS2" s="1273"/>
      <c r="DT2" s="1273" t="str">
        <f>DT4</f>
        <v>GRS LOKAL 40</v>
      </c>
      <c r="DU2" s="1273"/>
    </row>
    <row r="3" spans="1:125" s="4" customFormat="1" ht="3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39" t="s">
        <v>392</v>
      </c>
      <c r="I3" s="1340"/>
      <c r="J3" s="1339" t="s">
        <v>393</v>
      </c>
      <c r="K3" s="1340"/>
      <c r="L3" s="1339" t="s">
        <v>394</v>
      </c>
      <c r="M3" s="1340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323</v>
      </c>
      <c r="W3" s="1264"/>
      <c r="X3" s="1318" t="s">
        <v>324</v>
      </c>
      <c r="Y3" s="1264"/>
      <c r="Z3" s="1318" t="s">
        <v>325</v>
      </c>
      <c r="AA3" s="1264"/>
      <c r="AB3" s="1318" t="s">
        <v>326</v>
      </c>
      <c r="AC3" s="1264"/>
      <c r="AD3" s="1318" t="s">
        <v>327</v>
      </c>
      <c r="AE3" s="1264"/>
      <c r="AF3" s="1318" t="s">
        <v>328</v>
      </c>
      <c r="AG3" s="1264"/>
      <c r="AH3" s="1318" t="s">
        <v>329</v>
      </c>
      <c r="AI3" s="1264"/>
      <c r="AJ3" s="1318" t="s">
        <v>330</v>
      </c>
      <c r="AK3" s="1264"/>
      <c r="AL3" s="1318" t="s">
        <v>331</v>
      </c>
      <c r="AM3" s="1264"/>
      <c r="AN3" s="1318" t="s">
        <v>332</v>
      </c>
      <c r="AO3" s="1264"/>
      <c r="AP3" s="1318" t="s">
        <v>333</v>
      </c>
      <c r="AQ3" s="1264"/>
      <c r="AR3" s="1318" t="s">
        <v>334</v>
      </c>
      <c r="AS3" s="1264"/>
      <c r="AT3" s="1318" t="s">
        <v>335</v>
      </c>
      <c r="AU3" s="1264"/>
      <c r="AV3" s="1318" t="s">
        <v>336</v>
      </c>
      <c r="AW3" s="1264"/>
      <c r="AX3" s="1318" t="s">
        <v>337</v>
      </c>
      <c r="AY3" s="1264"/>
      <c r="AZ3" s="1318" t="s">
        <v>338</v>
      </c>
      <c r="BA3" s="1264"/>
      <c r="BB3" s="1318" t="s">
        <v>339</v>
      </c>
      <c r="BC3" s="1264"/>
      <c r="BD3" s="1318" t="s">
        <v>505</v>
      </c>
      <c r="BE3" s="1264"/>
      <c r="BF3" s="1318" t="s">
        <v>506</v>
      </c>
      <c r="BG3" s="1264"/>
      <c r="BH3" s="1318" t="s">
        <v>507</v>
      </c>
      <c r="BI3" s="1264"/>
      <c r="BJ3" s="1318" t="s">
        <v>508</v>
      </c>
      <c r="BK3" s="1264"/>
      <c r="BL3" s="1318" t="s">
        <v>509</v>
      </c>
      <c r="BM3" s="1264"/>
      <c r="BN3" s="1318" t="s">
        <v>698</v>
      </c>
      <c r="BO3" s="1264"/>
      <c r="BP3" s="1318" t="s">
        <v>702</v>
      </c>
      <c r="BQ3" s="1264"/>
      <c r="BR3" s="1318" t="s">
        <v>706</v>
      </c>
      <c r="BS3" s="1264"/>
      <c r="BT3" s="1318" t="s">
        <v>709</v>
      </c>
      <c r="BU3" s="1264"/>
      <c r="BV3" s="1318" t="s">
        <v>712</v>
      </c>
      <c r="BW3" s="1264"/>
      <c r="BX3" s="1318" t="s">
        <v>725</v>
      </c>
      <c r="BY3" s="1264"/>
      <c r="BZ3" s="1318" t="s">
        <v>728</v>
      </c>
      <c r="CA3" s="1264"/>
      <c r="CB3" s="1318" t="s">
        <v>729</v>
      </c>
      <c r="CC3" s="1264"/>
      <c r="CD3" s="1318" t="s">
        <v>510</v>
      </c>
      <c r="CE3" s="1264"/>
      <c r="CF3" s="620"/>
      <c r="CG3" s="620"/>
      <c r="CH3" s="620"/>
      <c r="CI3" s="620"/>
      <c r="CJ3" s="1335" t="s">
        <v>405</v>
      </c>
      <c r="CK3" s="1336"/>
      <c r="CL3" s="1335" t="s">
        <v>406</v>
      </c>
      <c r="CM3" s="1336"/>
      <c r="CN3" s="1335" t="s">
        <v>407</v>
      </c>
      <c r="CO3" s="1336"/>
      <c r="CP3" s="1337" t="s">
        <v>408</v>
      </c>
      <c r="CQ3" s="1338"/>
      <c r="CR3" s="1335" t="s">
        <v>409</v>
      </c>
      <c r="CS3" s="1336"/>
      <c r="CT3" s="1333" t="s">
        <v>410</v>
      </c>
      <c r="CU3" s="1334"/>
      <c r="CV3" s="1331" t="s">
        <v>411</v>
      </c>
      <c r="CW3" s="1332"/>
      <c r="CX3" s="1331" t="s">
        <v>412</v>
      </c>
      <c r="CY3" s="1332"/>
      <c r="DA3" s="1318" t="s">
        <v>505</v>
      </c>
      <c r="DB3" s="1264"/>
      <c r="DC3" s="1318" t="s">
        <v>506</v>
      </c>
      <c r="DD3" s="1264"/>
      <c r="DE3" s="1318" t="s">
        <v>511</v>
      </c>
      <c r="DF3" s="1264"/>
      <c r="DG3" s="1318" t="s">
        <v>508</v>
      </c>
      <c r="DH3" s="1264"/>
      <c r="DI3" s="1318" t="s">
        <v>698</v>
      </c>
      <c r="DJ3" s="1264"/>
      <c r="DK3" s="1318" t="s">
        <v>698</v>
      </c>
      <c r="DL3" s="1264"/>
      <c r="DM3" s="1318" t="s">
        <v>706</v>
      </c>
      <c r="DN3" s="1264"/>
      <c r="DO3" s="1318" t="s">
        <v>512</v>
      </c>
      <c r="DP3" s="1264"/>
      <c r="DR3" s="1318" t="s">
        <v>721</v>
      </c>
      <c r="DS3" s="1264"/>
      <c r="DT3" s="1318" t="s">
        <v>721</v>
      </c>
      <c r="DU3" s="1264"/>
    </row>
    <row r="4" spans="1:125" s="4" customFormat="1" ht="22.5" customHeight="1" thickTop="1" x14ac:dyDescent="0.45">
      <c r="A4" s="561"/>
      <c r="B4" s="2"/>
      <c r="C4" s="3"/>
      <c r="D4" s="6"/>
      <c r="E4" s="245"/>
      <c r="F4" s="1305" t="s">
        <v>2</v>
      </c>
      <c r="G4" s="1306"/>
      <c r="H4" s="1305" t="s">
        <v>2</v>
      </c>
      <c r="I4" s="1306"/>
      <c r="J4" s="1305" t="s">
        <v>2</v>
      </c>
      <c r="K4" s="1306"/>
      <c r="L4" s="1305" t="s">
        <v>2</v>
      </c>
      <c r="M4" s="1306"/>
      <c r="N4" s="1305" t="s">
        <v>2</v>
      </c>
      <c r="O4" s="1306"/>
      <c r="P4" s="1305" t="s">
        <v>2</v>
      </c>
      <c r="Q4" s="1306"/>
      <c r="R4" s="1305" t="s">
        <v>2</v>
      </c>
      <c r="S4" s="1306"/>
      <c r="T4" s="1305" t="s">
        <v>2</v>
      </c>
      <c r="U4" s="1306"/>
      <c r="V4" s="1305" t="s">
        <v>2</v>
      </c>
      <c r="W4" s="1306"/>
      <c r="X4" s="1305" t="s">
        <v>2</v>
      </c>
      <c r="Y4" s="1306"/>
      <c r="Z4" s="1305" t="s">
        <v>2</v>
      </c>
      <c r="AA4" s="1306"/>
      <c r="AB4" s="1305" t="s">
        <v>2</v>
      </c>
      <c r="AC4" s="1306"/>
      <c r="AD4" s="1305" t="s">
        <v>2</v>
      </c>
      <c r="AE4" s="1306"/>
      <c r="AF4" s="1305" t="s">
        <v>2</v>
      </c>
      <c r="AG4" s="1306"/>
      <c r="AH4" s="1305" t="s">
        <v>2</v>
      </c>
      <c r="AI4" s="1306"/>
      <c r="AJ4" s="1305" t="s">
        <v>2</v>
      </c>
      <c r="AK4" s="1306"/>
      <c r="AL4" s="1305" t="s">
        <v>2</v>
      </c>
      <c r="AM4" s="1306"/>
      <c r="AN4" s="1305" t="s">
        <v>2</v>
      </c>
      <c r="AO4" s="1306"/>
      <c r="AP4" s="1305" t="s">
        <v>2</v>
      </c>
      <c r="AQ4" s="1306"/>
      <c r="AR4" s="1305" t="s">
        <v>2</v>
      </c>
      <c r="AS4" s="1306"/>
      <c r="AT4" s="1305" t="s">
        <v>2</v>
      </c>
      <c r="AU4" s="1306"/>
      <c r="AV4" s="1305" t="s">
        <v>2</v>
      </c>
      <c r="AW4" s="1306"/>
      <c r="AX4" s="1305" t="s">
        <v>2</v>
      </c>
      <c r="AY4" s="1306"/>
      <c r="AZ4" s="1305" t="s">
        <v>2</v>
      </c>
      <c r="BA4" s="1306"/>
      <c r="BB4" s="1305" t="s">
        <v>2</v>
      </c>
      <c r="BC4" s="1306"/>
      <c r="BD4" s="1305" t="s">
        <v>513</v>
      </c>
      <c r="BE4" s="1306"/>
      <c r="BF4" s="1305" t="s">
        <v>513</v>
      </c>
      <c r="BG4" s="1306"/>
      <c r="BH4" s="1305" t="s">
        <v>513</v>
      </c>
      <c r="BI4" s="1306"/>
      <c r="BJ4" s="1305" t="s">
        <v>513</v>
      </c>
      <c r="BK4" s="1306"/>
      <c r="BL4" s="1305" t="s">
        <v>513</v>
      </c>
      <c r="BM4" s="1306"/>
      <c r="BN4" s="1305" t="s">
        <v>513</v>
      </c>
      <c r="BO4" s="1306"/>
      <c r="BP4" s="1305" t="s">
        <v>513</v>
      </c>
      <c r="BQ4" s="1306"/>
      <c r="BR4" s="1305" t="s">
        <v>513</v>
      </c>
      <c r="BS4" s="1306"/>
      <c r="BT4" s="1305" t="s">
        <v>513</v>
      </c>
      <c r="BU4" s="1306"/>
      <c r="BV4" s="1305" t="s">
        <v>513</v>
      </c>
      <c r="BW4" s="1306"/>
      <c r="BX4" s="1305" t="s">
        <v>513</v>
      </c>
      <c r="BY4" s="1306"/>
      <c r="BZ4" s="1305" t="s">
        <v>513</v>
      </c>
      <c r="CA4" s="1306"/>
      <c r="CB4" s="1305" t="s">
        <v>513</v>
      </c>
      <c r="CC4" s="1306"/>
      <c r="CD4" s="1305" t="s">
        <v>513</v>
      </c>
      <c r="CE4" s="1306"/>
      <c r="CF4" s="620"/>
      <c r="CG4" s="620"/>
      <c r="CH4" s="620"/>
      <c r="CI4" s="620"/>
      <c r="CJ4" s="1305" t="s">
        <v>2</v>
      </c>
      <c r="CK4" s="1306"/>
      <c r="CL4" s="1305" t="s">
        <v>2</v>
      </c>
      <c r="CM4" s="1306"/>
      <c r="CN4" s="1305" t="s">
        <v>2</v>
      </c>
      <c r="CO4" s="1306"/>
      <c r="CP4" s="1305" t="s">
        <v>2</v>
      </c>
      <c r="CQ4" s="1306"/>
      <c r="CR4" s="1305" t="s">
        <v>2</v>
      </c>
      <c r="CS4" s="1306"/>
      <c r="CT4" s="1305" t="s">
        <v>2</v>
      </c>
      <c r="CU4" s="1306"/>
      <c r="CV4" s="1305" t="s">
        <v>2</v>
      </c>
      <c r="CW4" s="1306"/>
      <c r="CX4" s="1305" t="s">
        <v>2</v>
      </c>
      <c r="CY4" s="1306"/>
      <c r="DA4" s="1305" t="s">
        <v>135</v>
      </c>
      <c r="DB4" s="1306"/>
      <c r="DC4" s="1305" t="s">
        <v>135</v>
      </c>
      <c r="DD4" s="1306"/>
      <c r="DE4" s="1305" t="s">
        <v>135</v>
      </c>
      <c r="DF4" s="1306"/>
      <c r="DG4" s="1305" t="s">
        <v>135</v>
      </c>
      <c r="DH4" s="1306"/>
      <c r="DI4" s="1305" t="s">
        <v>135</v>
      </c>
      <c r="DJ4" s="1306"/>
      <c r="DK4" s="1305" t="s">
        <v>135</v>
      </c>
      <c r="DL4" s="1306"/>
      <c r="DM4" s="1305" t="s">
        <v>135</v>
      </c>
      <c r="DN4" s="1306"/>
      <c r="DO4" s="1305" t="s">
        <v>135</v>
      </c>
      <c r="DP4" s="1306"/>
      <c r="DR4" s="1305" t="s">
        <v>135</v>
      </c>
      <c r="DS4" s="1306"/>
      <c r="DT4" s="1305" t="s">
        <v>513</v>
      </c>
      <c r="DU4" s="1306"/>
    </row>
    <row r="5" spans="1:125" s="4" customFormat="1" ht="14.65" thickBot="1" x14ac:dyDescent="0.5">
      <c r="A5" s="561"/>
      <c r="B5" s="7"/>
      <c r="E5" s="245"/>
      <c r="F5" s="1307"/>
      <c r="G5" s="1308"/>
      <c r="H5" s="1307"/>
      <c r="I5" s="1308"/>
      <c r="J5" s="1307"/>
      <c r="K5" s="1308"/>
      <c r="L5" s="1307"/>
      <c r="M5" s="1308"/>
      <c r="N5" s="1307"/>
      <c r="O5" s="1308"/>
      <c r="P5" s="1307"/>
      <c r="Q5" s="1308"/>
      <c r="R5" s="1307"/>
      <c r="S5" s="1308"/>
      <c r="T5" s="1307"/>
      <c r="U5" s="1308"/>
      <c r="V5" s="1307"/>
      <c r="W5" s="1308"/>
      <c r="X5" s="1307"/>
      <c r="Y5" s="1308"/>
      <c r="Z5" s="1307"/>
      <c r="AA5" s="1308"/>
      <c r="AB5" s="1307"/>
      <c r="AC5" s="1308"/>
      <c r="AD5" s="1307"/>
      <c r="AE5" s="1308"/>
      <c r="AF5" s="1307"/>
      <c r="AG5" s="1308"/>
      <c r="AH5" s="1307"/>
      <c r="AI5" s="1308"/>
      <c r="AJ5" s="1307"/>
      <c r="AK5" s="1308"/>
      <c r="AL5" s="1307"/>
      <c r="AM5" s="1308"/>
      <c r="AN5" s="1307"/>
      <c r="AO5" s="1308"/>
      <c r="AP5" s="1307"/>
      <c r="AQ5" s="1308"/>
      <c r="AR5" s="1307"/>
      <c r="AS5" s="1308"/>
      <c r="AT5" s="1307"/>
      <c r="AU5" s="1308"/>
      <c r="AV5" s="1307"/>
      <c r="AW5" s="1308"/>
      <c r="AX5" s="1307"/>
      <c r="AY5" s="1308"/>
      <c r="AZ5" s="1307"/>
      <c r="BA5" s="1308"/>
      <c r="BB5" s="1307"/>
      <c r="BC5" s="1308"/>
      <c r="BD5" s="1307"/>
      <c r="BE5" s="1308"/>
      <c r="BF5" s="1307"/>
      <c r="BG5" s="1308"/>
      <c r="BH5" s="1307"/>
      <c r="BI5" s="1308"/>
      <c r="BJ5" s="1307"/>
      <c r="BK5" s="1308"/>
      <c r="BL5" s="1307"/>
      <c r="BM5" s="1308"/>
      <c r="BN5" s="1307"/>
      <c r="BO5" s="1308"/>
      <c r="BP5" s="1307"/>
      <c r="BQ5" s="1308"/>
      <c r="BR5" s="1307"/>
      <c r="BS5" s="1308"/>
      <c r="BT5" s="1307"/>
      <c r="BU5" s="1308"/>
      <c r="BV5" s="1307"/>
      <c r="BW5" s="1308"/>
      <c r="BX5" s="1307"/>
      <c r="BY5" s="1308"/>
      <c r="BZ5" s="1307"/>
      <c r="CA5" s="1308"/>
      <c r="CB5" s="1307"/>
      <c r="CC5" s="1308"/>
      <c r="CD5" s="1307"/>
      <c r="CE5" s="1308"/>
      <c r="CF5" s="620"/>
      <c r="CG5" s="620"/>
      <c r="CH5" s="620"/>
      <c r="CI5" s="620"/>
      <c r="CJ5" s="1307"/>
      <c r="CK5" s="1308"/>
      <c r="CL5" s="1307"/>
      <c r="CM5" s="1308"/>
      <c r="CN5" s="1307"/>
      <c r="CO5" s="1308"/>
      <c r="CP5" s="1307"/>
      <c r="CQ5" s="1308"/>
      <c r="CR5" s="1307"/>
      <c r="CS5" s="1308"/>
      <c r="CT5" s="1307"/>
      <c r="CU5" s="1308"/>
      <c r="CV5" s="1307"/>
      <c r="CW5" s="1308"/>
      <c r="CX5" s="1307"/>
      <c r="CY5" s="1308"/>
      <c r="DA5" s="1307"/>
      <c r="DB5" s="1308"/>
      <c r="DC5" s="1307"/>
      <c r="DD5" s="1308"/>
      <c r="DE5" s="1307"/>
      <c r="DF5" s="1308"/>
      <c r="DG5" s="1307"/>
      <c r="DH5" s="1308"/>
      <c r="DI5" s="1307"/>
      <c r="DJ5" s="1308"/>
      <c r="DK5" s="1307"/>
      <c r="DL5" s="1308"/>
      <c r="DM5" s="1307"/>
      <c r="DN5" s="1308"/>
      <c r="DO5" s="1307"/>
      <c r="DP5" s="1308"/>
      <c r="DR5" s="1307"/>
      <c r="DS5" s="1308"/>
      <c r="DT5" s="1307"/>
      <c r="DU5" s="1308"/>
    </row>
    <row r="6" spans="1:125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65"/>
      <c r="G6" s="1266"/>
      <c r="H6" s="1265"/>
      <c r="I6" s="1266"/>
      <c r="J6" s="1265"/>
      <c r="K6" s="1266"/>
      <c r="L6" s="1265"/>
      <c r="M6" s="1266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1234"/>
      <c r="AG6" s="1206"/>
      <c r="AH6" s="1234"/>
      <c r="AI6" s="1206"/>
      <c r="AJ6" s="1234"/>
      <c r="AK6" s="1206"/>
      <c r="AL6" s="1234"/>
      <c r="AM6" s="1206"/>
      <c r="AN6" s="1234"/>
      <c r="AO6" s="1206"/>
      <c r="AP6" s="1234"/>
      <c r="AQ6" s="1206"/>
      <c r="AR6" s="1234"/>
      <c r="AS6" s="1206"/>
      <c r="AT6" s="1234"/>
      <c r="AU6" s="1206"/>
      <c r="AV6" s="1234"/>
      <c r="AW6" s="1206"/>
      <c r="AX6" s="1234"/>
      <c r="AY6" s="1206"/>
      <c r="AZ6" s="1234"/>
      <c r="BA6" s="1206"/>
      <c r="BB6" s="1234"/>
      <c r="BC6" s="1206"/>
      <c r="BD6" s="1234"/>
      <c r="BE6" s="1206"/>
      <c r="BF6" s="1234"/>
      <c r="BG6" s="1206"/>
      <c r="BH6" s="1234"/>
      <c r="BI6" s="1206"/>
      <c r="BJ6" s="1234"/>
      <c r="BK6" s="1206"/>
      <c r="BL6" s="1234"/>
      <c r="BM6" s="1206"/>
      <c r="BN6" s="1234"/>
      <c r="BO6" s="1206"/>
      <c r="BP6" s="1234"/>
      <c r="BQ6" s="1206"/>
      <c r="BR6" s="1234"/>
      <c r="BS6" s="1206"/>
      <c r="BT6" s="1234"/>
      <c r="BU6" s="1206"/>
      <c r="BV6" s="1234"/>
      <c r="BW6" s="1206"/>
      <c r="BX6" s="1234"/>
      <c r="BY6" s="1206"/>
      <c r="BZ6" s="1234"/>
      <c r="CA6" s="1206"/>
      <c r="CB6" s="1234"/>
      <c r="CC6" s="1206"/>
      <c r="CD6" s="1234"/>
      <c r="CE6" s="1206"/>
      <c r="CF6" s="620"/>
      <c r="CG6" s="620"/>
      <c r="CH6" s="620"/>
      <c r="CI6" s="620"/>
      <c r="CJ6" s="1205"/>
      <c r="CK6" s="1206"/>
      <c r="CL6" s="1205"/>
      <c r="CM6" s="1206"/>
      <c r="CN6" s="1205"/>
      <c r="CO6" s="1206"/>
      <c r="CP6" s="1205"/>
      <c r="CQ6" s="1206"/>
      <c r="CR6" s="1205"/>
      <c r="CS6" s="1206"/>
      <c r="CT6" s="1205"/>
      <c r="CU6" s="1206"/>
      <c r="CV6" s="1205"/>
      <c r="CW6" s="1206"/>
      <c r="CX6" s="1205"/>
      <c r="CY6" s="1206"/>
      <c r="DA6" s="1234"/>
      <c r="DB6" s="1206"/>
      <c r="DC6" s="1234"/>
      <c r="DD6" s="1206"/>
      <c r="DE6" s="1234"/>
      <c r="DF6" s="1206"/>
      <c r="DG6" s="1234"/>
      <c r="DH6" s="1206"/>
      <c r="DI6" s="1234"/>
      <c r="DJ6" s="1206"/>
      <c r="DK6" s="1234"/>
      <c r="DL6" s="1206"/>
      <c r="DM6" s="1234"/>
      <c r="DN6" s="1206"/>
      <c r="DO6" s="1234"/>
      <c r="DP6" s="1206"/>
      <c r="DR6" s="1234"/>
      <c r="DS6" s="1206"/>
      <c r="DT6" s="1234"/>
      <c r="DU6" s="1206"/>
    </row>
    <row r="7" spans="1:125" s="7" customFormat="1" ht="36.75" customHeight="1" x14ac:dyDescent="0.45">
      <c r="A7" s="561"/>
      <c r="B7" s="1203"/>
      <c r="C7" s="10" t="s">
        <v>11</v>
      </c>
      <c r="D7" s="11"/>
      <c r="E7" s="247"/>
      <c r="F7" s="1200">
        <v>100493</v>
      </c>
      <c r="G7" s="1201"/>
      <c r="H7" s="1200">
        <v>100493</v>
      </c>
      <c r="I7" s="1201"/>
      <c r="J7" s="1200">
        <v>100493</v>
      </c>
      <c r="K7" s="1201"/>
      <c r="L7" s="1200">
        <v>100493</v>
      </c>
      <c r="M7" s="1201"/>
      <c r="N7" s="1267">
        <v>100493</v>
      </c>
      <c r="O7" s="1268"/>
      <c r="P7" s="1267">
        <v>100493</v>
      </c>
      <c r="Q7" s="1268"/>
      <c r="R7" s="1267">
        <v>100493</v>
      </c>
      <c r="S7" s="1268"/>
      <c r="T7" s="1267">
        <v>100493</v>
      </c>
      <c r="U7" s="1268"/>
      <c r="V7" s="1267">
        <v>100493</v>
      </c>
      <c r="W7" s="1268"/>
      <c r="X7" s="1267">
        <v>100493</v>
      </c>
      <c r="Y7" s="1268"/>
      <c r="Z7" s="1267">
        <v>100493</v>
      </c>
      <c r="AA7" s="1268"/>
      <c r="AB7" s="1267">
        <v>100493</v>
      </c>
      <c r="AC7" s="1268"/>
      <c r="AD7" s="1267">
        <v>100493</v>
      </c>
      <c r="AE7" s="1268"/>
      <c r="AF7" s="1267">
        <v>100493</v>
      </c>
      <c r="AG7" s="1268"/>
      <c r="AH7" s="1267">
        <v>100493</v>
      </c>
      <c r="AI7" s="1268"/>
      <c r="AJ7" s="1267">
        <v>100493</v>
      </c>
      <c r="AK7" s="1268"/>
      <c r="AL7" s="1267">
        <v>100493</v>
      </c>
      <c r="AM7" s="1268"/>
      <c r="AN7" s="1267">
        <v>100493</v>
      </c>
      <c r="AO7" s="1268"/>
      <c r="AP7" s="1267">
        <v>100493</v>
      </c>
      <c r="AQ7" s="1268"/>
      <c r="AR7" s="1267">
        <v>100493</v>
      </c>
      <c r="AS7" s="1268"/>
      <c r="AT7" s="1267">
        <v>100493</v>
      </c>
      <c r="AU7" s="1268"/>
      <c r="AV7" s="1267">
        <v>100493</v>
      </c>
      <c r="AW7" s="1268"/>
      <c r="AX7" s="1267">
        <v>100493</v>
      </c>
      <c r="AY7" s="1268"/>
      <c r="AZ7" s="1267">
        <v>100493</v>
      </c>
      <c r="BA7" s="1268"/>
      <c r="BB7" s="1267">
        <v>100493</v>
      </c>
      <c r="BC7" s="1268"/>
      <c r="BD7" s="1267">
        <v>124971</v>
      </c>
      <c r="BE7" s="1268"/>
      <c r="BF7" s="1267">
        <v>124971</v>
      </c>
      <c r="BG7" s="1268"/>
      <c r="BH7" s="1267">
        <v>124971</v>
      </c>
      <c r="BI7" s="1268"/>
      <c r="BJ7" s="1267">
        <v>124971</v>
      </c>
      <c r="BK7" s="1268"/>
      <c r="BL7" s="1267">
        <v>124971</v>
      </c>
      <c r="BM7" s="1268"/>
      <c r="BN7" s="1267">
        <v>124971</v>
      </c>
      <c r="BO7" s="1268"/>
      <c r="BP7" s="1267">
        <v>124971</v>
      </c>
      <c r="BQ7" s="1268"/>
      <c r="BR7" s="1267">
        <v>124971</v>
      </c>
      <c r="BS7" s="1268"/>
      <c r="BT7" s="1267">
        <v>124971</v>
      </c>
      <c r="BU7" s="1268"/>
      <c r="BV7" s="1267">
        <v>124971</v>
      </c>
      <c r="BW7" s="1268"/>
      <c r="BX7" s="1267">
        <v>124971</v>
      </c>
      <c r="BY7" s="1268"/>
      <c r="BZ7" s="1267">
        <v>124971</v>
      </c>
      <c r="CA7" s="1268"/>
      <c r="CB7" s="1267">
        <v>124971</v>
      </c>
      <c r="CC7" s="1268"/>
      <c r="CD7" s="1267">
        <v>124971</v>
      </c>
      <c r="CE7" s="1268"/>
      <c r="CF7" s="620"/>
      <c r="CG7" s="620"/>
      <c r="CH7" s="620"/>
      <c r="CI7" s="620"/>
      <c r="CJ7" s="1267">
        <v>100493</v>
      </c>
      <c r="CK7" s="1268"/>
      <c r="CL7" s="1267">
        <v>100493</v>
      </c>
      <c r="CM7" s="1268"/>
      <c r="CN7" s="1267">
        <v>100493</v>
      </c>
      <c r="CO7" s="1268"/>
      <c r="CP7" s="1267">
        <v>100493</v>
      </c>
      <c r="CQ7" s="1268"/>
      <c r="CR7" s="1267">
        <v>100493</v>
      </c>
      <c r="CS7" s="1268"/>
      <c r="CT7" s="1267">
        <v>100493</v>
      </c>
      <c r="CU7" s="1268"/>
      <c r="CV7" s="1267">
        <v>100493</v>
      </c>
      <c r="CW7" s="1268"/>
      <c r="CX7" s="1267">
        <v>100493</v>
      </c>
      <c r="CY7" s="1268"/>
      <c r="DA7" s="1267">
        <v>100491</v>
      </c>
      <c r="DB7" s="1268"/>
      <c r="DC7" s="1267">
        <v>100491</v>
      </c>
      <c r="DD7" s="1268"/>
      <c r="DE7" s="1267">
        <v>100491</v>
      </c>
      <c r="DF7" s="1268"/>
      <c r="DG7" s="1267">
        <v>100491</v>
      </c>
      <c r="DH7" s="1268"/>
      <c r="DI7" s="1267">
        <v>100491</v>
      </c>
      <c r="DJ7" s="1268"/>
      <c r="DK7" s="1267">
        <v>100491</v>
      </c>
      <c r="DL7" s="1268"/>
      <c r="DM7" s="1267">
        <v>100491</v>
      </c>
      <c r="DN7" s="1268"/>
      <c r="DO7" s="1267">
        <v>100491</v>
      </c>
      <c r="DP7" s="1268"/>
      <c r="DR7" s="1267">
        <v>100491</v>
      </c>
      <c r="DS7" s="1268"/>
      <c r="DT7" s="1267">
        <v>124971</v>
      </c>
      <c r="DU7" s="1268"/>
    </row>
    <row r="8" spans="1:125" s="7" customFormat="1" ht="15" customHeight="1" x14ac:dyDescent="0.45">
      <c r="A8" s="561"/>
      <c r="B8" s="1203"/>
      <c r="C8" s="12" t="s">
        <v>12</v>
      </c>
      <c r="D8" s="11"/>
      <c r="E8" s="11"/>
      <c r="F8" s="1232">
        <f>G60</f>
        <v>5.6</v>
      </c>
      <c r="G8" s="1233"/>
      <c r="H8" s="1232">
        <f>I60</f>
        <v>5.6</v>
      </c>
      <c r="I8" s="1233"/>
      <c r="J8" s="1232">
        <f>K60</f>
        <v>5.6</v>
      </c>
      <c r="K8" s="1233"/>
      <c r="L8" s="1232">
        <f>M60</f>
        <v>5.6</v>
      </c>
      <c r="M8" s="1233"/>
      <c r="N8" s="1269">
        <f>O60</f>
        <v>6.0231343283582124</v>
      </c>
      <c r="O8" s="1270"/>
      <c r="P8" s="1269">
        <f>Q60</f>
        <v>6.0499173553719015</v>
      </c>
      <c r="Q8" s="1270"/>
      <c r="R8" s="1269">
        <f>S60</f>
        <v>6.0499173553719015</v>
      </c>
      <c r="S8" s="1270"/>
      <c r="T8" s="1269">
        <f>U60</f>
        <v>6.0499173553719015</v>
      </c>
      <c r="U8" s="1270"/>
      <c r="V8" s="1269">
        <f>W60</f>
        <v>6.0499173553719015</v>
      </c>
      <c r="W8" s="1270"/>
      <c r="X8" s="1269">
        <f>Y60</f>
        <v>6.0499173553719015</v>
      </c>
      <c r="Y8" s="1270"/>
      <c r="Z8" s="1269">
        <f>AA60</f>
        <v>6.0499173553719015</v>
      </c>
      <c r="AA8" s="1270"/>
      <c r="AB8" s="1269">
        <f>AC60</f>
        <v>6.0499173553719015</v>
      </c>
      <c r="AC8" s="1270"/>
      <c r="AD8" s="1269">
        <f>AE60</f>
        <v>6.0499173553719015</v>
      </c>
      <c r="AE8" s="1270"/>
      <c r="AF8" s="1269">
        <f>AG60</f>
        <v>6.0499173553719015</v>
      </c>
      <c r="AG8" s="1270"/>
      <c r="AH8" s="1269">
        <f>AI60</f>
        <v>6.0499173553719015</v>
      </c>
      <c r="AI8" s="1270"/>
      <c r="AJ8" s="1269">
        <f>AK60</f>
        <v>6.0499173553719015</v>
      </c>
      <c r="AK8" s="1270"/>
      <c r="AL8" s="1269">
        <f>AM60</f>
        <v>6.0499173553719015</v>
      </c>
      <c r="AM8" s="1270"/>
      <c r="AN8" s="1269">
        <f>AO60</f>
        <v>6.0499173553719015</v>
      </c>
      <c r="AO8" s="1270"/>
      <c r="AP8" s="1269">
        <f>AQ60</f>
        <v>6.0499173553719015</v>
      </c>
      <c r="AQ8" s="1270"/>
      <c r="AR8" s="1269">
        <f>AS60</f>
        <v>6.0499173553719015</v>
      </c>
      <c r="AS8" s="1270"/>
      <c r="AT8" s="1269">
        <f>AU60</f>
        <v>6.0499173553719015</v>
      </c>
      <c r="AU8" s="1270"/>
      <c r="AV8" s="1269">
        <f>AW60</f>
        <v>6.0499173553719015</v>
      </c>
      <c r="AW8" s="1270"/>
      <c r="AX8" s="1269">
        <f>AY60</f>
        <v>6.0499173553719015</v>
      </c>
      <c r="AY8" s="1270"/>
      <c r="AZ8" s="1269">
        <f>BA60</f>
        <v>6.0499173553719015</v>
      </c>
      <c r="BA8" s="1270"/>
      <c r="BB8" s="1269">
        <f>BC60</f>
        <v>6.0499173553719015</v>
      </c>
      <c r="BC8" s="1270"/>
      <c r="BD8" s="1269">
        <f>BE60</f>
        <v>6.0499173553719015</v>
      </c>
      <c r="BE8" s="1270"/>
      <c r="BF8" s="1269">
        <f>BG60</f>
        <v>6.0499173553719015</v>
      </c>
      <c r="BG8" s="1270"/>
      <c r="BH8" s="1269">
        <f>BI60</f>
        <v>6.0536983471074377</v>
      </c>
      <c r="BI8" s="1270"/>
      <c r="BJ8" s="1269">
        <f>BK60</f>
        <v>6.0536983471074377</v>
      </c>
      <c r="BK8" s="1270"/>
      <c r="BL8" s="1269">
        <f>BM60</f>
        <v>6.0536983471074377</v>
      </c>
      <c r="BM8" s="1270"/>
      <c r="BN8" s="1269">
        <f>BO60</f>
        <v>6.0536983471074377</v>
      </c>
      <c r="BO8" s="1270"/>
      <c r="BP8" s="1269">
        <f>BQ60</f>
        <v>6.0536983471074377</v>
      </c>
      <c r="BQ8" s="1270"/>
      <c r="BR8" s="1269">
        <f>BS60</f>
        <v>6.0536983471074377</v>
      </c>
      <c r="BS8" s="1270"/>
      <c r="BT8" s="1269">
        <f>BU60</f>
        <v>6.0536983471074377</v>
      </c>
      <c r="BU8" s="1270"/>
      <c r="BV8" s="1269">
        <f>BW60</f>
        <v>6.0536983471074377</v>
      </c>
      <c r="BW8" s="1270"/>
      <c r="BX8" s="1269">
        <f>BY60</f>
        <v>6.0536983471074377</v>
      </c>
      <c r="BY8" s="1270"/>
      <c r="BZ8" s="1269">
        <f>CA60</f>
        <v>6.0536983471074377</v>
      </c>
      <c r="CA8" s="1270"/>
      <c r="CB8" s="1269">
        <f>CC60</f>
        <v>6.0536983471074377</v>
      </c>
      <c r="CC8" s="1270"/>
      <c r="CD8" s="1269">
        <f>CE60</f>
        <v>6.0536983471074377</v>
      </c>
      <c r="CE8" s="1270"/>
      <c r="CF8" s="620"/>
      <c r="CG8" s="620"/>
      <c r="CH8" s="620"/>
      <c r="CI8" s="620"/>
      <c r="CJ8" s="1269">
        <f>CK60</f>
        <v>6.0375697684982867</v>
      </c>
      <c r="CK8" s="1270"/>
      <c r="CL8" s="1269">
        <f>CM60</f>
        <v>6.0499173553719015</v>
      </c>
      <c r="CM8" s="1270"/>
      <c r="CN8" s="1269">
        <f>CO60</f>
        <v>6.0499173553719015</v>
      </c>
      <c r="CO8" s="1270"/>
      <c r="CP8" s="1269">
        <f>CQ60</f>
        <v>6.0499173553719015</v>
      </c>
      <c r="CQ8" s="1270"/>
      <c r="CR8" s="1269">
        <f>CS60</f>
        <v>6.0429664428105285</v>
      </c>
      <c r="CS8" s="1270"/>
      <c r="CT8" s="1269">
        <f>CU60</f>
        <v>6.0499173553719015</v>
      </c>
      <c r="CU8" s="1270"/>
      <c r="CV8" s="1269">
        <f>CW60</f>
        <v>6.5521250000000002</v>
      </c>
      <c r="CW8" s="1270"/>
      <c r="CX8" s="1269">
        <f>CY60</f>
        <v>6.0521486053719018</v>
      </c>
      <c r="CY8" s="1270"/>
      <c r="DA8" s="1269">
        <f>DB60</f>
        <v>6.0499173553719015</v>
      </c>
      <c r="DB8" s="1270"/>
      <c r="DC8" s="1269">
        <f>DD60</f>
        <v>6.0536983471074377</v>
      </c>
      <c r="DD8" s="1270"/>
      <c r="DE8" s="1269">
        <f>DF60</f>
        <v>6.0536983471074377</v>
      </c>
      <c r="DF8" s="1270"/>
      <c r="DG8" s="1269">
        <f>DH60</f>
        <v>6.0536983471074377</v>
      </c>
      <c r="DH8" s="1270"/>
      <c r="DI8" s="1269">
        <f>DJ60</f>
        <v>6.0536983471074377</v>
      </c>
      <c r="DJ8" s="1270"/>
      <c r="DK8" s="1269">
        <f>DL60</f>
        <v>6.0536983471074377</v>
      </c>
      <c r="DL8" s="1270"/>
      <c r="DM8" s="1269">
        <f>DN60</f>
        <v>6.0536983471074377</v>
      </c>
      <c r="DN8" s="1270"/>
      <c r="DO8" s="1269">
        <f>DP60</f>
        <v>6.0536983471074377</v>
      </c>
      <c r="DP8" s="1270"/>
      <c r="DR8" s="1269">
        <f>DS60</f>
        <v>6.0474999999999994</v>
      </c>
      <c r="DS8" s="1270"/>
      <c r="DT8" s="1269">
        <f>DU60</f>
        <v>6.0536983471074377</v>
      </c>
      <c r="DU8" s="1270"/>
    </row>
    <row r="9" spans="1:125" s="7" customFormat="1" ht="39" customHeigh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$0.50/ctn</v>
      </c>
      <c r="G9" s="1191"/>
      <c r="H9" s="1190" t="str">
        <f>CONCATENATE("TP $",TEXT(I57,"#,##0.00"),"/ctn")</f>
        <v>TP $0.40/ctn</v>
      </c>
      <c r="I9" s="1191"/>
      <c r="J9" s="1190" t="str">
        <f>CONCATENATE("TP $",TEXT(K57,"#,##0.00"),"/ctn")</f>
        <v>TP $0.40/ctn</v>
      </c>
      <c r="K9" s="1191"/>
      <c r="L9" s="1190" t="str">
        <f>CONCATENATE("TP $",TEXT(M57,"#,##0.00"),"/ctn")</f>
        <v>TP $0.40/ctn</v>
      </c>
      <c r="M9" s="1191"/>
      <c r="N9" s="1271" t="str">
        <f>CONCATENATE("TP $",TEXT(O57,"#,##0.00"),"/ctn")</f>
        <v>TP $0.78/ctn</v>
      </c>
      <c r="O9" s="1272"/>
      <c r="P9" s="1271" t="str">
        <f>CONCATENATE("TP $",TEXT(Q57,"#,##0.00"),"/ctn")</f>
        <v>TP $0.80/ctn</v>
      </c>
      <c r="Q9" s="1272"/>
      <c r="R9" s="1271" t="str">
        <f>CONCATENATE("TP $",TEXT(S57,"#,##0.00"),"/ctn")</f>
        <v>TP $0.80/ctn</v>
      </c>
      <c r="S9" s="1272"/>
      <c r="T9" s="1271" t="str">
        <f>CONCATENATE("TP $",TEXT(U57,"#,##0.00"),"/ctn")</f>
        <v>TP $0.80/ctn</v>
      </c>
      <c r="U9" s="1272"/>
      <c r="V9" s="1271" t="str">
        <f>CONCATENATE("TP $",TEXT(W57,"#,##0.00"),"/ctn")</f>
        <v>TP $0.80/ctn</v>
      </c>
      <c r="W9" s="1272"/>
      <c r="X9" s="1271" t="str">
        <f>CONCATENATE("TP $",TEXT(Y57,"#,##0.00"),"/ctn")</f>
        <v>TP $0.80/ctn</v>
      </c>
      <c r="Y9" s="1272"/>
      <c r="Z9" s="1271" t="str">
        <f>CONCATENATE("TP $",TEXT(AA57,"#,##0.00"),"/ctn")</f>
        <v>TP $0.80/ctn</v>
      </c>
      <c r="AA9" s="1272"/>
      <c r="AB9" s="1271" t="str">
        <f>CONCATENATE("TP $",TEXT(AC57,"#,##0.00"),"/ctn")</f>
        <v>TP $0.80/ctn</v>
      </c>
      <c r="AC9" s="1272"/>
      <c r="AD9" s="1271" t="str">
        <f>CONCATENATE("TP $",TEXT(AE57,"#,##0.00"),"/ctn")</f>
        <v>TP $0.80/ctn</v>
      </c>
      <c r="AE9" s="1272"/>
      <c r="AF9" s="1271" t="str">
        <f>CONCATENATE("TP $",TEXT(AG57,"#,##0.00"),"/ctn")</f>
        <v>TP $0.80/ctn</v>
      </c>
      <c r="AG9" s="1272"/>
      <c r="AH9" s="1271" t="str">
        <f>CONCATENATE("TP $",TEXT(AI57,"#,##0.00"),"/ctn")</f>
        <v>TP $0.80/ctn</v>
      </c>
      <c r="AI9" s="1272"/>
      <c r="AJ9" s="1271" t="str">
        <f>CONCATENATE("TP $",TEXT(AK57,"#,##0.00"),"/ctn")</f>
        <v>TP $0.80/ctn</v>
      </c>
      <c r="AK9" s="1272"/>
      <c r="AL9" s="1271" t="str">
        <f>CONCATENATE("TP $",TEXT(AM57,"#,##0.00"),"/ctn")</f>
        <v>TP $0.80/ctn</v>
      </c>
      <c r="AM9" s="1272"/>
      <c r="AN9" s="1271" t="str">
        <f>CONCATENATE("TP $",TEXT(AO57,"#,##0.00"),"/ctn")</f>
        <v>TP $0.80/ctn</v>
      </c>
      <c r="AO9" s="1272"/>
      <c r="AP9" s="1271" t="str">
        <f>CONCATENATE("TP $",TEXT(AQ57,"#,##0.00"),"/ctn")</f>
        <v>TP $0.80/ctn</v>
      </c>
      <c r="AQ9" s="1272"/>
      <c r="AR9" s="1271" t="str">
        <f>CONCATENATE("TP $",TEXT(AS57,"#,##0.00"),"/ctn")</f>
        <v>TP $0.80/ctn</v>
      </c>
      <c r="AS9" s="1272"/>
      <c r="AT9" s="1271" t="str">
        <f>CONCATENATE("TP $",TEXT(AU57,"#,##0.00"),"/ctn")</f>
        <v>TP $0.80/ctn</v>
      </c>
      <c r="AU9" s="1272"/>
      <c r="AV9" s="1271" t="str">
        <f>CONCATENATE("TP $",TEXT(AW57,"#,##0.00"),"/ctn")</f>
        <v>TP $0.80/ctn</v>
      </c>
      <c r="AW9" s="1272"/>
      <c r="AX9" s="1271" t="str">
        <f>CONCATENATE("TP $",TEXT(AY57,"#,##0.00"),"/ctn")</f>
        <v>TP $0.80/ctn</v>
      </c>
      <c r="AY9" s="1272"/>
      <c r="AZ9" s="1271" t="str">
        <f>CONCATENATE("TP $",TEXT(BA57,"#,##0.00"),"/ctn")</f>
        <v>TP $0.80/ctn</v>
      </c>
      <c r="BA9" s="1272"/>
      <c r="BB9" s="1271" t="str">
        <f>CONCATENATE("TP $",TEXT(BC57,"#,##0.00"),"/ctn")</f>
        <v>TP $0.80/ctn</v>
      </c>
      <c r="BC9" s="1272"/>
      <c r="BD9" s="1271" t="str">
        <f>CONCATENATE("TP $",TEXT(BE57,"#,##0.00"),"/ctn")</f>
        <v>TP $0.80/ctn</v>
      </c>
      <c r="BE9" s="1272"/>
      <c r="BF9" s="1271" t="str">
        <f>CONCATENATE("TP $",TEXT(BG57,"#,##0.00"),"/ctn")</f>
        <v>TP $0.80/ctn</v>
      </c>
      <c r="BG9" s="1272"/>
      <c r="BH9" s="1271" t="str">
        <f>CONCATENATE("TP $",TEXT(BI57,"#,##0.00"),"/ctn")</f>
        <v>TP $0.80/ctn</v>
      </c>
      <c r="BI9" s="1272"/>
      <c r="BJ9" s="1271" t="str">
        <f>CONCATENATE("TP $",TEXT(BK57,"#,##0.00"),"/ctn")</f>
        <v>TP $0.80/ctn</v>
      </c>
      <c r="BK9" s="1272"/>
      <c r="BL9" s="1271" t="str">
        <f>CONCATENATE("TP $",TEXT(BM57,"#,##0.00"),"/ctn")</f>
        <v>TP $0.80/ctn</v>
      </c>
      <c r="BM9" s="1272"/>
      <c r="BN9" s="1271" t="str">
        <f>CONCATENATE("TP $",TEXT(BO57,"#,##0.00"),"/ctn")</f>
        <v>TP $0.80/ctn</v>
      </c>
      <c r="BO9" s="1272"/>
      <c r="BP9" s="1271" t="str">
        <f>CONCATENATE("TP $",TEXT(BQ57,"#,##0.00"),"/ctn")</f>
        <v>TP $0.80/ctn</v>
      </c>
      <c r="BQ9" s="1272"/>
      <c r="BR9" s="1271" t="str">
        <f>CONCATENATE("TP $",TEXT(BS57,"#,##0.00"),"/ctn")</f>
        <v>TP $0.80/ctn</v>
      </c>
      <c r="BS9" s="1272"/>
      <c r="BT9" s="1271" t="str">
        <f>CONCATENATE("TP $",TEXT(BU57,"#,##0.00"),"/ctn")</f>
        <v>TP $0.80/ctn</v>
      </c>
      <c r="BU9" s="1272"/>
      <c r="BV9" s="1271" t="str">
        <f>CONCATENATE("TP $",TEXT(BW57,"#,##0.00"),"/ctn")</f>
        <v>TP $0.80/ctn</v>
      </c>
      <c r="BW9" s="1272"/>
      <c r="BX9" s="1271" t="str">
        <f>CONCATENATE("TP $",TEXT(BY57,"#,##0.00"),"/ctn")</f>
        <v>TP $0.80/ctn</v>
      </c>
      <c r="BY9" s="1272"/>
      <c r="BZ9" s="1271" t="str">
        <f>CONCATENATE("TP $",TEXT(CA57,"#,##0.00"),"/ctn")</f>
        <v>TP $0.80/ctn</v>
      </c>
      <c r="CA9" s="1272"/>
      <c r="CB9" s="1271" t="str">
        <f>CONCATENATE("TP $",TEXT(CC57,"#,##0.00"),"/ctn")</f>
        <v>TP $0.80/ctn</v>
      </c>
      <c r="CC9" s="1272"/>
      <c r="CD9" s="1271" t="str">
        <f>CONCATENATE("TP $",TEXT(CE57,"#,##0.00"),"/ctn")</f>
        <v>TP $0.80/ctn</v>
      </c>
      <c r="CE9" s="1272"/>
      <c r="CF9" s="620"/>
      <c r="CG9" s="620"/>
      <c r="CH9" s="620"/>
      <c r="CI9" s="620"/>
      <c r="CJ9" s="1271" t="str">
        <f>CONCATENATE("TP $",TEXT(CK57,"#,##0.00"),"/ctn")</f>
        <v>TP $0.79/ctn</v>
      </c>
      <c r="CK9" s="1272"/>
      <c r="CL9" s="1271" t="str">
        <f>CONCATENATE("TP $",TEXT(CM57,"#,##0.00"),"/ctn")</f>
        <v>TP $0.80/ctn</v>
      </c>
      <c r="CM9" s="1272"/>
      <c r="CN9" s="1271" t="str">
        <f>CONCATENATE("TP $",TEXT(CO57,"#,##0.00"),"/ctn")</f>
        <v>TP $0.80/ctn</v>
      </c>
      <c r="CO9" s="1272"/>
      <c r="CP9" s="1271" t="str">
        <f>CONCATENATE("TP $",TEXT(CQ57,"#,##0.00"),"/ctn")</f>
        <v>TP $0.80/ctn</v>
      </c>
      <c r="CQ9" s="1272"/>
      <c r="CR9" s="1271" t="str">
        <f>CONCATENATE("TP $",TEXT(CS57,"#,##0.00"),"/ctn")</f>
        <v>TP $0.79/ctn</v>
      </c>
      <c r="CS9" s="1272"/>
      <c r="CT9" s="1271" t="str">
        <f>CONCATENATE("TP $",TEXT(CU57,"#,##0.00"),"/ctn")</f>
        <v>TP $0.80/ctn</v>
      </c>
      <c r="CU9" s="1272"/>
      <c r="CV9" s="1271" t="str">
        <f>CONCATENATE("TP $",TEXT(CW57,"#,##0.00"),"/ctn")</f>
        <v>TP $1.05/ctn</v>
      </c>
      <c r="CW9" s="1272"/>
      <c r="CX9" s="1271" t="str">
        <f>CONCATENATE("TP $",TEXT(CY57,"#,##0.00"),"/ctn")</f>
        <v>TP $0.80/ctn</v>
      </c>
      <c r="CY9" s="1272"/>
      <c r="DA9" s="1271" t="str">
        <f>CONCATENATE("TP $",TEXT(DB57,"#,##0.00"),"/ctn")</f>
        <v>TP $0.80/ctn</v>
      </c>
      <c r="DB9" s="1272"/>
      <c r="DC9" s="1271" t="str">
        <f>CONCATENATE("TP $",TEXT(DD57,"#,##0.00"),"/ctn")</f>
        <v>TP $0.80/ctn</v>
      </c>
      <c r="DD9" s="1272"/>
      <c r="DE9" s="1271" t="str">
        <f>CONCATENATE("TP $",TEXT(DF57,"#,##0.00"),"/ctn")</f>
        <v>TP $0.80/ctn</v>
      </c>
      <c r="DF9" s="1272"/>
      <c r="DG9" s="1271" t="str">
        <f>CONCATENATE("TP $",TEXT(DH57,"#,##0.00"),"/ctn")</f>
        <v>TP $0.80/ctn</v>
      </c>
      <c r="DH9" s="1272"/>
      <c r="DI9" s="1271" t="str">
        <f>CONCATENATE("TP $",TEXT(DJ57,"#,##0.00"),"/ctn")</f>
        <v>TP $0.80/ctn</v>
      </c>
      <c r="DJ9" s="1272"/>
      <c r="DK9" s="1271" t="str">
        <f>CONCATENATE("TP $",TEXT(DL57,"#,##0.00"),"/ctn")</f>
        <v>TP $0.80/ctn</v>
      </c>
      <c r="DL9" s="1272"/>
      <c r="DM9" s="1271" t="str">
        <f>CONCATENATE("TP $",TEXT(DN57,"#,##0.00"),"/ctn")</f>
        <v>TP $0.80/ctn</v>
      </c>
      <c r="DN9" s="1272"/>
      <c r="DO9" s="1271" t="str">
        <f>CONCATENATE("TP $",TEXT(DP57,"#,##0.00"),"/ctn")</f>
        <v>TP $0.80/ctn</v>
      </c>
      <c r="DP9" s="1272"/>
      <c r="DR9" s="1271" t="str">
        <f>CONCATENATE("TP $",TEXT(DS57,"#,##0.00"),"/ctn")</f>
        <v>TP $0.80/ctn</v>
      </c>
      <c r="DS9" s="1272"/>
      <c r="DT9" s="1271" t="str">
        <f>CONCATENATE("TP $",TEXT(DU57,"#,##0.00"),"/ctn")</f>
        <v>TP $0.80/ctn</v>
      </c>
      <c r="DU9" s="1272"/>
    </row>
    <row r="10" spans="1:125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>RIGHT(J2,2)</f>
        <v>40</v>
      </c>
      <c r="K10" s="253" t="str">
        <f>+J10</f>
        <v>40</v>
      </c>
      <c r="L10" s="252" t="str">
        <f>RIGHT(L2,2)</f>
        <v>40</v>
      </c>
      <c r="M10" s="253" t="str">
        <f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348" t="str">
        <f>RIGHT(AF2,2)</f>
        <v>40</v>
      </c>
      <c r="AG10" s="349" t="str">
        <f>+AF10</f>
        <v>40</v>
      </c>
      <c r="AH10" s="348" t="str">
        <f>RIGHT(AH2,2)</f>
        <v>40</v>
      </c>
      <c r="AI10" s="349" t="str">
        <f>+AH10</f>
        <v>40</v>
      </c>
      <c r="AJ10" s="348" t="str">
        <f>RIGHT(AJ2,2)</f>
        <v>40</v>
      </c>
      <c r="AK10" s="349" t="str">
        <f>+AJ10</f>
        <v>40</v>
      </c>
      <c r="AL10" s="348" t="str">
        <f>RIGHT(AL2,2)</f>
        <v>40</v>
      </c>
      <c r="AM10" s="349" t="str">
        <f>+AL10</f>
        <v>40</v>
      </c>
      <c r="AN10" s="348" t="str">
        <f>RIGHT(AN2,2)</f>
        <v>40</v>
      </c>
      <c r="AO10" s="349" t="str">
        <f>+AN10</f>
        <v>40</v>
      </c>
      <c r="AP10" s="348" t="str">
        <f>RIGHT(AP2,2)</f>
        <v>40</v>
      </c>
      <c r="AQ10" s="349" t="str">
        <f>+AP10</f>
        <v>40</v>
      </c>
      <c r="AR10" s="348" t="str">
        <f>RIGHT(AR2,2)</f>
        <v>40</v>
      </c>
      <c r="AS10" s="349" t="str">
        <f>+AR10</f>
        <v>40</v>
      </c>
      <c r="AT10" s="348" t="str">
        <f>RIGHT(AT2,2)</f>
        <v>40</v>
      </c>
      <c r="AU10" s="349" t="str">
        <f>+AT10</f>
        <v>40</v>
      </c>
      <c r="AV10" s="348" t="str">
        <f>RIGHT(AV2,2)</f>
        <v>40</v>
      </c>
      <c r="AW10" s="349" t="str">
        <f>+AV10</f>
        <v>40</v>
      </c>
      <c r="AX10" s="348" t="str">
        <f>RIGHT(AX2,2)</f>
        <v>40</v>
      </c>
      <c r="AY10" s="349" t="str">
        <f>+AX10</f>
        <v>40</v>
      </c>
      <c r="AZ10" s="348" t="str">
        <f>RIGHT(AZ2,2)</f>
        <v>40</v>
      </c>
      <c r="BA10" s="349" t="str">
        <f>+AZ10</f>
        <v>40</v>
      </c>
      <c r="BB10" s="348" t="str">
        <f>RIGHT(BB2,2)</f>
        <v>40</v>
      </c>
      <c r="BC10" s="349" t="str">
        <f>+BB10</f>
        <v>40</v>
      </c>
      <c r="BD10" s="348" t="str">
        <f>RIGHT(BD2,2)</f>
        <v>40</v>
      </c>
      <c r="BE10" s="349" t="str">
        <f>+BD10</f>
        <v>40</v>
      </c>
      <c r="BF10" s="348" t="str">
        <f>RIGHT(BF2,2)</f>
        <v>40</v>
      </c>
      <c r="BG10" s="349" t="str">
        <f>+BF10</f>
        <v>40</v>
      </c>
      <c r="BH10" s="348" t="str">
        <f>RIGHT(BH2,2)</f>
        <v>40</v>
      </c>
      <c r="BI10" s="349" t="str">
        <f>+BH10</f>
        <v>40</v>
      </c>
      <c r="BJ10" s="348" t="str">
        <f>RIGHT(BJ2,2)</f>
        <v>40</v>
      </c>
      <c r="BK10" s="349" t="str">
        <f>+BJ10</f>
        <v>40</v>
      </c>
      <c r="BL10" s="348" t="str">
        <f>RIGHT(BL2,2)</f>
        <v>40</v>
      </c>
      <c r="BM10" s="349" t="str">
        <f>+BL10</f>
        <v>40</v>
      </c>
      <c r="BN10" s="348" t="str">
        <f>RIGHT(BN2,2)</f>
        <v>40</v>
      </c>
      <c r="BO10" s="349" t="str">
        <f>+BN10</f>
        <v>40</v>
      </c>
      <c r="BP10" s="348" t="str">
        <f>RIGHT(BP2,2)</f>
        <v>40</v>
      </c>
      <c r="BQ10" s="349" t="str">
        <f>+BP10</f>
        <v>40</v>
      </c>
      <c r="BR10" s="348" t="str">
        <f>RIGHT(BR2,2)</f>
        <v>40</v>
      </c>
      <c r="BS10" s="349" t="str">
        <f>+BR10</f>
        <v>40</v>
      </c>
      <c r="BT10" s="348" t="str">
        <f>RIGHT(BT2,2)</f>
        <v>40</v>
      </c>
      <c r="BU10" s="349" t="str">
        <f>+BT10</f>
        <v>40</v>
      </c>
      <c r="BV10" s="348" t="str">
        <f>RIGHT(BV2,2)</f>
        <v>40</v>
      </c>
      <c r="BW10" s="349" t="str">
        <f>+BV10</f>
        <v>40</v>
      </c>
      <c r="BX10" s="348" t="str">
        <f>RIGHT(BX2,2)</f>
        <v>40</v>
      </c>
      <c r="BY10" s="349" t="str">
        <f>+BX10</f>
        <v>40</v>
      </c>
      <c r="BZ10" s="348" t="str">
        <f>RIGHT(BZ2,2)</f>
        <v>40</v>
      </c>
      <c r="CA10" s="349" t="str">
        <f>+BZ10</f>
        <v>40</v>
      </c>
      <c r="CB10" s="348" t="str">
        <f>RIGHT(CB2,2)</f>
        <v>40</v>
      </c>
      <c r="CC10" s="349" t="str">
        <f>+CB10</f>
        <v>40</v>
      </c>
      <c r="CD10" s="348" t="str">
        <f>RIGHT(CD2,2)</f>
        <v>40</v>
      </c>
      <c r="CE10" s="349" t="str">
        <f>+CD10</f>
        <v>40</v>
      </c>
      <c r="CF10" s="620"/>
      <c r="CG10" s="620"/>
      <c r="CH10" s="620"/>
      <c r="CI10" s="620"/>
      <c r="CJ10" s="348" t="str">
        <f>RIGHT(CJ2,2)</f>
        <v>40</v>
      </c>
      <c r="CK10" s="349" t="str">
        <f>+CJ10</f>
        <v>40</v>
      </c>
      <c r="CL10" s="348" t="str">
        <f>RIGHT(CL2,2)</f>
        <v>40</v>
      </c>
      <c r="CM10" s="349" t="str">
        <f>+CL10</f>
        <v>40</v>
      </c>
      <c r="CN10" s="348" t="str">
        <f>RIGHT(CN2,2)</f>
        <v>40</v>
      </c>
      <c r="CO10" s="349" t="str">
        <f>+CN10</f>
        <v>40</v>
      </c>
      <c r="CP10" s="348" t="str">
        <f>RIGHT(CP2,2)</f>
        <v>40</v>
      </c>
      <c r="CQ10" s="349" t="str">
        <f>+CP10</f>
        <v>40</v>
      </c>
      <c r="CR10" s="348" t="str">
        <f>RIGHT(CR2,2)</f>
        <v>40</v>
      </c>
      <c r="CS10" s="349" t="str">
        <f>+CR10</f>
        <v>40</v>
      </c>
      <c r="CT10" s="348" t="str">
        <f>RIGHT(CT2,2)</f>
        <v>40</v>
      </c>
      <c r="CU10" s="349" t="str">
        <f>+CT10</f>
        <v>40</v>
      </c>
      <c r="CV10" s="348" t="str">
        <f>RIGHT(CV2,2)</f>
        <v>40</v>
      </c>
      <c r="CW10" s="349" t="str">
        <f>+CV10</f>
        <v>40</v>
      </c>
      <c r="CX10" s="348" t="str">
        <f>RIGHT(CX2,2)</f>
        <v>40</v>
      </c>
      <c r="CY10" s="349" t="str">
        <f>+CX10</f>
        <v>40</v>
      </c>
      <c r="DA10" s="348" t="str">
        <f>RIGHT(DA2,2)</f>
        <v>40</v>
      </c>
      <c r="DB10" s="349" t="str">
        <f>+DA10</f>
        <v>40</v>
      </c>
      <c r="DC10" s="348" t="str">
        <f>RIGHT(DC2,2)</f>
        <v>40</v>
      </c>
      <c r="DD10" s="349" t="str">
        <f>+DC10</f>
        <v>40</v>
      </c>
      <c r="DE10" s="348" t="str">
        <f>RIGHT(DE2,2)</f>
        <v>40</v>
      </c>
      <c r="DF10" s="349" t="str">
        <f>+DE10</f>
        <v>40</v>
      </c>
      <c r="DG10" s="348" t="str">
        <f>RIGHT(DG2,2)</f>
        <v>40</v>
      </c>
      <c r="DH10" s="349" t="str">
        <f>+DG10</f>
        <v>40</v>
      </c>
      <c r="DI10" s="348" t="str">
        <f>RIGHT(DI2,2)</f>
        <v>40</v>
      </c>
      <c r="DJ10" s="349" t="str">
        <f>+DI10</f>
        <v>40</v>
      </c>
      <c r="DK10" s="348" t="str">
        <f>RIGHT(DK2,2)</f>
        <v>40</v>
      </c>
      <c r="DL10" s="349" t="str">
        <f>+DK10</f>
        <v>40</v>
      </c>
      <c r="DM10" s="348" t="str">
        <f>RIGHT(DM2,2)</f>
        <v>40</v>
      </c>
      <c r="DN10" s="349" t="str">
        <f>+DM10</f>
        <v>40</v>
      </c>
      <c r="DO10" s="348" t="str">
        <f>RIGHT(DO2,2)</f>
        <v>40</v>
      </c>
      <c r="DP10" s="349" t="str">
        <f>+DO10</f>
        <v>40</v>
      </c>
      <c r="DR10" s="348" t="str">
        <f>RIGHT(DR2,2)</f>
        <v>40</v>
      </c>
      <c r="DS10" s="349" t="str">
        <f>+DR10</f>
        <v>40</v>
      </c>
      <c r="DT10" s="348" t="str">
        <f>RIGHT(DT2,2)</f>
        <v>40</v>
      </c>
      <c r="DU10" s="349" t="str">
        <f>+DT10</f>
        <v>40</v>
      </c>
    </row>
    <row r="11" spans="1:125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21" t="s">
        <v>25</v>
      </c>
      <c r="BY11" s="22" t="s">
        <v>26</v>
      </c>
      <c r="BZ11" s="21" t="s">
        <v>25</v>
      </c>
      <c r="CA11" s="22" t="s">
        <v>26</v>
      </c>
      <c r="CB11" s="21" t="s">
        <v>25</v>
      </c>
      <c r="CC11" s="22" t="s">
        <v>26</v>
      </c>
      <c r="CD11" s="21" t="s">
        <v>25</v>
      </c>
      <c r="CE11" s="22" t="s">
        <v>26</v>
      </c>
      <c r="CF11" s="620"/>
      <c r="CG11" s="620"/>
      <c r="CH11" s="620"/>
      <c r="CI11" s="620"/>
      <c r="CJ11" s="21" t="s">
        <v>25</v>
      </c>
      <c r="CK11" s="22" t="s">
        <v>26</v>
      </c>
      <c r="CL11" s="21" t="s">
        <v>25</v>
      </c>
      <c r="CM11" s="22" t="s">
        <v>26</v>
      </c>
      <c r="CN11" s="21" t="s">
        <v>25</v>
      </c>
      <c r="CO11" s="22" t="s">
        <v>26</v>
      </c>
      <c r="CP11" s="21" t="s">
        <v>25</v>
      </c>
      <c r="CQ11" s="22" t="s">
        <v>26</v>
      </c>
      <c r="CR11" s="21" t="s">
        <v>25</v>
      </c>
      <c r="CS11" s="22" t="s">
        <v>26</v>
      </c>
      <c r="CT11" s="21" t="s">
        <v>25</v>
      </c>
      <c r="CU11" s="22" t="s">
        <v>26</v>
      </c>
      <c r="CV11" s="21" t="s">
        <v>25</v>
      </c>
      <c r="CW11" s="22" t="s">
        <v>26</v>
      </c>
      <c r="CX11" s="21" t="s">
        <v>25</v>
      </c>
      <c r="CY11" s="22" t="s">
        <v>26</v>
      </c>
      <c r="DA11" s="21" t="s">
        <v>25</v>
      </c>
      <c r="DB11" s="22" t="s">
        <v>26</v>
      </c>
      <c r="DC11" s="21" t="s">
        <v>25</v>
      </c>
      <c r="DD11" s="22" t="s">
        <v>26</v>
      </c>
      <c r="DE11" s="21" t="s">
        <v>25</v>
      </c>
      <c r="DF11" s="22" t="s">
        <v>26</v>
      </c>
      <c r="DG11" s="21" t="s">
        <v>25</v>
      </c>
      <c r="DH11" s="22" t="s">
        <v>26</v>
      </c>
      <c r="DI11" s="21" t="s">
        <v>25</v>
      </c>
      <c r="DJ11" s="22" t="s">
        <v>26</v>
      </c>
      <c r="DK11" s="21" t="s">
        <v>25</v>
      </c>
      <c r="DL11" s="22" t="s">
        <v>26</v>
      </c>
      <c r="DM11" s="21" t="s">
        <v>25</v>
      </c>
      <c r="DN11" s="22" t="s">
        <v>26</v>
      </c>
      <c r="DO11" s="21" t="s">
        <v>25</v>
      </c>
      <c r="DP11" s="22" t="s">
        <v>26</v>
      </c>
      <c r="DR11" s="21" t="s">
        <v>25</v>
      </c>
      <c r="DS11" s="22" t="s">
        <v>26</v>
      </c>
      <c r="DT11" s="21" t="s">
        <v>25</v>
      </c>
      <c r="DU11" s="22" t="s">
        <v>26</v>
      </c>
    </row>
    <row r="12" spans="1:125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350">
        <v>4068.66</v>
      </c>
      <c r="AG12" s="351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350">
        <v>4068.66</v>
      </c>
      <c r="BY12" s="351"/>
      <c r="BZ12" s="350">
        <v>4068.66</v>
      </c>
      <c r="CA12" s="351"/>
      <c r="CB12" s="350">
        <v>4068.66</v>
      </c>
      <c r="CC12" s="351"/>
      <c r="CD12" s="350">
        <v>4068.66</v>
      </c>
      <c r="CE12" s="351"/>
      <c r="CF12" s="620"/>
      <c r="CG12" s="620"/>
      <c r="CH12" s="620"/>
      <c r="CI12" s="620"/>
      <c r="CJ12" s="350">
        <v>4068.66</v>
      </c>
      <c r="CK12" s="351"/>
      <c r="CL12" s="350">
        <v>4068.66</v>
      </c>
      <c r="CM12" s="351"/>
      <c r="CN12" s="350">
        <v>4068.66</v>
      </c>
      <c r="CO12" s="351"/>
      <c r="CP12" s="350">
        <v>4068.66</v>
      </c>
      <c r="CQ12" s="351"/>
      <c r="CR12" s="350">
        <v>4068.66</v>
      </c>
      <c r="CS12" s="351"/>
      <c r="CT12" s="350">
        <v>4068.66</v>
      </c>
      <c r="CU12" s="351"/>
      <c r="CV12" s="350">
        <v>4068.66</v>
      </c>
      <c r="CW12" s="351"/>
      <c r="CX12" s="350">
        <v>4068.66</v>
      </c>
      <c r="CY12" s="351"/>
      <c r="DA12" s="350">
        <v>4068.66</v>
      </c>
      <c r="DB12" s="351"/>
      <c r="DC12" s="350">
        <v>4068.66</v>
      </c>
      <c r="DD12" s="351"/>
      <c r="DE12" s="350">
        <v>4068.66</v>
      </c>
      <c r="DF12" s="351"/>
      <c r="DG12" s="350">
        <v>4068.66</v>
      </c>
      <c r="DH12" s="351"/>
      <c r="DI12" s="350">
        <v>4068.66</v>
      </c>
      <c r="DJ12" s="351"/>
      <c r="DK12" s="350">
        <v>4068.66</v>
      </c>
      <c r="DL12" s="351"/>
      <c r="DM12" s="350">
        <v>4068.66</v>
      </c>
      <c r="DN12" s="351"/>
      <c r="DO12" s="350">
        <v>4068.66</v>
      </c>
      <c r="DP12" s="351"/>
      <c r="DR12" s="350">
        <v>4068.66</v>
      </c>
      <c r="DS12" s="351"/>
      <c r="DT12" s="350">
        <v>4068.66</v>
      </c>
      <c r="DU12" s="351"/>
    </row>
    <row r="13" spans="1:125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352"/>
      <c r="AG13" s="353"/>
      <c r="AH13" s="352"/>
      <c r="AI13" s="353"/>
      <c r="AJ13" s="352"/>
      <c r="AK13" s="353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352"/>
      <c r="BY13" s="353"/>
      <c r="BZ13" s="352"/>
      <c r="CA13" s="353"/>
      <c r="CB13" s="352"/>
      <c r="CC13" s="353"/>
      <c r="CD13" s="352"/>
      <c r="CE13" s="353"/>
      <c r="CF13" s="620"/>
      <c r="CG13" s="620"/>
      <c r="CH13" s="620"/>
      <c r="CI13" s="620"/>
      <c r="CJ13" s="352"/>
      <c r="CK13" s="353"/>
      <c r="CL13" s="352"/>
      <c r="CM13" s="353"/>
      <c r="CN13" s="352"/>
      <c r="CO13" s="353"/>
      <c r="CP13" s="352"/>
      <c r="CQ13" s="353"/>
      <c r="CR13" s="352"/>
      <c r="CS13" s="353"/>
      <c r="CT13" s="352"/>
      <c r="CU13" s="353"/>
      <c r="CV13" s="352"/>
      <c r="CW13" s="353"/>
      <c r="CX13" s="352"/>
      <c r="CY13" s="353"/>
      <c r="DA13" s="352"/>
      <c r="DB13" s="353"/>
      <c r="DC13" s="352"/>
      <c r="DD13" s="353"/>
      <c r="DE13" s="352"/>
      <c r="DF13" s="353"/>
      <c r="DG13" s="352"/>
      <c r="DH13" s="353"/>
      <c r="DI13" s="352"/>
      <c r="DJ13" s="353"/>
      <c r="DK13" s="352"/>
      <c r="DL13" s="353"/>
      <c r="DM13" s="352"/>
      <c r="DN13" s="353"/>
      <c r="DO13" s="352"/>
      <c r="DP13" s="353"/>
      <c r="DR13" s="352"/>
      <c r="DS13" s="353"/>
      <c r="DT13" s="352"/>
      <c r="DU13" s="353"/>
    </row>
    <row r="14" spans="1:125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354"/>
      <c r="AG14" s="355"/>
      <c r="AH14" s="354"/>
      <c r="AI14" s="355"/>
      <c r="AJ14" s="354"/>
      <c r="AK14" s="355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354"/>
      <c r="BY14" s="355"/>
      <c r="BZ14" s="354"/>
      <c r="CA14" s="355"/>
      <c r="CB14" s="354"/>
      <c r="CC14" s="355"/>
      <c r="CD14" s="354"/>
      <c r="CE14" s="355"/>
      <c r="CF14" s="620"/>
      <c r="CG14" s="620"/>
      <c r="CH14" s="620"/>
      <c r="CI14" s="620"/>
      <c r="CJ14" s="354"/>
      <c r="CK14" s="355"/>
      <c r="CL14" s="354"/>
      <c r="CM14" s="355"/>
      <c r="CN14" s="354"/>
      <c r="CO14" s="355"/>
      <c r="CP14" s="354"/>
      <c r="CQ14" s="355"/>
      <c r="CR14" s="354"/>
      <c r="CS14" s="355"/>
      <c r="CT14" s="354"/>
      <c r="CU14" s="355"/>
      <c r="CV14" s="354"/>
      <c r="CW14" s="355"/>
      <c r="CX14" s="354"/>
      <c r="CY14" s="355"/>
      <c r="DA14" s="354"/>
      <c r="DB14" s="355"/>
      <c r="DC14" s="354"/>
      <c r="DD14" s="355"/>
      <c r="DE14" s="354"/>
      <c r="DF14" s="355"/>
      <c r="DG14" s="354"/>
      <c r="DH14" s="355"/>
      <c r="DI14" s="354"/>
      <c r="DJ14" s="355"/>
      <c r="DK14" s="354"/>
      <c r="DL14" s="355"/>
      <c r="DM14" s="354"/>
      <c r="DN14" s="355"/>
      <c r="DO14" s="354"/>
      <c r="DP14" s="355"/>
      <c r="DR14" s="354"/>
      <c r="DS14" s="355"/>
      <c r="DT14" s="354"/>
      <c r="DU14" s="355"/>
    </row>
    <row r="15" spans="1:125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>+J15/J12</f>
        <v>0.24578116628079025</v>
      </c>
      <c r="L15" s="31">
        <v>1000</v>
      </c>
      <c r="M15" s="32">
        <f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1000</v>
      </c>
      <c r="Y15" s="32">
        <f>+X15/X12</f>
        <v>0.24578116628079025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31">
        <v>1000</v>
      </c>
      <c r="AG15" s="32">
        <f>+AF15/AF12</f>
        <v>0.24578116628079025</v>
      </c>
      <c r="AH15" s="31">
        <v>1000</v>
      </c>
      <c r="AI15" s="32">
        <f>+AH15/AH12</f>
        <v>0.24578116628079025</v>
      </c>
      <c r="AJ15" s="31">
        <v>1000</v>
      </c>
      <c r="AK15" s="32">
        <f>+AJ15/AJ12</f>
        <v>0.24578116628079025</v>
      </c>
      <c r="AL15" s="31">
        <v>1000</v>
      </c>
      <c r="AM15" s="32">
        <f>+AL15/AL12</f>
        <v>0.24578116628079025</v>
      </c>
      <c r="AN15" s="31">
        <v>1000</v>
      </c>
      <c r="AO15" s="32">
        <f>+AN15/AN12</f>
        <v>0.24578116628079025</v>
      </c>
      <c r="AP15" s="31">
        <v>1000</v>
      </c>
      <c r="AQ15" s="32">
        <f>+AP15/AP12</f>
        <v>0.24578116628079025</v>
      </c>
      <c r="AR15" s="31">
        <v>1000</v>
      </c>
      <c r="AS15" s="32">
        <f>+AR15/AR12</f>
        <v>0.24578116628079025</v>
      </c>
      <c r="AT15" s="31">
        <v>1000</v>
      </c>
      <c r="AU15" s="32">
        <f>+AT15/AT12</f>
        <v>0.24578116628079025</v>
      </c>
      <c r="AV15" s="31">
        <v>1000</v>
      </c>
      <c r="AW15" s="32">
        <f>+AV15/AV12</f>
        <v>0.24578116628079025</v>
      </c>
      <c r="AX15" s="31">
        <v>1000</v>
      </c>
      <c r="AY15" s="32">
        <f>+AX15/AX12</f>
        <v>0.24578116628079025</v>
      </c>
      <c r="AZ15" s="31">
        <v>1000</v>
      </c>
      <c r="BA15" s="32">
        <f>+AZ15/AZ12</f>
        <v>0.24578116628079025</v>
      </c>
      <c r="BB15" s="31">
        <v>1000</v>
      </c>
      <c r="BC15" s="32">
        <f>+BB15/BB12</f>
        <v>0.24578116628079025</v>
      </c>
      <c r="BD15" s="31">
        <v>1000</v>
      </c>
      <c r="BE15" s="32">
        <f>+BD15/BD12</f>
        <v>0.24578116628079025</v>
      </c>
      <c r="BF15" s="31">
        <v>1000</v>
      </c>
      <c r="BG15" s="32">
        <f>+BF15/BF12</f>
        <v>0.24578116628079025</v>
      </c>
      <c r="BH15" s="31">
        <v>1000</v>
      </c>
      <c r="BI15" s="32">
        <f>+BH15/BH12</f>
        <v>0.24578116628079025</v>
      </c>
      <c r="BJ15" s="31">
        <v>1000</v>
      </c>
      <c r="BK15" s="32">
        <f>+BJ15/BJ12</f>
        <v>0.24578116628079025</v>
      </c>
      <c r="BL15" s="31">
        <v>1000</v>
      </c>
      <c r="BM15" s="32">
        <f>+BL15/BL12</f>
        <v>0.24578116628079025</v>
      </c>
      <c r="BN15" s="31">
        <v>1000</v>
      </c>
      <c r="BO15" s="32">
        <f>+BN15/BN12</f>
        <v>0.24578116628079025</v>
      </c>
      <c r="BP15" s="31">
        <v>1000</v>
      </c>
      <c r="BQ15" s="32">
        <f>+BP15/BP12</f>
        <v>0.24578116628079025</v>
      </c>
      <c r="BR15" s="31">
        <v>1000</v>
      </c>
      <c r="BS15" s="32">
        <f>+BR15/BR12</f>
        <v>0.24578116628079025</v>
      </c>
      <c r="BT15" s="31">
        <v>1000</v>
      </c>
      <c r="BU15" s="32">
        <f>+BT15/BT12</f>
        <v>0.24578116628079025</v>
      </c>
      <c r="BV15" s="31">
        <v>1000</v>
      </c>
      <c r="BW15" s="32">
        <f>+BV15/BV12</f>
        <v>0.24578116628079025</v>
      </c>
      <c r="BX15" s="31">
        <v>1000</v>
      </c>
      <c r="BY15" s="32">
        <f>+BX15/BX12</f>
        <v>0.24578116628079025</v>
      </c>
      <c r="BZ15" s="31">
        <v>1000</v>
      </c>
      <c r="CA15" s="32">
        <f>+BZ15/BZ12</f>
        <v>0.24578116628079025</v>
      </c>
      <c r="CB15" s="31">
        <v>1000</v>
      </c>
      <c r="CC15" s="32">
        <f>+CB15/CB12</f>
        <v>0.24578116628079025</v>
      </c>
      <c r="CD15" s="31">
        <v>1000</v>
      </c>
      <c r="CE15" s="32">
        <f>+CD15/CD12</f>
        <v>0.24578116628079025</v>
      </c>
      <c r="CF15" s="620"/>
      <c r="CG15" s="620"/>
      <c r="CH15" s="620"/>
      <c r="CI15" s="620"/>
      <c r="CJ15" s="31">
        <v>1000</v>
      </c>
      <c r="CK15" s="32">
        <f>+CJ15/CJ12</f>
        <v>0.24578116628079025</v>
      </c>
      <c r="CL15" s="31">
        <v>1000</v>
      </c>
      <c r="CM15" s="32">
        <f>+CL15/CL12</f>
        <v>0.24578116628079025</v>
      </c>
      <c r="CN15" s="31">
        <v>1000</v>
      </c>
      <c r="CO15" s="32">
        <f>+CN15/CN12</f>
        <v>0.24578116628079025</v>
      </c>
      <c r="CP15" s="31">
        <v>1000</v>
      </c>
      <c r="CQ15" s="32">
        <f>+CP15/CP12</f>
        <v>0.24578116628079025</v>
      </c>
      <c r="CR15" s="31">
        <v>1000</v>
      </c>
      <c r="CS15" s="32">
        <f>+CR15/CR12</f>
        <v>0.24578116628079025</v>
      </c>
      <c r="CT15" s="31">
        <v>1000</v>
      </c>
      <c r="CU15" s="32">
        <f>+CT15/CT12</f>
        <v>0.24578116628079025</v>
      </c>
      <c r="CV15" s="31">
        <v>1000</v>
      </c>
      <c r="CW15" s="32">
        <f>+CV15/CV12</f>
        <v>0.24578116628079025</v>
      </c>
      <c r="CX15" s="31">
        <v>1000</v>
      </c>
      <c r="CY15" s="32">
        <f>+CX15/CX12</f>
        <v>0.24578116628079025</v>
      </c>
      <c r="DA15" s="31">
        <v>1000</v>
      </c>
      <c r="DB15" s="32">
        <f>+DA15/DA12</f>
        <v>0.24578116628079025</v>
      </c>
      <c r="DC15" s="31">
        <v>1000</v>
      </c>
      <c r="DD15" s="32">
        <f>+DC15/DC12</f>
        <v>0.24578116628079025</v>
      </c>
      <c r="DE15" s="31">
        <v>1000</v>
      </c>
      <c r="DF15" s="32">
        <f>+DE15/DE12</f>
        <v>0.24578116628079025</v>
      </c>
      <c r="DG15" s="31">
        <v>1000</v>
      </c>
      <c r="DH15" s="32">
        <f>+DG15/DG12</f>
        <v>0.24578116628079025</v>
      </c>
      <c r="DI15" s="31">
        <v>1000</v>
      </c>
      <c r="DJ15" s="32">
        <f>+DI15/DI12</f>
        <v>0.24578116628079025</v>
      </c>
      <c r="DK15" s="31">
        <v>1000</v>
      </c>
      <c r="DL15" s="32">
        <f>+DK15/DK12</f>
        <v>0.24578116628079025</v>
      </c>
      <c r="DM15" s="31">
        <v>1000</v>
      </c>
      <c r="DN15" s="32">
        <f>+DM15/DM12</f>
        <v>0.24578116628079025</v>
      </c>
      <c r="DO15" s="31">
        <v>1000</v>
      </c>
      <c r="DP15" s="32">
        <f>+DO15/DO12</f>
        <v>0.24578116628079025</v>
      </c>
      <c r="DR15" s="31">
        <v>1000</v>
      </c>
      <c r="DS15" s="32">
        <f>+DR15/DR12</f>
        <v>0.24578116628079025</v>
      </c>
      <c r="DT15" s="31">
        <v>1000</v>
      </c>
      <c r="DU15" s="32">
        <f>+DT15/DT12</f>
        <v>0.24578116628079025</v>
      </c>
    </row>
    <row r="16" spans="1:125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CU16" si="0">+F15*F10</f>
        <v>40000</v>
      </c>
      <c r="G16" s="32">
        <f t="shared" si="0"/>
        <v>9.8312466512316092</v>
      </c>
      <c r="H16" s="31">
        <f t="shared" si="0"/>
        <v>40000</v>
      </c>
      <c r="I16" s="32">
        <f t="shared" si="0"/>
        <v>9.8312466512316092</v>
      </c>
      <c r="J16" s="31">
        <f t="shared" si="0"/>
        <v>40000</v>
      </c>
      <c r="K16" s="32">
        <f t="shared" si="0"/>
        <v>9.8312466512316092</v>
      </c>
      <c r="L16" s="31">
        <f t="shared" si="0"/>
        <v>40000</v>
      </c>
      <c r="M16" s="32">
        <f t="shared" si="0"/>
        <v>9.8312466512316092</v>
      </c>
      <c r="N16" s="31">
        <f t="shared" si="0"/>
        <v>40000</v>
      </c>
      <c r="O16" s="32">
        <f t="shared" si="0"/>
        <v>9.8312466512316092</v>
      </c>
      <c r="P16" s="31">
        <f t="shared" si="0"/>
        <v>40000</v>
      </c>
      <c r="Q16" s="32">
        <f t="shared" si="0"/>
        <v>9.8312466512316092</v>
      </c>
      <c r="R16" s="31">
        <f t="shared" si="0"/>
        <v>40000</v>
      </c>
      <c r="S16" s="32">
        <f t="shared" si="0"/>
        <v>9.8312466512316092</v>
      </c>
      <c r="T16" s="31">
        <f t="shared" si="0"/>
        <v>40000</v>
      </c>
      <c r="U16" s="32">
        <f t="shared" si="0"/>
        <v>9.8312466512316092</v>
      </c>
      <c r="V16" s="31">
        <f t="shared" si="0"/>
        <v>40000</v>
      </c>
      <c r="W16" s="32">
        <f t="shared" si="0"/>
        <v>9.8312466512316092</v>
      </c>
      <c r="X16" s="31">
        <f t="shared" si="0"/>
        <v>40000</v>
      </c>
      <c r="Y16" s="32">
        <f t="shared" si="0"/>
        <v>9.8312466512316092</v>
      </c>
      <c r="Z16" s="31">
        <f t="shared" si="0"/>
        <v>40000</v>
      </c>
      <c r="AA16" s="32">
        <f t="shared" si="0"/>
        <v>9.8312466512316092</v>
      </c>
      <c r="AB16" s="31">
        <f t="shared" si="0"/>
        <v>40000</v>
      </c>
      <c r="AC16" s="32">
        <f t="shared" si="0"/>
        <v>9.8312466512316092</v>
      </c>
      <c r="AD16" s="31">
        <f t="shared" si="0"/>
        <v>40000</v>
      </c>
      <c r="AE16" s="32">
        <f t="shared" si="0"/>
        <v>9.8312466512316092</v>
      </c>
      <c r="AF16" s="31">
        <f t="shared" si="0"/>
        <v>40000</v>
      </c>
      <c r="AG16" s="32">
        <f t="shared" si="0"/>
        <v>9.8312466512316092</v>
      </c>
      <c r="AH16" s="31">
        <f t="shared" si="0"/>
        <v>40000</v>
      </c>
      <c r="AI16" s="32">
        <f t="shared" si="0"/>
        <v>9.8312466512316092</v>
      </c>
      <c r="AJ16" s="31">
        <f t="shared" si="0"/>
        <v>40000</v>
      </c>
      <c r="AK16" s="32">
        <f t="shared" si="0"/>
        <v>9.8312466512316092</v>
      </c>
      <c r="AL16" s="31">
        <f t="shared" si="0"/>
        <v>40000</v>
      </c>
      <c r="AM16" s="32">
        <f t="shared" si="0"/>
        <v>9.8312466512316092</v>
      </c>
      <c r="AN16" s="31">
        <f t="shared" si="0"/>
        <v>40000</v>
      </c>
      <c r="AO16" s="32">
        <f t="shared" si="0"/>
        <v>9.8312466512316092</v>
      </c>
      <c r="AP16" s="31">
        <f t="shared" si="0"/>
        <v>40000</v>
      </c>
      <c r="AQ16" s="32">
        <f t="shared" si="0"/>
        <v>9.8312466512316092</v>
      </c>
      <c r="AR16" s="31">
        <f t="shared" si="0"/>
        <v>40000</v>
      </c>
      <c r="AS16" s="32">
        <f t="shared" si="0"/>
        <v>9.8312466512316092</v>
      </c>
      <c r="AT16" s="31">
        <f t="shared" si="0"/>
        <v>40000</v>
      </c>
      <c r="AU16" s="32">
        <f t="shared" si="0"/>
        <v>9.8312466512316092</v>
      </c>
      <c r="AV16" s="31">
        <f t="shared" si="0"/>
        <v>40000</v>
      </c>
      <c r="AW16" s="32">
        <f t="shared" si="0"/>
        <v>9.8312466512316092</v>
      </c>
      <c r="AX16" s="31">
        <f t="shared" si="0"/>
        <v>40000</v>
      </c>
      <c r="AY16" s="32">
        <f t="shared" si="0"/>
        <v>9.8312466512316092</v>
      </c>
      <c r="AZ16" s="31">
        <f t="shared" si="0"/>
        <v>40000</v>
      </c>
      <c r="BA16" s="32">
        <f t="shared" si="0"/>
        <v>9.8312466512316092</v>
      </c>
      <c r="BB16" s="31">
        <f t="shared" si="0"/>
        <v>40000</v>
      </c>
      <c r="BC16" s="32">
        <f t="shared" si="0"/>
        <v>9.8312466512316092</v>
      </c>
      <c r="BD16" s="31">
        <f t="shared" si="0"/>
        <v>40000</v>
      </c>
      <c r="BE16" s="32">
        <f t="shared" si="0"/>
        <v>9.8312466512316092</v>
      </c>
      <c r="BF16" s="31">
        <f t="shared" ref="BF16:BG16" si="1">+BF15*BF10</f>
        <v>40000</v>
      </c>
      <c r="BG16" s="32">
        <f t="shared" si="1"/>
        <v>9.8312466512316092</v>
      </c>
      <c r="BH16" s="31">
        <f t="shared" ref="BH16" si="2">+BH15*BH10</f>
        <v>40000</v>
      </c>
      <c r="BI16" s="32">
        <v>10</v>
      </c>
      <c r="BJ16" s="31">
        <f t="shared" ref="BJ16:CD16" si="3">+BJ15*BJ10</f>
        <v>40000</v>
      </c>
      <c r="BK16" s="32">
        <v>10</v>
      </c>
      <c r="BL16" s="31">
        <f t="shared" ref="BL16:BN16" si="4">+BL15*BL10</f>
        <v>40000</v>
      </c>
      <c r="BM16" s="32">
        <v>10</v>
      </c>
      <c r="BN16" s="31">
        <f t="shared" si="4"/>
        <v>40000</v>
      </c>
      <c r="BO16" s="32">
        <v>10</v>
      </c>
      <c r="BP16" s="31">
        <f t="shared" ref="BP16:BR16" si="5">+BP15*BP10</f>
        <v>40000</v>
      </c>
      <c r="BQ16" s="32">
        <v>10</v>
      </c>
      <c r="BR16" s="31">
        <f t="shared" si="5"/>
        <v>40000</v>
      </c>
      <c r="BS16" s="32">
        <v>10</v>
      </c>
      <c r="BT16" s="31">
        <f t="shared" ref="BT16:BV16" si="6">+BT15*BT10</f>
        <v>40000</v>
      </c>
      <c r="BU16" s="32">
        <v>10</v>
      </c>
      <c r="BV16" s="31">
        <f t="shared" si="6"/>
        <v>40000</v>
      </c>
      <c r="BW16" s="32">
        <v>10</v>
      </c>
      <c r="BX16" s="31">
        <f t="shared" ref="BX16:BZ16" si="7">+BX15*BX10</f>
        <v>40000</v>
      </c>
      <c r="BY16" s="32">
        <v>10</v>
      </c>
      <c r="BZ16" s="31">
        <f t="shared" si="7"/>
        <v>40000</v>
      </c>
      <c r="CA16" s="32">
        <v>10</v>
      </c>
      <c r="CB16" s="31">
        <f t="shared" ref="CB16" si="8">+CB15*CB10</f>
        <v>40000</v>
      </c>
      <c r="CC16" s="32">
        <v>10</v>
      </c>
      <c r="CD16" s="31">
        <f t="shared" si="3"/>
        <v>40000</v>
      </c>
      <c r="CE16" s="32">
        <v>10</v>
      </c>
      <c r="CF16" s="620"/>
      <c r="CG16" s="620"/>
      <c r="CH16" s="620"/>
      <c r="CI16" s="620"/>
      <c r="CJ16" s="31">
        <f t="shared" si="0"/>
        <v>40000</v>
      </c>
      <c r="CK16" s="32">
        <f t="shared" si="0"/>
        <v>9.8312466512316092</v>
      </c>
      <c r="CL16" s="31">
        <f t="shared" si="0"/>
        <v>40000</v>
      </c>
      <c r="CM16" s="32">
        <f t="shared" si="0"/>
        <v>9.8312466512316092</v>
      </c>
      <c r="CN16" s="31">
        <f t="shared" si="0"/>
        <v>40000</v>
      </c>
      <c r="CO16" s="32">
        <f t="shared" si="0"/>
        <v>9.8312466512316092</v>
      </c>
      <c r="CP16" s="31">
        <f t="shared" si="0"/>
        <v>40000</v>
      </c>
      <c r="CQ16" s="32">
        <f t="shared" si="0"/>
        <v>9.8312466512316092</v>
      </c>
      <c r="CR16" s="31">
        <f t="shared" si="0"/>
        <v>40000</v>
      </c>
      <c r="CS16" s="32">
        <f t="shared" si="0"/>
        <v>9.8312466512316092</v>
      </c>
      <c r="CT16" s="31">
        <f t="shared" si="0"/>
        <v>40000</v>
      </c>
      <c r="CU16" s="32">
        <f t="shared" si="0"/>
        <v>9.8312466512316092</v>
      </c>
      <c r="CV16" s="31">
        <f t="shared" ref="CV16:CY16" si="9">+CV15*CV10</f>
        <v>40000</v>
      </c>
      <c r="CW16" s="32">
        <f t="shared" si="9"/>
        <v>9.8312466512316092</v>
      </c>
      <c r="CX16" s="31">
        <f t="shared" si="9"/>
        <v>40000</v>
      </c>
      <c r="CY16" s="32">
        <f t="shared" si="9"/>
        <v>9.8312466512316092</v>
      </c>
      <c r="DA16" s="31">
        <f t="shared" ref="DA16:DB16" si="10">+DA15*DA10</f>
        <v>40000</v>
      </c>
      <c r="DB16" s="32">
        <f t="shared" si="10"/>
        <v>9.8312466512316092</v>
      </c>
      <c r="DC16" s="31">
        <f t="shared" ref="DC16:DD16" si="11">+DC15*DC10</f>
        <v>40000</v>
      </c>
      <c r="DD16" s="32">
        <f t="shared" si="11"/>
        <v>9.8312466512316092</v>
      </c>
      <c r="DE16" s="31">
        <f t="shared" ref="DE16:DF16" si="12">+DE15*DE10</f>
        <v>40000</v>
      </c>
      <c r="DF16" s="32">
        <f t="shared" si="12"/>
        <v>9.8312466512316092</v>
      </c>
      <c r="DG16" s="31">
        <f t="shared" ref="DG16:DH16" si="13">+DG15*DG10</f>
        <v>40000</v>
      </c>
      <c r="DH16" s="32">
        <f t="shared" si="13"/>
        <v>9.8312466512316092</v>
      </c>
      <c r="DI16" s="31">
        <f t="shared" ref="DI16:DJ16" si="14">+DI15*DI10</f>
        <v>40000</v>
      </c>
      <c r="DJ16" s="32">
        <f t="shared" si="14"/>
        <v>9.8312466512316092</v>
      </c>
      <c r="DK16" s="31">
        <f t="shared" ref="DK16:DL16" si="15">+DK15*DK10</f>
        <v>40000</v>
      </c>
      <c r="DL16" s="32">
        <f t="shared" si="15"/>
        <v>9.8312466512316092</v>
      </c>
      <c r="DM16" s="31">
        <f t="shared" ref="DM16:DN16" si="16">+DM15*DM10</f>
        <v>40000</v>
      </c>
      <c r="DN16" s="32">
        <f t="shared" si="16"/>
        <v>9.8312466512316092</v>
      </c>
      <c r="DO16" s="31">
        <f t="shared" ref="DO16:DP16" si="17">+DO15*DO10</f>
        <v>40000</v>
      </c>
      <c r="DP16" s="32">
        <f t="shared" si="17"/>
        <v>9.8312466512316092</v>
      </c>
      <c r="DR16" s="31">
        <f t="shared" ref="DR16:DT16" si="18">+DR15*DR10</f>
        <v>40000</v>
      </c>
      <c r="DS16" s="32">
        <v>10</v>
      </c>
      <c r="DT16" s="31">
        <f t="shared" si="18"/>
        <v>40000</v>
      </c>
      <c r="DU16" s="32">
        <v>10</v>
      </c>
    </row>
    <row r="17" spans="1:125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350">
        <v>0</v>
      </c>
      <c r="AG17" s="351">
        <v>0</v>
      </c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350">
        <v>0</v>
      </c>
      <c r="BY17" s="351">
        <v>0</v>
      </c>
      <c r="BZ17" s="350">
        <v>0</v>
      </c>
      <c r="CA17" s="351">
        <v>0</v>
      </c>
      <c r="CB17" s="350">
        <v>0</v>
      </c>
      <c r="CC17" s="351">
        <v>0</v>
      </c>
      <c r="CD17" s="350">
        <v>0</v>
      </c>
      <c r="CE17" s="351">
        <v>0</v>
      </c>
      <c r="CF17" s="620"/>
      <c r="CG17" s="620"/>
      <c r="CH17" s="620"/>
      <c r="CI17" s="620"/>
      <c r="CJ17" s="350">
        <v>0</v>
      </c>
      <c r="CK17" s="351">
        <v>0</v>
      </c>
      <c r="CL17" s="350">
        <v>0</v>
      </c>
      <c r="CM17" s="351">
        <v>0</v>
      </c>
      <c r="CN17" s="350">
        <v>0</v>
      </c>
      <c r="CO17" s="351">
        <v>0</v>
      </c>
      <c r="CP17" s="350">
        <v>0</v>
      </c>
      <c r="CQ17" s="351">
        <v>0</v>
      </c>
      <c r="CR17" s="350">
        <v>0</v>
      </c>
      <c r="CS17" s="351">
        <v>0</v>
      </c>
      <c r="CT17" s="350">
        <v>0</v>
      </c>
      <c r="CU17" s="351">
        <v>0</v>
      </c>
      <c r="CV17" s="350">
        <v>0</v>
      </c>
      <c r="CW17" s="351">
        <v>0</v>
      </c>
      <c r="CX17" s="350">
        <v>0</v>
      </c>
      <c r="CY17" s="351">
        <v>0</v>
      </c>
      <c r="DA17" s="350">
        <v>0</v>
      </c>
      <c r="DB17" s="351">
        <v>0</v>
      </c>
      <c r="DC17" s="350">
        <v>0</v>
      </c>
      <c r="DD17" s="351">
        <v>0</v>
      </c>
      <c r="DE17" s="350">
        <v>0</v>
      </c>
      <c r="DF17" s="351">
        <v>0</v>
      </c>
      <c r="DG17" s="350">
        <v>0</v>
      </c>
      <c r="DH17" s="351">
        <v>0</v>
      </c>
      <c r="DI17" s="350">
        <v>0</v>
      </c>
      <c r="DJ17" s="351">
        <v>0</v>
      </c>
      <c r="DK17" s="350">
        <v>0</v>
      </c>
      <c r="DL17" s="351">
        <v>0</v>
      </c>
      <c r="DM17" s="350">
        <v>0</v>
      </c>
      <c r="DN17" s="351">
        <v>0</v>
      </c>
      <c r="DO17" s="350">
        <v>0</v>
      </c>
      <c r="DP17" s="351">
        <v>0</v>
      </c>
      <c r="DR17" s="350">
        <v>0</v>
      </c>
      <c r="DS17" s="351">
        <v>0</v>
      </c>
      <c r="DT17" s="350">
        <v>0</v>
      </c>
      <c r="DU17" s="351">
        <v>0</v>
      </c>
    </row>
    <row r="18" spans="1:125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56">
        <v>0</v>
      </c>
      <c r="AG18" s="357">
        <v>0</v>
      </c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356">
        <v>0</v>
      </c>
      <c r="BY18" s="357">
        <v>0</v>
      </c>
      <c r="BZ18" s="356">
        <v>0</v>
      </c>
      <c r="CA18" s="357">
        <v>0</v>
      </c>
      <c r="CB18" s="356">
        <v>0</v>
      </c>
      <c r="CC18" s="357">
        <v>0</v>
      </c>
      <c r="CD18" s="356">
        <v>0</v>
      </c>
      <c r="CE18" s="357">
        <v>0</v>
      </c>
      <c r="CF18" s="620"/>
      <c r="CG18" s="620"/>
      <c r="CH18" s="620"/>
      <c r="CI18" s="620"/>
      <c r="CJ18" s="356">
        <v>0</v>
      </c>
      <c r="CK18" s="357">
        <v>0</v>
      </c>
      <c r="CL18" s="356">
        <v>0</v>
      </c>
      <c r="CM18" s="357">
        <v>0</v>
      </c>
      <c r="CN18" s="356">
        <v>0</v>
      </c>
      <c r="CO18" s="357">
        <v>0</v>
      </c>
      <c r="CP18" s="356">
        <v>0</v>
      </c>
      <c r="CQ18" s="357">
        <v>0</v>
      </c>
      <c r="CR18" s="356">
        <v>0</v>
      </c>
      <c r="CS18" s="357">
        <v>0</v>
      </c>
      <c r="CT18" s="356">
        <v>0</v>
      </c>
      <c r="CU18" s="357">
        <v>0</v>
      </c>
      <c r="CV18" s="356">
        <v>0</v>
      </c>
      <c r="CW18" s="357">
        <v>0</v>
      </c>
      <c r="CX18" s="356">
        <v>0</v>
      </c>
      <c r="CY18" s="357">
        <v>0</v>
      </c>
      <c r="DA18" s="356">
        <v>0</v>
      </c>
      <c r="DB18" s="357">
        <v>0</v>
      </c>
      <c r="DC18" s="356">
        <v>0</v>
      </c>
      <c r="DD18" s="357">
        <v>0</v>
      </c>
      <c r="DE18" s="356">
        <v>0</v>
      </c>
      <c r="DF18" s="357">
        <v>0</v>
      </c>
      <c r="DG18" s="356">
        <v>0</v>
      </c>
      <c r="DH18" s="357">
        <v>0</v>
      </c>
      <c r="DI18" s="356">
        <v>0</v>
      </c>
      <c r="DJ18" s="357">
        <v>0</v>
      </c>
      <c r="DK18" s="356">
        <v>0</v>
      </c>
      <c r="DL18" s="357">
        <v>0</v>
      </c>
      <c r="DM18" s="356">
        <v>0</v>
      </c>
      <c r="DN18" s="357">
        <v>0</v>
      </c>
      <c r="DO18" s="356">
        <v>0</v>
      </c>
      <c r="DP18" s="357">
        <v>0</v>
      </c>
      <c r="DR18" s="356">
        <v>0</v>
      </c>
      <c r="DS18" s="357">
        <v>0</v>
      </c>
      <c r="DT18" s="356">
        <v>0</v>
      </c>
      <c r="DU18" s="357">
        <v>0</v>
      </c>
    </row>
    <row r="19" spans="1:125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CU19" si="19">F15-F17</f>
        <v>1000</v>
      </c>
      <c r="G19" s="32">
        <f t="shared" si="19"/>
        <v>0.24578116628079025</v>
      </c>
      <c r="H19" s="38">
        <f t="shared" si="19"/>
        <v>1000</v>
      </c>
      <c r="I19" s="32">
        <f t="shared" si="19"/>
        <v>0.24578116628079025</v>
      </c>
      <c r="J19" s="38">
        <f t="shared" si="19"/>
        <v>1000</v>
      </c>
      <c r="K19" s="32">
        <f t="shared" si="19"/>
        <v>0.24578116628079025</v>
      </c>
      <c r="L19" s="38">
        <f t="shared" si="19"/>
        <v>1000</v>
      </c>
      <c r="M19" s="32">
        <f t="shared" si="19"/>
        <v>0.24578116628079025</v>
      </c>
      <c r="N19" s="38">
        <f t="shared" si="19"/>
        <v>1000</v>
      </c>
      <c r="O19" s="32">
        <f t="shared" si="19"/>
        <v>0.24578116628079025</v>
      </c>
      <c r="P19" s="38">
        <f t="shared" si="19"/>
        <v>1000</v>
      </c>
      <c r="Q19" s="32">
        <f t="shared" si="19"/>
        <v>0.24578116628079025</v>
      </c>
      <c r="R19" s="38">
        <f t="shared" si="19"/>
        <v>1000</v>
      </c>
      <c r="S19" s="32">
        <f t="shared" si="19"/>
        <v>0.24578116628079025</v>
      </c>
      <c r="T19" s="38">
        <f t="shared" si="19"/>
        <v>1000</v>
      </c>
      <c r="U19" s="32">
        <f t="shared" si="19"/>
        <v>0.24578116628079025</v>
      </c>
      <c r="V19" s="38">
        <f t="shared" si="19"/>
        <v>1000</v>
      </c>
      <c r="W19" s="32">
        <f t="shared" si="19"/>
        <v>0.24578116628079025</v>
      </c>
      <c r="X19" s="38">
        <f t="shared" si="19"/>
        <v>1000</v>
      </c>
      <c r="Y19" s="32">
        <f t="shared" si="19"/>
        <v>0.24578116628079025</v>
      </c>
      <c r="Z19" s="38">
        <f t="shared" si="19"/>
        <v>1000</v>
      </c>
      <c r="AA19" s="32">
        <f t="shared" si="19"/>
        <v>0.24578116628079025</v>
      </c>
      <c r="AB19" s="38">
        <f t="shared" si="19"/>
        <v>1000</v>
      </c>
      <c r="AC19" s="32">
        <f t="shared" si="19"/>
        <v>0.24578116628079025</v>
      </c>
      <c r="AD19" s="38">
        <f t="shared" si="19"/>
        <v>1000</v>
      </c>
      <c r="AE19" s="32">
        <f t="shared" si="19"/>
        <v>0.24578116628079025</v>
      </c>
      <c r="AF19" s="38">
        <f t="shared" si="19"/>
        <v>1000</v>
      </c>
      <c r="AG19" s="32">
        <f t="shared" si="19"/>
        <v>0.24578116628079025</v>
      </c>
      <c r="AH19" s="38">
        <f t="shared" si="19"/>
        <v>1000</v>
      </c>
      <c r="AI19" s="32">
        <f t="shared" si="19"/>
        <v>0.24578116628079025</v>
      </c>
      <c r="AJ19" s="38">
        <f t="shared" si="19"/>
        <v>1000</v>
      </c>
      <c r="AK19" s="32">
        <f t="shared" si="19"/>
        <v>0.24578116628079025</v>
      </c>
      <c r="AL19" s="38">
        <f t="shared" si="19"/>
        <v>1000</v>
      </c>
      <c r="AM19" s="32">
        <f t="shared" si="19"/>
        <v>0.24578116628079025</v>
      </c>
      <c r="AN19" s="38">
        <f t="shared" si="19"/>
        <v>1000</v>
      </c>
      <c r="AO19" s="32">
        <f t="shared" si="19"/>
        <v>0.24578116628079025</v>
      </c>
      <c r="AP19" s="38">
        <f t="shared" si="19"/>
        <v>1000</v>
      </c>
      <c r="AQ19" s="32">
        <f t="shared" si="19"/>
        <v>0.24578116628079025</v>
      </c>
      <c r="AR19" s="38">
        <f t="shared" si="19"/>
        <v>1000</v>
      </c>
      <c r="AS19" s="32">
        <f t="shared" si="19"/>
        <v>0.24578116628079025</v>
      </c>
      <c r="AT19" s="38">
        <f t="shared" si="19"/>
        <v>1000</v>
      </c>
      <c r="AU19" s="32">
        <f t="shared" si="19"/>
        <v>0.24578116628079025</v>
      </c>
      <c r="AV19" s="38">
        <f t="shared" si="19"/>
        <v>1000</v>
      </c>
      <c r="AW19" s="32">
        <f t="shared" si="19"/>
        <v>0.24578116628079025</v>
      </c>
      <c r="AX19" s="38">
        <f t="shared" si="19"/>
        <v>1000</v>
      </c>
      <c r="AY19" s="32">
        <f t="shared" si="19"/>
        <v>0.24578116628079025</v>
      </c>
      <c r="AZ19" s="38">
        <f t="shared" si="19"/>
        <v>1000</v>
      </c>
      <c r="BA19" s="32">
        <f t="shared" si="19"/>
        <v>0.24578116628079025</v>
      </c>
      <c r="BB19" s="38">
        <f t="shared" si="19"/>
        <v>1000</v>
      </c>
      <c r="BC19" s="32">
        <f t="shared" si="19"/>
        <v>0.24578116628079025</v>
      </c>
      <c r="BD19" s="38">
        <f t="shared" si="19"/>
        <v>1000</v>
      </c>
      <c r="BE19" s="32">
        <f t="shared" si="19"/>
        <v>0.24578116628079025</v>
      </c>
      <c r="BF19" s="38">
        <f t="shared" ref="BF19:BG19" si="20">BF15-BF17</f>
        <v>1000</v>
      </c>
      <c r="BG19" s="32">
        <f t="shared" si="20"/>
        <v>0.24578116628079025</v>
      </c>
      <c r="BH19" s="38">
        <f t="shared" ref="BH19:BI19" si="21">BH15-BH17</f>
        <v>1000</v>
      </c>
      <c r="BI19" s="32">
        <f t="shared" si="21"/>
        <v>0.24578116628079025</v>
      </c>
      <c r="BJ19" s="38">
        <f t="shared" ref="BJ19:BK19" si="22">BJ15-BJ17</f>
        <v>1000</v>
      </c>
      <c r="BK19" s="32">
        <f t="shared" si="22"/>
        <v>0.24578116628079025</v>
      </c>
      <c r="BL19" s="38">
        <f t="shared" ref="BL19:BM19" si="23">BL15-BL17</f>
        <v>1000</v>
      </c>
      <c r="BM19" s="32">
        <f t="shared" si="23"/>
        <v>0.24578116628079025</v>
      </c>
      <c r="BN19" s="38">
        <f t="shared" ref="BN19:BO19" si="24">BN15-BN17</f>
        <v>1000</v>
      </c>
      <c r="BO19" s="32">
        <f t="shared" si="24"/>
        <v>0.24578116628079025</v>
      </c>
      <c r="BP19" s="38">
        <f t="shared" ref="BP19:BQ19" si="25">BP15-BP17</f>
        <v>1000</v>
      </c>
      <c r="BQ19" s="32">
        <f t="shared" si="25"/>
        <v>0.24578116628079025</v>
      </c>
      <c r="BR19" s="38">
        <f t="shared" ref="BR19:BS19" si="26">BR15-BR17</f>
        <v>1000</v>
      </c>
      <c r="BS19" s="32">
        <f t="shared" si="26"/>
        <v>0.24578116628079025</v>
      </c>
      <c r="BT19" s="38">
        <f t="shared" ref="BT19:BU19" si="27">BT15-BT17</f>
        <v>1000</v>
      </c>
      <c r="BU19" s="32">
        <f t="shared" si="27"/>
        <v>0.24578116628079025</v>
      </c>
      <c r="BV19" s="38">
        <f t="shared" ref="BV19:BW19" si="28">BV15-BV17</f>
        <v>1000</v>
      </c>
      <c r="BW19" s="32">
        <f t="shared" si="28"/>
        <v>0.24578116628079025</v>
      </c>
      <c r="BX19" s="38">
        <f t="shared" ref="BX19:BY19" si="29">BX15-BX17</f>
        <v>1000</v>
      </c>
      <c r="BY19" s="32">
        <f t="shared" si="29"/>
        <v>0.24578116628079025</v>
      </c>
      <c r="BZ19" s="38">
        <f t="shared" ref="BZ19:CC19" si="30">BZ15-BZ17</f>
        <v>1000</v>
      </c>
      <c r="CA19" s="32">
        <f t="shared" si="30"/>
        <v>0.24578116628079025</v>
      </c>
      <c r="CB19" s="38">
        <f t="shared" si="30"/>
        <v>1000</v>
      </c>
      <c r="CC19" s="32">
        <f t="shared" si="30"/>
        <v>0.24578116628079025</v>
      </c>
      <c r="CD19" s="38">
        <f t="shared" ref="CD19:CE19" si="31">CD15-CD17</f>
        <v>1000</v>
      </c>
      <c r="CE19" s="32">
        <f t="shared" si="31"/>
        <v>0.24578116628079025</v>
      </c>
      <c r="CF19" s="620"/>
      <c r="CG19" s="620"/>
      <c r="CH19" s="620"/>
      <c r="CI19" s="620"/>
      <c r="CJ19" s="38">
        <f t="shared" si="19"/>
        <v>1000</v>
      </c>
      <c r="CK19" s="32">
        <f t="shared" si="19"/>
        <v>0.24578116628079025</v>
      </c>
      <c r="CL19" s="38">
        <f t="shared" si="19"/>
        <v>1000</v>
      </c>
      <c r="CM19" s="32">
        <f t="shared" si="19"/>
        <v>0.24578116628079025</v>
      </c>
      <c r="CN19" s="38">
        <f t="shared" si="19"/>
        <v>1000</v>
      </c>
      <c r="CO19" s="32">
        <f t="shared" si="19"/>
        <v>0.24578116628079025</v>
      </c>
      <c r="CP19" s="38">
        <f t="shared" si="19"/>
        <v>1000</v>
      </c>
      <c r="CQ19" s="32">
        <f t="shared" si="19"/>
        <v>0.24578116628079025</v>
      </c>
      <c r="CR19" s="38">
        <f t="shared" si="19"/>
        <v>1000</v>
      </c>
      <c r="CS19" s="32">
        <f t="shared" si="19"/>
        <v>0.24578116628079025</v>
      </c>
      <c r="CT19" s="38">
        <f t="shared" si="19"/>
        <v>1000</v>
      </c>
      <c r="CU19" s="32">
        <f t="shared" si="19"/>
        <v>0.24578116628079025</v>
      </c>
      <c r="CV19" s="38">
        <f t="shared" ref="CV19:CY19" si="32">CV15-CV17</f>
        <v>1000</v>
      </c>
      <c r="CW19" s="32">
        <f t="shared" si="32"/>
        <v>0.24578116628079025</v>
      </c>
      <c r="CX19" s="38">
        <f t="shared" si="32"/>
        <v>1000</v>
      </c>
      <c r="CY19" s="32">
        <f t="shared" si="32"/>
        <v>0.24578116628079025</v>
      </c>
      <c r="DA19" s="38">
        <f t="shared" ref="DA19:DB19" si="33">DA15-DA17</f>
        <v>1000</v>
      </c>
      <c r="DB19" s="32">
        <f t="shared" si="33"/>
        <v>0.24578116628079025</v>
      </c>
      <c r="DC19" s="38">
        <f t="shared" ref="DC19:DD19" si="34">DC15-DC17</f>
        <v>1000</v>
      </c>
      <c r="DD19" s="32">
        <f t="shared" si="34"/>
        <v>0.24578116628079025</v>
      </c>
      <c r="DE19" s="38">
        <f t="shared" ref="DE19:DF19" si="35">DE15-DE17</f>
        <v>1000</v>
      </c>
      <c r="DF19" s="32">
        <f t="shared" si="35"/>
        <v>0.24578116628079025</v>
      </c>
      <c r="DG19" s="38">
        <f t="shared" ref="DG19:DH19" si="36">DG15-DG17</f>
        <v>1000</v>
      </c>
      <c r="DH19" s="32">
        <f t="shared" si="36"/>
        <v>0.24578116628079025</v>
      </c>
      <c r="DI19" s="38">
        <f t="shared" ref="DI19:DJ19" si="37">DI15-DI17</f>
        <v>1000</v>
      </c>
      <c r="DJ19" s="32">
        <f t="shared" si="37"/>
        <v>0.24578116628079025</v>
      </c>
      <c r="DK19" s="38">
        <f t="shared" ref="DK19:DL19" si="38">DK15-DK17</f>
        <v>1000</v>
      </c>
      <c r="DL19" s="32">
        <f t="shared" si="38"/>
        <v>0.24578116628079025</v>
      </c>
      <c r="DM19" s="38">
        <f t="shared" ref="DM19:DN19" si="39">DM15-DM17</f>
        <v>1000</v>
      </c>
      <c r="DN19" s="32">
        <f t="shared" si="39"/>
        <v>0.24578116628079025</v>
      </c>
      <c r="DO19" s="38">
        <f t="shared" ref="DO19:DP19" si="40">DO15-DO17</f>
        <v>1000</v>
      </c>
      <c r="DP19" s="32">
        <f t="shared" si="40"/>
        <v>0.24578116628079025</v>
      </c>
      <c r="DR19" s="38">
        <f t="shared" ref="DR19:DU19" si="41">DR15-DR17</f>
        <v>1000</v>
      </c>
      <c r="DS19" s="32">
        <f t="shared" si="41"/>
        <v>0.24578116628079025</v>
      </c>
      <c r="DT19" s="38">
        <f t="shared" si="41"/>
        <v>1000</v>
      </c>
      <c r="DU19" s="32">
        <f t="shared" si="41"/>
        <v>0.24578116628079025</v>
      </c>
    </row>
    <row r="20" spans="1:125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CU20" si="42">1/(1+F18)*F16</f>
        <v>40000</v>
      </c>
      <c r="G20" s="40">
        <f t="shared" si="42"/>
        <v>9.8312466512316092</v>
      </c>
      <c r="H20" s="39">
        <f t="shared" si="42"/>
        <v>40000</v>
      </c>
      <c r="I20" s="40">
        <f t="shared" si="42"/>
        <v>9.8312466512316092</v>
      </c>
      <c r="J20" s="39">
        <f t="shared" si="42"/>
        <v>40000</v>
      </c>
      <c r="K20" s="40">
        <f t="shared" si="42"/>
        <v>9.8312466512316092</v>
      </c>
      <c r="L20" s="39">
        <f t="shared" si="42"/>
        <v>40000</v>
      </c>
      <c r="M20" s="40">
        <f t="shared" si="42"/>
        <v>9.8312466512316092</v>
      </c>
      <c r="N20" s="39">
        <f t="shared" si="42"/>
        <v>40000</v>
      </c>
      <c r="O20" s="40">
        <f t="shared" si="42"/>
        <v>9.8312466512316092</v>
      </c>
      <c r="P20" s="39">
        <f t="shared" si="42"/>
        <v>40000</v>
      </c>
      <c r="Q20" s="40">
        <f t="shared" si="42"/>
        <v>9.8312466512316092</v>
      </c>
      <c r="R20" s="39">
        <f t="shared" si="42"/>
        <v>40000</v>
      </c>
      <c r="S20" s="40">
        <f t="shared" si="42"/>
        <v>9.8312466512316092</v>
      </c>
      <c r="T20" s="39">
        <f t="shared" si="42"/>
        <v>40000</v>
      </c>
      <c r="U20" s="40">
        <f t="shared" si="42"/>
        <v>9.8312466512316092</v>
      </c>
      <c r="V20" s="39">
        <f t="shared" si="42"/>
        <v>40000</v>
      </c>
      <c r="W20" s="40">
        <f t="shared" si="42"/>
        <v>9.8312466512316092</v>
      </c>
      <c r="X20" s="39">
        <f t="shared" si="42"/>
        <v>40000</v>
      </c>
      <c r="Y20" s="40">
        <f t="shared" si="42"/>
        <v>9.8312466512316092</v>
      </c>
      <c r="Z20" s="39">
        <f t="shared" si="42"/>
        <v>40000</v>
      </c>
      <c r="AA20" s="40">
        <f t="shared" si="42"/>
        <v>9.8312466512316092</v>
      </c>
      <c r="AB20" s="39">
        <f t="shared" si="42"/>
        <v>40000</v>
      </c>
      <c r="AC20" s="40">
        <f t="shared" si="42"/>
        <v>9.8312466512316092</v>
      </c>
      <c r="AD20" s="39">
        <f t="shared" si="42"/>
        <v>40000</v>
      </c>
      <c r="AE20" s="40">
        <f t="shared" si="42"/>
        <v>9.8312466512316092</v>
      </c>
      <c r="AF20" s="39">
        <f t="shared" si="42"/>
        <v>40000</v>
      </c>
      <c r="AG20" s="40">
        <f t="shared" si="42"/>
        <v>9.8312466512316092</v>
      </c>
      <c r="AH20" s="39">
        <f t="shared" si="42"/>
        <v>40000</v>
      </c>
      <c r="AI20" s="40">
        <f t="shared" si="42"/>
        <v>9.8312466512316092</v>
      </c>
      <c r="AJ20" s="39">
        <f t="shared" si="42"/>
        <v>40000</v>
      </c>
      <c r="AK20" s="40">
        <f t="shared" si="42"/>
        <v>9.8312466512316092</v>
      </c>
      <c r="AL20" s="39">
        <f t="shared" si="42"/>
        <v>40000</v>
      </c>
      <c r="AM20" s="40">
        <f t="shared" si="42"/>
        <v>9.8312466512316092</v>
      </c>
      <c r="AN20" s="39">
        <f t="shared" si="42"/>
        <v>40000</v>
      </c>
      <c r="AO20" s="40">
        <f t="shared" si="42"/>
        <v>9.8312466512316092</v>
      </c>
      <c r="AP20" s="39">
        <f t="shared" si="42"/>
        <v>40000</v>
      </c>
      <c r="AQ20" s="40">
        <f t="shared" si="42"/>
        <v>9.8312466512316092</v>
      </c>
      <c r="AR20" s="39">
        <f t="shared" si="42"/>
        <v>40000</v>
      </c>
      <c r="AS20" s="40">
        <f t="shared" si="42"/>
        <v>9.8312466512316092</v>
      </c>
      <c r="AT20" s="39">
        <f t="shared" si="42"/>
        <v>40000</v>
      </c>
      <c r="AU20" s="40">
        <f t="shared" si="42"/>
        <v>9.8312466512316092</v>
      </c>
      <c r="AV20" s="39">
        <f t="shared" si="42"/>
        <v>40000</v>
      </c>
      <c r="AW20" s="40">
        <f t="shared" si="42"/>
        <v>9.8312466512316092</v>
      </c>
      <c r="AX20" s="39">
        <f t="shared" si="42"/>
        <v>40000</v>
      </c>
      <c r="AY20" s="40">
        <f t="shared" si="42"/>
        <v>9.8312466512316092</v>
      </c>
      <c r="AZ20" s="39">
        <f t="shared" si="42"/>
        <v>40000</v>
      </c>
      <c r="BA20" s="40">
        <f t="shared" si="42"/>
        <v>9.8312466512316092</v>
      </c>
      <c r="BB20" s="39">
        <f t="shared" si="42"/>
        <v>40000</v>
      </c>
      <c r="BC20" s="40">
        <f t="shared" si="42"/>
        <v>9.8312466512316092</v>
      </c>
      <c r="BD20" s="39">
        <f t="shared" si="42"/>
        <v>40000</v>
      </c>
      <c r="BE20" s="40">
        <f t="shared" si="42"/>
        <v>9.8312466512316092</v>
      </c>
      <c r="BF20" s="39">
        <f t="shared" ref="BF20:BG20" si="43">1/(1+BF18)*BF16</f>
        <v>40000</v>
      </c>
      <c r="BG20" s="40">
        <f t="shared" si="43"/>
        <v>9.8312466512316092</v>
      </c>
      <c r="BH20" s="39">
        <f>BI20*BH12</f>
        <v>40686.6</v>
      </c>
      <c r="BI20" s="40">
        <v>10</v>
      </c>
      <c r="BJ20" s="39">
        <f>BK20*BJ12</f>
        <v>40686.6</v>
      </c>
      <c r="BK20" s="40">
        <v>10</v>
      </c>
      <c r="BL20" s="39">
        <f>BM20*BL12</f>
        <v>40686.6</v>
      </c>
      <c r="BM20" s="40">
        <v>10</v>
      </c>
      <c r="BN20" s="39">
        <f>BO20*BN12</f>
        <v>40686.6</v>
      </c>
      <c r="BO20" s="40">
        <v>10</v>
      </c>
      <c r="BP20" s="39">
        <f>BQ20*BP12</f>
        <v>40686.6</v>
      </c>
      <c r="BQ20" s="40">
        <v>10</v>
      </c>
      <c r="BR20" s="39">
        <f>BS20*BR12</f>
        <v>40686.6</v>
      </c>
      <c r="BS20" s="40">
        <v>10</v>
      </c>
      <c r="BT20" s="39">
        <f>BU20*BT12</f>
        <v>40686.6</v>
      </c>
      <c r="BU20" s="40">
        <v>10</v>
      </c>
      <c r="BV20" s="39">
        <f>BW20*BV12</f>
        <v>40686.6</v>
      </c>
      <c r="BW20" s="40">
        <v>10</v>
      </c>
      <c r="BX20" s="39">
        <f>BY20*BX12</f>
        <v>40686.6</v>
      </c>
      <c r="BY20" s="40">
        <v>10</v>
      </c>
      <c r="BZ20" s="39">
        <f>CA20*BZ12</f>
        <v>40686.6</v>
      </c>
      <c r="CA20" s="40">
        <v>10</v>
      </c>
      <c r="CB20" s="39">
        <f>CC20*CB12</f>
        <v>40686.6</v>
      </c>
      <c r="CC20" s="40">
        <v>10</v>
      </c>
      <c r="CD20" s="39">
        <f>CE20*CD12</f>
        <v>40686.6</v>
      </c>
      <c r="CE20" s="40">
        <v>10</v>
      </c>
      <c r="CF20" s="620"/>
      <c r="CG20" s="620"/>
      <c r="CH20" s="620"/>
      <c r="CI20" s="620"/>
      <c r="CJ20" s="39">
        <f t="shared" si="42"/>
        <v>40000</v>
      </c>
      <c r="CK20" s="40">
        <f t="shared" si="42"/>
        <v>9.8312466512316092</v>
      </c>
      <c r="CL20" s="39">
        <f t="shared" si="42"/>
        <v>40000</v>
      </c>
      <c r="CM20" s="40">
        <f t="shared" si="42"/>
        <v>9.8312466512316092</v>
      </c>
      <c r="CN20" s="39">
        <f t="shared" si="42"/>
        <v>40000</v>
      </c>
      <c r="CO20" s="40">
        <f t="shared" si="42"/>
        <v>9.8312466512316092</v>
      </c>
      <c r="CP20" s="39">
        <f t="shared" si="42"/>
        <v>40000</v>
      </c>
      <c r="CQ20" s="40">
        <f t="shared" si="42"/>
        <v>9.8312466512316092</v>
      </c>
      <c r="CR20" s="39">
        <f t="shared" si="42"/>
        <v>40000</v>
      </c>
      <c r="CS20" s="40">
        <f t="shared" si="42"/>
        <v>9.8312466512316092</v>
      </c>
      <c r="CT20" s="39">
        <f t="shared" si="42"/>
        <v>40000</v>
      </c>
      <c r="CU20" s="40">
        <f t="shared" si="42"/>
        <v>9.8312466512316092</v>
      </c>
      <c r="CV20" s="39">
        <f t="shared" ref="CV20:CY20" si="44">1/(1+CV18)*CV16</f>
        <v>40000</v>
      </c>
      <c r="CW20" s="40">
        <f t="shared" si="44"/>
        <v>9.8312466512316092</v>
      </c>
      <c r="CX20" s="39">
        <f t="shared" si="44"/>
        <v>40000</v>
      </c>
      <c r="CY20" s="40">
        <f t="shared" si="44"/>
        <v>9.8312466512316092</v>
      </c>
      <c r="DA20" s="39">
        <f t="shared" ref="DA20:DB20" si="45">1/(1+DA18)*DA16</f>
        <v>40000</v>
      </c>
      <c r="DB20" s="40">
        <f t="shared" si="45"/>
        <v>9.8312466512316092</v>
      </c>
      <c r="DC20" s="39">
        <f>DD20*DC12</f>
        <v>40686.6</v>
      </c>
      <c r="DD20" s="40">
        <v>10</v>
      </c>
      <c r="DE20" s="39">
        <f>DF20*DE12</f>
        <v>40686.6</v>
      </c>
      <c r="DF20" s="40">
        <v>10</v>
      </c>
      <c r="DG20" s="39">
        <f>DH20*DG12</f>
        <v>40686.6</v>
      </c>
      <c r="DH20" s="40">
        <v>10</v>
      </c>
      <c r="DI20" s="39">
        <f>DJ20*DI12</f>
        <v>40686.6</v>
      </c>
      <c r="DJ20" s="40">
        <v>10</v>
      </c>
      <c r="DK20" s="39">
        <f>DL20*DK12</f>
        <v>40686.6</v>
      </c>
      <c r="DL20" s="40">
        <v>10</v>
      </c>
      <c r="DM20" s="39">
        <f>DN20*DM12</f>
        <v>40686.6</v>
      </c>
      <c r="DN20" s="40">
        <v>10</v>
      </c>
      <c r="DO20" s="39">
        <f>DP20*DO12</f>
        <v>40686.6</v>
      </c>
      <c r="DP20" s="40">
        <v>10</v>
      </c>
      <c r="DR20" s="39">
        <f>DS20*DR12</f>
        <v>40686.6</v>
      </c>
      <c r="DS20" s="40">
        <v>10</v>
      </c>
      <c r="DT20" s="39">
        <f>DU20*DT12</f>
        <v>40686.6</v>
      </c>
      <c r="DU20" s="40">
        <v>10</v>
      </c>
    </row>
    <row r="21" spans="1:125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352"/>
      <c r="AG21" s="358"/>
      <c r="AH21" s="352"/>
      <c r="AI21" s="358"/>
      <c r="AJ21" s="352"/>
      <c r="AK21" s="358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352"/>
      <c r="BY21" s="358"/>
      <c r="BZ21" s="352"/>
      <c r="CA21" s="358"/>
      <c r="CB21" s="352"/>
      <c r="CC21" s="358"/>
      <c r="CD21" s="352"/>
      <c r="CE21" s="358"/>
      <c r="CF21" s="620"/>
      <c r="CG21" s="620"/>
      <c r="CH21" s="620"/>
      <c r="CI21" s="620"/>
      <c r="CJ21" s="352"/>
      <c r="CK21" s="358"/>
      <c r="CL21" s="352"/>
      <c r="CM21" s="358"/>
      <c r="CN21" s="352"/>
      <c r="CO21" s="358"/>
      <c r="CP21" s="352"/>
      <c r="CQ21" s="358"/>
      <c r="CR21" s="352"/>
      <c r="CS21" s="358"/>
      <c r="CT21" s="352"/>
      <c r="CU21" s="358"/>
      <c r="CV21" s="352"/>
      <c r="CW21" s="358"/>
      <c r="CX21" s="352"/>
      <c r="CY21" s="358"/>
      <c r="DA21" s="352"/>
      <c r="DB21" s="358"/>
      <c r="DC21" s="352"/>
      <c r="DD21" s="358"/>
      <c r="DE21" s="352"/>
      <c r="DF21" s="358"/>
      <c r="DG21" s="352"/>
      <c r="DH21" s="358"/>
      <c r="DI21" s="352"/>
      <c r="DJ21" s="358"/>
      <c r="DK21" s="352"/>
      <c r="DL21" s="358"/>
      <c r="DM21" s="352"/>
      <c r="DN21" s="358"/>
      <c r="DO21" s="352"/>
      <c r="DP21" s="358"/>
      <c r="DR21" s="352"/>
      <c r="DS21" s="358"/>
      <c r="DT21" s="352"/>
      <c r="DU21" s="358"/>
    </row>
    <row r="22" spans="1:125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359"/>
      <c r="AG22" s="360"/>
      <c r="AH22" s="359"/>
      <c r="AI22" s="360"/>
      <c r="AJ22" s="359"/>
      <c r="AK22" s="360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359"/>
      <c r="BY22" s="360"/>
      <c r="BZ22" s="359"/>
      <c r="CA22" s="360"/>
      <c r="CB22" s="359"/>
      <c r="CC22" s="360"/>
      <c r="CD22" s="359"/>
      <c r="CE22" s="360"/>
      <c r="CF22" s="620"/>
      <c r="CG22" s="620"/>
      <c r="CH22" s="620"/>
      <c r="CI22" s="620"/>
      <c r="CJ22" s="359"/>
      <c r="CK22" s="360"/>
      <c r="CL22" s="359"/>
      <c r="CM22" s="360"/>
      <c r="CN22" s="359"/>
      <c r="CO22" s="360"/>
      <c r="CP22" s="359"/>
      <c r="CQ22" s="360"/>
      <c r="CR22" s="359"/>
      <c r="CS22" s="360"/>
      <c r="CT22" s="359"/>
      <c r="CU22" s="360"/>
      <c r="CV22" s="359"/>
      <c r="CW22" s="360"/>
      <c r="CX22" s="359"/>
      <c r="CY22" s="360"/>
      <c r="DA22" s="359"/>
      <c r="DB22" s="360"/>
      <c r="DC22" s="359"/>
      <c r="DD22" s="360"/>
      <c r="DE22" s="359"/>
      <c r="DF22" s="360"/>
      <c r="DG22" s="359"/>
      <c r="DH22" s="360"/>
      <c r="DI22" s="359"/>
      <c r="DJ22" s="360"/>
      <c r="DK22" s="359"/>
      <c r="DL22" s="360"/>
      <c r="DM22" s="359"/>
      <c r="DN22" s="360"/>
      <c r="DO22" s="359"/>
      <c r="DP22" s="360"/>
      <c r="DR22" s="359"/>
      <c r="DS22" s="360"/>
      <c r="DT22" s="359"/>
      <c r="DU22" s="360"/>
    </row>
    <row r="23" spans="1:125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CU23" si="46">F24/F20</f>
        <v>0.20152547500000009</v>
      </c>
      <c r="G23" s="48">
        <f t="shared" si="46"/>
        <v>0.20152547500000001</v>
      </c>
      <c r="H23" s="47">
        <f t="shared" si="46"/>
        <v>0.19589147499999998</v>
      </c>
      <c r="I23" s="48">
        <f t="shared" si="46"/>
        <v>0.19589147499999993</v>
      </c>
      <c r="J23" s="47">
        <f t="shared" si="46"/>
        <v>0.21678294999999997</v>
      </c>
      <c r="K23" s="48">
        <f t="shared" si="46"/>
        <v>0.21678294999999997</v>
      </c>
      <c r="L23" s="47">
        <f t="shared" si="46"/>
        <v>0.17499999999999999</v>
      </c>
      <c r="M23" s="48">
        <f t="shared" si="46"/>
        <v>0.17499999999999996</v>
      </c>
      <c r="N23" s="361">
        <f t="shared" si="46"/>
        <v>0.19589147499999998</v>
      </c>
      <c r="O23" s="362">
        <f t="shared" si="46"/>
        <v>0.19589147499999993</v>
      </c>
      <c r="P23" s="361">
        <f t="shared" si="46"/>
        <v>0.21678294999999997</v>
      </c>
      <c r="Q23" s="362">
        <f t="shared" si="46"/>
        <v>0.21678294999999997</v>
      </c>
      <c r="R23" s="361">
        <f t="shared" si="46"/>
        <v>0.17499999999999999</v>
      </c>
      <c r="S23" s="362">
        <f t="shared" si="46"/>
        <v>0.17499999999999996</v>
      </c>
      <c r="T23" s="361">
        <f t="shared" si="46"/>
        <v>0.19589147499999998</v>
      </c>
      <c r="U23" s="362">
        <f t="shared" si="46"/>
        <v>0.19589147499999993</v>
      </c>
      <c r="V23" s="361">
        <f t="shared" si="46"/>
        <v>0.19589147499999998</v>
      </c>
      <c r="W23" s="362">
        <f t="shared" si="46"/>
        <v>0.19589147499999993</v>
      </c>
      <c r="X23" s="361">
        <f t="shared" si="46"/>
        <v>0.19589147499999998</v>
      </c>
      <c r="Y23" s="362">
        <f t="shared" si="46"/>
        <v>0.19589147499999993</v>
      </c>
      <c r="Z23" s="361">
        <f t="shared" si="46"/>
        <v>0.19589147499999998</v>
      </c>
      <c r="AA23" s="362">
        <f t="shared" si="46"/>
        <v>0.19589147499999993</v>
      </c>
      <c r="AB23" s="361">
        <f t="shared" si="46"/>
        <v>0.19589147499999998</v>
      </c>
      <c r="AC23" s="362">
        <f t="shared" si="46"/>
        <v>0.19589147499999993</v>
      </c>
      <c r="AD23" s="361">
        <f t="shared" si="46"/>
        <v>0.19589147499999998</v>
      </c>
      <c r="AE23" s="362">
        <f t="shared" si="46"/>
        <v>0.19589147499999993</v>
      </c>
      <c r="AF23" s="361">
        <f t="shared" si="46"/>
        <v>0.19589147499999998</v>
      </c>
      <c r="AG23" s="362">
        <f t="shared" si="46"/>
        <v>0.19589147499999993</v>
      </c>
      <c r="AH23" s="361">
        <f t="shared" si="46"/>
        <v>0.19589147499999998</v>
      </c>
      <c r="AI23" s="362">
        <f t="shared" si="46"/>
        <v>0.19589147499999993</v>
      </c>
      <c r="AJ23" s="361">
        <f t="shared" si="46"/>
        <v>0.19589147499999998</v>
      </c>
      <c r="AK23" s="362">
        <f t="shared" si="46"/>
        <v>0.19589147499999993</v>
      </c>
      <c r="AL23" s="361">
        <f t="shared" si="46"/>
        <v>0.19589147499999998</v>
      </c>
      <c r="AM23" s="362">
        <f t="shared" si="46"/>
        <v>0.19589147499999993</v>
      </c>
      <c r="AN23" s="361">
        <f t="shared" si="46"/>
        <v>0.19589147499999998</v>
      </c>
      <c r="AO23" s="362">
        <f t="shared" si="46"/>
        <v>0.19589147499999993</v>
      </c>
      <c r="AP23" s="361">
        <f t="shared" si="46"/>
        <v>0.19589147499999998</v>
      </c>
      <c r="AQ23" s="362">
        <f t="shared" si="46"/>
        <v>0.19589147499999993</v>
      </c>
      <c r="AR23" s="361">
        <f t="shared" si="46"/>
        <v>0.19589147499999998</v>
      </c>
      <c r="AS23" s="362">
        <f t="shared" si="46"/>
        <v>0.19589147499999993</v>
      </c>
      <c r="AT23" s="361">
        <f t="shared" si="46"/>
        <v>0.19589147499999998</v>
      </c>
      <c r="AU23" s="362">
        <f t="shared" si="46"/>
        <v>0.19589147499999993</v>
      </c>
      <c r="AV23" s="361">
        <f t="shared" si="46"/>
        <v>0.19589147499999998</v>
      </c>
      <c r="AW23" s="362">
        <f t="shared" si="46"/>
        <v>0.19589147499999993</v>
      </c>
      <c r="AX23" s="361">
        <f t="shared" si="46"/>
        <v>0.19589147499999998</v>
      </c>
      <c r="AY23" s="362">
        <f t="shared" si="46"/>
        <v>0.19589147499999993</v>
      </c>
      <c r="AZ23" s="361">
        <f t="shared" si="46"/>
        <v>0.19589147499999998</v>
      </c>
      <c r="BA23" s="362">
        <f t="shared" si="46"/>
        <v>0.19589147499999993</v>
      </c>
      <c r="BB23" s="361">
        <f t="shared" si="46"/>
        <v>0.19589147499999998</v>
      </c>
      <c r="BC23" s="362">
        <f t="shared" si="46"/>
        <v>0.19589147499999993</v>
      </c>
      <c r="BD23" s="361">
        <f t="shared" si="46"/>
        <v>0.19589147499999998</v>
      </c>
      <c r="BE23" s="362">
        <f t="shared" si="46"/>
        <v>0.19589147499999993</v>
      </c>
      <c r="BF23" s="361">
        <f t="shared" ref="BF23:BG23" si="47">BF24/BF20</f>
        <v>0.19589147499999998</v>
      </c>
      <c r="BG23" s="362">
        <f t="shared" si="47"/>
        <v>0.19589147499999993</v>
      </c>
      <c r="BH23" s="361">
        <f t="shared" ref="BH23:BI23" si="48">BH24/BH20</f>
        <v>0.2</v>
      </c>
      <c r="BI23" s="362">
        <f t="shared" si="48"/>
        <v>0.2</v>
      </c>
      <c r="BJ23" s="361">
        <f t="shared" ref="BJ23:BK23" si="49">BJ24/BJ20</f>
        <v>0.2</v>
      </c>
      <c r="BK23" s="362">
        <f t="shared" si="49"/>
        <v>0.2</v>
      </c>
      <c r="BL23" s="361">
        <f t="shared" ref="BL23:BM23" si="50">BL24/BL20</f>
        <v>0.2</v>
      </c>
      <c r="BM23" s="362">
        <f t="shared" si="50"/>
        <v>0.2</v>
      </c>
      <c r="BN23" s="361">
        <f t="shared" ref="BN23:BO23" si="51">BN24/BN20</f>
        <v>0.2</v>
      </c>
      <c r="BO23" s="362">
        <f t="shared" si="51"/>
        <v>0.2</v>
      </c>
      <c r="BP23" s="361">
        <f t="shared" ref="BP23:BQ23" si="52">BP24/BP20</f>
        <v>0.2</v>
      </c>
      <c r="BQ23" s="362">
        <f t="shared" si="52"/>
        <v>0.2</v>
      </c>
      <c r="BR23" s="361">
        <f t="shared" ref="BR23:BS23" si="53">BR24/BR20</f>
        <v>0.2</v>
      </c>
      <c r="BS23" s="362">
        <f t="shared" si="53"/>
        <v>0.2</v>
      </c>
      <c r="BT23" s="361">
        <f t="shared" ref="BT23:BU23" si="54">BT24/BT20</f>
        <v>0.2</v>
      </c>
      <c r="BU23" s="362">
        <f t="shared" si="54"/>
        <v>0.2</v>
      </c>
      <c r="BV23" s="361">
        <f t="shared" ref="BV23:BW23" si="55">BV24/BV20</f>
        <v>0.2</v>
      </c>
      <c r="BW23" s="362">
        <f t="shared" si="55"/>
        <v>0.2</v>
      </c>
      <c r="BX23" s="361">
        <f t="shared" ref="BX23:BY23" si="56">BX24/BX20</f>
        <v>0.2</v>
      </c>
      <c r="BY23" s="362">
        <f t="shared" si="56"/>
        <v>0.2</v>
      </c>
      <c r="BZ23" s="361">
        <f t="shared" ref="BZ23:CC23" si="57">BZ24/BZ20</f>
        <v>0.2</v>
      </c>
      <c r="CA23" s="362">
        <f t="shared" si="57"/>
        <v>0.2</v>
      </c>
      <c r="CB23" s="361">
        <f t="shared" si="57"/>
        <v>0.2</v>
      </c>
      <c r="CC23" s="362">
        <f t="shared" si="57"/>
        <v>0.2</v>
      </c>
      <c r="CD23" s="361">
        <f t="shared" ref="CD23:CE23" si="58">CD24/CD20</f>
        <v>0.2</v>
      </c>
      <c r="CE23" s="362">
        <f t="shared" si="58"/>
        <v>0.2</v>
      </c>
      <c r="CF23" s="620"/>
      <c r="CG23" s="620"/>
      <c r="CH23" s="620"/>
      <c r="CI23" s="620"/>
      <c r="CJ23" s="361">
        <f t="shared" si="46"/>
        <v>0.19589147499999998</v>
      </c>
      <c r="CK23" s="362">
        <f t="shared" si="46"/>
        <v>0.19589147499999993</v>
      </c>
      <c r="CL23" s="361">
        <f t="shared" si="46"/>
        <v>0.19589147499999998</v>
      </c>
      <c r="CM23" s="362">
        <f t="shared" si="46"/>
        <v>0.19589147499999993</v>
      </c>
      <c r="CN23" s="361">
        <f t="shared" si="46"/>
        <v>0.19589147499999998</v>
      </c>
      <c r="CO23" s="362">
        <f t="shared" si="46"/>
        <v>0.19589147499999993</v>
      </c>
      <c r="CP23" s="361">
        <f t="shared" si="46"/>
        <v>0.19589147499999998</v>
      </c>
      <c r="CQ23" s="362">
        <f t="shared" si="46"/>
        <v>0.19589147499999993</v>
      </c>
      <c r="CR23" s="361">
        <f t="shared" si="46"/>
        <v>0.19589147499999998</v>
      </c>
      <c r="CS23" s="362">
        <f t="shared" si="46"/>
        <v>0.19589147499999993</v>
      </c>
      <c r="CT23" s="361">
        <f t="shared" si="46"/>
        <v>0.18626800000000002</v>
      </c>
      <c r="CU23" s="362">
        <f t="shared" si="46"/>
        <v>0.18626799999999999</v>
      </c>
      <c r="CV23" s="361">
        <f t="shared" ref="CV23:CY23" si="59">CV24/CV20</f>
        <v>0.17249667999999985</v>
      </c>
      <c r="CW23" s="362">
        <f t="shared" si="59"/>
        <v>0.17249667999999979</v>
      </c>
      <c r="CX23" s="361">
        <f t="shared" si="59"/>
        <v>0.1958914749999999</v>
      </c>
      <c r="CY23" s="362">
        <f t="shared" si="59"/>
        <v>0.19589147499999984</v>
      </c>
      <c r="DA23" s="361">
        <f t="shared" ref="DA23:DB23" si="60">DA24/DA20</f>
        <v>0.19589147499999998</v>
      </c>
      <c r="DB23" s="362">
        <f t="shared" si="60"/>
        <v>0.19589147499999993</v>
      </c>
      <c r="DC23" s="361">
        <f t="shared" ref="DC23:DD23" si="61">DC24/DC20</f>
        <v>0.2</v>
      </c>
      <c r="DD23" s="362">
        <f t="shared" si="61"/>
        <v>0.2</v>
      </c>
      <c r="DE23" s="361">
        <f t="shared" ref="DE23:DF23" si="62">DE24/DE20</f>
        <v>0.2</v>
      </c>
      <c r="DF23" s="362">
        <f t="shared" si="62"/>
        <v>0.2</v>
      </c>
      <c r="DG23" s="361">
        <f t="shared" ref="DG23:DH23" si="63">DG24/DG20</f>
        <v>0.2</v>
      </c>
      <c r="DH23" s="362">
        <f t="shared" si="63"/>
        <v>0.2</v>
      </c>
      <c r="DI23" s="361">
        <f t="shared" ref="DI23:DJ23" si="64">DI24/DI20</f>
        <v>0.2</v>
      </c>
      <c r="DJ23" s="362">
        <f t="shared" si="64"/>
        <v>0.2</v>
      </c>
      <c r="DK23" s="361">
        <f t="shared" ref="DK23:DL23" si="65">DK24/DK20</f>
        <v>0.2</v>
      </c>
      <c r="DL23" s="362">
        <f t="shared" si="65"/>
        <v>0.2</v>
      </c>
      <c r="DM23" s="361">
        <f t="shared" ref="DM23:DN23" si="66">DM24/DM20</f>
        <v>0.2</v>
      </c>
      <c r="DN23" s="362">
        <f t="shared" si="66"/>
        <v>0.2</v>
      </c>
      <c r="DO23" s="361">
        <f t="shared" ref="DO23:DP23" si="67">DO24/DO20</f>
        <v>0.2</v>
      </c>
      <c r="DP23" s="362">
        <f t="shared" si="67"/>
        <v>0.2</v>
      </c>
      <c r="DR23" s="361">
        <f t="shared" ref="DR23:DU23" si="68">DR24/DR20</f>
        <v>0.2</v>
      </c>
      <c r="DS23" s="362">
        <f t="shared" si="68"/>
        <v>0.2</v>
      </c>
      <c r="DT23" s="361">
        <f t="shared" si="68"/>
        <v>0.2</v>
      </c>
      <c r="DU23" s="362">
        <f t="shared" si="68"/>
        <v>0.2</v>
      </c>
    </row>
    <row r="24" spans="1:125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CU24" si="69">F20-F26</f>
        <v>8061.0190000000039</v>
      </c>
      <c r="G24" s="24">
        <f t="shared" si="69"/>
        <v>1.9812466512316096</v>
      </c>
      <c r="H24" s="50">
        <f t="shared" si="69"/>
        <v>7835.6589999999997</v>
      </c>
      <c r="I24" s="24">
        <f t="shared" si="69"/>
        <v>1.9258574075985697</v>
      </c>
      <c r="J24" s="50">
        <f t="shared" si="69"/>
        <v>8671.3179999999993</v>
      </c>
      <c r="K24" s="24">
        <f t="shared" si="69"/>
        <v>2.1312466512316091</v>
      </c>
      <c r="L24" s="50">
        <f t="shared" si="69"/>
        <v>7000</v>
      </c>
      <c r="M24" s="24">
        <f t="shared" si="69"/>
        <v>1.7204681639655313</v>
      </c>
      <c r="N24" s="363">
        <f t="shared" si="69"/>
        <v>7835.6589999999997</v>
      </c>
      <c r="O24" s="351">
        <f t="shared" si="69"/>
        <v>1.9258574075985697</v>
      </c>
      <c r="P24" s="363">
        <f t="shared" si="69"/>
        <v>8671.3179999999993</v>
      </c>
      <c r="Q24" s="351">
        <f t="shared" si="69"/>
        <v>2.1312466512316091</v>
      </c>
      <c r="R24" s="363">
        <f t="shared" si="69"/>
        <v>7000</v>
      </c>
      <c r="S24" s="351">
        <f t="shared" si="69"/>
        <v>1.7204681639655313</v>
      </c>
      <c r="T24" s="363">
        <f t="shared" si="69"/>
        <v>7835.6589999999997</v>
      </c>
      <c r="U24" s="351">
        <f t="shared" si="69"/>
        <v>1.9258574075985697</v>
      </c>
      <c r="V24" s="363">
        <f t="shared" si="69"/>
        <v>7835.6589999999997</v>
      </c>
      <c r="W24" s="351">
        <f t="shared" si="69"/>
        <v>1.9258574075985697</v>
      </c>
      <c r="X24" s="363">
        <f t="shared" si="69"/>
        <v>7835.6589999999997</v>
      </c>
      <c r="Y24" s="351">
        <f t="shared" si="69"/>
        <v>1.9258574075985697</v>
      </c>
      <c r="Z24" s="363">
        <f t="shared" si="69"/>
        <v>7835.6589999999997</v>
      </c>
      <c r="AA24" s="351">
        <f t="shared" si="69"/>
        <v>1.9258574075985697</v>
      </c>
      <c r="AB24" s="363">
        <f t="shared" si="69"/>
        <v>7835.6589999999997</v>
      </c>
      <c r="AC24" s="351">
        <f t="shared" si="69"/>
        <v>1.9258574075985697</v>
      </c>
      <c r="AD24" s="363">
        <f t="shared" si="69"/>
        <v>7835.6589999999997</v>
      </c>
      <c r="AE24" s="351">
        <f t="shared" si="69"/>
        <v>1.9258574075985697</v>
      </c>
      <c r="AF24" s="363">
        <f t="shared" si="69"/>
        <v>7835.6589999999997</v>
      </c>
      <c r="AG24" s="351">
        <f t="shared" si="69"/>
        <v>1.9258574075985697</v>
      </c>
      <c r="AH24" s="363">
        <f t="shared" si="69"/>
        <v>7835.6589999999997</v>
      </c>
      <c r="AI24" s="351">
        <f t="shared" si="69"/>
        <v>1.9258574075985697</v>
      </c>
      <c r="AJ24" s="363">
        <f t="shared" si="69"/>
        <v>7835.6589999999997</v>
      </c>
      <c r="AK24" s="351">
        <f t="shared" si="69"/>
        <v>1.9258574075985697</v>
      </c>
      <c r="AL24" s="363">
        <f t="shared" si="69"/>
        <v>7835.6589999999997</v>
      </c>
      <c r="AM24" s="351">
        <f t="shared" si="69"/>
        <v>1.9258574075985697</v>
      </c>
      <c r="AN24" s="363">
        <f t="shared" si="69"/>
        <v>7835.6589999999997</v>
      </c>
      <c r="AO24" s="351">
        <f t="shared" si="69"/>
        <v>1.9258574075985697</v>
      </c>
      <c r="AP24" s="363">
        <f t="shared" si="69"/>
        <v>7835.6589999999997</v>
      </c>
      <c r="AQ24" s="351">
        <f t="shared" si="69"/>
        <v>1.9258574075985697</v>
      </c>
      <c r="AR24" s="363">
        <f t="shared" si="69"/>
        <v>7835.6589999999997</v>
      </c>
      <c r="AS24" s="351">
        <f t="shared" si="69"/>
        <v>1.9258574075985697</v>
      </c>
      <c r="AT24" s="363">
        <f t="shared" si="69"/>
        <v>7835.6589999999997</v>
      </c>
      <c r="AU24" s="351">
        <f t="shared" si="69"/>
        <v>1.9258574075985697</v>
      </c>
      <c r="AV24" s="363">
        <f t="shared" si="69"/>
        <v>7835.6589999999997</v>
      </c>
      <c r="AW24" s="351">
        <f t="shared" si="69"/>
        <v>1.9258574075985697</v>
      </c>
      <c r="AX24" s="363">
        <f t="shared" si="69"/>
        <v>7835.6589999999997</v>
      </c>
      <c r="AY24" s="351">
        <f t="shared" si="69"/>
        <v>1.9258574075985697</v>
      </c>
      <c r="AZ24" s="363">
        <f t="shared" si="69"/>
        <v>7835.6589999999997</v>
      </c>
      <c r="BA24" s="351">
        <f t="shared" si="69"/>
        <v>1.9258574075985697</v>
      </c>
      <c r="BB24" s="363">
        <f t="shared" si="69"/>
        <v>7835.6589999999997</v>
      </c>
      <c r="BC24" s="351">
        <f t="shared" si="69"/>
        <v>1.9258574075985697</v>
      </c>
      <c r="BD24" s="363">
        <f t="shared" si="69"/>
        <v>7835.6589999999997</v>
      </c>
      <c r="BE24" s="351">
        <f t="shared" si="69"/>
        <v>1.9258574075985697</v>
      </c>
      <c r="BF24" s="363">
        <f t="shared" ref="BF24:BG24" si="70">BF20-BF26</f>
        <v>7835.6589999999997</v>
      </c>
      <c r="BG24" s="351">
        <f t="shared" si="70"/>
        <v>1.9258574075985697</v>
      </c>
      <c r="BH24" s="363">
        <f t="shared" ref="BH24:BI24" si="71">BH20-BH26</f>
        <v>8137.32</v>
      </c>
      <c r="BI24" s="351">
        <f t="shared" si="71"/>
        <v>2</v>
      </c>
      <c r="BJ24" s="363">
        <f t="shared" ref="BJ24:BK24" si="72">BJ20-BJ26</f>
        <v>8137.32</v>
      </c>
      <c r="BK24" s="351">
        <f t="shared" si="72"/>
        <v>2</v>
      </c>
      <c r="BL24" s="363">
        <f t="shared" ref="BL24:BM24" si="73">BL20-BL26</f>
        <v>8137.32</v>
      </c>
      <c r="BM24" s="351">
        <f t="shared" si="73"/>
        <v>2</v>
      </c>
      <c r="BN24" s="363">
        <f t="shared" ref="BN24:BO24" si="74">BN20-BN26</f>
        <v>8137.32</v>
      </c>
      <c r="BO24" s="351">
        <f t="shared" si="74"/>
        <v>2</v>
      </c>
      <c r="BP24" s="363">
        <f t="shared" ref="BP24:BQ24" si="75">BP20-BP26</f>
        <v>8137.32</v>
      </c>
      <c r="BQ24" s="351">
        <f t="shared" si="75"/>
        <v>2</v>
      </c>
      <c r="BR24" s="363">
        <f t="shared" ref="BR24:BS24" si="76">BR20-BR26</f>
        <v>8137.32</v>
      </c>
      <c r="BS24" s="351">
        <f t="shared" si="76"/>
        <v>2</v>
      </c>
      <c r="BT24" s="363">
        <f t="shared" ref="BT24:BU24" si="77">BT20-BT26</f>
        <v>8137.32</v>
      </c>
      <c r="BU24" s="351">
        <f t="shared" si="77"/>
        <v>2</v>
      </c>
      <c r="BV24" s="363">
        <f t="shared" ref="BV24:BW24" si="78">BV20-BV26</f>
        <v>8137.32</v>
      </c>
      <c r="BW24" s="351">
        <f t="shared" si="78"/>
        <v>2</v>
      </c>
      <c r="BX24" s="363">
        <f t="shared" ref="BX24:BY24" si="79">BX20-BX26</f>
        <v>8137.32</v>
      </c>
      <c r="BY24" s="351">
        <f t="shared" si="79"/>
        <v>2</v>
      </c>
      <c r="BZ24" s="363">
        <f t="shared" ref="BZ24:CC24" si="80">BZ20-BZ26</f>
        <v>8137.32</v>
      </c>
      <c r="CA24" s="351">
        <f t="shared" si="80"/>
        <v>2</v>
      </c>
      <c r="CB24" s="363">
        <f t="shared" si="80"/>
        <v>8137.32</v>
      </c>
      <c r="CC24" s="351">
        <f t="shared" si="80"/>
        <v>2</v>
      </c>
      <c r="CD24" s="363">
        <f t="shared" ref="CD24:CE24" si="81">CD20-CD26</f>
        <v>8137.32</v>
      </c>
      <c r="CE24" s="351">
        <f t="shared" si="81"/>
        <v>2</v>
      </c>
      <c r="CF24" s="620"/>
      <c r="CG24" s="620"/>
      <c r="CH24" s="620"/>
      <c r="CI24" s="620"/>
      <c r="CJ24" s="363">
        <f t="shared" si="69"/>
        <v>7835.6589999999997</v>
      </c>
      <c r="CK24" s="351">
        <f t="shared" si="69"/>
        <v>1.9258574075985697</v>
      </c>
      <c r="CL24" s="363">
        <f t="shared" si="69"/>
        <v>7835.6589999999997</v>
      </c>
      <c r="CM24" s="351">
        <f t="shared" si="69"/>
        <v>1.9258574075985697</v>
      </c>
      <c r="CN24" s="363">
        <f t="shared" si="69"/>
        <v>7835.6589999999997</v>
      </c>
      <c r="CO24" s="351">
        <f t="shared" si="69"/>
        <v>1.9258574075985697</v>
      </c>
      <c r="CP24" s="363">
        <f t="shared" si="69"/>
        <v>7835.6589999999997</v>
      </c>
      <c r="CQ24" s="351">
        <f t="shared" si="69"/>
        <v>1.9258574075985697</v>
      </c>
      <c r="CR24" s="363">
        <f t="shared" si="69"/>
        <v>7835.6589999999997</v>
      </c>
      <c r="CS24" s="351">
        <f t="shared" si="69"/>
        <v>1.9258574075985697</v>
      </c>
      <c r="CT24" s="363">
        <f t="shared" si="69"/>
        <v>7450.7200000000012</v>
      </c>
      <c r="CU24" s="351">
        <f t="shared" si="69"/>
        <v>1.8312466512316092</v>
      </c>
      <c r="CV24" s="363">
        <f t="shared" ref="CV24:CY24" si="82">CV20-CV26</f>
        <v>6899.8671999999933</v>
      </c>
      <c r="CW24" s="351">
        <f t="shared" si="82"/>
        <v>1.6958574075985684</v>
      </c>
      <c r="CX24" s="363">
        <f t="shared" si="82"/>
        <v>7835.658999999996</v>
      </c>
      <c r="CY24" s="351">
        <f t="shared" si="82"/>
        <v>1.9258574075985688</v>
      </c>
      <c r="DA24" s="363">
        <f t="shared" ref="DA24:DB24" si="83">DA20-DA26</f>
        <v>7835.6589999999997</v>
      </c>
      <c r="DB24" s="351">
        <f t="shared" si="83"/>
        <v>1.9258574075985697</v>
      </c>
      <c r="DC24" s="363">
        <f t="shared" ref="DC24:DD24" si="84">DC20-DC26</f>
        <v>8137.32</v>
      </c>
      <c r="DD24" s="351">
        <f t="shared" si="84"/>
        <v>2</v>
      </c>
      <c r="DE24" s="363">
        <f t="shared" ref="DE24:DF24" si="85">DE20-DE26</f>
        <v>8137.32</v>
      </c>
      <c r="DF24" s="351">
        <f t="shared" si="85"/>
        <v>2</v>
      </c>
      <c r="DG24" s="363">
        <f t="shared" ref="DG24:DH24" si="86">DG20-DG26</f>
        <v>8137.32</v>
      </c>
      <c r="DH24" s="351">
        <f t="shared" si="86"/>
        <v>2</v>
      </c>
      <c r="DI24" s="363">
        <f t="shared" ref="DI24:DJ24" si="87">DI20-DI26</f>
        <v>8137.32</v>
      </c>
      <c r="DJ24" s="351">
        <f t="shared" si="87"/>
        <v>2</v>
      </c>
      <c r="DK24" s="363">
        <f t="shared" ref="DK24:DL24" si="88">DK20-DK26</f>
        <v>8137.32</v>
      </c>
      <c r="DL24" s="351">
        <f t="shared" si="88"/>
        <v>2</v>
      </c>
      <c r="DM24" s="363">
        <f t="shared" ref="DM24:DN24" si="89">DM20-DM26</f>
        <v>8137.32</v>
      </c>
      <c r="DN24" s="351">
        <f t="shared" si="89"/>
        <v>2</v>
      </c>
      <c r="DO24" s="363">
        <f t="shared" ref="DO24:DP24" si="90">DO20-DO26</f>
        <v>8137.32</v>
      </c>
      <c r="DP24" s="351">
        <f t="shared" si="90"/>
        <v>2</v>
      </c>
      <c r="DR24" s="363">
        <f t="shared" ref="DR24:DU24" si="91">DR20-DR26</f>
        <v>8137.32</v>
      </c>
      <c r="DS24" s="351">
        <f t="shared" si="91"/>
        <v>2</v>
      </c>
      <c r="DT24" s="363">
        <f t="shared" si="91"/>
        <v>8137.32</v>
      </c>
      <c r="DU24" s="351">
        <f t="shared" si="91"/>
        <v>2</v>
      </c>
    </row>
    <row r="25" spans="1:125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DO25" si="92">F26</f>
        <v>31938.980999999996</v>
      </c>
      <c r="G25" s="55">
        <f t="shared" si="92"/>
        <v>7.85</v>
      </c>
      <c r="H25" s="54">
        <f t="shared" si="92"/>
        <v>32164.341</v>
      </c>
      <c r="I25" s="55">
        <f t="shared" si="92"/>
        <v>7.9053892436330395</v>
      </c>
      <c r="J25" s="54">
        <f t="shared" si="92"/>
        <v>31328.682000000001</v>
      </c>
      <c r="K25" s="55">
        <f t="shared" si="92"/>
        <v>7.7</v>
      </c>
      <c r="L25" s="54">
        <f t="shared" si="92"/>
        <v>33000</v>
      </c>
      <c r="M25" s="55">
        <f t="shared" si="92"/>
        <v>8.110778487266078</v>
      </c>
      <c r="N25" s="54">
        <f t="shared" si="92"/>
        <v>32164.341</v>
      </c>
      <c r="O25" s="55">
        <f t="shared" si="92"/>
        <v>7.9053892436330395</v>
      </c>
      <c r="P25" s="54">
        <f t="shared" si="92"/>
        <v>31328.682000000001</v>
      </c>
      <c r="Q25" s="55">
        <f t="shared" si="92"/>
        <v>7.7</v>
      </c>
      <c r="R25" s="54">
        <f t="shared" si="92"/>
        <v>33000</v>
      </c>
      <c r="S25" s="55">
        <f t="shared" si="92"/>
        <v>8.110778487266078</v>
      </c>
      <c r="T25" s="54">
        <f t="shared" si="92"/>
        <v>32164.341</v>
      </c>
      <c r="U25" s="55">
        <f t="shared" si="92"/>
        <v>7.9053892436330395</v>
      </c>
      <c r="V25" s="54">
        <f t="shared" si="92"/>
        <v>32164.341</v>
      </c>
      <c r="W25" s="55">
        <f t="shared" si="92"/>
        <v>7.9053892436330395</v>
      </c>
      <c r="X25" s="54">
        <f t="shared" si="92"/>
        <v>32164.341</v>
      </c>
      <c r="Y25" s="55">
        <f t="shared" si="92"/>
        <v>7.9053892436330395</v>
      </c>
      <c r="Z25" s="54">
        <f t="shared" si="92"/>
        <v>32164.341</v>
      </c>
      <c r="AA25" s="55">
        <f t="shared" si="92"/>
        <v>7.9053892436330395</v>
      </c>
      <c r="AB25" s="54">
        <f t="shared" si="92"/>
        <v>32164.341</v>
      </c>
      <c r="AC25" s="55">
        <f t="shared" si="92"/>
        <v>7.9053892436330395</v>
      </c>
      <c r="AD25" s="54">
        <f t="shared" si="92"/>
        <v>32164.341</v>
      </c>
      <c r="AE25" s="55">
        <f t="shared" si="92"/>
        <v>7.9053892436330395</v>
      </c>
      <c r="AF25" s="54">
        <f t="shared" si="92"/>
        <v>32164.341</v>
      </c>
      <c r="AG25" s="55">
        <f t="shared" si="92"/>
        <v>7.9053892436330395</v>
      </c>
      <c r="AH25" s="54">
        <f t="shared" si="92"/>
        <v>32164.341</v>
      </c>
      <c r="AI25" s="55">
        <f t="shared" si="92"/>
        <v>7.9053892436330395</v>
      </c>
      <c r="AJ25" s="54">
        <f t="shared" si="92"/>
        <v>32164.341</v>
      </c>
      <c r="AK25" s="55">
        <f t="shared" si="92"/>
        <v>7.9053892436330395</v>
      </c>
      <c r="AL25" s="54">
        <f t="shared" si="92"/>
        <v>32164.341</v>
      </c>
      <c r="AM25" s="55">
        <f t="shared" si="92"/>
        <v>7.9053892436330395</v>
      </c>
      <c r="AN25" s="54">
        <f t="shared" si="92"/>
        <v>32164.341</v>
      </c>
      <c r="AO25" s="55">
        <f t="shared" si="92"/>
        <v>7.9053892436330395</v>
      </c>
      <c r="AP25" s="54">
        <f t="shared" si="92"/>
        <v>32164.341</v>
      </c>
      <c r="AQ25" s="55">
        <f t="shared" si="92"/>
        <v>7.9053892436330395</v>
      </c>
      <c r="AR25" s="54">
        <f t="shared" si="92"/>
        <v>32164.341</v>
      </c>
      <c r="AS25" s="55">
        <f t="shared" si="92"/>
        <v>7.9053892436330395</v>
      </c>
      <c r="AT25" s="54">
        <f t="shared" si="92"/>
        <v>32164.341</v>
      </c>
      <c r="AU25" s="55">
        <f t="shared" si="92"/>
        <v>7.9053892436330395</v>
      </c>
      <c r="AV25" s="54">
        <f t="shared" si="92"/>
        <v>32164.341</v>
      </c>
      <c r="AW25" s="55">
        <f t="shared" si="92"/>
        <v>7.9053892436330395</v>
      </c>
      <c r="AX25" s="54">
        <f t="shared" si="92"/>
        <v>32164.341</v>
      </c>
      <c r="AY25" s="55">
        <f t="shared" si="92"/>
        <v>7.9053892436330395</v>
      </c>
      <c r="AZ25" s="54">
        <f t="shared" si="92"/>
        <v>32164.341</v>
      </c>
      <c r="BA25" s="55">
        <f t="shared" si="92"/>
        <v>7.9053892436330395</v>
      </c>
      <c r="BB25" s="54">
        <f t="shared" si="92"/>
        <v>32164.341</v>
      </c>
      <c r="BC25" s="55">
        <f t="shared" si="92"/>
        <v>7.9053892436330395</v>
      </c>
      <c r="BD25" s="54">
        <f t="shared" si="92"/>
        <v>32164.341</v>
      </c>
      <c r="BE25" s="55">
        <f t="shared" si="92"/>
        <v>7.9053892436330395</v>
      </c>
      <c r="BF25" s="54">
        <f t="shared" si="92"/>
        <v>32164.341</v>
      </c>
      <c r="BG25" s="55">
        <f t="shared" si="92"/>
        <v>7.9053892436330395</v>
      </c>
      <c r="BH25" s="54">
        <f t="shared" si="92"/>
        <v>32549.279999999999</v>
      </c>
      <c r="BI25" s="55">
        <f t="shared" si="92"/>
        <v>8</v>
      </c>
      <c r="BJ25" s="54">
        <f t="shared" si="92"/>
        <v>32549.279999999999</v>
      </c>
      <c r="BK25" s="55">
        <f t="shared" si="92"/>
        <v>8</v>
      </c>
      <c r="BL25" s="54">
        <f t="shared" si="92"/>
        <v>32549.279999999999</v>
      </c>
      <c r="BM25" s="55">
        <f t="shared" si="92"/>
        <v>8</v>
      </c>
      <c r="BN25" s="54">
        <f t="shared" si="92"/>
        <v>32549.279999999999</v>
      </c>
      <c r="BO25" s="55">
        <f t="shared" si="92"/>
        <v>8</v>
      </c>
      <c r="BP25" s="54">
        <f t="shared" si="92"/>
        <v>32549.279999999999</v>
      </c>
      <c r="BQ25" s="55">
        <f t="shared" si="92"/>
        <v>8</v>
      </c>
      <c r="BR25" s="54">
        <f t="shared" si="92"/>
        <v>32549.279999999999</v>
      </c>
      <c r="BS25" s="55">
        <f t="shared" si="92"/>
        <v>8</v>
      </c>
      <c r="BT25" s="54">
        <f t="shared" si="92"/>
        <v>32549.279999999999</v>
      </c>
      <c r="BU25" s="55">
        <f t="shared" si="92"/>
        <v>8</v>
      </c>
      <c r="BV25" s="54">
        <f t="shared" si="92"/>
        <v>32549.279999999999</v>
      </c>
      <c r="BW25" s="55">
        <f t="shared" si="92"/>
        <v>8</v>
      </c>
      <c r="BX25" s="54">
        <f t="shared" si="92"/>
        <v>32549.279999999999</v>
      </c>
      <c r="BY25" s="55">
        <f t="shared" si="92"/>
        <v>8</v>
      </c>
      <c r="BZ25" s="54">
        <f t="shared" si="92"/>
        <v>32549.279999999999</v>
      </c>
      <c r="CA25" s="55">
        <f t="shared" si="92"/>
        <v>8</v>
      </c>
      <c r="CB25" s="54">
        <f t="shared" si="92"/>
        <v>32549.279999999999</v>
      </c>
      <c r="CC25" s="55">
        <f t="shared" si="92"/>
        <v>8</v>
      </c>
      <c r="CD25" s="54">
        <f t="shared" si="92"/>
        <v>32549.279999999999</v>
      </c>
      <c r="CE25" s="55">
        <f t="shared" si="92"/>
        <v>8</v>
      </c>
      <c r="CF25" s="620"/>
      <c r="CG25" s="620"/>
      <c r="CH25" s="620"/>
      <c r="CI25" s="620"/>
      <c r="CJ25" s="54">
        <f t="shared" si="92"/>
        <v>32164.341</v>
      </c>
      <c r="CK25" s="55">
        <f t="shared" si="92"/>
        <v>7.9053892436330395</v>
      </c>
      <c r="CL25" s="54">
        <f t="shared" si="92"/>
        <v>32164.341</v>
      </c>
      <c r="CM25" s="55">
        <f t="shared" si="92"/>
        <v>7.9053892436330395</v>
      </c>
      <c r="CN25" s="54">
        <f t="shared" si="92"/>
        <v>32164.341</v>
      </c>
      <c r="CO25" s="55">
        <f t="shared" si="92"/>
        <v>7.9053892436330395</v>
      </c>
      <c r="CP25" s="54">
        <f t="shared" si="92"/>
        <v>32164.341</v>
      </c>
      <c r="CQ25" s="55">
        <f t="shared" si="92"/>
        <v>7.9053892436330395</v>
      </c>
      <c r="CR25" s="54">
        <f>CR26</f>
        <v>32164.341</v>
      </c>
      <c r="CS25" s="55">
        <f>CS26</f>
        <v>7.9053892436330395</v>
      </c>
      <c r="CT25" s="54">
        <f t="shared" si="92"/>
        <v>32549.279999999999</v>
      </c>
      <c r="CU25" s="55">
        <f t="shared" si="92"/>
        <v>8</v>
      </c>
      <c r="CV25" s="54">
        <f t="shared" si="92"/>
        <v>33100.132800000007</v>
      </c>
      <c r="CW25" s="55">
        <f t="shared" si="92"/>
        <v>8.1353892436330408</v>
      </c>
      <c r="CX25" s="54">
        <f t="shared" si="92"/>
        <v>32164.341000000004</v>
      </c>
      <c r="CY25" s="55">
        <f t="shared" si="92"/>
        <v>7.9053892436330404</v>
      </c>
      <c r="DA25" s="54">
        <f t="shared" si="92"/>
        <v>32164.341</v>
      </c>
      <c r="DB25" s="55">
        <f t="shared" ref="DB25:DP25" si="93">DB26</f>
        <v>7.9053892436330395</v>
      </c>
      <c r="DC25" s="54">
        <f t="shared" si="92"/>
        <v>32549.279999999999</v>
      </c>
      <c r="DD25" s="55">
        <v>8</v>
      </c>
      <c r="DE25" s="54">
        <f t="shared" si="92"/>
        <v>32549.279999999999</v>
      </c>
      <c r="DF25" s="55">
        <f t="shared" si="93"/>
        <v>8</v>
      </c>
      <c r="DG25" s="54">
        <f t="shared" si="92"/>
        <v>32549.279999999999</v>
      </c>
      <c r="DH25" s="55">
        <f t="shared" si="93"/>
        <v>8</v>
      </c>
      <c r="DI25" s="54">
        <f t="shared" si="92"/>
        <v>32549.279999999999</v>
      </c>
      <c r="DJ25" s="55">
        <f t="shared" si="93"/>
        <v>8</v>
      </c>
      <c r="DK25" s="54">
        <f t="shared" si="92"/>
        <v>32549.279999999999</v>
      </c>
      <c r="DL25" s="55">
        <f t="shared" si="93"/>
        <v>8</v>
      </c>
      <c r="DM25" s="54">
        <f t="shared" si="92"/>
        <v>32549.279999999999</v>
      </c>
      <c r="DN25" s="55">
        <f t="shared" si="93"/>
        <v>8</v>
      </c>
      <c r="DO25" s="54">
        <f t="shared" si="92"/>
        <v>32549.279999999999</v>
      </c>
      <c r="DP25" s="55">
        <f t="shared" si="93"/>
        <v>8</v>
      </c>
      <c r="DR25" s="54">
        <f t="shared" ref="DR25:DU25" si="94">DR26</f>
        <v>32549.279999999999</v>
      </c>
      <c r="DS25" s="55">
        <f t="shared" si="94"/>
        <v>8</v>
      </c>
      <c r="DT25" s="54">
        <f t="shared" si="94"/>
        <v>32549.279999999999</v>
      </c>
      <c r="DU25" s="55">
        <f t="shared" si="94"/>
        <v>8</v>
      </c>
    </row>
    <row r="26" spans="1:125" s="4" customFormat="1" ht="18" customHeight="1" x14ac:dyDescent="0.45">
      <c r="A26" s="561"/>
      <c r="B26" s="1187"/>
      <c r="C26" s="56" t="s">
        <v>40</v>
      </c>
      <c r="D26" s="52"/>
      <c r="E26" s="53"/>
      <c r="F26" s="54">
        <f>7.85*F12</f>
        <v>31938.980999999996</v>
      </c>
      <c r="G26" s="57">
        <f>+F26/F12</f>
        <v>7.85</v>
      </c>
      <c r="H26" s="54">
        <f>AVERAGE(J26,L26)</f>
        <v>32164.341</v>
      </c>
      <c r="I26" s="57">
        <f>+H26/H12</f>
        <v>7.9053892436330395</v>
      </c>
      <c r="J26" s="54">
        <f>J12*7.7</f>
        <v>31328.682000000001</v>
      </c>
      <c r="K26" s="57">
        <f>+J26/J12</f>
        <v>7.7</v>
      </c>
      <c r="L26" s="54">
        <v>33000</v>
      </c>
      <c r="M26" s="57">
        <f>+L26/L12</f>
        <v>8.110778487266078</v>
      </c>
      <c r="N26" s="54">
        <f>AVERAGE(P26,R26)</f>
        <v>32164.341</v>
      </c>
      <c r="O26" s="57">
        <f>+N26/N12</f>
        <v>7.9053892436330395</v>
      </c>
      <c r="P26" s="54">
        <f>P12*7.7</f>
        <v>31328.682000000001</v>
      </c>
      <c r="Q26" s="57">
        <f>+P26/P12</f>
        <v>7.7</v>
      </c>
      <c r="R26" s="54">
        <v>33000</v>
      </c>
      <c r="S26" s="57">
        <f>+R26/R12</f>
        <v>8.110778487266078</v>
      </c>
      <c r="T26" s="54">
        <f t="shared" ref="T26:U26" si="95">N26</f>
        <v>32164.341</v>
      </c>
      <c r="U26" s="57">
        <f t="shared" si="95"/>
        <v>7.9053892436330395</v>
      </c>
      <c r="V26" s="54">
        <f>T26</f>
        <v>32164.341</v>
      </c>
      <c r="W26" s="57">
        <f>U26</f>
        <v>7.9053892436330395</v>
      </c>
      <c r="X26" s="54">
        <f t="shared" ref="X26:BE26" si="96">V26</f>
        <v>32164.341</v>
      </c>
      <c r="Y26" s="57">
        <f t="shared" si="96"/>
        <v>7.9053892436330395</v>
      </c>
      <c r="Z26" s="54">
        <f t="shared" si="96"/>
        <v>32164.341</v>
      </c>
      <c r="AA26" s="57">
        <f t="shared" si="96"/>
        <v>7.9053892436330395</v>
      </c>
      <c r="AB26" s="54">
        <f t="shared" si="96"/>
        <v>32164.341</v>
      </c>
      <c r="AC26" s="57">
        <f t="shared" si="96"/>
        <v>7.9053892436330395</v>
      </c>
      <c r="AD26" s="54">
        <f t="shared" si="96"/>
        <v>32164.341</v>
      </c>
      <c r="AE26" s="57">
        <f t="shared" si="96"/>
        <v>7.9053892436330395</v>
      </c>
      <c r="AF26" s="54">
        <f t="shared" si="96"/>
        <v>32164.341</v>
      </c>
      <c r="AG26" s="57">
        <f t="shared" si="96"/>
        <v>7.9053892436330395</v>
      </c>
      <c r="AH26" s="54">
        <f t="shared" si="96"/>
        <v>32164.341</v>
      </c>
      <c r="AI26" s="57">
        <f t="shared" si="96"/>
        <v>7.9053892436330395</v>
      </c>
      <c r="AJ26" s="54">
        <f t="shared" si="96"/>
        <v>32164.341</v>
      </c>
      <c r="AK26" s="57">
        <f t="shared" si="96"/>
        <v>7.9053892436330395</v>
      </c>
      <c r="AL26" s="54">
        <f t="shared" si="96"/>
        <v>32164.341</v>
      </c>
      <c r="AM26" s="57">
        <f t="shared" si="96"/>
        <v>7.9053892436330395</v>
      </c>
      <c r="AN26" s="54">
        <f t="shared" si="96"/>
        <v>32164.341</v>
      </c>
      <c r="AO26" s="57">
        <f t="shared" si="96"/>
        <v>7.9053892436330395</v>
      </c>
      <c r="AP26" s="54">
        <f t="shared" si="96"/>
        <v>32164.341</v>
      </c>
      <c r="AQ26" s="57">
        <f t="shared" si="96"/>
        <v>7.9053892436330395</v>
      </c>
      <c r="AR26" s="54">
        <f t="shared" si="96"/>
        <v>32164.341</v>
      </c>
      <c r="AS26" s="57">
        <f t="shared" si="96"/>
        <v>7.9053892436330395</v>
      </c>
      <c r="AT26" s="54">
        <f t="shared" si="96"/>
        <v>32164.341</v>
      </c>
      <c r="AU26" s="57">
        <f t="shared" si="96"/>
        <v>7.9053892436330395</v>
      </c>
      <c r="AV26" s="54">
        <f t="shared" si="96"/>
        <v>32164.341</v>
      </c>
      <c r="AW26" s="57">
        <f t="shared" si="96"/>
        <v>7.9053892436330395</v>
      </c>
      <c r="AX26" s="54">
        <f t="shared" si="96"/>
        <v>32164.341</v>
      </c>
      <c r="AY26" s="57">
        <f t="shared" si="96"/>
        <v>7.9053892436330395</v>
      </c>
      <c r="AZ26" s="54">
        <f t="shared" si="96"/>
        <v>32164.341</v>
      </c>
      <c r="BA26" s="57">
        <f t="shared" si="96"/>
        <v>7.9053892436330395</v>
      </c>
      <c r="BB26" s="54">
        <f t="shared" si="96"/>
        <v>32164.341</v>
      </c>
      <c r="BC26" s="57">
        <f t="shared" si="96"/>
        <v>7.9053892436330395</v>
      </c>
      <c r="BD26" s="54">
        <f t="shared" si="96"/>
        <v>32164.341</v>
      </c>
      <c r="BE26" s="57">
        <f t="shared" si="96"/>
        <v>7.9053892436330395</v>
      </c>
      <c r="BF26" s="54">
        <f t="shared" ref="BF26" si="97">BD26</f>
        <v>32164.341</v>
      </c>
      <c r="BG26" s="57">
        <f t="shared" ref="BG26" si="98">BE26</f>
        <v>7.9053892436330395</v>
      </c>
      <c r="BH26" s="54">
        <f>BI26*BH12</f>
        <v>32549.279999999999</v>
      </c>
      <c r="BI26" s="57">
        <v>8</v>
      </c>
      <c r="BJ26" s="54">
        <f t="shared" ref="BJ26" si="99">BH26</f>
        <v>32549.279999999999</v>
      </c>
      <c r="BK26" s="57">
        <v>8</v>
      </c>
      <c r="BL26" s="54">
        <f t="shared" ref="BL26" si="100">BJ26</f>
        <v>32549.279999999999</v>
      </c>
      <c r="BM26" s="57">
        <v>8</v>
      </c>
      <c r="BN26" s="54">
        <f t="shared" ref="BN26" si="101">BL26</f>
        <v>32549.279999999999</v>
      </c>
      <c r="BO26" s="57">
        <v>8</v>
      </c>
      <c r="BP26" s="54">
        <f t="shared" ref="BP26" si="102">BN26</f>
        <v>32549.279999999999</v>
      </c>
      <c r="BQ26" s="57">
        <v>8</v>
      </c>
      <c r="BR26" s="54">
        <f t="shared" ref="BR26" si="103">BP26</f>
        <v>32549.279999999999</v>
      </c>
      <c r="BS26" s="57">
        <v>8</v>
      </c>
      <c r="BT26" s="54">
        <f t="shared" ref="BT26" si="104">BR26</f>
        <v>32549.279999999999</v>
      </c>
      <c r="BU26" s="57">
        <v>8</v>
      </c>
      <c r="BV26" s="54">
        <f t="shared" ref="BV26" si="105">BT26</f>
        <v>32549.279999999999</v>
      </c>
      <c r="BW26" s="57">
        <v>8</v>
      </c>
      <c r="BX26" s="54">
        <f t="shared" ref="BX26" si="106">BV26</f>
        <v>32549.279999999999</v>
      </c>
      <c r="BY26" s="57">
        <v>8</v>
      </c>
      <c r="BZ26" s="54">
        <f t="shared" ref="BZ26" si="107">BX26</f>
        <v>32549.279999999999</v>
      </c>
      <c r="CA26" s="57">
        <v>8</v>
      </c>
      <c r="CB26" s="54">
        <f t="shared" ref="CB26" si="108">BZ26</f>
        <v>32549.279999999999</v>
      </c>
      <c r="CC26" s="57">
        <v>8</v>
      </c>
      <c r="CD26" s="54">
        <f>BJ26</f>
        <v>32549.279999999999</v>
      </c>
      <c r="CE26" s="57">
        <v>8</v>
      </c>
      <c r="CF26" s="620"/>
      <c r="CG26" s="620"/>
      <c r="CH26" s="620"/>
      <c r="CI26" s="620"/>
      <c r="CJ26" s="54">
        <f t="shared" ref="CJ26:CO26" si="109">AD26</f>
        <v>32164.341</v>
      </c>
      <c r="CK26" s="57">
        <f t="shared" si="109"/>
        <v>7.9053892436330395</v>
      </c>
      <c r="CL26" s="54">
        <f t="shared" si="109"/>
        <v>32164.341</v>
      </c>
      <c r="CM26" s="57">
        <f t="shared" si="109"/>
        <v>7.9053892436330395</v>
      </c>
      <c r="CN26" s="54">
        <f t="shared" si="109"/>
        <v>32164.341</v>
      </c>
      <c r="CO26" s="57">
        <f t="shared" si="109"/>
        <v>7.9053892436330395</v>
      </c>
      <c r="CP26" s="54">
        <f t="shared" ref="CP26:CQ26" si="110">CJ26</f>
        <v>32164.341</v>
      </c>
      <c r="CQ26" s="57">
        <f t="shared" si="110"/>
        <v>7.9053892436330395</v>
      </c>
      <c r="CR26" s="54">
        <f>AH26</f>
        <v>32164.341</v>
      </c>
      <c r="CS26" s="57">
        <f>AI26</f>
        <v>7.9053892436330395</v>
      </c>
      <c r="CT26" s="54">
        <f>CU26*CT12</f>
        <v>32549.279999999999</v>
      </c>
      <c r="CU26" s="57">
        <v>8</v>
      </c>
      <c r="CV26" s="54">
        <f>CW26*CV12</f>
        <v>33100.132800000007</v>
      </c>
      <c r="CW26" s="57">
        <f>7.90538924363304+0.23</f>
        <v>8.1353892436330408</v>
      </c>
      <c r="CX26" s="54">
        <f>CY26*CX12</f>
        <v>32164.341000000004</v>
      </c>
      <c r="CY26" s="57">
        <f>7.90538924363304</f>
        <v>7.9053892436330404</v>
      </c>
      <c r="DA26" s="54">
        <f>BD26</f>
        <v>32164.341</v>
      </c>
      <c r="DB26" s="57">
        <f>BE26</f>
        <v>7.9053892436330395</v>
      </c>
      <c r="DC26" s="54">
        <f>DD26*DC12</f>
        <v>32549.279999999999</v>
      </c>
      <c r="DD26" s="57">
        <v>8</v>
      </c>
      <c r="DE26" s="54">
        <f t="shared" ref="DE26:DN26" si="111">BH26</f>
        <v>32549.279999999999</v>
      </c>
      <c r="DF26" s="57">
        <f t="shared" si="111"/>
        <v>8</v>
      </c>
      <c r="DG26" s="54">
        <f t="shared" si="111"/>
        <v>32549.279999999999</v>
      </c>
      <c r="DH26" s="57">
        <f t="shared" si="111"/>
        <v>8</v>
      </c>
      <c r="DI26" s="54">
        <f t="shared" si="111"/>
        <v>32549.279999999999</v>
      </c>
      <c r="DJ26" s="57">
        <f t="shared" si="111"/>
        <v>8</v>
      </c>
      <c r="DK26" s="54">
        <f t="shared" si="111"/>
        <v>32549.279999999999</v>
      </c>
      <c r="DL26" s="57">
        <f t="shared" si="111"/>
        <v>8</v>
      </c>
      <c r="DM26" s="54">
        <f t="shared" si="111"/>
        <v>32549.279999999999</v>
      </c>
      <c r="DN26" s="57">
        <f t="shared" si="111"/>
        <v>8</v>
      </c>
      <c r="DO26" s="54">
        <f>CD26</f>
        <v>32549.279999999999</v>
      </c>
      <c r="DP26" s="57">
        <f>CE26</f>
        <v>8</v>
      </c>
      <c r="DR26" s="54">
        <f>DO26</f>
        <v>32549.279999999999</v>
      </c>
      <c r="DS26" s="57">
        <f>DP26</f>
        <v>8</v>
      </c>
      <c r="DT26" s="54">
        <f t="shared" ref="DT26" si="112">DR26</f>
        <v>32549.279999999999</v>
      </c>
      <c r="DU26" s="57">
        <v>8</v>
      </c>
    </row>
    <row r="27" spans="1:125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359"/>
      <c r="AG27" s="355"/>
      <c r="AH27" s="359"/>
      <c r="AI27" s="355"/>
      <c r="AJ27" s="359"/>
      <c r="AK27" s="355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359"/>
      <c r="BY27" s="355"/>
      <c r="BZ27" s="359"/>
      <c r="CA27" s="355"/>
      <c r="CB27" s="359"/>
      <c r="CC27" s="355"/>
      <c r="CD27" s="359"/>
      <c r="CE27" s="355"/>
      <c r="CF27" s="620"/>
      <c r="CG27" s="620"/>
      <c r="CH27" s="620"/>
      <c r="CI27" s="620"/>
      <c r="CJ27" s="359"/>
      <c r="CK27" s="355"/>
      <c r="CL27" s="359"/>
      <c r="CM27" s="355"/>
      <c r="CN27" s="359"/>
      <c r="CO27" s="355"/>
      <c r="CP27" s="359"/>
      <c r="CQ27" s="355"/>
      <c r="CR27" s="359"/>
      <c r="CS27" s="355"/>
      <c r="CT27" s="359"/>
      <c r="CU27" s="355"/>
      <c r="CV27" s="359"/>
      <c r="CW27" s="355"/>
      <c r="CX27" s="359"/>
      <c r="CY27" s="355"/>
      <c r="DA27" s="359"/>
      <c r="DB27" s="355"/>
      <c r="DC27" s="359"/>
      <c r="DD27" s="355"/>
      <c r="DE27" s="359"/>
      <c r="DF27" s="355"/>
      <c r="DG27" s="359"/>
      <c r="DH27" s="355"/>
      <c r="DI27" s="359"/>
      <c r="DJ27" s="355"/>
      <c r="DK27" s="359"/>
      <c r="DL27" s="355"/>
      <c r="DM27" s="359"/>
      <c r="DN27" s="355"/>
      <c r="DO27" s="359"/>
      <c r="DP27" s="355"/>
      <c r="DR27" s="359"/>
      <c r="DS27" s="355"/>
      <c r="DT27" s="359"/>
      <c r="DU27" s="355"/>
    </row>
    <row r="28" spans="1:125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364"/>
      <c r="AG28" s="360"/>
      <c r="AH28" s="364"/>
      <c r="AI28" s="360"/>
      <c r="AJ28" s="364"/>
      <c r="AK28" s="360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364"/>
      <c r="BY28" s="360"/>
      <c r="BZ28" s="364"/>
      <c r="CA28" s="360"/>
      <c r="CB28" s="364"/>
      <c r="CC28" s="360"/>
      <c r="CD28" s="364"/>
      <c r="CE28" s="360"/>
      <c r="CF28" s="620"/>
      <c r="CG28" s="620"/>
      <c r="CH28" s="620"/>
      <c r="CI28" s="620"/>
      <c r="CJ28" s="364"/>
      <c r="CK28" s="360"/>
      <c r="CL28" s="364"/>
      <c r="CM28" s="360"/>
      <c r="CN28" s="364"/>
      <c r="CO28" s="360"/>
      <c r="CP28" s="364"/>
      <c r="CQ28" s="360"/>
      <c r="CR28" s="364"/>
      <c r="CS28" s="360"/>
      <c r="CT28" s="364"/>
      <c r="CU28" s="360"/>
      <c r="CV28" s="364"/>
      <c r="CW28" s="360"/>
      <c r="CX28" s="364"/>
      <c r="CY28" s="360"/>
      <c r="DA28" s="364"/>
      <c r="DB28" s="360"/>
      <c r="DC28" s="364"/>
      <c r="DD28" s="360"/>
      <c r="DE28" s="364"/>
      <c r="DF28" s="360"/>
      <c r="DG28" s="364"/>
      <c r="DH28" s="360"/>
      <c r="DI28" s="364"/>
      <c r="DJ28" s="360"/>
      <c r="DK28" s="364"/>
      <c r="DL28" s="360"/>
      <c r="DM28" s="364"/>
      <c r="DN28" s="360"/>
      <c r="DO28" s="364"/>
      <c r="DP28" s="360"/>
      <c r="DR28" s="364"/>
      <c r="DS28" s="360"/>
      <c r="DT28" s="364"/>
      <c r="DU28" s="360"/>
    </row>
    <row r="29" spans="1:125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CU29" si="113">F30/F26</f>
        <v>6.2420382165605012E-2</v>
      </c>
      <c r="G29" s="48">
        <f t="shared" si="113"/>
        <v>6.2420382165605012E-2</v>
      </c>
      <c r="H29" s="47">
        <f t="shared" si="113"/>
        <v>6.8989549638215852E-2</v>
      </c>
      <c r="I29" s="48">
        <f t="shared" si="113"/>
        <v>6.9096713226456719E-2</v>
      </c>
      <c r="J29" s="47">
        <f t="shared" si="113"/>
        <v>1.8751973189192712E-2</v>
      </c>
      <c r="K29" s="48">
        <f t="shared" si="113"/>
        <v>1.8751973189192663E-2</v>
      </c>
      <c r="L29" s="47">
        <f t="shared" si="113"/>
        <v>3.7715299334811624E-2</v>
      </c>
      <c r="M29" s="48">
        <f t="shared" si="113"/>
        <v>3.7715299334811575E-2</v>
      </c>
      <c r="N29" s="361">
        <f t="shared" si="113"/>
        <v>7.1804444407090329E-2</v>
      </c>
      <c r="O29" s="362">
        <f t="shared" si="113"/>
        <v>7.180444440709037E-2</v>
      </c>
      <c r="P29" s="361">
        <f t="shared" si="113"/>
        <v>1.5362131322047558E-2</v>
      </c>
      <c r="Q29" s="362">
        <f t="shared" si="113"/>
        <v>1.536213132204747E-2</v>
      </c>
      <c r="R29" s="361">
        <f t="shared" si="113"/>
        <v>3.7715299334811624E-2</v>
      </c>
      <c r="S29" s="362">
        <f t="shared" si="113"/>
        <v>3.7715299334811575E-2</v>
      </c>
      <c r="T29" s="361">
        <f t="shared" si="113"/>
        <v>7.1804444407090329E-2</v>
      </c>
      <c r="U29" s="362">
        <f t="shared" si="113"/>
        <v>7.180444440709037E-2</v>
      </c>
      <c r="V29" s="361">
        <f t="shared" si="113"/>
        <v>7.1804444407090329E-2</v>
      </c>
      <c r="W29" s="362">
        <f t="shared" si="113"/>
        <v>7.180444440709037E-2</v>
      </c>
      <c r="X29" s="361">
        <f t="shared" si="113"/>
        <v>7.1804444407090329E-2</v>
      </c>
      <c r="Y29" s="362">
        <f t="shared" si="113"/>
        <v>7.180444440709037E-2</v>
      </c>
      <c r="Z29" s="361">
        <f t="shared" si="113"/>
        <v>7.1804444407090329E-2</v>
      </c>
      <c r="AA29" s="362">
        <f t="shared" si="113"/>
        <v>7.180444440709037E-2</v>
      </c>
      <c r="AB29" s="361">
        <f t="shared" si="113"/>
        <v>7.1804444407090329E-2</v>
      </c>
      <c r="AC29" s="362">
        <f t="shared" si="113"/>
        <v>7.180444440709037E-2</v>
      </c>
      <c r="AD29" s="361">
        <f t="shared" si="113"/>
        <v>7.1804444407090329E-2</v>
      </c>
      <c r="AE29" s="362">
        <f t="shared" si="113"/>
        <v>7.180444440709037E-2</v>
      </c>
      <c r="AF29" s="361">
        <f t="shared" si="113"/>
        <v>7.1804444407090329E-2</v>
      </c>
      <c r="AG29" s="362">
        <f t="shared" si="113"/>
        <v>7.180444440709037E-2</v>
      </c>
      <c r="AH29" s="361">
        <f t="shared" si="113"/>
        <v>7.1804444407090329E-2</v>
      </c>
      <c r="AI29" s="362">
        <f t="shared" si="113"/>
        <v>7.180444440709037E-2</v>
      </c>
      <c r="AJ29" s="361">
        <f t="shared" si="113"/>
        <v>7.1804444407090329E-2</v>
      </c>
      <c r="AK29" s="362">
        <f t="shared" si="113"/>
        <v>7.180444440709037E-2</v>
      </c>
      <c r="AL29" s="361">
        <f t="shared" si="113"/>
        <v>7.1804444407090329E-2</v>
      </c>
      <c r="AM29" s="362">
        <f t="shared" si="113"/>
        <v>7.180444440709037E-2</v>
      </c>
      <c r="AN29" s="361">
        <f t="shared" si="113"/>
        <v>7.1804444407090329E-2</v>
      </c>
      <c r="AO29" s="362">
        <f t="shared" si="113"/>
        <v>7.180444440709037E-2</v>
      </c>
      <c r="AP29" s="361">
        <f t="shared" si="113"/>
        <v>7.1804444407090329E-2</v>
      </c>
      <c r="AQ29" s="362">
        <f t="shared" si="113"/>
        <v>7.180444440709037E-2</v>
      </c>
      <c r="AR29" s="361">
        <f t="shared" si="113"/>
        <v>7.1804444407090329E-2</v>
      </c>
      <c r="AS29" s="362">
        <f t="shared" si="113"/>
        <v>7.180444440709037E-2</v>
      </c>
      <c r="AT29" s="361">
        <f t="shared" si="113"/>
        <v>7.1804444407090329E-2</v>
      </c>
      <c r="AU29" s="362">
        <f t="shared" si="113"/>
        <v>7.180444440709037E-2</v>
      </c>
      <c r="AV29" s="361">
        <f t="shared" si="113"/>
        <v>7.1804444407090329E-2</v>
      </c>
      <c r="AW29" s="362">
        <f t="shared" si="113"/>
        <v>7.180444440709037E-2</v>
      </c>
      <c r="AX29" s="361">
        <f t="shared" si="113"/>
        <v>7.1804444407090329E-2</v>
      </c>
      <c r="AY29" s="362">
        <f t="shared" si="113"/>
        <v>7.180444440709037E-2</v>
      </c>
      <c r="AZ29" s="361">
        <f t="shared" si="113"/>
        <v>7.1804444407090329E-2</v>
      </c>
      <c r="BA29" s="362">
        <f t="shared" si="113"/>
        <v>7.180444440709037E-2</v>
      </c>
      <c r="BB29" s="361">
        <f t="shared" si="113"/>
        <v>7.1804444407090329E-2</v>
      </c>
      <c r="BC29" s="362">
        <f t="shared" si="113"/>
        <v>7.180444440709037E-2</v>
      </c>
      <c r="BD29" s="361">
        <f t="shared" si="113"/>
        <v>7.1804444407090329E-2</v>
      </c>
      <c r="BE29" s="362">
        <f t="shared" si="113"/>
        <v>7.180444440709037E-2</v>
      </c>
      <c r="BF29" s="361">
        <f t="shared" ref="BF29:BG29" si="114">BF30/BF26</f>
        <v>7.1804444407090329E-2</v>
      </c>
      <c r="BG29" s="362">
        <f t="shared" si="114"/>
        <v>7.180444440709037E-2</v>
      </c>
      <c r="BH29" s="361">
        <f t="shared" ref="BH29:BI29" si="115">BH30/BH26</f>
        <v>2.5000000000000001E-2</v>
      </c>
      <c r="BI29" s="362">
        <f t="shared" si="115"/>
        <v>2.5000000000000022E-2</v>
      </c>
      <c r="BJ29" s="361">
        <f t="shared" ref="BJ29:BK29" si="116">BJ30/BJ26</f>
        <v>2.5000000000000001E-2</v>
      </c>
      <c r="BK29" s="362">
        <f t="shared" si="116"/>
        <v>2.5000000000000022E-2</v>
      </c>
      <c r="BL29" s="361">
        <f t="shared" ref="BL29:BM29" si="117">BL30/BL26</f>
        <v>2.5000000000000001E-2</v>
      </c>
      <c r="BM29" s="362">
        <f t="shared" si="117"/>
        <v>2.5000000000000022E-2</v>
      </c>
      <c r="BN29" s="361">
        <f t="shared" ref="BN29:BO29" si="118">BN30/BN26</f>
        <v>2.5000000000000001E-2</v>
      </c>
      <c r="BO29" s="362">
        <f t="shared" si="118"/>
        <v>2.5000000000000022E-2</v>
      </c>
      <c r="BP29" s="361">
        <f t="shared" ref="BP29:BQ29" si="119">BP30/BP26</f>
        <v>2.5000000000000001E-2</v>
      </c>
      <c r="BQ29" s="362">
        <f t="shared" si="119"/>
        <v>2.5000000000000022E-2</v>
      </c>
      <c r="BR29" s="361">
        <f t="shared" ref="BR29:BS29" si="120">BR30/BR26</f>
        <v>2.5000000000000001E-2</v>
      </c>
      <c r="BS29" s="362">
        <f t="shared" si="120"/>
        <v>2.5000000000000022E-2</v>
      </c>
      <c r="BT29" s="361">
        <f t="shared" ref="BT29:BU29" si="121">BT30/BT26</f>
        <v>2.5000000000000001E-2</v>
      </c>
      <c r="BU29" s="362">
        <f t="shared" si="121"/>
        <v>2.5000000000000022E-2</v>
      </c>
      <c r="BV29" s="361">
        <f t="shared" ref="BV29:BW29" si="122">BV30/BV26</f>
        <v>2.5000000000000001E-2</v>
      </c>
      <c r="BW29" s="362">
        <f t="shared" si="122"/>
        <v>2.5000000000000022E-2</v>
      </c>
      <c r="BX29" s="361">
        <f t="shared" ref="BX29:BY29" si="123">BX30/BX26</f>
        <v>2.5000000000000001E-2</v>
      </c>
      <c r="BY29" s="362">
        <f t="shared" si="123"/>
        <v>2.5000000000000022E-2</v>
      </c>
      <c r="BZ29" s="361">
        <f t="shared" ref="BZ29:CC29" si="124">BZ30/BZ26</f>
        <v>2.5000000000000001E-2</v>
      </c>
      <c r="CA29" s="362">
        <f t="shared" si="124"/>
        <v>2.5000000000000022E-2</v>
      </c>
      <c r="CB29" s="361">
        <f t="shared" si="124"/>
        <v>2.5000000000000001E-2</v>
      </c>
      <c r="CC29" s="362">
        <f t="shared" si="124"/>
        <v>2.5000000000000022E-2</v>
      </c>
      <c r="CD29" s="361">
        <f t="shared" ref="CD29:CE29" si="125">CD30/CD26</f>
        <v>8.4758064516129036E-2</v>
      </c>
      <c r="CE29" s="362">
        <f t="shared" si="125"/>
        <v>8.4758064516128995E-2</v>
      </c>
      <c r="CF29" s="620"/>
      <c r="CG29" s="620"/>
      <c r="CH29" s="620"/>
      <c r="CI29" s="620"/>
      <c r="CJ29" s="361">
        <f t="shared" si="113"/>
        <v>7.1804444407090329E-2</v>
      </c>
      <c r="CK29" s="362">
        <f t="shared" si="113"/>
        <v>7.180444440709037E-2</v>
      </c>
      <c r="CL29" s="361">
        <f t="shared" si="113"/>
        <v>7.1804444407090329E-2</v>
      </c>
      <c r="CM29" s="362">
        <f t="shared" si="113"/>
        <v>7.180444440709037E-2</v>
      </c>
      <c r="CN29" s="361">
        <f t="shared" si="113"/>
        <v>7.1804444407090329E-2</v>
      </c>
      <c r="CO29" s="362">
        <f t="shared" si="113"/>
        <v>7.180444440709037E-2</v>
      </c>
      <c r="CP29" s="361">
        <f t="shared" si="113"/>
        <v>7.1804444407090329E-2</v>
      </c>
      <c r="CQ29" s="362">
        <f t="shared" si="113"/>
        <v>7.180444440709037E-2</v>
      </c>
      <c r="CR29" s="361">
        <f t="shared" si="113"/>
        <v>7.1804444407090329E-2</v>
      </c>
      <c r="CS29" s="362">
        <f t="shared" si="113"/>
        <v>7.180444440709037E-2</v>
      </c>
      <c r="CT29" s="361">
        <f t="shared" si="113"/>
        <v>2.5000000000000001E-2</v>
      </c>
      <c r="CU29" s="362">
        <f t="shared" si="113"/>
        <v>2.5000000000000022E-2</v>
      </c>
      <c r="CV29" s="361">
        <f t="shared" ref="CV29:CY29" si="126">CV30/CV26</f>
        <v>6.3628434603295786E-2</v>
      </c>
      <c r="CW29" s="362">
        <f t="shared" si="126"/>
        <v>6.3628434603295772E-2</v>
      </c>
      <c r="CX29" s="361">
        <f t="shared" si="126"/>
        <v>7.1804444407090551E-2</v>
      </c>
      <c r="CY29" s="362">
        <f t="shared" si="126"/>
        <v>7.1804444407090592E-2</v>
      </c>
      <c r="DA29" s="361">
        <f t="shared" ref="DA29:DB29" si="127">DA30/DA26</f>
        <v>7.1804444407090329E-2</v>
      </c>
      <c r="DB29" s="362">
        <f t="shared" si="127"/>
        <v>7.180444440709037E-2</v>
      </c>
      <c r="DC29" s="361">
        <f t="shared" ref="DC29:DD29" si="128">DC30/DC26</f>
        <v>2.5000000000000001E-2</v>
      </c>
      <c r="DD29" s="362">
        <f t="shared" si="128"/>
        <v>2.5000000000000022E-2</v>
      </c>
      <c r="DE29" s="361">
        <f t="shared" ref="DE29:DF29" si="129">DE30/DE26</f>
        <v>2.5000000000000001E-2</v>
      </c>
      <c r="DF29" s="362">
        <f t="shared" si="129"/>
        <v>2.5000000000000022E-2</v>
      </c>
      <c r="DG29" s="361">
        <f t="shared" ref="DG29:DH29" si="130">DG30/DG26</f>
        <v>2.5000000000000001E-2</v>
      </c>
      <c r="DH29" s="362">
        <f t="shared" si="130"/>
        <v>2.5000000000000022E-2</v>
      </c>
      <c r="DI29" s="361">
        <f t="shared" ref="DI29:DJ29" si="131">DI30/DI26</f>
        <v>2.5000000000000001E-2</v>
      </c>
      <c r="DJ29" s="362">
        <f t="shared" si="131"/>
        <v>2.5000000000000022E-2</v>
      </c>
      <c r="DK29" s="361">
        <f t="shared" ref="DK29:DL29" si="132">DK30/DK26</f>
        <v>2.5000000000000001E-2</v>
      </c>
      <c r="DL29" s="362">
        <f t="shared" si="132"/>
        <v>2.5000000000000022E-2</v>
      </c>
      <c r="DM29" s="361">
        <f t="shared" ref="DM29:DN29" si="133">DM30/DM26</f>
        <v>2.5000000000000001E-2</v>
      </c>
      <c r="DN29" s="362">
        <f t="shared" si="133"/>
        <v>2.5000000000000022E-2</v>
      </c>
      <c r="DO29" s="361">
        <f t="shared" ref="DO29:DP29" si="134">DO30/DO26</f>
        <v>5.6451612903225798E-2</v>
      </c>
      <c r="DP29" s="362">
        <f t="shared" si="134"/>
        <v>5.6451612903225756E-2</v>
      </c>
      <c r="DR29" s="361">
        <f t="shared" ref="DR29:DU29" si="135">DR30/DR26</f>
        <v>2.5000000000000001E-2</v>
      </c>
      <c r="DS29" s="362">
        <f t="shared" si="135"/>
        <v>2.5000000000000022E-2</v>
      </c>
      <c r="DT29" s="361">
        <f t="shared" si="135"/>
        <v>2.5000000000000001E-2</v>
      </c>
      <c r="DU29" s="362">
        <f t="shared" si="135"/>
        <v>2.5000000000000022E-2</v>
      </c>
    </row>
    <row r="30" spans="1:125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CU30" si="136">F26-F32</f>
        <v>1993.6433999999972</v>
      </c>
      <c r="G30" s="24">
        <f t="shared" si="136"/>
        <v>0.48999999999999932</v>
      </c>
      <c r="H30" s="50">
        <f t="shared" si="136"/>
        <v>2219.0034000000014</v>
      </c>
      <c r="I30" s="24">
        <f t="shared" si="136"/>
        <v>0.54623641351082775</v>
      </c>
      <c r="J30" s="50">
        <f t="shared" si="136"/>
        <v>587.47460491674428</v>
      </c>
      <c r="K30" s="24">
        <f t="shared" si="136"/>
        <v>0.14439019355678351</v>
      </c>
      <c r="L30" s="50">
        <f t="shared" si="136"/>
        <v>1244.6048780487836</v>
      </c>
      <c r="M30" s="24">
        <f t="shared" si="136"/>
        <v>0.30590043848559034</v>
      </c>
      <c r="N30" s="363">
        <f t="shared" si="136"/>
        <v>2309.5426352251961</v>
      </c>
      <c r="O30" s="351">
        <f t="shared" si="136"/>
        <v>0.56764208246085879</v>
      </c>
      <c r="P30" s="363">
        <f t="shared" si="136"/>
        <v>481.27532703066754</v>
      </c>
      <c r="Q30" s="351">
        <f t="shared" si="136"/>
        <v>0.11828841117976552</v>
      </c>
      <c r="R30" s="363">
        <f t="shared" si="136"/>
        <v>1244.6048780487836</v>
      </c>
      <c r="S30" s="351">
        <f t="shared" si="136"/>
        <v>0.30590043848559034</v>
      </c>
      <c r="T30" s="363">
        <f t="shared" si="136"/>
        <v>2309.5426352251961</v>
      </c>
      <c r="U30" s="351">
        <f t="shared" si="136"/>
        <v>0.56764208246085879</v>
      </c>
      <c r="V30" s="363">
        <f t="shared" si="136"/>
        <v>2309.5426352251961</v>
      </c>
      <c r="W30" s="351">
        <f t="shared" si="136"/>
        <v>0.56764208246085879</v>
      </c>
      <c r="X30" s="363">
        <f t="shared" si="136"/>
        <v>2309.5426352251961</v>
      </c>
      <c r="Y30" s="351">
        <f t="shared" si="136"/>
        <v>0.56764208246085879</v>
      </c>
      <c r="Z30" s="363">
        <f t="shared" si="136"/>
        <v>2309.5426352251961</v>
      </c>
      <c r="AA30" s="351">
        <f t="shared" si="136"/>
        <v>0.56764208246085879</v>
      </c>
      <c r="AB30" s="363">
        <f t="shared" si="136"/>
        <v>2309.5426352251961</v>
      </c>
      <c r="AC30" s="351">
        <f t="shared" si="136"/>
        <v>0.56764208246085879</v>
      </c>
      <c r="AD30" s="363">
        <f t="shared" si="136"/>
        <v>2309.5426352251961</v>
      </c>
      <c r="AE30" s="351">
        <f t="shared" si="136"/>
        <v>0.56764208246085879</v>
      </c>
      <c r="AF30" s="363">
        <f t="shared" si="136"/>
        <v>2309.5426352251961</v>
      </c>
      <c r="AG30" s="351">
        <f t="shared" si="136"/>
        <v>0.56764208246085879</v>
      </c>
      <c r="AH30" s="363">
        <f t="shared" si="136"/>
        <v>2309.5426352251961</v>
      </c>
      <c r="AI30" s="351">
        <f t="shared" si="136"/>
        <v>0.56764208246085879</v>
      </c>
      <c r="AJ30" s="363">
        <f t="shared" si="136"/>
        <v>2309.5426352251961</v>
      </c>
      <c r="AK30" s="351">
        <f t="shared" si="136"/>
        <v>0.56764208246085879</v>
      </c>
      <c r="AL30" s="363">
        <f t="shared" si="136"/>
        <v>2309.5426352251961</v>
      </c>
      <c r="AM30" s="351">
        <f t="shared" si="136"/>
        <v>0.56764208246085879</v>
      </c>
      <c r="AN30" s="363">
        <f t="shared" si="136"/>
        <v>2309.5426352251961</v>
      </c>
      <c r="AO30" s="351">
        <f t="shared" si="136"/>
        <v>0.56764208246085879</v>
      </c>
      <c r="AP30" s="363">
        <f t="shared" si="136"/>
        <v>2309.5426352251961</v>
      </c>
      <c r="AQ30" s="351">
        <f t="shared" si="136"/>
        <v>0.56764208246085879</v>
      </c>
      <c r="AR30" s="363">
        <f t="shared" si="136"/>
        <v>2309.5426352251961</v>
      </c>
      <c r="AS30" s="351">
        <f t="shared" si="136"/>
        <v>0.56764208246085879</v>
      </c>
      <c r="AT30" s="363">
        <f t="shared" si="136"/>
        <v>2309.5426352251961</v>
      </c>
      <c r="AU30" s="351">
        <f t="shared" si="136"/>
        <v>0.56764208246085879</v>
      </c>
      <c r="AV30" s="363">
        <f t="shared" si="136"/>
        <v>2309.5426352251961</v>
      </c>
      <c r="AW30" s="351">
        <f t="shared" si="136"/>
        <v>0.56764208246085879</v>
      </c>
      <c r="AX30" s="363">
        <f t="shared" si="136"/>
        <v>2309.5426352251961</v>
      </c>
      <c r="AY30" s="351">
        <f t="shared" si="136"/>
        <v>0.56764208246085879</v>
      </c>
      <c r="AZ30" s="363">
        <f t="shared" si="136"/>
        <v>2309.5426352251961</v>
      </c>
      <c r="BA30" s="351">
        <f t="shared" si="136"/>
        <v>0.56764208246085879</v>
      </c>
      <c r="BB30" s="363">
        <f t="shared" si="136"/>
        <v>2309.5426352251961</v>
      </c>
      <c r="BC30" s="351">
        <f t="shared" si="136"/>
        <v>0.56764208246085879</v>
      </c>
      <c r="BD30" s="363">
        <f t="shared" si="136"/>
        <v>2309.5426352251961</v>
      </c>
      <c r="BE30" s="351">
        <f t="shared" si="136"/>
        <v>0.56764208246085879</v>
      </c>
      <c r="BF30" s="363">
        <f t="shared" ref="BF30:BG30" si="137">BF26-BF32</f>
        <v>2309.5426352251961</v>
      </c>
      <c r="BG30" s="351">
        <f t="shared" si="137"/>
        <v>0.56764208246085879</v>
      </c>
      <c r="BH30" s="363">
        <f t="shared" ref="BH30:BI30" si="138">BH26-BH32</f>
        <v>813.73199999999997</v>
      </c>
      <c r="BI30" s="351">
        <f t="shared" si="138"/>
        <v>0.20000000000000018</v>
      </c>
      <c r="BJ30" s="363">
        <f t="shared" ref="BJ30:BK30" si="139">BJ26-BJ32</f>
        <v>813.73199999999997</v>
      </c>
      <c r="BK30" s="351">
        <f t="shared" si="139"/>
        <v>0.20000000000000018</v>
      </c>
      <c r="BL30" s="363">
        <f t="shared" ref="BL30:BM30" si="140">BL26-BL32</f>
        <v>813.73199999999997</v>
      </c>
      <c r="BM30" s="351">
        <f t="shared" si="140"/>
        <v>0.20000000000000018</v>
      </c>
      <c r="BN30" s="363">
        <f t="shared" ref="BN30:BO30" si="141">BN26-BN32</f>
        <v>813.73199999999997</v>
      </c>
      <c r="BO30" s="351">
        <f t="shared" si="141"/>
        <v>0.20000000000000018</v>
      </c>
      <c r="BP30" s="363">
        <f t="shared" ref="BP30:BQ30" si="142">BP26-BP32</f>
        <v>813.73199999999997</v>
      </c>
      <c r="BQ30" s="351">
        <f t="shared" si="142"/>
        <v>0.20000000000000018</v>
      </c>
      <c r="BR30" s="363">
        <f t="shared" ref="BR30:BS30" si="143">BR26-BR32</f>
        <v>813.73199999999997</v>
      </c>
      <c r="BS30" s="351">
        <f t="shared" si="143"/>
        <v>0.20000000000000018</v>
      </c>
      <c r="BT30" s="363">
        <f t="shared" ref="BT30:BU30" si="144">BT26-BT32</f>
        <v>813.73199999999997</v>
      </c>
      <c r="BU30" s="351">
        <f t="shared" si="144"/>
        <v>0.20000000000000018</v>
      </c>
      <c r="BV30" s="363">
        <f t="shared" ref="BV30:BW30" si="145">BV26-BV32</f>
        <v>813.73199999999997</v>
      </c>
      <c r="BW30" s="351">
        <f t="shared" si="145"/>
        <v>0.20000000000000018</v>
      </c>
      <c r="BX30" s="363">
        <f t="shared" ref="BX30:BY30" si="146">BX26-BX32</f>
        <v>813.73199999999997</v>
      </c>
      <c r="BY30" s="351">
        <f t="shared" si="146"/>
        <v>0.20000000000000018</v>
      </c>
      <c r="BZ30" s="363">
        <f t="shared" ref="BZ30:CC30" si="147">BZ26-BZ32</f>
        <v>813.73199999999997</v>
      </c>
      <c r="CA30" s="351">
        <f t="shared" si="147"/>
        <v>0.20000000000000018</v>
      </c>
      <c r="CB30" s="363">
        <f t="shared" si="147"/>
        <v>813.73199999999997</v>
      </c>
      <c r="CC30" s="351">
        <f t="shared" si="147"/>
        <v>0.20000000000000018</v>
      </c>
      <c r="CD30" s="363">
        <f t="shared" ref="CD30:CE30" si="148">CD26-CD32</f>
        <v>2758.8139741935483</v>
      </c>
      <c r="CE30" s="351">
        <f t="shared" si="148"/>
        <v>0.67806451612903196</v>
      </c>
      <c r="CF30" s="620"/>
      <c r="CG30" s="620"/>
      <c r="CH30" s="620"/>
      <c r="CI30" s="620"/>
      <c r="CJ30" s="363">
        <f t="shared" si="136"/>
        <v>2309.5426352251961</v>
      </c>
      <c r="CK30" s="351">
        <f t="shared" si="136"/>
        <v>0.56764208246085879</v>
      </c>
      <c r="CL30" s="363">
        <f t="shared" si="136"/>
        <v>2309.5426352251961</v>
      </c>
      <c r="CM30" s="351">
        <f t="shared" si="136"/>
        <v>0.56764208246085879</v>
      </c>
      <c r="CN30" s="363">
        <f t="shared" si="136"/>
        <v>2309.5426352251961</v>
      </c>
      <c r="CO30" s="351">
        <f t="shared" si="136"/>
        <v>0.56764208246085879</v>
      </c>
      <c r="CP30" s="363">
        <f t="shared" si="136"/>
        <v>2309.5426352251961</v>
      </c>
      <c r="CQ30" s="351">
        <f t="shared" si="136"/>
        <v>0.56764208246085879</v>
      </c>
      <c r="CR30" s="363">
        <f t="shared" si="136"/>
        <v>2309.5426352251961</v>
      </c>
      <c r="CS30" s="351">
        <f t="shared" si="136"/>
        <v>0.56764208246085879</v>
      </c>
      <c r="CT30" s="363">
        <f t="shared" si="136"/>
        <v>813.73199999999997</v>
      </c>
      <c r="CU30" s="351">
        <f t="shared" si="136"/>
        <v>0.20000000000000018</v>
      </c>
      <c r="CV30" s="363">
        <f t="shared" ref="CV30:CY30" si="149">CV26-CV32</f>
        <v>2106.1096352252061</v>
      </c>
      <c r="CW30" s="351">
        <f t="shared" si="149"/>
        <v>0.51764208246086074</v>
      </c>
      <c r="CX30" s="363">
        <f t="shared" si="149"/>
        <v>2309.5426352252034</v>
      </c>
      <c r="CY30" s="351">
        <f t="shared" si="149"/>
        <v>0.56764208246086056</v>
      </c>
      <c r="DA30" s="363">
        <f t="shared" ref="DA30:DB30" si="150">DA26-DA32</f>
        <v>2309.5426352251961</v>
      </c>
      <c r="DB30" s="351">
        <f t="shared" si="150"/>
        <v>0.56764208246085879</v>
      </c>
      <c r="DC30" s="363">
        <f t="shared" ref="DC30:DD30" si="151">DC26-DC32</f>
        <v>813.73199999999997</v>
      </c>
      <c r="DD30" s="351">
        <f t="shared" si="151"/>
        <v>0.20000000000000018</v>
      </c>
      <c r="DE30" s="363">
        <f t="shared" ref="DE30:DF30" si="152">DE26-DE32</f>
        <v>813.73199999999997</v>
      </c>
      <c r="DF30" s="351">
        <f t="shared" si="152"/>
        <v>0.20000000000000018</v>
      </c>
      <c r="DG30" s="363">
        <f t="shared" ref="DG30:DH30" si="153">DG26-DG32</f>
        <v>813.73199999999997</v>
      </c>
      <c r="DH30" s="351">
        <f t="shared" si="153"/>
        <v>0.20000000000000018</v>
      </c>
      <c r="DI30" s="363">
        <f t="shared" ref="DI30:DJ30" si="154">DI26-DI32</f>
        <v>813.73199999999997</v>
      </c>
      <c r="DJ30" s="351">
        <f t="shared" si="154"/>
        <v>0.20000000000000018</v>
      </c>
      <c r="DK30" s="363">
        <f t="shared" ref="DK30:DL30" si="155">DK26-DK32</f>
        <v>813.73199999999997</v>
      </c>
      <c r="DL30" s="351">
        <f t="shared" si="155"/>
        <v>0.20000000000000018</v>
      </c>
      <c r="DM30" s="363">
        <f t="shared" ref="DM30:DN30" si="156">DM26-DM32</f>
        <v>813.73199999999997</v>
      </c>
      <c r="DN30" s="351">
        <f t="shared" si="156"/>
        <v>0.20000000000000018</v>
      </c>
      <c r="DO30" s="363">
        <f t="shared" ref="DO30:DP30" si="157">DO26-DO32</f>
        <v>1837.4593548387093</v>
      </c>
      <c r="DP30" s="351">
        <f t="shared" si="157"/>
        <v>0.45161290322580605</v>
      </c>
      <c r="DR30" s="363">
        <f t="shared" ref="DR30:DU30" si="158">DR26-DR32</f>
        <v>813.73199999999997</v>
      </c>
      <c r="DS30" s="351">
        <f t="shared" si="158"/>
        <v>0.20000000000000018</v>
      </c>
      <c r="DT30" s="363">
        <f t="shared" si="158"/>
        <v>813.73199999999997</v>
      </c>
      <c r="DU30" s="351">
        <f t="shared" si="158"/>
        <v>0.20000000000000018</v>
      </c>
    </row>
    <row r="31" spans="1:125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7.3591528301222118</v>
      </c>
      <c r="J31" s="54">
        <f>+J32</f>
        <v>30741.207395083256</v>
      </c>
      <c r="K31" s="55">
        <f>K32</f>
        <v>7.5556098064432167</v>
      </c>
      <c r="L31" s="54">
        <f>+L32</f>
        <v>31755.395121951216</v>
      </c>
      <c r="M31" s="55">
        <f>M32</f>
        <v>7.8048780487804876</v>
      </c>
      <c r="N31" s="54">
        <f>+N32</f>
        <v>29854.798364774804</v>
      </c>
      <c r="O31" s="55">
        <f>O32</f>
        <v>7.3377471611721807</v>
      </c>
      <c r="P31" s="54">
        <f>+P32</f>
        <v>30847.406672969333</v>
      </c>
      <c r="Q31" s="55">
        <f>Q32</f>
        <v>7.5817115888202347</v>
      </c>
      <c r="R31" s="54">
        <f>+R32</f>
        <v>31755.395121951216</v>
      </c>
      <c r="S31" s="55">
        <f>S32</f>
        <v>7.8048780487804876</v>
      </c>
      <c r="T31" s="54">
        <f>+T32</f>
        <v>29854.798364774804</v>
      </c>
      <c r="U31" s="55">
        <f>U32</f>
        <v>7.3377471611721807</v>
      </c>
      <c r="V31" s="54">
        <f>+V32</f>
        <v>29854.798364774804</v>
      </c>
      <c r="W31" s="55">
        <f>W32</f>
        <v>7.3377471611721807</v>
      </c>
      <c r="X31" s="54">
        <f>+X32</f>
        <v>29854.798364774804</v>
      </c>
      <c r="Y31" s="55">
        <f>Y32</f>
        <v>7.3377471611721807</v>
      </c>
      <c r="Z31" s="54">
        <f>+Z32</f>
        <v>29854.798364774804</v>
      </c>
      <c r="AA31" s="55">
        <f>AA32</f>
        <v>7.3377471611721807</v>
      </c>
      <c r="AB31" s="54">
        <f>+AB32</f>
        <v>29854.798364774804</v>
      </c>
      <c r="AC31" s="55">
        <f>AC32</f>
        <v>7.3377471611721807</v>
      </c>
      <c r="AD31" s="54">
        <f>+AD32</f>
        <v>29854.798364774804</v>
      </c>
      <c r="AE31" s="55">
        <f>AE32</f>
        <v>7.3377471611721807</v>
      </c>
      <c r="AF31" s="54">
        <f>+AF32</f>
        <v>29854.798364774804</v>
      </c>
      <c r="AG31" s="55">
        <f>AG32</f>
        <v>7.3377471611721807</v>
      </c>
      <c r="AH31" s="54">
        <f>+AH32</f>
        <v>29854.798364774804</v>
      </c>
      <c r="AI31" s="55">
        <f>AI32</f>
        <v>7.3377471611721807</v>
      </c>
      <c r="AJ31" s="54">
        <f>+AJ32</f>
        <v>29854.798364774804</v>
      </c>
      <c r="AK31" s="55">
        <f>AK32</f>
        <v>7.3377471611721807</v>
      </c>
      <c r="AL31" s="54">
        <f>+AL32</f>
        <v>29854.798364774804</v>
      </c>
      <c r="AM31" s="55">
        <f>AM32</f>
        <v>7.3377471611721807</v>
      </c>
      <c r="AN31" s="54">
        <f>+AN32</f>
        <v>29854.798364774804</v>
      </c>
      <c r="AO31" s="55">
        <f>AO32</f>
        <v>7.3377471611721807</v>
      </c>
      <c r="AP31" s="54">
        <f>+AP32</f>
        <v>29854.798364774804</v>
      </c>
      <c r="AQ31" s="55">
        <f>AQ32</f>
        <v>7.3377471611721807</v>
      </c>
      <c r="AR31" s="54">
        <f>+AR32</f>
        <v>29854.798364774804</v>
      </c>
      <c r="AS31" s="55">
        <f>AS32</f>
        <v>7.3377471611721807</v>
      </c>
      <c r="AT31" s="54">
        <f>+AT32</f>
        <v>29854.798364774804</v>
      </c>
      <c r="AU31" s="55">
        <f>AU32</f>
        <v>7.3377471611721807</v>
      </c>
      <c r="AV31" s="54">
        <f>+AV32</f>
        <v>29854.798364774804</v>
      </c>
      <c r="AW31" s="55">
        <f>AW32</f>
        <v>7.3377471611721807</v>
      </c>
      <c r="AX31" s="54">
        <f>+AX32</f>
        <v>29854.798364774804</v>
      </c>
      <c r="AY31" s="55">
        <f>AY32</f>
        <v>7.3377471611721807</v>
      </c>
      <c r="AZ31" s="54">
        <f>+AZ32</f>
        <v>29854.798364774804</v>
      </c>
      <c r="BA31" s="55">
        <f>BA32</f>
        <v>7.3377471611721807</v>
      </c>
      <c r="BB31" s="54">
        <f>+BB32</f>
        <v>29854.798364774804</v>
      </c>
      <c r="BC31" s="55">
        <f>BC32</f>
        <v>7.3377471611721807</v>
      </c>
      <c r="BD31" s="54">
        <f>+BD32</f>
        <v>29854.798364774804</v>
      </c>
      <c r="BE31" s="55">
        <f>BE32</f>
        <v>7.3377471611721807</v>
      </c>
      <c r="BF31" s="54">
        <f>+BF32</f>
        <v>29854.798364774804</v>
      </c>
      <c r="BG31" s="55">
        <f>BG32</f>
        <v>7.3377471611721807</v>
      </c>
      <c r="BH31" s="54">
        <f>+BH32</f>
        <v>31735.547999999999</v>
      </c>
      <c r="BI31" s="55">
        <f>BI32</f>
        <v>7.8</v>
      </c>
      <c r="BJ31" s="54">
        <f>+BJ32</f>
        <v>31735.547999999999</v>
      </c>
      <c r="BK31" s="55">
        <f>BK32</f>
        <v>7.8</v>
      </c>
      <c r="BL31" s="54">
        <f>+BL32</f>
        <v>31735.547999999999</v>
      </c>
      <c r="BM31" s="55">
        <f>BM32</f>
        <v>7.8</v>
      </c>
      <c r="BN31" s="54">
        <f>+BN32</f>
        <v>31735.547999999999</v>
      </c>
      <c r="BO31" s="55">
        <f>BO32</f>
        <v>7.8</v>
      </c>
      <c r="BP31" s="54">
        <f>+BP32</f>
        <v>31735.547999999999</v>
      </c>
      <c r="BQ31" s="55">
        <f>BQ32</f>
        <v>7.8</v>
      </c>
      <c r="BR31" s="54">
        <f>+BR32</f>
        <v>31735.547999999999</v>
      </c>
      <c r="BS31" s="55">
        <f>BS32</f>
        <v>7.8</v>
      </c>
      <c r="BT31" s="54">
        <f>+BT32</f>
        <v>31735.547999999999</v>
      </c>
      <c r="BU31" s="55">
        <f>BU32</f>
        <v>7.8</v>
      </c>
      <c r="BV31" s="54">
        <f>+BV32</f>
        <v>31735.547999999999</v>
      </c>
      <c r="BW31" s="55">
        <f>BW32</f>
        <v>7.8</v>
      </c>
      <c r="BX31" s="54">
        <f>+BX32</f>
        <v>31735.547999999999</v>
      </c>
      <c r="BY31" s="55">
        <f>BY32</f>
        <v>7.8</v>
      </c>
      <c r="BZ31" s="54">
        <f>+BZ32</f>
        <v>31735.547999999999</v>
      </c>
      <c r="CA31" s="55">
        <f>CA32</f>
        <v>7.8</v>
      </c>
      <c r="CB31" s="54">
        <f>+CB32</f>
        <v>31735.547999999999</v>
      </c>
      <c r="CC31" s="55">
        <f>CC32</f>
        <v>7.8</v>
      </c>
      <c r="CD31" s="54">
        <f>+CD32</f>
        <v>29790.46602580645</v>
      </c>
      <c r="CE31" s="55">
        <f>CE32</f>
        <v>7.321935483870968</v>
      </c>
      <c r="CF31" s="620"/>
      <c r="CG31" s="620"/>
      <c r="CH31" s="620"/>
      <c r="CI31" s="620"/>
      <c r="CJ31" s="54">
        <f>+CJ32</f>
        <v>29854.798364774804</v>
      </c>
      <c r="CK31" s="55">
        <f>CK32</f>
        <v>7.3377471611721807</v>
      </c>
      <c r="CL31" s="54">
        <f>+CL32</f>
        <v>29854.798364774804</v>
      </c>
      <c r="CM31" s="55">
        <f>CM32</f>
        <v>7.3377471611721807</v>
      </c>
      <c r="CN31" s="54">
        <f>+CN32</f>
        <v>29854.798364774804</v>
      </c>
      <c r="CO31" s="55">
        <f>CO32</f>
        <v>7.3377471611721807</v>
      </c>
      <c r="CP31" s="54">
        <f>+CP32</f>
        <v>29854.798364774804</v>
      </c>
      <c r="CQ31" s="55">
        <f>CQ32</f>
        <v>7.3377471611721807</v>
      </c>
      <c r="CR31" s="54">
        <f>+CR32</f>
        <v>29854.798364774804</v>
      </c>
      <c r="CS31" s="55">
        <f>CS32</f>
        <v>7.3377471611721807</v>
      </c>
      <c r="CT31" s="54">
        <f>+CT32</f>
        <v>31735.547999999999</v>
      </c>
      <c r="CU31" s="55">
        <f>CU32</f>
        <v>7.8</v>
      </c>
      <c r="CV31" s="54">
        <f>+CV32</f>
        <v>30994.023164774801</v>
      </c>
      <c r="CW31" s="55">
        <f>CW32</f>
        <v>7.6177471611721801</v>
      </c>
      <c r="CX31" s="54">
        <f>+CX32</f>
        <v>29854.798364774801</v>
      </c>
      <c r="CY31" s="55">
        <f>CY32</f>
        <v>7.3377471611721798</v>
      </c>
      <c r="DA31" s="54">
        <f>+DA32</f>
        <v>29854.798364774804</v>
      </c>
      <c r="DB31" s="55">
        <f>DB32</f>
        <v>7.3377471611721807</v>
      </c>
      <c r="DC31" s="54">
        <f>+DC32</f>
        <v>31735.547999999999</v>
      </c>
      <c r="DD31" s="55">
        <f>DD32</f>
        <v>7.8</v>
      </c>
      <c r="DE31" s="54">
        <f>+DE32</f>
        <v>31735.547999999999</v>
      </c>
      <c r="DF31" s="55">
        <f>DF32</f>
        <v>7.8</v>
      </c>
      <c r="DG31" s="54">
        <f>+DG32</f>
        <v>31735.547999999999</v>
      </c>
      <c r="DH31" s="55">
        <f>DH32</f>
        <v>7.8</v>
      </c>
      <c r="DI31" s="54">
        <f>+DI32</f>
        <v>31735.547999999999</v>
      </c>
      <c r="DJ31" s="55">
        <f>DJ32</f>
        <v>7.8</v>
      </c>
      <c r="DK31" s="54">
        <f>+DK32</f>
        <v>31735.547999999999</v>
      </c>
      <c r="DL31" s="55">
        <f>DL32</f>
        <v>7.8</v>
      </c>
      <c r="DM31" s="54">
        <f>+DM32</f>
        <v>31735.547999999999</v>
      </c>
      <c r="DN31" s="55">
        <f>DN32</f>
        <v>7.8</v>
      </c>
      <c r="DO31" s="54">
        <f>+DO32</f>
        <v>30711.82064516129</v>
      </c>
      <c r="DP31" s="55">
        <f>DP32</f>
        <v>7.5483870967741939</v>
      </c>
      <c r="DR31" s="54">
        <f>+DR32</f>
        <v>31735.547999999999</v>
      </c>
      <c r="DS31" s="55">
        <f>DS32</f>
        <v>7.8</v>
      </c>
      <c r="DT31" s="54">
        <f>+DT32</f>
        <v>31735.547999999999</v>
      </c>
      <c r="DU31" s="55">
        <f>DU32</f>
        <v>7.8</v>
      </c>
    </row>
    <row r="32" spans="1:125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v>7.3591528301222118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>+L32/L12</f>
        <v>7.8048780487804876</v>
      </c>
      <c r="N32" s="54">
        <f>O32*N12</f>
        <v>29854.798364774804</v>
      </c>
      <c r="O32" s="55">
        <v>7.3377471611721807</v>
      </c>
      <c r="P32" s="54">
        <f>Q32*P12</f>
        <v>30847.406672969333</v>
      </c>
      <c r="Q32" s="55">
        <v>7.5817115888202347</v>
      </c>
      <c r="R32" s="54">
        <f>S32*R12</f>
        <v>31755.395121951216</v>
      </c>
      <c r="S32" s="55">
        <f>8*40/41</f>
        <v>7.8048780487804876</v>
      </c>
      <c r="T32" s="54">
        <f>U32*T12</f>
        <v>29854.798364774804</v>
      </c>
      <c r="U32" s="55">
        <v>7.3377471611721807</v>
      </c>
      <c r="V32" s="54">
        <f>W32*V12</f>
        <v>29854.798364774804</v>
      </c>
      <c r="W32" s="55">
        <v>7.3377471611721807</v>
      </c>
      <c r="X32" s="54">
        <f>Y32*X12</f>
        <v>29854.798364774804</v>
      </c>
      <c r="Y32" s="55">
        <v>7.3377471611721807</v>
      </c>
      <c r="Z32" s="54">
        <f>AA32*Z12</f>
        <v>29854.798364774804</v>
      </c>
      <c r="AA32" s="55">
        <v>7.3377471611721807</v>
      </c>
      <c r="AB32" s="54">
        <f>AC32*AB12</f>
        <v>29854.798364774804</v>
      </c>
      <c r="AC32" s="55">
        <v>7.3377471611721807</v>
      </c>
      <c r="AD32" s="54">
        <f>AE32*AD12</f>
        <v>29854.798364774804</v>
      </c>
      <c r="AE32" s="55">
        <v>7.3377471611721807</v>
      </c>
      <c r="AF32" s="54">
        <f>AG32*AF12</f>
        <v>29854.798364774804</v>
      </c>
      <c r="AG32" s="55">
        <v>7.3377471611721807</v>
      </c>
      <c r="AH32" s="54">
        <f>AI32*AH12</f>
        <v>29854.798364774804</v>
      </c>
      <c r="AI32" s="55">
        <v>7.3377471611721807</v>
      </c>
      <c r="AJ32" s="54">
        <f>AK32*AJ12</f>
        <v>29854.798364774804</v>
      </c>
      <c r="AK32" s="55">
        <v>7.3377471611721807</v>
      </c>
      <c r="AL32" s="54">
        <f>AM32*AL12</f>
        <v>29854.798364774804</v>
      </c>
      <c r="AM32" s="55">
        <v>7.3377471611721807</v>
      </c>
      <c r="AN32" s="54">
        <f>AO32*AN12</f>
        <v>29854.798364774804</v>
      </c>
      <c r="AO32" s="55">
        <v>7.3377471611721807</v>
      </c>
      <c r="AP32" s="54">
        <f>AQ32*AP12</f>
        <v>29854.798364774804</v>
      </c>
      <c r="AQ32" s="55">
        <v>7.3377471611721807</v>
      </c>
      <c r="AR32" s="54">
        <f>AS32*AR12</f>
        <v>29854.798364774804</v>
      </c>
      <c r="AS32" s="55">
        <v>7.3377471611721807</v>
      </c>
      <c r="AT32" s="54">
        <f>AU32*AT12</f>
        <v>29854.798364774804</v>
      </c>
      <c r="AU32" s="55">
        <v>7.3377471611721807</v>
      </c>
      <c r="AV32" s="54">
        <f>AW32*AV12</f>
        <v>29854.798364774804</v>
      </c>
      <c r="AW32" s="55">
        <v>7.3377471611721807</v>
      </c>
      <c r="AX32" s="54">
        <f>AY32*AX12</f>
        <v>29854.798364774804</v>
      </c>
      <c r="AY32" s="55">
        <v>7.3377471611721807</v>
      </c>
      <c r="AZ32" s="54">
        <f>BA32*AZ12</f>
        <v>29854.798364774804</v>
      </c>
      <c r="BA32" s="55">
        <v>7.3377471611721807</v>
      </c>
      <c r="BB32" s="54">
        <f>BC32*BB12</f>
        <v>29854.798364774804</v>
      </c>
      <c r="BC32" s="55">
        <v>7.3377471611721807</v>
      </c>
      <c r="BD32" s="54">
        <f>BE32*BD12</f>
        <v>29854.798364774804</v>
      </c>
      <c r="BE32" s="55">
        <v>7.3377471611721807</v>
      </c>
      <c r="BF32" s="54">
        <f>BG32*BF12</f>
        <v>29854.798364774804</v>
      </c>
      <c r="BG32" s="55">
        <v>7.3377471611721807</v>
      </c>
      <c r="BH32" s="54">
        <f>BI32*BH12</f>
        <v>31735.547999999999</v>
      </c>
      <c r="BI32" s="55">
        <v>7.8</v>
      </c>
      <c r="BJ32" s="54">
        <f>BK32*BJ12</f>
        <v>31735.547999999999</v>
      </c>
      <c r="BK32" s="55">
        <v>7.8</v>
      </c>
      <c r="BL32" s="54">
        <f>BM32*BL12</f>
        <v>31735.547999999999</v>
      </c>
      <c r="BM32" s="55">
        <v>7.8</v>
      </c>
      <c r="BN32" s="54">
        <f>BO32*BN12</f>
        <v>31735.547999999999</v>
      </c>
      <c r="BO32" s="55">
        <v>7.8</v>
      </c>
      <c r="BP32" s="54">
        <f>BQ32*BP12</f>
        <v>31735.547999999999</v>
      </c>
      <c r="BQ32" s="55">
        <v>7.8</v>
      </c>
      <c r="BR32" s="54">
        <f>BS32*BR12</f>
        <v>31735.547999999999</v>
      </c>
      <c r="BS32" s="55">
        <v>7.8</v>
      </c>
      <c r="BT32" s="54">
        <f>BU32*BT12</f>
        <v>31735.547999999999</v>
      </c>
      <c r="BU32" s="55">
        <v>7.8</v>
      </c>
      <c r="BV32" s="54">
        <f>BW32*BV12</f>
        <v>31735.547999999999</v>
      </c>
      <c r="BW32" s="55">
        <v>7.8</v>
      </c>
      <c r="BX32" s="54">
        <f>BY32*BX12</f>
        <v>31735.547999999999</v>
      </c>
      <c r="BY32" s="55">
        <v>7.8</v>
      </c>
      <c r="BZ32" s="54">
        <f>CA32*BZ12</f>
        <v>31735.547999999999</v>
      </c>
      <c r="CA32" s="55">
        <v>7.8</v>
      </c>
      <c r="CB32" s="54">
        <f>CC32*CB12</f>
        <v>31735.547999999999</v>
      </c>
      <c r="CC32" s="55">
        <v>7.8</v>
      </c>
      <c r="CD32" s="54">
        <f>CE32*CD12</f>
        <v>29790.46602580645</v>
      </c>
      <c r="CE32" s="55">
        <f>7.8*300/310*97%</f>
        <v>7.321935483870968</v>
      </c>
      <c r="CF32" s="620"/>
      <c r="CG32" s="620"/>
      <c r="CH32" s="620"/>
      <c r="CI32" s="620"/>
      <c r="CJ32" s="54">
        <f>CK32*CJ12</f>
        <v>29854.798364774804</v>
      </c>
      <c r="CK32" s="55">
        <v>7.3377471611721807</v>
      </c>
      <c r="CL32" s="54">
        <f>CM32*CL12</f>
        <v>29854.798364774804</v>
      </c>
      <c r="CM32" s="55">
        <v>7.3377471611721807</v>
      </c>
      <c r="CN32" s="54">
        <f>CO32*CN12</f>
        <v>29854.798364774804</v>
      </c>
      <c r="CO32" s="55">
        <v>7.3377471611721807</v>
      </c>
      <c r="CP32" s="54">
        <f>CQ32*CP12</f>
        <v>29854.798364774804</v>
      </c>
      <c r="CQ32" s="55">
        <v>7.3377471611721807</v>
      </c>
      <c r="CR32" s="54">
        <f>CS32*CR12</f>
        <v>29854.798364774804</v>
      </c>
      <c r="CS32" s="55">
        <v>7.3377471611721807</v>
      </c>
      <c r="CT32" s="54">
        <f>CU32*CT12</f>
        <v>31735.547999999999</v>
      </c>
      <c r="CU32" s="55">
        <v>7.8</v>
      </c>
      <c r="CV32" s="54">
        <f>CW32*CV12</f>
        <v>30994.023164774801</v>
      </c>
      <c r="CW32" s="55">
        <f>7.33774716117218+0.23+0.05</f>
        <v>7.6177471611721801</v>
      </c>
      <c r="CX32" s="54">
        <f>CY32*CX12</f>
        <v>29854.798364774801</v>
      </c>
      <c r="CY32" s="55">
        <f>7.33774716117218</f>
        <v>7.3377471611721798</v>
      </c>
      <c r="DA32" s="54">
        <f>DB32*DA12</f>
        <v>29854.798364774804</v>
      </c>
      <c r="DB32" s="55">
        <v>7.3377471611721807</v>
      </c>
      <c r="DC32" s="54">
        <f>DD32*DC12</f>
        <v>31735.547999999999</v>
      </c>
      <c r="DD32" s="55">
        <v>7.8</v>
      </c>
      <c r="DE32" s="54">
        <f>DF32*DE12</f>
        <v>31735.547999999999</v>
      </c>
      <c r="DF32" s="55">
        <v>7.8</v>
      </c>
      <c r="DG32" s="54">
        <f>DH32*DG12</f>
        <v>31735.547999999999</v>
      </c>
      <c r="DH32" s="55">
        <v>7.8</v>
      </c>
      <c r="DI32" s="54">
        <f>DJ32*DI12</f>
        <v>31735.547999999999</v>
      </c>
      <c r="DJ32" s="55">
        <v>7.8</v>
      </c>
      <c r="DK32" s="54">
        <f>DL32*DK12</f>
        <v>31735.547999999999</v>
      </c>
      <c r="DL32" s="55">
        <v>7.8</v>
      </c>
      <c r="DM32" s="54">
        <f>DN32*DM12</f>
        <v>31735.547999999999</v>
      </c>
      <c r="DN32" s="55">
        <v>7.8</v>
      </c>
      <c r="DO32" s="54">
        <f>DP32*DO12</f>
        <v>30711.82064516129</v>
      </c>
      <c r="DP32" s="55">
        <f>7.8*300/310</f>
        <v>7.5483870967741939</v>
      </c>
      <c r="DR32" s="54">
        <f>DS32*DR12</f>
        <v>31735.547999999999</v>
      </c>
      <c r="DS32" s="55">
        <v>7.8</v>
      </c>
      <c r="DT32" s="54">
        <f>DU32*DT12</f>
        <v>31735.547999999999</v>
      </c>
      <c r="DU32" s="55">
        <v>7.8</v>
      </c>
    </row>
    <row r="33" spans="1:125" s="4" customFormat="1" ht="18" customHeight="1" x14ac:dyDescent="0.45">
      <c r="A33" s="561"/>
      <c r="B33" s="1195"/>
      <c r="C33" s="25"/>
      <c r="D33" s="26"/>
      <c r="E33" s="26"/>
      <c r="F33" s="61"/>
      <c r="G33" s="41"/>
      <c r="H33" s="347"/>
      <c r="I33" s="346"/>
      <c r="J33" s="347"/>
      <c r="K33" s="346"/>
      <c r="L33" s="347"/>
      <c r="M33" s="346"/>
      <c r="N33" s="365"/>
      <c r="O33" s="358"/>
      <c r="P33" s="365"/>
      <c r="Q33" s="358"/>
      <c r="R33" s="365"/>
      <c r="S33" s="358"/>
      <c r="T33" s="365"/>
      <c r="U33" s="358"/>
      <c r="V33" s="365"/>
      <c r="W33" s="358"/>
      <c r="X33" s="365"/>
      <c r="Y33" s="358"/>
      <c r="Z33" s="365"/>
      <c r="AA33" s="358"/>
      <c r="AB33" s="365"/>
      <c r="AC33" s="358"/>
      <c r="AD33" s="365"/>
      <c r="AE33" s="358"/>
      <c r="AF33" s="365"/>
      <c r="AG33" s="358"/>
      <c r="AH33" s="365"/>
      <c r="AI33" s="358"/>
      <c r="AJ33" s="365"/>
      <c r="AK33" s="358"/>
      <c r="AL33" s="365"/>
      <c r="AM33" s="358"/>
      <c r="AN33" s="365"/>
      <c r="AO33" s="358"/>
      <c r="AP33" s="365"/>
      <c r="AQ33" s="358"/>
      <c r="AR33" s="365"/>
      <c r="AS33" s="358"/>
      <c r="AT33" s="365"/>
      <c r="AU33" s="358"/>
      <c r="AV33" s="365"/>
      <c r="AW33" s="358"/>
      <c r="AX33" s="365"/>
      <c r="AY33" s="358"/>
      <c r="AZ33" s="365"/>
      <c r="BA33" s="358"/>
      <c r="BB33" s="365"/>
      <c r="BC33" s="358"/>
      <c r="BD33" s="365"/>
      <c r="BE33" s="358"/>
      <c r="BF33" s="365"/>
      <c r="BG33" s="358"/>
      <c r="BH33" s="365"/>
      <c r="BI33" s="358"/>
      <c r="BJ33" s="365"/>
      <c r="BK33" s="358"/>
      <c r="BL33" s="365"/>
      <c r="BM33" s="358"/>
      <c r="BN33" s="365"/>
      <c r="BO33" s="358"/>
      <c r="BP33" s="365"/>
      <c r="BQ33" s="358"/>
      <c r="BR33" s="365"/>
      <c r="BS33" s="358"/>
      <c r="BT33" s="365"/>
      <c r="BU33" s="358"/>
      <c r="BV33" s="365"/>
      <c r="BW33" s="358"/>
      <c r="BX33" s="365"/>
      <c r="BY33" s="358"/>
      <c r="BZ33" s="365"/>
      <c r="CA33" s="358"/>
      <c r="CB33" s="365"/>
      <c r="CC33" s="358"/>
      <c r="CD33" s="365"/>
      <c r="CE33" s="358"/>
      <c r="CF33" s="620"/>
      <c r="CG33" s="620"/>
      <c r="CH33" s="620"/>
      <c r="CI33" s="620"/>
      <c r="CJ33" s="365"/>
      <c r="CK33" s="358"/>
      <c r="CL33" s="365"/>
      <c r="CM33" s="358"/>
      <c r="CN33" s="365"/>
      <c r="CO33" s="358"/>
      <c r="CP33" s="365"/>
      <c r="CQ33" s="358"/>
      <c r="CR33" s="365"/>
      <c r="CS33" s="358"/>
      <c r="CT33" s="365"/>
      <c r="CU33" s="358"/>
      <c r="CV33" s="365"/>
      <c r="CW33" s="358"/>
      <c r="CX33" s="365"/>
      <c r="CY33" s="358"/>
      <c r="DA33" s="365"/>
      <c r="DB33" s="358"/>
      <c r="DC33" s="365"/>
      <c r="DD33" s="358"/>
      <c r="DE33" s="365"/>
      <c r="DF33" s="358"/>
      <c r="DG33" s="365"/>
      <c r="DH33" s="358"/>
      <c r="DI33" s="365"/>
      <c r="DJ33" s="358"/>
      <c r="DK33" s="365"/>
      <c r="DL33" s="358"/>
      <c r="DM33" s="365"/>
      <c r="DN33" s="358"/>
      <c r="DO33" s="365"/>
      <c r="DP33" s="358"/>
      <c r="DR33" s="365"/>
      <c r="DS33" s="358"/>
      <c r="DT33" s="365"/>
      <c r="DU33" s="358"/>
    </row>
    <row r="34" spans="1:125" s="4" customFormat="1" ht="18" hidden="1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360"/>
      <c r="Z34" s="364"/>
      <c r="AA34" s="360"/>
      <c r="AB34" s="364"/>
      <c r="AC34" s="360"/>
      <c r="AD34" s="364"/>
      <c r="AE34" s="360"/>
      <c r="AF34" s="364"/>
      <c r="AG34" s="360"/>
      <c r="AH34" s="364"/>
      <c r="AI34" s="360"/>
      <c r="AJ34" s="364"/>
      <c r="AK34" s="360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364"/>
      <c r="AW34" s="360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364"/>
      <c r="BO34" s="360"/>
      <c r="BP34" s="364"/>
      <c r="BQ34" s="360"/>
      <c r="BR34" s="364"/>
      <c r="BS34" s="360"/>
      <c r="BT34" s="364"/>
      <c r="BU34" s="360"/>
      <c r="BV34" s="364"/>
      <c r="BW34" s="360"/>
      <c r="BX34" s="364"/>
      <c r="BY34" s="360"/>
      <c r="BZ34" s="364"/>
      <c r="CA34" s="360"/>
      <c r="CB34" s="364"/>
      <c r="CC34" s="360"/>
      <c r="CD34" s="364"/>
      <c r="CE34" s="360"/>
      <c r="CF34" s="620"/>
      <c r="CG34" s="620"/>
      <c r="CH34" s="620"/>
      <c r="CI34" s="620"/>
      <c r="CJ34" s="364"/>
      <c r="CK34" s="360"/>
      <c r="CL34" s="364"/>
      <c r="CM34" s="360"/>
      <c r="CN34" s="364"/>
      <c r="CO34" s="360"/>
      <c r="CP34" s="364"/>
      <c r="CQ34" s="360"/>
      <c r="CR34" s="364"/>
      <c r="CS34" s="360"/>
      <c r="CT34" s="364"/>
      <c r="CU34" s="360"/>
      <c r="CV34" s="364"/>
      <c r="CW34" s="360"/>
      <c r="CX34" s="364"/>
      <c r="CY34" s="360"/>
      <c r="DA34" s="364"/>
      <c r="DB34" s="360"/>
      <c r="DC34" s="364"/>
      <c r="DD34" s="360"/>
      <c r="DE34" s="364"/>
      <c r="DF34" s="360"/>
      <c r="DG34" s="364"/>
      <c r="DH34" s="360"/>
      <c r="DI34" s="364"/>
      <c r="DJ34" s="360"/>
      <c r="DK34" s="364"/>
      <c r="DL34" s="360"/>
      <c r="DM34" s="364"/>
      <c r="DN34" s="360"/>
      <c r="DO34" s="364"/>
      <c r="DP34" s="360"/>
      <c r="DR34" s="364"/>
      <c r="DS34" s="360"/>
      <c r="DT34" s="364"/>
      <c r="DU34" s="360"/>
    </row>
    <row r="35" spans="1:125" s="49" customFormat="1" ht="18" hidden="1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159">L36/L32</f>
        <v>8.8374999999999884E-2</v>
      </c>
      <c r="M35" s="362">
        <f t="shared" si="159"/>
        <v>8.8374999999999967E-2</v>
      </c>
      <c r="N35" s="361"/>
      <c r="O35" s="362"/>
      <c r="P35" s="361"/>
      <c r="Q35" s="362"/>
      <c r="R35" s="361">
        <f t="shared" ref="R35:S35" si="160">R36/R32</f>
        <v>8.8374999999999884E-2</v>
      </c>
      <c r="S35" s="362">
        <f t="shared" si="160"/>
        <v>8.8374999999999967E-2</v>
      </c>
      <c r="T35" s="361"/>
      <c r="U35" s="362"/>
      <c r="V35" s="361"/>
      <c r="W35" s="362"/>
      <c r="X35" s="361"/>
      <c r="Y35" s="362"/>
      <c r="Z35" s="361"/>
      <c r="AA35" s="362"/>
      <c r="AB35" s="361"/>
      <c r="AC35" s="362"/>
      <c r="AD35" s="361"/>
      <c r="AE35" s="362"/>
      <c r="AF35" s="361"/>
      <c r="AG35" s="362"/>
      <c r="AH35" s="361"/>
      <c r="AI35" s="362"/>
      <c r="AJ35" s="361"/>
      <c r="AK35" s="362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361"/>
      <c r="AW35" s="362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361"/>
      <c r="BY35" s="362"/>
      <c r="BZ35" s="361"/>
      <c r="CA35" s="362"/>
      <c r="CB35" s="361"/>
      <c r="CC35" s="362"/>
      <c r="CD35" s="361"/>
      <c r="CE35" s="362"/>
      <c r="CF35" s="620"/>
      <c r="CG35" s="620"/>
      <c r="CH35" s="620"/>
      <c r="CI35" s="620"/>
      <c r="CJ35" s="361"/>
      <c r="CK35" s="362"/>
      <c r="CL35" s="361"/>
      <c r="CM35" s="362"/>
      <c r="CN35" s="361"/>
      <c r="CO35" s="362"/>
      <c r="CP35" s="361"/>
      <c r="CQ35" s="362"/>
      <c r="CR35" s="361"/>
      <c r="CS35" s="362"/>
      <c r="CT35" s="361"/>
      <c r="CU35" s="362"/>
      <c r="CV35" s="361"/>
      <c r="CW35" s="362"/>
      <c r="CX35" s="361"/>
      <c r="CY35" s="362"/>
      <c r="DA35" s="361"/>
      <c r="DB35" s="362"/>
      <c r="DC35" s="361"/>
      <c r="DD35" s="362"/>
      <c r="DE35" s="361"/>
      <c r="DF35" s="362"/>
      <c r="DG35" s="361"/>
      <c r="DH35" s="362"/>
      <c r="DI35" s="361"/>
      <c r="DJ35" s="362"/>
      <c r="DK35" s="361"/>
      <c r="DL35" s="362"/>
      <c r="DM35" s="361"/>
      <c r="DN35" s="362"/>
      <c r="DO35" s="361"/>
      <c r="DP35" s="362"/>
      <c r="DR35" s="361"/>
      <c r="DS35" s="362"/>
      <c r="DT35" s="361"/>
      <c r="DU35" s="362"/>
    </row>
    <row r="36" spans="1:125" s="4" customFormat="1" ht="18" hidden="1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161">L32-L38</f>
        <v>2806.383043902435</v>
      </c>
      <c r="M36" s="351">
        <f t="shared" si="161"/>
        <v>0.68975609756097533</v>
      </c>
      <c r="N36" s="363"/>
      <c r="O36" s="351"/>
      <c r="P36" s="363"/>
      <c r="Q36" s="351"/>
      <c r="R36" s="363">
        <f t="shared" ref="R36:S36" si="162">R32-R38</f>
        <v>2806.383043902435</v>
      </c>
      <c r="S36" s="351">
        <f t="shared" si="162"/>
        <v>0.68975609756097533</v>
      </c>
      <c r="T36" s="363"/>
      <c r="U36" s="351"/>
      <c r="V36" s="363"/>
      <c r="W36" s="351"/>
      <c r="X36" s="363"/>
      <c r="Y36" s="351"/>
      <c r="Z36" s="363"/>
      <c r="AA36" s="351"/>
      <c r="AB36" s="363"/>
      <c r="AC36" s="351"/>
      <c r="AD36" s="363"/>
      <c r="AE36" s="351"/>
      <c r="AF36" s="363"/>
      <c r="AG36" s="351"/>
      <c r="AH36" s="363"/>
      <c r="AI36" s="351"/>
      <c r="AJ36" s="363"/>
      <c r="AK36" s="351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363"/>
      <c r="AW36" s="351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363"/>
      <c r="BY36" s="351"/>
      <c r="BZ36" s="363"/>
      <c r="CA36" s="351"/>
      <c r="CB36" s="363"/>
      <c r="CC36" s="351"/>
      <c r="CD36" s="363"/>
      <c r="CE36" s="351"/>
      <c r="CF36" s="620"/>
      <c r="CG36" s="620"/>
      <c r="CH36" s="620"/>
      <c r="CI36" s="620"/>
      <c r="CJ36" s="363"/>
      <c r="CK36" s="351"/>
      <c r="CL36" s="363"/>
      <c r="CM36" s="351"/>
      <c r="CN36" s="363"/>
      <c r="CO36" s="351"/>
      <c r="CP36" s="363"/>
      <c r="CQ36" s="351"/>
      <c r="CR36" s="363"/>
      <c r="CS36" s="351"/>
      <c r="CT36" s="363"/>
      <c r="CU36" s="351"/>
      <c r="CV36" s="363"/>
      <c r="CW36" s="351"/>
      <c r="CX36" s="363"/>
      <c r="CY36" s="351"/>
      <c r="DA36" s="363"/>
      <c r="DB36" s="351"/>
      <c r="DC36" s="363"/>
      <c r="DD36" s="351"/>
      <c r="DE36" s="363"/>
      <c r="DF36" s="351"/>
      <c r="DG36" s="363"/>
      <c r="DH36" s="351"/>
      <c r="DI36" s="363"/>
      <c r="DJ36" s="351"/>
      <c r="DK36" s="363"/>
      <c r="DL36" s="351"/>
      <c r="DM36" s="363"/>
      <c r="DN36" s="351"/>
      <c r="DO36" s="363"/>
      <c r="DP36" s="351"/>
      <c r="DR36" s="363"/>
      <c r="DS36" s="351"/>
      <c r="DT36" s="363"/>
      <c r="DU36" s="351"/>
    </row>
    <row r="37" spans="1:125" s="4" customFormat="1" ht="18" hidden="1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28949.012078048781</v>
      </c>
      <c r="S37" s="55">
        <f>S38</f>
        <v>7.1151219512195123</v>
      </c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54"/>
      <c r="BY37" s="55"/>
      <c r="BZ37" s="54"/>
      <c r="CA37" s="55"/>
      <c r="CB37" s="54"/>
      <c r="CC37" s="55"/>
      <c r="CD37" s="54"/>
      <c r="CE37" s="55"/>
      <c r="CF37" s="620"/>
      <c r="CG37" s="620"/>
      <c r="CH37" s="620"/>
      <c r="CI37" s="620"/>
      <c r="CJ37" s="54"/>
      <c r="CK37" s="55"/>
      <c r="CL37" s="54"/>
      <c r="CM37" s="55"/>
      <c r="CN37" s="54"/>
      <c r="CO37" s="55"/>
      <c r="CP37" s="54"/>
      <c r="CQ37" s="55"/>
      <c r="CR37" s="54"/>
      <c r="CS37" s="55"/>
      <c r="CT37" s="54"/>
      <c r="CU37" s="55"/>
      <c r="CV37" s="54"/>
      <c r="CW37" s="55"/>
      <c r="CX37" s="54"/>
      <c r="CY37" s="55"/>
      <c r="DA37" s="54"/>
      <c r="DB37" s="55"/>
      <c r="DC37" s="54"/>
      <c r="DD37" s="55"/>
      <c r="DE37" s="54"/>
      <c r="DF37" s="55"/>
      <c r="DG37" s="54"/>
      <c r="DH37" s="55"/>
      <c r="DI37" s="54"/>
      <c r="DJ37" s="55"/>
      <c r="DK37" s="54"/>
      <c r="DL37" s="55"/>
      <c r="DM37" s="54"/>
      <c r="DN37" s="55"/>
      <c r="DO37" s="54"/>
      <c r="DP37" s="55"/>
      <c r="DR37" s="54"/>
      <c r="DS37" s="55"/>
      <c r="DT37" s="54"/>
      <c r="DU37" s="55"/>
    </row>
    <row r="38" spans="1:125" s="4" customFormat="1" ht="18" hidden="1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28949.012078048781</v>
      </c>
      <c r="S38" s="55">
        <v>7.1151219512195123</v>
      </c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54"/>
      <c r="BY38" s="55"/>
      <c r="BZ38" s="54"/>
      <c r="CA38" s="55"/>
      <c r="CB38" s="54"/>
      <c r="CC38" s="55"/>
      <c r="CD38" s="54"/>
      <c r="CE38" s="55"/>
      <c r="CF38" s="620"/>
      <c r="CG38" s="620"/>
      <c r="CH38" s="620"/>
      <c r="CI38" s="620"/>
      <c r="CJ38" s="54"/>
      <c r="CK38" s="55"/>
      <c r="CL38" s="54"/>
      <c r="CM38" s="55"/>
      <c r="CN38" s="54"/>
      <c r="CO38" s="55"/>
      <c r="CP38" s="54"/>
      <c r="CQ38" s="55"/>
      <c r="CR38" s="54"/>
      <c r="CS38" s="55"/>
      <c r="CT38" s="54"/>
      <c r="CU38" s="55"/>
      <c r="CV38" s="54"/>
      <c r="CW38" s="55"/>
      <c r="CX38" s="54"/>
      <c r="CY38" s="55"/>
      <c r="DA38" s="54"/>
      <c r="DB38" s="55"/>
      <c r="DC38" s="54"/>
      <c r="DD38" s="55"/>
      <c r="DE38" s="54"/>
      <c r="DF38" s="55"/>
      <c r="DG38" s="54"/>
      <c r="DH38" s="55"/>
      <c r="DI38" s="54"/>
      <c r="DJ38" s="55"/>
      <c r="DK38" s="54"/>
      <c r="DL38" s="55"/>
      <c r="DM38" s="54"/>
      <c r="DN38" s="55"/>
      <c r="DO38" s="54"/>
      <c r="DP38" s="55"/>
      <c r="DR38" s="54"/>
      <c r="DS38" s="55"/>
      <c r="DT38" s="54"/>
      <c r="DU38" s="55"/>
    </row>
    <row r="39" spans="1:125" s="4" customFormat="1" ht="18" hidden="1" customHeight="1" x14ac:dyDescent="0.45">
      <c r="A39" s="561"/>
      <c r="B39" s="1195"/>
      <c r="C39" s="25"/>
      <c r="D39" s="26"/>
      <c r="E39" s="26"/>
      <c r="F39" s="61"/>
      <c r="G39" s="41"/>
      <c r="H39" s="347"/>
      <c r="I39" s="346"/>
      <c r="J39" s="347"/>
      <c r="K39" s="346"/>
      <c r="L39" s="347"/>
      <c r="M39" s="346"/>
      <c r="N39" s="858"/>
      <c r="O39" s="859">
        <f>500/(7.34*3850)</f>
        <v>1.7693478183941399E-2</v>
      </c>
      <c r="P39" s="365"/>
      <c r="Q39" s="358"/>
      <c r="R39" s="365"/>
      <c r="S39" s="358"/>
      <c r="T39" s="858"/>
      <c r="U39" s="859">
        <f>500/(7.34*3850)</f>
        <v>1.7693478183941399E-2</v>
      </c>
      <c r="V39" s="858"/>
      <c r="W39" s="859">
        <f>500/(7.34*3850)</f>
        <v>1.7693478183941399E-2</v>
      </c>
      <c r="X39" s="858"/>
      <c r="Y39" s="859">
        <f>500/(7.34*3850)</f>
        <v>1.7693478183941399E-2</v>
      </c>
      <c r="Z39" s="858"/>
      <c r="AA39" s="859">
        <f>500/(7.34*3850)</f>
        <v>1.7693478183941399E-2</v>
      </c>
      <c r="AB39" s="858"/>
      <c r="AC39" s="859">
        <f>500/(7.34*3850)</f>
        <v>1.7693478183941399E-2</v>
      </c>
      <c r="AD39" s="858"/>
      <c r="AE39" s="859">
        <f>500/(7.34*3850)</f>
        <v>1.7693478183941399E-2</v>
      </c>
      <c r="AF39" s="858"/>
      <c r="AG39" s="859">
        <f>500/(7.34*3850)</f>
        <v>1.7693478183941399E-2</v>
      </c>
      <c r="AH39" s="858"/>
      <c r="AI39" s="859">
        <f>500/(7.34*3850)</f>
        <v>1.7693478183941399E-2</v>
      </c>
      <c r="AJ39" s="858"/>
      <c r="AK39" s="859">
        <f>500/(7.34*3850)</f>
        <v>1.7693478183941399E-2</v>
      </c>
      <c r="AL39" s="858"/>
      <c r="AM39" s="859">
        <f>500/(7.34*3850)</f>
        <v>1.7693478183941399E-2</v>
      </c>
      <c r="AN39" s="858"/>
      <c r="AO39" s="859">
        <f>500/(7.34*3850)</f>
        <v>1.7693478183941399E-2</v>
      </c>
      <c r="AP39" s="858"/>
      <c r="AQ39" s="859">
        <f>500/(7.34*3850)</f>
        <v>1.7693478183941399E-2</v>
      </c>
      <c r="AR39" s="858"/>
      <c r="AS39" s="859">
        <f>500/(7.34*3850)</f>
        <v>1.7693478183941399E-2</v>
      </c>
      <c r="AT39" s="858"/>
      <c r="AU39" s="859">
        <f>500/(7.34*3850)</f>
        <v>1.7693478183941399E-2</v>
      </c>
      <c r="AV39" s="858"/>
      <c r="AW39" s="859">
        <f>500/(7.34*3850)</f>
        <v>1.7693478183941399E-2</v>
      </c>
      <c r="AX39" s="858"/>
      <c r="AY39" s="859">
        <f>500/(7.34*3850)</f>
        <v>1.7693478183941399E-2</v>
      </c>
      <c r="AZ39" s="858"/>
      <c r="BA39" s="859">
        <f>500/(7.34*3850)</f>
        <v>1.7693478183941399E-2</v>
      </c>
      <c r="BB39" s="858"/>
      <c r="BC39" s="859">
        <f>500/(7.34*3850)</f>
        <v>1.7693478183941399E-2</v>
      </c>
      <c r="BD39" s="858"/>
      <c r="BE39" s="859"/>
      <c r="BF39" s="858"/>
      <c r="BG39" s="859"/>
      <c r="BH39" s="858"/>
      <c r="BI39" s="859"/>
      <c r="BJ39" s="858"/>
      <c r="BK39" s="859"/>
      <c r="BL39" s="858"/>
      <c r="BM39" s="859"/>
      <c r="BN39" s="858"/>
      <c r="BO39" s="859"/>
      <c r="BP39" s="858"/>
      <c r="BQ39" s="859"/>
      <c r="BR39" s="858"/>
      <c r="BS39" s="859"/>
      <c r="BT39" s="858"/>
      <c r="BU39" s="859"/>
      <c r="BV39" s="858"/>
      <c r="BW39" s="859"/>
      <c r="BX39" s="858"/>
      <c r="BY39" s="859"/>
      <c r="BZ39" s="858"/>
      <c r="CA39" s="859"/>
      <c r="CB39" s="858"/>
      <c r="CC39" s="859"/>
      <c r="CD39" s="858"/>
      <c r="CE39" s="859"/>
      <c r="CF39" s="620"/>
      <c r="CG39" s="620"/>
      <c r="CH39" s="620"/>
      <c r="CI39" s="620"/>
      <c r="CJ39" s="858"/>
      <c r="CK39" s="859">
        <f>500/(7.34*3850)</f>
        <v>1.7693478183941399E-2</v>
      </c>
      <c r="CL39" s="858"/>
      <c r="CM39" s="859">
        <f>500/(7.34*3850)</f>
        <v>1.7693478183941399E-2</v>
      </c>
      <c r="CN39" s="858"/>
      <c r="CO39" s="859">
        <f>500/(7.34*3850)</f>
        <v>1.7693478183941399E-2</v>
      </c>
      <c r="CP39" s="858"/>
      <c r="CQ39" s="859">
        <f>500/(7.34*3850)</f>
        <v>1.7693478183941399E-2</v>
      </c>
      <c r="CR39" s="858"/>
      <c r="CS39" s="859">
        <f>500/(7.34*3850)</f>
        <v>1.7693478183941399E-2</v>
      </c>
      <c r="CT39" s="858"/>
      <c r="CU39" s="859">
        <f>500/(7.34*3850)</f>
        <v>1.7693478183941399E-2</v>
      </c>
      <c r="CV39" s="858"/>
      <c r="CW39" s="859">
        <f>500/(7.34*3850)</f>
        <v>1.7693478183941399E-2</v>
      </c>
      <c r="CX39" s="858"/>
      <c r="CY39" s="859">
        <f>500/(7.34*3850)</f>
        <v>1.7693478183941399E-2</v>
      </c>
      <c r="DA39" s="858"/>
      <c r="DB39" s="859"/>
      <c r="DC39" s="858"/>
      <c r="DD39" s="859"/>
      <c r="DE39" s="858"/>
      <c r="DF39" s="859"/>
      <c r="DG39" s="858"/>
      <c r="DH39" s="859"/>
      <c r="DI39" s="858"/>
      <c r="DJ39" s="859"/>
      <c r="DK39" s="858"/>
      <c r="DL39" s="859"/>
      <c r="DM39" s="858"/>
      <c r="DN39" s="859"/>
      <c r="DO39" s="858"/>
      <c r="DP39" s="859"/>
      <c r="DR39" s="858"/>
      <c r="DS39" s="859"/>
      <c r="DT39" s="858"/>
      <c r="DU39" s="859"/>
    </row>
    <row r="40" spans="1:125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364"/>
      <c r="AG40" s="360"/>
      <c r="AH40" s="364"/>
      <c r="AI40" s="360"/>
      <c r="AJ40" s="364"/>
      <c r="AK40" s="360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364"/>
      <c r="BY40" s="360"/>
      <c r="BZ40" s="364"/>
      <c r="CA40" s="360"/>
      <c r="CB40" s="364"/>
      <c r="CC40" s="360"/>
      <c r="CD40" s="364"/>
      <c r="CE40" s="360"/>
      <c r="CF40" s="620"/>
      <c r="CG40" s="620"/>
      <c r="CH40" s="620"/>
      <c r="CI40" s="620"/>
      <c r="CJ40" s="364"/>
      <c r="CK40" s="360"/>
      <c r="CL40" s="364"/>
      <c r="CM40" s="360"/>
      <c r="CN40" s="364"/>
      <c r="CO40" s="360"/>
      <c r="CP40" s="364"/>
      <c r="CQ40" s="360"/>
      <c r="CR40" s="364"/>
      <c r="CS40" s="360"/>
      <c r="CT40" s="364"/>
      <c r="CU40" s="360"/>
      <c r="CV40" s="364"/>
      <c r="CW40" s="360"/>
      <c r="CX40" s="364"/>
      <c r="CY40" s="360"/>
      <c r="DA40" s="364"/>
      <c r="DB40" s="360"/>
      <c r="DC40" s="364"/>
      <c r="DD40" s="360"/>
      <c r="DE40" s="364"/>
      <c r="DF40" s="360"/>
      <c r="DG40" s="364"/>
      <c r="DH40" s="360"/>
      <c r="DI40" s="364"/>
      <c r="DJ40" s="360"/>
      <c r="DK40" s="364"/>
      <c r="DL40" s="360"/>
      <c r="DM40" s="364"/>
      <c r="DN40" s="360"/>
      <c r="DO40" s="364"/>
      <c r="DP40" s="360"/>
      <c r="DR40" s="364"/>
      <c r="DS40" s="360"/>
      <c r="DT40" s="364"/>
      <c r="DU40" s="360"/>
    </row>
    <row r="41" spans="1:125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543.53598818182218</v>
      </c>
      <c r="G41" s="24">
        <f>G42-G54</f>
        <v>0.13359090909090987</v>
      </c>
      <c r="H41" s="430">
        <f>H42-I54*H12</f>
        <v>500.81505818182222</v>
      </c>
      <c r="I41" s="24">
        <f>I42-I54</f>
        <v>0.12301389364747484</v>
      </c>
      <c r="J41" s="430">
        <f>J42-K54*J12</f>
        <v>573.16685773484232</v>
      </c>
      <c r="K41" s="24">
        <f>K42-K54</f>
        <v>0.14087361876756554</v>
      </c>
      <c r="L41" s="430">
        <f>L42-M54*L12</f>
        <v>410.24001073171121</v>
      </c>
      <c r="M41" s="24">
        <f>M42-M54</f>
        <v>0.10082926829268357</v>
      </c>
      <c r="N41" s="430">
        <f>N42-O54*N12</f>
        <v>472.49900525768362</v>
      </c>
      <c r="O41" s="24">
        <f>O42-O54</f>
        <v>0.1161313565787464</v>
      </c>
      <c r="P41" s="430">
        <f>P42-Q54*P12</f>
        <v>561.49617909638937</v>
      </c>
      <c r="Q41" s="24">
        <f>Q42-Q54</f>
        <v>0.13800518576051746</v>
      </c>
      <c r="R41" s="430">
        <f>R42-S54*R12</f>
        <v>388.91485228542979</v>
      </c>
      <c r="S41" s="24">
        <f>S42-S54</f>
        <v>9.5587945978633848E-2</v>
      </c>
      <c r="T41" s="430">
        <f>T42-U54*T12</f>
        <v>471.25906016961335</v>
      </c>
      <c r="U41" s="24">
        <f>U42-U54</f>
        <v>0.11582660142887635</v>
      </c>
      <c r="V41" s="430">
        <f>V42-W54*V12</f>
        <v>471.25906016961335</v>
      </c>
      <c r="W41" s="24">
        <f>W42-W54</f>
        <v>0.11582660142887635</v>
      </c>
      <c r="X41" s="430">
        <f>X42-Y54*X12</f>
        <v>471.25906016961335</v>
      </c>
      <c r="Y41" s="24">
        <f>Y42-Y54</f>
        <v>0.11582660142887635</v>
      </c>
      <c r="Z41" s="430">
        <f>Z42-AA54*Z12</f>
        <v>471.25906016961335</v>
      </c>
      <c r="AA41" s="24">
        <f>AA42-AA54</f>
        <v>0.11582660142887635</v>
      </c>
      <c r="AB41" s="430">
        <f>AB42-AC54*AB12</f>
        <v>471.25906016961335</v>
      </c>
      <c r="AC41" s="24">
        <f>AC42-AC54</f>
        <v>0.11582660142887635</v>
      </c>
      <c r="AD41" s="430">
        <f>AD42-AE54*AD12</f>
        <v>471.25906016961335</v>
      </c>
      <c r="AE41" s="24">
        <f>AE42-AE54</f>
        <v>0.11582660142887635</v>
      </c>
      <c r="AF41" s="430">
        <f>AF42-AG54*AF12</f>
        <v>471.25906016961335</v>
      </c>
      <c r="AG41" s="24">
        <f>AG42-AG54</f>
        <v>0.11582660142887635</v>
      </c>
      <c r="AH41" s="430">
        <f>AH42-AI54*AH12</f>
        <v>471.25906016961335</v>
      </c>
      <c r="AI41" s="24">
        <f>AI42-AI54</f>
        <v>0.11582660142887635</v>
      </c>
      <c r="AJ41" s="430">
        <f>AJ42-AK54*AJ12</f>
        <v>471.25906016961335</v>
      </c>
      <c r="AK41" s="24">
        <f>AK42-AK54</f>
        <v>0.11582660142887635</v>
      </c>
      <c r="AL41" s="430">
        <f>AL42-AM54*AL12</f>
        <v>471.25906016961335</v>
      </c>
      <c r="AM41" s="24">
        <f>AM42-AM54</f>
        <v>0.11582660142887635</v>
      </c>
      <c r="AN41" s="430">
        <f>AN42-AO54*AN12</f>
        <v>471.25906016961335</v>
      </c>
      <c r="AO41" s="24">
        <f>AO42-AO54</f>
        <v>0.11582660142887635</v>
      </c>
      <c r="AP41" s="430">
        <f>AP42-AQ54*AP12</f>
        <v>471.25906016961335</v>
      </c>
      <c r="AQ41" s="24">
        <f>AQ42-AQ54</f>
        <v>0.11582660142887635</v>
      </c>
      <c r="AR41" s="430">
        <f>AR42-AS54*AR12</f>
        <v>471.25906016961335</v>
      </c>
      <c r="AS41" s="24">
        <f>AS42-AS54</f>
        <v>0.11582660142887635</v>
      </c>
      <c r="AT41" s="430">
        <f>AT42-AU54*AT12</f>
        <v>471.25906016961335</v>
      </c>
      <c r="AU41" s="24">
        <f>AU42-AU54</f>
        <v>0.11582660142887635</v>
      </c>
      <c r="AV41" s="430">
        <f>AV42-AW54*AV12</f>
        <v>471.25906016961335</v>
      </c>
      <c r="AW41" s="24">
        <f>AW42-AW54</f>
        <v>0.11582660142887635</v>
      </c>
      <c r="AX41" s="430">
        <f>AX42-AY54*AX12</f>
        <v>471.25906016961335</v>
      </c>
      <c r="AY41" s="24">
        <f>AY42-AY54</f>
        <v>0.11582660142887635</v>
      </c>
      <c r="AZ41" s="430">
        <f>AZ42-BA54*AZ12</f>
        <v>471.25906016961335</v>
      </c>
      <c r="BA41" s="24">
        <f>BA42-BA54</f>
        <v>0.11582660142887635</v>
      </c>
      <c r="BB41" s="430">
        <f>BB42-BC54*BB12</f>
        <v>471.25906016961335</v>
      </c>
      <c r="BC41" s="24">
        <f>BC42-BC54</f>
        <v>0.11582660142887635</v>
      </c>
      <c r="BD41" s="430">
        <f>BD42-BE54*BD12</f>
        <v>471.25906016961335</v>
      </c>
      <c r="BE41" s="24">
        <f>BE42-BE54</f>
        <v>0.11582660142887635</v>
      </c>
      <c r="BF41" s="430">
        <f>BF42-BG54*BF12</f>
        <v>471.25906016961335</v>
      </c>
      <c r="BG41" s="24">
        <f>BG42-BG54</f>
        <v>0.11582660142887635</v>
      </c>
      <c r="BH41" s="430">
        <f>BH42-BI54*BH12</f>
        <v>640.62102490289635</v>
      </c>
      <c r="BI41" s="24">
        <f>BI42-BI54</f>
        <v>0.1574525826446288</v>
      </c>
      <c r="BJ41" s="430">
        <f>BJ42-BK54*BJ12</f>
        <v>640.62102490289635</v>
      </c>
      <c r="BK41" s="24">
        <f>BK42-BK54</f>
        <v>0.1574525826446288</v>
      </c>
      <c r="BL41" s="430">
        <f>BL42-BM54*BL12</f>
        <v>640.62102490289635</v>
      </c>
      <c r="BM41" s="24">
        <f>BM42-BM54</f>
        <v>0.1574525826446288</v>
      </c>
      <c r="BN41" s="430">
        <f>BN42-BO54*BN12</f>
        <v>640.62102490289635</v>
      </c>
      <c r="BO41" s="24">
        <f>BO42-BO54</f>
        <v>0.1574525826446288</v>
      </c>
      <c r="BP41" s="430">
        <f>BP42-BQ54*BP12</f>
        <v>640.62102490289635</v>
      </c>
      <c r="BQ41" s="24">
        <f>BQ42-BQ54</f>
        <v>0.1574525826446288</v>
      </c>
      <c r="BR41" s="430">
        <f>BR42-BS54*BR12</f>
        <v>640.62102490289635</v>
      </c>
      <c r="BS41" s="24">
        <f>BS42-BS54</f>
        <v>0.1574525826446288</v>
      </c>
      <c r="BT41" s="430">
        <f>BT42-BU54*BT12</f>
        <v>640.62102490289635</v>
      </c>
      <c r="BU41" s="24">
        <f>BU42-BU54</f>
        <v>0.1574525826446288</v>
      </c>
      <c r="BV41" s="430">
        <f>BV42-BW54*BV12</f>
        <v>640.62102490289635</v>
      </c>
      <c r="BW41" s="24">
        <f>BW42-BW54</f>
        <v>0.1574525826446288</v>
      </c>
      <c r="BX41" s="430">
        <f>BX42-BY54*BX12</f>
        <v>640.62102490289635</v>
      </c>
      <c r="BY41" s="24">
        <f>BY42-BY54</f>
        <v>0.1574525826446288</v>
      </c>
      <c r="BZ41" s="430">
        <f>BZ42-CA54*BZ12</f>
        <v>640.62102490289635</v>
      </c>
      <c r="CA41" s="24">
        <f>CA42-CA54</f>
        <v>0.1574525826446288</v>
      </c>
      <c r="CB41" s="430">
        <f>CB42-CC54*CB12</f>
        <v>640.62102490289635</v>
      </c>
      <c r="CC41" s="24">
        <f>CC42-CC54</f>
        <v>0.1574525826446288</v>
      </c>
      <c r="CD41" s="430">
        <f>CD42-CE54*CD12</f>
        <v>463.79539088529873</v>
      </c>
      <c r="CE41" s="24">
        <f>CE42-CE54</f>
        <v>0.11399217208744361</v>
      </c>
      <c r="CF41" s="620"/>
      <c r="CG41" s="620"/>
      <c r="CH41" s="620"/>
      <c r="CI41" s="620"/>
      <c r="CJ41" s="430">
        <f>CJ42-CK54*CJ12</f>
        <v>471.8307031614836</v>
      </c>
      <c r="CK41" s="24">
        <f>CK42-CK54</f>
        <v>0.1159671005101145</v>
      </c>
      <c r="CL41" s="430">
        <f>CL42-CM54*CL12</f>
        <v>471.25906016961335</v>
      </c>
      <c r="CM41" s="24">
        <f>CM42-CM54</f>
        <v>0.11582660142887635</v>
      </c>
      <c r="CN41" s="430">
        <f>CN42-CO54*CN12</f>
        <v>471.25906016961335</v>
      </c>
      <c r="CO41" s="24">
        <f>CO42-CO54</f>
        <v>0.11582660142887635</v>
      </c>
      <c r="CP41" s="430">
        <f>CP42-CQ54*CP12</f>
        <v>471.25906016961335</v>
      </c>
      <c r="CQ41" s="24">
        <f>CQ42-CQ54</f>
        <v>0.11582660142887635</v>
      </c>
      <c r="CR41" s="430">
        <f>CR42-CS54*CR12</f>
        <v>471.58085911652415</v>
      </c>
      <c r="CS41" s="24">
        <f>CS42-CS54</f>
        <v>0.11590569354935598</v>
      </c>
      <c r="CT41" s="430">
        <f>CT42-CU54*CT12</f>
        <v>642.2362997355408</v>
      </c>
      <c r="CU41" s="24">
        <f>CU42-CU54</f>
        <v>0.15784958677686023</v>
      </c>
      <c r="CV41" s="430">
        <f>CV42-CW54*CV12</f>
        <v>467.07949976248301</v>
      </c>
      <c r="CW41" s="24">
        <f>CW42-CW54</f>
        <v>0.11479934419747129</v>
      </c>
      <c r="CX41" s="430">
        <f>CX42-CY54*CX12</f>
        <v>470.30584941898815</v>
      </c>
      <c r="CY41" s="24">
        <f>CY42-CY54</f>
        <v>0.11559232017887633</v>
      </c>
      <c r="DA41" s="430">
        <f>DA42-DB54*DA12</f>
        <v>471.25906016961335</v>
      </c>
      <c r="DB41" s="24">
        <f>DB42-DB54</f>
        <v>0.11582660142887635</v>
      </c>
      <c r="DC41" s="430">
        <f>DC42-DD54*DC12</f>
        <v>640.62102490289635</v>
      </c>
      <c r="DD41" s="24">
        <f>DD42-DD54</f>
        <v>0.1574525826446288</v>
      </c>
      <c r="DE41" s="430">
        <f>DE42-DF54*DE12</f>
        <v>640.62102490289635</v>
      </c>
      <c r="DF41" s="24">
        <f>DF42-DF54</f>
        <v>0.1574525826446288</v>
      </c>
      <c r="DG41" s="430">
        <f>DG42-DH54*DG12</f>
        <v>640.62102490289635</v>
      </c>
      <c r="DH41" s="24">
        <f>DH42-DH54</f>
        <v>0.1574525826446288</v>
      </c>
      <c r="DI41" s="430">
        <f>DI42-DJ54*DI12</f>
        <v>640.62102490289635</v>
      </c>
      <c r="DJ41" s="24">
        <f>DJ42-DJ54</f>
        <v>0.1574525826446288</v>
      </c>
      <c r="DK41" s="430">
        <f>DK42-DL54*DK12</f>
        <v>640.62102490289635</v>
      </c>
      <c r="DL41" s="24">
        <f>DL42-DL54</f>
        <v>0.1574525826446288</v>
      </c>
      <c r="DM41" s="430">
        <f>DM42-DN54*DM12</f>
        <v>640.62102490289635</v>
      </c>
      <c r="DN41" s="24">
        <f>DN42-DN54</f>
        <v>0.1574525826446288</v>
      </c>
      <c r="DO41" s="430">
        <f>DO42-DP54*DO12</f>
        <v>547.55490173573799</v>
      </c>
      <c r="DP41" s="24">
        <f>DP42-DP54</f>
        <v>0.13457868235137316</v>
      </c>
      <c r="DR41" s="430">
        <f>DR42-DS54*DR12</f>
        <v>643.26901643182237</v>
      </c>
      <c r="DS41" s="24">
        <f>DS42-DS54</f>
        <v>0.15810340909090992</v>
      </c>
      <c r="DT41" s="430">
        <f>DT42-DU54*DT12</f>
        <v>640.62102490289635</v>
      </c>
      <c r="DU41" s="24">
        <f>DU42-DU54</f>
        <v>0.1574525826446288</v>
      </c>
    </row>
    <row r="42" spans="1:125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K42" si="163">F32-F32/1.1</f>
        <v>2722.3034181818221</v>
      </c>
      <c r="G42" s="24">
        <f t="shared" si="163"/>
        <v>0.66909090909090985</v>
      </c>
      <c r="H42" s="42">
        <f t="shared" si="163"/>
        <v>2722.3034181818221</v>
      </c>
      <c r="I42" s="24">
        <f t="shared" si="163"/>
        <v>0.66901389364747477</v>
      </c>
      <c r="J42" s="42">
        <f t="shared" si="163"/>
        <v>2794.6552177348422</v>
      </c>
      <c r="K42" s="24">
        <f t="shared" si="163"/>
        <v>0.68687361876756547</v>
      </c>
      <c r="L42" s="42">
        <f>L38-L38/1.1</f>
        <v>2631.728370731711</v>
      </c>
      <c r="M42" s="24">
        <f>M38-M38/1.1</f>
        <v>0.6468292682926835</v>
      </c>
      <c r="N42" s="42">
        <f>N32-N32/1.1</f>
        <v>2714.0725786158946</v>
      </c>
      <c r="O42" s="24">
        <f>O32-O32/1.1</f>
        <v>0.66706792374292601</v>
      </c>
      <c r="P42" s="42">
        <f>P32-P32/1.1</f>
        <v>2804.3096975426706</v>
      </c>
      <c r="Q42" s="24">
        <f>Q32-Q32/1.1</f>
        <v>0.68924650807456711</v>
      </c>
      <c r="R42" s="42">
        <f>R38-R38/1.1</f>
        <v>2631.728370731711</v>
      </c>
      <c r="S42" s="24">
        <f>S38-S38/1.1</f>
        <v>0.6468292682926835</v>
      </c>
      <c r="T42" s="42">
        <f t="shared" ref="T42:CY42" si="164">T32-T32/1.1</f>
        <v>2714.0725786158946</v>
      </c>
      <c r="U42" s="24">
        <f t="shared" si="164"/>
        <v>0.66706792374292601</v>
      </c>
      <c r="V42" s="42">
        <f t="shared" si="164"/>
        <v>2714.0725786158946</v>
      </c>
      <c r="W42" s="24">
        <f t="shared" si="164"/>
        <v>0.66706792374292601</v>
      </c>
      <c r="X42" s="42">
        <f t="shared" si="164"/>
        <v>2714.0725786158946</v>
      </c>
      <c r="Y42" s="24">
        <f t="shared" si="164"/>
        <v>0.66706792374292601</v>
      </c>
      <c r="Z42" s="42">
        <f t="shared" si="164"/>
        <v>2714.0725786158946</v>
      </c>
      <c r="AA42" s="24">
        <f t="shared" si="164"/>
        <v>0.66706792374292601</v>
      </c>
      <c r="AB42" s="42">
        <f t="shared" si="164"/>
        <v>2714.0725786158946</v>
      </c>
      <c r="AC42" s="24">
        <f t="shared" si="164"/>
        <v>0.66706792374292601</v>
      </c>
      <c r="AD42" s="42">
        <f t="shared" si="164"/>
        <v>2714.0725786158946</v>
      </c>
      <c r="AE42" s="24">
        <f t="shared" si="164"/>
        <v>0.66706792374292601</v>
      </c>
      <c r="AF42" s="42">
        <f t="shared" si="164"/>
        <v>2714.0725786158946</v>
      </c>
      <c r="AG42" s="24">
        <f t="shared" si="164"/>
        <v>0.66706792374292601</v>
      </c>
      <c r="AH42" s="42">
        <f t="shared" si="164"/>
        <v>2714.0725786158946</v>
      </c>
      <c r="AI42" s="24">
        <f t="shared" si="164"/>
        <v>0.66706792374292601</v>
      </c>
      <c r="AJ42" s="42">
        <f t="shared" si="164"/>
        <v>2714.0725786158946</v>
      </c>
      <c r="AK42" s="24">
        <f t="shared" si="164"/>
        <v>0.66706792374292601</v>
      </c>
      <c r="AL42" s="42">
        <f t="shared" si="164"/>
        <v>2714.0725786158946</v>
      </c>
      <c r="AM42" s="24">
        <f t="shared" si="164"/>
        <v>0.66706792374292601</v>
      </c>
      <c r="AN42" s="42">
        <f t="shared" si="164"/>
        <v>2714.0725786158946</v>
      </c>
      <c r="AO42" s="24">
        <f t="shared" si="164"/>
        <v>0.66706792374292601</v>
      </c>
      <c r="AP42" s="42">
        <f t="shared" si="164"/>
        <v>2714.0725786158946</v>
      </c>
      <c r="AQ42" s="24">
        <f t="shared" si="164"/>
        <v>0.66706792374292601</v>
      </c>
      <c r="AR42" s="42">
        <f t="shared" si="164"/>
        <v>2714.0725786158946</v>
      </c>
      <c r="AS42" s="24">
        <f t="shared" si="164"/>
        <v>0.66706792374292601</v>
      </c>
      <c r="AT42" s="42">
        <f t="shared" si="164"/>
        <v>2714.0725786158946</v>
      </c>
      <c r="AU42" s="24">
        <f t="shared" si="164"/>
        <v>0.66706792374292601</v>
      </c>
      <c r="AV42" s="42">
        <f t="shared" si="164"/>
        <v>2714.0725786158946</v>
      </c>
      <c r="AW42" s="24">
        <f t="shared" si="164"/>
        <v>0.66706792374292601</v>
      </c>
      <c r="AX42" s="42">
        <f t="shared" si="164"/>
        <v>2714.0725786158946</v>
      </c>
      <c r="AY42" s="24">
        <f t="shared" si="164"/>
        <v>0.66706792374292601</v>
      </c>
      <c r="AZ42" s="42">
        <f t="shared" si="164"/>
        <v>2714.0725786158946</v>
      </c>
      <c r="BA42" s="24">
        <f t="shared" si="164"/>
        <v>0.66706792374292601</v>
      </c>
      <c r="BB42" s="42">
        <f t="shared" si="164"/>
        <v>2714.0725786158946</v>
      </c>
      <c r="BC42" s="24">
        <f t="shared" si="164"/>
        <v>0.66706792374292601</v>
      </c>
      <c r="BD42" s="42">
        <f t="shared" si="164"/>
        <v>2714.0725786158946</v>
      </c>
      <c r="BE42" s="24">
        <f t="shared" si="164"/>
        <v>0.66706792374292601</v>
      </c>
      <c r="BF42" s="42">
        <f t="shared" ref="BF42:BG42" si="165">BF32-BF32/1.1</f>
        <v>2714.0725786158946</v>
      </c>
      <c r="BG42" s="24">
        <f t="shared" si="165"/>
        <v>0.66706792374292601</v>
      </c>
      <c r="BH42" s="42">
        <f t="shared" ref="BH42:BI42" si="166">BH32-BH32/1.1</f>
        <v>2885.049818181822</v>
      </c>
      <c r="BI42" s="24">
        <f t="shared" si="166"/>
        <v>0.70909090909090988</v>
      </c>
      <c r="BJ42" s="42">
        <f t="shared" ref="BJ42:BK42" si="167">BJ32-BJ32/1.1</f>
        <v>2885.049818181822</v>
      </c>
      <c r="BK42" s="24">
        <f t="shared" si="167"/>
        <v>0.70909090909090988</v>
      </c>
      <c r="BL42" s="42">
        <f t="shared" ref="BL42:BM42" si="168">BL32-BL32/1.1</f>
        <v>2885.049818181822</v>
      </c>
      <c r="BM42" s="24">
        <f t="shared" si="168"/>
        <v>0.70909090909090988</v>
      </c>
      <c r="BN42" s="42">
        <f t="shared" ref="BN42:BO42" si="169">BN32-BN32/1.1</f>
        <v>2885.049818181822</v>
      </c>
      <c r="BO42" s="24">
        <f t="shared" si="169"/>
        <v>0.70909090909090988</v>
      </c>
      <c r="BP42" s="42">
        <f t="shared" ref="BP42:BQ42" si="170">BP32-BP32/1.1</f>
        <v>2885.049818181822</v>
      </c>
      <c r="BQ42" s="24">
        <f t="shared" si="170"/>
        <v>0.70909090909090988</v>
      </c>
      <c r="BR42" s="42">
        <f t="shared" ref="BR42:BS42" si="171">BR32-BR32/1.1</f>
        <v>2885.049818181822</v>
      </c>
      <c r="BS42" s="24">
        <f t="shared" si="171"/>
        <v>0.70909090909090988</v>
      </c>
      <c r="BT42" s="42">
        <f t="shared" ref="BT42:BU42" si="172">BT32-BT32/1.1</f>
        <v>2885.049818181822</v>
      </c>
      <c r="BU42" s="24">
        <f t="shared" si="172"/>
        <v>0.70909090909090988</v>
      </c>
      <c r="BV42" s="42">
        <f t="shared" ref="BV42:BW42" si="173">BV32-BV32/1.1</f>
        <v>2885.049818181822</v>
      </c>
      <c r="BW42" s="24">
        <f t="shared" si="173"/>
        <v>0.70909090909090988</v>
      </c>
      <c r="BX42" s="42">
        <f t="shared" ref="BX42:BY42" si="174">BX32-BX32/1.1</f>
        <v>2885.049818181822</v>
      </c>
      <c r="BY42" s="24">
        <f t="shared" si="174"/>
        <v>0.70909090909090988</v>
      </c>
      <c r="BZ42" s="42">
        <f t="shared" ref="BZ42:CC42" si="175">BZ32-BZ32/1.1</f>
        <v>2885.049818181822</v>
      </c>
      <c r="CA42" s="24">
        <f t="shared" si="175"/>
        <v>0.70909090909090988</v>
      </c>
      <c r="CB42" s="42">
        <f t="shared" si="175"/>
        <v>2885.049818181822</v>
      </c>
      <c r="CC42" s="24">
        <f t="shared" si="175"/>
        <v>0.70909090909090988</v>
      </c>
      <c r="CD42" s="42">
        <f t="shared" ref="CD42:CE42" si="176">CD32-CD32/1.1</f>
        <v>2708.2241841642244</v>
      </c>
      <c r="CE42" s="24">
        <f t="shared" si="176"/>
        <v>0.66563049853372469</v>
      </c>
      <c r="CF42" s="620"/>
      <c r="CG42" s="620"/>
      <c r="CH42" s="620"/>
      <c r="CI42" s="620"/>
      <c r="CJ42" s="42">
        <f t="shared" si="164"/>
        <v>2714.0725786158946</v>
      </c>
      <c r="CK42" s="24">
        <f t="shared" si="164"/>
        <v>0.66706792374292601</v>
      </c>
      <c r="CL42" s="42">
        <f t="shared" si="164"/>
        <v>2714.0725786158946</v>
      </c>
      <c r="CM42" s="24">
        <f t="shared" si="164"/>
        <v>0.66706792374292601</v>
      </c>
      <c r="CN42" s="42">
        <f t="shared" si="164"/>
        <v>2714.0725786158946</v>
      </c>
      <c r="CO42" s="24">
        <f t="shared" si="164"/>
        <v>0.66706792374292601</v>
      </c>
      <c r="CP42" s="42">
        <f t="shared" si="164"/>
        <v>2714.0725786158946</v>
      </c>
      <c r="CQ42" s="24">
        <f t="shared" si="164"/>
        <v>0.66706792374292601</v>
      </c>
      <c r="CR42" s="42">
        <f t="shared" si="164"/>
        <v>2714.0725786158946</v>
      </c>
      <c r="CS42" s="24">
        <f t="shared" si="164"/>
        <v>0.66706792374292601</v>
      </c>
      <c r="CT42" s="42">
        <f t="shared" si="164"/>
        <v>2885.049818181822</v>
      </c>
      <c r="CU42" s="24">
        <f t="shared" si="164"/>
        <v>0.70909090909090988</v>
      </c>
      <c r="CV42" s="42">
        <f t="shared" si="164"/>
        <v>2817.6384695249835</v>
      </c>
      <c r="CW42" s="24">
        <f t="shared" si="164"/>
        <v>0.6925224691974714</v>
      </c>
      <c r="CX42" s="42">
        <f t="shared" si="164"/>
        <v>2714.0725786158946</v>
      </c>
      <c r="CY42" s="24">
        <f t="shared" si="164"/>
        <v>0.66706792374292601</v>
      </c>
      <c r="DA42" s="42">
        <f t="shared" ref="DA42:DB42" si="177">DA32-DA32/1.1</f>
        <v>2714.0725786158946</v>
      </c>
      <c r="DB42" s="24">
        <f t="shared" si="177"/>
        <v>0.66706792374292601</v>
      </c>
      <c r="DC42" s="42">
        <f t="shared" ref="DC42:DD42" si="178">DC32-DC32/1.1</f>
        <v>2885.049818181822</v>
      </c>
      <c r="DD42" s="24">
        <f t="shared" si="178"/>
        <v>0.70909090909090988</v>
      </c>
      <c r="DE42" s="42">
        <f t="shared" ref="DE42:DF42" si="179">DE32-DE32/1.1</f>
        <v>2885.049818181822</v>
      </c>
      <c r="DF42" s="24">
        <f t="shared" si="179"/>
        <v>0.70909090909090988</v>
      </c>
      <c r="DG42" s="42">
        <f t="shared" ref="DG42:DH42" si="180">DG32-DG32/1.1</f>
        <v>2885.049818181822</v>
      </c>
      <c r="DH42" s="24">
        <f t="shared" si="180"/>
        <v>0.70909090909090988</v>
      </c>
      <c r="DI42" s="42">
        <f t="shared" ref="DI42:DJ42" si="181">DI32-DI32/1.1</f>
        <v>2885.049818181822</v>
      </c>
      <c r="DJ42" s="24">
        <f t="shared" si="181"/>
        <v>0.70909090909090988</v>
      </c>
      <c r="DK42" s="42">
        <f t="shared" ref="DK42:DL42" si="182">DK32-DK32/1.1</f>
        <v>2885.049818181822</v>
      </c>
      <c r="DL42" s="24">
        <f t="shared" si="182"/>
        <v>0.70909090909090988</v>
      </c>
      <c r="DM42" s="42">
        <f t="shared" ref="DM42:DN42" si="183">DM32-DM32/1.1</f>
        <v>2885.049818181822</v>
      </c>
      <c r="DN42" s="24">
        <f t="shared" si="183"/>
        <v>0.70909090909090988</v>
      </c>
      <c r="DO42" s="42">
        <f t="shared" ref="DO42:DP42" si="184">DO32-DO32/1.1</f>
        <v>2791.9836950146637</v>
      </c>
      <c r="DP42" s="24">
        <f t="shared" si="184"/>
        <v>0.68621700879765424</v>
      </c>
      <c r="DR42" s="42">
        <f t="shared" ref="DR42:DU42" si="185">DR32-DR32/1.1</f>
        <v>2885.049818181822</v>
      </c>
      <c r="DS42" s="24">
        <f t="shared" si="185"/>
        <v>0.70909090909090988</v>
      </c>
      <c r="DT42" s="42">
        <f t="shared" si="185"/>
        <v>2885.049818181822</v>
      </c>
      <c r="DU42" s="24">
        <f t="shared" si="185"/>
        <v>0.70909090909090988</v>
      </c>
    </row>
    <row r="43" spans="1:125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K43" si="186">+F44/F32</f>
        <v>0.11834688286022271</v>
      </c>
      <c r="G43" s="48">
        <f t="shared" si="186"/>
        <v>0.11834688286022284</v>
      </c>
      <c r="H43" s="47">
        <f t="shared" si="186"/>
        <v>0.10408057851239656</v>
      </c>
      <c r="I43" s="48">
        <f t="shared" si="186"/>
        <v>0.10398790745105062</v>
      </c>
      <c r="J43" s="47">
        <f t="shared" si="186"/>
        <v>0.12492177055158434</v>
      </c>
      <c r="K43" s="48">
        <f t="shared" si="186"/>
        <v>0.12492177055158432</v>
      </c>
      <c r="L43" s="361">
        <f>+L44/L38</f>
        <v>7.6374889087577405E-2</v>
      </c>
      <c r="M43" s="362">
        <f>+M44/M38</f>
        <v>7.6374889087577391E-2</v>
      </c>
      <c r="N43" s="361">
        <f>+N44/N32</f>
        <v>9.4911628519284433E-2</v>
      </c>
      <c r="O43" s="362">
        <f>+O44/O32</f>
        <v>9.4911628519284474E-2</v>
      </c>
      <c r="P43" s="361">
        <f>+P44/P32</f>
        <v>0.12070834056742678</v>
      </c>
      <c r="Q43" s="362">
        <f>+Q44/Q32</f>
        <v>0.12070834056742689</v>
      </c>
      <c r="R43" s="361">
        <f>+R44/R38</f>
        <v>6.9008434443534022E-2</v>
      </c>
      <c r="S43" s="362">
        <f>+S44/S38</f>
        <v>6.9008434443533995E-2</v>
      </c>
      <c r="T43" s="361">
        <f t="shared" ref="T43:CY43" si="187">+T44/T32</f>
        <v>9.4496303293195028E-2</v>
      </c>
      <c r="U43" s="362">
        <f t="shared" si="187"/>
        <v>9.4496303293195041E-2</v>
      </c>
      <c r="V43" s="361">
        <f t="shared" si="187"/>
        <v>9.4496303293195028E-2</v>
      </c>
      <c r="W43" s="362">
        <f t="shared" si="187"/>
        <v>9.4496303293195041E-2</v>
      </c>
      <c r="X43" s="361">
        <f t="shared" si="187"/>
        <v>9.4496303293195028E-2</v>
      </c>
      <c r="Y43" s="362">
        <f t="shared" si="187"/>
        <v>9.4496303293195041E-2</v>
      </c>
      <c r="Z43" s="361">
        <f t="shared" si="187"/>
        <v>9.4496303293195028E-2</v>
      </c>
      <c r="AA43" s="362">
        <f t="shared" si="187"/>
        <v>9.4496303293195041E-2</v>
      </c>
      <c r="AB43" s="361">
        <f t="shared" si="187"/>
        <v>9.4496303293195028E-2</v>
      </c>
      <c r="AC43" s="362">
        <f t="shared" si="187"/>
        <v>9.4496303293195041E-2</v>
      </c>
      <c r="AD43" s="361">
        <f t="shared" si="187"/>
        <v>9.4496303293195028E-2</v>
      </c>
      <c r="AE43" s="362">
        <f t="shared" si="187"/>
        <v>9.4496303293195041E-2</v>
      </c>
      <c r="AF43" s="361">
        <f t="shared" si="187"/>
        <v>9.4496303293195028E-2</v>
      </c>
      <c r="AG43" s="362">
        <f t="shared" si="187"/>
        <v>9.4496303293195041E-2</v>
      </c>
      <c r="AH43" s="361">
        <f t="shared" si="187"/>
        <v>9.4496303293195028E-2</v>
      </c>
      <c r="AI43" s="362">
        <f t="shared" si="187"/>
        <v>9.4496303293195041E-2</v>
      </c>
      <c r="AJ43" s="361">
        <f t="shared" si="187"/>
        <v>9.4496303293195028E-2</v>
      </c>
      <c r="AK43" s="362">
        <f t="shared" si="187"/>
        <v>9.4496303293195041E-2</v>
      </c>
      <c r="AL43" s="361">
        <f t="shared" si="187"/>
        <v>9.4496303293195028E-2</v>
      </c>
      <c r="AM43" s="362">
        <f t="shared" si="187"/>
        <v>9.4496303293195041E-2</v>
      </c>
      <c r="AN43" s="361">
        <f t="shared" si="187"/>
        <v>9.4496303293195028E-2</v>
      </c>
      <c r="AO43" s="362">
        <f t="shared" si="187"/>
        <v>9.4496303293195041E-2</v>
      </c>
      <c r="AP43" s="361">
        <f t="shared" si="187"/>
        <v>9.4496303293195028E-2</v>
      </c>
      <c r="AQ43" s="362">
        <f t="shared" si="187"/>
        <v>9.4496303293195041E-2</v>
      </c>
      <c r="AR43" s="361">
        <f t="shared" si="187"/>
        <v>9.4496303293195028E-2</v>
      </c>
      <c r="AS43" s="362">
        <f t="shared" si="187"/>
        <v>9.4496303293195041E-2</v>
      </c>
      <c r="AT43" s="361">
        <f t="shared" si="187"/>
        <v>9.4496303293195028E-2</v>
      </c>
      <c r="AU43" s="362">
        <f t="shared" si="187"/>
        <v>9.4496303293195041E-2</v>
      </c>
      <c r="AV43" s="361">
        <f t="shared" si="187"/>
        <v>9.4496303293195028E-2</v>
      </c>
      <c r="AW43" s="362">
        <f t="shared" si="187"/>
        <v>9.4496303293195041E-2</v>
      </c>
      <c r="AX43" s="361">
        <f t="shared" si="187"/>
        <v>9.4496303293195028E-2</v>
      </c>
      <c r="AY43" s="362">
        <f t="shared" si="187"/>
        <v>9.4496303293195041E-2</v>
      </c>
      <c r="AZ43" s="361">
        <f t="shared" si="187"/>
        <v>9.4496303293195028E-2</v>
      </c>
      <c r="BA43" s="362">
        <f t="shared" si="187"/>
        <v>9.4496303293195041E-2</v>
      </c>
      <c r="BB43" s="361">
        <f t="shared" si="187"/>
        <v>9.4496303293195028E-2</v>
      </c>
      <c r="BC43" s="362">
        <f t="shared" si="187"/>
        <v>9.4496303293195041E-2</v>
      </c>
      <c r="BD43" s="361">
        <f t="shared" si="187"/>
        <v>9.4496303293195028E-2</v>
      </c>
      <c r="BE43" s="362">
        <f t="shared" si="187"/>
        <v>9.4496303293195041E-2</v>
      </c>
      <c r="BF43" s="361">
        <f t="shared" ref="BF43:BG43" si="188">+BF44/BF32</f>
        <v>9.4496303293195028E-2</v>
      </c>
      <c r="BG43" s="362">
        <f t="shared" si="188"/>
        <v>9.4496303293195041E-2</v>
      </c>
      <c r="BH43" s="361">
        <f t="shared" ref="BH43:BI43" si="189">+BH44/BH32</f>
        <v>0.14226279402415756</v>
      </c>
      <c r="BI43" s="362">
        <f t="shared" si="189"/>
        <v>0.14226279402415754</v>
      </c>
      <c r="BJ43" s="361">
        <f t="shared" ref="BJ43:BK43" si="190">+BJ44/BJ32</f>
        <v>0.14226279402415756</v>
      </c>
      <c r="BK43" s="362">
        <f t="shared" si="190"/>
        <v>0.14226279402415754</v>
      </c>
      <c r="BL43" s="361">
        <f t="shared" ref="BL43:BM43" si="191">+BL44/BL32</f>
        <v>0.14226279402415756</v>
      </c>
      <c r="BM43" s="362">
        <f t="shared" si="191"/>
        <v>0.14226279402415754</v>
      </c>
      <c r="BN43" s="361">
        <f t="shared" ref="BN43:BO43" si="192">+BN44/BN32</f>
        <v>0.14226279402415756</v>
      </c>
      <c r="BO43" s="362">
        <f t="shared" si="192"/>
        <v>0.14226279402415754</v>
      </c>
      <c r="BP43" s="361">
        <f t="shared" ref="BP43:BQ43" si="193">+BP44/BP32</f>
        <v>0.14226279402415756</v>
      </c>
      <c r="BQ43" s="362">
        <f t="shared" si="193"/>
        <v>0.14226279402415754</v>
      </c>
      <c r="BR43" s="361">
        <f t="shared" ref="BR43:BS43" si="194">+BR44/BR32</f>
        <v>0.14226279402415756</v>
      </c>
      <c r="BS43" s="362">
        <f t="shared" si="194"/>
        <v>0.14226279402415754</v>
      </c>
      <c r="BT43" s="361">
        <f t="shared" ref="BT43:BU43" si="195">+BT44/BT32</f>
        <v>0.14226279402415756</v>
      </c>
      <c r="BU43" s="362">
        <f t="shared" si="195"/>
        <v>0.14226279402415754</v>
      </c>
      <c r="BV43" s="361">
        <f t="shared" ref="BV43:BW43" si="196">+BV44/BV32</f>
        <v>0.14226279402415756</v>
      </c>
      <c r="BW43" s="362">
        <f t="shared" si="196"/>
        <v>0.14226279402415754</v>
      </c>
      <c r="BX43" s="361">
        <f t="shared" ref="BX43:BY43" si="197">+BX44/BX32</f>
        <v>0.14226279402415756</v>
      </c>
      <c r="BY43" s="362">
        <f t="shared" si="197"/>
        <v>0.14226279402415754</v>
      </c>
      <c r="BZ43" s="361">
        <f t="shared" ref="BZ43:CC43" si="198">+BZ44/BZ32</f>
        <v>0.14226279402415756</v>
      </c>
      <c r="CA43" s="362">
        <f t="shared" si="198"/>
        <v>0.14226279402415754</v>
      </c>
      <c r="CB43" s="361">
        <f t="shared" si="198"/>
        <v>0.14226279402415756</v>
      </c>
      <c r="CC43" s="362">
        <f t="shared" si="198"/>
        <v>0.14226279402415754</v>
      </c>
      <c r="CD43" s="361">
        <f t="shared" ref="CD43:CE43" si="199">+CD44/CD32</f>
        <v>9.2194978951070775E-2</v>
      </c>
      <c r="CE43" s="362">
        <f t="shared" si="199"/>
        <v>9.2194978951070775E-2</v>
      </c>
      <c r="CF43" s="620"/>
      <c r="CG43" s="620"/>
      <c r="CH43" s="620"/>
      <c r="CI43" s="620"/>
      <c r="CJ43" s="361">
        <f t="shared" si="187"/>
        <v>9.4687777703735654E-2</v>
      </c>
      <c r="CK43" s="362">
        <f t="shared" si="187"/>
        <v>9.4687777703735709E-2</v>
      </c>
      <c r="CL43" s="361">
        <f t="shared" si="187"/>
        <v>9.4496303293195028E-2</v>
      </c>
      <c r="CM43" s="362">
        <f t="shared" si="187"/>
        <v>9.4496303293195041E-2</v>
      </c>
      <c r="CN43" s="361">
        <f t="shared" si="187"/>
        <v>9.4496303293195028E-2</v>
      </c>
      <c r="CO43" s="362">
        <f t="shared" si="187"/>
        <v>9.4496303293195041E-2</v>
      </c>
      <c r="CP43" s="361">
        <f t="shared" si="187"/>
        <v>9.4496303293195028E-2</v>
      </c>
      <c r="CQ43" s="362">
        <f t="shared" si="187"/>
        <v>9.4496303293195041E-2</v>
      </c>
      <c r="CR43" s="361">
        <f t="shared" si="187"/>
        <v>9.4604091308702051E-2</v>
      </c>
      <c r="CS43" s="362">
        <f t="shared" si="187"/>
        <v>9.4604091308702121E-2</v>
      </c>
      <c r="CT43" s="361">
        <f t="shared" si="187"/>
        <v>0.14277177368086444</v>
      </c>
      <c r="CU43" s="362">
        <f t="shared" si="187"/>
        <v>0.14277177368086444</v>
      </c>
      <c r="CV43" s="361">
        <f t="shared" si="187"/>
        <v>8.9674466015191565E-2</v>
      </c>
      <c r="CW43" s="362">
        <f t="shared" si="187"/>
        <v>8.9674466015191578E-2</v>
      </c>
      <c r="CX43" s="361">
        <f t="shared" si="187"/>
        <v>9.4177021032776045E-2</v>
      </c>
      <c r="CY43" s="362">
        <f t="shared" si="187"/>
        <v>9.4177021032776073E-2</v>
      </c>
      <c r="DA43" s="361">
        <f t="shared" ref="DA43:DB43" si="200">+DA44/DA32</f>
        <v>9.4496303293195028E-2</v>
      </c>
      <c r="DB43" s="362">
        <f t="shared" si="200"/>
        <v>9.4496303293195041E-2</v>
      </c>
      <c r="DC43" s="361">
        <f t="shared" ref="DC43:DD43" si="201">+DC44/DC32</f>
        <v>0.14226279402415756</v>
      </c>
      <c r="DD43" s="362">
        <f t="shared" si="201"/>
        <v>0.14226279402415754</v>
      </c>
      <c r="DE43" s="361">
        <f t="shared" ref="DE43:DF43" si="202">+DE44/DE32</f>
        <v>0.14226279402415756</v>
      </c>
      <c r="DF43" s="362">
        <f t="shared" si="202"/>
        <v>0.14226279402415754</v>
      </c>
      <c r="DG43" s="361">
        <f t="shared" ref="DG43:DH43" si="203">+DG44/DG32</f>
        <v>0.14226279402415756</v>
      </c>
      <c r="DH43" s="362">
        <f t="shared" si="203"/>
        <v>0.14226279402415754</v>
      </c>
      <c r="DI43" s="361">
        <f t="shared" ref="DI43:DJ43" si="204">+DI44/DI32</f>
        <v>0.14226279402415756</v>
      </c>
      <c r="DJ43" s="362">
        <f t="shared" si="204"/>
        <v>0.14226279402415754</v>
      </c>
      <c r="DK43" s="361">
        <f t="shared" ref="DK43:DL43" si="205">+DK44/DK32</f>
        <v>0.14226279402415756</v>
      </c>
      <c r="DL43" s="362">
        <f t="shared" si="205"/>
        <v>0.14226279402415754</v>
      </c>
      <c r="DM43" s="361">
        <f t="shared" ref="DM43:DN43" si="206">+DM44/DM32</f>
        <v>0.14226279402415756</v>
      </c>
      <c r="DN43" s="362">
        <f t="shared" si="206"/>
        <v>0.14226279402415754</v>
      </c>
      <c r="DO43" s="361">
        <f t="shared" ref="DO43:DP43" si="207">+DO44/DO32</f>
        <v>0.11670185685526595</v>
      </c>
      <c r="DP43" s="362">
        <f t="shared" si="207"/>
        <v>0.11670185685526595</v>
      </c>
      <c r="DR43" s="361">
        <f t="shared" ref="DR43:DU43" si="208">+DR44/DR32</f>
        <v>0.14500437062937058</v>
      </c>
      <c r="DS43" s="362">
        <f t="shared" si="208"/>
        <v>0.1450043706293706</v>
      </c>
      <c r="DT43" s="361">
        <f t="shared" si="208"/>
        <v>0.14226279402415756</v>
      </c>
      <c r="DU43" s="362">
        <f t="shared" si="208"/>
        <v>0.14226279402415754</v>
      </c>
    </row>
    <row r="44" spans="1:125" s="4" customFormat="1" ht="18" customHeight="1" x14ac:dyDescent="0.45">
      <c r="A44" s="561"/>
      <c r="B44" s="1194"/>
      <c r="C44" s="15" t="s">
        <v>48</v>
      </c>
      <c r="D44" s="16"/>
      <c r="E44" s="35"/>
      <c r="F44" s="42">
        <f t="shared" ref="F44:K44" si="209">+F32-F45-F41</f>
        <v>3543.9373611570227</v>
      </c>
      <c r="G44" s="24">
        <f t="shared" si="209"/>
        <v>0.87103305785124008</v>
      </c>
      <c r="H44" s="42">
        <f t="shared" si="209"/>
        <v>3116.7280611570209</v>
      </c>
      <c r="I44" s="24">
        <f t="shared" si="209"/>
        <v>0.76526290341688574</v>
      </c>
      <c r="J44" s="42">
        <f t="shared" si="209"/>
        <v>3840.2460566872583</v>
      </c>
      <c r="K44" s="24">
        <f t="shared" si="209"/>
        <v>0.94386015461779993</v>
      </c>
      <c r="L44" s="42">
        <f>+L38-L45-L41</f>
        <v>2210.9775866559144</v>
      </c>
      <c r="M44" s="24">
        <f>+M38-M45-M41</f>
        <v>0.54341664986897753</v>
      </c>
      <c r="N44" s="42">
        <f>+N32-N45-N41</f>
        <v>2833.5675319156467</v>
      </c>
      <c r="O44" s="24">
        <f>+O32-O45-O41</f>
        <v>0.69643753272960829</v>
      </c>
      <c r="P44" s="42">
        <f>+P32-P45-P41</f>
        <v>3723.539270302696</v>
      </c>
      <c r="Q44" s="24">
        <f>+Q32-Q45-Q41</f>
        <v>0.91517582454732016</v>
      </c>
      <c r="R44" s="42">
        <f>+R38-R45-R41</f>
        <v>1997.7260021931038</v>
      </c>
      <c r="S44" s="24">
        <f>+S38-S45-S41</f>
        <v>0.49100342672848141</v>
      </c>
      <c r="T44" s="42">
        <f t="shared" ref="T44:CY44" si="210">+T32-T45-T41</f>
        <v>2821.168081034943</v>
      </c>
      <c r="U44" s="24">
        <f t="shared" si="210"/>
        <v>0.69338998123090734</v>
      </c>
      <c r="V44" s="42">
        <f t="shared" si="210"/>
        <v>2821.168081034943</v>
      </c>
      <c r="W44" s="24">
        <f t="shared" si="210"/>
        <v>0.69338998123090734</v>
      </c>
      <c r="X44" s="42">
        <f t="shared" si="210"/>
        <v>2821.168081034943</v>
      </c>
      <c r="Y44" s="24">
        <f t="shared" si="210"/>
        <v>0.69338998123090734</v>
      </c>
      <c r="Z44" s="42">
        <f t="shared" si="210"/>
        <v>2821.168081034943</v>
      </c>
      <c r="AA44" s="24">
        <f t="shared" si="210"/>
        <v>0.69338998123090734</v>
      </c>
      <c r="AB44" s="42">
        <f t="shared" si="210"/>
        <v>2821.168081034943</v>
      </c>
      <c r="AC44" s="24">
        <f t="shared" si="210"/>
        <v>0.69338998123090734</v>
      </c>
      <c r="AD44" s="42">
        <f t="shared" si="210"/>
        <v>2821.168081034943</v>
      </c>
      <c r="AE44" s="24">
        <f t="shared" si="210"/>
        <v>0.69338998123090734</v>
      </c>
      <c r="AF44" s="42">
        <f t="shared" si="210"/>
        <v>2821.168081034943</v>
      </c>
      <c r="AG44" s="24">
        <f t="shared" si="210"/>
        <v>0.69338998123090734</v>
      </c>
      <c r="AH44" s="42">
        <f t="shared" si="210"/>
        <v>2821.168081034943</v>
      </c>
      <c r="AI44" s="24">
        <f t="shared" si="210"/>
        <v>0.69338998123090734</v>
      </c>
      <c r="AJ44" s="42">
        <f t="shared" si="210"/>
        <v>2821.168081034943</v>
      </c>
      <c r="AK44" s="24">
        <f t="shared" si="210"/>
        <v>0.69338998123090734</v>
      </c>
      <c r="AL44" s="42">
        <f t="shared" si="210"/>
        <v>2821.168081034943</v>
      </c>
      <c r="AM44" s="24">
        <f t="shared" si="210"/>
        <v>0.69338998123090734</v>
      </c>
      <c r="AN44" s="42">
        <f t="shared" si="210"/>
        <v>2821.168081034943</v>
      </c>
      <c r="AO44" s="24">
        <f t="shared" si="210"/>
        <v>0.69338998123090734</v>
      </c>
      <c r="AP44" s="42">
        <f t="shared" si="210"/>
        <v>2821.168081034943</v>
      </c>
      <c r="AQ44" s="24">
        <f t="shared" si="210"/>
        <v>0.69338998123090734</v>
      </c>
      <c r="AR44" s="42">
        <f t="shared" si="210"/>
        <v>2821.168081034943</v>
      </c>
      <c r="AS44" s="24">
        <f t="shared" si="210"/>
        <v>0.69338998123090734</v>
      </c>
      <c r="AT44" s="42">
        <f t="shared" si="210"/>
        <v>2821.168081034943</v>
      </c>
      <c r="AU44" s="24">
        <f t="shared" si="210"/>
        <v>0.69338998123090734</v>
      </c>
      <c r="AV44" s="42">
        <f t="shared" si="210"/>
        <v>2821.168081034943</v>
      </c>
      <c r="AW44" s="24">
        <f t="shared" si="210"/>
        <v>0.69338998123090734</v>
      </c>
      <c r="AX44" s="42">
        <f t="shared" si="210"/>
        <v>2821.168081034943</v>
      </c>
      <c r="AY44" s="24">
        <f t="shared" si="210"/>
        <v>0.69338998123090734</v>
      </c>
      <c r="AZ44" s="42">
        <f t="shared" si="210"/>
        <v>2821.168081034943</v>
      </c>
      <c r="BA44" s="24">
        <f t="shared" si="210"/>
        <v>0.69338998123090734</v>
      </c>
      <c r="BB44" s="42">
        <f t="shared" si="210"/>
        <v>2821.168081034943</v>
      </c>
      <c r="BC44" s="24">
        <f t="shared" si="210"/>
        <v>0.69338998123090734</v>
      </c>
      <c r="BD44" s="42">
        <f t="shared" si="210"/>
        <v>2821.168081034943</v>
      </c>
      <c r="BE44" s="24">
        <f t="shared" si="210"/>
        <v>0.69338998123090734</v>
      </c>
      <c r="BF44" s="42">
        <f t="shared" ref="BF44:BG44" si="211">+BF32-BF45-BF41</f>
        <v>2821.168081034943</v>
      </c>
      <c r="BG44" s="24">
        <f t="shared" si="211"/>
        <v>0.69338998123090734</v>
      </c>
      <c r="BH44" s="42">
        <f t="shared" ref="BH44:BI44" si="212">+BH32-BH45-BH41</f>
        <v>4514.7877283677653</v>
      </c>
      <c r="BI44" s="24">
        <f t="shared" si="212"/>
        <v>1.1096497933884288</v>
      </c>
      <c r="BJ44" s="42">
        <f t="shared" ref="BJ44:BK44" si="213">+BJ32-BJ45-BJ41</f>
        <v>4514.7877283677653</v>
      </c>
      <c r="BK44" s="24">
        <f t="shared" si="213"/>
        <v>1.1096497933884288</v>
      </c>
      <c r="BL44" s="42">
        <f t="shared" ref="BL44:BM44" si="214">+BL32-BL45-BL41</f>
        <v>4514.7877283677653</v>
      </c>
      <c r="BM44" s="24">
        <f t="shared" si="214"/>
        <v>1.1096497933884288</v>
      </c>
      <c r="BN44" s="42">
        <f t="shared" ref="BN44:BO44" si="215">+BN32-BN45-BN41</f>
        <v>4514.7877283677653</v>
      </c>
      <c r="BO44" s="24">
        <f t="shared" si="215"/>
        <v>1.1096497933884288</v>
      </c>
      <c r="BP44" s="42">
        <f t="shared" ref="BP44:BQ44" si="216">+BP32-BP45-BP41</f>
        <v>4514.7877283677653</v>
      </c>
      <c r="BQ44" s="24">
        <f t="shared" si="216"/>
        <v>1.1096497933884288</v>
      </c>
      <c r="BR44" s="42">
        <f t="shared" ref="BR44:BS44" si="217">+BR32-BR45-BR41</f>
        <v>4514.7877283677653</v>
      </c>
      <c r="BS44" s="24">
        <f t="shared" si="217"/>
        <v>1.1096497933884288</v>
      </c>
      <c r="BT44" s="42">
        <f t="shared" ref="BT44:BU44" si="218">+BT32-BT45-BT41</f>
        <v>4514.7877283677653</v>
      </c>
      <c r="BU44" s="24">
        <f t="shared" si="218"/>
        <v>1.1096497933884288</v>
      </c>
      <c r="BV44" s="42">
        <f t="shared" ref="BV44:BW44" si="219">+BV32-BV45-BV41</f>
        <v>4514.7877283677653</v>
      </c>
      <c r="BW44" s="24">
        <f t="shared" si="219"/>
        <v>1.1096497933884288</v>
      </c>
      <c r="BX44" s="42">
        <f t="shared" ref="BX44:BY44" si="220">+BX32-BX45-BX41</f>
        <v>4514.7877283677653</v>
      </c>
      <c r="BY44" s="24">
        <f t="shared" si="220"/>
        <v>1.1096497933884288</v>
      </c>
      <c r="BZ44" s="42">
        <f t="shared" ref="BZ44:CC44" si="221">+BZ32-BZ45-BZ41</f>
        <v>4514.7877283677653</v>
      </c>
      <c r="CA44" s="24">
        <f t="shared" si="221"/>
        <v>1.1096497933884288</v>
      </c>
      <c r="CB44" s="42">
        <f t="shared" si="221"/>
        <v>4514.7877283677653</v>
      </c>
      <c r="CC44" s="24">
        <f t="shared" si="221"/>
        <v>1.1096497933884288</v>
      </c>
      <c r="CD44" s="42">
        <f t="shared" ref="CD44:CE44" si="222">+CD32-CD45-CD41</f>
        <v>2746.5313881918146</v>
      </c>
      <c r="CE44" s="24">
        <f t="shared" si="222"/>
        <v>0.67504568781658214</v>
      </c>
      <c r="CF44" s="620"/>
      <c r="CG44" s="620"/>
      <c r="CH44" s="620"/>
      <c r="CI44" s="620"/>
      <c r="CJ44" s="42">
        <f t="shared" si="210"/>
        <v>2826.8845109536474</v>
      </c>
      <c r="CK44" s="24">
        <f t="shared" si="210"/>
        <v>0.69479497204328922</v>
      </c>
      <c r="CL44" s="42">
        <f t="shared" si="210"/>
        <v>2821.168081034943</v>
      </c>
      <c r="CM44" s="24">
        <f t="shared" si="210"/>
        <v>0.69338998123090734</v>
      </c>
      <c r="CN44" s="42">
        <f t="shared" si="210"/>
        <v>2821.168081034943</v>
      </c>
      <c r="CO44" s="24">
        <f t="shared" si="210"/>
        <v>0.69338998123090734</v>
      </c>
      <c r="CP44" s="42">
        <f t="shared" si="210"/>
        <v>2821.168081034943</v>
      </c>
      <c r="CQ44" s="24">
        <f t="shared" si="210"/>
        <v>0.69338998123090734</v>
      </c>
      <c r="CR44" s="42">
        <f t="shared" si="210"/>
        <v>2824.3860705040443</v>
      </c>
      <c r="CS44" s="24">
        <f t="shared" si="210"/>
        <v>0.69418090243570274</v>
      </c>
      <c r="CT44" s="42">
        <f t="shared" si="210"/>
        <v>4530.9404766942098</v>
      </c>
      <c r="CU44" s="24">
        <f t="shared" si="210"/>
        <v>1.1136198347107427</v>
      </c>
      <c r="CV44" s="42">
        <f t="shared" si="210"/>
        <v>2779.3724769636578</v>
      </c>
      <c r="CW44" s="24">
        <f t="shared" si="210"/>
        <v>0.68311740891685679</v>
      </c>
      <c r="CX44" s="42">
        <f t="shared" si="210"/>
        <v>2811.6359735286842</v>
      </c>
      <c r="CY44" s="24">
        <f t="shared" si="210"/>
        <v>0.69104716873090533</v>
      </c>
      <c r="DA44" s="42">
        <f t="shared" ref="DA44:DB44" si="223">+DA32-DA45-DA41</f>
        <v>2821.168081034943</v>
      </c>
      <c r="DB44" s="24">
        <f t="shared" si="223"/>
        <v>0.69338998123090734</v>
      </c>
      <c r="DC44" s="42">
        <f t="shared" ref="DC44:DD44" si="224">+DC32-DC45-DC41</f>
        <v>4514.7877283677653</v>
      </c>
      <c r="DD44" s="24">
        <f t="shared" si="224"/>
        <v>1.1096497933884288</v>
      </c>
      <c r="DE44" s="42">
        <f t="shared" ref="DE44:DF44" si="225">+DE32-DE45-DE41</f>
        <v>4514.7877283677653</v>
      </c>
      <c r="DF44" s="24">
        <f t="shared" si="225"/>
        <v>1.1096497933884288</v>
      </c>
      <c r="DG44" s="42">
        <f t="shared" ref="DG44:DH44" si="226">+DG32-DG45-DG41</f>
        <v>4514.7877283677653</v>
      </c>
      <c r="DH44" s="24">
        <f t="shared" si="226"/>
        <v>1.1096497933884288</v>
      </c>
      <c r="DI44" s="42">
        <f t="shared" ref="DI44:DJ44" si="227">+DI32-DI45-DI41</f>
        <v>4514.7877283677653</v>
      </c>
      <c r="DJ44" s="24">
        <f t="shared" si="227"/>
        <v>1.1096497933884288</v>
      </c>
      <c r="DK44" s="42">
        <f t="shared" ref="DK44:DL44" si="228">+DK32-DK45-DK41</f>
        <v>4514.7877283677653</v>
      </c>
      <c r="DL44" s="24">
        <f t="shared" si="228"/>
        <v>1.1096497933884288</v>
      </c>
      <c r="DM44" s="42">
        <f t="shared" ref="DM44:DN44" si="229">+DM32-DM45-DM41</f>
        <v>4514.7877283677653</v>
      </c>
      <c r="DN44" s="24">
        <f t="shared" si="229"/>
        <v>1.1096497933884288</v>
      </c>
      <c r="DO44" s="42">
        <f t="shared" ref="DO44:DP44" si="230">+DO32-DO45-DO41</f>
        <v>3584.1264966962144</v>
      </c>
      <c r="DP44" s="24">
        <f t="shared" si="230"/>
        <v>0.8809107904558785</v>
      </c>
      <c r="DR44" s="42">
        <f t="shared" ref="DR44:DU44" si="231">+DR32-DR45-DR41</f>
        <v>4601.7931643181801</v>
      </c>
      <c r="DS44" s="24">
        <f t="shared" si="231"/>
        <v>1.1310340909090908</v>
      </c>
      <c r="DT44" s="42">
        <f t="shared" si="231"/>
        <v>4514.7877283677653</v>
      </c>
      <c r="DU44" s="24">
        <f t="shared" si="231"/>
        <v>1.1096497933884288</v>
      </c>
    </row>
    <row r="45" spans="1:125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25857.864250661154</v>
      </c>
      <c r="G45" s="32">
        <f>+G49</f>
        <v>6.3553760330578504</v>
      </c>
      <c r="H45" s="66">
        <f>+I49*H12</f>
        <v>26327.794480661156</v>
      </c>
      <c r="I45" s="32">
        <f>+I49</f>
        <v>6.4708760330578512</v>
      </c>
      <c r="J45" s="66">
        <f>+K49*J12</f>
        <v>26327.794480661156</v>
      </c>
      <c r="K45" s="32">
        <f>+K49</f>
        <v>6.4708760330578512</v>
      </c>
      <c r="L45" s="66">
        <f>+M49*L12</f>
        <v>26327.794480661156</v>
      </c>
      <c r="M45" s="32">
        <f>+M49</f>
        <v>6.4708760330578512</v>
      </c>
      <c r="N45" s="66">
        <f>+O49*N12</f>
        <v>26548.731827601474</v>
      </c>
      <c r="O45" s="32">
        <f>+O49</f>
        <v>6.525178271863826</v>
      </c>
      <c r="P45" s="66">
        <f>+Q49*P12</f>
        <v>26562.371223570248</v>
      </c>
      <c r="Q45" s="32">
        <f>+Q49</f>
        <v>6.528530578512397</v>
      </c>
      <c r="R45" s="66">
        <f>+S49*R12</f>
        <v>26562.371223570248</v>
      </c>
      <c r="S45" s="32">
        <f>+S49</f>
        <v>6.528530578512397</v>
      </c>
      <c r="T45" s="66">
        <f>+U49*T12</f>
        <v>26562.371223570248</v>
      </c>
      <c r="U45" s="32">
        <f>+U49</f>
        <v>6.528530578512397</v>
      </c>
      <c r="V45" s="66">
        <f>+W49*V12</f>
        <v>26562.371223570248</v>
      </c>
      <c r="W45" s="32">
        <f>+W49</f>
        <v>6.528530578512397</v>
      </c>
      <c r="X45" s="66">
        <f>+Y49*X12</f>
        <v>26562.371223570248</v>
      </c>
      <c r="Y45" s="32">
        <f>+Y49</f>
        <v>6.528530578512397</v>
      </c>
      <c r="Z45" s="66">
        <f>+AA49*Z12</f>
        <v>26562.371223570248</v>
      </c>
      <c r="AA45" s="32">
        <f>+AA49</f>
        <v>6.528530578512397</v>
      </c>
      <c r="AB45" s="66">
        <f>+AC49*AB12</f>
        <v>26562.371223570248</v>
      </c>
      <c r="AC45" s="32">
        <f>+AC49</f>
        <v>6.528530578512397</v>
      </c>
      <c r="AD45" s="66">
        <f>+AE49*AD12</f>
        <v>26562.371223570248</v>
      </c>
      <c r="AE45" s="32">
        <f>+AE49</f>
        <v>6.528530578512397</v>
      </c>
      <c r="AF45" s="66">
        <f>+AG49*AF12</f>
        <v>26562.371223570248</v>
      </c>
      <c r="AG45" s="32">
        <f>+AG49</f>
        <v>6.528530578512397</v>
      </c>
      <c r="AH45" s="66">
        <f>+AI49*AH12</f>
        <v>26562.371223570248</v>
      </c>
      <c r="AI45" s="32">
        <f>+AI49</f>
        <v>6.528530578512397</v>
      </c>
      <c r="AJ45" s="66">
        <f>+AK49*AJ12</f>
        <v>26562.371223570248</v>
      </c>
      <c r="AK45" s="32">
        <f>+AK49</f>
        <v>6.528530578512397</v>
      </c>
      <c r="AL45" s="66">
        <f>+AM49*AL12</f>
        <v>26562.371223570248</v>
      </c>
      <c r="AM45" s="32">
        <f>+AM49</f>
        <v>6.528530578512397</v>
      </c>
      <c r="AN45" s="66">
        <f>+AO49*AN12</f>
        <v>26562.371223570248</v>
      </c>
      <c r="AO45" s="32">
        <f>+AO49</f>
        <v>6.528530578512397</v>
      </c>
      <c r="AP45" s="66">
        <f>+AQ49*AP12</f>
        <v>26562.371223570248</v>
      </c>
      <c r="AQ45" s="32">
        <f>+AQ49</f>
        <v>6.528530578512397</v>
      </c>
      <c r="AR45" s="66">
        <f>+AS49*AR12</f>
        <v>26562.371223570248</v>
      </c>
      <c r="AS45" s="32">
        <f>+AS49</f>
        <v>6.528530578512397</v>
      </c>
      <c r="AT45" s="66">
        <f>+AU49*AT12</f>
        <v>26562.371223570248</v>
      </c>
      <c r="AU45" s="32">
        <f>+AU49</f>
        <v>6.528530578512397</v>
      </c>
      <c r="AV45" s="66">
        <f>+AW49*AV12</f>
        <v>26562.371223570248</v>
      </c>
      <c r="AW45" s="32">
        <f>+AW49</f>
        <v>6.528530578512397</v>
      </c>
      <c r="AX45" s="66">
        <f>+AY49*AX12</f>
        <v>26562.371223570248</v>
      </c>
      <c r="AY45" s="32">
        <f>+AY49</f>
        <v>6.528530578512397</v>
      </c>
      <c r="AZ45" s="66">
        <f>+BA49*AZ12</f>
        <v>26562.371223570248</v>
      </c>
      <c r="BA45" s="32">
        <f>+BA49</f>
        <v>6.528530578512397</v>
      </c>
      <c r="BB45" s="66">
        <f>+BC49*BB12</f>
        <v>26562.371223570248</v>
      </c>
      <c r="BC45" s="32">
        <f>+BC49</f>
        <v>6.528530578512397</v>
      </c>
      <c r="BD45" s="66">
        <f>+BE49*BD12</f>
        <v>26562.371223570248</v>
      </c>
      <c r="BE45" s="32">
        <f>+BE49</f>
        <v>6.528530578512397</v>
      </c>
      <c r="BF45" s="66">
        <f>+BG49*BF12</f>
        <v>26562.371223570248</v>
      </c>
      <c r="BG45" s="32">
        <f>+BG49</f>
        <v>6.528530578512397</v>
      </c>
      <c r="BH45" s="66">
        <f>+BI49*BH12</f>
        <v>26580.139246729337</v>
      </c>
      <c r="BI45" s="32">
        <f>+BI49</f>
        <v>6.5328976239669423</v>
      </c>
      <c r="BJ45" s="66">
        <f>+BK49*BJ12</f>
        <v>26580.139246729337</v>
      </c>
      <c r="BK45" s="32">
        <f>+BK49</f>
        <v>6.5328976239669423</v>
      </c>
      <c r="BL45" s="66">
        <f>+BM49*BL12</f>
        <v>26580.139246729337</v>
      </c>
      <c r="BM45" s="32">
        <f>+BM49</f>
        <v>6.5328976239669423</v>
      </c>
      <c r="BN45" s="66">
        <f>+BO49*BN12</f>
        <v>26580.139246729337</v>
      </c>
      <c r="BO45" s="32">
        <f>+BO49</f>
        <v>6.5328976239669423</v>
      </c>
      <c r="BP45" s="66">
        <f>+BQ49*BP12</f>
        <v>26580.139246729337</v>
      </c>
      <c r="BQ45" s="32">
        <f>+BQ49</f>
        <v>6.5328976239669423</v>
      </c>
      <c r="BR45" s="66">
        <f>+BS49*BR12</f>
        <v>26580.139246729337</v>
      </c>
      <c r="BS45" s="32">
        <f>+BS49</f>
        <v>6.5328976239669423</v>
      </c>
      <c r="BT45" s="66">
        <f>+BU49*BT12</f>
        <v>26580.139246729337</v>
      </c>
      <c r="BU45" s="32">
        <f>+BU49</f>
        <v>6.5328976239669423</v>
      </c>
      <c r="BV45" s="66">
        <f>+BW49*BV12</f>
        <v>26580.139246729337</v>
      </c>
      <c r="BW45" s="32">
        <f>+BW49</f>
        <v>6.5328976239669423</v>
      </c>
      <c r="BX45" s="66">
        <f>+BY49*BX12</f>
        <v>26580.139246729337</v>
      </c>
      <c r="BY45" s="32">
        <f>+BY49</f>
        <v>6.5328976239669423</v>
      </c>
      <c r="BZ45" s="66">
        <f>+CA49*BZ12</f>
        <v>26580.139246729337</v>
      </c>
      <c r="CA45" s="32">
        <f>+CA49</f>
        <v>6.5328976239669423</v>
      </c>
      <c r="CB45" s="66">
        <f>+CC49*CB12</f>
        <v>26580.139246729337</v>
      </c>
      <c r="CC45" s="32">
        <f>+CC49</f>
        <v>6.5328976239669423</v>
      </c>
      <c r="CD45" s="66">
        <f>+CE49*CD12</f>
        <v>26580.139246729337</v>
      </c>
      <c r="CE45" s="32">
        <f>+CE49</f>
        <v>6.5328976239669423</v>
      </c>
      <c r="CF45" s="620"/>
      <c r="CG45" s="620"/>
      <c r="CH45" s="620"/>
      <c r="CI45" s="620"/>
      <c r="CJ45" s="66">
        <f>+CK49*CJ12</f>
        <v>26556.083150659673</v>
      </c>
      <c r="CK45" s="32">
        <f>+CK49</f>
        <v>6.526985088618777</v>
      </c>
      <c r="CL45" s="66">
        <f>+CM49*CL12</f>
        <v>26562.371223570248</v>
      </c>
      <c r="CM45" s="32">
        <f>+CM49</f>
        <v>6.528530578512397</v>
      </c>
      <c r="CN45" s="66">
        <f>+CO49*CN12</f>
        <v>26562.371223570248</v>
      </c>
      <c r="CO45" s="32">
        <f>+CO49</f>
        <v>6.528530578512397</v>
      </c>
      <c r="CP45" s="66">
        <f>+CQ49*CP12</f>
        <v>26562.371223570248</v>
      </c>
      <c r="CQ45" s="32">
        <f>+CQ49</f>
        <v>6.528530578512397</v>
      </c>
      <c r="CR45" s="66">
        <f>+CS49*CR12</f>
        <v>26558.831435154236</v>
      </c>
      <c r="CS45" s="32">
        <f>+CS49</f>
        <v>6.527660565187122</v>
      </c>
      <c r="CT45" s="66">
        <f>+CU49*CT12</f>
        <v>26562.371223570248</v>
      </c>
      <c r="CU45" s="32">
        <f>+CU49</f>
        <v>6.528530578512397</v>
      </c>
      <c r="CV45" s="66">
        <f>+CW49*CV12</f>
        <v>27747.57118804866</v>
      </c>
      <c r="CW45" s="32">
        <f>+CW49</f>
        <v>6.819830408057852</v>
      </c>
      <c r="CX45" s="66">
        <f>+CY49*CX12</f>
        <v>26572.856541827128</v>
      </c>
      <c r="CY45" s="32">
        <f>+CY49</f>
        <v>6.5311076722623982</v>
      </c>
      <c r="DA45" s="66">
        <f>+DB49*DA12</f>
        <v>26562.371223570248</v>
      </c>
      <c r="DB45" s="32">
        <f>+DB49</f>
        <v>6.528530578512397</v>
      </c>
      <c r="DC45" s="66">
        <f>+DD49*DC12</f>
        <v>26580.139246729337</v>
      </c>
      <c r="DD45" s="32">
        <f>+DD49</f>
        <v>6.5328976239669423</v>
      </c>
      <c r="DE45" s="66">
        <f>+DF49*DE12</f>
        <v>26580.139246729337</v>
      </c>
      <c r="DF45" s="32">
        <f>+DF49</f>
        <v>6.5328976239669423</v>
      </c>
      <c r="DG45" s="66">
        <f>+DH49*DG12</f>
        <v>26580.139246729337</v>
      </c>
      <c r="DH45" s="32">
        <f>+DH49</f>
        <v>6.5328976239669423</v>
      </c>
      <c r="DI45" s="66">
        <f>+DJ49*DI12</f>
        <v>26580.139246729337</v>
      </c>
      <c r="DJ45" s="32">
        <f>+DJ49</f>
        <v>6.5328976239669423</v>
      </c>
      <c r="DK45" s="66">
        <f>+DL49*DK12</f>
        <v>26580.139246729337</v>
      </c>
      <c r="DL45" s="32">
        <f>+DL49</f>
        <v>6.5328976239669423</v>
      </c>
      <c r="DM45" s="66">
        <f>+DN49*DM12</f>
        <v>26580.139246729337</v>
      </c>
      <c r="DN45" s="32">
        <f>+DN49</f>
        <v>6.5328976239669423</v>
      </c>
      <c r="DO45" s="66">
        <f>+DP49*DO12</f>
        <v>26580.139246729337</v>
      </c>
      <c r="DP45" s="32">
        <f>+DP49</f>
        <v>6.5328976239669423</v>
      </c>
      <c r="DR45" s="66">
        <f>+DS49*DR12</f>
        <v>26490.485819249996</v>
      </c>
      <c r="DS45" s="32">
        <f>+DS49</f>
        <v>6.5108624999999991</v>
      </c>
      <c r="DT45" s="66">
        <f>+DU49*DT12</f>
        <v>26580.139246729337</v>
      </c>
      <c r="DU45" s="32">
        <f>+DU49</f>
        <v>6.5328976239669423</v>
      </c>
    </row>
    <row r="46" spans="1:125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704" t="e">
        <f>Q44/#REF!-1</f>
        <v>#REF!</v>
      </c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352">
        <v>0</v>
      </c>
      <c r="AG46" s="358"/>
      <c r="AH46" s="352">
        <v>0</v>
      </c>
      <c r="AI46" s="358"/>
      <c r="AJ46" s="352">
        <v>0</v>
      </c>
      <c r="AK46" s="358"/>
      <c r="AL46" s="352">
        <v>0</v>
      </c>
      <c r="AM46" s="358"/>
      <c r="AN46" s="352">
        <v>0</v>
      </c>
      <c r="AO46" s="358"/>
      <c r="AP46" s="352">
        <v>0</v>
      </c>
      <c r="AQ46" s="358"/>
      <c r="AR46" s="352">
        <v>0</v>
      </c>
      <c r="AS46" s="358"/>
      <c r="AT46" s="352">
        <v>0</v>
      </c>
      <c r="AU46" s="358"/>
      <c r="AV46" s="352">
        <v>0</v>
      </c>
      <c r="AW46" s="358"/>
      <c r="AX46" s="352">
        <v>0</v>
      </c>
      <c r="AY46" s="358"/>
      <c r="AZ46" s="352">
        <v>0</v>
      </c>
      <c r="BA46" s="358"/>
      <c r="BB46" s="352">
        <v>0</v>
      </c>
      <c r="BC46" s="358"/>
      <c r="BD46" s="352">
        <v>0</v>
      </c>
      <c r="BE46" s="358"/>
      <c r="BF46" s="352">
        <v>0</v>
      </c>
      <c r="BG46" s="358"/>
      <c r="BH46" s="352">
        <v>0</v>
      </c>
      <c r="BI46" s="358"/>
      <c r="BJ46" s="352">
        <v>0</v>
      </c>
      <c r="BK46" s="358"/>
      <c r="BL46" s="352">
        <v>0</v>
      </c>
      <c r="BM46" s="358"/>
      <c r="BN46" s="352">
        <v>0</v>
      </c>
      <c r="BO46" s="358"/>
      <c r="BP46" s="352">
        <v>0</v>
      </c>
      <c r="BQ46" s="358"/>
      <c r="BR46" s="352">
        <v>0</v>
      </c>
      <c r="BS46" s="358"/>
      <c r="BT46" s="352">
        <v>0</v>
      </c>
      <c r="BU46" s="358"/>
      <c r="BV46" s="352">
        <v>0</v>
      </c>
      <c r="BW46" s="358"/>
      <c r="BX46" s="352">
        <v>0</v>
      </c>
      <c r="BY46" s="358"/>
      <c r="BZ46" s="352">
        <v>0</v>
      </c>
      <c r="CA46" s="358"/>
      <c r="CB46" s="352">
        <v>0</v>
      </c>
      <c r="CC46" s="358"/>
      <c r="CD46" s="352">
        <v>0</v>
      </c>
      <c r="CE46" s="358"/>
      <c r="CF46" s="620"/>
      <c r="CG46" s="620"/>
      <c r="CH46" s="620"/>
      <c r="CI46" s="620"/>
      <c r="CJ46" s="352">
        <v>0</v>
      </c>
      <c r="CK46" s="358"/>
      <c r="CL46" s="352">
        <v>0</v>
      </c>
      <c r="CM46" s="358"/>
      <c r="CN46" s="352">
        <v>0</v>
      </c>
      <c r="CO46" s="358"/>
      <c r="CP46" s="352">
        <v>0</v>
      </c>
      <c r="CQ46" s="358"/>
      <c r="CR46" s="352">
        <v>0</v>
      </c>
      <c r="CS46" s="358"/>
      <c r="CT46" s="352">
        <v>0</v>
      </c>
      <c r="CU46" s="358"/>
      <c r="CV46" s="352">
        <v>0</v>
      </c>
      <c r="CW46" s="358"/>
      <c r="CX46" s="352">
        <v>0</v>
      </c>
      <c r="CY46" s="358"/>
      <c r="DA46" s="352">
        <v>0</v>
      </c>
      <c r="DB46" s="358"/>
      <c r="DC46" s="352">
        <v>0</v>
      </c>
      <c r="DD46" s="358"/>
      <c r="DE46" s="352">
        <v>0</v>
      </c>
      <c r="DF46" s="358"/>
      <c r="DG46" s="352">
        <v>0</v>
      </c>
      <c r="DH46" s="358"/>
      <c r="DI46" s="352">
        <v>0</v>
      </c>
      <c r="DJ46" s="358"/>
      <c r="DK46" s="352">
        <v>0</v>
      </c>
      <c r="DL46" s="358"/>
      <c r="DM46" s="352">
        <v>0</v>
      </c>
      <c r="DN46" s="358"/>
      <c r="DO46" s="352">
        <v>0</v>
      </c>
      <c r="DP46" s="358"/>
      <c r="DR46" s="352">
        <v>0</v>
      </c>
      <c r="DS46" s="358"/>
      <c r="DT46" s="352">
        <v>0</v>
      </c>
      <c r="DU46" s="358"/>
    </row>
    <row r="47" spans="1:125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556"/>
      <c r="G47" s="557">
        <f>55000000/40*G44</f>
        <v>1197670.4545454551</v>
      </c>
      <c r="H47" s="556"/>
      <c r="I47" s="557">
        <f>90000000/40*I44</f>
        <v>1721841.532687993</v>
      </c>
      <c r="J47" s="556"/>
      <c r="K47" s="557">
        <f>90000000/40*K44</f>
        <v>2123685.3478900497</v>
      </c>
      <c r="L47" s="556"/>
      <c r="M47" s="557">
        <f>90000000/40*M44</f>
        <v>1222687.4622051995</v>
      </c>
      <c r="N47" s="558"/>
      <c r="O47" s="557">
        <f>120000000/40*O44</f>
        <v>2089312.598188825</v>
      </c>
      <c r="P47" s="558"/>
      <c r="Q47" s="557">
        <f>120000000/40*Q44</f>
        <v>2745527.4736419604</v>
      </c>
      <c r="R47" s="558"/>
      <c r="S47" s="557">
        <f>120000000/40*S44</f>
        <v>1473010.2801854443</v>
      </c>
      <c r="T47" s="558"/>
      <c r="U47" s="557">
        <f>120000000/40*U44</f>
        <v>2080169.9436927221</v>
      </c>
      <c r="V47" s="558"/>
      <c r="W47" s="557">
        <f>120000000/40*W44</f>
        <v>2080169.9436927221</v>
      </c>
      <c r="X47" s="558"/>
      <c r="Y47" s="557">
        <f>120000000/40*Y44</f>
        <v>2080169.9436927221</v>
      </c>
      <c r="Z47" s="558"/>
      <c r="AA47" s="557">
        <f>120000000/40*AA44</f>
        <v>2080169.9436927221</v>
      </c>
      <c r="AB47" s="558"/>
      <c r="AC47" s="557">
        <f>120000000/40*AC44</f>
        <v>2080169.9436927221</v>
      </c>
      <c r="AD47" s="558"/>
      <c r="AE47" s="557">
        <f>120000000/40*AE44</f>
        <v>2080169.9436927221</v>
      </c>
      <c r="AF47" s="558"/>
      <c r="AG47" s="557">
        <f>120000000/40*AG44</f>
        <v>2080169.9436927221</v>
      </c>
      <c r="AH47" s="558"/>
      <c r="AI47" s="557">
        <f>120000000/40*AI44</f>
        <v>2080169.9436927221</v>
      </c>
      <c r="AJ47" s="558"/>
      <c r="AK47" s="557">
        <f>120000000/40*AK44</f>
        <v>2080169.9436927221</v>
      </c>
      <c r="AL47" s="558"/>
      <c r="AM47" s="557">
        <f>120000000/40*AM44</f>
        <v>2080169.9436927221</v>
      </c>
      <c r="AN47" s="558"/>
      <c r="AO47" s="557">
        <f>120000000/40*AO44</f>
        <v>2080169.9436927221</v>
      </c>
      <c r="AP47" s="558"/>
      <c r="AQ47" s="557">
        <f>120000000/40*AQ44</f>
        <v>2080169.9436927221</v>
      </c>
      <c r="AR47" s="558"/>
      <c r="AS47" s="557">
        <f>120000000/40*AS44</f>
        <v>2080169.9436927221</v>
      </c>
      <c r="AT47" s="558"/>
      <c r="AU47" s="557">
        <f>120000000/40*AU44</f>
        <v>2080169.9436927221</v>
      </c>
      <c r="AV47" s="558"/>
      <c r="AW47" s="557">
        <f>120000000/40*AW44</f>
        <v>2080169.9436927221</v>
      </c>
      <c r="AX47" s="558"/>
      <c r="AY47" s="557">
        <f>120000000/40*AY44</f>
        <v>2080169.9436927221</v>
      </c>
      <c r="AZ47" s="558"/>
      <c r="BA47" s="557">
        <f>120000000/40*BA44</f>
        <v>2080169.9436927221</v>
      </c>
      <c r="BB47" s="558"/>
      <c r="BC47" s="557">
        <f>120000000/40*BC44</f>
        <v>2080169.9436927221</v>
      </c>
      <c r="BD47" s="558"/>
      <c r="BE47" s="557">
        <f>120000000/40*BE44</f>
        <v>2080169.9436927221</v>
      </c>
      <c r="BF47" s="558"/>
      <c r="BG47" s="557">
        <f>120000000/40*BG44</f>
        <v>2080169.9436927221</v>
      </c>
      <c r="BH47" s="558"/>
      <c r="BI47" s="557">
        <f>120000000/40*BI44</f>
        <v>3328949.3801652864</v>
      </c>
      <c r="BJ47" s="558"/>
      <c r="BK47" s="557">
        <f>120000000/40*BK44</f>
        <v>3328949.3801652864</v>
      </c>
      <c r="BL47" s="558"/>
      <c r="BM47" s="557">
        <f>120000000/40*BM44</f>
        <v>3328949.3801652864</v>
      </c>
      <c r="BN47" s="558"/>
      <c r="BO47" s="557">
        <f>120000000/40*BO44</f>
        <v>3328949.3801652864</v>
      </c>
      <c r="BP47" s="558"/>
      <c r="BQ47" s="557">
        <f>120000000/40*BQ44</f>
        <v>3328949.3801652864</v>
      </c>
      <c r="BR47" s="558"/>
      <c r="BS47" s="557">
        <f>120000000/40*BS44</f>
        <v>3328949.3801652864</v>
      </c>
      <c r="BT47" s="558"/>
      <c r="BU47" s="557">
        <f>120000000/40*BU44</f>
        <v>3328949.3801652864</v>
      </c>
      <c r="BV47" s="558"/>
      <c r="BW47" s="557">
        <f>120000000/40*BW44</f>
        <v>3328949.3801652864</v>
      </c>
      <c r="BX47" s="558"/>
      <c r="BY47" s="557">
        <f>120000000/40*BY44</f>
        <v>3328949.3801652864</v>
      </c>
      <c r="BZ47" s="558"/>
      <c r="CA47" s="557">
        <f>120000000/40*CA44</f>
        <v>3328949.3801652864</v>
      </c>
      <c r="CB47" s="558"/>
      <c r="CC47" s="557">
        <f>120000000/40*CC44</f>
        <v>3328949.3801652864</v>
      </c>
      <c r="CD47" s="558"/>
      <c r="CE47" s="557">
        <f>120000000/40*CE44</f>
        <v>2025137.0634497465</v>
      </c>
      <c r="CF47" s="620"/>
      <c r="CG47" s="620"/>
      <c r="CH47" s="620"/>
      <c r="CI47" s="620"/>
      <c r="CJ47" s="558"/>
      <c r="CK47" s="557">
        <f>120000000/40*CK44</f>
        <v>2084384.9161298675</v>
      </c>
      <c r="CL47" s="558"/>
      <c r="CM47" s="557">
        <f>120000000/40*CM44</f>
        <v>2080169.9436927221</v>
      </c>
      <c r="CN47" s="558"/>
      <c r="CO47" s="557">
        <f>120000000/40*CO44</f>
        <v>2080169.9436927221</v>
      </c>
      <c r="CP47" s="558"/>
      <c r="CQ47" s="557">
        <f>120000000/40*CQ44</f>
        <v>2080169.9436927221</v>
      </c>
      <c r="CR47" s="558"/>
      <c r="CS47" s="557">
        <f>120000000/40*CS44</f>
        <v>2082542.7073071082</v>
      </c>
      <c r="CT47" s="558"/>
      <c r="CU47" s="557">
        <f>120000000/40*CU44</f>
        <v>3340859.504132228</v>
      </c>
      <c r="CV47" s="558"/>
      <c r="CW47" s="557">
        <f>120000000/40*CW44</f>
        <v>2049352.2267505703</v>
      </c>
      <c r="CX47" s="558"/>
      <c r="CY47" s="557">
        <f>120000000/40*CY44</f>
        <v>2073141.5061927161</v>
      </c>
      <c r="DA47" s="558"/>
      <c r="DB47" s="557">
        <f>120000000/40*DB44</f>
        <v>2080169.9436927221</v>
      </c>
      <c r="DC47" s="558"/>
      <c r="DD47" s="557">
        <f>120000000/40*DD44</f>
        <v>3328949.3801652864</v>
      </c>
      <c r="DE47" s="558"/>
      <c r="DF47" s="557">
        <f>120000000/40*DF44</f>
        <v>3328949.3801652864</v>
      </c>
      <c r="DG47" s="558"/>
      <c r="DH47" s="557">
        <f>120000000/40*DH44</f>
        <v>3328949.3801652864</v>
      </c>
      <c r="DI47" s="558"/>
      <c r="DJ47" s="557">
        <f>120000000/40*DJ44</f>
        <v>3328949.3801652864</v>
      </c>
      <c r="DK47" s="558"/>
      <c r="DL47" s="557">
        <f>120000000/40*DL44</f>
        <v>3328949.3801652864</v>
      </c>
      <c r="DM47" s="558"/>
      <c r="DN47" s="557">
        <f>120000000/40*DN44</f>
        <v>3328949.3801652864</v>
      </c>
      <c r="DO47" s="558"/>
      <c r="DP47" s="557">
        <f>120000000/40*DP44</f>
        <v>2642732.3713676357</v>
      </c>
      <c r="DR47" s="558"/>
      <c r="DS47" s="557">
        <f>120000000/40*DS44</f>
        <v>3393102.2727272725</v>
      </c>
      <c r="DT47" s="558"/>
      <c r="DU47" s="557">
        <f>120000000/40*DU44</f>
        <v>3328949.3801652864</v>
      </c>
    </row>
    <row r="48" spans="1:125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AK48" si="232">+F49/F10</f>
        <v>646.44660626652887</v>
      </c>
      <c r="G48" s="70">
        <f t="shared" si="232"/>
        <v>0.15888440082644625</v>
      </c>
      <c r="H48" s="69">
        <f t="shared" si="232"/>
        <v>658.19486201652887</v>
      </c>
      <c r="I48" s="70">
        <f t="shared" si="232"/>
        <v>0.16177190082644627</v>
      </c>
      <c r="J48" s="69">
        <f t="shared" si="232"/>
        <v>658.19486201652887</v>
      </c>
      <c r="K48" s="70">
        <f t="shared" si="232"/>
        <v>0.16177190082644627</v>
      </c>
      <c r="L48" s="69">
        <f t="shared" si="232"/>
        <v>658.19486201652887</v>
      </c>
      <c r="M48" s="70">
        <f t="shared" si="232"/>
        <v>0.16177190082644627</v>
      </c>
      <c r="N48" s="69">
        <f t="shared" si="232"/>
        <v>663.71829569003683</v>
      </c>
      <c r="O48" s="70">
        <f t="shared" si="232"/>
        <v>0.16312945679659566</v>
      </c>
      <c r="P48" s="69">
        <f t="shared" si="232"/>
        <v>664.05928058925622</v>
      </c>
      <c r="Q48" s="70">
        <f t="shared" si="232"/>
        <v>0.16321326446280993</v>
      </c>
      <c r="R48" s="69">
        <f t="shared" si="232"/>
        <v>664.05928058925622</v>
      </c>
      <c r="S48" s="70">
        <f t="shared" si="232"/>
        <v>0.16321326446280993</v>
      </c>
      <c r="T48" s="69">
        <f t="shared" si="232"/>
        <v>664.05928058925622</v>
      </c>
      <c r="U48" s="70">
        <f t="shared" si="232"/>
        <v>0.16321326446280993</v>
      </c>
      <c r="V48" s="69">
        <f t="shared" si="232"/>
        <v>664.05928058925622</v>
      </c>
      <c r="W48" s="70">
        <f t="shared" si="232"/>
        <v>0.16321326446280993</v>
      </c>
      <c r="X48" s="69">
        <f t="shared" si="232"/>
        <v>664.05928058925622</v>
      </c>
      <c r="Y48" s="70">
        <f t="shared" si="232"/>
        <v>0.16321326446280993</v>
      </c>
      <c r="Z48" s="69">
        <f t="shared" si="232"/>
        <v>664.05928058925622</v>
      </c>
      <c r="AA48" s="70">
        <f t="shared" si="232"/>
        <v>0.16321326446280993</v>
      </c>
      <c r="AB48" s="69">
        <f t="shared" si="232"/>
        <v>664.05928058925622</v>
      </c>
      <c r="AC48" s="70">
        <f t="shared" si="232"/>
        <v>0.16321326446280993</v>
      </c>
      <c r="AD48" s="69">
        <f t="shared" si="232"/>
        <v>664.05928058925622</v>
      </c>
      <c r="AE48" s="70">
        <f t="shared" si="232"/>
        <v>0.16321326446280993</v>
      </c>
      <c r="AF48" s="69">
        <f t="shared" si="232"/>
        <v>664.05928058925622</v>
      </c>
      <c r="AG48" s="70">
        <f t="shared" si="232"/>
        <v>0.16321326446280993</v>
      </c>
      <c r="AH48" s="69">
        <f t="shared" si="232"/>
        <v>664.05928058925622</v>
      </c>
      <c r="AI48" s="70">
        <f t="shared" si="232"/>
        <v>0.16321326446280993</v>
      </c>
      <c r="AJ48" s="69">
        <f t="shared" si="232"/>
        <v>664.05928058925622</v>
      </c>
      <c r="AK48" s="70">
        <f t="shared" si="232"/>
        <v>0.16321326446280993</v>
      </c>
      <c r="AL48" s="69">
        <f t="shared" ref="AL48:BQ48" si="233">+AL49/AL10</f>
        <v>664.05928058925622</v>
      </c>
      <c r="AM48" s="70">
        <f t="shared" si="233"/>
        <v>0.16321326446280993</v>
      </c>
      <c r="AN48" s="69">
        <f t="shared" si="233"/>
        <v>664.05928058925622</v>
      </c>
      <c r="AO48" s="70">
        <f t="shared" si="233"/>
        <v>0.16321326446280993</v>
      </c>
      <c r="AP48" s="69">
        <f t="shared" si="233"/>
        <v>664.05928058925622</v>
      </c>
      <c r="AQ48" s="70">
        <f t="shared" si="233"/>
        <v>0.16321326446280993</v>
      </c>
      <c r="AR48" s="69">
        <f t="shared" si="233"/>
        <v>664.05928058925622</v>
      </c>
      <c r="AS48" s="70">
        <f t="shared" si="233"/>
        <v>0.16321326446280993</v>
      </c>
      <c r="AT48" s="69">
        <f t="shared" si="233"/>
        <v>664.05928058925622</v>
      </c>
      <c r="AU48" s="70">
        <f t="shared" si="233"/>
        <v>0.16321326446280993</v>
      </c>
      <c r="AV48" s="69">
        <f t="shared" si="233"/>
        <v>664.05928058925622</v>
      </c>
      <c r="AW48" s="70">
        <f t="shared" si="233"/>
        <v>0.16321326446280993</v>
      </c>
      <c r="AX48" s="69">
        <f t="shared" si="233"/>
        <v>664.05928058925622</v>
      </c>
      <c r="AY48" s="70">
        <f t="shared" si="233"/>
        <v>0.16321326446280993</v>
      </c>
      <c r="AZ48" s="69">
        <f t="shared" si="233"/>
        <v>664.05928058925622</v>
      </c>
      <c r="BA48" s="70">
        <f t="shared" si="233"/>
        <v>0.16321326446280993</v>
      </c>
      <c r="BB48" s="69">
        <f t="shared" si="233"/>
        <v>664.05928058925622</v>
      </c>
      <c r="BC48" s="70">
        <f t="shared" si="233"/>
        <v>0.16321326446280993</v>
      </c>
      <c r="BD48" s="69">
        <f t="shared" si="233"/>
        <v>664.05928058925622</v>
      </c>
      <c r="BE48" s="70">
        <f t="shared" si="233"/>
        <v>0.16321326446280993</v>
      </c>
      <c r="BF48" s="69">
        <f t="shared" si="233"/>
        <v>664.05928058925622</v>
      </c>
      <c r="BG48" s="70">
        <f t="shared" si="233"/>
        <v>0.16321326446280993</v>
      </c>
      <c r="BH48" s="69">
        <f t="shared" si="233"/>
        <v>664.50348116823341</v>
      </c>
      <c r="BI48" s="70">
        <f t="shared" si="233"/>
        <v>0.16332244059917356</v>
      </c>
      <c r="BJ48" s="69">
        <f t="shared" si="233"/>
        <v>664.50348116823341</v>
      </c>
      <c r="BK48" s="70">
        <f t="shared" si="233"/>
        <v>0.16332244059917356</v>
      </c>
      <c r="BL48" s="69">
        <f t="shared" si="233"/>
        <v>664.50348116823341</v>
      </c>
      <c r="BM48" s="70">
        <f t="shared" si="233"/>
        <v>0.16332244059917356</v>
      </c>
      <c r="BN48" s="69">
        <f t="shared" si="233"/>
        <v>664.50348116823341</v>
      </c>
      <c r="BO48" s="70">
        <f t="shared" si="233"/>
        <v>0.16332244059917356</v>
      </c>
      <c r="BP48" s="69">
        <f t="shared" si="233"/>
        <v>664.50348116823341</v>
      </c>
      <c r="BQ48" s="70">
        <f t="shared" si="233"/>
        <v>0.16332244059917356</v>
      </c>
      <c r="BR48" s="69">
        <f t="shared" ref="BR48:CE48" si="234">+BR49/BR10</f>
        <v>664.50348116823341</v>
      </c>
      <c r="BS48" s="70">
        <f t="shared" si="234"/>
        <v>0.16332244059917356</v>
      </c>
      <c r="BT48" s="69">
        <f t="shared" si="234"/>
        <v>664.50348116823341</v>
      </c>
      <c r="BU48" s="70">
        <f t="shared" si="234"/>
        <v>0.16332244059917356</v>
      </c>
      <c r="BV48" s="69">
        <f t="shared" si="234"/>
        <v>664.50348116823341</v>
      </c>
      <c r="BW48" s="70">
        <f t="shared" si="234"/>
        <v>0.16332244059917356</v>
      </c>
      <c r="BX48" s="69">
        <f t="shared" si="234"/>
        <v>664.50348116823341</v>
      </c>
      <c r="BY48" s="70">
        <f t="shared" si="234"/>
        <v>0.16332244059917356</v>
      </c>
      <c r="BZ48" s="69">
        <f t="shared" si="234"/>
        <v>664.50348116823341</v>
      </c>
      <c r="CA48" s="70">
        <f t="shared" si="234"/>
        <v>0.16332244059917356</v>
      </c>
      <c r="CB48" s="69">
        <f t="shared" si="234"/>
        <v>664.50348116823341</v>
      </c>
      <c r="CC48" s="70">
        <f t="shared" si="234"/>
        <v>0.16332244059917356</v>
      </c>
      <c r="CD48" s="69">
        <f t="shared" si="234"/>
        <v>664.50348116823341</v>
      </c>
      <c r="CE48" s="70">
        <f t="shared" si="234"/>
        <v>0.16332244059917356</v>
      </c>
      <c r="CF48" s="620"/>
      <c r="CG48" s="620"/>
      <c r="CH48" s="620"/>
      <c r="CI48" s="620"/>
      <c r="CJ48" s="69">
        <f t="shared" ref="CJ48:CY48" si="235">+CJ49/CJ10</f>
        <v>663.90207876649185</v>
      </c>
      <c r="CK48" s="70">
        <f t="shared" si="235"/>
        <v>0.16317462721546944</v>
      </c>
      <c r="CL48" s="69">
        <f t="shared" si="235"/>
        <v>664.05928058925622</v>
      </c>
      <c r="CM48" s="70">
        <f t="shared" si="235"/>
        <v>0.16321326446280993</v>
      </c>
      <c r="CN48" s="69">
        <f t="shared" si="235"/>
        <v>664.05928058925622</v>
      </c>
      <c r="CO48" s="70">
        <f t="shared" si="235"/>
        <v>0.16321326446280993</v>
      </c>
      <c r="CP48" s="69">
        <f t="shared" si="235"/>
        <v>664.05928058925622</v>
      </c>
      <c r="CQ48" s="70">
        <f t="shared" si="235"/>
        <v>0.16321326446280993</v>
      </c>
      <c r="CR48" s="69">
        <f t="shared" si="235"/>
        <v>663.97078587885585</v>
      </c>
      <c r="CS48" s="70">
        <f t="shared" si="235"/>
        <v>0.16319151412967806</v>
      </c>
      <c r="CT48" s="69">
        <f t="shared" si="235"/>
        <v>664.05928058925622</v>
      </c>
      <c r="CU48" s="70">
        <f t="shared" si="235"/>
        <v>0.16321326446280993</v>
      </c>
      <c r="CV48" s="69">
        <f t="shared" si="235"/>
        <v>693.68927970121649</v>
      </c>
      <c r="CW48" s="70">
        <f t="shared" si="235"/>
        <v>0.1704957602014463</v>
      </c>
      <c r="CX48" s="69">
        <f t="shared" si="235"/>
        <v>664.32141354567818</v>
      </c>
      <c r="CY48" s="70">
        <f t="shared" si="235"/>
        <v>0.16327769180655996</v>
      </c>
      <c r="DA48" s="69">
        <f t="shared" ref="DA48:DP48" si="236">+DA49/DA10</f>
        <v>664.05928058925622</v>
      </c>
      <c r="DB48" s="70">
        <f t="shared" si="236"/>
        <v>0.16321326446280993</v>
      </c>
      <c r="DC48" s="69">
        <f t="shared" si="236"/>
        <v>664.50348116823341</v>
      </c>
      <c r="DD48" s="70">
        <f t="shared" si="236"/>
        <v>0.16332244059917356</v>
      </c>
      <c r="DE48" s="69">
        <f t="shared" si="236"/>
        <v>664.50348116823341</v>
      </c>
      <c r="DF48" s="70">
        <f t="shared" si="236"/>
        <v>0.16332244059917356</v>
      </c>
      <c r="DG48" s="69">
        <f t="shared" si="236"/>
        <v>664.50348116823341</v>
      </c>
      <c r="DH48" s="70">
        <f t="shared" si="236"/>
        <v>0.16332244059917356</v>
      </c>
      <c r="DI48" s="69">
        <f t="shared" si="236"/>
        <v>664.50348116823341</v>
      </c>
      <c r="DJ48" s="70">
        <f t="shared" si="236"/>
        <v>0.16332244059917356</v>
      </c>
      <c r="DK48" s="69">
        <f t="shared" si="236"/>
        <v>664.50348116823341</v>
      </c>
      <c r="DL48" s="70">
        <f t="shared" si="236"/>
        <v>0.16332244059917356</v>
      </c>
      <c r="DM48" s="69">
        <f t="shared" si="236"/>
        <v>664.50348116823341</v>
      </c>
      <c r="DN48" s="70">
        <f t="shared" si="236"/>
        <v>0.16332244059917356</v>
      </c>
      <c r="DO48" s="69">
        <f t="shared" si="236"/>
        <v>664.50348116823341</v>
      </c>
      <c r="DP48" s="70">
        <f t="shared" si="236"/>
        <v>0.16332244059917356</v>
      </c>
      <c r="DR48" s="69">
        <f>+DR49/DR10</f>
        <v>662.26214548124995</v>
      </c>
      <c r="DS48" s="70">
        <f>+DS49/DS10</f>
        <v>0.16277156249999997</v>
      </c>
      <c r="DT48" s="69">
        <f>+DT49/DT10</f>
        <v>664.50348116823341</v>
      </c>
      <c r="DU48" s="70">
        <f>+DU49/DU10</f>
        <v>0.16332244059917356</v>
      </c>
    </row>
    <row r="49" spans="1:125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25857.864250661154</v>
      </c>
      <c r="G49" s="70">
        <f>+G50+G52+G56+G54</f>
        <v>6.3553760330578504</v>
      </c>
      <c r="H49" s="69">
        <f>+I49*H12</f>
        <v>26327.794480661156</v>
      </c>
      <c r="I49" s="70">
        <f>+I50+I52+I56+I54</f>
        <v>6.4708760330578512</v>
      </c>
      <c r="J49" s="69">
        <f>+K49*J12</f>
        <v>26327.794480661156</v>
      </c>
      <c r="K49" s="70">
        <f>+K50+K52+K56+K54</f>
        <v>6.4708760330578512</v>
      </c>
      <c r="L49" s="69">
        <f>+M49*L12</f>
        <v>26327.794480661156</v>
      </c>
      <c r="M49" s="70">
        <f>+M50+M52+M56+M54</f>
        <v>6.4708760330578512</v>
      </c>
      <c r="N49" s="69">
        <f>+O49*N12</f>
        <v>26548.731827601474</v>
      </c>
      <c r="O49" s="70">
        <f>+O50+O52+O56+O54</f>
        <v>6.525178271863826</v>
      </c>
      <c r="P49" s="69">
        <f>+Q49*P12</f>
        <v>26562.371223570248</v>
      </c>
      <c r="Q49" s="70">
        <f>+Q50+Q52+Q56+Q54</f>
        <v>6.528530578512397</v>
      </c>
      <c r="R49" s="69">
        <f>+S49*R12</f>
        <v>26562.371223570248</v>
      </c>
      <c r="S49" s="70">
        <f>+S50+S52+S56+S54</f>
        <v>6.528530578512397</v>
      </c>
      <c r="T49" s="69">
        <f>+U49*T12</f>
        <v>26562.371223570248</v>
      </c>
      <c r="U49" s="70">
        <f>+U50+U52+U56+U54</f>
        <v>6.528530578512397</v>
      </c>
      <c r="V49" s="69">
        <f>+W49*V12</f>
        <v>26562.371223570248</v>
      </c>
      <c r="W49" s="70">
        <f>+W50+W52+W56+W54</f>
        <v>6.528530578512397</v>
      </c>
      <c r="X49" s="69">
        <f>+Y49*X12</f>
        <v>26562.371223570248</v>
      </c>
      <c r="Y49" s="70">
        <f>+Y50+Y52+Y56+Y54</f>
        <v>6.528530578512397</v>
      </c>
      <c r="Z49" s="69">
        <f>+AA49*Z12</f>
        <v>26562.371223570248</v>
      </c>
      <c r="AA49" s="70">
        <f>+AA50+AA52+AA56+AA54</f>
        <v>6.528530578512397</v>
      </c>
      <c r="AB49" s="69">
        <f>+AC49*AB12</f>
        <v>26562.371223570248</v>
      </c>
      <c r="AC49" s="70">
        <f>+AC50+AC52+AC56+AC54</f>
        <v>6.528530578512397</v>
      </c>
      <c r="AD49" s="69">
        <f>+AE49*AD12</f>
        <v>26562.371223570248</v>
      </c>
      <c r="AE49" s="70">
        <f>+AE50+AE52+AE56+AE54</f>
        <v>6.528530578512397</v>
      </c>
      <c r="AF49" s="69">
        <f>+AG49*AF12</f>
        <v>26562.371223570248</v>
      </c>
      <c r="AG49" s="70">
        <f>+AG50+AG52+AG56+AG54</f>
        <v>6.528530578512397</v>
      </c>
      <c r="AH49" s="69">
        <f>+AI49*AH12</f>
        <v>26562.371223570248</v>
      </c>
      <c r="AI49" s="70">
        <f>+AI50+AI52+AI56+AI54</f>
        <v>6.528530578512397</v>
      </c>
      <c r="AJ49" s="69">
        <f>+AK49*AJ12</f>
        <v>26562.371223570248</v>
      </c>
      <c r="AK49" s="70">
        <f>+AK50+AK52+AK56+AK54</f>
        <v>6.528530578512397</v>
      </c>
      <c r="AL49" s="69">
        <f>+AM49*AL12</f>
        <v>26562.371223570248</v>
      </c>
      <c r="AM49" s="70">
        <f>+AM50+AM52+AM56+AM54</f>
        <v>6.528530578512397</v>
      </c>
      <c r="AN49" s="69">
        <f>+AO49*AN12</f>
        <v>26562.371223570248</v>
      </c>
      <c r="AO49" s="70">
        <f>+AO50+AO52+AO56+AO54</f>
        <v>6.528530578512397</v>
      </c>
      <c r="AP49" s="69">
        <f>+AQ49*AP12</f>
        <v>26562.371223570248</v>
      </c>
      <c r="AQ49" s="70">
        <f>+AQ50+AQ52+AQ56+AQ54</f>
        <v>6.528530578512397</v>
      </c>
      <c r="AR49" s="69">
        <f>+AS49*AR12</f>
        <v>26562.371223570248</v>
      </c>
      <c r="AS49" s="70">
        <f>+AS50+AS52+AS56+AS54</f>
        <v>6.528530578512397</v>
      </c>
      <c r="AT49" s="69">
        <f>+AU49*AT12</f>
        <v>26562.371223570248</v>
      </c>
      <c r="AU49" s="70">
        <f>+AU50+AU52+AU56+AU54</f>
        <v>6.528530578512397</v>
      </c>
      <c r="AV49" s="69">
        <f>+AW49*AV12</f>
        <v>26562.371223570248</v>
      </c>
      <c r="AW49" s="70">
        <f>+AW50+AW52+AW56+AW54</f>
        <v>6.528530578512397</v>
      </c>
      <c r="AX49" s="69">
        <f>+AY49*AX12</f>
        <v>26562.371223570248</v>
      </c>
      <c r="AY49" s="70">
        <f>+AY50+AY52+AY56+AY54</f>
        <v>6.528530578512397</v>
      </c>
      <c r="AZ49" s="69">
        <f>+BA49*AZ12</f>
        <v>26562.371223570248</v>
      </c>
      <c r="BA49" s="70">
        <f>+BA50+BA52+BA56+BA54</f>
        <v>6.528530578512397</v>
      </c>
      <c r="BB49" s="69">
        <f>+BC49*BB12</f>
        <v>26562.371223570248</v>
      </c>
      <c r="BC49" s="70">
        <f>+BC50+BC52+BC56+BC54</f>
        <v>6.528530578512397</v>
      </c>
      <c r="BD49" s="69">
        <f>+BE49*BD12</f>
        <v>26562.371223570248</v>
      </c>
      <c r="BE49" s="70">
        <f>+BE50+BE52+BE56+BE54</f>
        <v>6.528530578512397</v>
      </c>
      <c r="BF49" s="69">
        <f>+BG49*BF12</f>
        <v>26562.371223570248</v>
      </c>
      <c r="BG49" s="70">
        <f>+BG50+BG52+BG56+BG54</f>
        <v>6.528530578512397</v>
      </c>
      <c r="BH49" s="69">
        <f>+BI49*BH12</f>
        <v>26580.139246729337</v>
      </c>
      <c r="BI49" s="70">
        <f>+BI50+BI52+BI56+BI54</f>
        <v>6.5328976239669423</v>
      </c>
      <c r="BJ49" s="69">
        <f>+BK49*BJ12</f>
        <v>26580.139246729337</v>
      </c>
      <c r="BK49" s="70">
        <f>+BK50+BK52+BK56+BK54</f>
        <v>6.5328976239669423</v>
      </c>
      <c r="BL49" s="69">
        <f>+BM49*BL12</f>
        <v>26580.139246729337</v>
      </c>
      <c r="BM49" s="70">
        <f>+BM50+BM52+BM56+BM54</f>
        <v>6.5328976239669423</v>
      </c>
      <c r="BN49" s="69">
        <f>+BO49*BN12</f>
        <v>26580.139246729337</v>
      </c>
      <c r="BO49" s="70">
        <f>+BO50+BO52+BO56+BO54</f>
        <v>6.5328976239669423</v>
      </c>
      <c r="BP49" s="69">
        <f>+BQ49*BP12</f>
        <v>26580.139246729337</v>
      </c>
      <c r="BQ49" s="70">
        <f>+BQ50+BQ52+BQ56+BQ54</f>
        <v>6.5328976239669423</v>
      </c>
      <c r="BR49" s="69">
        <f>+BS49*BR12</f>
        <v>26580.139246729337</v>
      </c>
      <c r="BS49" s="70">
        <f>+BS50+BS52+BS56+BS54</f>
        <v>6.5328976239669423</v>
      </c>
      <c r="BT49" s="69">
        <f>+BU49*BT12</f>
        <v>26580.139246729337</v>
      </c>
      <c r="BU49" s="70">
        <f>+BU50+BU52+BU56+BU54</f>
        <v>6.5328976239669423</v>
      </c>
      <c r="BV49" s="69">
        <f>+BW49*BV12</f>
        <v>26580.139246729337</v>
      </c>
      <c r="BW49" s="70">
        <f>+BW50+BW52+BW56+BW54</f>
        <v>6.5328976239669423</v>
      </c>
      <c r="BX49" s="69">
        <f>+BY49*BX12</f>
        <v>26580.139246729337</v>
      </c>
      <c r="BY49" s="70">
        <f>+BY50+BY52+BY56+BY54</f>
        <v>6.5328976239669423</v>
      </c>
      <c r="BZ49" s="69">
        <f>+CA49*BZ12</f>
        <v>26580.139246729337</v>
      </c>
      <c r="CA49" s="70">
        <f>+CA50+CA52+CA56+CA54</f>
        <v>6.5328976239669423</v>
      </c>
      <c r="CB49" s="69">
        <f>+CC49*CB12</f>
        <v>26580.139246729337</v>
      </c>
      <c r="CC49" s="70">
        <f>+CC50+CC52+CC56+CC54</f>
        <v>6.5328976239669423</v>
      </c>
      <c r="CD49" s="69">
        <f>+CE49*CD12</f>
        <v>26580.139246729337</v>
      </c>
      <c r="CE49" s="70">
        <f>+CE50+CE52+CE56+CE54</f>
        <v>6.5328976239669423</v>
      </c>
      <c r="CF49" s="620"/>
      <c r="CG49" s="620"/>
      <c r="CH49" s="620"/>
      <c r="CI49" s="620"/>
      <c r="CJ49" s="69">
        <f>+CK49*CJ12</f>
        <v>26556.083150659673</v>
      </c>
      <c r="CK49" s="70">
        <f>+CK50+CK52+CK56+CK54</f>
        <v>6.526985088618777</v>
      </c>
      <c r="CL49" s="69">
        <f>+CM49*CL12</f>
        <v>26562.371223570248</v>
      </c>
      <c r="CM49" s="70">
        <f>+CM50+CM52+CM56+CM54</f>
        <v>6.528530578512397</v>
      </c>
      <c r="CN49" s="69">
        <f>+CO49*CN12</f>
        <v>26562.371223570248</v>
      </c>
      <c r="CO49" s="70">
        <f>+CO50+CO52+CO56+CO54</f>
        <v>6.528530578512397</v>
      </c>
      <c r="CP49" s="69">
        <f>+CQ49*CP12</f>
        <v>26562.371223570248</v>
      </c>
      <c r="CQ49" s="70">
        <f>+CQ50+CQ52+CQ56+CQ54</f>
        <v>6.528530578512397</v>
      </c>
      <c r="CR49" s="69">
        <f>+CS49*CR12</f>
        <v>26558.831435154236</v>
      </c>
      <c r="CS49" s="70">
        <f>+CS50+CS52+CS56+CS54</f>
        <v>6.527660565187122</v>
      </c>
      <c r="CT49" s="69">
        <f>+CU49*CT12</f>
        <v>26562.371223570248</v>
      </c>
      <c r="CU49" s="70">
        <f>+CU50+CU52+CU56+CU54</f>
        <v>6.528530578512397</v>
      </c>
      <c r="CV49" s="69">
        <f>+CW49*CV12</f>
        <v>27747.57118804866</v>
      </c>
      <c r="CW49" s="70">
        <f>+CW50+CW52+CW56+CW54</f>
        <v>6.819830408057852</v>
      </c>
      <c r="CX49" s="69">
        <f>+CY49*CX12</f>
        <v>26572.856541827128</v>
      </c>
      <c r="CY49" s="70">
        <f>+CY50+CY52+CY56+CY54</f>
        <v>6.5311076722623982</v>
      </c>
      <c r="DA49" s="69">
        <f>+DB49*DA12</f>
        <v>26562.371223570248</v>
      </c>
      <c r="DB49" s="70">
        <f>+DB50+DB52+DB56+DB54</f>
        <v>6.528530578512397</v>
      </c>
      <c r="DC49" s="69">
        <f>+DD49*DC12</f>
        <v>26580.139246729337</v>
      </c>
      <c r="DD49" s="70">
        <f>+DD50+DD52+DD56+DD54</f>
        <v>6.5328976239669423</v>
      </c>
      <c r="DE49" s="69">
        <f>+DF49*DE12</f>
        <v>26580.139246729337</v>
      </c>
      <c r="DF49" s="70">
        <f>+DF50+DF52+DF56+DF54</f>
        <v>6.5328976239669423</v>
      </c>
      <c r="DG49" s="69">
        <f>+DH49*DG12</f>
        <v>26580.139246729337</v>
      </c>
      <c r="DH49" s="70">
        <f>+DH50+DH52+DH56+DH54</f>
        <v>6.5328976239669423</v>
      </c>
      <c r="DI49" s="69">
        <f>+DJ49*DI12</f>
        <v>26580.139246729337</v>
      </c>
      <c r="DJ49" s="70">
        <f>+DJ50+DJ52+DJ56+DJ54</f>
        <v>6.5328976239669423</v>
      </c>
      <c r="DK49" s="69">
        <f>+DL49*DK12</f>
        <v>26580.139246729337</v>
      </c>
      <c r="DL49" s="70">
        <f>+DL50+DL52+DL56+DL54</f>
        <v>6.5328976239669423</v>
      </c>
      <c r="DM49" s="69">
        <f>+DN49*DM12</f>
        <v>26580.139246729337</v>
      </c>
      <c r="DN49" s="70">
        <f>+DN50+DN52+DN56+DN54</f>
        <v>6.5328976239669423</v>
      </c>
      <c r="DO49" s="69">
        <f>+DP49*DO12</f>
        <v>26580.139246729337</v>
      </c>
      <c r="DP49" s="70">
        <f>+DP50+DP52+DP56+DP54</f>
        <v>6.5328976239669423</v>
      </c>
      <c r="DR49" s="69">
        <f>+DS49*DR12</f>
        <v>26490.485819249996</v>
      </c>
      <c r="DS49" s="70">
        <f>+DS50+DS52+DS56+DS54</f>
        <v>6.5108624999999991</v>
      </c>
      <c r="DT49" s="69">
        <f>+DU49*DT12</f>
        <v>26580.139246729337</v>
      </c>
      <c r="DU49" s="70">
        <f>+DU50+DU52+DU56+DU54</f>
        <v>6.5328976239669423</v>
      </c>
    </row>
    <row r="50" spans="1:125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0.255</v>
      </c>
      <c r="H50" s="50"/>
      <c r="I50" s="72">
        <f>+I51*I56</f>
        <v>0.25999999999999995</v>
      </c>
      <c r="J50" s="50"/>
      <c r="K50" s="72">
        <f>+K51*K56</f>
        <v>0.25999999999999995</v>
      </c>
      <c r="L50" s="50"/>
      <c r="M50" s="72">
        <f>+M51*M56</f>
        <v>0.25999999999999995</v>
      </c>
      <c r="N50" s="367"/>
      <c r="O50" s="368">
        <f>+O51*O56</f>
        <v>0.2623507462686569</v>
      </c>
      <c r="P50" s="367"/>
      <c r="Q50" s="368">
        <f>+Q51*Q56</f>
        <v>0.26249586776859507</v>
      </c>
      <c r="R50" s="367"/>
      <c r="S50" s="368">
        <f>+S51*S56</f>
        <v>0.26249586776859507</v>
      </c>
      <c r="T50" s="367"/>
      <c r="U50" s="368">
        <f>+U51*U56</f>
        <v>0.26249586776859507</v>
      </c>
      <c r="V50" s="367"/>
      <c r="W50" s="368">
        <f>+W51*W56</f>
        <v>0.26249586776859507</v>
      </c>
      <c r="X50" s="367"/>
      <c r="Y50" s="368">
        <f>+Y51*Y56</f>
        <v>0.26249586776859507</v>
      </c>
      <c r="Z50" s="367"/>
      <c r="AA50" s="368">
        <f>+AA51*AA56</f>
        <v>0.26249586776859507</v>
      </c>
      <c r="AB50" s="367"/>
      <c r="AC50" s="368">
        <f>+AC51*AC56</f>
        <v>0.26249586776859507</v>
      </c>
      <c r="AD50" s="367"/>
      <c r="AE50" s="368">
        <f>+AE51*AE56</f>
        <v>0.26249586776859507</v>
      </c>
      <c r="AF50" s="367"/>
      <c r="AG50" s="368">
        <f>+AG51*AG56</f>
        <v>0.26249586776859507</v>
      </c>
      <c r="AH50" s="367"/>
      <c r="AI50" s="368">
        <f>+AI51*AI56</f>
        <v>0.26249586776859507</v>
      </c>
      <c r="AJ50" s="367"/>
      <c r="AK50" s="368">
        <f>+AK51*AK56</f>
        <v>0.26249586776859507</v>
      </c>
      <c r="AL50" s="367"/>
      <c r="AM50" s="368">
        <f>+AM51*AM56</f>
        <v>0.26249586776859507</v>
      </c>
      <c r="AN50" s="367"/>
      <c r="AO50" s="368">
        <f>+AO51*AO56</f>
        <v>0.26249586776859507</v>
      </c>
      <c r="AP50" s="367"/>
      <c r="AQ50" s="368">
        <f>+AQ51*AQ56</f>
        <v>0.26249586776859507</v>
      </c>
      <c r="AR50" s="367"/>
      <c r="AS50" s="368">
        <f>+AS51*AS56</f>
        <v>0.26249586776859507</v>
      </c>
      <c r="AT50" s="367"/>
      <c r="AU50" s="368">
        <f>+AU51*AU56</f>
        <v>0.26249586776859507</v>
      </c>
      <c r="AV50" s="367"/>
      <c r="AW50" s="368">
        <f>+AW51*AW56</f>
        <v>0.26249586776859507</v>
      </c>
      <c r="AX50" s="367"/>
      <c r="AY50" s="368">
        <f>+AY51*AY56</f>
        <v>0.26249586776859507</v>
      </c>
      <c r="AZ50" s="367"/>
      <c r="BA50" s="368">
        <f>+BA51*BA56</f>
        <v>0.26249586776859507</v>
      </c>
      <c r="BB50" s="367"/>
      <c r="BC50" s="368">
        <f>+BC51*BC56</f>
        <v>0.26249586776859507</v>
      </c>
      <c r="BD50" s="367"/>
      <c r="BE50" s="368">
        <f>+BE51*BE56</f>
        <v>0.26249586776859507</v>
      </c>
      <c r="BF50" s="367"/>
      <c r="BG50" s="368">
        <f>+BG51*BG56</f>
        <v>0.26249586776859507</v>
      </c>
      <c r="BH50" s="367"/>
      <c r="BI50" s="368">
        <f>+BI51*BI56</f>
        <v>0.26268491735537192</v>
      </c>
      <c r="BJ50" s="367"/>
      <c r="BK50" s="368">
        <f>+BK51*BK56</f>
        <v>0.26268491735537192</v>
      </c>
      <c r="BL50" s="367"/>
      <c r="BM50" s="368">
        <f>+BM51*BM56</f>
        <v>0.26268491735537192</v>
      </c>
      <c r="BN50" s="367"/>
      <c r="BO50" s="368">
        <f>+BO51*BO56</f>
        <v>0.26268491735537192</v>
      </c>
      <c r="BP50" s="367"/>
      <c r="BQ50" s="368">
        <f>+BQ51*BQ56</f>
        <v>0.26268491735537192</v>
      </c>
      <c r="BR50" s="367"/>
      <c r="BS50" s="368">
        <f>+BS51*BS56</f>
        <v>0.26268491735537192</v>
      </c>
      <c r="BT50" s="367"/>
      <c r="BU50" s="368">
        <f>+BU51*BU56</f>
        <v>0.26268491735537192</v>
      </c>
      <c r="BV50" s="367"/>
      <c r="BW50" s="368">
        <f>+BW51*BW56</f>
        <v>0.26268491735537192</v>
      </c>
      <c r="BX50" s="367"/>
      <c r="BY50" s="368">
        <f>+BY51*BY56</f>
        <v>0.26268491735537192</v>
      </c>
      <c r="BZ50" s="367"/>
      <c r="CA50" s="368">
        <f>+CA51*CA56</f>
        <v>0.26268491735537192</v>
      </c>
      <c r="CB50" s="367"/>
      <c r="CC50" s="368">
        <f>+CC51*CC56</f>
        <v>0.26268491735537192</v>
      </c>
      <c r="CD50" s="367"/>
      <c r="CE50" s="368">
        <f>+CE51*CE56</f>
        <v>0.26268491735537192</v>
      </c>
      <c r="CF50" s="620"/>
      <c r="CG50" s="620"/>
      <c r="CH50" s="620"/>
      <c r="CI50" s="620"/>
      <c r="CJ50" s="367"/>
      <c r="CK50" s="368">
        <f>+CK51*CK56</f>
        <v>0.26242896344419592</v>
      </c>
      <c r="CL50" s="367"/>
      <c r="CM50" s="368">
        <f>+CM51*CM56</f>
        <v>0.26249586776859507</v>
      </c>
      <c r="CN50" s="367"/>
      <c r="CO50" s="368">
        <f>+CO51*CO56</f>
        <v>0.26249586776859507</v>
      </c>
      <c r="CP50" s="367"/>
      <c r="CQ50" s="368">
        <f>+CQ51*CQ56</f>
        <v>0.26249586776859507</v>
      </c>
      <c r="CR50" s="367"/>
      <c r="CS50" s="368">
        <f>+CS51*CS56</f>
        <v>0.262458204854081</v>
      </c>
      <c r="CT50" s="367"/>
      <c r="CU50" s="368">
        <f>+CU51*CU56</f>
        <v>0.26249586776859507</v>
      </c>
      <c r="CV50" s="367"/>
      <c r="CW50" s="368">
        <f>+CW51*CW56</f>
        <v>0.27510625000000005</v>
      </c>
      <c r="CX50" s="367"/>
      <c r="CY50" s="368">
        <f>+CY51*CY56</f>
        <v>0.26260743026859512</v>
      </c>
      <c r="DA50" s="367"/>
      <c r="DB50" s="368">
        <f>+DB51*DB56</f>
        <v>0.26249586776859507</v>
      </c>
      <c r="DC50" s="367"/>
      <c r="DD50" s="368">
        <f>+DD51*DD56</f>
        <v>0.26268491735537192</v>
      </c>
      <c r="DE50" s="367"/>
      <c r="DF50" s="368">
        <f>+DF51*DF56</f>
        <v>0.26268491735537192</v>
      </c>
      <c r="DG50" s="367"/>
      <c r="DH50" s="368">
        <f>+DH51*DH56</f>
        <v>0.26268491735537192</v>
      </c>
      <c r="DI50" s="367"/>
      <c r="DJ50" s="368">
        <f>+DJ51*DJ56</f>
        <v>0.26268491735537192</v>
      </c>
      <c r="DK50" s="367"/>
      <c r="DL50" s="368">
        <f>+DL51*DL56</f>
        <v>0.26268491735537192</v>
      </c>
      <c r="DM50" s="367"/>
      <c r="DN50" s="368">
        <f>+DN51*DN56</f>
        <v>0.26268491735537192</v>
      </c>
      <c r="DO50" s="367"/>
      <c r="DP50" s="368">
        <f>+DP51*DP56</f>
        <v>0.26268491735537192</v>
      </c>
      <c r="DR50" s="367"/>
      <c r="DS50" s="368">
        <f>+DS51*DS56</f>
        <v>0.26237499999999997</v>
      </c>
      <c r="DT50" s="367"/>
      <c r="DU50" s="368">
        <f>+DU51*DU56</f>
        <v>0.26268491735537192</v>
      </c>
    </row>
    <row r="51" spans="1:125" s="4" customFormat="1" ht="18" customHeight="1" x14ac:dyDescent="0.45">
      <c r="A51" s="561"/>
      <c r="B51" s="1184"/>
      <c r="C51" s="15" t="s">
        <v>56</v>
      </c>
      <c r="D51" s="16"/>
      <c r="E51" s="16"/>
      <c r="F51" s="73"/>
      <c r="G51" s="74">
        <v>0.05</v>
      </c>
      <c r="H51" s="73"/>
      <c r="I51" s="74">
        <v>0.05</v>
      </c>
      <c r="J51" s="73"/>
      <c r="K51" s="74">
        <v>0.05</v>
      </c>
      <c r="L51" s="73"/>
      <c r="M51" s="74">
        <v>0.05</v>
      </c>
      <c r="N51" s="369"/>
      <c r="O51" s="370">
        <v>0.05</v>
      </c>
      <c r="P51" s="369"/>
      <c r="Q51" s="370">
        <v>0.05</v>
      </c>
      <c r="R51" s="369"/>
      <c r="S51" s="370">
        <v>0.05</v>
      </c>
      <c r="T51" s="369"/>
      <c r="U51" s="370">
        <v>0.05</v>
      </c>
      <c r="V51" s="369"/>
      <c r="W51" s="370">
        <v>0.05</v>
      </c>
      <c r="X51" s="369"/>
      <c r="Y51" s="370">
        <v>0.05</v>
      </c>
      <c r="Z51" s="369"/>
      <c r="AA51" s="370">
        <v>0.05</v>
      </c>
      <c r="AB51" s="369"/>
      <c r="AC51" s="370">
        <v>0.05</v>
      </c>
      <c r="AD51" s="369"/>
      <c r="AE51" s="370">
        <v>0.05</v>
      </c>
      <c r="AF51" s="369"/>
      <c r="AG51" s="370">
        <v>0.05</v>
      </c>
      <c r="AH51" s="369"/>
      <c r="AI51" s="370">
        <v>0.05</v>
      </c>
      <c r="AJ51" s="369"/>
      <c r="AK51" s="370">
        <v>0.05</v>
      </c>
      <c r="AL51" s="369"/>
      <c r="AM51" s="370">
        <v>0.05</v>
      </c>
      <c r="AN51" s="369"/>
      <c r="AO51" s="370">
        <v>0.05</v>
      </c>
      <c r="AP51" s="369"/>
      <c r="AQ51" s="370">
        <v>0.05</v>
      </c>
      <c r="AR51" s="369"/>
      <c r="AS51" s="370">
        <v>0.05</v>
      </c>
      <c r="AT51" s="369"/>
      <c r="AU51" s="370">
        <v>0.05</v>
      </c>
      <c r="AV51" s="369"/>
      <c r="AW51" s="370">
        <v>0.05</v>
      </c>
      <c r="AX51" s="369"/>
      <c r="AY51" s="370">
        <v>0.05</v>
      </c>
      <c r="AZ51" s="369"/>
      <c r="BA51" s="370">
        <v>0.05</v>
      </c>
      <c r="BB51" s="369"/>
      <c r="BC51" s="370">
        <v>0.05</v>
      </c>
      <c r="BD51" s="369"/>
      <c r="BE51" s="370">
        <v>0.05</v>
      </c>
      <c r="BF51" s="369"/>
      <c r="BG51" s="370">
        <v>0.05</v>
      </c>
      <c r="BH51" s="369"/>
      <c r="BI51" s="370">
        <v>0.05</v>
      </c>
      <c r="BJ51" s="369"/>
      <c r="BK51" s="370">
        <v>0.05</v>
      </c>
      <c r="BL51" s="369"/>
      <c r="BM51" s="370">
        <v>0.05</v>
      </c>
      <c r="BN51" s="369"/>
      <c r="BO51" s="370">
        <v>0.05</v>
      </c>
      <c r="BP51" s="369"/>
      <c r="BQ51" s="370">
        <v>0.05</v>
      </c>
      <c r="BR51" s="369"/>
      <c r="BS51" s="370">
        <v>0.05</v>
      </c>
      <c r="BT51" s="369"/>
      <c r="BU51" s="370">
        <v>0.05</v>
      </c>
      <c r="BV51" s="369"/>
      <c r="BW51" s="370">
        <v>0.05</v>
      </c>
      <c r="BX51" s="369"/>
      <c r="BY51" s="370">
        <v>0.05</v>
      </c>
      <c r="BZ51" s="369"/>
      <c r="CA51" s="370">
        <v>0.05</v>
      </c>
      <c r="CB51" s="369"/>
      <c r="CC51" s="370">
        <v>0.05</v>
      </c>
      <c r="CD51" s="369"/>
      <c r="CE51" s="370">
        <v>0.05</v>
      </c>
      <c r="CF51" s="620"/>
      <c r="CG51" s="620"/>
      <c r="CH51" s="620"/>
      <c r="CI51" s="620"/>
      <c r="CJ51" s="369"/>
      <c r="CK51" s="370">
        <v>0.05</v>
      </c>
      <c r="CL51" s="369"/>
      <c r="CM51" s="370">
        <v>0.05</v>
      </c>
      <c r="CN51" s="369"/>
      <c r="CO51" s="370">
        <v>0.05</v>
      </c>
      <c r="CP51" s="369"/>
      <c r="CQ51" s="370">
        <v>0.05</v>
      </c>
      <c r="CR51" s="369"/>
      <c r="CS51" s="370">
        <v>0.05</v>
      </c>
      <c r="CT51" s="369"/>
      <c r="CU51" s="370">
        <v>0.05</v>
      </c>
      <c r="CV51" s="369"/>
      <c r="CW51" s="370">
        <v>0.05</v>
      </c>
      <c r="CX51" s="369"/>
      <c r="CY51" s="370">
        <v>0.05</v>
      </c>
      <c r="DA51" s="369"/>
      <c r="DB51" s="370">
        <v>0.05</v>
      </c>
      <c r="DC51" s="369"/>
      <c r="DD51" s="370">
        <v>0.05</v>
      </c>
      <c r="DE51" s="369"/>
      <c r="DF51" s="370">
        <v>0.05</v>
      </c>
      <c r="DG51" s="369"/>
      <c r="DH51" s="370">
        <v>0.05</v>
      </c>
      <c r="DI51" s="369"/>
      <c r="DJ51" s="370">
        <v>0.05</v>
      </c>
      <c r="DK51" s="369"/>
      <c r="DL51" s="370">
        <v>0.05</v>
      </c>
      <c r="DM51" s="369"/>
      <c r="DN51" s="370">
        <v>0.05</v>
      </c>
      <c r="DO51" s="369"/>
      <c r="DP51" s="370">
        <v>0.05</v>
      </c>
      <c r="DR51" s="369"/>
      <c r="DS51" s="370">
        <v>0.05</v>
      </c>
      <c r="DT51" s="369"/>
      <c r="DU51" s="370">
        <v>0.05</v>
      </c>
    </row>
    <row r="52" spans="1:125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0.46487603305785125</v>
      </c>
      <c r="H52" s="50"/>
      <c r="I52" s="72">
        <f>$D$53/I66</f>
        <v>0.46487603305785125</v>
      </c>
      <c r="J52" s="50"/>
      <c r="K52" s="72">
        <f>$D$53/K66</f>
        <v>0.46487603305785125</v>
      </c>
      <c r="L52" s="50"/>
      <c r="M52" s="72">
        <f>$D$53/M66</f>
        <v>0.46487603305785125</v>
      </c>
      <c r="N52" s="367"/>
      <c r="O52" s="368">
        <f>$D$53/O66</f>
        <v>0.46487603305785125</v>
      </c>
      <c r="P52" s="367"/>
      <c r="Q52" s="368">
        <f>$D$53/Q66</f>
        <v>0.46487603305785125</v>
      </c>
      <c r="R52" s="367"/>
      <c r="S52" s="368">
        <f>$D$53/S66</f>
        <v>0.46487603305785125</v>
      </c>
      <c r="T52" s="367"/>
      <c r="U52" s="368">
        <f>$D$53/U66</f>
        <v>0.46487603305785125</v>
      </c>
      <c r="V52" s="367"/>
      <c r="W52" s="368">
        <f>$D$53/W66</f>
        <v>0.46487603305785125</v>
      </c>
      <c r="X52" s="367"/>
      <c r="Y52" s="368">
        <f>$D$53/Y66</f>
        <v>0.46487603305785125</v>
      </c>
      <c r="Z52" s="367"/>
      <c r="AA52" s="368">
        <f>$D$53/AA66</f>
        <v>0.46487603305785125</v>
      </c>
      <c r="AB52" s="367"/>
      <c r="AC52" s="368">
        <f>$D$53/AC66</f>
        <v>0.46487603305785125</v>
      </c>
      <c r="AD52" s="367"/>
      <c r="AE52" s="368">
        <f>$D$53/AE66</f>
        <v>0.46487603305785125</v>
      </c>
      <c r="AF52" s="367"/>
      <c r="AG52" s="368">
        <f>$D$53/AG66</f>
        <v>0.46487603305785125</v>
      </c>
      <c r="AH52" s="367"/>
      <c r="AI52" s="368">
        <f>$D$53/AI66</f>
        <v>0.46487603305785125</v>
      </c>
      <c r="AJ52" s="367"/>
      <c r="AK52" s="368">
        <f>$D$53/AK66</f>
        <v>0.46487603305785125</v>
      </c>
      <c r="AL52" s="367"/>
      <c r="AM52" s="368">
        <f>$D$53/AM66</f>
        <v>0.46487603305785125</v>
      </c>
      <c r="AN52" s="367"/>
      <c r="AO52" s="368">
        <f>$D$53/AO66</f>
        <v>0.46487603305785125</v>
      </c>
      <c r="AP52" s="367"/>
      <c r="AQ52" s="368">
        <f>$D$53/AQ66</f>
        <v>0.46487603305785125</v>
      </c>
      <c r="AR52" s="367"/>
      <c r="AS52" s="368">
        <f>$D$53/AS66</f>
        <v>0.46487603305785125</v>
      </c>
      <c r="AT52" s="367"/>
      <c r="AU52" s="368">
        <f>$D$53/AU66</f>
        <v>0.46487603305785125</v>
      </c>
      <c r="AV52" s="367"/>
      <c r="AW52" s="368">
        <f>$D$53/AW66</f>
        <v>0.46487603305785125</v>
      </c>
      <c r="AX52" s="367"/>
      <c r="AY52" s="368">
        <f>$D$53/AY66</f>
        <v>0.46487603305785125</v>
      </c>
      <c r="AZ52" s="367"/>
      <c r="BA52" s="368">
        <f>$D$53/BA66</f>
        <v>0.46487603305785125</v>
      </c>
      <c r="BB52" s="367"/>
      <c r="BC52" s="368">
        <f>$D$53/BC66</f>
        <v>0.46487603305785125</v>
      </c>
      <c r="BD52" s="367"/>
      <c r="BE52" s="368">
        <f>$D$53/BE66</f>
        <v>0.46487603305785125</v>
      </c>
      <c r="BF52" s="367"/>
      <c r="BG52" s="368">
        <f>$D$53/BG66</f>
        <v>0.46487603305785125</v>
      </c>
      <c r="BH52" s="367"/>
      <c r="BI52" s="368">
        <f>$D$53/BI66</f>
        <v>0.46487603305785125</v>
      </c>
      <c r="BJ52" s="367"/>
      <c r="BK52" s="368">
        <f>$D$53/BK66</f>
        <v>0.46487603305785125</v>
      </c>
      <c r="BL52" s="367"/>
      <c r="BM52" s="368">
        <f>$D$53/BM66</f>
        <v>0.46487603305785125</v>
      </c>
      <c r="BN52" s="367"/>
      <c r="BO52" s="368">
        <f>$D$53/BO66</f>
        <v>0.46487603305785125</v>
      </c>
      <c r="BP52" s="367"/>
      <c r="BQ52" s="368">
        <f>$D$53/BQ66</f>
        <v>0.46487603305785125</v>
      </c>
      <c r="BR52" s="367"/>
      <c r="BS52" s="368">
        <f>$D$53/BS66</f>
        <v>0.46487603305785125</v>
      </c>
      <c r="BT52" s="367"/>
      <c r="BU52" s="368">
        <f>$D$53/BU66</f>
        <v>0.46487603305785125</v>
      </c>
      <c r="BV52" s="367"/>
      <c r="BW52" s="368">
        <f>$D$53/BW66</f>
        <v>0.46487603305785125</v>
      </c>
      <c r="BX52" s="367"/>
      <c r="BY52" s="368">
        <f>$D$53/BY66</f>
        <v>0.46487603305785125</v>
      </c>
      <c r="BZ52" s="367"/>
      <c r="CA52" s="368">
        <f>$D$53/CA66</f>
        <v>0.46487603305785125</v>
      </c>
      <c r="CB52" s="367"/>
      <c r="CC52" s="368">
        <f>$D$53/CC66</f>
        <v>0.46487603305785125</v>
      </c>
      <c r="CD52" s="367"/>
      <c r="CE52" s="368">
        <f>$D$53/CE66</f>
        <v>0.46487603305785125</v>
      </c>
      <c r="CF52" s="620"/>
      <c r="CG52" s="620"/>
      <c r="CH52" s="620"/>
      <c r="CI52" s="620"/>
      <c r="CJ52" s="367"/>
      <c r="CK52" s="368">
        <f>$D$53/CK66</f>
        <v>0.46487603305785125</v>
      </c>
      <c r="CL52" s="367"/>
      <c r="CM52" s="368">
        <f>$D$53/CM66</f>
        <v>0.46487603305785125</v>
      </c>
      <c r="CN52" s="367"/>
      <c r="CO52" s="368">
        <f>$D$53/CO66</f>
        <v>0.46487603305785125</v>
      </c>
      <c r="CP52" s="367"/>
      <c r="CQ52" s="368">
        <f>$D$53/CQ66</f>
        <v>0.46487603305785125</v>
      </c>
      <c r="CR52" s="367"/>
      <c r="CS52" s="368">
        <f>$D$53/CS66</f>
        <v>0.46487603305785125</v>
      </c>
      <c r="CT52" s="367"/>
      <c r="CU52" s="368">
        <f>$D$53/CU66</f>
        <v>0.46487603305785125</v>
      </c>
      <c r="CV52" s="367"/>
      <c r="CW52" s="368">
        <f>$D$53/CW66</f>
        <v>0.46487603305785125</v>
      </c>
      <c r="CX52" s="367"/>
      <c r="CY52" s="368">
        <f>$D$53/CY66</f>
        <v>0.46487603305785125</v>
      </c>
      <c r="DA52" s="367"/>
      <c r="DB52" s="368">
        <f>$D$53/DB66</f>
        <v>0.46487603305785125</v>
      </c>
      <c r="DC52" s="367"/>
      <c r="DD52" s="368">
        <f>$D$53/DD66</f>
        <v>0.46487603305785125</v>
      </c>
      <c r="DE52" s="367"/>
      <c r="DF52" s="368">
        <f>$D$53/DF66</f>
        <v>0.46487603305785125</v>
      </c>
      <c r="DG52" s="367"/>
      <c r="DH52" s="368">
        <f>$D$53/DH66</f>
        <v>0.46487603305785125</v>
      </c>
      <c r="DI52" s="367"/>
      <c r="DJ52" s="368">
        <f>$D$53/DJ66</f>
        <v>0.46487603305785125</v>
      </c>
      <c r="DK52" s="367"/>
      <c r="DL52" s="368">
        <f>$D$53/DL66</f>
        <v>0.46487603305785125</v>
      </c>
      <c r="DM52" s="367"/>
      <c r="DN52" s="368">
        <f>$D$53/DN66</f>
        <v>0.46487603305785125</v>
      </c>
      <c r="DO52" s="367"/>
      <c r="DP52" s="368">
        <f>$D$53/DP66</f>
        <v>0.46487603305785125</v>
      </c>
      <c r="DR52" s="367"/>
      <c r="DS52" s="368">
        <f>$D$53/DS66</f>
        <v>0.45</v>
      </c>
      <c r="DT52" s="367"/>
      <c r="DU52" s="368">
        <f>$D$53/DU66</f>
        <v>0.46487603305785125</v>
      </c>
    </row>
    <row r="53" spans="1:125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73"/>
      <c r="G53" s="74">
        <f>G52/G56</f>
        <v>9.1152163344676726E-2</v>
      </c>
      <c r="H53" s="73"/>
      <c r="I53" s="74">
        <f>I52/I56</f>
        <v>8.9399237126509865E-2</v>
      </c>
      <c r="J53" s="73"/>
      <c r="K53" s="74">
        <f>K52/K56</f>
        <v>8.9399237126509865E-2</v>
      </c>
      <c r="L53" s="73"/>
      <c r="M53" s="74">
        <f>M52/M56</f>
        <v>8.9399237126509865E-2</v>
      </c>
      <c r="N53" s="369"/>
      <c r="O53" s="370">
        <f>O52/O56</f>
        <v>8.8598191480233277E-2</v>
      </c>
      <c r="P53" s="369"/>
      <c r="Q53" s="370">
        <f>Q52/Q56</f>
        <v>8.8549209747496999E-2</v>
      </c>
      <c r="R53" s="369"/>
      <c r="S53" s="370">
        <f>S52/S56</f>
        <v>8.8549209747496999E-2</v>
      </c>
      <c r="T53" s="369"/>
      <c r="U53" s="370">
        <f>U52/U56</f>
        <v>8.8549209747496999E-2</v>
      </c>
      <c r="V53" s="369"/>
      <c r="W53" s="370">
        <f>W52/W56</f>
        <v>8.8549209747496999E-2</v>
      </c>
      <c r="X53" s="369"/>
      <c r="Y53" s="370">
        <f>Y52/Y56</f>
        <v>8.8549209747496999E-2</v>
      </c>
      <c r="Z53" s="369"/>
      <c r="AA53" s="370">
        <f>AA52/AA56</f>
        <v>8.8549209747496999E-2</v>
      </c>
      <c r="AB53" s="369"/>
      <c r="AC53" s="370">
        <f>AC52/AC56</f>
        <v>8.8549209747496999E-2</v>
      </c>
      <c r="AD53" s="369"/>
      <c r="AE53" s="370">
        <f>AE52/AE56</f>
        <v>8.8549209747496999E-2</v>
      </c>
      <c r="AF53" s="369"/>
      <c r="AG53" s="370">
        <f>AG52/AG56</f>
        <v>8.8549209747496999E-2</v>
      </c>
      <c r="AH53" s="369"/>
      <c r="AI53" s="370">
        <f>AI52/AI56</f>
        <v>8.8549209747496999E-2</v>
      </c>
      <c r="AJ53" s="369"/>
      <c r="AK53" s="370">
        <f>AK52/AK56</f>
        <v>8.8549209747496999E-2</v>
      </c>
      <c r="AL53" s="369"/>
      <c r="AM53" s="370">
        <f>AM52/AM56</f>
        <v>8.8549209747496999E-2</v>
      </c>
      <c r="AN53" s="369"/>
      <c r="AO53" s="370">
        <f>AO52/AO56</f>
        <v>8.8549209747496999E-2</v>
      </c>
      <c r="AP53" s="369"/>
      <c r="AQ53" s="370">
        <f>AQ52/AQ56</f>
        <v>8.8549209747496999E-2</v>
      </c>
      <c r="AR53" s="369"/>
      <c r="AS53" s="370">
        <f>AS52/AS56</f>
        <v>8.8549209747496999E-2</v>
      </c>
      <c r="AT53" s="369"/>
      <c r="AU53" s="370">
        <f>AU52/AU56</f>
        <v>8.8549209747496999E-2</v>
      </c>
      <c r="AV53" s="369"/>
      <c r="AW53" s="370">
        <f>AW52/AW56</f>
        <v>8.8549209747496999E-2</v>
      </c>
      <c r="AX53" s="369"/>
      <c r="AY53" s="370">
        <f>AY52/AY56</f>
        <v>8.8549209747496999E-2</v>
      </c>
      <c r="AZ53" s="369"/>
      <c r="BA53" s="370">
        <f>BA52/BA56</f>
        <v>8.8549209747496999E-2</v>
      </c>
      <c r="BB53" s="369"/>
      <c r="BC53" s="370">
        <f>BC52/BC56</f>
        <v>8.8549209747496999E-2</v>
      </c>
      <c r="BD53" s="369"/>
      <c r="BE53" s="370">
        <f>BE52/BE56</f>
        <v>8.8549209747496999E-2</v>
      </c>
      <c r="BF53" s="369"/>
      <c r="BG53" s="370">
        <f>BG52/BG56</f>
        <v>8.8549209747496999E-2</v>
      </c>
      <c r="BH53" s="369"/>
      <c r="BI53" s="370">
        <f>BI52/BI56</f>
        <v>8.8485482481840821E-2</v>
      </c>
      <c r="BJ53" s="369"/>
      <c r="BK53" s="370">
        <f>BK52/BK56</f>
        <v>8.8485482481840821E-2</v>
      </c>
      <c r="BL53" s="369"/>
      <c r="BM53" s="370">
        <f>BM52/BM56</f>
        <v>8.8485482481840821E-2</v>
      </c>
      <c r="BN53" s="369"/>
      <c r="BO53" s="370">
        <f>BO52/BO56</f>
        <v>8.8485482481840821E-2</v>
      </c>
      <c r="BP53" s="369"/>
      <c r="BQ53" s="370">
        <f>BQ52/BQ56</f>
        <v>8.8485482481840821E-2</v>
      </c>
      <c r="BR53" s="369"/>
      <c r="BS53" s="370">
        <f>BS52/BS56</f>
        <v>8.8485482481840821E-2</v>
      </c>
      <c r="BT53" s="369"/>
      <c r="BU53" s="370">
        <f>BU52/BU56</f>
        <v>8.8485482481840821E-2</v>
      </c>
      <c r="BV53" s="369"/>
      <c r="BW53" s="370">
        <f>BW52/BW56</f>
        <v>8.8485482481840821E-2</v>
      </c>
      <c r="BX53" s="369"/>
      <c r="BY53" s="370">
        <f>BY52/BY56</f>
        <v>8.8485482481840821E-2</v>
      </c>
      <c r="BZ53" s="369"/>
      <c r="CA53" s="370">
        <f>CA52/CA56</f>
        <v>8.8485482481840821E-2</v>
      </c>
      <c r="CB53" s="369"/>
      <c r="CC53" s="370">
        <f>CC52/CC56</f>
        <v>8.8485482481840821E-2</v>
      </c>
      <c r="CD53" s="369"/>
      <c r="CE53" s="370">
        <f>CE52/CE56</f>
        <v>8.8485482481840821E-2</v>
      </c>
      <c r="CF53" s="620"/>
      <c r="CG53" s="620"/>
      <c r="CH53" s="620"/>
      <c r="CI53" s="620"/>
      <c r="CJ53" s="369"/>
      <c r="CK53" s="370">
        <f>CK52/CK56</f>
        <v>8.8571784713981194E-2</v>
      </c>
      <c r="CL53" s="369"/>
      <c r="CM53" s="370">
        <f>CM52/CM56</f>
        <v>8.8549209747496999E-2</v>
      </c>
      <c r="CN53" s="369"/>
      <c r="CO53" s="370">
        <f>CO52/CO56</f>
        <v>8.8549209747496999E-2</v>
      </c>
      <c r="CP53" s="369"/>
      <c r="CQ53" s="370">
        <f>CQ52/CQ56</f>
        <v>8.8549209747496999E-2</v>
      </c>
      <c r="CR53" s="369"/>
      <c r="CS53" s="370">
        <f>CS52/CS56</f>
        <v>8.8561916613791633E-2</v>
      </c>
      <c r="CT53" s="369"/>
      <c r="CU53" s="370">
        <f>CU52/CU56</f>
        <v>8.8549209747496999E-2</v>
      </c>
      <c r="CV53" s="369"/>
      <c r="CW53" s="370">
        <f>CW52/CW56</f>
        <v>8.4490271133035186E-2</v>
      </c>
      <c r="CX53" s="369"/>
      <c r="CY53" s="370">
        <f>CY52/CY56</f>
        <v>8.8511591728835631E-2</v>
      </c>
      <c r="DA53" s="369"/>
      <c r="DB53" s="370">
        <f>DB52/DB56</f>
        <v>8.8549209747496999E-2</v>
      </c>
      <c r="DC53" s="369"/>
      <c r="DD53" s="370">
        <f>DD52/DD56</f>
        <v>8.8485482481840821E-2</v>
      </c>
      <c r="DE53" s="369"/>
      <c r="DF53" s="370">
        <f>DF52/DF56</f>
        <v>8.8485482481840821E-2</v>
      </c>
      <c r="DG53" s="369"/>
      <c r="DH53" s="370">
        <f>DH52/DH56</f>
        <v>8.8485482481840821E-2</v>
      </c>
      <c r="DI53" s="369"/>
      <c r="DJ53" s="370">
        <f>DJ52/DJ56</f>
        <v>8.8485482481840821E-2</v>
      </c>
      <c r="DK53" s="369"/>
      <c r="DL53" s="370">
        <f>DL52/DL56</f>
        <v>8.8485482481840821E-2</v>
      </c>
      <c r="DM53" s="369"/>
      <c r="DN53" s="370">
        <f>DN52/DN56</f>
        <v>8.8485482481840821E-2</v>
      </c>
      <c r="DO53" s="369"/>
      <c r="DP53" s="370">
        <f>DP52/DP56</f>
        <v>8.8485482481840821E-2</v>
      </c>
      <c r="DR53" s="369"/>
      <c r="DS53" s="370">
        <f>DS52/DS56</f>
        <v>8.5755121486422115E-2</v>
      </c>
      <c r="DT53" s="369"/>
      <c r="DU53" s="370">
        <f>DU52/DU56</f>
        <v>8.8485482481840821E-2</v>
      </c>
    </row>
    <row r="54" spans="1:125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0.53549999999999998</v>
      </c>
      <c r="H54" s="73"/>
      <c r="I54" s="72">
        <f>(I55*(I56+I50))</f>
        <v>0.54599999999999993</v>
      </c>
      <c r="J54" s="73"/>
      <c r="K54" s="72">
        <f>(K55*(K56+K50))</f>
        <v>0.54599999999999993</v>
      </c>
      <c r="L54" s="73"/>
      <c r="M54" s="72">
        <f>(M55*(M56+M50))</f>
        <v>0.54599999999999993</v>
      </c>
      <c r="N54" s="371"/>
      <c r="O54" s="368">
        <f>(O55*(O56+O50))</f>
        <v>0.5509365671641796</v>
      </c>
      <c r="P54" s="371"/>
      <c r="Q54" s="368">
        <f>(Q55*(Q56+Q50))</f>
        <v>0.55124132231404965</v>
      </c>
      <c r="R54" s="371"/>
      <c r="S54" s="368">
        <f>(S55*(S56+S50))</f>
        <v>0.55124132231404965</v>
      </c>
      <c r="T54" s="371"/>
      <c r="U54" s="368">
        <f>(U55*(U56+U50))</f>
        <v>0.55124132231404965</v>
      </c>
      <c r="V54" s="371"/>
      <c r="W54" s="368">
        <f>(W55*(W56+W50))</f>
        <v>0.55124132231404965</v>
      </c>
      <c r="X54" s="371"/>
      <c r="Y54" s="368">
        <f>(Y55*(Y56+Y50))</f>
        <v>0.55124132231404965</v>
      </c>
      <c r="Z54" s="371"/>
      <c r="AA54" s="368">
        <f>(AA55*(AA56+AA50))</f>
        <v>0.55124132231404965</v>
      </c>
      <c r="AB54" s="371"/>
      <c r="AC54" s="368">
        <f>(AC55*(AC56+AC50))</f>
        <v>0.55124132231404965</v>
      </c>
      <c r="AD54" s="371"/>
      <c r="AE54" s="368">
        <f>(AE55*(AE56+AE50))</f>
        <v>0.55124132231404965</v>
      </c>
      <c r="AF54" s="371"/>
      <c r="AG54" s="368">
        <f>(AG55*(AG56+AG50))</f>
        <v>0.55124132231404965</v>
      </c>
      <c r="AH54" s="371"/>
      <c r="AI54" s="368">
        <f>(AI55*(AI56+AI50))</f>
        <v>0.55124132231404965</v>
      </c>
      <c r="AJ54" s="371"/>
      <c r="AK54" s="368">
        <f>(AK55*(AK56+AK50))</f>
        <v>0.55124132231404965</v>
      </c>
      <c r="AL54" s="371"/>
      <c r="AM54" s="368">
        <f>(AM55*(AM56+AM50))</f>
        <v>0.55124132231404965</v>
      </c>
      <c r="AN54" s="371"/>
      <c r="AO54" s="368">
        <f>(AO55*(AO56+AO50))</f>
        <v>0.55124132231404965</v>
      </c>
      <c r="AP54" s="371"/>
      <c r="AQ54" s="368">
        <f>(AQ55*(AQ56+AQ50))</f>
        <v>0.55124132231404965</v>
      </c>
      <c r="AR54" s="371"/>
      <c r="AS54" s="368">
        <f>(AS55*(AS56+AS50))</f>
        <v>0.55124132231404965</v>
      </c>
      <c r="AT54" s="371"/>
      <c r="AU54" s="368">
        <f>(AU55*(AU56+AU50))</f>
        <v>0.55124132231404965</v>
      </c>
      <c r="AV54" s="371"/>
      <c r="AW54" s="368">
        <f>(AW55*(AW56+AW50))</f>
        <v>0.55124132231404965</v>
      </c>
      <c r="AX54" s="371"/>
      <c r="AY54" s="368">
        <f>(AY55*(AY56+AY50))</f>
        <v>0.55124132231404965</v>
      </c>
      <c r="AZ54" s="371"/>
      <c r="BA54" s="368">
        <f>(BA55*(BA56+BA50))</f>
        <v>0.55124132231404965</v>
      </c>
      <c r="BB54" s="371"/>
      <c r="BC54" s="368">
        <f>(BC55*(BC56+BC50))</f>
        <v>0.55124132231404965</v>
      </c>
      <c r="BD54" s="371"/>
      <c r="BE54" s="368">
        <f>(BE55*(BE56+BE50))</f>
        <v>0.55124132231404965</v>
      </c>
      <c r="BF54" s="371"/>
      <c r="BG54" s="368">
        <f>(BG55*(BG56+BG50))</f>
        <v>0.55124132231404965</v>
      </c>
      <c r="BH54" s="371"/>
      <c r="BI54" s="368">
        <f>(BI55*(BI56+BI50))</f>
        <v>0.55163832644628108</v>
      </c>
      <c r="BJ54" s="371"/>
      <c r="BK54" s="368">
        <f>(BK55*(BK56+BK50))</f>
        <v>0.55163832644628108</v>
      </c>
      <c r="BL54" s="371"/>
      <c r="BM54" s="368">
        <f>(BM55*(BM56+BM50))</f>
        <v>0.55163832644628108</v>
      </c>
      <c r="BN54" s="371"/>
      <c r="BO54" s="368">
        <f>(BO55*(BO56+BO50))</f>
        <v>0.55163832644628108</v>
      </c>
      <c r="BP54" s="371"/>
      <c r="BQ54" s="368">
        <f>(BQ55*(BQ56+BQ50))</f>
        <v>0.55163832644628108</v>
      </c>
      <c r="BR54" s="371"/>
      <c r="BS54" s="368">
        <f>(BS55*(BS56+BS50))</f>
        <v>0.55163832644628108</v>
      </c>
      <c r="BT54" s="371"/>
      <c r="BU54" s="368">
        <f>(BU55*(BU56+BU50))</f>
        <v>0.55163832644628108</v>
      </c>
      <c r="BV54" s="371"/>
      <c r="BW54" s="368">
        <f>(BW55*(BW56+BW50))</f>
        <v>0.55163832644628108</v>
      </c>
      <c r="BX54" s="371"/>
      <c r="BY54" s="368">
        <f>(BY55*(BY56+BY50))</f>
        <v>0.55163832644628108</v>
      </c>
      <c r="BZ54" s="371"/>
      <c r="CA54" s="368">
        <f>(CA55*(CA56+CA50))</f>
        <v>0.55163832644628108</v>
      </c>
      <c r="CB54" s="371"/>
      <c r="CC54" s="368">
        <f>(CC55*(CC56+CC50))</f>
        <v>0.55163832644628108</v>
      </c>
      <c r="CD54" s="371"/>
      <c r="CE54" s="368">
        <f>(CE55*(CE56+CE50))</f>
        <v>0.55163832644628108</v>
      </c>
      <c r="CF54" s="620"/>
      <c r="CG54" s="620"/>
      <c r="CH54" s="620"/>
      <c r="CI54" s="620"/>
      <c r="CJ54" s="371"/>
      <c r="CK54" s="368">
        <f>(CK55*(CK56+CK50))</f>
        <v>0.55110082323281151</v>
      </c>
      <c r="CL54" s="371"/>
      <c r="CM54" s="368">
        <f>(CM55*(CM56+CM50))</f>
        <v>0.55124132231404965</v>
      </c>
      <c r="CN54" s="371"/>
      <c r="CO54" s="368">
        <f>(CO55*(CO56+CO50))</f>
        <v>0.55124132231404965</v>
      </c>
      <c r="CP54" s="371"/>
      <c r="CQ54" s="368">
        <f>(CQ55*(CQ56+CQ50))</f>
        <v>0.55124132231404965</v>
      </c>
      <c r="CR54" s="371"/>
      <c r="CS54" s="368">
        <f>(CS55*(CS56+CS50))</f>
        <v>0.55116223019357002</v>
      </c>
      <c r="CT54" s="371"/>
      <c r="CU54" s="368">
        <f>(CU55*(CU56+CU50))</f>
        <v>0.55124132231404965</v>
      </c>
      <c r="CV54" s="371"/>
      <c r="CW54" s="368">
        <f>(CW55*(CW56+CW50))</f>
        <v>0.57772312500000012</v>
      </c>
      <c r="CX54" s="371"/>
      <c r="CY54" s="368">
        <f>(CY55*(CY56+CY50))</f>
        <v>0.55147560356404968</v>
      </c>
      <c r="DA54" s="371"/>
      <c r="DB54" s="368">
        <f>(DB55*(DB56+DB50))</f>
        <v>0.55124132231404965</v>
      </c>
      <c r="DC54" s="371"/>
      <c r="DD54" s="368">
        <f>(DD55*(DD56+DD50))</f>
        <v>0.55163832644628108</v>
      </c>
      <c r="DE54" s="371"/>
      <c r="DF54" s="368">
        <f>(DF55*(DF56+DF50))</f>
        <v>0.55163832644628108</v>
      </c>
      <c r="DG54" s="371"/>
      <c r="DH54" s="368">
        <f>(DH55*(DH56+DH50))</f>
        <v>0.55163832644628108</v>
      </c>
      <c r="DI54" s="371"/>
      <c r="DJ54" s="368">
        <f>(DJ55*(DJ56+DJ50))</f>
        <v>0.55163832644628108</v>
      </c>
      <c r="DK54" s="371"/>
      <c r="DL54" s="368">
        <f>(DL55*(DL56+DL50))</f>
        <v>0.55163832644628108</v>
      </c>
      <c r="DM54" s="371"/>
      <c r="DN54" s="368">
        <f>(DN55*(DN56+DN50))</f>
        <v>0.55163832644628108</v>
      </c>
      <c r="DO54" s="371"/>
      <c r="DP54" s="368">
        <f>(DP55*(DP56+DP50))</f>
        <v>0.55163832644628108</v>
      </c>
      <c r="DR54" s="371"/>
      <c r="DS54" s="368">
        <f>(DS55*(DS56+DS50))</f>
        <v>0.55098749999999996</v>
      </c>
      <c r="DT54" s="371"/>
      <c r="DU54" s="368">
        <f>(DU55*(DU56+DU50))</f>
        <v>0.55163832644628108</v>
      </c>
    </row>
    <row r="55" spans="1:125" s="4" customFormat="1" ht="18" customHeight="1" x14ac:dyDescent="0.45">
      <c r="A55" s="561"/>
      <c r="B55" s="1184"/>
      <c r="C55" s="77" t="s">
        <v>60</v>
      </c>
      <c r="D55" s="76"/>
      <c r="E55" s="16"/>
      <c r="F55" s="73"/>
      <c r="G55" s="74">
        <v>0.1</v>
      </c>
      <c r="H55" s="347"/>
      <c r="I55" s="74">
        <v>0.1</v>
      </c>
      <c r="J55" s="347"/>
      <c r="K55" s="74">
        <v>0.1</v>
      </c>
      <c r="L55" s="347"/>
      <c r="M55" s="74">
        <v>0.1</v>
      </c>
      <c r="N55" s="369"/>
      <c r="O55" s="370">
        <v>0.1</v>
      </c>
      <c r="P55" s="369"/>
      <c r="Q55" s="370">
        <v>0.1</v>
      </c>
      <c r="R55" s="369"/>
      <c r="S55" s="370">
        <v>0.1</v>
      </c>
      <c r="T55" s="369"/>
      <c r="U55" s="370">
        <v>0.1</v>
      </c>
      <c r="V55" s="369"/>
      <c r="W55" s="370">
        <v>0.1</v>
      </c>
      <c r="X55" s="369"/>
      <c r="Y55" s="370">
        <v>0.1</v>
      </c>
      <c r="Z55" s="369"/>
      <c r="AA55" s="370">
        <v>0.1</v>
      </c>
      <c r="AB55" s="369"/>
      <c r="AC55" s="370">
        <v>0.1</v>
      </c>
      <c r="AD55" s="369"/>
      <c r="AE55" s="370">
        <v>0.1</v>
      </c>
      <c r="AF55" s="369"/>
      <c r="AG55" s="370">
        <v>0.1</v>
      </c>
      <c r="AH55" s="369"/>
      <c r="AI55" s="370">
        <v>0.1</v>
      </c>
      <c r="AJ55" s="369"/>
      <c r="AK55" s="370">
        <v>0.1</v>
      </c>
      <c r="AL55" s="369"/>
      <c r="AM55" s="370">
        <v>0.1</v>
      </c>
      <c r="AN55" s="369"/>
      <c r="AO55" s="370">
        <v>0.1</v>
      </c>
      <c r="AP55" s="369"/>
      <c r="AQ55" s="370">
        <v>0.1</v>
      </c>
      <c r="AR55" s="369"/>
      <c r="AS55" s="370">
        <v>0.1</v>
      </c>
      <c r="AT55" s="369"/>
      <c r="AU55" s="370">
        <v>0.1</v>
      </c>
      <c r="AV55" s="369"/>
      <c r="AW55" s="370">
        <v>0.1</v>
      </c>
      <c r="AX55" s="369"/>
      <c r="AY55" s="370">
        <v>0.1</v>
      </c>
      <c r="AZ55" s="369"/>
      <c r="BA55" s="370">
        <v>0.1</v>
      </c>
      <c r="BB55" s="369"/>
      <c r="BC55" s="370">
        <v>0.1</v>
      </c>
      <c r="BD55" s="369"/>
      <c r="BE55" s="370">
        <v>0.1</v>
      </c>
      <c r="BF55" s="369"/>
      <c r="BG55" s="370">
        <v>0.1</v>
      </c>
      <c r="BH55" s="369"/>
      <c r="BI55" s="370">
        <v>0.1</v>
      </c>
      <c r="BJ55" s="369"/>
      <c r="BK55" s="370">
        <v>0.1</v>
      </c>
      <c r="BL55" s="369"/>
      <c r="BM55" s="370">
        <v>0.1</v>
      </c>
      <c r="BN55" s="369"/>
      <c r="BO55" s="370">
        <v>0.1</v>
      </c>
      <c r="BP55" s="369"/>
      <c r="BQ55" s="370">
        <v>0.1</v>
      </c>
      <c r="BR55" s="369"/>
      <c r="BS55" s="370">
        <v>0.1</v>
      </c>
      <c r="BT55" s="369"/>
      <c r="BU55" s="370">
        <v>0.1</v>
      </c>
      <c r="BV55" s="369"/>
      <c r="BW55" s="370">
        <v>0.1</v>
      </c>
      <c r="BX55" s="369"/>
      <c r="BY55" s="370">
        <v>0.1</v>
      </c>
      <c r="BZ55" s="369"/>
      <c r="CA55" s="370">
        <v>0.1</v>
      </c>
      <c r="CB55" s="369"/>
      <c r="CC55" s="370">
        <v>0.1</v>
      </c>
      <c r="CD55" s="369"/>
      <c r="CE55" s="370">
        <v>0.1</v>
      </c>
      <c r="CF55" s="620"/>
      <c r="CG55" s="620"/>
      <c r="CH55" s="620"/>
      <c r="CI55" s="620"/>
      <c r="CJ55" s="369"/>
      <c r="CK55" s="370">
        <v>0.1</v>
      </c>
      <c r="CL55" s="369"/>
      <c r="CM55" s="370">
        <v>0.1</v>
      </c>
      <c r="CN55" s="369"/>
      <c r="CO55" s="370">
        <v>0.1</v>
      </c>
      <c r="CP55" s="369"/>
      <c r="CQ55" s="370">
        <v>0.1</v>
      </c>
      <c r="CR55" s="369"/>
      <c r="CS55" s="370">
        <v>0.1</v>
      </c>
      <c r="CT55" s="369"/>
      <c r="CU55" s="370">
        <v>0.1</v>
      </c>
      <c r="CV55" s="369"/>
      <c r="CW55" s="370">
        <v>0.1</v>
      </c>
      <c r="CX55" s="369"/>
      <c r="CY55" s="370">
        <v>0.1</v>
      </c>
      <c r="DA55" s="369"/>
      <c r="DB55" s="370">
        <v>0.1</v>
      </c>
      <c r="DC55" s="369"/>
      <c r="DD55" s="370">
        <v>0.1</v>
      </c>
      <c r="DE55" s="369"/>
      <c r="DF55" s="370">
        <v>0.1</v>
      </c>
      <c r="DG55" s="369"/>
      <c r="DH55" s="370">
        <v>0.1</v>
      </c>
      <c r="DI55" s="369"/>
      <c r="DJ55" s="370">
        <v>0.1</v>
      </c>
      <c r="DK55" s="369"/>
      <c r="DL55" s="370">
        <v>0.1</v>
      </c>
      <c r="DM55" s="369"/>
      <c r="DN55" s="370">
        <v>0.1</v>
      </c>
      <c r="DO55" s="369"/>
      <c r="DP55" s="370">
        <v>0.1</v>
      </c>
      <c r="DR55" s="369"/>
      <c r="DS55" s="370">
        <v>0.1</v>
      </c>
      <c r="DT55" s="369"/>
      <c r="DU55" s="370">
        <v>0.1</v>
      </c>
    </row>
    <row r="56" spans="1:125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5.0999999999999996</v>
      </c>
      <c r="H56" s="81"/>
      <c r="I56" s="82">
        <f>I60-I57+I58</f>
        <v>5.1999999999999993</v>
      </c>
      <c r="J56" s="81"/>
      <c r="K56" s="82">
        <f>K60-K57+K58</f>
        <v>5.1999999999999993</v>
      </c>
      <c r="L56" s="81"/>
      <c r="M56" s="82">
        <f>M60-M57+M58</f>
        <v>5.1999999999999993</v>
      </c>
      <c r="N56" s="550"/>
      <c r="O56" s="82">
        <f>O60-O57+O58</f>
        <v>5.2470149253731382</v>
      </c>
      <c r="P56" s="550"/>
      <c r="Q56" s="82">
        <f>Q60-Q57+Q58</f>
        <v>5.2499173553719016</v>
      </c>
      <c r="R56" s="550"/>
      <c r="S56" s="82">
        <f>S60-S57+S58</f>
        <v>5.2499173553719016</v>
      </c>
      <c r="T56" s="550"/>
      <c r="U56" s="82">
        <f>U60-U57+U58</f>
        <v>5.2499173553719016</v>
      </c>
      <c r="V56" s="550"/>
      <c r="W56" s="82">
        <f>W60-W57+W58</f>
        <v>5.2499173553719016</v>
      </c>
      <c r="X56" s="550"/>
      <c r="Y56" s="82">
        <f>Y60-Y57+Y58</f>
        <v>5.2499173553719016</v>
      </c>
      <c r="Z56" s="550"/>
      <c r="AA56" s="82">
        <f>AA60-AA57+AA58</f>
        <v>5.2499173553719016</v>
      </c>
      <c r="AB56" s="550"/>
      <c r="AC56" s="82">
        <f>AC60-AC57+AC58</f>
        <v>5.2499173553719016</v>
      </c>
      <c r="AD56" s="550"/>
      <c r="AE56" s="82">
        <f>AE60-AE57+AE58</f>
        <v>5.2499173553719016</v>
      </c>
      <c r="AF56" s="550"/>
      <c r="AG56" s="82">
        <f>AG60-AG57+AG58</f>
        <v>5.2499173553719016</v>
      </c>
      <c r="AH56" s="550"/>
      <c r="AI56" s="82">
        <f>AI60-AI57+AI58</f>
        <v>5.2499173553719016</v>
      </c>
      <c r="AJ56" s="550"/>
      <c r="AK56" s="82">
        <f>AK60-AK57+AK58</f>
        <v>5.2499173553719016</v>
      </c>
      <c r="AL56" s="550"/>
      <c r="AM56" s="82">
        <f>AM60-AM57+AM58</f>
        <v>5.2499173553719016</v>
      </c>
      <c r="AN56" s="550"/>
      <c r="AO56" s="82">
        <f>AO60-AO57+AO58</f>
        <v>5.2499173553719016</v>
      </c>
      <c r="AP56" s="550"/>
      <c r="AQ56" s="82">
        <f>AQ60-AQ57+AQ58</f>
        <v>5.2499173553719016</v>
      </c>
      <c r="AR56" s="550"/>
      <c r="AS56" s="82">
        <f>AS60-AS57+AS58</f>
        <v>5.2499173553719016</v>
      </c>
      <c r="AT56" s="550"/>
      <c r="AU56" s="82">
        <f>AU60-AU57+AU58</f>
        <v>5.2499173553719016</v>
      </c>
      <c r="AV56" s="550"/>
      <c r="AW56" s="82">
        <f>AW60-AW57+AW58</f>
        <v>5.2499173553719016</v>
      </c>
      <c r="AX56" s="550"/>
      <c r="AY56" s="82">
        <f>AY60-AY57+AY58</f>
        <v>5.2499173553719016</v>
      </c>
      <c r="AZ56" s="550"/>
      <c r="BA56" s="82">
        <f>BA60-BA57+BA58</f>
        <v>5.2499173553719016</v>
      </c>
      <c r="BB56" s="550"/>
      <c r="BC56" s="82">
        <f>BC60-BC57+BC58</f>
        <v>5.2499173553719016</v>
      </c>
      <c r="BD56" s="550"/>
      <c r="BE56" s="82">
        <f>BE60-BE57+BE58</f>
        <v>5.2499173553719016</v>
      </c>
      <c r="BF56" s="550"/>
      <c r="BG56" s="82">
        <f>BG60-BG57+BG58</f>
        <v>5.2499173553719016</v>
      </c>
      <c r="BH56" s="550"/>
      <c r="BI56" s="82">
        <f>BI60-BI57+BI58</f>
        <v>5.2536983471074379</v>
      </c>
      <c r="BJ56" s="550"/>
      <c r="BK56" s="82">
        <f>BK60-BK57+BK58</f>
        <v>5.2536983471074379</v>
      </c>
      <c r="BL56" s="550"/>
      <c r="BM56" s="82">
        <f>BM60-BM57+BM58</f>
        <v>5.2536983471074379</v>
      </c>
      <c r="BN56" s="550"/>
      <c r="BO56" s="82">
        <f>BO60-BO57+BO58</f>
        <v>5.2536983471074379</v>
      </c>
      <c r="BP56" s="550"/>
      <c r="BQ56" s="82">
        <f>BQ60-BQ57+BQ58</f>
        <v>5.2536983471074379</v>
      </c>
      <c r="BR56" s="550"/>
      <c r="BS56" s="82">
        <f>BS60-BS57+BS58</f>
        <v>5.2536983471074379</v>
      </c>
      <c r="BT56" s="550"/>
      <c r="BU56" s="82">
        <f>BU60-BU57+BU58</f>
        <v>5.2536983471074379</v>
      </c>
      <c r="BV56" s="550"/>
      <c r="BW56" s="82">
        <f>BW60-BW57+BW58</f>
        <v>5.2536983471074379</v>
      </c>
      <c r="BX56" s="550"/>
      <c r="BY56" s="82">
        <f>BY60-BY57+BY58</f>
        <v>5.2536983471074379</v>
      </c>
      <c r="BZ56" s="550"/>
      <c r="CA56" s="82">
        <f>CA60-CA57+CA58</f>
        <v>5.2536983471074379</v>
      </c>
      <c r="CB56" s="550"/>
      <c r="CC56" s="82">
        <f>CC60-CC57+CC58</f>
        <v>5.2536983471074379</v>
      </c>
      <c r="CD56" s="550"/>
      <c r="CE56" s="82">
        <f>CE60-CE57+CE58</f>
        <v>5.2536983471074379</v>
      </c>
      <c r="CF56" s="620"/>
      <c r="CG56" s="620"/>
      <c r="CH56" s="620"/>
      <c r="CI56" s="620"/>
      <c r="CJ56" s="550"/>
      <c r="CK56" s="82">
        <f>CK60-CK57+CK58</f>
        <v>5.2485792688839181</v>
      </c>
      <c r="CL56" s="550"/>
      <c r="CM56" s="82">
        <f>CM60-CM57+CM58</f>
        <v>5.2499173553719016</v>
      </c>
      <c r="CN56" s="550"/>
      <c r="CO56" s="82">
        <f>CO60-CO57+CO58</f>
        <v>5.2499173553719016</v>
      </c>
      <c r="CP56" s="550"/>
      <c r="CQ56" s="82">
        <f>CQ60-CQ57+CQ58</f>
        <v>5.2499173553719016</v>
      </c>
      <c r="CR56" s="550"/>
      <c r="CS56" s="82">
        <f>CS60-CS57+CS58</f>
        <v>5.2491640970816196</v>
      </c>
      <c r="CT56" s="550"/>
      <c r="CU56" s="82">
        <f>CU60-CU57+CU58</f>
        <v>5.2499173553719016</v>
      </c>
      <c r="CV56" s="550"/>
      <c r="CW56" s="82">
        <f>CW60-CW57+CW58</f>
        <v>5.5021250000000004</v>
      </c>
      <c r="CX56" s="550"/>
      <c r="CY56" s="82">
        <f>CY60-CY57+CY58</f>
        <v>5.252148605371902</v>
      </c>
      <c r="DA56" s="550"/>
      <c r="DB56" s="82">
        <f>DB60-DB57+DB58</f>
        <v>5.2499173553719016</v>
      </c>
      <c r="DC56" s="550"/>
      <c r="DD56" s="82">
        <f>DD60-DD57+DD58</f>
        <v>5.2536983471074379</v>
      </c>
      <c r="DE56" s="550"/>
      <c r="DF56" s="82">
        <f>DF60-DF57+DF58</f>
        <v>5.2536983471074379</v>
      </c>
      <c r="DG56" s="550"/>
      <c r="DH56" s="82">
        <f>DH60-DH57+DH58</f>
        <v>5.2536983471074379</v>
      </c>
      <c r="DI56" s="550"/>
      <c r="DJ56" s="82">
        <f>DJ60-DJ57+DJ58</f>
        <v>5.2536983471074379</v>
      </c>
      <c r="DK56" s="550"/>
      <c r="DL56" s="82">
        <f>DL60-DL57+DL58</f>
        <v>5.2536983471074379</v>
      </c>
      <c r="DM56" s="550"/>
      <c r="DN56" s="82">
        <f>DN60-DN57+DN58</f>
        <v>5.2536983471074379</v>
      </c>
      <c r="DO56" s="550"/>
      <c r="DP56" s="82">
        <f>DP60-DP57+DP58</f>
        <v>5.2536983471074379</v>
      </c>
      <c r="DR56" s="550"/>
      <c r="DS56" s="82">
        <f>DS60-DS57+DS58</f>
        <v>5.2474999999999996</v>
      </c>
      <c r="DT56" s="550"/>
      <c r="DU56" s="82">
        <f>DU60-DU57+DU58</f>
        <v>5.2536983471074379</v>
      </c>
    </row>
    <row r="57" spans="1:125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0.5</v>
      </c>
      <c r="H57" s="85"/>
      <c r="I57" s="86">
        <v>0.4</v>
      </c>
      <c r="J57" s="85"/>
      <c r="K57" s="86">
        <v>0.4</v>
      </c>
      <c r="L57" s="85"/>
      <c r="M57" s="86">
        <v>0.4</v>
      </c>
      <c r="N57" s="551"/>
      <c r="O57" s="86">
        <v>0.77611940298507454</v>
      </c>
      <c r="P57" s="551"/>
      <c r="Q57" s="86">
        <f>0.5+0.35-0.05</f>
        <v>0.79999999999999993</v>
      </c>
      <c r="R57" s="551"/>
      <c r="S57" s="86">
        <f>0.5+0.35-0.05</f>
        <v>0.79999999999999993</v>
      </c>
      <c r="T57" s="551"/>
      <c r="U57" s="86">
        <f>0.5+0.35-0.05</f>
        <v>0.79999999999999993</v>
      </c>
      <c r="V57" s="551"/>
      <c r="W57" s="86">
        <f>0.5+0.35-0.05</f>
        <v>0.79999999999999993</v>
      </c>
      <c r="X57" s="551"/>
      <c r="Y57" s="86">
        <f>0.5+0.35-0.05</f>
        <v>0.79999999999999993</v>
      </c>
      <c r="Z57" s="551"/>
      <c r="AA57" s="86">
        <f>0.5+0.35-0.05</f>
        <v>0.79999999999999993</v>
      </c>
      <c r="AB57" s="551"/>
      <c r="AC57" s="86">
        <f>0.5+0.35-0.05</f>
        <v>0.79999999999999993</v>
      </c>
      <c r="AD57" s="551"/>
      <c r="AE57" s="86">
        <f>0.5+0.35-0.05</f>
        <v>0.79999999999999993</v>
      </c>
      <c r="AF57" s="551"/>
      <c r="AG57" s="86">
        <f>0.5+0.35-0.05</f>
        <v>0.79999999999999993</v>
      </c>
      <c r="AH57" s="551"/>
      <c r="AI57" s="86">
        <f>0.5+0.35-0.05</f>
        <v>0.79999999999999993</v>
      </c>
      <c r="AJ57" s="551"/>
      <c r="AK57" s="86">
        <f>0.5+0.35-0.05</f>
        <v>0.79999999999999993</v>
      </c>
      <c r="AL57" s="551"/>
      <c r="AM57" s="86">
        <f>0.5+0.35-0.05</f>
        <v>0.79999999999999993</v>
      </c>
      <c r="AN57" s="551"/>
      <c r="AO57" s="86">
        <f>0.5+0.35-0.05</f>
        <v>0.79999999999999993</v>
      </c>
      <c r="AP57" s="551"/>
      <c r="AQ57" s="86">
        <f>0.5+0.35-0.05</f>
        <v>0.79999999999999993</v>
      </c>
      <c r="AR57" s="551"/>
      <c r="AS57" s="86">
        <f>0.5+0.35-0.05</f>
        <v>0.79999999999999993</v>
      </c>
      <c r="AT57" s="551"/>
      <c r="AU57" s="86">
        <f>0.5+0.35-0.05</f>
        <v>0.79999999999999993</v>
      </c>
      <c r="AV57" s="551"/>
      <c r="AW57" s="86">
        <f>0.5+0.35-0.05</f>
        <v>0.79999999999999993</v>
      </c>
      <c r="AX57" s="551"/>
      <c r="AY57" s="86">
        <f>0.5+0.35-0.05</f>
        <v>0.79999999999999993</v>
      </c>
      <c r="AZ57" s="551"/>
      <c r="BA57" s="86">
        <f>0.5+0.35-0.05</f>
        <v>0.79999999999999993</v>
      </c>
      <c r="BB57" s="551"/>
      <c r="BC57" s="86">
        <f>0.5+0.35-0.05</f>
        <v>0.79999999999999993</v>
      </c>
      <c r="BD57" s="551"/>
      <c r="BE57" s="86">
        <f>0.5+0.35-0.05</f>
        <v>0.79999999999999993</v>
      </c>
      <c r="BF57" s="551"/>
      <c r="BG57" s="86">
        <f>0.5+0.35-0.05</f>
        <v>0.79999999999999993</v>
      </c>
      <c r="BH57" s="551"/>
      <c r="BI57" s="86">
        <f>0.5+0.35-0.05</f>
        <v>0.79999999999999993</v>
      </c>
      <c r="BJ57" s="551"/>
      <c r="BK57" s="86">
        <f>0.5+0.35-0.05</f>
        <v>0.79999999999999993</v>
      </c>
      <c r="BL57" s="551"/>
      <c r="BM57" s="86">
        <f>0.5+0.35-0.05</f>
        <v>0.79999999999999993</v>
      </c>
      <c r="BN57" s="551"/>
      <c r="BO57" s="86">
        <f>0.5+0.35-0.05</f>
        <v>0.79999999999999993</v>
      </c>
      <c r="BP57" s="551"/>
      <c r="BQ57" s="86">
        <f>0.5+0.35-0.05</f>
        <v>0.79999999999999993</v>
      </c>
      <c r="BR57" s="551"/>
      <c r="BS57" s="86">
        <f>0.5+0.35-0.05</f>
        <v>0.79999999999999993</v>
      </c>
      <c r="BT57" s="551"/>
      <c r="BU57" s="86">
        <f>0.5+0.35-0.05</f>
        <v>0.79999999999999993</v>
      </c>
      <c r="BV57" s="551"/>
      <c r="BW57" s="86">
        <f>0.5+0.35-0.05</f>
        <v>0.79999999999999993</v>
      </c>
      <c r="BX57" s="551"/>
      <c r="BY57" s="86">
        <f>0.5+0.35-0.05</f>
        <v>0.79999999999999993</v>
      </c>
      <c r="BZ57" s="551"/>
      <c r="CA57" s="86">
        <f>0.5+0.35-0.05</f>
        <v>0.79999999999999993</v>
      </c>
      <c r="CB57" s="551"/>
      <c r="CC57" s="86">
        <f>0.5+0.35-0.05</f>
        <v>0.79999999999999993</v>
      </c>
      <c r="CD57" s="551"/>
      <c r="CE57" s="86">
        <f>0.5+0.35-0.05</f>
        <v>0.79999999999999993</v>
      </c>
      <c r="CF57" s="620"/>
      <c r="CG57" s="620"/>
      <c r="CH57" s="620"/>
      <c r="CI57" s="620"/>
      <c r="CJ57" s="551"/>
      <c r="CK57" s="1101">
        <f>(SUMPRODUCT(O57,O$131)+SUMPRODUCT(U57,U$131)+SUMPRODUCT(W57,W$131))/SUM(O$131,U$131,W$131)</f>
        <v>0.78899049961436873</v>
      </c>
      <c r="CL57" s="551"/>
      <c r="CM57" s="1101">
        <f>(SUMPRODUCT(AC57,AC$131)+SUMPRODUCT(AA57,AA$131)+SUMPRODUCT(Y57,Y$131))/SUM(AC$131,AA$131,Y$131)</f>
        <v>0.79999999999999993</v>
      </c>
      <c r="CN57" s="551"/>
      <c r="CO57" s="1101">
        <f>(SUMPRODUCT(AI57,AI$131)+SUMPRODUCT(AG57,AG$131)+SUMPRODUCT(AE57,AE$131))/SUM(AI$131,AG$131,AE$131)</f>
        <v>0.8</v>
      </c>
      <c r="CP57" s="551"/>
      <c r="CQ57" s="1101">
        <v>0.8</v>
      </c>
      <c r="CR57" s="551"/>
      <c r="CS57" s="1101">
        <f>(SUMPRODUCT(O57,O$131)+SUMPRODUCT(U57,U$131)+SUMPRODUCT(W57,W$131)+SUMPRODUCT(Y57,Y$131)+SUMPRODUCT(AA57,AA$131)+SUMPRODUCT(AC57,AC$131))/SUM(O$131,U$131,W$131,Y$131,AA$131,AC$131)</f>
        <v>0.79380234572890851</v>
      </c>
      <c r="CT57" s="551"/>
      <c r="CU57" s="1101">
        <v>0.8</v>
      </c>
      <c r="CV57" s="551"/>
      <c r="CW57" s="1101">
        <f>0.55+0.5</f>
        <v>1.05</v>
      </c>
      <c r="CX57" s="551"/>
      <c r="CY57" s="1101">
        <v>0.8</v>
      </c>
      <c r="DA57" s="551"/>
      <c r="DB57" s="86">
        <f>0.5+0.35-0.05</f>
        <v>0.79999999999999993</v>
      </c>
      <c r="DC57" s="551"/>
      <c r="DD57" s="86">
        <f>0.5+0.35-0.05</f>
        <v>0.79999999999999993</v>
      </c>
      <c r="DE57" s="551"/>
      <c r="DF57" s="86">
        <f>0.5+0.35-0.05</f>
        <v>0.79999999999999993</v>
      </c>
      <c r="DG57" s="551"/>
      <c r="DH57" s="86">
        <f>0.5+0.35-0.05</f>
        <v>0.79999999999999993</v>
      </c>
      <c r="DI57" s="551"/>
      <c r="DJ57" s="86">
        <f>0.5+0.35-0.05</f>
        <v>0.79999999999999993</v>
      </c>
      <c r="DK57" s="551"/>
      <c r="DL57" s="86">
        <f>0.5+0.35-0.05</f>
        <v>0.79999999999999993</v>
      </c>
      <c r="DM57" s="551"/>
      <c r="DN57" s="86">
        <f>0.5+0.35-0.05</f>
        <v>0.79999999999999993</v>
      </c>
      <c r="DO57" s="551"/>
      <c r="DP57" s="86">
        <f>0.5+0.35-0.05</f>
        <v>0.79999999999999993</v>
      </c>
      <c r="DR57" s="551"/>
      <c r="DS57" s="86">
        <f>0.5+0.35-0.05</f>
        <v>0.79999999999999993</v>
      </c>
      <c r="DT57" s="551"/>
      <c r="DU57" s="86">
        <f>0.5+0.35-0.05</f>
        <v>0.79999999999999993</v>
      </c>
    </row>
    <row r="58" spans="1:125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>
        <v>0</v>
      </c>
      <c r="BX58" s="85"/>
      <c r="BY58" s="86">
        <v>0</v>
      </c>
      <c r="BZ58" s="85"/>
      <c r="CA58" s="86">
        <v>0</v>
      </c>
      <c r="CB58" s="85"/>
      <c r="CC58" s="86">
        <v>0</v>
      </c>
      <c r="CD58" s="85"/>
      <c r="CE58" s="86">
        <v>0</v>
      </c>
      <c r="CF58" s="620"/>
      <c r="CG58" s="620"/>
      <c r="CH58" s="620"/>
      <c r="CI58" s="620"/>
      <c r="CJ58" s="85"/>
      <c r="CK58" s="86">
        <v>0</v>
      </c>
      <c r="CL58" s="85"/>
      <c r="CM58" s="86">
        <v>0</v>
      </c>
      <c r="CN58" s="85"/>
      <c r="CO58" s="86">
        <v>0</v>
      </c>
      <c r="CP58" s="85"/>
      <c r="CQ58" s="86">
        <v>0</v>
      </c>
      <c r="CR58" s="85"/>
      <c r="CS58" s="86">
        <v>0</v>
      </c>
      <c r="CT58" s="85"/>
      <c r="CU58" s="86">
        <v>0</v>
      </c>
      <c r="CV58" s="85"/>
      <c r="CW58" s="86">
        <v>0</v>
      </c>
      <c r="CX58" s="85"/>
      <c r="CY58" s="86">
        <v>0</v>
      </c>
      <c r="DA58" s="85"/>
      <c r="DB58" s="86">
        <v>0</v>
      </c>
      <c r="DC58" s="85"/>
      <c r="DD58" s="86">
        <v>0</v>
      </c>
      <c r="DE58" s="85"/>
      <c r="DF58" s="86">
        <v>0</v>
      </c>
      <c r="DG58" s="85"/>
      <c r="DH58" s="86">
        <v>0</v>
      </c>
      <c r="DI58" s="85"/>
      <c r="DJ58" s="86">
        <v>0</v>
      </c>
      <c r="DK58" s="85"/>
      <c r="DL58" s="86">
        <v>0</v>
      </c>
      <c r="DM58" s="85"/>
      <c r="DN58" s="86">
        <v>0</v>
      </c>
      <c r="DO58" s="85"/>
      <c r="DP58" s="86">
        <v>0</v>
      </c>
      <c r="DR58" s="85"/>
      <c r="DS58" s="86">
        <v>0</v>
      </c>
      <c r="DT58" s="85"/>
      <c r="DU58" s="86">
        <v>0</v>
      </c>
    </row>
    <row r="59" spans="1:125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5.6030799999999994</v>
      </c>
      <c r="H59" s="85"/>
      <c r="I59" s="86">
        <f>+I62+I65+I67</f>
        <v>5.6030800000000003</v>
      </c>
      <c r="J59" s="85"/>
      <c r="K59" s="86">
        <f>+K62+K65+K67</f>
        <v>5.6030800000000003</v>
      </c>
      <c r="L59" s="85"/>
      <c r="M59" s="86">
        <f>+M62+M65+M67</f>
        <v>5.6030800000000003</v>
      </c>
      <c r="N59" s="85"/>
      <c r="O59" s="86">
        <f>+O62+O65+O67</f>
        <v>6.0231343283582124</v>
      </c>
      <c r="P59" s="85"/>
      <c r="Q59" s="86">
        <f>+Q62+Q65+Q67</f>
        <v>6.0499173553719015</v>
      </c>
      <c r="R59" s="85"/>
      <c r="S59" s="86">
        <f>+S62+S65+S67</f>
        <v>6.0499173553719015</v>
      </c>
      <c r="T59" s="85"/>
      <c r="U59" s="86">
        <f>+U62+U65+U67</f>
        <v>6.0499173553719015</v>
      </c>
      <c r="V59" s="85"/>
      <c r="W59" s="86">
        <f>+W62+W65+W67</f>
        <v>6.0499173553719015</v>
      </c>
      <c r="X59" s="85"/>
      <c r="Y59" s="86">
        <f>+Y62+Y65+Y67</f>
        <v>6.0499173553719015</v>
      </c>
      <c r="Z59" s="85"/>
      <c r="AA59" s="86">
        <f>+AA62+AA65+AA67</f>
        <v>6.0499173553719015</v>
      </c>
      <c r="AB59" s="85"/>
      <c r="AC59" s="86">
        <f>+AC62+AC65+AC67</f>
        <v>6.0499173553719015</v>
      </c>
      <c r="AD59" s="85"/>
      <c r="AE59" s="86">
        <f>+AE62+AE65+AE67</f>
        <v>6.0499173553719015</v>
      </c>
      <c r="AF59" s="85"/>
      <c r="AG59" s="86">
        <f>+AG62+AG65+AG67</f>
        <v>6.0499173553719015</v>
      </c>
      <c r="AH59" s="85"/>
      <c r="AI59" s="86">
        <f>+AI62+AI65+AI67</f>
        <v>6.0499173553719015</v>
      </c>
      <c r="AJ59" s="85"/>
      <c r="AK59" s="86">
        <f>+AK62+AK65+AK67</f>
        <v>6.0499173553719015</v>
      </c>
      <c r="AL59" s="85"/>
      <c r="AM59" s="86">
        <f>+AM62+AM65+AM67</f>
        <v>6.0499173553719015</v>
      </c>
      <c r="AN59" s="85"/>
      <c r="AO59" s="86">
        <f>+AO62+AO65+AO67</f>
        <v>6.0499173553719015</v>
      </c>
      <c r="AP59" s="85"/>
      <c r="AQ59" s="86">
        <f>+AQ62+AQ65+AQ67</f>
        <v>6.0499173553719015</v>
      </c>
      <c r="AR59" s="85"/>
      <c r="AS59" s="86">
        <f>+AS62+AS65+AS67</f>
        <v>6.0499173553719015</v>
      </c>
      <c r="AT59" s="85"/>
      <c r="AU59" s="86">
        <f>+AU62+AU65+AU67</f>
        <v>6.0499173553719015</v>
      </c>
      <c r="AV59" s="85"/>
      <c r="AW59" s="86">
        <f>+AW62+AW65+AW67</f>
        <v>6.0499173553719015</v>
      </c>
      <c r="AX59" s="85"/>
      <c r="AY59" s="86">
        <f>+AY62+AY65+AY67</f>
        <v>6.0499173553719015</v>
      </c>
      <c r="AZ59" s="85"/>
      <c r="BA59" s="86">
        <f>+BA62+BA65+BA67</f>
        <v>6.0499173553719015</v>
      </c>
      <c r="BB59" s="85"/>
      <c r="BC59" s="86">
        <f>+BC62+BC65+BC67</f>
        <v>6.0499173553719015</v>
      </c>
      <c r="BD59" s="85"/>
      <c r="BE59" s="86">
        <f>+BE62+BE65+BE67</f>
        <v>6.0499173553719015</v>
      </c>
      <c r="BF59" s="85"/>
      <c r="BG59" s="86">
        <f>+BG62+BG65+BG67</f>
        <v>6.0499173553719015</v>
      </c>
      <c r="BH59" s="85"/>
      <c r="BI59" s="86">
        <f>+BI62+BI65+BI67</f>
        <v>6.0536983471074377</v>
      </c>
      <c r="BJ59" s="85"/>
      <c r="BK59" s="86">
        <f>+BK62+BK65+BK67</f>
        <v>6.0536983471074377</v>
      </c>
      <c r="BL59" s="85"/>
      <c r="BM59" s="86">
        <f>+BM62+BM65+BM67</f>
        <v>6.0536983471074377</v>
      </c>
      <c r="BN59" s="85"/>
      <c r="BO59" s="86">
        <f>+BO62+BO65+BO67</f>
        <v>6.0536983471074377</v>
      </c>
      <c r="BP59" s="85"/>
      <c r="BQ59" s="86">
        <f>+BQ62+BQ65+BQ67</f>
        <v>6.0536983471074377</v>
      </c>
      <c r="BR59" s="85"/>
      <c r="BS59" s="86">
        <f>+BS62+BS65+BS67</f>
        <v>6.0536983471074377</v>
      </c>
      <c r="BT59" s="85"/>
      <c r="BU59" s="86">
        <f>+BU62+BU65+BU67</f>
        <v>6.0536983471074377</v>
      </c>
      <c r="BV59" s="85"/>
      <c r="BW59" s="86">
        <f>+BW62+BW65+BW67</f>
        <v>6.0536983471074377</v>
      </c>
      <c r="BX59" s="85"/>
      <c r="BY59" s="86">
        <f>+BY62+BY65+BY67</f>
        <v>6.0536983471074377</v>
      </c>
      <c r="BZ59" s="85"/>
      <c r="CA59" s="86">
        <f>+CA62+CA65+CA67</f>
        <v>6.0536983471074377</v>
      </c>
      <c r="CB59" s="85"/>
      <c r="CC59" s="86">
        <f>+CC62+CC65+CC67</f>
        <v>6.0536983471074377</v>
      </c>
      <c r="CD59" s="85"/>
      <c r="CE59" s="86">
        <f>+CE62+CE65+CE67</f>
        <v>6.0536983471074377</v>
      </c>
      <c r="CF59" s="620"/>
      <c r="CG59" s="620"/>
      <c r="CH59" s="620"/>
      <c r="CI59" s="620"/>
      <c r="CJ59" s="85"/>
      <c r="CK59" s="86">
        <f>+CK62+CK65+CK67</f>
        <v>6.0375697684982867</v>
      </c>
      <c r="CL59" s="85"/>
      <c r="CM59" s="86">
        <f>+CM62+CM65+CM67</f>
        <v>6.0499173553719015</v>
      </c>
      <c r="CN59" s="85"/>
      <c r="CO59" s="86">
        <f>+CO62+CO65+CO67</f>
        <v>6.0499173553719015</v>
      </c>
      <c r="CP59" s="85"/>
      <c r="CQ59" s="86">
        <f>+CQ62+CQ65+CQ67</f>
        <v>6.0499173553719015</v>
      </c>
      <c r="CR59" s="85"/>
      <c r="CS59" s="86">
        <f>+CS62+CS65+CS67</f>
        <v>6.0429664428105285</v>
      </c>
      <c r="CT59" s="85"/>
      <c r="CU59" s="86">
        <f>+CU62+CU65+CU67</f>
        <v>6.0499173553719015</v>
      </c>
      <c r="CV59" s="85"/>
      <c r="CW59" s="86">
        <f>+CW62+CW65+CW67</f>
        <v>6.55</v>
      </c>
      <c r="CX59" s="85"/>
      <c r="CY59" s="86">
        <f>+CY62+CY65+CY67</f>
        <v>6.0499173553719015</v>
      </c>
      <c r="DA59" s="85"/>
      <c r="DB59" s="86">
        <f>+DB62+DB65+DB67</f>
        <v>6.0499173553719015</v>
      </c>
      <c r="DC59" s="85"/>
      <c r="DD59" s="86">
        <f>+DD62+DD65+DD67</f>
        <v>6.0536983471074377</v>
      </c>
      <c r="DE59" s="85"/>
      <c r="DF59" s="86">
        <f>+DF62+DF65+DF67</f>
        <v>6.0536983471074377</v>
      </c>
      <c r="DG59" s="85"/>
      <c r="DH59" s="86">
        <f>+DH62+DH65+DH67</f>
        <v>6.0536983471074377</v>
      </c>
      <c r="DI59" s="85"/>
      <c r="DJ59" s="86">
        <f>+DJ62+DJ65+DJ67</f>
        <v>6.0536983471074377</v>
      </c>
      <c r="DK59" s="85"/>
      <c r="DL59" s="86">
        <f>+DL62+DL65+DL67</f>
        <v>6.0536983471074377</v>
      </c>
      <c r="DM59" s="85"/>
      <c r="DN59" s="86">
        <f>+DN62+DN65+DN67</f>
        <v>6.0536983471074377</v>
      </c>
      <c r="DO59" s="85"/>
      <c r="DP59" s="86">
        <f>+DP62+DP65+DP67</f>
        <v>6.0536983471074377</v>
      </c>
      <c r="DR59" s="85"/>
      <c r="DS59" s="86">
        <f>+DS62+DS65+DS67</f>
        <v>6.0474999999999994</v>
      </c>
      <c r="DT59" s="85"/>
      <c r="DU59" s="86">
        <f>+DU62+DU65+DU67</f>
        <v>6.0536983471074377</v>
      </c>
    </row>
    <row r="60" spans="1:125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v>5.6</v>
      </c>
      <c r="H60" s="81"/>
      <c r="I60" s="82">
        <v>5.6</v>
      </c>
      <c r="J60" s="81"/>
      <c r="K60" s="82">
        <v>5.6</v>
      </c>
      <c r="L60" s="81"/>
      <c r="M60" s="82">
        <v>5.6</v>
      </c>
      <c r="N60" s="550"/>
      <c r="O60" s="82">
        <f>O65+O67</f>
        <v>6.0231343283582124</v>
      </c>
      <c r="P60" s="550"/>
      <c r="Q60" s="82">
        <f>Q65+Q67</f>
        <v>6.0499173553719015</v>
      </c>
      <c r="R60" s="550"/>
      <c r="S60" s="82">
        <f>S65+S67</f>
        <v>6.0499173553719015</v>
      </c>
      <c r="T60" s="550"/>
      <c r="U60" s="82">
        <f>U65+U67</f>
        <v>6.0499173553719015</v>
      </c>
      <c r="V60" s="550"/>
      <c r="W60" s="82">
        <f>W65+W67</f>
        <v>6.0499173553719015</v>
      </c>
      <c r="X60" s="550"/>
      <c r="Y60" s="82">
        <f>Y65+Y67</f>
        <v>6.0499173553719015</v>
      </c>
      <c r="Z60" s="550"/>
      <c r="AA60" s="82">
        <f>AA65+AA67</f>
        <v>6.0499173553719015</v>
      </c>
      <c r="AB60" s="550"/>
      <c r="AC60" s="82">
        <f>AC65+AC67</f>
        <v>6.0499173553719015</v>
      </c>
      <c r="AD60" s="550"/>
      <c r="AE60" s="82">
        <f>AE65+AE67</f>
        <v>6.0499173553719015</v>
      </c>
      <c r="AF60" s="550"/>
      <c r="AG60" s="82">
        <f>AG65+AG67</f>
        <v>6.0499173553719015</v>
      </c>
      <c r="AH60" s="550"/>
      <c r="AI60" s="82">
        <f>AI65+AI67</f>
        <v>6.0499173553719015</v>
      </c>
      <c r="AJ60" s="550"/>
      <c r="AK60" s="82">
        <f>AK65+AK67</f>
        <v>6.0499173553719015</v>
      </c>
      <c r="AL60" s="550"/>
      <c r="AM60" s="82">
        <f>AM65+AM67</f>
        <v>6.0499173553719015</v>
      </c>
      <c r="AN60" s="550"/>
      <c r="AO60" s="82">
        <f>AO65+AO67</f>
        <v>6.0499173553719015</v>
      </c>
      <c r="AP60" s="550"/>
      <c r="AQ60" s="82">
        <f>AQ65+AQ67</f>
        <v>6.0499173553719015</v>
      </c>
      <c r="AR60" s="550"/>
      <c r="AS60" s="82">
        <f>AS65+AS67</f>
        <v>6.0499173553719015</v>
      </c>
      <c r="AT60" s="550"/>
      <c r="AU60" s="82">
        <f>AU65+AU67</f>
        <v>6.0499173553719015</v>
      </c>
      <c r="AV60" s="550"/>
      <c r="AW60" s="82">
        <f>AW65+AW67</f>
        <v>6.0499173553719015</v>
      </c>
      <c r="AX60" s="550"/>
      <c r="AY60" s="82">
        <f>AY65+AY67</f>
        <v>6.0499173553719015</v>
      </c>
      <c r="AZ60" s="550"/>
      <c r="BA60" s="82">
        <f>BA65+BA67</f>
        <v>6.0499173553719015</v>
      </c>
      <c r="BB60" s="550"/>
      <c r="BC60" s="82">
        <f>BC65+BC67</f>
        <v>6.0499173553719015</v>
      </c>
      <c r="BD60" s="550"/>
      <c r="BE60" s="82">
        <f>BE65+BE67</f>
        <v>6.0499173553719015</v>
      </c>
      <c r="BF60" s="550"/>
      <c r="BG60" s="82">
        <f>BG65+BG67</f>
        <v>6.0499173553719015</v>
      </c>
      <c r="BH60" s="550"/>
      <c r="BI60" s="82">
        <f>BI65+BI67+BI62</f>
        <v>6.0536983471074377</v>
      </c>
      <c r="BJ60" s="550"/>
      <c r="BK60" s="82">
        <f>BK65+BK67+BK62</f>
        <v>6.0536983471074377</v>
      </c>
      <c r="BL60" s="550"/>
      <c r="BM60" s="82">
        <f>BM65+BM67+BM62</f>
        <v>6.0536983471074377</v>
      </c>
      <c r="BN60" s="550"/>
      <c r="BO60" s="82">
        <f>BO65+BO67+BO62</f>
        <v>6.0536983471074377</v>
      </c>
      <c r="BP60" s="550"/>
      <c r="BQ60" s="82">
        <f>BQ65+BQ67+BQ62</f>
        <v>6.0536983471074377</v>
      </c>
      <c r="BR60" s="550"/>
      <c r="BS60" s="82">
        <f>BS65+BS67+BS62</f>
        <v>6.0536983471074377</v>
      </c>
      <c r="BT60" s="550"/>
      <c r="BU60" s="82">
        <f>BU65+BU67+BU62</f>
        <v>6.0536983471074377</v>
      </c>
      <c r="BV60" s="550"/>
      <c r="BW60" s="82">
        <f>BW65+BW67+BW62</f>
        <v>6.0536983471074377</v>
      </c>
      <c r="BX60" s="550"/>
      <c r="BY60" s="82">
        <f>BY65+BY67+BY62</f>
        <v>6.0536983471074377</v>
      </c>
      <c r="BZ60" s="550"/>
      <c r="CA60" s="82">
        <f>CA65+CA67+CA62</f>
        <v>6.0536983471074377</v>
      </c>
      <c r="CB60" s="550"/>
      <c r="CC60" s="82">
        <f>CC65+CC67+CC62</f>
        <v>6.0536983471074377</v>
      </c>
      <c r="CD60" s="550"/>
      <c r="CE60" s="82">
        <f>CE65+CE67+CE62</f>
        <v>6.0536983471074377</v>
      </c>
      <c r="CF60" s="620"/>
      <c r="CG60" s="620"/>
      <c r="CH60" s="620"/>
      <c r="CI60" s="620"/>
      <c r="CJ60" s="550"/>
      <c r="CK60" s="82">
        <f>CK65+CK67</f>
        <v>6.0375697684982867</v>
      </c>
      <c r="CL60" s="550"/>
      <c r="CM60" s="82">
        <f>CM65+CM67</f>
        <v>6.0499173553719015</v>
      </c>
      <c r="CN60" s="550"/>
      <c r="CO60" s="82">
        <f>CO65+CO67</f>
        <v>6.0499173553719015</v>
      </c>
      <c r="CP60" s="550"/>
      <c r="CQ60" s="82">
        <f>CQ65+CQ67</f>
        <v>6.0499173553719015</v>
      </c>
      <c r="CR60" s="550"/>
      <c r="CS60" s="82">
        <f>CS65+CS67</f>
        <v>6.0429664428105285</v>
      </c>
      <c r="CT60" s="550"/>
      <c r="CU60" s="82">
        <f>CU65+CU67</f>
        <v>6.0499173553719015</v>
      </c>
      <c r="CV60" s="550"/>
      <c r="CW60" s="82">
        <f>CW65+CW67+CW63+CW62</f>
        <v>6.5521250000000002</v>
      </c>
      <c r="CX60" s="550"/>
      <c r="CY60" s="82">
        <f>CY65+CY67+CY63+CY62</f>
        <v>6.0521486053719018</v>
      </c>
      <c r="DA60" s="550"/>
      <c r="DB60" s="82">
        <f>DB65+DB67</f>
        <v>6.0499173553719015</v>
      </c>
      <c r="DC60" s="550"/>
      <c r="DD60" s="82">
        <f>DD65+DD67+DD62</f>
        <v>6.0536983471074377</v>
      </c>
      <c r="DE60" s="550"/>
      <c r="DF60" s="82">
        <f>DF65+DF67+DF62</f>
        <v>6.0536983471074377</v>
      </c>
      <c r="DG60" s="550"/>
      <c r="DH60" s="82">
        <f>DH65+DH67+DH62</f>
        <v>6.0536983471074377</v>
      </c>
      <c r="DI60" s="550"/>
      <c r="DJ60" s="82">
        <f>DJ65+DJ67+DJ62</f>
        <v>6.0536983471074377</v>
      </c>
      <c r="DK60" s="550"/>
      <c r="DL60" s="82">
        <f>DL65+DL67+DL62</f>
        <v>6.0536983471074377</v>
      </c>
      <c r="DM60" s="550"/>
      <c r="DN60" s="82">
        <f>DN65+DN67+DN62</f>
        <v>6.0536983471074377</v>
      </c>
      <c r="DO60" s="550"/>
      <c r="DP60" s="82">
        <f>DP65+DP67+DP62</f>
        <v>6.0536983471074377</v>
      </c>
      <c r="DR60" s="550"/>
      <c r="DS60" s="82">
        <f>DS65+DS67+DS62</f>
        <v>6.0474999999999994</v>
      </c>
      <c r="DT60" s="550"/>
      <c r="DU60" s="82">
        <f>DU65+DU67+DU62</f>
        <v>6.0536983471074377</v>
      </c>
    </row>
    <row r="61" spans="1:125" s="4" customFormat="1" ht="18" customHeight="1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976">
        <f>M57/M67</f>
        <v>7.5429061227670319E-2</v>
      </c>
      <c r="M61" s="88"/>
      <c r="N61" s="976">
        <f>O57/O67</f>
        <v>0.13583407345488724</v>
      </c>
      <c r="O61" s="368"/>
      <c r="P61" s="549"/>
      <c r="Q61" s="368"/>
      <c r="R61" s="549"/>
      <c r="S61" s="368"/>
      <c r="T61" s="976">
        <f>U57/U67</f>
        <v>0.13937282229965156</v>
      </c>
      <c r="U61" s="368"/>
      <c r="V61" s="976">
        <f>W57/W67</f>
        <v>0.13937282229965156</v>
      </c>
      <c r="W61" s="368"/>
      <c r="X61" s="976">
        <f>Y57/Y67</f>
        <v>0.13937282229965156</v>
      </c>
      <c r="Y61" s="368"/>
      <c r="Z61" s="976">
        <f>AA57/AA67</f>
        <v>0.13937282229965156</v>
      </c>
      <c r="AA61" s="368"/>
      <c r="AB61" s="976">
        <f>AC57/AC67</f>
        <v>0.13937282229965156</v>
      </c>
      <c r="AC61" s="368"/>
      <c r="AD61" s="976">
        <f>AE57/AE67</f>
        <v>0.13937282229965156</v>
      </c>
      <c r="AE61" s="368"/>
      <c r="AF61" s="976">
        <f>AG57/AG67</f>
        <v>0.13937282229965156</v>
      </c>
      <c r="AG61" s="368"/>
      <c r="AH61" s="976">
        <f>AI57/AI67</f>
        <v>0.13937282229965156</v>
      </c>
      <c r="AI61" s="368"/>
      <c r="AJ61" s="976">
        <f>AK57/AK67</f>
        <v>0.13937282229965156</v>
      </c>
      <c r="AK61" s="368"/>
      <c r="AL61" s="976">
        <f>AM57/AM67</f>
        <v>0.13937282229965156</v>
      </c>
      <c r="AM61" s="368"/>
      <c r="AN61" s="976">
        <f>AO57/AO67</f>
        <v>0.13937282229965156</v>
      </c>
      <c r="AO61" s="368"/>
      <c r="AP61" s="976">
        <f>AQ57/AQ67</f>
        <v>0.13937282229965156</v>
      </c>
      <c r="AQ61" s="368"/>
      <c r="AR61" s="976">
        <f>AS57/AS67</f>
        <v>0.13937282229965156</v>
      </c>
      <c r="AS61" s="368"/>
      <c r="AT61" s="976">
        <f>AU57/AU67</f>
        <v>0.13937282229965156</v>
      </c>
      <c r="AU61" s="368"/>
      <c r="AV61" s="976">
        <f>AW57/AW67</f>
        <v>0.13937282229965156</v>
      </c>
      <c r="AW61" s="368"/>
      <c r="AX61" s="976">
        <f>AY57/AY67</f>
        <v>0.13937282229965156</v>
      </c>
      <c r="AY61" s="368"/>
      <c r="AZ61" s="976">
        <f>BA57/BA67</f>
        <v>0.13937282229965156</v>
      </c>
      <c r="BA61" s="368"/>
      <c r="BB61" s="976">
        <f>BC57/BC67</f>
        <v>0.13937282229965156</v>
      </c>
      <c r="BC61" s="368"/>
      <c r="BD61" s="976"/>
      <c r="BE61" s="368"/>
      <c r="BF61" s="976"/>
      <c r="BG61" s="368"/>
      <c r="BH61" s="976"/>
      <c r="BI61" s="368"/>
      <c r="BJ61" s="976"/>
      <c r="BK61" s="368"/>
      <c r="BL61" s="976"/>
      <c r="BM61" s="368"/>
      <c r="BN61" s="976"/>
      <c r="BO61" s="368"/>
      <c r="BP61" s="976"/>
      <c r="BQ61" s="368"/>
      <c r="BR61" s="976"/>
      <c r="BS61" s="368"/>
      <c r="BT61" s="976"/>
      <c r="BU61" s="368"/>
      <c r="BV61" s="976"/>
      <c r="BW61" s="368"/>
      <c r="BX61" s="976"/>
      <c r="BY61" s="368"/>
      <c r="BZ61" s="976"/>
      <c r="CA61" s="368"/>
      <c r="CB61" s="976"/>
      <c r="CC61" s="368"/>
      <c r="CD61" s="976"/>
      <c r="CE61" s="368"/>
      <c r="CF61" s="620"/>
      <c r="CG61" s="620"/>
      <c r="CH61" s="620"/>
      <c r="CI61" s="620"/>
      <c r="CJ61" s="976">
        <f>CK57/CK67</f>
        <v>0.13774541090318321</v>
      </c>
      <c r="CK61" s="368"/>
      <c r="CL61" s="976">
        <f>CM57/CM67</f>
        <v>0.13937282229965156</v>
      </c>
      <c r="CM61" s="368"/>
      <c r="CN61" s="976">
        <f>CO57/CO67</f>
        <v>0.13937282229965156</v>
      </c>
      <c r="CO61" s="368"/>
      <c r="CP61" s="976">
        <f>CQ57/CQ67</f>
        <v>0.13937282229965156</v>
      </c>
      <c r="CQ61" s="368"/>
      <c r="CR61" s="976">
        <f>CS57/CS67</f>
        <v>0.13845753813183492</v>
      </c>
      <c r="CS61" s="368"/>
      <c r="CT61" s="976">
        <f>CU57/CU67</f>
        <v>0.13937282229965156</v>
      </c>
      <c r="CU61" s="368"/>
      <c r="CV61" s="976">
        <f>CW57/CW67</f>
        <v>0.16800000000000001</v>
      </c>
      <c r="CW61" s="368"/>
      <c r="CX61" s="976">
        <f>CY57/CY67</f>
        <v>0.13937282229965156</v>
      </c>
      <c r="CY61" s="368"/>
      <c r="DA61" s="976"/>
      <c r="DB61" s="368"/>
      <c r="DC61" s="976"/>
      <c r="DD61" s="368"/>
      <c r="DE61" s="976"/>
      <c r="DF61" s="368"/>
      <c r="DG61" s="976"/>
      <c r="DH61" s="368"/>
      <c r="DI61" s="976"/>
      <c r="DJ61" s="368"/>
      <c r="DK61" s="976"/>
      <c r="DL61" s="368"/>
      <c r="DM61" s="976"/>
      <c r="DN61" s="368"/>
      <c r="DO61" s="976"/>
      <c r="DP61" s="368"/>
      <c r="DR61" s="976"/>
      <c r="DS61" s="368"/>
      <c r="DT61" s="976"/>
      <c r="DU61" s="368"/>
    </row>
    <row r="62" spans="1:125" s="4" customFormat="1" ht="18" customHeight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3.0799999999999998E-3</v>
      </c>
      <c r="H62" s="89"/>
      <c r="I62" s="90">
        <f>0.055/100*(I67+(I64/I66))</f>
        <v>3.0799999999999998E-3</v>
      </c>
      <c r="J62" s="89"/>
      <c r="K62" s="90">
        <f>0.055/100*(K67+(K64/K66))</f>
        <v>3.0799999999999998E-3</v>
      </c>
      <c r="L62" s="89"/>
      <c r="M62" s="90">
        <f>0.055/100*(M67+(M64/M66))</f>
        <v>3.0799999999999998E-3</v>
      </c>
      <c r="N62" s="373"/>
      <c r="O62" s="374"/>
      <c r="P62" s="373"/>
      <c r="Q62" s="374"/>
      <c r="R62" s="373"/>
      <c r="S62" s="374"/>
      <c r="T62" s="373"/>
      <c r="U62" s="374"/>
      <c r="V62" s="373"/>
      <c r="W62" s="374"/>
      <c r="X62" s="373"/>
      <c r="Y62" s="374"/>
      <c r="Z62" s="373"/>
      <c r="AA62" s="374"/>
      <c r="AB62" s="373"/>
      <c r="AC62" s="374"/>
      <c r="AD62" s="373"/>
      <c r="AE62" s="374"/>
      <c r="AF62" s="373"/>
      <c r="AG62" s="374"/>
      <c r="AH62" s="373"/>
      <c r="AI62" s="374"/>
      <c r="AJ62" s="373"/>
      <c r="AK62" s="374"/>
      <c r="AL62" s="373"/>
      <c r="AM62" s="374"/>
      <c r="AN62" s="373"/>
      <c r="AO62" s="374"/>
      <c r="AP62" s="373"/>
      <c r="AQ62" s="374"/>
      <c r="AR62" s="373"/>
      <c r="AS62" s="374"/>
      <c r="AT62" s="373"/>
      <c r="AU62" s="374"/>
      <c r="AV62" s="373"/>
      <c r="AW62" s="374"/>
      <c r="AX62" s="373"/>
      <c r="AY62" s="374"/>
      <c r="AZ62" s="373"/>
      <c r="BA62" s="374"/>
      <c r="BB62" s="373"/>
      <c r="BC62" s="374"/>
      <c r="BD62" s="373"/>
      <c r="BE62" s="374"/>
      <c r="BF62" s="373"/>
      <c r="BG62" s="374"/>
      <c r="BH62" s="373"/>
      <c r="BI62" s="374">
        <v>0.02</v>
      </c>
      <c r="BJ62" s="373"/>
      <c r="BK62" s="374">
        <v>0.02</v>
      </c>
      <c r="BL62" s="373"/>
      <c r="BM62" s="374">
        <v>0.02</v>
      </c>
      <c r="BN62" s="373"/>
      <c r="BO62" s="374">
        <v>0.02</v>
      </c>
      <c r="BP62" s="373"/>
      <c r="BQ62" s="374">
        <v>0.02</v>
      </c>
      <c r="BR62" s="373"/>
      <c r="BS62" s="374">
        <v>0.02</v>
      </c>
      <c r="BT62" s="373"/>
      <c r="BU62" s="374">
        <v>0.02</v>
      </c>
      <c r="BV62" s="373"/>
      <c r="BW62" s="374">
        <v>0.02</v>
      </c>
      <c r="BX62" s="373"/>
      <c r="BY62" s="374">
        <v>0.02</v>
      </c>
      <c r="BZ62" s="373"/>
      <c r="CA62" s="374">
        <v>0.02</v>
      </c>
      <c r="CB62" s="373"/>
      <c r="CC62" s="374">
        <v>0.02</v>
      </c>
      <c r="CD62" s="373"/>
      <c r="CE62" s="374">
        <v>0.02</v>
      </c>
      <c r="CF62" s="620"/>
      <c r="CG62" s="620"/>
      <c r="CH62" s="620"/>
      <c r="CI62" s="620"/>
      <c r="CJ62" s="373"/>
      <c r="CK62" s="374"/>
      <c r="CL62" s="373"/>
      <c r="CM62" s="374"/>
      <c r="CN62" s="373"/>
      <c r="CO62" s="374"/>
      <c r="CP62" s="373"/>
      <c r="CQ62" s="374"/>
      <c r="CR62" s="373"/>
      <c r="CS62" s="374"/>
      <c r="CT62" s="373"/>
      <c r="CU62" s="374"/>
      <c r="CV62" s="373">
        <f>6.3-CW60</f>
        <v>-0.25212500000000038</v>
      </c>
      <c r="CW62" s="374">
        <v>-9.9173553719014151E-3</v>
      </c>
      <c r="CX62" s="373">
        <f>6.3-CY60</f>
        <v>0.24785139462809802</v>
      </c>
      <c r="CY62" s="374">
        <v>0</v>
      </c>
      <c r="DA62" s="373"/>
      <c r="DB62" s="374"/>
      <c r="DC62" s="373"/>
      <c r="DD62" s="374">
        <v>0.02</v>
      </c>
      <c r="DE62" s="373"/>
      <c r="DF62" s="374">
        <v>0.02</v>
      </c>
      <c r="DG62" s="373"/>
      <c r="DH62" s="374">
        <v>0.02</v>
      </c>
      <c r="DI62" s="373"/>
      <c r="DJ62" s="374">
        <v>0.02</v>
      </c>
      <c r="DK62" s="373"/>
      <c r="DL62" s="374">
        <v>0.02</v>
      </c>
      <c r="DM62" s="373"/>
      <c r="DN62" s="374">
        <v>0.02</v>
      </c>
      <c r="DO62" s="373"/>
      <c r="DP62" s="374">
        <v>0.02</v>
      </c>
      <c r="DR62" s="373"/>
      <c r="DS62" s="374">
        <v>0.02</v>
      </c>
      <c r="DT62" s="373"/>
      <c r="DU62" s="374">
        <v>0.02</v>
      </c>
    </row>
    <row r="63" spans="1:125" s="4" customFormat="1" ht="18" customHeight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0.055/100*(G68+(G65/G67))</f>
        <v>2.7331211911166046E-3</v>
      </c>
      <c r="H63" s="89"/>
      <c r="I63" s="90">
        <f>0.055/100*(I68+(I65/I67))</f>
        <v>2.7274514987257886E-3</v>
      </c>
      <c r="J63" s="89"/>
      <c r="K63" s="90">
        <f>0.055/100*(K68+(K65/K67))</f>
        <v>2.7274514987257886E-3</v>
      </c>
      <c r="L63" s="89"/>
      <c r="M63" s="90">
        <f>0.055/100*(M68+(M65/M67))</f>
        <v>2.7274514987257886E-3</v>
      </c>
      <c r="N63" s="373"/>
      <c r="O63" s="374">
        <f>0.0425/100*(6.05-O57)</f>
        <v>2.2413992537313435E-3</v>
      </c>
      <c r="P63" s="373"/>
      <c r="Q63" s="374">
        <f>0.0425/100*(6.05-Q57)</f>
        <v>2.2312500000000002E-3</v>
      </c>
      <c r="R63" s="373"/>
      <c r="S63" s="374">
        <f>0.0425/100*(6.05-S57)</f>
        <v>2.2312500000000002E-3</v>
      </c>
      <c r="T63" s="373"/>
      <c r="U63" s="374">
        <f>0.0425/100*(6.05-U57)</f>
        <v>2.2312500000000002E-3</v>
      </c>
      <c r="V63" s="373"/>
      <c r="W63" s="374">
        <f>0.0425/100*(6.05-W57)</f>
        <v>2.2312500000000002E-3</v>
      </c>
      <c r="X63" s="373"/>
      <c r="Y63" s="374">
        <f>0.0425/100*(6.05-Y57)</f>
        <v>2.2312500000000002E-3</v>
      </c>
      <c r="Z63" s="373"/>
      <c r="AA63" s="374">
        <f>0.0425/100*(6.05-AA57)</f>
        <v>2.2312500000000002E-3</v>
      </c>
      <c r="AB63" s="373"/>
      <c r="AC63" s="374">
        <f>0.0425/100*(6.05-AC57)</f>
        <v>2.2312500000000002E-3</v>
      </c>
      <c r="AD63" s="373"/>
      <c r="AE63" s="374">
        <f>0.0425/100*(6.05-AE57)</f>
        <v>2.2312500000000002E-3</v>
      </c>
      <c r="AF63" s="373"/>
      <c r="AG63" s="374">
        <f>0.0425/100*(6.05-AG57)</f>
        <v>2.2312500000000002E-3</v>
      </c>
      <c r="AH63" s="373"/>
      <c r="AI63" s="374">
        <f>0.0425/100*(6.05-AI57)</f>
        <v>2.2312500000000002E-3</v>
      </c>
      <c r="AJ63" s="373"/>
      <c r="AK63" s="374">
        <f>0.0425/100*(6.05-AK57)</f>
        <v>2.2312500000000002E-3</v>
      </c>
      <c r="AL63" s="373"/>
      <c r="AM63" s="374">
        <f>0.0425/100*(6.05-AM57)</f>
        <v>2.2312500000000002E-3</v>
      </c>
      <c r="AN63" s="373"/>
      <c r="AO63" s="374">
        <f>0.0425/100*(6.05-AO57)</f>
        <v>2.2312500000000002E-3</v>
      </c>
      <c r="AP63" s="373"/>
      <c r="AQ63" s="374">
        <f>0.0425/100*(6.05-AQ57)</f>
        <v>2.2312500000000002E-3</v>
      </c>
      <c r="AR63" s="373"/>
      <c r="AS63" s="374">
        <f>0.0425/100*(6.05-AS57)</f>
        <v>2.2312500000000002E-3</v>
      </c>
      <c r="AT63" s="373"/>
      <c r="AU63" s="374">
        <f>0.0425/100*(6.05-AU57)</f>
        <v>2.2312500000000002E-3</v>
      </c>
      <c r="AV63" s="373"/>
      <c r="AW63" s="374">
        <f>0.0425/100*(6.05-AW57)</f>
        <v>2.2312500000000002E-3</v>
      </c>
      <c r="AX63" s="373"/>
      <c r="AY63" s="374">
        <f>0.0425/100*(6.05-AY57)</f>
        <v>2.2312500000000002E-3</v>
      </c>
      <c r="AZ63" s="373"/>
      <c r="BA63" s="374">
        <f>0.0425/100*(6.05-BA57)</f>
        <v>2.2312500000000002E-3</v>
      </c>
      <c r="BB63" s="373"/>
      <c r="BC63" s="374">
        <f>0.0425/100*(6.05-BC57)</f>
        <v>2.2312500000000002E-3</v>
      </c>
      <c r="BD63" s="373"/>
      <c r="BE63" s="374">
        <f>0.0425/100*(6.05-BE57)</f>
        <v>2.2312500000000002E-3</v>
      </c>
      <c r="BF63" s="373"/>
      <c r="BG63" s="374">
        <f>0.0425/100*(6.05-BG57)</f>
        <v>2.2312500000000002E-3</v>
      </c>
      <c r="BH63" s="373"/>
      <c r="BI63" s="374">
        <f>0.0425/100*(6.05-BI57)</f>
        <v>2.2312500000000002E-3</v>
      </c>
      <c r="BJ63" s="373"/>
      <c r="BK63" s="374">
        <f>0.0425/100*(6.05-BK57)</f>
        <v>2.2312500000000002E-3</v>
      </c>
      <c r="BL63" s="373"/>
      <c r="BM63" s="374">
        <f>0.0425/100*(6.05-BM57)</f>
        <v>2.2312500000000002E-3</v>
      </c>
      <c r="BN63" s="373"/>
      <c r="BO63" s="374">
        <f>0.0425/100*(6.05-BO57)</f>
        <v>2.2312500000000002E-3</v>
      </c>
      <c r="BP63" s="373"/>
      <c r="BQ63" s="374">
        <f>0.0425/100*(6.05-BQ57)</f>
        <v>2.2312500000000002E-3</v>
      </c>
      <c r="BR63" s="373"/>
      <c r="BS63" s="374">
        <f>0.0425/100*(6.05-BS57)</f>
        <v>2.2312500000000002E-3</v>
      </c>
      <c r="BT63" s="373"/>
      <c r="BU63" s="374">
        <f>0.0425/100*(6.05-BU57)</f>
        <v>2.2312500000000002E-3</v>
      </c>
      <c r="BV63" s="373"/>
      <c r="BW63" s="374">
        <f>0.0425/100*(6.05-BW57)</f>
        <v>2.2312500000000002E-3</v>
      </c>
      <c r="BX63" s="373"/>
      <c r="BY63" s="374">
        <f>0.0425/100*(6.05-BY57)</f>
        <v>2.2312500000000002E-3</v>
      </c>
      <c r="BZ63" s="373"/>
      <c r="CA63" s="374">
        <f>0.0425/100*(6.05-CA57)</f>
        <v>2.2312500000000002E-3</v>
      </c>
      <c r="CB63" s="373"/>
      <c r="CC63" s="374">
        <f>0.0425/100*(6.05-CC57)</f>
        <v>2.2312500000000002E-3</v>
      </c>
      <c r="CD63" s="373"/>
      <c r="CE63" s="374">
        <f>0.0425/100*(6.05-CE57)</f>
        <v>2.2312500000000002E-3</v>
      </c>
      <c r="CF63" s="620"/>
      <c r="CG63" s="620"/>
      <c r="CH63" s="620"/>
      <c r="CI63" s="620"/>
      <c r="CJ63" s="373"/>
      <c r="CK63" s="374">
        <f>0.0425/100*(6.05-CK57)</f>
        <v>2.2359290376638935E-3</v>
      </c>
      <c r="CL63" s="373"/>
      <c r="CM63" s="374">
        <f>0.0425/100*(6.05-CM57)</f>
        <v>2.2312500000000002E-3</v>
      </c>
      <c r="CN63" s="373"/>
      <c r="CO63" s="374">
        <f>0.0425/100*(6.05-CO57)</f>
        <v>2.2312500000000002E-3</v>
      </c>
      <c r="CP63" s="373"/>
      <c r="CQ63" s="374">
        <f>0.0425/100*(6.05-CQ57)</f>
        <v>2.2312500000000002E-3</v>
      </c>
      <c r="CR63" s="373"/>
      <c r="CS63" s="374">
        <f>0.0425/100*(6.05-CS57)</f>
        <v>2.2338840030652137E-3</v>
      </c>
      <c r="CT63" s="373"/>
      <c r="CU63" s="374">
        <f>0.0425/100*(6.05-CU57)</f>
        <v>2.2312500000000002E-3</v>
      </c>
      <c r="CV63" s="373"/>
      <c r="CW63" s="374">
        <f>0.0425/100*(6.05-CW57)</f>
        <v>2.1250000000000002E-3</v>
      </c>
      <c r="CX63" s="373"/>
      <c r="CY63" s="374">
        <f>0.0425/100*(6.05-CY57)</f>
        <v>2.2312500000000002E-3</v>
      </c>
      <c r="DA63" s="373"/>
      <c r="DB63" s="374">
        <f>0.0425/100*(6.05-DB57)</f>
        <v>2.2312500000000002E-3</v>
      </c>
      <c r="DC63" s="373"/>
      <c r="DD63" s="374">
        <f>0.0425/100*(6.05-DD57)</f>
        <v>2.2312500000000002E-3</v>
      </c>
      <c r="DE63" s="373"/>
      <c r="DF63" s="374">
        <f>0.0425/100*(6.05-DF57)</f>
        <v>2.2312500000000002E-3</v>
      </c>
      <c r="DG63" s="373"/>
      <c r="DH63" s="374">
        <f>0.0425/100*(6.05-DH57)</f>
        <v>2.2312500000000002E-3</v>
      </c>
      <c r="DI63" s="373"/>
      <c r="DJ63" s="374">
        <f>0.0425/100*(6.05-DJ57)</f>
        <v>2.2312500000000002E-3</v>
      </c>
      <c r="DK63" s="373"/>
      <c r="DL63" s="374">
        <f>0.0425/100*(6.05-DL57)</f>
        <v>2.2312500000000002E-3</v>
      </c>
      <c r="DM63" s="373"/>
      <c r="DN63" s="374">
        <f>0.0425/100*(6.05-DN57)</f>
        <v>2.2312500000000002E-3</v>
      </c>
      <c r="DO63" s="373"/>
      <c r="DP63" s="374">
        <f>0.0425/100*(6.05-DP57)</f>
        <v>2.2312500000000002E-3</v>
      </c>
      <c r="DR63" s="373"/>
      <c r="DS63" s="374">
        <f>0.0425/100*(6.05-DS57)</f>
        <v>2.2312500000000002E-3</v>
      </c>
      <c r="DT63" s="373"/>
      <c r="DU63" s="374">
        <f>0.0425/100*(6.05-DU57)</f>
        <v>2.2312500000000002E-3</v>
      </c>
    </row>
    <row r="64" spans="1:125" s="4" customFormat="1" ht="18" customHeight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620</v>
      </c>
      <c r="H64" s="42"/>
      <c r="I64" s="91">
        <v>1150</v>
      </c>
      <c r="J64" s="42"/>
      <c r="K64" s="91">
        <v>1150</v>
      </c>
      <c r="L64" s="42"/>
      <c r="M64" s="91">
        <v>1150</v>
      </c>
      <c r="N64" s="359"/>
      <c r="O64" s="594">
        <v>1198.0083582089421</v>
      </c>
      <c r="P64" s="359"/>
      <c r="Q64" s="594">
        <v>1200</v>
      </c>
      <c r="R64" s="359"/>
      <c r="S64" s="594">
        <v>1200</v>
      </c>
      <c r="T64" s="359"/>
      <c r="U64" s="594">
        <v>1200</v>
      </c>
      <c r="V64" s="359"/>
      <c r="W64" s="594">
        <v>1200</v>
      </c>
      <c r="X64" s="359"/>
      <c r="Y64" s="594">
        <v>1200</v>
      </c>
      <c r="Z64" s="359"/>
      <c r="AA64" s="594">
        <v>1200</v>
      </c>
      <c r="AB64" s="359"/>
      <c r="AC64" s="594">
        <v>1200</v>
      </c>
      <c r="AD64" s="359"/>
      <c r="AE64" s="594">
        <v>1200</v>
      </c>
      <c r="AF64" s="359"/>
      <c r="AG64" s="594">
        <v>1200</v>
      </c>
      <c r="AH64" s="359"/>
      <c r="AI64" s="594">
        <v>1200</v>
      </c>
      <c r="AJ64" s="359"/>
      <c r="AK64" s="594">
        <v>1200</v>
      </c>
      <c r="AL64" s="359"/>
      <c r="AM64" s="594">
        <v>1200</v>
      </c>
      <c r="AN64" s="359"/>
      <c r="AO64" s="594">
        <v>1200</v>
      </c>
      <c r="AP64" s="359"/>
      <c r="AQ64" s="594">
        <v>1200</v>
      </c>
      <c r="AR64" s="359"/>
      <c r="AS64" s="594">
        <v>1200</v>
      </c>
      <c r="AT64" s="359"/>
      <c r="AU64" s="594">
        <v>1200</v>
      </c>
      <c r="AV64" s="359"/>
      <c r="AW64" s="594">
        <v>1200</v>
      </c>
      <c r="AX64" s="359"/>
      <c r="AY64" s="594">
        <v>1200</v>
      </c>
      <c r="AZ64" s="359"/>
      <c r="BA64" s="594">
        <v>1200</v>
      </c>
      <c r="BB64" s="359"/>
      <c r="BC64" s="594">
        <v>1200</v>
      </c>
      <c r="BD64" s="359"/>
      <c r="BE64" s="594">
        <v>1200</v>
      </c>
      <c r="BF64" s="359"/>
      <c r="BG64" s="594">
        <v>1200</v>
      </c>
      <c r="BH64" s="359"/>
      <c r="BI64" s="594">
        <v>750</v>
      </c>
      <c r="BJ64" s="359"/>
      <c r="BK64" s="594">
        <v>750</v>
      </c>
      <c r="BL64" s="359"/>
      <c r="BM64" s="594">
        <v>750</v>
      </c>
      <c r="BN64" s="359"/>
      <c r="BO64" s="594">
        <v>750</v>
      </c>
      <c r="BP64" s="359"/>
      <c r="BQ64" s="594">
        <v>750</v>
      </c>
      <c r="BR64" s="359"/>
      <c r="BS64" s="594">
        <v>750</v>
      </c>
      <c r="BT64" s="359"/>
      <c r="BU64" s="594">
        <v>750</v>
      </c>
      <c r="BV64" s="359"/>
      <c r="BW64" s="594">
        <v>750</v>
      </c>
      <c r="BX64" s="359"/>
      <c r="BY64" s="594">
        <v>750</v>
      </c>
      <c r="BZ64" s="359"/>
      <c r="CA64" s="594">
        <v>750</v>
      </c>
      <c r="CB64" s="359"/>
      <c r="CC64" s="594">
        <v>750</v>
      </c>
      <c r="CD64" s="359"/>
      <c r="CE64" s="594">
        <v>750</v>
      </c>
      <c r="CF64" s="620"/>
      <c r="CG64" s="620"/>
      <c r="CH64" s="620"/>
      <c r="CI64" s="620"/>
      <c r="CJ64" s="359"/>
      <c r="CK64" s="594">
        <f>(SUMPRODUCT(O64,O$131)+SUMPRODUCT(U64,U$131)+SUMPRODUCT(W64,W$131))/SUM(O$131,U$131,W$131)</f>
        <v>1199.0818076678324</v>
      </c>
      <c r="CL64" s="359"/>
      <c r="CM64" s="594">
        <f>(SUMPRODUCT(AC64,AC$131)+SUMPRODUCT(AA64,AA$131)+SUMPRODUCT(Y64,Y$131))/SUM(AC$131,AA$131,Y$131)</f>
        <v>1200</v>
      </c>
      <c r="CN64" s="359"/>
      <c r="CO64" s="594">
        <f>(SUMPRODUCT(AI64,AI$131)+SUMPRODUCT(AG64,AG$131)+SUMPRODUCT(AE64,AE$131))/SUM(AI$131,AG$131,AE$131)</f>
        <v>1200</v>
      </c>
      <c r="CP64" s="359"/>
      <c r="CQ64" s="594">
        <v>1200</v>
      </c>
      <c r="CR64" s="359"/>
      <c r="CS64" s="594">
        <f>(SUMPRODUCT(O64,O$131)+SUMPRODUCT(U64,U$131)+SUMPRODUCT(W64,W$131)+SUMPRODUCT(Y64,Y$131)+SUMPRODUCT(AA64,AA$131)+SUMPRODUCT(AC64,AC$131))/SUM(O$131,U$131,W$131,Y$131,AA$131,AC$131)</f>
        <v>1199.4831156337875</v>
      </c>
      <c r="CT64" s="359"/>
      <c r="CU64" s="594">
        <v>1200</v>
      </c>
      <c r="CV64" s="359"/>
      <c r="CW64" s="594">
        <v>1200</v>
      </c>
      <c r="CX64" s="359"/>
      <c r="CY64" s="594">
        <v>1200</v>
      </c>
      <c r="DA64" s="359"/>
      <c r="DB64" s="594">
        <v>1200</v>
      </c>
      <c r="DC64" s="359"/>
      <c r="DD64" s="594">
        <v>750</v>
      </c>
      <c r="DE64" s="359"/>
      <c r="DF64" s="594">
        <v>750</v>
      </c>
      <c r="DG64" s="359"/>
      <c r="DH64" s="594">
        <v>750</v>
      </c>
      <c r="DI64" s="359"/>
      <c r="DJ64" s="594">
        <v>750</v>
      </c>
      <c r="DK64" s="359"/>
      <c r="DL64" s="594">
        <v>750</v>
      </c>
      <c r="DM64" s="359"/>
      <c r="DN64" s="594">
        <v>750</v>
      </c>
      <c r="DO64" s="359"/>
      <c r="DP64" s="594">
        <v>750</v>
      </c>
      <c r="DR64" s="359"/>
      <c r="DS64" s="594">
        <v>750</v>
      </c>
      <c r="DT64" s="359"/>
      <c r="DU64" s="594">
        <v>750</v>
      </c>
    </row>
    <row r="65" spans="1:125" s="97" customFormat="1" ht="18" customHeight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0.16012396694214875</v>
      </c>
      <c r="H65" s="95"/>
      <c r="I65" s="96">
        <f>+I64/I66</f>
        <v>0.29700413223140498</v>
      </c>
      <c r="J65" s="95"/>
      <c r="K65" s="96">
        <f>+K64/K66</f>
        <v>0.29700413223140498</v>
      </c>
      <c r="L65" s="95"/>
      <c r="M65" s="96">
        <f>+M64/M66</f>
        <v>0.29700413223140498</v>
      </c>
      <c r="N65" s="375"/>
      <c r="O65" s="368">
        <f>+O64/O66</f>
        <v>0.30940298507462349</v>
      </c>
      <c r="P65" s="375"/>
      <c r="Q65" s="368">
        <f>+Q64/Q66</f>
        <v>0.30991735537190085</v>
      </c>
      <c r="R65" s="375"/>
      <c r="S65" s="368">
        <f>+S64/S66</f>
        <v>0.30991735537190085</v>
      </c>
      <c r="T65" s="375"/>
      <c r="U65" s="368">
        <f>+U64/U66</f>
        <v>0.30991735537190085</v>
      </c>
      <c r="V65" s="375"/>
      <c r="W65" s="368">
        <f>+W64/W66</f>
        <v>0.30991735537190085</v>
      </c>
      <c r="X65" s="375"/>
      <c r="Y65" s="368">
        <f>+Y64/Y66</f>
        <v>0.30991735537190085</v>
      </c>
      <c r="Z65" s="375"/>
      <c r="AA65" s="368">
        <f>+AA64/AA66</f>
        <v>0.30991735537190085</v>
      </c>
      <c r="AB65" s="375"/>
      <c r="AC65" s="368">
        <f>+AC64/AC66</f>
        <v>0.30991735537190085</v>
      </c>
      <c r="AD65" s="375"/>
      <c r="AE65" s="368">
        <f>+AE64/AE66</f>
        <v>0.30991735537190085</v>
      </c>
      <c r="AF65" s="375"/>
      <c r="AG65" s="368">
        <f>+AG64/AG66</f>
        <v>0.30991735537190085</v>
      </c>
      <c r="AH65" s="375"/>
      <c r="AI65" s="368">
        <f>+AI64/AI66</f>
        <v>0.30991735537190085</v>
      </c>
      <c r="AJ65" s="375"/>
      <c r="AK65" s="368">
        <f>+AK64/AK66</f>
        <v>0.30991735537190085</v>
      </c>
      <c r="AL65" s="375"/>
      <c r="AM65" s="368">
        <f>+AM64/AM66</f>
        <v>0.30991735537190085</v>
      </c>
      <c r="AN65" s="375"/>
      <c r="AO65" s="368">
        <f>+AO64/AO66</f>
        <v>0.30991735537190085</v>
      </c>
      <c r="AP65" s="375"/>
      <c r="AQ65" s="368">
        <f>+AQ64/AQ66</f>
        <v>0.30991735537190085</v>
      </c>
      <c r="AR65" s="375"/>
      <c r="AS65" s="368">
        <f>+AS64/AS66</f>
        <v>0.30991735537190085</v>
      </c>
      <c r="AT65" s="375"/>
      <c r="AU65" s="368">
        <f>+AU64/AU66</f>
        <v>0.30991735537190085</v>
      </c>
      <c r="AV65" s="375"/>
      <c r="AW65" s="368">
        <f>+AW64/AW66</f>
        <v>0.30991735537190085</v>
      </c>
      <c r="AX65" s="375"/>
      <c r="AY65" s="368">
        <f>+AY64/AY66</f>
        <v>0.30991735537190085</v>
      </c>
      <c r="AZ65" s="375"/>
      <c r="BA65" s="368">
        <f>+BA64/BA66</f>
        <v>0.30991735537190085</v>
      </c>
      <c r="BB65" s="375"/>
      <c r="BC65" s="368">
        <f>+BC64/BC66</f>
        <v>0.30991735537190085</v>
      </c>
      <c r="BD65" s="375"/>
      <c r="BE65" s="368">
        <f>+BE64/BE66</f>
        <v>0.30991735537190085</v>
      </c>
      <c r="BF65" s="375"/>
      <c r="BG65" s="368">
        <f>+BG64/BG66</f>
        <v>0.30991735537190085</v>
      </c>
      <c r="BH65" s="375"/>
      <c r="BI65" s="368">
        <f>+BI64/BI66</f>
        <v>0.19369834710743802</v>
      </c>
      <c r="BJ65" s="375"/>
      <c r="BK65" s="368">
        <f>+BK64/BK66</f>
        <v>0.19369834710743802</v>
      </c>
      <c r="BL65" s="375"/>
      <c r="BM65" s="368">
        <f>+BM64/BM66</f>
        <v>0.19369834710743802</v>
      </c>
      <c r="BN65" s="375"/>
      <c r="BO65" s="368">
        <f>+BO64/BO66</f>
        <v>0.19369834710743802</v>
      </c>
      <c r="BP65" s="375"/>
      <c r="BQ65" s="368">
        <f>+BQ64/BQ66</f>
        <v>0.19369834710743802</v>
      </c>
      <c r="BR65" s="375"/>
      <c r="BS65" s="368">
        <f>+BS64/BS66</f>
        <v>0.19369834710743802</v>
      </c>
      <c r="BT65" s="375"/>
      <c r="BU65" s="368">
        <f>+BU64/BU66</f>
        <v>0.19369834710743802</v>
      </c>
      <c r="BV65" s="375"/>
      <c r="BW65" s="368">
        <f>+BW64/BW66</f>
        <v>0.19369834710743802</v>
      </c>
      <c r="BX65" s="375"/>
      <c r="BY65" s="368">
        <f>+BY64/BY66</f>
        <v>0.19369834710743802</v>
      </c>
      <c r="BZ65" s="375"/>
      <c r="CA65" s="368">
        <f>+CA64/CA66</f>
        <v>0.19369834710743802</v>
      </c>
      <c r="CB65" s="375"/>
      <c r="CC65" s="368">
        <f>+CC64/CC66</f>
        <v>0.19369834710743802</v>
      </c>
      <c r="CD65" s="375"/>
      <c r="CE65" s="368">
        <f>+CE64/CE66</f>
        <v>0.19369834710743802</v>
      </c>
      <c r="CF65" s="620"/>
      <c r="CG65" s="620"/>
      <c r="CH65" s="620"/>
      <c r="CI65" s="620"/>
      <c r="CJ65" s="375"/>
      <c r="CK65" s="368">
        <f>+CK64/CK66</f>
        <v>0.30968021892247738</v>
      </c>
      <c r="CL65" s="375"/>
      <c r="CM65" s="368">
        <f>+CM64/CM66</f>
        <v>0.30991735537190085</v>
      </c>
      <c r="CN65" s="375"/>
      <c r="CO65" s="368">
        <f>+CO64/CO66</f>
        <v>0.30991735537190085</v>
      </c>
      <c r="CP65" s="375"/>
      <c r="CQ65" s="368">
        <f>+CQ64/CQ66</f>
        <v>0.30991735537190085</v>
      </c>
      <c r="CR65" s="375"/>
      <c r="CS65" s="368">
        <f>+CS64/CS66</f>
        <v>0.30978386250872614</v>
      </c>
      <c r="CT65" s="375"/>
      <c r="CU65" s="368">
        <f>+CU64/CU66</f>
        <v>0.30991735537190085</v>
      </c>
      <c r="CV65" s="375"/>
      <c r="CW65" s="368">
        <f>+CW64/CW66</f>
        <v>0.30991735537190085</v>
      </c>
      <c r="CX65" s="375"/>
      <c r="CY65" s="368">
        <f>+CY64/CY66</f>
        <v>0.30991735537190085</v>
      </c>
      <c r="DA65" s="375"/>
      <c r="DB65" s="368">
        <f>+DB64/DB66</f>
        <v>0.30991735537190085</v>
      </c>
      <c r="DC65" s="375"/>
      <c r="DD65" s="368">
        <f>+DD64/DD66</f>
        <v>0.19369834710743802</v>
      </c>
      <c r="DE65" s="375"/>
      <c r="DF65" s="368">
        <f>+DF64/DF66</f>
        <v>0.19369834710743802</v>
      </c>
      <c r="DG65" s="375"/>
      <c r="DH65" s="368">
        <f>+DH64/DH66</f>
        <v>0.19369834710743802</v>
      </c>
      <c r="DI65" s="375"/>
      <c r="DJ65" s="368">
        <f>+DJ64/DJ66</f>
        <v>0.19369834710743802</v>
      </c>
      <c r="DK65" s="375"/>
      <c r="DL65" s="368">
        <f>+DL64/DL66</f>
        <v>0.19369834710743802</v>
      </c>
      <c r="DM65" s="375"/>
      <c r="DN65" s="368">
        <f>+DN64/DN66</f>
        <v>0.19369834710743802</v>
      </c>
      <c r="DO65" s="375"/>
      <c r="DP65" s="368">
        <f>+DP64/DP66</f>
        <v>0.19369834710743802</v>
      </c>
      <c r="DR65" s="375"/>
      <c r="DS65" s="368">
        <f>+DS64/DS66</f>
        <v>0.1875</v>
      </c>
      <c r="DT65" s="375"/>
      <c r="DU65" s="368">
        <f>+DU64/DU66</f>
        <v>0.19369834710743802</v>
      </c>
    </row>
    <row r="66" spans="1:125" s="4" customFormat="1" ht="18" customHeight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3872</v>
      </c>
      <c r="H66" s="42"/>
      <c r="I66" s="88">
        <v>3872</v>
      </c>
      <c r="J66" s="42"/>
      <c r="K66" s="88">
        <v>3872</v>
      </c>
      <c r="L66" s="42"/>
      <c r="M66" s="88">
        <v>3872</v>
      </c>
      <c r="N66" s="359"/>
      <c r="O66" s="372">
        <v>3872</v>
      </c>
      <c r="P66" s="359"/>
      <c r="Q66" s="372">
        <v>3872</v>
      </c>
      <c r="R66" s="359"/>
      <c r="S66" s="372">
        <v>3872</v>
      </c>
      <c r="T66" s="359"/>
      <c r="U66" s="372">
        <v>3872</v>
      </c>
      <c r="V66" s="359"/>
      <c r="W66" s="372">
        <v>3872</v>
      </c>
      <c r="X66" s="359"/>
      <c r="Y66" s="372">
        <v>3872</v>
      </c>
      <c r="Z66" s="359"/>
      <c r="AA66" s="372">
        <v>3872</v>
      </c>
      <c r="AB66" s="359"/>
      <c r="AC66" s="372">
        <v>3872</v>
      </c>
      <c r="AD66" s="359"/>
      <c r="AE66" s="372">
        <v>3872</v>
      </c>
      <c r="AF66" s="359"/>
      <c r="AG66" s="372">
        <v>3872</v>
      </c>
      <c r="AH66" s="359"/>
      <c r="AI66" s="372">
        <v>3872</v>
      </c>
      <c r="AJ66" s="359"/>
      <c r="AK66" s="372">
        <v>3872</v>
      </c>
      <c r="AL66" s="359"/>
      <c r="AM66" s="372">
        <v>3872</v>
      </c>
      <c r="AN66" s="359"/>
      <c r="AO66" s="372">
        <v>3872</v>
      </c>
      <c r="AP66" s="359"/>
      <c r="AQ66" s="372">
        <v>3872</v>
      </c>
      <c r="AR66" s="359"/>
      <c r="AS66" s="372">
        <v>3872</v>
      </c>
      <c r="AT66" s="359"/>
      <c r="AU66" s="372">
        <v>3872</v>
      </c>
      <c r="AV66" s="359"/>
      <c r="AW66" s="372">
        <v>3872</v>
      </c>
      <c r="AX66" s="359"/>
      <c r="AY66" s="372">
        <v>3872</v>
      </c>
      <c r="AZ66" s="359"/>
      <c r="BA66" s="372">
        <v>3872</v>
      </c>
      <c r="BB66" s="359"/>
      <c r="BC66" s="372">
        <v>3872</v>
      </c>
      <c r="BD66" s="359"/>
      <c r="BE66" s="372">
        <v>3872</v>
      </c>
      <c r="BF66" s="359"/>
      <c r="BG66" s="372">
        <v>3872</v>
      </c>
      <c r="BH66" s="359"/>
      <c r="BI66" s="372">
        <v>3872</v>
      </c>
      <c r="BJ66" s="359"/>
      <c r="BK66" s="372">
        <v>3872</v>
      </c>
      <c r="BL66" s="359"/>
      <c r="BM66" s="372">
        <v>3872</v>
      </c>
      <c r="BN66" s="359"/>
      <c r="BO66" s="372">
        <v>3872</v>
      </c>
      <c r="BP66" s="359"/>
      <c r="BQ66" s="372">
        <v>3872</v>
      </c>
      <c r="BR66" s="359"/>
      <c r="BS66" s="372">
        <v>3872</v>
      </c>
      <c r="BT66" s="359"/>
      <c r="BU66" s="372">
        <v>3872</v>
      </c>
      <c r="BV66" s="359"/>
      <c r="BW66" s="372">
        <v>3872</v>
      </c>
      <c r="BX66" s="359"/>
      <c r="BY66" s="372">
        <v>3872</v>
      </c>
      <c r="BZ66" s="359"/>
      <c r="CA66" s="372">
        <v>3872</v>
      </c>
      <c r="CB66" s="359"/>
      <c r="CC66" s="372">
        <v>3872</v>
      </c>
      <c r="CD66" s="359"/>
      <c r="CE66" s="372">
        <v>3872</v>
      </c>
      <c r="CF66" s="620"/>
      <c r="CG66" s="620"/>
      <c r="CH66" s="620"/>
      <c r="CI66" s="620"/>
      <c r="CJ66" s="359"/>
      <c r="CK66" s="372">
        <v>3872</v>
      </c>
      <c r="CL66" s="359"/>
      <c r="CM66" s="372">
        <v>3872</v>
      </c>
      <c r="CN66" s="359"/>
      <c r="CO66" s="372">
        <v>3872</v>
      </c>
      <c r="CP66" s="359"/>
      <c r="CQ66" s="372">
        <v>3872</v>
      </c>
      <c r="CR66" s="359"/>
      <c r="CS66" s="372">
        <v>3872</v>
      </c>
      <c r="CT66" s="359"/>
      <c r="CU66" s="372">
        <v>3872</v>
      </c>
      <c r="CV66" s="359"/>
      <c r="CW66" s="372">
        <v>3872</v>
      </c>
      <c r="CX66" s="359"/>
      <c r="CY66" s="372">
        <v>3872</v>
      </c>
      <c r="DA66" s="359"/>
      <c r="DB66" s="372">
        <v>3872</v>
      </c>
      <c r="DC66" s="359"/>
      <c r="DD66" s="372">
        <v>3872</v>
      </c>
      <c r="DE66" s="359"/>
      <c r="DF66" s="372">
        <v>3872</v>
      </c>
      <c r="DG66" s="359"/>
      <c r="DH66" s="372">
        <v>3872</v>
      </c>
      <c r="DI66" s="359"/>
      <c r="DJ66" s="372">
        <v>3872</v>
      </c>
      <c r="DK66" s="359"/>
      <c r="DL66" s="372">
        <v>3872</v>
      </c>
      <c r="DM66" s="359"/>
      <c r="DN66" s="372">
        <v>3872</v>
      </c>
      <c r="DO66" s="359"/>
      <c r="DP66" s="372">
        <v>3872</v>
      </c>
      <c r="DR66" s="359"/>
      <c r="DS66" s="372">
        <v>4000</v>
      </c>
      <c r="DT66" s="359"/>
      <c r="DU66" s="372">
        <v>3872</v>
      </c>
    </row>
    <row r="67" spans="1:125" s="7" customFormat="1" ht="18" customHeight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f>G60-G65</f>
        <v>5.4398760330578506</v>
      </c>
      <c r="H67" s="81"/>
      <c r="I67" s="82">
        <f>I60-I65</f>
        <v>5.3029958677685949</v>
      </c>
      <c r="J67" s="81"/>
      <c r="K67" s="82">
        <f>K60-K65</f>
        <v>5.3029958677685949</v>
      </c>
      <c r="L67" s="81"/>
      <c r="M67" s="82">
        <f>M60-M65</f>
        <v>5.3029958677685949</v>
      </c>
      <c r="N67" s="935"/>
      <c r="O67" s="82">
        <v>5.7137313432835892</v>
      </c>
      <c r="P67" s="81"/>
      <c r="Q67" s="82">
        <f>5.44+0.3</f>
        <v>5.74</v>
      </c>
      <c r="R67" s="81"/>
      <c r="S67" s="82">
        <f>5.44+0.3</f>
        <v>5.74</v>
      </c>
      <c r="T67" s="935"/>
      <c r="U67" s="82">
        <f>5.44+0.3</f>
        <v>5.74</v>
      </c>
      <c r="V67" s="935"/>
      <c r="W67" s="82">
        <f>5.44+0.3</f>
        <v>5.74</v>
      </c>
      <c r="X67" s="935"/>
      <c r="Y67" s="82">
        <f>5.44+0.3</f>
        <v>5.74</v>
      </c>
      <c r="Z67" s="935"/>
      <c r="AA67" s="82">
        <f>5.44+0.3</f>
        <v>5.74</v>
      </c>
      <c r="AB67" s="935"/>
      <c r="AC67" s="82">
        <f>5.44+0.3</f>
        <v>5.74</v>
      </c>
      <c r="AD67" s="935"/>
      <c r="AE67" s="82">
        <f>5.44+0.3</f>
        <v>5.74</v>
      </c>
      <c r="AF67" s="935"/>
      <c r="AG67" s="82">
        <f>5.44+0.3</f>
        <v>5.74</v>
      </c>
      <c r="AH67" s="935"/>
      <c r="AI67" s="82">
        <f>5.44+0.3</f>
        <v>5.74</v>
      </c>
      <c r="AJ67" s="935"/>
      <c r="AK67" s="82">
        <f>5.44+0.3</f>
        <v>5.74</v>
      </c>
      <c r="AL67" s="935"/>
      <c r="AM67" s="82">
        <f>5.44+0.3</f>
        <v>5.74</v>
      </c>
      <c r="AN67" s="935"/>
      <c r="AO67" s="82">
        <f>5.44+0.3</f>
        <v>5.74</v>
      </c>
      <c r="AP67" s="935"/>
      <c r="AQ67" s="82">
        <f>5.44+0.3</f>
        <v>5.74</v>
      </c>
      <c r="AR67" s="935"/>
      <c r="AS67" s="82">
        <f>5.44+0.3</f>
        <v>5.74</v>
      </c>
      <c r="AT67" s="935"/>
      <c r="AU67" s="82">
        <f>5.44+0.3</f>
        <v>5.74</v>
      </c>
      <c r="AV67" s="935"/>
      <c r="AW67" s="82">
        <f>5.44+0.3</f>
        <v>5.74</v>
      </c>
      <c r="AX67" s="935"/>
      <c r="AY67" s="82">
        <f>5.44+0.3</f>
        <v>5.74</v>
      </c>
      <c r="AZ67" s="935"/>
      <c r="BA67" s="82">
        <f>5.44+0.3</f>
        <v>5.74</v>
      </c>
      <c r="BB67" s="935"/>
      <c r="BC67" s="82">
        <f>5.44+0.3</f>
        <v>5.74</v>
      </c>
      <c r="BD67" s="935"/>
      <c r="BE67" s="82">
        <f>5.44+0.3</f>
        <v>5.74</v>
      </c>
      <c r="BF67" s="935"/>
      <c r="BG67" s="82">
        <f>5.44+0.3</f>
        <v>5.74</v>
      </c>
      <c r="BH67" s="935"/>
      <c r="BI67" s="82">
        <v>5.84</v>
      </c>
      <c r="BJ67" s="935"/>
      <c r="BK67" s="82">
        <v>5.84</v>
      </c>
      <c r="BL67" s="935"/>
      <c r="BM67" s="82">
        <v>5.84</v>
      </c>
      <c r="BN67" s="935"/>
      <c r="BO67" s="82">
        <v>5.84</v>
      </c>
      <c r="BP67" s="935"/>
      <c r="BQ67" s="82">
        <v>5.84</v>
      </c>
      <c r="BR67" s="935"/>
      <c r="BS67" s="82">
        <v>5.84</v>
      </c>
      <c r="BT67" s="935"/>
      <c r="BU67" s="82">
        <v>5.84</v>
      </c>
      <c r="BV67" s="935"/>
      <c r="BW67" s="82">
        <v>5.84</v>
      </c>
      <c r="BX67" s="935"/>
      <c r="BY67" s="82">
        <v>5.84</v>
      </c>
      <c r="BZ67" s="935"/>
      <c r="CA67" s="82">
        <v>5.84</v>
      </c>
      <c r="CB67" s="935"/>
      <c r="CC67" s="82">
        <v>5.84</v>
      </c>
      <c r="CD67" s="935"/>
      <c r="CE67" s="82">
        <v>5.84</v>
      </c>
      <c r="CF67" s="620"/>
      <c r="CG67" s="620"/>
      <c r="CH67" s="620"/>
      <c r="CI67" s="620"/>
      <c r="CJ67" s="935"/>
      <c r="CK67" s="82">
        <f>(SUMPRODUCT(O67,O$131)+SUMPRODUCT(U67,U$131)+SUMPRODUCT(W67,W$131))/SUM(O$131,U$131,W$131)</f>
        <v>5.7278895495758091</v>
      </c>
      <c r="CL67" s="935"/>
      <c r="CM67" s="82">
        <f>(SUMPRODUCT(AC67,AC$131)+SUMPRODUCT(AA67,AA$131)+SUMPRODUCT(Y67,Y$131))/SUM(AC$131,AA$131,Y$131)</f>
        <v>5.74</v>
      </c>
      <c r="CN67" s="935"/>
      <c r="CO67" s="82">
        <f>(SUMPRODUCT(AI67,AI$131)+SUMPRODUCT(AG67,AG$131)+SUMPRODUCT(AE67,AE$131))/SUM(AI$131,AG$131,AE$131)</f>
        <v>5.74</v>
      </c>
      <c r="CP67" s="935"/>
      <c r="CQ67" s="82">
        <f>(SUMPRODUCT(AI67,AI$131)+SUMPRODUCT(AG67,AG$131)+SUMPRODUCT(AE67,AE$131))/SUM(AI$131,AG$131,AE$131)</f>
        <v>5.74</v>
      </c>
      <c r="CR67" s="935"/>
      <c r="CS67" s="82">
        <f>(SUMPRODUCT(O67,O$131)+SUMPRODUCT(U67,U$131)+SUMPRODUCT(W67,W$131)+SUMPRODUCT(Y67,Y$131)+SUMPRODUCT(AA67,AA$131)+SUMPRODUCT(AC67,AC$131))/SUM(O$131,U$131,W$131,Y$131,AA$131,AC$131)</f>
        <v>5.7331825803018024</v>
      </c>
      <c r="CT67" s="935"/>
      <c r="CU67" s="82">
        <f>(SUMPRODUCT(AI67,AI$131)+SUMPRODUCT(AG67,AG$131)+SUMPRODUCT(AE67,AE$131))/SUM(AI$131,AG$131,AE$131)</f>
        <v>5.74</v>
      </c>
      <c r="CV67" s="935"/>
      <c r="CW67" s="82">
        <f>5.74+0.26+0.25</f>
        <v>6.25</v>
      </c>
      <c r="CX67" s="935"/>
      <c r="CY67" s="82">
        <v>5.74</v>
      </c>
      <c r="DA67" s="935"/>
      <c r="DB67" s="82">
        <f>5.44+0.3</f>
        <v>5.74</v>
      </c>
      <c r="DC67" s="935"/>
      <c r="DD67" s="82">
        <v>5.84</v>
      </c>
      <c r="DE67" s="935"/>
      <c r="DF67" s="82">
        <v>5.84</v>
      </c>
      <c r="DG67" s="935"/>
      <c r="DH67" s="82">
        <v>5.84</v>
      </c>
      <c r="DI67" s="935"/>
      <c r="DJ67" s="82">
        <v>5.84</v>
      </c>
      <c r="DK67" s="935"/>
      <c r="DL67" s="82">
        <v>5.84</v>
      </c>
      <c r="DM67" s="935"/>
      <c r="DN67" s="82">
        <v>5.84</v>
      </c>
      <c r="DO67" s="935"/>
      <c r="DP67" s="82">
        <v>5.84</v>
      </c>
      <c r="DR67" s="935"/>
      <c r="DS67" s="82">
        <v>5.84</v>
      </c>
      <c r="DT67" s="935"/>
      <c r="DU67" s="82">
        <v>5.84</v>
      </c>
    </row>
    <row r="68" spans="1:125" s="7" customFormat="1" ht="18" customHeight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4.9398760330578506</v>
      </c>
      <c r="H68" s="81"/>
      <c r="I68" s="82">
        <f>I56-I65</f>
        <v>4.9029958677685945</v>
      </c>
      <c r="J68" s="81"/>
      <c r="K68" s="82">
        <f>K56-K65</f>
        <v>4.9029958677685945</v>
      </c>
      <c r="L68" s="81"/>
      <c r="M68" s="82">
        <f>M56-M65</f>
        <v>4.9029958677685945</v>
      </c>
      <c r="N68" s="81"/>
      <c r="O68" s="82">
        <f>O56-O65</f>
        <v>4.937611940298515</v>
      </c>
      <c r="P68" s="81"/>
      <c r="Q68" s="82">
        <f>Q56-Q65</f>
        <v>4.9400000000000004</v>
      </c>
      <c r="R68" s="81"/>
      <c r="S68" s="82">
        <f>S56-S65</f>
        <v>4.9400000000000004</v>
      </c>
      <c r="T68" s="81"/>
      <c r="U68" s="82">
        <f>U56-U65</f>
        <v>4.9400000000000004</v>
      </c>
      <c r="V68" s="81"/>
      <c r="W68" s="82">
        <f>W56-W65</f>
        <v>4.9400000000000004</v>
      </c>
      <c r="X68" s="81"/>
      <c r="Y68" s="82">
        <f>Y56-Y65</f>
        <v>4.9400000000000004</v>
      </c>
      <c r="Z68" s="81"/>
      <c r="AA68" s="82">
        <f>AA56-AA65</f>
        <v>4.9400000000000004</v>
      </c>
      <c r="AB68" s="81"/>
      <c r="AC68" s="82">
        <f>AC56-AC65</f>
        <v>4.9400000000000004</v>
      </c>
      <c r="AD68" s="81"/>
      <c r="AE68" s="82">
        <f>AE56-AE65</f>
        <v>4.9400000000000004</v>
      </c>
      <c r="AF68" s="81"/>
      <c r="AG68" s="82">
        <f>AG56-AG65</f>
        <v>4.9400000000000004</v>
      </c>
      <c r="AH68" s="81"/>
      <c r="AI68" s="82">
        <f>AI56-AI65</f>
        <v>4.9400000000000004</v>
      </c>
      <c r="AJ68" s="81"/>
      <c r="AK68" s="82">
        <f>AK56-AK65</f>
        <v>4.9400000000000004</v>
      </c>
      <c r="AL68" s="81"/>
      <c r="AM68" s="82">
        <f>AM56-AM65</f>
        <v>4.9400000000000004</v>
      </c>
      <c r="AN68" s="81"/>
      <c r="AO68" s="82">
        <f>AO56-AO65</f>
        <v>4.9400000000000004</v>
      </c>
      <c r="AP68" s="81"/>
      <c r="AQ68" s="82">
        <f>AQ56-AQ65</f>
        <v>4.9400000000000004</v>
      </c>
      <c r="AR68" s="81"/>
      <c r="AS68" s="82">
        <f>AS56-AS65</f>
        <v>4.9400000000000004</v>
      </c>
      <c r="AT68" s="81"/>
      <c r="AU68" s="82">
        <f>AU56-AU65</f>
        <v>4.9400000000000004</v>
      </c>
      <c r="AV68" s="81"/>
      <c r="AW68" s="82">
        <f>AW56-AW65</f>
        <v>4.9400000000000004</v>
      </c>
      <c r="AX68" s="81"/>
      <c r="AY68" s="82">
        <f>AY56-AY65</f>
        <v>4.9400000000000004</v>
      </c>
      <c r="AZ68" s="81"/>
      <c r="BA68" s="82">
        <f>BA56-BA65</f>
        <v>4.9400000000000004</v>
      </c>
      <c r="BB68" s="81"/>
      <c r="BC68" s="82">
        <f>BC56-BC65</f>
        <v>4.9400000000000004</v>
      </c>
      <c r="BD68" s="81"/>
      <c r="BE68" s="82">
        <f>BE56-BE65</f>
        <v>4.9400000000000004</v>
      </c>
      <c r="BF68" s="81"/>
      <c r="BG68" s="82">
        <f>BG56-BG65</f>
        <v>4.9400000000000004</v>
      </c>
      <c r="BH68" s="81"/>
      <c r="BI68" s="82">
        <f>BI56-BI65</f>
        <v>5.0599999999999996</v>
      </c>
      <c r="BJ68" s="81"/>
      <c r="BK68" s="82">
        <f>BK56-BK65</f>
        <v>5.0599999999999996</v>
      </c>
      <c r="BL68" s="81"/>
      <c r="BM68" s="82">
        <f>BM56-BM65</f>
        <v>5.0599999999999996</v>
      </c>
      <c r="BN68" s="81"/>
      <c r="BO68" s="82">
        <f>BO56-BO65</f>
        <v>5.0599999999999996</v>
      </c>
      <c r="BP68" s="81"/>
      <c r="BQ68" s="82">
        <f>BQ56-BQ65</f>
        <v>5.0599999999999996</v>
      </c>
      <c r="BR68" s="81"/>
      <c r="BS68" s="82">
        <f>BS56-BS65</f>
        <v>5.0599999999999996</v>
      </c>
      <c r="BT68" s="81"/>
      <c r="BU68" s="82">
        <f>BU56-BU65</f>
        <v>5.0599999999999996</v>
      </c>
      <c r="BV68" s="81"/>
      <c r="BW68" s="82">
        <f>BW56-BW65</f>
        <v>5.0599999999999996</v>
      </c>
      <c r="BX68" s="81"/>
      <c r="BY68" s="82">
        <f>BY56-BY65</f>
        <v>5.0599999999999996</v>
      </c>
      <c r="BZ68" s="81"/>
      <c r="CA68" s="82">
        <f>CA56-CA65</f>
        <v>5.0599999999999996</v>
      </c>
      <c r="CB68" s="81"/>
      <c r="CC68" s="82">
        <f>CC56-CC65</f>
        <v>5.0599999999999996</v>
      </c>
      <c r="CD68" s="81"/>
      <c r="CE68" s="82">
        <f>CE56-CE65</f>
        <v>5.0599999999999996</v>
      </c>
      <c r="CF68" s="620"/>
      <c r="CG68" s="620"/>
      <c r="CH68" s="620"/>
      <c r="CI68" s="620"/>
      <c r="CJ68" s="81"/>
      <c r="CK68" s="82">
        <f>CK56-CK65</f>
        <v>4.9388990499614405</v>
      </c>
      <c r="CL68" s="81"/>
      <c r="CM68" s="82">
        <f>CM56-CM65</f>
        <v>4.9400000000000004</v>
      </c>
      <c r="CN68" s="81"/>
      <c r="CO68" s="82">
        <f>CO56-CO65</f>
        <v>4.9400000000000004</v>
      </c>
      <c r="CP68" s="81"/>
      <c r="CQ68" s="82">
        <f>CQ56-CQ65</f>
        <v>4.9400000000000004</v>
      </c>
      <c r="CR68" s="81"/>
      <c r="CS68" s="82">
        <f>CS56-CS65</f>
        <v>4.9393802345728934</v>
      </c>
      <c r="CT68" s="81"/>
      <c r="CU68" s="82">
        <f>CU56-CU65</f>
        <v>4.9400000000000004</v>
      </c>
      <c r="CV68" s="81"/>
      <c r="CW68" s="82">
        <f>CW56-CW65</f>
        <v>5.1922076446280991</v>
      </c>
      <c r="CX68" s="81"/>
      <c r="CY68" s="82">
        <f>CY56-CY65</f>
        <v>4.9422312500000007</v>
      </c>
      <c r="DA68" s="81"/>
      <c r="DB68" s="82">
        <f>DB56-DB65</f>
        <v>4.9400000000000004</v>
      </c>
      <c r="DC68" s="81"/>
      <c r="DD68" s="82">
        <f>DD56-DD65</f>
        <v>5.0599999999999996</v>
      </c>
      <c r="DE68" s="81"/>
      <c r="DF68" s="82">
        <f>DF56-DF65</f>
        <v>5.0599999999999996</v>
      </c>
      <c r="DG68" s="81"/>
      <c r="DH68" s="82">
        <f>DH56-DH65</f>
        <v>5.0599999999999996</v>
      </c>
      <c r="DI68" s="81"/>
      <c r="DJ68" s="82">
        <f>DJ56-DJ65</f>
        <v>5.0599999999999996</v>
      </c>
      <c r="DK68" s="81"/>
      <c r="DL68" s="82">
        <f>DL56-DL65</f>
        <v>5.0599999999999996</v>
      </c>
      <c r="DM68" s="81"/>
      <c r="DN68" s="82">
        <f>DN56-DN65</f>
        <v>5.0599999999999996</v>
      </c>
      <c r="DO68" s="81"/>
      <c r="DP68" s="82">
        <f>DP56-DP65</f>
        <v>5.0599999999999996</v>
      </c>
      <c r="DR68" s="81"/>
      <c r="DS68" s="82">
        <f>DS56-DS65</f>
        <v>5.0599999999999996</v>
      </c>
      <c r="DT68" s="81"/>
      <c r="DU68" s="82">
        <f>DU56-DU65</f>
        <v>5.0599999999999996</v>
      </c>
    </row>
    <row r="69" spans="1:125" s="103" customFormat="1" ht="18" customHeight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0.13599690082644628</v>
      </c>
      <c r="H69" s="101"/>
      <c r="I69" s="102">
        <f>+I67/I10</f>
        <v>0.13257489669421488</v>
      </c>
      <c r="J69" s="101"/>
      <c r="K69" s="102">
        <f>+K67/K10</f>
        <v>0.13257489669421488</v>
      </c>
      <c r="L69" s="101"/>
      <c r="M69" s="102">
        <f>+M67/M10</f>
        <v>0.13257489669421488</v>
      </c>
      <c r="N69" s="101"/>
      <c r="O69" s="82">
        <f>+O67/O10</f>
        <v>0.14284328358208973</v>
      </c>
      <c r="P69" s="101"/>
      <c r="Q69" s="82">
        <f>+Q67/Q10</f>
        <v>0.14350000000000002</v>
      </c>
      <c r="R69" s="101"/>
      <c r="S69" s="82">
        <f>+S67/S10</f>
        <v>0.14350000000000002</v>
      </c>
      <c r="T69" s="101"/>
      <c r="U69" s="82">
        <f>+U67/U10</f>
        <v>0.14350000000000002</v>
      </c>
      <c r="V69" s="101"/>
      <c r="W69" s="82">
        <f>+W67/W10</f>
        <v>0.14350000000000002</v>
      </c>
      <c r="X69" s="101"/>
      <c r="Y69" s="82">
        <f>+Y67/Y10</f>
        <v>0.14350000000000002</v>
      </c>
      <c r="Z69" s="101"/>
      <c r="AA69" s="82">
        <f>+AA67/AA10</f>
        <v>0.14350000000000002</v>
      </c>
      <c r="AB69" s="101"/>
      <c r="AC69" s="82">
        <f>+AC67/AC10</f>
        <v>0.14350000000000002</v>
      </c>
      <c r="AD69" s="101"/>
      <c r="AE69" s="82">
        <f>+AE67/AE10</f>
        <v>0.14350000000000002</v>
      </c>
      <c r="AF69" s="101"/>
      <c r="AG69" s="82">
        <f>+AG67/AG10</f>
        <v>0.14350000000000002</v>
      </c>
      <c r="AH69" s="101"/>
      <c r="AI69" s="82">
        <f>+AI67/AI10</f>
        <v>0.14350000000000002</v>
      </c>
      <c r="AJ69" s="101"/>
      <c r="AK69" s="82">
        <f>+AK67/AK10</f>
        <v>0.14350000000000002</v>
      </c>
      <c r="AL69" s="101"/>
      <c r="AM69" s="82">
        <f>+AM67/AM10</f>
        <v>0.14350000000000002</v>
      </c>
      <c r="AN69" s="101"/>
      <c r="AO69" s="82">
        <f>+AO67/AO10</f>
        <v>0.14350000000000002</v>
      </c>
      <c r="AP69" s="101"/>
      <c r="AQ69" s="82">
        <f>+AQ67/AQ10</f>
        <v>0.14350000000000002</v>
      </c>
      <c r="AR69" s="101"/>
      <c r="AS69" s="82">
        <f>+AS67/AS10</f>
        <v>0.14350000000000002</v>
      </c>
      <c r="AT69" s="101"/>
      <c r="AU69" s="82">
        <f>+AU67/AU10</f>
        <v>0.14350000000000002</v>
      </c>
      <c r="AV69" s="101"/>
      <c r="AW69" s="82">
        <f>+AW67/AW10</f>
        <v>0.14350000000000002</v>
      </c>
      <c r="AX69" s="101"/>
      <c r="AY69" s="82">
        <f>+AY67/AY10</f>
        <v>0.14350000000000002</v>
      </c>
      <c r="AZ69" s="101"/>
      <c r="BA69" s="82">
        <f>+BA67/BA10</f>
        <v>0.14350000000000002</v>
      </c>
      <c r="BB69" s="101"/>
      <c r="BC69" s="82">
        <f>+BC67/BC10</f>
        <v>0.14350000000000002</v>
      </c>
      <c r="BD69" s="101"/>
      <c r="BE69" s="82">
        <f>+BE67/BE10</f>
        <v>0.14350000000000002</v>
      </c>
      <c r="BF69" s="101"/>
      <c r="BG69" s="82">
        <f>+BG67/BG10</f>
        <v>0.14350000000000002</v>
      </c>
      <c r="BH69" s="101"/>
      <c r="BI69" s="82">
        <f>+BI67/BI10</f>
        <v>0.14599999999999999</v>
      </c>
      <c r="BJ69" s="101"/>
      <c r="BK69" s="82">
        <f>+BK67/BK10</f>
        <v>0.14599999999999999</v>
      </c>
      <c r="BL69" s="101"/>
      <c r="BM69" s="82">
        <f>+BM67/BM10</f>
        <v>0.14599999999999999</v>
      </c>
      <c r="BN69" s="101"/>
      <c r="BO69" s="82">
        <f>+BO67/BO10</f>
        <v>0.14599999999999999</v>
      </c>
      <c r="BP69" s="101"/>
      <c r="BQ69" s="82">
        <f>+BQ67/BQ10</f>
        <v>0.14599999999999999</v>
      </c>
      <c r="BR69" s="101"/>
      <c r="BS69" s="82">
        <f>+BS67/BS10</f>
        <v>0.14599999999999999</v>
      </c>
      <c r="BT69" s="101"/>
      <c r="BU69" s="82">
        <f>+BU67/BU10</f>
        <v>0.14599999999999999</v>
      </c>
      <c r="BV69" s="101"/>
      <c r="BW69" s="82">
        <f>+BW67/BW10</f>
        <v>0.14599999999999999</v>
      </c>
      <c r="BX69" s="101"/>
      <c r="BY69" s="82">
        <f>+BY67/BY10</f>
        <v>0.14599999999999999</v>
      </c>
      <c r="BZ69" s="101"/>
      <c r="CA69" s="82">
        <f>+CA67/CA10</f>
        <v>0.14599999999999999</v>
      </c>
      <c r="CB69" s="101"/>
      <c r="CC69" s="82">
        <f>+CC67/CC10</f>
        <v>0.14599999999999999</v>
      </c>
      <c r="CD69" s="101"/>
      <c r="CE69" s="82">
        <f>+CE67/CE10</f>
        <v>0.14599999999999999</v>
      </c>
      <c r="CF69" s="620"/>
      <c r="CG69" s="620"/>
      <c r="CH69" s="620"/>
      <c r="CI69" s="620"/>
      <c r="CJ69" s="101"/>
      <c r="CK69" s="82">
        <f>+CK67/CK10</f>
        <v>0.14319723873939522</v>
      </c>
      <c r="CL69" s="101"/>
      <c r="CM69" s="82">
        <f>+CM67/CM10</f>
        <v>0.14350000000000002</v>
      </c>
      <c r="CN69" s="101"/>
      <c r="CO69" s="82">
        <f>+CO67/CO10</f>
        <v>0.14350000000000002</v>
      </c>
      <c r="CP69" s="101"/>
      <c r="CQ69" s="82">
        <f>+CQ67/CQ10</f>
        <v>0.14350000000000002</v>
      </c>
      <c r="CR69" s="101"/>
      <c r="CS69" s="82">
        <f>+CS67/CS10</f>
        <v>0.14332956450754505</v>
      </c>
      <c r="CT69" s="101"/>
      <c r="CU69" s="82">
        <f>+CU67/CU10</f>
        <v>0.14350000000000002</v>
      </c>
      <c r="CV69" s="101"/>
      <c r="CW69" s="82">
        <f>+CW67/CW10</f>
        <v>0.15625</v>
      </c>
      <c r="CX69" s="101"/>
      <c r="CY69" s="82">
        <f>+CY67/CY10</f>
        <v>0.14350000000000002</v>
      </c>
      <c r="DA69" s="101"/>
      <c r="DB69" s="82">
        <f>+DB67/DB10</f>
        <v>0.14350000000000002</v>
      </c>
      <c r="DC69" s="101"/>
      <c r="DD69" s="82">
        <f>+DD67/DD10</f>
        <v>0.14599999999999999</v>
      </c>
      <c r="DE69" s="101"/>
      <c r="DF69" s="82">
        <f>+DF67/DF10</f>
        <v>0.14599999999999999</v>
      </c>
      <c r="DG69" s="101"/>
      <c r="DH69" s="82">
        <f>+DH67/DH10</f>
        <v>0.14599999999999999</v>
      </c>
      <c r="DI69" s="101"/>
      <c r="DJ69" s="82">
        <f>+DJ67/DJ10</f>
        <v>0.14599999999999999</v>
      </c>
      <c r="DK69" s="101"/>
      <c r="DL69" s="82">
        <f>+DL67/DL10</f>
        <v>0.14599999999999999</v>
      </c>
      <c r="DM69" s="101"/>
      <c r="DN69" s="82">
        <f>+DN67/DN10</f>
        <v>0.14599999999999999</v>
      </c>
      <c r="DO69" s="101"/>
      <c r="DP69" s="82">
        <f>+DP67/DP10</f>
        <v>0.14599999999999999</v>
      </c>
      <c r="DR69" s="101"/>
      <c r="DS69" s="82">
        <f>+DS67/DS10</f>
        <v>0.14599999999999999</v>
      </c>
      <c r="DT69" s="101"/>
      <c r="DU69" s="82">
        <f>+DU67/DU10</f>
        <v>0.14599999999999999</v>
      </c>
    </row>
    <row r="70" spans="1:125" s="4" customFormat="1" ht="18" customHeight="1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377"/>
      <c r="O70" s="595"/>
      <c r="P70" s="377"/>
      <c r="Q70" s="595"/>
      <c r="R70" s="377"/>
      <c r="S70" s="595"/>
      <c r="T70" s="377"/>
      <c r="U70" s="595"/>
      <c r="V70" s="377"/>
      <c r="W70" s="595"/>
      <c r="X70" s="377"/>
      <c r="Y70" s="595"/>
      <c r="Z70" s="377"/>
      <c r="AA70" s="595"/>
      <c r="AB70" s="377"/>
      <c r="AC70" s="595"/>
      <c r="AD70" s="377"/>
      <c r="AE70" s="595"/>
      <c r="AF70" s="377"/>
      <c r="AG70" s="595"/>
      <c r="AH70" s="377"/>
      <c r="AI70" s="595"/>
      <c r="AJ70" s="377"/>
      <c r="AK70" s="595"/>
      <c r="AL70" s="377"/>
      <c r="AM70" s="595"/>
      <c r="AN70" s="377"/>
      <c r="AO70" s="595"/>
      <c r="AP70" s="377"/>
      <c r="AQ70" s="595"/>
      <c r="AR70" s="377"/>
      <c r="AS70" s="595"/>
      <c r="AT70" s="377"/>
      <c r="AU70" s="595"/>
      <c r="AV70" s="377"/>
      <c r="AW70" s="595"/>
      <c r="AX70" s="377"/>
      <c r="AY70" s="595"/>
      <c r="AZ70" s="377"/>
      <c r="BA70" s="595"/>
      <c r="BB70" s="377"/>
      <c r="BC70" s="595"/>
      <c r="BD70" s="377"/>
      <c r="BE70" s="595"/>
      <c r="BF70" s="377"/>
      <c r="BG70" s="595"/>
      <c r="BH70" s="377"/>
      <c r="BI70" s="595"/>
      <c r="BJ70" s="377"/>
      <c r="BK70" s="595"/>
      <c r="BL70" s="377"/>
      <c r="BM70" s="595"/>
      <c r="BN70" s="377"/>
      <c r="BO70" s="595"/>
      <c r="BP70" s="377"/>
      <c r="BQ70" s="595"/>
      <c r="BR70" s="377"/>
      <c r="BS70" s="595"/>
      <c r="BT70" s="377"/>
      <c r="BU70" s="595"/>
      <c r="BV70" s="377"/>
      <c r="BW70" s="595"/>
      <c r="BX70" s="377"/>
      <c r="BY70" s="595"/>
      <c r="BZ70" s="377"/>
      <c r="CA70" s="595"/>
      <c r="CB70" s="377"/>
      <c r="CC70" s="595"/>
      <c r="CD70" s="377"/>
      <c r="CE70" s="595"/>
      <c r="CF70" s="620"/>
      <c r="CG70" s="620"/>
      <c r="CH70" s="620"/>
      <c r="CI70" s="620"/>
      <c r="CJ70" s="377"/>
      <c r="CK70" s="595"/>
      <c r="CL70" s="377"/>
      <c r="CM70" s="595"/>
      <c r="CN70" s="377"/>
      <c r="CO70" s="595"/>
      <c r="CP70" s="377"/>
      <c r="CQ70" s="595"/>
      <c r="CR70" s="377"/>
      <c r="CS70" s="595"/>
      <c r="CT70" s="377"/>
      <c r="CU70" s="595"/>
      <c r="CV70" s="377"/>
      <c r="CW70" s="595"/>
      <c r="CX70" s="377"/>
      <c r="CY70" s="595"/>
      <c r="DA70" s="377"/>
      <c r="DB70" s="595"/>
      <c r="DC70" s="377"/>
      <c r="DD70" s="595"/>
      <c r="DE70" s="377"/>
      <c r="DF70" s="595"/>
      <c r="DG70" s="377"/>
      <c r="DH70" s="595"/>
      <c r="DI70" s="377"/>
      <c r="DJ70" s="595"/>
      <c r="DK70" s="377"/>
      <c r="DL70" s="595"/>
      <c r="DM70" s="377"/>
      <c r="DN70" s="595"/>
      <c r="DO70" s="377"/>
      <c r="DP70" s="595"/>
      <c r="DR70" s="377"/>
      <c r="DS70" s="595"/>
      <c r="DT70" s="377"/>
      <c r="DU70" s="595"/>
    </row>
    <row r="71" spans="1:125" s="4" customFormat="1" ht="18" customHeight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3.5330450940327975</v>
      </c>
      <c r="H71" s="111"/>
      <c r="I71" s="112">
        <f>I74+I72</f>
        <v>3.6553899705920707</v>
      </c>
      <c r="J71" s="111"/>
      <c r="K71" s="112">
        <f>K74+K72</f>
        <v>3.6553899705920707</v>
      </c>
      <c r="L71" s="111"/>
      <c r="M71" s="112">
        <f>M74+M72</f>
        <v>3.6553899705920707</v>
      </c>
      <c r="N71" s="111"/>
      <c r="O71" s="112">
        <f>O74+O72</f>
        <v>3.6713830405699528</v>
      </c>
      <c r="P71" s="111"/>
      <c r="Q71" s="112">
        <f>Q74+Q72</f>
        <v>3.8054599289954605</v>
      </c>
      <c r="R71" s="111"/>
      <c r="S71" s="112">
        <f>S74+S72</f>
        <v>3.8054599289954605</v>
      </c>
      <c r="T71" s="111"/>
      <c r="U71" s="112">
        <f>U74+U72</f>
        <v>3.9429636364854033</v>
      </c>
      <c r="V71" s="111"/>
      <c r="W71" s="112">
        <f>W74+W72</f>
        <v>3.9924047562194453</v>
      </c>
      <c r="X71" s="111"/>
      <c r="Y71" s="112">
        <f>Y74+Y72</f>
        <v>4.1632558749738902</v>
      </c>
      <c r="Z71" s="111"/>
      <c r="AA71" s="112">
        <f>AA74+AA72</f>
        <v>4.278167924097823</v>
      </c>
      <c r="AB71" s="111"/>
      <c r="AC71" s="112">
        <f>AC74+AC72</f>
        <v>4.2083591796725184</v>
      </c>
      <c r="AD71" s="111"/>
      <c r="AE71" s="112">
        <f>AE74+AE72</f>
        <v>4.0904695881777844</v>
      </c>
      <c r="AF71" s="111"/>
      <c r="AG71" s="112">
        <f>AG74+AG72</f>
        <v>4.1351450675871773</v>
      </c>
      <c r="AH71" s="111"/>
      <c r="AI71" s="112">
        <f>AI74+AI72</f>
        <v>3.8295672787848982</v>
      </c>
      <c r="AJ71" s="111"/>
      <c r="AK71" s="112">
        <f>AK74+AK72</f>
        <v>3.7223122852499726</v>
      </c>
      <c r="AL71" s="111"/>
      <c r="AM71" s="112">
        <f>AM74+AM72</f>
        <v>3.6624552147656484</v>
      </c>
      <c r="AN71" s="111"/>
      <c r="AO71" s="112">
        <f>AO74+AO72</f>
        <v>3.5760127912629183</v>
      </c>
      <c r="AP71" s="111"/>
      <c r="AQ71" s="112">
        <f>AQ74+AQ72</f>
        <v>3.6720890994980104</v>
      </c>
      <c r="AR71" s="111"/>
      <c r="AS71" s="112">
        <f>AS74+AS72</f>
        <v>3.7065517220040736</v>
      </c>
      <c r="AT71" s="111"/>
      <c r="AU71" s="112">
        <f>AU74+AU72</f>
        <v>3.563270317258068</v>
      </c>
      <c r="AV71" s="111"/>
      <c r="AW71" s="112">
        <f>AW74+AW72</f>
        <v>3.8037303634920634</v>
      </c>
      <c r="AX71" s="111"/>
      <c r="AY71" s="112">
        <f>AY74+AY72</f>
        <v>3.8211797546709594</v>
      </c>
      <c r="AZ71" s="111"/>
      <c r="BA71" s="112">
        <f>BA74+BA72</f>
        <v>3.6819053008968305</v>
      </c>
      <c r="BB71" s="111"/>
      <c r="BC71" s="112">
        <f>BC74+BC72</f>
        <v>3.6083547849248929</v>
      </c>
      <c r="BD71" s="111"/>
      <c r="BE71" s="112">
        <f>BE74+BE72</f>
        <v>4.4568056187673823</v>
      </c>
      <c r="BF71" s="111"/>
      <c r="BG71" s="112">
        <f>BG74+BG72</f>
        <v>4.4568056187673823</v>
      </c>
      <c r="BH71" s="111"/>
      <c r="BI71" s="112">
        <f>BI74+BI72</f>
        <v>4.0731209019619259</v>
      </c>
      <c r="BJ71" s="111"/>
      <c r="BK71" s="112">
        <f>BK74+BK72</f>
        <v>4.2526825254815979</v>
      </c>
      <c r="BL71" s="111"/>
      <c r="BM71" s="112">
        <f>BM74+BM72</f>
        <v>4.1343725082241169</v>
      </c>
      <c r="BN71" s="111"/>
      <c r="BO71" s="112">
        <f>BO74+BO72</f>
        <v>4.1662127411554231</v>
      </c>
      <c r="BP71" s="111"/>
      <c r="BQ71" s="112">
        <f>BQ74+BQ72</f>
        <v>3.9520224965262676</v>
      </c>
      <c r="BR71" s="111"/>
      <c r="BS71" s="112">
        <f>BS74+BS72</f>
        <v>4.001703164594443</v>
      </c>
      <c r="BT71" s="111"/>
      <c r="BU71" s="112">
        <f>BU74+BU72</f>
        <v>4.1389352958799757</v>
      </c>
      <c r="BV71" s="111"/>
      <c r="BW71" s="112">
        <f>BW74+BW72</f>
        <v>4.379704586175091</v>
      </c>
      <c r="BX71" s="111"/>
      <c r="BY71" s="112">
        <f>BY74+BY72</f>
        <v>4.3142884022302983</v>
      </c>
      <c r="BZ71" s="111"/>
      <c r="CA71" s="112">
        <f>CA74+CA72</f>
        <v>4.1132284610871501</v>
      </c>
      <c r="CB71" s="111"/>
      <c r="CC71" s="112">
        <f>CC74+CC72</f>
        <v>4.0349992586321024</v>
      </c>
      <c r="CD71" s="111"/>
      <c r="CE71" s="112">
        <f>CE74+CE72</f>
        <v>4.2479612825702384</v>
      </c>
      <c r="CF71" s="620"/>
      <c r="CG71" s="620"/>
      <c r="CH71" s="620"/>
      <c r="CI71" s="620"/>
      <c r="CJ71" s="111"/>
      <c r="CK71" s="112">
        <f>CK74+CK72</f>
        <v>3.8335452386080782</v>
      </c>
      <c r="CL71" s="111"/>
      <c r="CM71" s="112">
        <f>CM74+CM72</f>
        <v>4.2134684968279075</v>
      </c>
      <c r="CN71" s="111"/>
      <c r="CO71" s="112">
        <f>CO74+CO72</f>
        <v>3.9443322562190004</v>
      </c>
      <c r="CP71" s="111"/>
      <c r="CQ71" s="112">
        <f>CQ74+CQ72</f>
        <v>3.8613079483713606</v>
      </c>
      <c r="CR71" s="111"/>
      <c r="CS71" s="112">
        <f>CS74+CS72</f>
        <v>4.0009668268821121</v>
      </c>
      <c r="CT71" s="111"/>
      <c r="CU71" s="112">
        <f>CU74+CU72</f>
        <v>4.054175342322563</v>
      </c>
      <c r="CV71" s="111"/>
      <c r="CW71" s="112">
        <f>CW74+CW72</f>
        <v>4.0240785111419237</v>
      </c>
      <c r="CX71" s="111"/>
      <c r="CY71" s="112">
        <f>CY74+CY72</f>
        <v>3.7643382514016634</v>
      </c>
      <c r="DA71" s="111"/>
      <c r="DB71" s="112">
        <v>3.43</v>
      </c>
      <c r="DC71" s="111"/>
      <c r="DD71" s="112">
        <v>3.43</v>
      </c>
      <c r="DE71" s="111"/>
      <c r="DF71" s="112">
        <v>3.43</v>
      </c>
      <c r="DG71" s="111"/>
      <c r="DH71" s="112">
        <v>3.43</v>
      </c>
      <c r="DI71" s="111"/>
      <c r="DJ71" s="112">
        <v>3.43</v>
      </c>
      <c r="DK71" s="111"/>
      <c r="DL71" s="112">
        <v>3.43</v>
      </c>
      <c r="DM71" s="111"/>
      <c r="DN71" s="112">
        <v>3.43</v>
      </c>
      <c r="DO71" s="111"/>
      <c r="DP71" s="112">
        <v>3.43</v>
      </c>
      <c r="DR71" s="111"/>
      <c r="DS71" s="112">
        <v>3.43</v>
      </c>
      <c r="DT71" s="111"/>
      <c r="DU71" s="112">
        <f>DU74+DU72</f>
        <v>4.3475933951451937</v>
      </c>
    </row>
    <row r="72" spans="1:125" s="4" customFormat="1" ht="18" customHeight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f>G115</f>
        <v>0.11798732756232323</v>
      </c>
      <c r="H72" s="116"/>
      <c r="I72" s="117">
        <f>I115</f>
        <v>0.11798732756232323</v>
      </c>
      <c r="J72" s="116"/>
      <c r="K72" s="117">
        <f>K115</f>
        <v>0.11798732756232323</v>
      </c>
      <c r="L72" s="116"/>
      <c r="M72" s="117">
        <f>M115</f>
        <v>0.11798732756232323</v>
      </c>
      <c r="N72" s="1024">
        <f>O72/O67</f>
        <v>1.8770056234824493E-2</v>
      </c>
      <c r="O72" s="596">
        <v>0.10724705862411225</v>
      </c>
      <c r="P72" s="116"/>
      <c r="Q72" s="596">
        <f>Q115</f>
        <v>0.11813598533348853</v>
      </c>
      <c r="R72" s="116"/>
      <c r="S72" s="596">
        <f>S115</f>
        <v>0.11813598533348853</v>
      </c>
      <c r="T72" s="1024">
        <f>U72/U67</f>
        <v>2.4614118232957234E-2</v>
      </c>
      <c r="U72" s="596">
        <v>0.14128503865717454</v>
      </c>
      <c r="V72" s="1024">
        <f>W72/W67</f>
        <v>2.7298952343045475E-2</v>
      </c>
      <c r="W72" s="596">
        <v>0.15669598644908103</v>
      </c>
      <c r="X72" s="1024">
        <f>Y72/Y67</f>
        <v>1.899550314430393E-2</v>
      </c>
      <c r="Y72" s="596">
        <v>0.10903418804830457</v>
      </c>
      <c r="Z72" s="1024">
        <f>AA72/AA67</f>
        <v>2.2868545255800003E-2</v>
      </c>
      <c r="AA72" s="596">
        <v>0.13126544976829202</v>
      </c>
      <c r="AB72" s="1024">
        <f>AC72/AC67</f>
        <v>3.2107671260205237E-2</v>
      </c>
      <c r="AC72" s="596">
        <v>0.18429803303357808</v>
      </c>
      <c r="AD72" s="1024">
        <f>AE72/AE67</f>
        <v>2.1502064520390007E-2</v>
      </c>
      <c r="AE72" s="596">
        <v>0.12342185034703863</v>
      </c>
      <c r="AF72" s="1024">
        <f>AG72/AG67</f>
        <v>2.6744431603818869E-2</v>
      </c>
      <c r="AG72" s="596">
        <v>0.15351303740592032</v>
      </c>
      <c r="AH72" s="1024">
        <f>AI72/AI67</f>
        <v>2.1159699707341401E-2</v>
      </c>
      <c r="AI72" s="596">
        <v>0.12145667632013965</v>
      </c>
      <c r="AJ72" s="1024">
        <f>AK72/AK67</f>
        <v>2.1040676721187274E-2</v>
      </c>
      <c r="AK72" s="596">
        <v>0.12077348437961496</v>
      </c>
      <c r="AL72" s="1024">
        <f>AM72/AM67</f>
        <v>2.1852034910791834E-2</v>
      </c>
      <c r="AM72" s="596">
        <v>0.12543068038794514</v>
      </c>
      <c r="AN72" s="1024">
        <f>AO72/AO67</f>
        <v>2.1655183403414567E-2</v>
      </c>
      <c r="AO72" s="596">
        <v>0.12430075273559962</v>
      </c>
      <c r="AP72" s="1024">
        <f>AQ72/AQ67</f>
        <v>2.1596590048663055E-2</v>
      </c>
      <c r="AQ72" s="596">
        <v>0.12396442687932593</v>
      </c>
      <c r="AR72" s="1024">
        <f>AS72/AS67</f>
        <v>2.0854073700284807E-2</v>
      </c>
      <c r="AS72" s="596">
        <v>0.11970238303963479</v>
      </c>
      <c r="AT72" s="1024">
        <f>AU72/AU67</f>
        <v>1.9187970749253665E-2</v>
      </c>
      <c r="AU72" s="596">
        <v>0.11013895210071603</v>
      </c>
      <c r="AV72" s="1024">
        <f>AW72/AW67</f>
        <v>2.1596590048663055E-2</v>
      </c>
      <c r="AW72" s="596">
        <v>0.12396442687932593</v>
      </c>
      <c r="AX72" s="1024">
        <f>AY72/AY67</f>
        <v>2.0854073700284807E-2</v>
      </c>
      <c r="AY72" s="596">
        <v>0.11970238303963479</v>
      </c>
      <c r="AZ72" s="1024">
        <f>BA72/BA67</f>
        <v>1.9187970749253665E-2</v>
      </c>
      <c r="BA72" s="596">
        <v>0.11013895210071603</v>
      </c>
      <c r="BB72" s="1024">
        <f>BC72/BC67</f>
        <v>1.9187970749253665E-2</v>
      </c>
      <c r="BC72" s="596">
        <v>0.11013895210071603</v>
      </c>
      <c r="BD72" s="1024"/>
      <c r="BE72" s="596">
        <v>0.11013895210071603</v>
      </c>
      <c r="BF72" s="1024"/>
      <c r="BG72" s="596">
        <v>0.11013895210071603</v>
      </c>
      <c r="BH72" s="1024"/>
      <c r="BI72" s="596">
        <v>0.12565791127422599</v>
      </c>
      <c r="BJ72" s="1024"/>
      <c r="BK72" s="596">
        <v>0.12565791127422599</v>
      </c>
      <c r="BL72" s="1024"/>
      <c r="BM72" s="596">
        <v>0.12565791127422599</v>
      </c>
      <c r="BN72" s="1024"/>
      <c r="BO72" s="596">
        <v>0.12565791127422599</v>
      </c>
      <c r="BP72" s="1024"/>
      <c r="BQ72" s="596">
        <v>0.12565791127422599</v>
      </c>
      <c r="BR72" s="1024"/>
      <c r="BS72" s="596">
        <v>0.12565791127422599</v>
      </c>
      <c r="BT72" s="1024"/>
      <c r="BU72" s="596">
        <v>0.12565791127422599</v>
      </c>
      <c r="BV72" s="1024"/>
      <c r="BW72" s="596">
        <v>0.12565791127422599</v>
      </c>
      <c r="BX72" s="1024"/>
      <c r="BY72" s="596">
        <v>0.12565791127422599</v>
      </c>
      <c r="BZ72" s="1024"/>
      <c r="CA72" s="596">
        <v>0.12565791127422599</v>
      </c>
      <c r="CB72" s="1024"/>
      <c r="CC72" s="596">
        <v>0.12565791127422599</v>
      </c>
      <c r="CD72" s="1024"/>
      <c r="CE72" s="596">
        <v>0.12565791127422599</v>
      </c>
      <c r="CF72" s="620"/>
      <c r="CG72" s="620"/>
      <c r="CH72" s="620"/>
      <c r="CI72" s="620"/>
      <c r="CJ72" s="1024">
        <f>CK72/CK67</f>
        <v>2.2780736999316351E-2</v>
      </c>
      <c r="CK72" s="596">
        <f>(SUMPRODUCT(O72,O$131)+SUMPRODUCT(U72,U$131)+SUMPRODUCT(W72,W$131))/SUM(O$131,U$131,W$131)</f>
        <v>0.13048554539001911</v>
      </c>
      <c r="CL72" s="1024">
        <f>CM72/CM67</f>
        <v>2.5396634031469838E-2</v>
      </c>
      <c r="CM72" s="596">
        <f>(SUMPRODUCT(AC72,AC$131)+SUMPRODUCT(AA72,AA$131)+SUMPRODUCT(Y72,Y$131))/SUM(AC$131,AA$131,Y$131)</f>
        <v>0.14577667934063687</v>
      </c>
      <c r="CN72" s="1024">
        <f>CO72/CO67</f>
        <v>2.2295229100701607E-2</v>
      </c>
      <c r="CO72" s="596">
        <f>(SUMPRODUCT(AI72,AI$131)+SUMPRODUCT(AG72,AG$131)+SUMPRODUCT(AE72,AE$131))/SUM(AI$131,AG$131,AE$131)</f>
        <v>0.12797461503802723</v>
      </c>
      <c r="CP72" s="1024">
        <f>CQ72/CQ67</f>
        <v>2.2295229100701607E-2</v>
      </c>
      <c r="CQ72" s="596">
        <f>(SUMPRODUCT(AI72,AI$131)+SUMPRODUCT(AG72,AG$131)+SUMPRODUCT(AE72,AE$131))/SUM(AI$131,AG$131,AE$131)</f>
        <v>0.12797461503802723</v>
      </c>
      <c r="CR72" s="1024">
        <f>CS72/CS67</f>
        <v>2.3925408535959362E-2</v>
      </c>
      <c r="CS72" s="596">
        <f>(SUMPRODUCT(O72,O$131)+SUMPRODUCT(U72,U$131)+SUMPRODUCT(W72,W$131)+SUMPRODUCT(Y72,Y$131)+SUMPRODUCT(AA72,AA$131)+SUMPRODUCT(AC72,AC$131))/SUM(O$131,U$131,W$131,Y$131,AA$131,AC$131)</f>
        <v>0.13716873544496627</v>
      </c>
      <c r="CT72" s="1024">
        <f>CU72/CU67</f>
        <v>2.3563836829903106E-2</v>
      </c>
      <c r="CU72" s="596">
        <f>(SUMPRODUCT(CM72,CM$131)+SUMPRODUCT(CK72,CK$131)+SUMPRODUCT(AI72,AI$131))/SUM(CM$131,CK$131,AI$131)</f>
        <v>0.13525642340364383</v>
      </c>
      <c r="CV72" s="1024">
        <f>CW72/CW67</f>
        <v>2.0475938406084356E-2</v>
      </c>
      <c r="CW72" s="596">
        <f>(SUMPRODUCT(AI72,AI$131)+SUMPRODUCT(AG72,AG$131)+SUMPRODUCT(AE72,AE$131))/SUM(AI$131,AG$131,AE$131)</f>
        <v>0.12797461503802723</v>
      </c>
      <c r="CX72" s="1024">
        <f>CY72/CY67</f>
        <v>2.2295229100701607E-2</v>
      </c>
      <c r="CY72" s="596">
        <f>CW72</f>
        <v>0.12797461503802723</v>
      </c>
      <c r="DA72" s="1024"/>
      <c r="DB72" s="596">
        <v>0.110138952100716</v>
      </c>
      <c r="DC72" s="1024"/>
      <c r="DD72" s="596">
        <v>0.11013895210071603</v>
      </c>
      <c r="DE72" s="1024"/>
      <c r="DF72" s="596">
        <v>0.119713464369997</v>
      </c>
      <c r="DG72" s="1024"/>
      <c r="DH72" s="596">
        <v>0.119713464369997</v>
      </c>
      <c r="DI72" s="1024"/>
      <c r="DJ72" s="596">
        <v>0.119713464369997</v>
      </c>
      <c r="DK72" s="1024"/>
      <c r="DL72" s="596">
        <v>0.119713464369997</v>
      </c>
      <c r="DM72" s="1024"/>
      <c r="DN72" s="596">
        <v>0.119713464369997</v>
      </c>
      <c r="DO72" s="1024"/>
      <c r="DP72" s="596">
        <v>0.119713464369997</v>
      </c>
      <c r="DR72" s="1024"/>
      <c r="DS72" s="596">
        <v>0.119713464369997</v>
      </c>
      <c r="DT72" s="1024"/>
      <c r="DU72" s="596">
        <v>0.12565791127422599</v>
      </c>
    </row>
    <row r="73" spans="1:125" s="4" customFormat="1" ht="18" customHeight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42"/>
      <c r="K73" s="118"/>
      <c r="L73" s="42"/>
      <c r="M73" s="118"/>
      <c r="N73" s="359"/>
      <c r="O73" s="597"/>
      <c r="P73" s="359"/>
      <c r="Q73" s="597"/>
      <c r="R73" s="359"/>
      <c r="S73" s="597"/>
      <c r="T73" s="359"/>
      <c r="U73" s="597"/>
      <c r="V73" s="359"/>
      <c r="W73" s="597"/>
      <c r="X73" s="359"/>
      <c r="Y73" s="597"/>
      <c r="Z73" s="359"/>
      <c r="AA73" s="597"/>
      <c r="AB73" s="359"/>
      <c r="AC73" s="597"/>
      <c r="AD73" s="359"/>
      <c r="AE73" s="597"/>
      <c r="AF73" s="359"/>
      <c r="AG73" s="597"/>
      <c r="AH73" s="359"/>
      <c r="AI73" s="597"/>
      <c r="AJ73" s="359"/>
      <c r="AK73" s="597"/>
      <c r="AL73" s="359"/>
      <c r="AM73" s="597"/>
      <c r="AN73" s="359"/>
      <c r="AO73" s="597"/>
      <c r="AP73" s="359"/>
      <c r="AQ73" s="597"/>
      <c r="AR73" s="359"/>
      <c r="AS73" s="597"/>
      <c r="AT73" s="359"/>
      <c r="AU73" s="597"/>
      <c r="AV73" s="359"/>
      <c r="AW73" s="597"/>
      <c r="AX73" s="359"/>
      <c r="AY73" s="597"/>
      <c r="AZ73" s="359"/>
      <c r="BA73" s="597"/>
      <c r="BB73" s="359"/>
      <c r="BC73" s="597"/>
      <c r="BD73" s="359"/>
      <c r="BE73" s="597"/>
      <c r="BF73" s="359"/>
      <c r="BG73" s="597"/>
      <c r="BH73" s="359"/>
      <c r="BI73" s="597"/>
      <c r="BJ73" s="359"/>
      <c r="BK73" s="597"/>
      <c r="BL73" s="359"/>
      <c r="BM73" s="597"/>
      <c r="BN73" s="359"/>
      <c r="BO73" s="597"/>
      <c r="BP73" s="359"/>
      <c r="BQ73" s="597"/>
      <c r="BR73" s="359"/>
      <c r="BS73" s="597"/>
      <c r="BT73" s="359"/>
      <c r="BU73" s="597"/>
      <c r="BV73" s="359"/>
      <c r="BW73" s="597"/>
      <c r="BX73" s="359"/>
      <c r="BY73" s="597"/>
      <c r="BZ73" s="359"/>
      <c r="CA73" s="597"/>
      <c r="CB73" s="359"/>
      <c r="CC73" s="597"/>
      <c r="CD73" s="359"/>
      <c r="CE73" s="597"/>
      <c r="CF73" s="620"/>
      <c r="CG73" s="620"/>
      <c r="CH73" s="620"/>
      <c r="CI73" s="620"/>
      <c r="CJ73" s="359"/>
      <c r="CK73" s="597"/>
      <c r="CL73" s="359"/>
      <c r="CM73" s="597"/>
      <c r="CN73" s="359"/>
      <c r="CO73" s="597"/>
      <c r="CP73" s="359"/>
      <c r="CQ73" s="597"/>
      <c r="CR73" s="359"/>
      <c r="CS73" s="597"/>
      <c r="CT73" s="359"/>
      <c r="CU73" s="597"/>
      <c r="CV73" s="359"/>
      <c r="CW73" s="597"/>
      <c r="CX73" s="359"/>
      <c r="CY73" s="597"/>
      <c r="DA73" s="359"/>
      <c r="DB73" s="597"/>
      <c r="DC73" s="359"/>
      <c r="DD73" s="597"/>
      <c r="DE73" s="359"/>
      <c r="DF73" s="597"/>
      <c r="DG73" s="359"/>
      <c r="DH73" s="597"/>
      <c r="DI73" s="359"/>
      <c r="DJ73" s="597"/>
      <c r="DK73" s="359"/>
      <c r="DL73" s="597"/>
      <c r="DM73" s="359"/>
      <c r="DN73" s="597"/>
      <c r="DO73" s="359"/>
      <c r="DP73" s="597"/>
      <c r="DR73" s="359"/>
      <c r="DS73" s="597"/>
      <c r="DT73" s="359"/>
      <c r="DU73" s="597"/>
    </row>
    <row r="74" spans="1:125" s="4" customFormat="1" ht="18" customHeight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3.4150577664704742</v>
      </c>
      <c r="H74" s="66"/>
      <c r="I74" s="70">
        <v>3.5374026430297474</v>
      </c>
      <c r="J74" s="66"/>
      <c r="K74" s="70">
        <v>3.5374026430297474</v>
      </c>
      <c r="L74" s="66"/>
      <c r="M74" s="70">
        <v>3.5374026430297474</v>
      </c>
      <c r="N74" s="552"/>
      <c r="O74" s="70">
        <v>3.5641359819458405</v>
      </c>
      <c r="P74" s="552"/>
      <c r="Q74" s="70">
        <f>Q76/Q79</f>
        <v>3.6873239436619718</v>
      </c>
      <c r="R74" s="552"/>
      <c r="S74" s="70">
        <f>S76/S79</f>
        <v>3.6873239436619718</v>
      </c>
      <c r="T74" s="552"/>
      <c r="U74" s="70">
        <v>3.8016785978282286</v>
      </c>
      <c r="V74" s="552"/>
      <c r="W74" s="70">
        <v>3.8357087697703642</v>
      </c>
      <c r="X74" s="552"/>
      <c r="Y74" s="70">
        <v>4.0542216869255858</v>
      </c>
      <c r="Z74" s="552"/>
      <c r="AA74" s="70">
        <v>4.1469024743295311</v>
      </c>
      <c r="AB74" s="552"/>
      <c r="AC74" s="70">
        <v>4.0240611466389407</v>
      </c>
      <c r="AD74" s="552"/>
      <c r="AE74" s="70">
        <v>3.9670477378307458</v>
      </c>
      <c r="AF74" s="552"/>
      <c r="AG74" s="70">
        <v>3.9816320301812569</v>
      </c>
      <c r="AH74" s="552"/>
      <c r="AI74" s="70">
        <v>3.7081106024647585</v>
      </c>
      <c r="AJ74" s="552"/>
      <c r="AK74" s="70">
        <v>3.6015388008703577</v>
      </c>
      <c r="AL74" s="552"/>
      <c r="AM74" s="70">
        <v>3.5370245343777031</v>
      </c>
      <c r="AN74" s="552"/>
      <c r="AO74" s="70">
        <v>3.4517120385273188</v>
      </c>
      <c r="AP74" s="552"/>
      <c r="AQ74" s="70">
        <v>3.5481246726186844</v>
      </c>
      <c r="AR74" s="552"/>
      <c r="AS74" s="70">
        <v>3.5868493389644387</v>
      </c>
      <c r="AT74" s="552"/>
      <c r="AU74" s="70">
        <v>3.4531313651573519</v>
      </c>
      <c r="AV74" s="552"/>
      <c r="AW74" s="70">
        <v>3.6797659366127373</v>
      </c>
      <c r="AX74" s="552"/>
      <c r="AY74" s="70">
        <v>3.7014773716313245</v>
      </c>
      <c r="AZ74" s="552"/>
      <c r="BA74" s="70">
        <v>3.5717663487961144</v>
      </c>
      <c r="BB74" s="552"/>
      <c r="BC74" s="70">
        <v>3.4982158328241768</v>
      </c>
      <c r="BD74" s="552"/>
      <c r="BE74" s="70">
        <f>BE76/BE79</f>
        <v>4.3466666666666667</v>
      </c>
      <c r="BF74" s="552"/>
      <c r="BG74" s="70">
        <f>BG76/BG79</f>
        <v>4.3466666666666667</v>
      </c>
      <c r="BH74" s="552"/>
      <c r="BI74" s="70">
        <v>3.9474629906877001</v>
      </c>
      <c r="BJ74" s="552"/>
      <c r="BK74" s="70">
        <f>BK77/BK79*BK10</f>
        <v>4.1270246142073717</v>
      </c>
      <c r="BL74" s="552"/>
      <c r="BM74" s="70">
        <f>BM77/BM79*BM10</f>
        <v>4.0087145969498907</v>
      </c>
      <c r="BN74" s="552"/>
      <c r="BO74" s="70">
        <f>BO77/BO79*BO10</f>
        <v>4.0405548298811969</v>
      </c>
      <c r="BP74" s="552"/>
      <c r="BQ74" s="70">
        <f>BQ77/BQ79*BQ10</f>
        <v>3.8263645852520418</v>
      </c>
      <c r="BR74" s="552"/>
      <c r="BS74" s="70">
        <f>BS77/BS79*BS10</f>
        <v>3.8760452533202168</v>
      </c>
      <c r="BT74" s="552"/>
      <c r="BU74" s="70">
        <f>BU77/BU79*BU10</f>
        <v>4.0132773846057495</v>
      </c>
      <c r="BV74" s="552"/>
      <c r="BW74" s="70">
        <f>BW77/BW79*BW10</f>
        <v>4.2540466749008647</v>
      </c>
      <c r="BX74" s="552"/>
      <c r="BY74" s="70">
        <f>BY77/BY79*BY10</f>
        <v>4.1886304909560721</v>
      </c>
      <c r="BZ74" s="552"/>
      <c r="CA74" s="70">
        <f>CA77/CA79*CA10</f>
        <v>3.9875705498129244</v>
      </c>
      <c r="CB74" s="552"/>
      <c r="CC74" s="70">
        <f>CC77/CC79*CC10</f>
        <v>3.9093413473578762</v>
      </c>
      <c r="CD74" s="552"/>
      <c r="CE74" s="70">
        <v>4.1223033712960122</v>
      </c>
      <c r="CF74" s="620"/>
      <c r="CG74" s="620"/>
      <c r="CH74" s="620"/>
      <c r="CI74" s="620"/>
      <c r="CJ74" s="552"/>
      <c r="CK74" s="70">
        <f>CK76/CK79</f>
        <v>3.7030596932180591</v>
      </c>
      <c r="CL74" s="552"/>
      <c r="CM74" s="70">
        <f>CM76/CM79</f>
        <v>4.0676918174872707</v>
      </c>
      <c r="CN74" s="552"/>
      <c r="CO74" s="70">
        <f>CO76/CO79</f>
        <v>3.8163576411809732</v>
      </c>
      <c r="CP74" s="552"/>
      <c r="CQ74" s="70">
        <f>CQ76/CQ79</f>
        <v>3.7333333333333334</v>
      </c>
      <c r="CR74" s="552"/>
      <c r="CS74" s="70">
        <f>CS76/CS79</f>
        <v>3.8637980914371459</v>
      </c>
      <c r="CT74" s="552"/>
      <c r="CU74" s="70">
        <f>CU76/CU79</f>
        <v>3.9189189189189189</v>
      </c>
      <c r="CV74" s="552"/>
      <c r="CW74" s="70">
        <f>CW76/CW79</f>
        <v>3.8961038961038961</v>
      </c>
      <c r="CX74" s="552"/>
      <c r="CY74" s="70">
        <f>CY76/CY79</f>
        <v>3.6363636363636362</v>
      </c>
      <c r="DA74" s="552"/>
      <c r="DB74" s="70">
        <v>3.43</v>
      </c>
      <c r="DC74" s="552"/>
      <c r="DD74" s="70">
        <v>3.43</v>
      </c>
      <c r="DE74" s="552"/>
      <c r="DF74" s="70">
        <f>DF77/DF79*DF10</f>
        <v>3.6532704923253294</v>
      </c>
      <c r="DG74" s="552"/>
      <c r="DH74" s="70">
        <f>DH77/DH79*DH10</f>
        <v>3.8056370360923353</v>
      </c>
      <c r="DI74" s="552"/>
      <c r="DJ74" s="70">
        <f>DJ77/DJ79*DJ10</f>
        <v>3.8116564035578775</v>
      </c>
      <c r="DK74" s="552"/>
      <c r="DL74" s="70">
        <f>DL77/DL79*DL10</f>
        <v>3.6519923865659729</v>
      </c>
      <c r="DM74" s="552"/>
      <c r="DN74" s="70">
        <f>DN77/DN79*DN10</f>
        <v>3.7821575489654324</v>
      </c>
      <c r="DO74" s="552"/>
      <c r="DP74" s="70">
        <v>3.7905991138122324</v>
      </c>
      <c r="DR74" s="552"/>
      <c r="DS74" s="70">
        <f>DS77/DS79*DS10</f>
        <v>3.9741935483870967</v>
      </c>
      <c r="DT74" s="552"/>
      <c r="DU74" s="70">
        <f>DU77/DU79*DU10</f>
        <v>4.2219354838709675</v>
      </c>
    </row>
    <row r="75" spans="1:125" s="97" customFormat="1" ht="18" customHeight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8.537644416176185E-2</v>
      </c>
      <c r="H75" s="124"/>
      <c r="I75" s="125">
        <f>+I74/I10</f>
        <v>8.8435066075743682E-2</v>
      </c>
      <c r="J75" s="124"/>
      <c r="K75" s="125">
        <f>+K74/K10</f>
        <v>8.8435066075743682E-2</v>
      </c>
      <c r="L75" s="124"/>
      <c r="M75" s="125">
        <f>+M74/M10</f>
        <v>8.8435066075743682E-2</v>
      </c>
      <c r="N75" s="124"/>
      <c r="O75" s="70">
        <f>+O74/O10</f>
        <v>8.9103399548646017E-2</v>
      </c>
      <c r="P75" s="124"/>
      <c r="Q75" s="70">
        <f>+Q74/Q10</f>
        <v>9.2183098591549301E-2</v>
      </c>
      <c r="R75" s="124"/>
      <c r="S75" s="70">
        <f>+S74/S10</f>
        <v>9.2183098591549301E-2</v>
      </c>
      <c r="T75" s="124"/>
      <c r="U75" s="70">
        <f>+U74/U10</f>
        <v>9.5041964945705715E-2</v>
      </c>
      <c r="V75" s="124"/>
      <c r="W75" s="70">
        <f>+W74/W10</f>
        <v>9.58927192442591E-2</v>
      </c>
      <c r="X75" s="124"/>
      <c r="Y75" s="70">
        <f>+Y74/Y10</f>
        <v>0.10135554217313965</v>
      </c>
      <c r="Z75" s="124"/>
      <c r="AA75" s="70">
        <f>+AA74/AA10</f>
        <v>0.10367256185823828</v>
      </c>
      <c r="AB75" s="124"/>
      <c r="AC75" s="70">
        <f>+AC74/AC10</f>
        <v>0.10060152866597352</v>
      </c>
      <c r="AD75" s="124"/>
      <c r="AE75" s="70">
        <f>+AE74/AE10</f>
        <v>9.917619344576864E-2</v>
      </c>
      <c r="AF75" s="124"/>
      <c r="AG75" s="70">
        <f>+AG74/AG10</f>
        <v>9.9540800754531422E-2</v>
      </c>
      <c r="AH75" s="124"/>
      <c r="AI75" s="70">
        <f>+AI74/AI10</f>
        <v>9.2702765061618966E-2</v>
      </c>
      <c r="AJ75" s="124"/>
      <c r="AK75" s="70">
        <f>+AK74/AK10</f>
        <v>9.0038470021758937E-2</v>
      </c>
      <c r="AL75" s="124"/>
      <c r="AM75" s="70">
        <f>+AM74/AM10</f>
        <v>8.8425613359442573E-2</v>
      </c>
      <c r="AN75" s="124"/>
      <c r="AO75" s="70">
        <f>+AO74/AO10</f>
        <v>8.6292800963182967E-2</v>
      </c>
      <c r="AP75" s="124"/>
      <c r="AQ75" s="70">
        <f>+AQ74/AQ10</f>
        <v>8.8703116815467109E-2</v>
      </c>
      <c r="AR75" s="124"/>
      <c r="AS75" s="70">
        <f>+AS74/AS10</f>
        <v>8.9671233474110962E-2</v>
      </c>
      <c r="AT75" s="124"/>
      <c r="AU75" s="70">
        <f>+AU74/AU10</f>
        <v>8.6328284128933799E-2</v>
      </c>
      <c r="AV75" s="124"/>
      <c r="AW75" s="70">
        <f>+AW74/AW10</f>
        <v>9.199414841531843E-2</v>
      </c>
      <c r="AX75" s="124"/>
      <c r="AY75" s="70">
        <f>+AY74/AY10</f>
        <v>9.2536934290783107E-2</v>
      </c>
      <c r="AZ75" s="124"/>
      <c r="BA75" s="70">
        <f>+BA74/BA10</f>
        <v>8.9294158719902858E-2</v>
      </c>
      <c r="BB75" s="124"/>
      <c r="BC75" s="70">
        <f>+BC74/BC10</f>
        <v>8.7455395820604423E-2</v>
      </c>
      <c r="BD75" s="124"/>
      <c r="BE75" s="70">
        <f>+BE74/BE10</f>
        <v>0.10866666666666666</v>
      </c>
      <c r="BF75" s="124"/>
      <c r="BG75" s="70">
        <f>+BG74/BG10</f>
        <v>0.10866666666666666</v>
      </c>
      <c r="BH75" s="124"/>
      <c r="BI75" s="70">
        <f>+BI74/BI10</f>
        <v>9.8686574767192503E-2</v>
      </c>
      <c r="BJ75" s="124"/>
      <c r="BK75" s="70">
        <f>+BK74/BK10</f>
        <v>0.1031756153551843</v>
      </c>
      <c r="BL75" s="124"/>
      <c r="BM75" s="70">
        <f>+BM74/BM10</f>
        <v>0.10021786492374726</v>
      </c>
      <c r="BN75" s="124"/>
      <c r="BO75" s="70">
        <f>+BO74/BO10</f>
        <v>0.10101387074702992</v>
      </c>
      <c r="BP75" s="124"/>
      <c r="BQ75" s="70">
        <f>+BQ74/BQ10</f>
        <v>9.5659114631301043E-2</v>
      </c>
      <c r="BR75" s="124"/>
      <c r="BS75" s="70">
        <f>+BS74/BS10</f>
        <v>9.6901131333005416E-2</v>
      </c>
      <c r="BT75" s="124"/>
      <c r="BU75" s="70">
        <f>+BU74/BU10</f>
        <v>0.10033193461514374</v>
      </c>
      <c r="BV75" s="124"/>
      <c r="BW75" s="70">
        <f>+BW74/BW10</f>
        <v>0.10635116687252162</v>
      </c>
      <c r="BX75" s="124"/>
      <c r="BY75" s="70">
        <f>+BY74/BY10</f>
        <v>0.10471576227390181</v>
      </c>
      <c r="BZ75" s="124"/>
      <c r="CA75" s="70">
        <f>+CA74/CA10</f>
        <v>9.9689263745323109E-2</v>
      </c>
      <c r="CB75" s="124"/>
      <c r="CC75" s="70">
        <f>+CC74/CC10</f>
        <v>9.773353368394691E-2</v>
      </c>
      <c r="CD75" s="124"/>
      <c r="CE75" s="70">
        <f>+CE74/CE10</f>
        <v>0.10305758428240031</v>
      </c>
      <c r="CF75" s="620"/>
      <c r="CG75" s="620"/>
      <c r="CH75" s="620"/>
      <c r="CI75" s="620"/>
      <c r="CJ75" s="124"/>
      <c r="CK75" s="70">
        <f>+CK74/CK10</f>
        <v>9.2576492330451482E-2</v>
      </c>
      <c r="CL75" s="124"/>
      <c r="CM75" s="70">
        <f>+CM74/CM10</f>
        <v>0.10169229543718177</v>
      </c>
      <c r="CN75" s="124"/>
      <c r="CO75" s="70">
        <f>+CO74/CO10</f>
        <v>9.5408941029524325E-2</v>
      </c>
      <c r="CP75" s="124"/>
      <c r="CQ75" s="70">
        <f>+CQ74/CQ10</f>
        <v>9.3333333333333338E-2</v>
      </c>
      <c r="CR75" s="124"/>
      <c r="CS75" s="70">
        <f>+CS74/CS10</f>
        <v>9.6594952285928654E-2</v>
      </c>
      <c r="CT75" s="124"/>
      <c r="CU75" s="70">
        <f>+CU74/CU10</f>
        <v>9.7972972972972971E-2</v>
      </c>
      <c r="CV75" s="124"/>
      <c r="CW75" s="70">
        <f>+CW74/CW10</f>
        <v>9.7402597402597407E-2</v>
      </c>
      <c r="CX75" s="124"/>
      <c r="CY75" s="70">
        <f>+CY74/CY10</f>
        <v>9.0909090909090912E-2</v>
      </c>
      <c r="DA75" s="124"/>
      <c r="DB75" s="70">
        <f>+DB74/DB10</f>
        <v>8.5750000000000007E-2</v>
      </c>
      <c r="DC75" s="124"/>
      <c r="DD75" s="70">
        <f>+DD74/DD10</f>
        <v>8.5750000000000007E-2</v>
      </c>
      <c r="DE75" s="124"/>
      <c r="DF75" s="70">
        <f>+DF74/DF10</f>
        <v>9.1331762308133238E-2</v>
      </c>
      <c r="DG75" s="124"/>
      <c r="DH75" s="70">
        <f>+DH74/DH10</f>
        <v>9.5140925902308382E-2</v>
      </c>
      <c r="DI75" s="124"/>
      <c r="DJ75" s="70">
        <f>+DJ74/DJ10</f>
        <v>9.529141008894694E-2</v>
      </c>
      <c r="DK75" s="124"/>
      <c r="DL75" s="70">
        <f>+DL74/DL10</f>
        <v>9.1299809664149328E-2</v>
      </c>
      <c r="DM75" s="124"/>
      <c r="DN75" s="70">
        <f>+DN74/DN10</f>
        <v>9.4553938724135811E-2</v>
      </c>
      <c r="DO75" s="124"/>
      <c r="DP75" s="70">
        <f>+DP74/DP10</f>
        <v>9.4764977845305812E-2</v>
      </c>
      <c r="DR75" s="124"/>
      <c r="DS75" s="70">
        <f>+DS74/DS10</f>
        <v>9.9354838709677415E-2</v>
      </c>
      <c r="DT75" s="124"/>
      <c r="DU75" s="70">
        <f>+DU74/DU10</f>
        <v>0.10554838709677419</v>
      </c>
    </row>
    <row r="76" spans="1:125" s="4" customFormat="1" ht="18" customHeight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90">
        <f>G74*G79</f>
        <v>48592.85695910838</v>
      </c>
      <c r="H76" s="127"/>
      <c r="I76" s="90">
        <f>I74*I79</f>
        <v>50333.702207670278</v>
      </c>
      <c r="J76" s="127"/>
      <c r="K76" s="90">
        <f>K74*K79</f>
        <v>50333.702207670278</v>
      </c>
      <c r="L76" s="127"/>
      <c r="M76" s="90">
        <f>M74*M79</f>
        <v>50333.702207670278</v>
      </c>
      <c r="N76" s="380"/>
      <c r="O76" s="374">
        <f>O77*O10</f>
        <v>51070.50448530195</v>
      </c>
      <c r="P76" s="380"/>
      <c r="Q76" s="374">
        <f>Q77*Q10</f>
        <v>52360</v>
      </c>
      <c r="R76" s="380"/>
      <c r="S76" s="374">
        <f>S77*S10</f>
        <v>52360</v>
      </c>
      <c r="T76" s="380"/>
      <c r="U76" s="374">
        <f>U77*U10</f>
        <v>54565.492914628565</v>
      </c>
      <c r="V76" s="380"/>
      <c r="W76" s="374">
        <f>W77*W10</f>
        <v>55030.913719895412</v>
      </c>
      <c r="X76" s="380"/>
      <c r="Y76" s="374">
        <f>Y77*Y10</f>
        <v>58247.002976059892</v>
      </c>
      <c r="Z76" s="380"/>
      <c r="AA76" s="374">
        <f>AA77*AA10</f>
        <v>60615.273467274754</v>
      </c>
      <c r="AB76" s="380"/>
      <c r="AC76" s="374">
        <f>AC77*AC10</f>
        <v>59045.049204633178</v>
      </c>
      <c r="AD76" s="380"/>
      <c r="AE76" s="374">
        <f>AE77*AE10</f>
        <v>59422.408064966745</v>
      </c>
      <c r="AF76" s="380"/>
      <c r="AG76" s="374">
        <f>AG77*AG10</f>
        <v>59139.180544282208</v>
      </c>
      <c r="AH76" s="380"/>
      <c r="AI76" s="374">
        <f>AI77*AI10</f>
        <v>55758.859129262572</v>
      </c>
      <c r="AJ76" s="380"/>
      <c r="AK76" s="374">
        <f>AK77*AK10</f>
        <v>55528.525231819178</v>
      </c>
      <c r="AL76" s="380"/>
      <c r="AM76" s="374">
        <f>AM77*AM10</f>
        <v>55336.748840339169</v>
      </c>
      <c r="AN76" s="380"/>
      <c r="AO76" s="374">
        <f>AO77*AO10</f>
        <v>53926.097177912299</v>
      </c>
      <c r="AP76" s="380"/>
      <c r="AQ76" s="374">
        <f>AQ77*AQ10</f>
        <v>54392.751231244431</v>
      </c>
      <c r="AR76" s="380"/>
      <c r="AS76" s="374">
        <f>AS77*AS10</f>
        <v>54139.903922329235</v>
      </c>
      <c r="AT76" s="380"/>
      <c r="AU76" s="374">
        <f>AU77*AU10</f>
        <v>52746.581602778548</v>
      </c>
      <c r="AV76" s="380"/>
      <c r="AW76" s="374">
        <f>AW77*AW10</f>
        <v>54659.243222445599</v>
      </c>
      <c r="AX76" s="380"/>
      <c r="AY76" s="374">
        <f>AY77*AY10</f>
        <v>54707.206301557802</v>
      </c>
      <c r="AZ76" s="380"/>
      <c r="BA76" s="374">
        <f>BA77*BA10</f>
        <v>53362.189251013951</v>
      </c>
      <c r="BB76" s="380"/>
      <c r="BC76" s="374">
        <f>BC77*BC10</f>
        <v>52263.344542393199</v>
      </c>
      <c r="BD76" s="380"/>
      <c r="BE76" s="374">
        <f>BE77*BE10</f>
        <v>65200</v>
      </c>
      <c r="BF76" s="380"/>
      <c r="BG76" s="374">
        <f>BG77*BG10</f>
        <v>65200</v>
      </c>
      <c r="BH76" s="380"/>
      <c r="BI76" s="374">
        <f>BI77*BI10</f>
        <v>61264.625615473109</v>
      </c>
      <c r="BJ76" s="380"/>
      <c r="BK76" s="374">
        <f>BK77*BK10</f>
        <v>64720</v>
      </c>
      <c r="BL76" s="380"/>
      <c r="BM76" s="374">
        <f>BM77*BM10</f>
        <v>64400</v>
      </c>
      <c r="BN76" s="380"/>
      <c r="BO76" s="374">
        <f>BO77*BO10</f>
        <v>64960</v>
      </c>
      <c r="BP76" s="380"/>
      <c r="BQ76" s="374">
        <f>BQ77*BQ10</f>
        <v>62320</v>
      </c>
      <c r="BR76" s="380"/>
      <c r="BS76" s="374">
        <f>BS77*BS10</f>
        <v>63040</v>
      </c>
      <c r="BT76" s="380"/>
      <c r="BU76" s="374">
        <f>BU77*BU10</f>
        <v>64080</v>
      </c>
      <c r="BV76" s="380"/>
      <c r="BW76" s="374">
        <f>BW77*BW10</f>
        <v>65440</v>
      </c>
      <c r="BX76" s="380"/>
      <c r="BY76" s="374">
        <f>BY77*BY10</f>
        <v>64840</v>
      </c>
      <c r="BZ76" s="380"/>
      <c r="CA76" s="374">
        <f>CA77*CA10</f>
        <v>62880</v>
      </c>
      <c r="CB76" s="380"/>
      <c r="CC76" s="374">
        <f>CC77*CC10</f>
        <v>62440</v>
      </c>
      <c r="CD76" s="380"/>
      <c r="CE76" s="374">
        <f>CE77*CE10</f>
        <v>64645.961468664063</v>
      </c>
      <c r="CF76" s="620"/>
      <c r="CG76" s="620"/>
      <c r="CH76" s="620"/>
      <c r="CI76" s="620"/>
      <c r="CJ76" s="380"/>
      <c r="CK76" s="374">
        <f>CK77*CK10</f>
        <v>53101.989031084384</v>
      </c>
      <c r="CL76" s="380"/>
      <c r="CM76" s="374">
        <f>CM77*CM10</f>
        <v>59228.33271919618</v>
      </c>
      <c r="CN76" s="380"/>
      <c r="CO76" s="374">
        <f>CO77*CO10</f>
        <v>57204.663133283982</v>
      </c>
      <c r="CP76" s="380"/>
      <c r="CQ76" s="374">
        <f>CQ77*CQ10</f>
        <v>56000</v>
      </c>
      <c r="CR76" s="380"/>
      <c r="CS76" s="374">
        <f>CS77*CS10</f>
        <v>55779.587654038245</v>
      </c>
      <c r="CT76" s="380"/>
      <c r="CU76" s="374">
        <f>CU77*CU10</f>
        <v>58000</v>
      </c>
      <c r="CV76" s="380"/>
      <c r="CW76" s="374">
        <f>CW77*CW10</f>
        <v>60000</v>
      </c>
      <c r="CX76" s="380"/>
      <c r="CY76" s="374">
        <f>CY77*CY10</f>
        <v>56000</v>
      </c>
      <c r="DA76" s="380"/>
      <c r="DB76" s="374">
        <f>DB77*DB10</f>
        <v>53895.590000000004</v>
      </c>
      <c r="DC76" s="380"/>
      <c r="DD76" s="374">
        <f>DD77*DD10</f>
        <v>53813.270000000004</v>
      </c>
      <c r="DE76" s="380"/>
      <c r="DF76" s="374">
        <f>DF77*DF10</f>
        <v>57360</v>
      </c>
      <c r="DG76" s="380"/>
      <c r="DH76" s="374">
        <f>DH77*DH10</f>
        <v>59680</v>
      </c>
      <c r="DI76" s="380"/>
      <c r="DJ76" s="374">
        <f>DJ77*DJ10</f>
        <v>61280</v>
      </c>
      <c r="DK76" s="380"/>
      <c r="DL76" s="374">
        <f>DL77*DL10</f>
        <v>59480</v>
      </c>
      <c r="DM76" s="380"/>
      <c r="DN76" s="374">
        <f>DN77*DN10</f>
        <v>61600</v>
      </c>
      <c r="DO76" s="380"/>
      <c r="DP76" s="374">
        <f>DP77*DP10</f>
        <v>59444.175302803429</v>
      </c>
      <c r="DR76" s="380"/>
      <c r="DS76" s="374">
        <f>DS77*DS10</f>
        <v>61600</v>
      </c>
      <c r="DT76" s="380"/>
      <c r="DU76" s="374">
        <f>DU77*DU10</f>
        <v>65440</v>
      </c>
    </row>
    <row r="77" spans="1:125" s="4" customFormat="1" ht="18" customHeight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G76/G10</f>
        <v>1214.8214239777094</v>
      </c>
      <c r="H77" s="127"/>
      <c r="I77" s="90">
        <f>I76/I10</f>
        <v>1258.3425551917569</v>
      </c>
      <c r="J77" s="127"/>
      <c r="K77" s="90">
        <f>K76/K10</f>
        <v>1258.3425551917569</v>
      </c>
      <c r="L77" s="127"/>
      <c r="M77" s="90">
        <f>M76/M10</f>
        <v>1258.3425551917569</v>
      </c>
      <c r="N77" s="684">
        <f>O77/I77-1</f>
        <v>1.4638348567957982E-2</v>
      </c>
      <c r="O77" s="622">
        <f>O74*O79/O10</f>
        <v>1276.7626121325488</v>
      </c>
      <c r="P77" s="380"/>
      <c r="Q77" s="622">
        <v>1309</v>
      </c>
      <c r="R77" s="380"/>
      <c r="S77" s="622">
        <v>1309</v>
      </c>
      <c r="T77" s="684">
        <f>U77/O77-1</f>
        <v>6.8434578129778822E-2</v>
      </c>
      <c r="U77" s="622">
        <f>U74*U79/U10</f>
        <v>1364.1373228657142</v>
      </c>
      <c r="V77" s="684">
        <f>W77/U77-1</f>
        <v>8.5295812500958412E-3</v>
      </c>
      <c r="W77" s="622">
        <f>W74*W79/W10</f>
        <v>1375.7728429973854</v>
      </c>
      <c r="X77" s="684">
        <f>Y77/W77-1</f>
        <v>5.8441502035277981E-2</v>
      </c>
      <c r="Y77" s="622">
        <f>Y74*Y79/Y10</f>
        <v>1456.1750744014973</v>
      </c>
      <c r="Z77" s="684">
        <f>AA77/Y77-1</f>
        <v>4.0659096094407543E-2</v>
      </c>
      <c r="AA77" s="622">
        <f>AA74*AA79/AA10</f>
        <v>1515.3818366818689</v>
      </c>
      <c r="AB77" s="684">
        <f>AC77/AA77-1</f>
        <v>-2.5904762493389022E-2</v>
      </c>
      <c r="AC77" s="622">
        <f>AC74*AC79/AC10</f>
        <v>1476.1262301158295</v>
      </c>
      <c r="AD77" s="684">
        <f>AE77/AC77-1</f>
        <v>6.3910330403105231E-3</v>
      </c>
      <c r="AE77" s="622">
        <f>AE74*AE79/AE10</f>
        <v>1485.5602016241687</v>
      </c>
      <c r="AF77" s="684">
        <f>AG77/AE77-1</f>
        <v>-4.766342023279968E-3</v>
      </c>
      <c r="AG77" s="622">
        <f>AG74*AG79/AG10</f>
        <v>1478.4795136070552</v>
      </c>
      <c r="AH77" s="684">
        <f>AI77/AG77-1</f>
        <v>-5.715874626447548E-2</v>
      </c>
      <c r="AI77" s="622">
        <f>AI74*AI79/AI10</f>
        <v>1393.9714782315643</v>
      </c>
      <c r="AJ77" s="684">
        <f>AK77/AI77-1</f>
        <v>-4.1308932973220802E-3</v>
      </c>
      <c r="AK77" s="622">
        <f>AK74*AK79/AK10</f>
        <v>1388.2131307954794</v>
      </c>
      <c r="AL77" s="684">
        <f>AM77/AK77-1</f>
        <v>-3.4536554082678084E-3</v>
      </c>
      <c r="AM77" s="622">
        <f>AM74*AM79/AM10</f>
        <v>1383.4187210084792</v>
      </c>
      <c r="AN77" s="684">
        <f>AO77/AM77-1</f>
        <v>-2.5492131214592484E-2</v>
      </c>
      <c r="AO77" s="622">
        <f>AO74*AO79/AO10</f>
        <v>1348.1524294478074</v>
      </c>
      <c r="AP77" s="684">
        <f>AQ77/AO77-1</f>
        <v>8.6535847716282532E-3</v>
      </c>
      <c r="AQ77" s="622">
        <f>AQ74*AQ79/AQ10</f>
        <v>1359.8187807811107</v>
      </c>
      <c r="AR77" s="684">
        <f>AS77/AQ77-1</f>
        <v>-4.6485478890422316E-3</v>
      </c>
      <c r="AS77" s="622">
        <f>AS74*AS79/AS10</f>
        <v>1353.4975980582308</v>
      </c>
      <c r="AT77" s="684">
        <f>AU77/AS77-1</f>
        <v>-2.5735589068454634E-2</v>
      </c>
      <c r="AU77" s="622">
        <f>AU74*AU79/AU10</f>
        <v>1318.6645400694638</v>
      </c>
      <c r="AV77" s="684">
        <f>AW77/AU77-1</f>
        <v>3.6261337920831194E-2</v>
      </c>
      <c r="AW77" s="622">
        <f>AW74*AW79/AW10</f>
        <v>1366.4810805611401</v>
      </c>
      <c r="AX77" s="684">
        <f>AY77/AW77-1</f>
        <v>8.774925572423431E-4</v>
      </c>
      <c r="AY77" s="622">
        <f>AY74*AY79/AY10</f>
        <v>1367.680157538945</v>
      </c>
      <c r="AZ77" s="684">
        <f>BA77/AY77-1</f>
        <v>-2.4585738177340444E-2</v>
      </c>
      <c r="BA77" s="622">
        <f>BA74*BA79/BA10</f>
        <v>1334.0547312753488</v>
      </c>
      <c r="BB77" s="684">
        <f>BC77/BA77-1</f>
        <v>-2.0592196910284688E-2</v>
      </c>
      <c r="BC77" s="622">
        <f>BC74*BC79/BC10</f>
        <v>1306.5836135598299</v>
      </c>
      <c r="BD77" s="684"/>
      <c r="BE77" s="622">
        <v>1630</v>
      </c>
      <c r="BF77" s="684"/>
      <c r="BG77" s="622">
        <v>1630</v>
      </c>
      <c r="BH77" s="684"/>
      <c r="BI77" s="622">
        <f>BI75*BI79</f>
        <v>1531.6156403868276</v>
      </c>
      <c r="BJ77" s="684"/>
      <c r="BK77" s="622">
        <v>1618</v>
      </c>
      <c r="BL77" s="684"/>
      <c r="BM77" s="622">
        <v>1610</v>
      </c>
      <c r="BN77" s="684"/>
      <c r="BO77" s="622">
        <v>1624</v>
      </c>
      <c r="BP77" s="684"/>
      <c r="BQ77" s="622">
        <v>1558</v>
      </c>
      <c r="BR77" s="684"/>
      <c r="BS77" s="622">
        <v>1576</v>
      </c>
      <c r="BT77" s="684"/>
      <c r="BU77" s="622">
        <v>1602</v>
      </c>
      <c r="BV77" s="684"/>
      <c r="BW77" s="622">
        <v>1636</v>
      </c>
      <c r="BX77" s="684"/>
      <c r="BY77" s="622">
        <v>1621</v>
      </c>
      <c r="BZ77" s="684"/>
      <c r="CA77" s="622">
        <v>1572</v>
      </c>
      <c r="CB77" s="684"/>
      <c r="CC77" s="622">
        <v>1561</v>
      </c>
      <c r="CD77" s="684"/>
      <c r="CE77" s="622">
        <f>CE75*CE79</f>
        <v>1616.1490367166016</v>
      </c>
      <c r="CF77" s="620"/>
      <c r="CG77" s="620"/>
      <c r="CH77" s="620"/>
      <c r="CI77" s="620"/>
      <c r="CJ77" s="684">
        <f>CK77/AE77-1</f>
        <v>-0.10636423597933331</v>
      </c>
      <c r="CK77" s="622">
        <f>(SUMPRODUCT(O77,O$131)+SUMPRODUCT(U77,U$131)+SUMPRODUCT(W77,W$131))/SUM(O$131,U$131,W$131)</f>
        <v>1327.5497257771096</v>
      </c>
      <c r="CL77" s="684">
        <f>CM77/AG77-1</f>
        <v>1.5074976368198989E-3</v>
      </c>
      <c r="CM77" s="622">
        <f>(SUMPRODUCT(AC77,AC$131)+SUMPRODUCT(AA77,AA$131)+SUMPRODUCT(Y77,Y$131))/SUM(AC$131,AA$131,Y$131)</f>
        <v>1480.7083179799045</v>
      </c>
      <c r="CN77" s="684">
        <f>CO77/AI77-1</f>
        <v>2.5929583685880164E-2</v>
      </c>
      <c r="CO77" s="622">
        <f>(SUMPRODUCT(AI77,AI$131)+SUMPRODUCT(AG77,AG$131)+SUMPRODUCT(AE77,AE$131))/SUM(AI$131,AG$131,AE$131)</f>
        <v>1430.1165783320996</v>
      </c>
      <c r="CP77" s="684">
        <f>CQ77/CK77-1</f>
        <v>5.4574433496628494E-2</v>
      </c>
      <c r="CQ77" s="622">
        <v>1400</v>
      </c>
      <c r="CR77" s="684">
        <f>CS77/AI77-1</f>
        <v>3.7175302901393259E-4</v>
      </c>
      <c r="CS77" s="622">
        <f>(SUMPRODUCT(O77,O$131)+SUMPRODUCT(U77,U$131)+SUMPRODUCT(W77,W$131)+SUMPRODUCT(Y77,Y$131)+SUMPRODUCT(AA77,AA$131)+SUMPRODUCT(AC77,AC$131))/SUM(O$131,U$131,W$131,Y$131,AA$131,AC$131)</f>
        <v>1394.489691350956</v>
      </c>
      <c r="CT77" s="684">
        <f>CU77/CO77-1</f>
        <v>1.3903357229163582E-2</v>
      </c>
      <c r="CU77" s="622">
        <v>1450</v>
      </c>
      <c r="CV77" s="684">
        <f>CW77/CM77-1</f>
        <v>1.3028684843490845E-2</v>
      </c>
      <c r="CW77" s="622">
        <v>1500</v>
      </c>
      <c r="CX77" s="684">
        <f>CY77/CO77-1</f>
        <v>-2.1058827502876465E-2</v>
      </c>
      <c r="CY77" s="622">
        <v>1400</v>
      </c>
      <c r="DA77" s="684"/>
      <c r="DB77" s="622">
        <f>DB75*DB79</f>
        <v>1347.38975</v>
      </c>
      <c r="DC77" s="684"/>
      <c r="DD77" s="622">
        <f>DD75*DD79</f>
        <v>1345.3317500000001</v>
      </c>
      <c r="DE77" s="684"/>
      <c r="DF77" s="622">
        <v>1434</v>
      </c>
      <c r="DG77" s="684"/>
      <c r="DH77" s="622">
        <v>1492</v>
      </c>
      <c r="DI77" s="684"/>
      <c r="DJ77" s="622">
        <v>1532</v>
      </c>
      <c r="DK77" s="684"/>
      <c r="DL77" s="622">
        <v>1487</v>
      </c>
      <c r="DM77" s="684"/>
      <c r="DN77" s="622">
        <v>1540</v>
      </c>
      <c r="DO77" s="684"/>
      <c r="DP77" s="622">
        <f>DP75*DP79</f>
        <v>1486.1043825700858</v>
      </c>
      <c r="DR77" s="684"/>
      <c r="DS77" s="622">
        <v>1540</v>
      </c>
      <c r="DT77" s="684"/>
      <c r="DU77" s="622">
        <v>1636</v>
      </c>
    </row>
    <row r="78" spans="1:125" s="4" customFormat="1" ht="18" customHeight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380"/>
      <c r="O78" s="374"/>
      <c r="P78" s="380"/>
      <c r="Q78" s="374"/>
      <c r="R78" s="380"/>
      <c r="S78" s="374"/>
      <c r="T78" s="380"/>
      <c r="U78" s="374"/>
      <c r="V78" s="380"/>
      <c r="W78" s="374"/>
      <c r="X78" s="380"/>
      <c r="Y78" s="374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>
        <f>AK74/AK67</f>
        <v>0.62744578412375562</v>
      </c>
      <c r="AL78" s="380"/>
      <c r="AM78" s="374">
        <f>AM74/AM67</f>
        <v>0.61620636487416425</v>
      </c>
      <c r="AN78" s="380"/>
      <c r="AO78" s="374">
        <f>AO74/AO67</f>
        <v>0.60134356071904504</v>
      </c>
      <c r="AP78" s="380"/>
      <c r="AQ78" s="374">
        <f>AQ74/AQ67</f>
        <v>0.6181401868673666</v>
      </c>
      <c r="AR78" s="380"/>
      <c r="AS78" s="374">
        <f>AS74/AS67</f>
        <v>0.62488664441889175</v>
      </c>
      <c r="AT78" s="380"/>
      <c r="AU78" s="374">
        <f>AU74/AU67</f>
        <v>0.60159083016678605</v>
      </c>
      <c r="AV78" s="380"/>
      <c r="AW78" s="374">
        <f>AW74/AW67</f>
        <v>0.64107420498479739</v>
      </c>
      <c r="AX78" s="380"/>
      <c r="AY78" s="374">
        <f>AY74/AY67</f>
        <v>0.64485668495319237</v>
      </c>
      <c r="AZ78" s="380"/>
      <c r="BA78" s="374">
        <f>BA74/BA67</f>
        <v>0.62225894578329521</v>
      </c>
      <c r="BB78" s="380"/>
      <c r="BC78" s="374">
        <f>BC74/BC67</f>
        <v>0.60944526704253954</v>
      </c>
      <c r="BD78" s="380"/>
      <c r="BE78" s="374">
        <f>BE74/BE67</f>
        <v>0.75725900116144018</v>
      </c>
      <c r="BF78" s="380"/>
      <c r="BG78" s="374">
        <f>BG74/BG67</f>
        <v>0.75725900116144018</v>
      </c>
      <c r="BH78" s="380"/>
      <c r="BI78" s="374">
        <f>BI74/BI67</f>
        <v>0.67593544361090763</v>
      </c>
      <c r="BJ78" s="380"/>
      <c r="BK78" s="374">
        <f>BK74/BK67</f>
        <v>0.70668229695331708</v>
      </c>
      <c r="BL78" s="380"/>
      <c r="BM78" s="374">
        <f>BM74/BM67</f>
        <v>0.68642373235443332</v>
      </c>
      <c r="BN78" s="380"/>
      <c r="BO78" s="374">
        <f>BO74/BO67</f>
        <v>0.6918758270344515</v>
      </c>
      <c r="BP78" s="380"/>
      <c r="BQ78" s="374">
        <f>BQ74/BQ67</f>
        <v>0.65519941528288383</v>
      </c>
      <c r="BR78" s="380"/>
      <c r="BS78" s="374">
        <f>BS74/BS67</f>
        <v>0.66370637899318785</v>
      </c>
      <c r="BT78" s="380"/>
      <c r="BU78" s="374">
        <f>BU74/BU67</f>
        <v>0.68720503161057356</v>
      </c>
      <c r="BV78" s="380"/>
      <c r="BW78" s="374">
        <f>BW74/BW67</f>
        <v>0.7284326498117919</v>
      </c>
      <c r="BX78" s="380"/>
      <c r="BY78" s="374">
        <f>BY74/BY67</f>
        <v>0.7172312484513822</v>
      </c>
      <c r="BZ78" s="380"/>
      <c r="CA78" s="374">
        <f>CA74/CA67</f>
        <v>0.6828031763378295</v>
      </c>
      <c r="CB78" s="380"/>
      <c r="CC78" s="374">
        <f>CC74/CC67</f>
        <v>0.66940776495854049</v>
      </c>
      <c r="CD78" s="380"/>
      <c r="CE78" s="374">
        <f>CE74/CE67</f>
        <v>0.70587386494794735</v>
      </c>
      <c r="CF78" s="620"/>
      <c r="CG78" s="620"/>
      <c r="CH78" s="620"/>
      <c r="CI78" s="620"/>
      <c r="CJ78" s="380"/>
      <c r="CK78" s="374"/>
      <c r="CL78" s="380"/>
      <c r="CM78" s="374"/>
      <c r="CN78" s="380"/>
      <c r="CO78" s="374"/>
      <c r="CP78" s="380"/>
      <c r="CQ78" s="374"/>
      <c r="CR78" s="380"/>
      <c r="CS78" s="374"/>
      <c r="CT78" s="380"/>
      <c r="CU78" s="374"/>
      <c r="CV78" s="380"/>
      <c r="CW78" s="374"/>
      <c r="CX78" s="380"/>
      <c r="CY78" s="374"/>
      <c r="DA78" s="380"/>
      <c r="DB78" s="374">
        <f>DB74/DB67</f>
        <v>0.59756097560975607</v>
      </c>
      <c r="DC78" s="380"/>
      <c r="DD78" s="374">
        <f>DD74/DD67</f>
        <v>0.58732876712328774</v>
      </c>
      <c r="DE78" s="380"/>
      <c r="DF78" s="374">
        <f>DF74/DF67</f>
        <v>0.62556001580913179</v>
      </c>
      <c r="DG78" s="380"/>
      <c r="DH78" s="374">
        <f>DH74/DH67</f>
        <v>0.65165017741307107</v>
      </c>
      <c r="DI78" s="380"/>
      <c r="DJ78" s="374">
        <f>DJ74/DJ67</f>
        <v>0.65268089102018456</v>
      </c>
      <c r="DK78" s="380"/>
      <c r="DL78" s="374">
        <f>DL74/DL67</f>
        <v>0.62534116208321455</v>
      </c>
      <c r="DM78" s="380"/>
      <c r="DN78" s="374">
        <f>DN74/DN67</f>
        <v>0.64762971728860141</v>
      </c>
      <c r="DO78" s="380"/>
      <c r="DP78" s="374">
        <f>DP74/DP67</f>
        <v>0.64907519072127273</v>
      </c>
      <c r="DR78" s="380"/>
      <c r="DS78" s="374">
        <f>DS74/DS67</f>
        <v>0.68051259390190011</v>
      </c>
      <c r="DT78" s="380"/>
      <c r="DU78" s="374">
        <f>DU74/DU67</f>
        <v>0.72293415819708351</v>
      </c>
    </row>
    <row r="79" spans="1:125" s="4" customFormat="1" ht="18" customHeight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v>14229</v>
      </c>
      <c r="H79" s="42"/>
      <c r="I79" s="88">
        <v>14229</v>
      </c>
      <c r="J79" s="42"/>
      <c r="K79" s="88">
        <v>14229</v>
      </c>
      <c r="L79" s="42"/>
      <c r="M79" s="88">
        <v>14229</v>
      </c>
      <c r="N79" s="359"/>
      <c r="O79" s="372">
        <v>14329</v>
      </c>
      <c r="P79" s="359"/>
      <c r="Q79" s="372">
        <v>14200</v>
      </c>
      <c r="R79" s="359"/>
      <c r="S79" s="372">
        <v>14200</v>
      </c>
      <c r="T79" s="359"/>
      <c r="U79" s="372">
        <v>14353</v>
      </c>
      <c r="V79" s="359"/>
      <c r="W79" s="372">
        <v>14347</v>
      </c>
      <c r="X79" s="359"/>
      <c r="Y79" s="372">
        <v>14367</v>
      </c>
      <c r="Z79" s="359"/>
      <c r="AA79" s="372">
        <v>14617</v>
      </c>
      <c r="AB79" s="359"/>
      <c r="AC79" s="372">
        <v>14673</v>
      </c>
      <c r="AD79" s="359"/>
      <c r="AE79" s="372">
        <v>14979</v>
      </c>
      <c r="AF79" s="359"/>
      <c r="AG79" s="372">
        <v>14853</v>
      </c>
      <c r="AH79" s="359"/>
      <c r="AI79" s="372">
        <v>15037</v>
      </c>
      <c r="AJ79" s="359"/>
      <c r="AK79" s="372">
        <v>15418</v>
      </c>
      <c r="AL79" s="359"/>
      <c r="AM79" s="372">
        <v>15645</v>
      </c>
      <c r="AN79" s="359"/>
      <c r="AO79" s="372">
        <v>15623</v>
      </c>
      <c r="AP79" s="359"/>
      <c r="AQ79" s="372">
        <v>15330</v>
      </c>
      <c r="AR79" s="359"/>
      <c r="AS79" s="372">
        <v>15094</v>
      </c>
      <c r="AT79" s="359"/>
      <c r="AU79" s="372">
        <v>15275</v>
      </c>
      <c r="AV79" s="359"/>
      <c r="AW79" s="372">
        <v>14854</v>
      </c>
      <c r="AX79" s="359"/>
      <c r="AY79" s="372">
        <v>14779.83</v>
      </c>
      <c r="AZ79" s="359"/>
      <c r="BA79" s="372">
        <v>14940</v>
      </c>
      <c r="BB79" s="359"/>
      <c r="BC79" s="372">
        <v>14940</v>
      </c>
      <c r="BD79" s="359"/>
      <c r="BE79" s="372">
        <v>15000</v>
      </c>
      <c r="BF79" s="359"/>
      <c r="BG79" s="372">
        <v>15000</v>
      </c>
      <c r="BH79" s="359"/>
      <c r="BI79" s="372">
        <v>15520</v>
      </c>
      <c r="BJ79" s="359"/>
      <c r="BK79" s="372">
        <v>15682</v>
      </c>
      <c r="BL79" s="359"/>
      <c r="BM79" s="372">
        <v>16065</v>
      </c>
      <c r="BN79" s="359"/>
      <c r="BO79" s="372">
        <v>16077</v>
      </c>
      <c r="BP79" s="359"/>
      <c r="BQ79" s="372">
        <v>16287</v>
      </c>
      <c r="BR79" s="359"/>
      <c r="BS79" s="372">
        <v>16264</v>
      </c>
      <c r="BT79" s="359"/>
      <c r="BU79" s="372">
        <v>15967</v>
      </c>
      <c r="BV79" s="359"/>
      <c r="BW79" s="372">
        <v>15383</v>
      </c>
      <c r="BX79" s="359"/>
      <c r="BY79" s="372">
        <v>15480</v>
      </c>
      <c r="BZ79" s="359"/>
      <c r="CA79" s="372">
        <v>15769</v>
      </c>
      <c r="CB79" s="359"/>
      <c r="CC79" s="372">
        <v>15972</v>
      </c>
      <c r="CD79" s="359"/>
      <c r="CE79" s="372">
        <v>15682</v>
      </c>
      <c r="CF79" s="620"/>
      <c r="CG79" s="620"/>
      <c r="CH79" s="620"/>
      <c r="CI79" s="620"/>
      <c r="CJ79" s="359"/>
      <c r="CK79" s="372">
        <f>(SUMPRODUCT(O79,O$131)+SUMPRODUCT(U79,U$131)+SUMPRODUCT(W79,W$131))/SUM(O$131,U$131,W$131)</f>
        <v>14340.030523498615</v>
      </c>
      <c r="CL79" s="359"/>
      <c r="CM79" s="372">
        <f>(SUMPRODUCT(AC79,AC$131)+SUMPRODUCT(AA79,AA$131)+SUMPRODUCT(Y79,Y$131))/SUM(AC$131,AA$131,Y$131)</f>
        <v>14560.673565428369</v>
      </c>
      <c r="CN79" s="359"/>
      <c r="CO79" s="372">
        <f>(SUMPRODUCT(AI79,AI$131)+SUMPRODUCT(AG79,AG$131)+SUMPRODUCT(AE79,AE$131))/SUM(AI$131,AG$131,AE$131)</f>
        <v>14989.334992089991</v>
      </c>
      <c r="CP79" s="359"/>
      <c r="CQ79" s="372">
        <v>15000</v>
      </c>
      <c r="CR79" s="359"/>
      <c r="CS79" s="372">
        <f>(SUMPRODUCT(O79,O$131)+SUMPRODUCT(U79,U$131)+SUMPRODUCT(W79,W$131)+SUMPRODUCT(Y79,Y$131)+SUMPRODUCT(AA79,AA$131)+SUMPRODUCT(AC79,AC$131))/SUM(O$131,U$131,W$131,Y$131,AA$131,AC$131)</f>
        <v>14436.465450318326</v>
      </c>
      <c r="CT79" s="359"/>
      <c r="CU79" s="372">
        <v>14800</v>
      </c>
      <c r="CV79" s="359"/>
      <c r="CW79" s="372">
        <v>15400</v>
      </c>
      <c r="CX79" s="359"/>
      <c r="CY79" s="372">
        <v>15400</v>
      </c>
      <c r="DA79" s="359"/>
      <c r="DB79" s="372">
        <v>15713</v>
      </c>
      <c r="DC79" s="359"/>
      <c r="DD79" s="372">
        <v>15689</v>
      </c>
      <c r="DE79" s="359"/>
      <c r="DF79" s="372">
        <v>15701</v>
      </c>
      <c r="DG79" s="359"/>
      <c r="DH79" s="372">
        <v>15682</v>
      </c>
      <c r="DI79" s="359"/>
      <c r="DJ79" s="372">
        <v>16077</v>
      </c>
      <c r="DK79" s="359"/>
      <c r="DL79" s="372">
        <v>16287</v>
      </c>
      <c r="DM79" s="359"/>
      <c r="DN79" s="372">
        <v>16287</v>
      </c>
      <c r="DO79" s="359"/>
      <c r="DP79" s="372">
        <v>15682</v>
      </c>
      <c r="DR79" s="359"/>
      <c r="DS79" s="372">
        <v>15500</v>
      </c>
      <c r="DT79" s="359"/>
      <c r="DU79" s="372">
        <v>15500</v>
      </c>
    </row>
    <row r="80" spans="1:125" s="4" customFormat="1" ht="18" customHeight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368">
        <f>+G67-G74</f>
        <v>2.0248182665873764</v>
      </c>
      <c r="H80" s="50"/>
      <c r="I80" s="72">
        <f>+I67-I74</f>
        <v>1.7655932247388475</v>
      </c>
      <c r="J80" s="50"/>
      <c r="K80" s="72">
        <f>+K67-K74</f>
        <v>1.7655932247388475</v>
      </c>
      <c r="L80" s="50"/>
      <c r="M80" s="72">
        <f>+M67-M74</f>
        <v>1.7655932247388475</v>
      </c>
      <c r="N80" s="363"/>
      <c r="O80" s="368">
        <f>+O67-O74</f>
        <v>2.1495953613377488</v>
      </c>
      <c r="P80" s="363"/>
      <c r="Q80" s="368">
        <f>+Q67-Q74</f>
        <v>2.0526760563380284</v>
      </c>
      <c r="R80" s="363"/>
      <c r="S80" s="368">
        <f>+S67-S74</f>
        <v>2.0526760563380284</v>
      </c>
      <c r="T80" s="363"/>
      <c r="U80" s="368">
        <f>+U67-U74</f>
        <v>1.9383214021717716</v>
      </c>
      <c r="V80" s="363"/>
      <c r="W80" s="368">
        <f>+W67-W74</f>
        <v>1.904291230229636</v>
      </c>
      <c r="X80" s="363"/>
      <c r="Y80" s="368">
        <f>+Y67-Y74</f>
        <v>1.6857783130744144</v>
      </c>
      <c r="Z80" s="363"/>
      <c r="AA80" s="368">
        <f>+AA67-AA74</f>
        <v>1.5930975256704691</v>
      </c>
      <c r="AB80" s="363"/>
      <c r="AC80" s="368">
        <f>+AC67-AC74</f>
        <v>1.7159388533610596</v>
      </c>
      <c r="AD80" s="363"/>
      <c r="AE80" s="368">
        <f>+AE67-AE74</f>
        <v>1.7729522621692544</v>
      </c>
      <c r="AF80" s="363"/>
      <c r="AG80" s="368">
        <f>+AG67-AG74</f>
        <v>1.7583679698187433</v>
      </c>
      <c r="AH80" s="363"/>
      <c r="AI80" s="368">
        <f>+AI67-AI74</f>
        <v>2.0318893975352417</v>
      </c>
      <c r="AJ80" s="363"/>
      <c r="AK80" s="368">
        <f>+AK67-AK74</f>
        <v>2.1384611991296425</v>
      </c>
      <c r="AL80" s="363"/>
      <c r="AM80" s="368">
        <f>+AM67-AM74</f>
        <v>2.2029754656222971</v>
      </c>
      <c r="AN80" s="363"/>
      <c r="AO80" s="368">
        <f>+AO67-AO74</f>
        <v>2.2882879614726814</v>
      </c>
      <c r="AP80" s="363"/>
      <c r="AQ80" s="368">
        <f>+AQ67-AQ74</f>
        <v>2.1918753273813159</v>
      </c>
      <c r="AR80" s="363"/>
      <c r="AS80" s="368">
        <f>+AS67-AS74</f>
        <v>2.1531506610355615</v>
      </c>
      <c r="AT80" s="363"/>
      <c r="AU80" s="368">
        <f>+AU67-AU74</f>
        <v>2.2868686348426484</v>
      </c>
      <c r="AV80" s="363"/>
      <c r="AW80" s="368">
        <f>+AW67-AW74</f>
        <v>2.0602340633872629</v>
      </c>
      <c r="AX80" s="363"/>
      <c r="AY80" s="368">
        <f>+AY67-AY74</f>
        <v>2.0385226283686757</v>
      </c>
      <c r="AZ80" s="363"/>
      <c r="BA80" s="368">
        <f>+BA67-BA74</f>
        <v>2.1682336512038858</v>
      </c>
      <c r="BB80" s="363"/>
      <c r="BC80" s="368">
        <f>+BC67-BC74</f>
        <v>2.2417841671758234</v>
      </c>
      <c r="BD80" s="363"/>
      <c r="BE80" s="368">
        <f>+BE67-BE74</f>
        <v>1.3933333333333335</v>
      </c>
      <c r="BF80" s="363"/>
      <c r="BG80" s="368">
        <f>+BG67-BG74</f>
        <v>1.3933333333333335</v>
      </c>
      <c r="BH80" s="363"/>
      <c r="BI80" s="368">
        <f>+BI67-BI74</f>
        <v>1.8925370093122997</v>
      </c>
      <c r="BJ80" s="363"/>
      <c r="BK80" s="368">
        <f>+BK67-BK74</f>
        <v>1.7129753857926282</v>
      </c>
      <c r="BL80" s="363"/>
      <c r="BM80" s="368">
        <f>+BM67-BM74</f>
        <v>1.8312854030501091</v>
      </c>
      <c r="BN80" s="363"/>
      <c r="BO80" s="368">
        <f>+BO67-BO74</f>
        <v>1.799445170118803</v>
      </c>
      <c r="BP80" s="363"/>
      <c r="BQ80" s="368">
        <f>+BQ67-BQ74</f>
        <v>2.013635414747958</v>
      </c>
      <c r="BR80" s="363"/>
      <c r="BS80" s="368">
        <f>+BS67-BS74</f>
        <v>1.9639547466797831</v>
      </c>
      <c r="BT80" s="363"/>
      <c r="BU80" s="368">
        <f>+BU67-BU74</f>
        <v>1.8267226153942504</v>
      </c>
      <c r="BV80" s="363"/>
      <c r="BW80" s="368">
        <f>+BW67-BW74</f>
        <v>1.5859533250991351</v>
      </c>
      <c r="BX80" s="363"/>
      <c r="BY80" s="368">
        <f>+BY67-BY74</f>
        <v>1.6513695090439278</v>
      </c>
      <c r="BZ80" s="363"/>
      <c r="CA80" s="368">
        <f>+CA67-CA74</f>
        <v>1.8524294501870755</v>
      </c>
      <c r="CB80" s="363"/>
      <c r="CC80" s="368">
        <f>+CC67-CC74</f>
        <v>1.9306586526421237</v>
      </c>
      <c r="CD80" s="363"/>
      <c r="CE80" s="368">
        <f>+CE67-CE74</f>
        <v>1.7176966287039876</v>
      </c>
      <c r="CF80" s="620"/>
      <c r="CG80" s="620"/>
      <c r="CH80" s="620"/>
      <c r="CI80" s="620"/>
      <c r="CJ80" s="363"/>
      <c r="CK80" s="368">
        <f>+CK67-CK74</f>
        <v>2.02482985635775</v>
      </c>
      <c r="CL80" s="363"/>
      <c r="CM80" s="368">
        <f>+CM67-CM74</f>
        <v>1.6723081825127295</v>
      </c>
      <c r="CN80" s="363"/>
      <c r="CO80" s="368">
        <f>+CO67-CO74</f>
        <v>1.923642358819027</v>
      </c>
      <c r="CP80" s="363"/>
      <c r="CQ80" s="368">
        <f>+CQ67-CQ74</f>
        <v>2.0066666666666668</v>
      </c>
      <c r="CR80" s="363"/>
      <c r="CS80" s="368">
        <f>+CS67-CS74</f>
        <v>1.8693844888646565</v>
      </c>
      <c r="CT80" s="363"/>
      <c r="CU80" s="368">
        <f>+CU67-CU74</f>
        <v>1.8210810810810814</v>
      </c>
      <c r="CV80" s="363"/>
      <c r="CW80" s="368">
        <f>+CW67-CW74</f>
        <v>2.3538961038961039</v>
      </c>
      <c r="CX80" s="363"/>
      <c r="CY80" s="368">
        <f>+CY67-CY74</f>
        <v>2.103636363636364</v>
      </c>
      <c r="DA80" s="363"/>
      <c r="DB80" s="368">
        <f>+DB67-DB74</f>
        <v>2.31</v>
      </c>
      <c r="DC80" s="363"/>
      <c r="DD80" s="368">
        <f>+DD67-DD74</f>
        <v>2.4099999999999997</v>
      </c>
      <c r="DE80" s="363"/>
      <c r="DF80" s="368">
        <f>+DF67-DF74</f>
        <v>2.1867295076746704</v>
      </c>
      <c r="DG80" s="363"/>
      <c r="DH80" s="368">
        <f>+DH67-DH74</f>
        <v>2.0343629639076646</v>
      </c>
      <c r="DI80" s="363"/>
      <c r="DJ80" s="368">
        <f>+DJ67-DJ74</f>
        <v>2.0283435964421224</v>
      </c>
      <c r="DK80" s="363"/>
      <c r="DL80" s="368">
        <f>+DL67-DL74</f>
        <v>2.1880076134340269</v>
      </c>
      <c r="DM80" s="363"/>
      <c r="DN80" s="368">
        <f>+DN67-DN74</f>
        <v>2.0578424510345674</v>
      </c>
      <c r="DO80" s="363"/>
      <c r="DP80" s="368">
        <f>+DP67-DP74</f>
        <v>2.0494008861877675</v>
      </c>
      <c r="DR80" s="363"/>
      <c r="DS80" s="368">
        <f>+DS67-DS74</f>
        <v>1.8658064516129031</v>
      </c>
      <c r="DT80" s="363"/>
      <c r="DU80" s="368">
        <f>+DU67-DU74</f>
        <v>1.6180645161290323</v>
      </c>
    </row>
    <row r="81" spans="1:125" s="4" customFormat="1" ht="18" customHeight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5.0620456664684413E-2</v>
      </c>
      <c r="H81" s="50"/>
      <c r="I81" s="72">
        <f>+I80/I10</f>
        <v>4.4139830618471189E-2</v>
      </c>
      <c r="J81" s="50"/>
      <c r="K81" s="72">
        <f>+K80/K10</f>
        <v>4.4139830618471189E-2</v>
      </c>
      <c r="L81" s="50"/>
      <c r="M81" s="72">
        <f>+M80/M10</f>
        <v>4.4139830618471189E-2</v>
      </c>
      <c r="N81" s="363"/>
      <c r="O81" s="368">
        <f>+O80/O10</f>
        <v>5.3739884033443722E-2</v>
      </c>
      <c r="P81" s="363"/>
      <c r="Q81" s="368">
        <f>+Q80/Q10</f>
        <v>5.1316901408450709E-2</v>
      </c>
      <c r="R81" s="363"/>
      <c r="S81" s="368">
        <f>+S80/S10</f>
        <v>5.1316901408450709E-2</v>
      </c>
      <c r="T81" s="363"/>
      <c r="U81" s="368">
        <f>+U80/U10</f>
        <v>4.8458035054294288E-2</v>
      </c>
      <c r="V81" s="363"/>
      <c r="W81" s="368">
        <f>+W80/W10</f>
        <v>4.7607280755740902E-2</v>
      </c>
      <c r="X81" s="363"/>
      <c r="Y81" s="368">
        <f>+Y80/Y10</f>
        <v>4.2144457826860361E-2</v>
      </c>
      <c r="Z81" s="363"/>
      <c r="AA81" s="368">
        <f>+AA80/AA10</f>
        <v>3.9827438141761727E-2</v>
      </c>
      <c r="AB81" s="363"/>
      <c r="AC81" s="368">
        <f>+AC80/AC10</f>
        <v>4.2898471334026488E-2</v>
      </c>
      <c r="AD81" s="363"/>
      <c r="AE81" s="368">
        <f>+AE80/AE10</f>
        <v>4.4323806554231363E-2</v>
      </c>
      <c r="AF81" s="363"/>
      <c r="AG81" s="368">
        <f>+AG80/AG10</f>
        <v>4.395919924546858E-2</v>
      </c>
      <c r="AH81" s="363"/>
      <c r="AI81" s="368">
        <f>+AI80/AI10</f>
        <v>5.0797234938381043E-2</v>
      </c>
      <c r="AJ81" s="363"/>
      <c r="AK81" s="368">
        <f>+AK80/AK10</f>
        <v>5.3461529978241065E-2</v>
      </c>
      <c r="AL81" s="363"/>
      <c r="AM81" s="368">
        <f>+AM80/AM10</f>
        <v>5.5074386640557429E-2</v>
      </c>
      <c r="AN81" s="363"/>
      <c r="AO81" s="368">
        <f>+AO80/AO10</f>
        <v>5.7207199036817036E-2</v>
      </c>
      <c r="AP81" s="363"/>
      <c r="AQ81" s="368">
        <f>+AQ80/AQ10</f>
        <v>5.4796883184532894E-2</v>
      </c>
      <c r="AR81" s="363"/>
      <c r="AS81" s="368">
        <f>+AS80/AS10</f>
        <v>5.3828766525889041E-2</v>
      </c>
      <c r="AT81" s="363"/>
      <c r="AU81" s="368">
        <f>+AU80/AU10</f>
        <v>5.717171587106621E-2</v>
      </c>
      <c r="AV81" s="363"/>
      <c r="AW81" s="368">
        <f>+AW80/AW10</f>
        <v>5.1505851584681572E-2</v>
      </c>
      <c r="AX81" s="363"/>
      <c r="AY81" s="368">
        <f>+AY80/AY10</f>
        <v>5.0963065709216895E-2</v>
      </c>
      <c r="AZ81" s="363"/>
      <c r="BA81" s="368">
        <f>+BA80/BA10</f>
        <v>5.4205841280097145E-2</v>
      </c>
      <c r="BB81" s="363"/>
      <c r="BC81" s="368">
        <f>+BC80/BC10</f>
        <v>5.6044604179395587E-2</v>
      </c>
      <c r="BD81" s="363"/>
      <c r="BE81" s="368">
        <f>+BE80/BE10</f>
        <v>3.4833333333333341E-2</v>
      </c>
      <c r="BF81" s="363"/>
      <c r="BG81" s="368">
        <f>+BG80/BG10</f>
        <v>3.4833333333333341E-2</v>
      </c>
      <c r="BH81" s="363"/>
      <c r="BI81" s="368">
        <f>+BI80/BI10</f>
        <v>4.7313425232807495E-2</v>
      </c>
      <c r="BJ81" s="363"/>
      <c r="BK81" s="368">
        <f>+BK80/BK10</f>
        <v>4.2824384644815708E-2</v>
      </c>
      <c r="BL81" s="363"/>
      <c r="BM81" s="368">
        <f>+BM80/BM10</f>
        <v>4.5782135076252728E-2</v>
      </c>
      <c r="BN81" s="363"/>
      <c r="BO81" s="368">
        <f>+BO80/BO10</f>
        <v>4.4986129252970075E-2</v>
      </c>
      <c r="BP81" s="363"/>
      <c r="BQ81" s="368">
        <f>+BQ80/BQ10</f>
        <v>5.0340885368698948E-2</v>
      </c>
      <c r="BR81" s="363"/>
      <c r="BS81" s="368">
        <f>+BS80/BS10</f>
        <v>4.9098868666994575E-2</v>
      </c>
      <c r="BT81" s="363"/>
      <c r="BU81" s="368">
        <f>+BU80/BU10</f>
        <v>4.5668065384856259E-2</v>
      </c>
      <c r="BV81" s="363"/>
      <c r="BW81" s="368">
        <f>+BW80/BW10</f>
        <v>3.9648833127478376E-2</v>
      </c>
      <c r="BX81" s="363"/>
      <c r="BY81" s="368">
        <f>+BY80/BY10</f>
        <v>4.1284237726098197E-2</v>
      </c>
      <c r="BZ81" s="363"/>
      <c r="CA81" s="368">
        <f>+CA80/CA10</f>
        <v>4.6310736254676889E-2</v>
      </c>
      <c r="CB81" s="363"/>
      <c r="CC81" s="368">
        <f>+CC80/CC10</f>
        <v>4.8266466316053094E-2</v>
      </c>
      <c r="CD81" s="363"/>
      <c r="CE81" s="368">
        <f>+CE80/CE10</f>
        <v>4.2942415717599693E-2</v>
      </c>
      <c r="CF81" s="620"/>
      <c r="CG81" s="620"/>
      <c r="CH81" s="620"/>
      <c r="CI81" s="620"/>
      <c r="CJ81" s="363"/>
      <c r="CK81" s="368">
        <f>+CK80/CK10</f>
        <v>5.0620746408943748E-2</v>
      </c>
      <c r="CL81" s="363"/>
      <c r="CM81" s="368">
        <f>+CM80/CM10</f>
        <v>4.1807704562818238E-2</v>
      </c>
      <c r="CN81" s="363"/>
      <c r="CO81" s="368">
        <f>+CO80/CO10</f>
        <v>4.8091058970475678E-2</v>
      </c>
      <c r="CP81" s="363"/>
      <c r="CQ81" s="368">
        <f>+CQ80/CQ10</f>
        <v>5.0166666666666672E-2</v>
      </c>
      <c r="CR81" s="363"/>
      <c r="CS81" s="368">
        <f>+CS80/CS10</f>
        <v>4.6734612221616414E-2</v>
      </c>
      <c r="CT81" s="363"/>
      <c r="CU81" s="368">
        <f>+CU80/CU10</f>
        <v>4.5527027027027031E-2</v>
      </c>
      <c r="CV81" s="363"/>
      <c r="CW81" s="368">
        <f>+CW80/CW10</f>
        <v>5.88474025974026E-2</v>
      </c>
      <c r="CX81" s="363"/>
      <c r="CY81" s="368">
        <f>+CY80/CY10</f>
        <v>5.2590909090909098E-2</v>
      </c>
      <c r="DA81" s="363"/>
      <c r="DB81" s="368">
        <f>+DB80/DB10</f>
        <v>5.7750000000000003E-2</v>
      </c>
      <c r="DC81" s="363"/>
      <c r="DD81" s="368">
        <f>+DD80/DD10</f>
        <v>6.0249999999999991E-2</v>
      </c>
      <c r="DE81" s="363"/>
      <c r="DF81" s="368">
        <f>+DF80/DF10</f>
        <v>5.466823769186676E-2</v>
      </c>
      <c r="DG81" s="363"/>
      <c r="DH81" s="368">
        <f>+DH80/DH10</f>
        <v>5.0859074097691616E-2</v>
      </c>
      <c r="DI81" s="363"/>
      <c r="DJ81" s="368">
        <f>+DJ80/DJ10</f>
        <v>5.0708589911053058E-2</v>
      </c>
      <c r="DK81" s="363"/>
      <c r="DL81" s="368">
        <f>+DL80/DL10</f>
        <v>5.4700190335850676E-2</v>
      </c>
      <c r="DM81" s="363"/>
      <c r="DN81" s="368">
        <f>+DN80/DN10</f>
        <v>5.1446061275864187E-2</v>
      </c>
      <c r="DO81" s="363"/>
      <c r="DP81" s="368">
        <f>+DP80/DP10</f>
        <v>5.1235022154694186E-2</v>
      </c>
      <c r="DR81" s="363"/>
      <c r="DS81" s="368">
        <f>+DS80/DS10</f>
        <v>4.6645161290322576E-2</v>
      </c>
      <c r="DT81" s="363"/>
      <c r="DU81" s="368">
        <f>+DU80/DU10</f>
        <v>4.0451612903225811E-2</v>
      </c>
    </row>
    <row r="82" spans="1:125" s="65" customFormat="1" ht="18" customHeight="1" x14ac:dyDescent="0.45">
      <c r="A82" s="561"/>
      <c r="B82" s="1241"/>
      <c r="C82" s="131" t="s">
        <v>85</v>
      </c>
      <c r="D82" s="131"/>
      <c r="E82" s="131"/>
      <c r="F82" s="132"/>
      <c r="G82" s="382">
        <f>+G80/G67</f>
        <v>0.37221772229415867</v>
      </c>
      <c r="H82" s="132"/>
      <c r="I82" s="133">
        <f>+I80/I67</f>
        <v>0.332942598629966</v>
      </c>
      <c r="J82" s="132"/>
      <c r="K82" s="133">
        <f>+K80/K67</f>
        <v>0.332942598629966</v>
      </c>
      <c r="L82" s="132"/>
      <c r="M82" s="133">
        <f>+M80/M67</f>
        <v>0.332942598629966</v>
      </c>
      <c r="N82" s="381"/>
      <c r="O82" s="611">
        <f>+O80/O67</f>
        <v>0.37621568677088185</v>
      </c>
      <c r="P82" s="381"/>
      <c r="Q82" s="611">
        <f>+Q80/Q67</f>
        <v>0.35760906904843698</v>
      </c>
      <c r="R82" s="381"/>
      <c r="S82" s="611">
        <f>+S80/S67</f>
        <v>0.35760906904843698</v>
      </c>
      <c r="T82" s="381"/>
      <c r="U82" s="611">
        <f>+U80/U67</f>
        <v>0.33768665543062221</v>
      </c>
      <c r="V82" s="381"/>
      <c r="W82" s="611">
        <f>+W80/W67</f>
        <v>0.33175805404697489</v>
      </c>
      <c r="X82" s="381"/>
      <c r="Y82" s="611">
        <f>+Y80/Y67</f>
        <v>0.2936896015809084</v>
      </c>
      <c r="Z82" s="381"/>
      <c r="AA82" s="611">
        <f>+AA80/AA67</f>
        <v>0.2775431229391061</v>
      </c>
      <c r="AB82" s="381"/>
      <c r="AC82" s="611">
        <f>+AC80/AC67</f>
        <v>0.29894405110819849</v>
      </c>
      <c r="AD82" s="381"/>
      <c r="AE82" s="611">
        <f>+AE80/AE67</f>
        <v>0.30887670072635093</v>
      </c>
      <c r="AF82" s="381"/>
      <c r="AG82" s="611">
        <f>+AG80/AG67</f>
        <v>0.30633588324368349</v>
      </c>
      <c r="AH82" s="381"/>
      <c r="AI82" s="611">
        <f>+AI80/AI67</f>
        <v>0.35398769991903162</v>
      </c>
      <c r="AJ82" s="381"/>
      <c r="AK82" s="611">
        <f>+AK80/AK67</f>
        <v>0.37255421587624432</v>
      </c>
      <c r="AL82" s="381"/>
      <c r="AM82" s="611">
        <f>+AM80/AM67</f>
        <v>0.3837936351258357</v>
      </c>
      <c r="AN82" s="381"/>
      <c r="AO82" s="611">
        <f>+AO80/AO67</f>
        <v>0.39865643928095496</v>
      </c>
      <c r="AP82" s="381"/>
      <c r="AQ82" s="611">
        <f>+AQ80/AQ67</f>
        <v>0.3818598131326334</v>
      </c>
      <c r="AR82" s="381"/>
      <c r="AS82" s="611">
        <f>+AS80/AS67</f>
        <v>0.37511335558110825</v>
      </c>
      <c r="AT82" s="381"/>
      <c r="AU82" s="611">
        <f>+AU80/AU67</f>
        <v>0.39840916983321401</v>
      </c>
      <c r="AV82" s="381"/>
      <c r="AW82" s="611">
        <f>+AW80/AW67</f>
        <v>0.35892579501520261</v>
      </c>
      <c r="AX82" s="381"/>
      <c r="AY82" s="611">
        <f>+AY80/AY67</f>
        <v>0.35514331504680763</v>
      </c>
      <c r="AZ82" s="381"/>
      <c r="BA82" s="611">
        <f>+BA80/BA67</f>
        <v>0.37774105421670484</v>
      </c>
      <c r="BB82" s="381"/>
      <c r="BC82" s="611">
        <f>+BC80/BC67</f>
        <v>0.39055473295746052</v>
      </c>
      <c r="BD82" s="381"/>
      <c r="BE82" s="611">
        <f>+BE80/BE67</f>
        <v>0.24274099883855985</v>
      </c>
      <c r="BF82" s="381"/>
      <c r="BG82" s="611">
        <f>+BG80/BG67</f>
        <v>0.24274099883855985</v>
      </c>
      <c r="BH82" s="381"/>
      <c r="BI82" s="611">
        <f>+BI80/BI67</f>
        <v>0.32406455638909243</v>
      </c>
      <c r="BJ82" s="381"/>
      <c r="BK82" s="611">
        <f>+BK80/BK67</f>
        <v>0.29331770304668292</v>
      </c>
      <c r="BL82" s="381"/>
      <c r="BM82" s="611">
        <f>+BM80/BM67</f>
        <v>0.31357626764556662</v>
      </c>
      <c r="BN82" s="381"/>
      <c r="BO82" s="611">
        <f>+BO80/BO67</f>
        <v>0.30812417296554845</v>
      </c>
      <c r="BP82" s="381"/>
      <c r="BQ82" s="611">
        <f>+BQ80/BQ67</f>
        <v>0.34480058471711611</v>
      </c>
      <c r="BR82" s="381"/>
      <c r="BS82" s="611">
        <f>+BS80/BS67</f>
        <v>0.3362936210068122</v>
      </c>
      <c r="BT82" s="381"/>
      <c r="BU82" s="611">
        <f>+BU80/BU67</f>
        <v>0.31279496838942644</v>
      </c>
      <c r="BV82" s="381"/>
      <c r="BW82" s="611">
        <f>+BW80/BW67</f>
        <v>0.2715673501882081</v>
      </c>
      <c r="BX82" s="381"/>
      <c r="BY82" s="611">
        <f>+BY80/BY67</f>
        <v>0.28276875154861775</v>
      </c>
      <c r="BZ82" s="381"/>
      <c r="CA82" s="611">
        <f>+CA80/CA67</f>
        <v>0.31719682366217045</v>
      </c>
      <c r="CB82" s="381"/>
      <c r="CC82" s="611">
        <f>+CC80/CC67</f>
        <v>0.33059223504145951</v>
      </c>
      <c r="CD82" s="381"/>
      <c r="CE82" s="611">
        <f>+CE80/CE67</f>
        <v>0.29412613505205271</v>
      </c>
      <c r="CF82" s="620"/>
      <c r="CG82" s="620"/>
      <c r="CH82" s="620"/>
      <c r="CI82" s="620"/>
      <c r="CJ82" s="381"/>
      <c r="CK82" s="611">
        <f>+CK80/CK67</f>
        <v>0.35350364891510577</v>
      </c>
      <c r="CL82" s="381"/>
      <c r="CM82" s="611">
        <f>+CM80/CM67</f>
        <v>0.29134288893949989</v>
      </c>
      <c r="CN82" s="381"/>
      <c r="CO82" s="611">
        <f>+CO80/CO67</f>
        <v>0.33512933080470853</v>
      </c>
      <c r="CP82" s="381"/>
      <c r="CQ82" s="611">
        <f>+CQ80/CQ67</f>
        <v>0.34959349593495936</v>
      </c>
      <c r="CR82" s="381"/>
      <c r="CS82" s="611">
        <f>+CS80/CS67</f>
        <v>0.32606400767481741</v>
      </c>
      <c r="CT82" s="381"/>
      <c r="CU82" s="611">
        <f>+CU80/CU67</f>
        <v>0.31726151238346362</v>
      </c>
      <c r="CV82" s="381"/>
      <c r="CW82" s="611">
        <f>+CW80/CW67</f>
        <v>0.37662337662337664</v>
      </c>
      <c r="CX82" s="381"/>
      <c r="CY82" s="611">
        <f>+CY80/CY67</f>
        <v>0.36648717136522019</v>
      </c>
      <c r="DA82" s="381"/>
      <c r="DB82" s="611">
        <f>+DB80/DB67</f>
        <v>0.40243902439024387</v>
      </c>
      <c r="DC82" s="381"/>
      <c r="DD82" s="611">
        <f>+DD80/DD67</f>
        <v>0.41267123287671231</v>
      </c>
      <c r="DE82" s="381"/>
      <c r="DF82" s="611">
        <f>+DF80/DF67</f>
        <v>0.37443998419086821</v>
      </c>
      <c r="DG82" s="381"/>
      <c r="DH82" s="611">
        <f>+DH80/DH67</f>
        <v>0.34834982258692887</v>
      </c>
      <c r="DI82" s="381"/>
      <c r="DJ82" s="611">
        <f>+DJ80/DJ67</f>
        <v>0.34731910897981549</v>
      </c>
      <c r="DK82" s="381"/>
      <c r="DL82" s="611">
        <f>+DL80/DL67</f>
        <v>0.37465883791678545</v>
      </c>
      <c r="DM82" s="381"/>
      <c r="DN82" s="611">
        <f>+DN80/DN67</f>
        <v>0.35237028271139853</v>
      </c>
      <c r="DO82" s="381"/>
      <c r="DP82" s="611">
        <f>+DP80/DP67</f>
        <v>0.35092480927872732</v>
      </c>
      <c r="DR82" s="381"/>
      <c r="DS82" s="611">
        <f>+DS80/DS67</f>
        <v>0.31948740609809984</v>
      </c>
      <c r="DT82" s="381"/>
      <c r="DU82" s="611">
        <f>+DU80/DU67</f>
        <v>0.27706584180291649</v>
      </c>
    </row>
    <row r="83" spans="1:125" s="65" customFormat="1" ht="18" customHeight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1.5248182665873764</v>
      </c>
      <c r="H83" s="137"/>
      <c r="I83" s="138">
        <f>I80-I57</f>
        <v>1.3655932247388476</v>
      </c>
      <c r="J83" s="137"/>
      <c r="K83" s="138">
        <f>K80-K57</f>
        <v>1.3655932247388476</v>
      </c>
      <c r="L83" s="137"/>
      <c r="M83" s="138">
        <f>M80-M57</f>
        <v>1.3655932247388476</v>
      </c>
      <c r="N83" s="137"/>
      <c r="O83" s="138">
        <f>O80-O57</f>
        <v>1.3734759583526741</v>
      </c>
      <c r="P83" s="137"/>
      <c r="Q83" s="138">
        <f>Q80-Q57</f>
        <v>1.2526760563380286</v>
      </c>
      <c r="R83" s="137"/>
      <c r="S83" s="138">
        <f>S80-S57</f>
        <v>1.2526760563380286</v>
      </c>
      <c r="T83" s="137"/>
      <c r="U83" s="138">
        <f>U80-U57</f>
        <v>1.1383214021717718</v>
      </c>
      <c r="V83" s="137"/>
      <c r="W83" s="138">
        <f>W80-W57</f>
        <v>1.1042912302296362</v>
      </c>
      <c r="X83" s="137"/>
      <c r="Y83" s="138">
        <f>Y80-Y57</f>
        <v>0.88577831307441446</v>
      </c>
      <c r="Z83" s="137"/>
      <c r="AA83" s="138">
        <f>AA80-AA57</f>
        <v>0.79309752567046921</v>
      </c>
      <c r="AB83" s="137"/>
      <c r="AC83" s="138">
        <f>AC80-AC57</f>
        <v>0.91593885336105962</v>
      </c>
      <c r="AD83" s="137"/>
      <c r="AE83" s="138">
        <f>AE80-AE57</f>
        <v>0.97295226216925446</v>
      </c>
      <c r="AF83" s="137"/>
      <c r="AG83" s="138">
        <f>AG80-AG57</f>
        <v>0.95836796981874339</v>
      </c>
      <c r="AH83" s="137"/>
      <c r="AI83" s="138">
        <f>AI80-AI57</f>
        <v>1.2318893975352418</v>
      </c>
      <c r="AJ83" s="137"/>
      <c r="AK83" s="138">
        <f>AK80-AK57</f>
        <v>1.3384611991296427</v>
      </c>
      <c r="AL83" s="137"/>
      <c r="AM83" s="138">
        <f>AM80-AM57</f>
        <v>1.4029754656222972</v>
      </c>
      <c r="AN83" s="137"/>
      <c r="AO83" s="138">
        <f>AO80-AO57</f>
        <v>1.4882879614726816</v>
      </c>
      <c r="AP83" s="137"/>
      <c r="AQ83" s="138">
        <f>AQ80-AQ57</f>
        <v>1.391875327381316</v>
      </c>
      <c r="AR83" s="137"/>
      <c r="AS83" s="138">
        <f>AS80-AS57</f>
        <v>1.3531506610355617</v>
      </c>
      <c r="AT83" s="137"/>
      <c r="AU83" s="138">
        <f>AU80-AU57</f>
        <v>1.4868686348426485</v>
      </c>
      <c r="AV83" s="137"/>
      <c r="AW83" s="138">
        <f>AW80-AW57</f>
        <v>1.2602340633872631</v>
      </c>
      <c r="AX83" s="137"/>
      <c r="AY83" s="138">
        <f>AY80-AY57</f>
        <v>1.2385226283686759</v>
      </c>
      <c r="AZ83" s="137"/>
      <c r="BA83" s="138">
        <f>BA80-BA57</f>
        <v>1.368233651203886</v>
      </c>
      <c r="BB83" s="137"/>
      <c r="BC83" s="138">
        <f>BC80-BC57</f>
        <v>1.4417841671758236</v>
      </c>
      <c r="BD83" s="137"/>
      <c r="BE83" s="138">
        <f>BE80-BE57</f>
        <v>0.5933333333333336</v>
      </c>
      <c r="BF83" s="137"/>
      <c r="BG83" s="138">
        <f>BG80-BG57</f>
        <v>0.5933333333333336</v>
      </c>
      <c r="BH83" s="137"/>
      <c r="BI83" s="138">
        <f>BI80-BI57</f>
        <v>1.0925370093122999</v>
      </c>
      <c r="BJ83" s="137"/>
      <c r="BK83" s="138">
        <f>BK80-BK57</f>
        <v>0.91297538579262827</v>
      </c>
      <c r="BL83" s="137"/>
      <c r="BM83" s="138">
        <f>BM80-BM57</f>
        <v>1.0312854030501093</v>
      </c>
      <c r="BN83" s="137"/>
      <c r="BO83" s="138">
        <f>BO80-BO57</f>
        <v>0.99944517011880307</v>
      </c>
      <c r="BP83" s="137"/>
      <c r="BQ83" s="138">
        <f>BQ80-BQ57</f>
        <v>1.2136354147479582</v>
      </c>
      <c r="BR83" s="137"/>
      <c r="BS83" s="138">
        <f>BS80-BS57</f>
        <v>1.1639547466797833</v>
      </c>
      <c r="BT83" s="137"/>
      <c r="BU83" s="138">
        <f>BU80-BU57</f>
        <v>1.0267226153942506</v>
      </c>
      <c r="BV83" s="137"/>
      <c r="BW83" s="138">
        <f>BW80-BW57</f>
        <v>0.78595332509913518</v>
      </c>
      <c r="BX83" s="137"/>
      <c r="BY83" s="138">
        <f>BY80-BY57</f>
        <v>0.85136950904392783</v>
      </c>
      <c r="BZ83" s="137"/>
      <c r="CA83" s="138">
        <f>CA80-CA57</f>
        <v>1.0524294501870757</v>
      </c>
      <c r="CB83" s="137"/>
      <c r="CC83" s="138">
        <f>CC80-CC57</f>
        <v>1.1306586526421238</v>
      </c>
      <c r="CD83" s="137"/>
      <c r="CE83" s="138">
        <f>CE80-CE57</f>
        <v>0.91769662870398772</v>
      </c>
      <c r="CF83" s="620"/>
      <c r="CG83" s="620"/>
      <c r="CH83" s="620"/>
      <c r="CI83" s="620"/>
      <c r="CJ83" s="137"/>
      <c r="CK83" s="138">
        <f>CK80-CK57</f>
        <v>1.2358393567433814</v>
      </c>
      <c r="CL83" s="137"/>
      <c r="CM83" s="138">
        <f>CM80-CM57</f>
        <v>0.87230818251272957</v>
      </c>
      <c r="CN83" s="137"/>
      <c r="CO83" s="138">
        <f>CO80-CO57</f>
        <v>1.123642358819027</v>
      </c>
      <c r="CP83" s="137"/>
      <c r="CQ83" s="138">
        <f>CQ80-CQ57</f>
        <v>1.2066666666666668</v>
      </c>
      <c r="CR83" s="137"/>
      <c r="CS83" s="138">
        <f>CS80-CS57</f>
        <v>1.075582143135748</v>
      </c>
      <c r="CT83" s="137"/>
      <c r="CU83" s="138">
        <f>CU80-CU57</f>
        <v>1.0210810810810813</v>
      </c>
      <c r="CV83" s="137"/>
      <c r="CW83" s="138">
        <f>CW80-CW57</f>
        <v>1.3038961038961039</v>
      </c>
      <c r="CX83" s="137"/>
      <c r="CY83" s="138">
        <f>CY80-CY57</f>
        <v>1.3036363636363639</v>
      </c>
      <c r="DA83" s="137"/>
      <c r="DB83" s="138">
        <f>DB80-DB57</f>
        <v>1.5100000000000002</v>
      </c>
      <c r="DC83" s="137"/>
      <c r="DD83" s="138">
        <f>DD80-DD57</f>
        <v>1.6099999999999999</v>
      </c>
      <c r="DE83" s="137"/>
      <c r="DF83" s="138">
        <f>DF80-DF57</f>
        <v>1.3867295076746706</v>
      </c>
      <c r="DG83" s="137"/>
      <c r="DH83" s="138">
        <f>DH80-DH57</f>
        <v>1.2343629639076648</v>
      </c>
      <c r="DI83" s="137"/>
      <c r="DJ83" s="138">
        <f>DJ80-DJ57</f>
        <v>1.2283435964421225</v>
      </c>
      <c r="DK83" s="137"/>
      <c r="DL83" s="138">
        <f>DL80-DL57</f>
        <v>1.3880076134340271</v>
      </c>
      <c r="DM83" s="137"/>
      <c r="DN83" s="138">
        <f>DN80-DN57</f>
        <v>1.2578424510345676</v>
      </c>
      <c r="DO83" s="137"/>
      <c r="DP83" s="138">
        <f>DP80-DP57</f>
        <v>1.2494008861877677</v>
      </c>
      <c r="DR83" s="137"/>
      <c r="DS83" s="138">
        <f>DS80-DS57</f>
        <v>1.0658064516129033</v>
      </c>
      <c r="DT83" s="137"/>
      <c r="DU83" s="138">
        <f>DU80-DU57</f>
        <v>0.81806451612903242</v>
      </c>
    </row>
    <row r="84" spans="1:125" s="65" customFormat="1" ht="18" customHeight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0.28030386305149846</v>
      </c>
      <c r="H84" s="132"/>
      <c r="I84" s="133">
        <f>I83/I67</f>
        <v>0.25751353740229571</v>
      </c>
      <c r="J84" s="132"/>
      <c r="K84" s="133">
        <f>K83/K67</f>
        <v>0.25751353740229571</v>
      </c>
      <c r="L84" s="132"/>
      <c r="M84" s="133">
        <f>M83/M67</f>
        <v>0.25751353740229571</v>
      </c>
      <c r="N84" s="381"/>
      <c r="O84" s="611">
        <f>O83/O67</f>
        <v>0.24038161331599459</v>
      </c>
      <c r="P84" s="381"/>
      <c r="Q84" s="611">
        <f>Q83/Q67</f>
        <v>0.21823624674878547</v>
      </c>
      <c r="R84" s="381"/>
      <c r="S84" s="611">
        <f>S83/S67</f>
        <v>0.21823624674878547</v>
      </c>
      <c r="T84" s="381"/>
      <c r="U84" s="611">
        <f>U83/U67</f>
        <v>0.1983138331309707</v>
      </c>
      <c r="V84" s="381"/>
      <c r="W84" s="611">
        <f>W83/W67</f>
        <v>0.19238523174732336</v>
      </c>
      <c r="X84" s="381"/>
      <c r="Y84" s="611">
        <f>Y83/Y67</f>
        <v>0.15431677928125687</v>
      </c>
      <c r="Z84" s="381"/>
      <c r="AA84" s="611">
        <f>AA83/AA67</f>
        <v>0.13817030063945457</v>
      </c>
      <c r="AB84" s="381"/>
      <c r="AC84" s="611">
        <f>AC83/AC67</f>
        <v>0.15957122880854696</v>
      </c>
      <c r="AD84" s="381"/>
      <c r="AE84" s="611">
        <f>AE83/AE67</f>
        <v>0.16950387842669937</v>
      </c>
      <c r="AF84" s="381"/>
      <c r="AG84" s="611">
        <f>AG83/AG67</f>
        <v>0.16696306094403193</v>
      </c>
      <c r="AH84" s="381"/>
      <c r="AI84" s="611">
        <f>AI83/AI67</f>
        <v>0.21461487761938011</v>
      </c>
      <c r="AJ84" s="381"/>
      <c r="AK84" s="611">
        <f>AK83/AK67</f>
        <v>0.23318139357659279</v>
      </c>
      <c r="AL84" s="381"/>
      <c r="AM84" s="611">
        <f>AM83/AM67</f>
        <v>0.24442081282618419</v>
      </c>
      <c r="AN84" s="381"/>
      <c r="AO84" s="611">
        <f>AO83/AO67</f>
        <v>0.25928361698130342</v>
      </c>
      <c r="AP84" s="381"/>
      <c r="AQ84" s="611">
        <f>AQ83/AQ67</f>
        <v>0.24248699083298189</v>
      </c>
      <c r="AR84" s="381"/>
      <c r="AS84" s="611">
        <f>AS83/AS67</f>
        <v>0.23574053328145672</v>
      </c>
      <c r="AT84" s="381"/>
      <c r="AU84" s="611">
        <f>AU83/AU67</f>
        <v>0.25903634753356247</v>
      </c>
      <c r="AV84" s="381"/>
      <c r="AW84" s="611">
        <f>AW83/AW67</f>
        <v>0.21955297271555105</v>
      </c>
      <c r="AX84" s="381"/>
      <c r="AY84" s="611">
        <f>AY83/AY67</f>
        <v>0.21577049274715607</v>
      </c>
      <c r="AZ84" s="381"/>
      <c r="BA84" s="611">
        <f>BA83/BA67</f>
        <v>0.23836823191705328</v>
      </c>
      <c r="BB84" s="381"/>
      <c r="BC84" s="611">
        <f>BC83/BC67</f>
        <v>0.25118191065780898</v>
      </c>
      <c r="BD84" s="381"/>
      <c r="BE84" s="611">
        <f>BE83/BE67</f>
        <v>0.10336817653890829</v>
      </c>
      <c r="BF84" s="381"/>
      <c r="BG84" s="611">
        <f>BG83/BG67</f>
        <v>0.10336817653890829</v>
      </c>
      <c r="BH84" s="381"/>
      <c r="BI84" s="611">
        <f>BI83/BI67</f>
        <v>0.18707825501922945</v>
      </c>
      <c r="BJ84" s="381"/>
      <c r="BK84" s="611">
        <f>BK83/BK67</f>
        <v>0.15633140167681991</v>
      </c>
      <c r="BL84" s="381"/>
      <c r="BM84" s="611">
        <f>BM83/BM67</f>
        <v>0.17658996627570364</v>
      </c>
      <c r="BN84" s="381"/>
      <c r="BO84" s="611">
        <f>BO83/BO67</f>
        <v>0.17113787159568547</v>
      </c>
      <c r="BP84" s="381"/>
      <c r="BQ84" s="611">
        <f>BQ83/BQ67</f>
        <v>0.20781428334725313</v>
      </c>
      <c r="BR84" s="381"/>
      <c r="BS84" s="611">
        <f>BS83/BS67</f>
        <v>0.1993073196369492</v>
      </c>
      <c r="BT84" s="381"/>
      <c r="BU84" s="611">
        <f>BU83/BU67</f>
        <v>0.17580866701956346</v>
      </c>
      <c r="BV84" s="381"/>
      <c r="BW84" s="611">
        <f>BW83/BW67</f>
        <v>0.13458104881834507</v>
      </c>
      <c r="BX84" s="381"/>
      <c r="BY84" s="611">
        <f>BY83/BY67</f>
        <v>0.14578245017875477</v>
      </c>
      <c r="BZ84" s="381"/>
      <c r="CA84" s="611">
        <f>CA83/CA67</f>
        <v>0.1802105222923075</v>
      </c>
      <c r="CB84" s="381"/>
      <c r="CC84" s="611">
        <f>CC83/CC67</f>
        <v>0.19360593367159656</v>
      </c>
      <c r="CD84" s="381"/>
      <c r="CE84" s="611">
        <f>CE83/CE67</f>
        <v>0.15713983368218967</v>
      </c>
      <c r="CF84" s="620"/>
      <c r="CG84" s="620"/>
      <c r="CH84" s="620"/>
      <c r="CI84" s="620"/>
      <c r="CJ84" s="381"/>
      <c r="CK84" s="611">
        <f>CK83/CK67</f>
        <v>0.21575823801192257</v>
      </c>
      <c r="CL84" s="381"/>
      <c r="CM84" s="611">
        <f>CM83/CM67</f>
        <v>0.15197006663984836</v>
      </c>
      <c r="CN84" s="381"/>
      <c r="CO84" s="611">
        <f>CO83/CO67</f>
        <v>0.19575650850505696</v>
      </c>
      <c r="CP84" s="381"/>
      <c r="CQ84" s="611">
        <f>CQ83/CQ67</f>
        <v>0.2102206736353078</v>
      </c>
      <c r="CR84" s="381"/>
      <c r="CS84" s="611">
        <f>CS83/CS67</f>
        <v>0.18760646954298252</v>
      </c>
      <c r="CT84" s="381"/>
      <c r="CU84" s="611">
        <f>CU83/CU67</f>
        <v>0.17788869008381206</v>
      </c>
      <c r="CV84" s="381"/>
      <c r="CW84" s="611">
        <f>CW83/CW67</f>
        <v>0.20862337662337663</v>
      </c>
      <c r="CX84" s="381"/>
      <c r="CY84" s="611">
        <f>CY83/CY67</f>
        <v>0.22711434906556863</v>
      </c>
      <c r="DA84" s="381"/>
      <c r="DB84" s="611">
        <f>DB83/DB67</f>
        <v>0.26306620209059234</v>
      </c>
      <c r="DC84" s="381"/>
      <c r="DD84" s="611">
        <f>DD83/DD67</f>
        <v>0.27568493150684931</v>
      </c>
      <c r="DE84" s="381"/>
      <c r="DF84" s="611">
        <f>DF83/DF67</f>
        <v>0.23745368282100526</v>
      </c>
      <c r="DG84" s="381"/>
      <c r="DH84" s="611">
        <f>DH83/DH67</f>
        <v>0.21136352121706589</v>
      </c>
      <c r="DI84" s="381"/>
      <c r="DJ84" s="611">
        <f>DJ83/DJ67</f>
        <v>0.21033280760995249</v>
      </c>
      <c r="DK84" s="381"/>
      <c r="DL84" s="611">
        <f>DL83/DL67</f>
        <v>0.23767253654692247</v>
      </c>
      <c r="DM84" s="381"/>
      <c r="DN84" s="611">
        <f>DN83/DN67</f>
        <v>0.21538398134153555</v>
      </c>
      <c r="DO84" s="381"/>
      <c r="DP84" s="611">
        <f>DP83/DP67</f>
        <v>0.21393850790886434</v>
      </c>
      <c r="DR84" s="381"/>
      <c r="DS84" s="611">
        <f>DS83/DS67</f>
        <v>0.18250110472823688</v>
      </c>
      <c r="DT84" s="381"/>
      <c r="DU84" s="611">
        <f>DU83/DU67</f>
        <v>0.14007954043305351</v>
      </c>
    </row>
    <row r="85" spans="1:125" s="65" customFormat="1" ht="6.75" customHeight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381"/>
      <c r="O85" s="383"/>
      <c r="P85" s="381"/>
      <c r="Q85" s="383"/>
      <c r="R85" s="381"/>
      <c r="S85" s="383"/>
      <c r="T85" s="381"/>
      <c r="U85" s="383"/>
      <c r="V85" s="381"/>
      <c r="W85" s="383"/>
      <c r="X85" s="381"/>
      <c r="Y85" s="383"/>
      <c r="Z85" s="381"/>
      <c r="AA85" s="383"/>
      <c r="AB85" s="381"/>
      <c r="AC85" s="383"/>
      <c r="AD85" s="381"/>
      <c r="AE85" s="383"/>
      <c r="AF85" s="381"/>
      <c r="AG85" s="383"/>
      <c r="AH85" s="381"/>
      <c r="AI85" s="383"/>
      <c r="AJ85" s="381"/>
      <c r="AK85" s="383"/>
      <c r="AL85" s="381"/>
      <c r="AM85" s="383"/>
      <c r="AN85" s="381"/>
      <c r="AO85" s="383"/>
      <c r="AP85" s="381"/>
      <c r="AQ85" s="383"/>
      <c r="AR85" s="381"/>
      <c r="AS85" s="383"/>
      <c r="AT85" s="381"/>
      <c r="AU85" s="383"/>
      <c r="AV85" s="381"/>
      <c r="AW85" s="383"/>
      <c r="AX85" s="381"/>
      <c r="AY85" s="383"/>
      <c r="AZ85" s="381"/>
      <c r="BA85" s="383"/>
      <c r="BB85" s="381"/>
      <c r="BC85" s="383"/>
      <c r="BD85" s="381"/>
      <c r="BE85" s="383"/>
      <c r="BF85" s="381"/>
      <c r="BG85" s="383"/>
      <c r="BH85" s="381"/>
      <c r="BI85" s="383"/>
      <c r="BJ85" s="381"/>
      <c r="BK85" s="383"/>
      <c r="BL85" s="381"/>
      <c r="BM85" s="383"/>
      <c r="BN85" s="381"/>
      <c r="BO85" s="383"/>
      <c r="BP85" s="381"/>
      <c r="BQ85" s="383"/>
      <c r="BR85" s="381"/>
      <c r="BS85" s="383"/>
      <c r="BT85" s="381"/>
      <c r="BU85" s="383"/>
      <c r="BV85" s="381"/>
      <c r="BW85" s="383"/>
      <c r="BX85" s="381"/>
      <c r="BY85" s="383"/>
      <c r="BZ85" s="381"/>
      <c r="CA85" s="383"/>
      <c r="CB85" s="381"/>
      <c r="CC85" s="383"/>
      <c r="CD85" s="381"/>
      <c r="CE85" s="383"/>
      <c r="CF85" s="620"/>
      <c r="CG85" s="620"/>
      <c r="CH85" s="620"/>
      <c r="CI85" s="620"/>
      <c r="CJ85" s="381"/>
      <c r="CK85" s="383"/>
      <c r="CL85" s="381"/>
      <c r="CM85" s="383"/>
      <c r="CN85" s="381"/>
      <c r="CO85" s="383"/>
      <c r="CP85" s="381"/>
      <c r="CQ85" s="383"/>
      <c r="CR85" s="381"/>
      <c r="CS85" s="383"/>
      <c r="CT85" s="381"/>
      <c r="CU85" s="383"/>
      <c r="CV85" s="381"/>
      <c r="CW85" s="383"/>
      <c r="CX85" s="381"/>
      <c r="CY85" s="383"/>
      <c r="DA85" s="381"/>
      <c r="DB85" s="383"/>
      <c r="DC85" s="381"/>
      <c r="DD85" s="383"/>
      <c r="DE85" s="381"/>
      <c r="DF85" s="383"/>
      <c r="DG85" s="381"/>
      <c r="DH85" s="383"/>
      <c r="DI85" s="381"/>
      <c r="DJ85" s="383"/>
      <c r="DK85" s="381"/>
      <c r="DL85" s="383"/>
      <c r="DM85" s="381"/>
      <c r="DN85" s="383"/>
      <c r="DO85" s="381"/>
      <c r="DP85" s="383"/>
      <c r="DR85" s="381"/>
      <c r="DS85" s="383"/>
      <c r="DT85" s="381"/>
      <c r="DU85" s="383"/>
    </row>
    <row r="86" spans="1:125" s="65" customFormat="1" ht="18" customHeight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1.4068309390250531</v>
      </c>
      <c r="H86" s="141"/>
      <c r="I86" s="142">
        <f>I83-I72</f>
        <v>1.2476058971765243</v>
      </c>
      <c r="J86" s="141"/>
      <c r="K86" s="142">
        <f>K83-K72</f>
        <v>1.2476058971765243</v>
      </c>
      <c r="L86" s="141"/>
      <c r="M86" s="142">
        <f>M83-M72</f>
        <v>1.2476058971765243</v>
      </c>
      <c r="N86" s="141"/>
      <c r="O86" s="599">
        <f>O83-O72</f>
        <v>1.2662288997285618</v>
      </c>
      <c r="P86" s="141"/>
      <c r="Q86" s="599">
        <f>Q83-Q72</f>
        <v>1.1345400710045401</v>
      </c>
      <c r="R86" s="141"/>
      <c r="S86" s="599">
        <f>S83-S72</f>
        <v>1.1345400710045401</v>
      </c>
      <c r="T86" s="141"/>
      <c r="U86" s="599">
        <f>U83-U72</f>
        <v>0.99703636351459723</v>
      </c>
      <c r="V86" s="141"/>
      <c r="W86" s="599">
        <f>W83-W72</f>
        <v>0.94759524378055515</v>
      </c>
      <c r="X86" s="141"/>
      <c r="Y86" s="599">
        <f>Y83-Y72</f>
        <v>0.7767441250261099</v>
      </c>
      <c r="Z86" s="141"/>
      <c r="AA86" s="599">
        <f>AA83-AA72</f>
        <v>0.66183207590217719</v>
      </c>
      <c r="AB86" s="141"/>
      <c r="AC86" s="599">
        <f>AC83-AC72</f>
        <v>0.73164082032748157</v>
      </c>
      <c r="AD86" s="141"/>
      <c r="AE86" s="599">
        <f>AE83-AE72</f>
        <v>0.84953041182221578</v>
      </c>
      <c r="AF86" s="141"/>
      <c r="AG86" s="599">
        <f>AG83-AG72</f>
        <v>0.80485493241282313</v>
      </c>
      <c r="AH86" s="141"/>
      <c r="AI86" s="599">
        <f>AI83-AI72</f>
        <v>1.1104327212151022</v>
      </c>
      <c r="AJ86" s="141"/>
      <c r="AK86" s="599">
        <f>AK83-AK72</f>
        <v>1.2176877147500278</v>
      </c>
      <c r="AL86" s="141"/>
      <c r="AM86" s="599">
        <f>AM83-AM72</f>
        <v>1.277544785234352</v>
      </c>
      <c r="AN86" s="141"/>
      <c r="AO86" s="599">
        <f>AO83-AO72</f>
        <v>1.3639872087370819</v>
      </c>
      <c r="AP86" s="141"/>
      <c r="AQ86" s="599">
        <f>AQ83-AQ72</f>
        <v>1.2679109005019902</v>
      </c>
      <c r="AR86" s="141"/>
      <c r="AS86" s="599">
        <f>AS83-AS72</f>
        <v>1.2334482779959268</v>
      </c>
      <c r="AT86" s="141"/>
      <c r="AU86" s="599">
        <f>AU83-AU72</f>
        <v>1.3767296827419324</v>
      </c>
      <c r="AV86" s="141"/>
      <c r="AW86" s="599">
        <f>AW83-AW72</f>
        <v>1.1362696365079372</v>
      </c>
      <c r="AX86" s="141"/>
      <c r="AY86" s="599">
        <f>AY83-AY72</f>
        <v>1.118820245329041</v>
      </c>
      <c r="AZ86" s="141"/>
      <c r="BA86" s="599">
        <f>BA83-BA72</f>
        <v>1.2580946991031698</v>
      </c>
      <c r="BB86" s="141"/>
      <c r="BC86" s="599">
        <f>BC83-BC72</f>
        <v>1.3316452150751075</v>
      </c>
      <c r="BD86" s="141"/>
      <c r="BE86" s="599">
        <f>BE83-BE72</f>
        <v>0.4831943812326176</v>
      </c>
      <c r="BF86" s="141"/>
      <c r="BG86" s="599">
        <f>BG83-BG72</f>
        <v>0.4831943812326176</v>
      </c>
      <c r="BH86" s="141"/>
      <c r="BI86" s="599">
        <f>BI83-BI72</f>
        <v>0.96687909803807393</v>
      </c>
      <c r="BJ86" s="141"/>
      <c r="BK86" s="599">
        <f>BK83-BK72</f>
        <v>0.78731747451840228</v>
      </c>
      <c r="BL86" s="141"/>
      <c r="BM86" s="599">
        <f>BM83-BM72</f>
        <v>0.90562749177588331</v>
      </c>
      <c r="BN86" s="141"/>
      <c r="BO86" s="599">
        <f>BO83-BO72</f>
        <v>0.87378725884457709</v>
      </c>
      <c r="BP86" s="141"/>
      <c r="BQ86" s="599">
        <f>BQ83-BQ72</f>
        <v>1.0879775034737322</v>
      </c>
      <c r="BR86" s="141"/>
      <c r="BS86" s="599">
        <f>BS83-BS72</f>
        <v>1.0382968354055573</v>
      </c>
      <c r="BT86" s="141"/>
      <c r="BU86" s="599">
        <f>BU83-BU72</f>
        <v>0.9010647041200246</v>
      </c>
      <c r="BV86" s="141"/>
      <c r="BW86" s="599">
        <f>BW83-BW72</f>
        <v>0.66029541382490919</v>
      </c>
      <c r="BX86" s="141"/>
      <c r="BY86" s="599">
        <f>BY83-BY72</f>
        <v>0.72571159776970184</v>
      </c>
      <c r="BZ86" s="141"/>
      <c r="CA86" s="599">
        <f>CA83-CA72</f>
        <v>0.92677153891284969</v>
      </c>
      <c r="CB86" s="141"/>
      <c r="CC86" s="599">
        <f>CC83-CC72</f>
        <v>1.0050007413678979</v>
      </c>
      <c r="CD86" s="141"/>
      <c r="CE86" s="599">
        <f>CE83-CE72</f>
        <v>0.79203871742976173</v>
      </c>
      <c r="CF86" s="620"/>
      <c r="CG86" s="620"/>
      <c r="CH86" s="620"/>
      <c r="CI86" s="620"/>
      <c r="CJ86" s="141"/>
      <c r="CK86" s="599">
        <f>CK83-CK72</f>
        <v>1.1053538113533623</v>
      </c>
      <c r="CL86" s="141"/>
      <c r="CM86" s="599">
        <f>CM83-CM72</f>
        <v>0.7265315031720927</v>
      </c>
      <c r="CN86" s="141"/>
      <c r="CO86" s="599">
        <f>CO83-CO72</f>
        <v>0.99566774378099976</v>
      </c>
      <c r="CP86" s="141"/>
      <c r="CQ86" s="599">
        <f>CQ83-CQ72</f>
        <v>1.0786920516286396</v>
      </c>
      <c r="CR86" s="141"/>
      <c r="CS86" s="599">
        <f>CS83-CS72</f>
        <v>0.93841340769078174</v>
      </c>
      <c r="CT86" s="141"/>
      <c r="CU86" s="599">
        <f>CU83-CU72</f>
        <v>0.88582465767743745</v>
      </c>
      <c r="CV86" s="141"/>
      <c r="CW86" s="599">
        <f>CW83-CW72</f>
        <v>1.1759214888580767</v>
      </c>
      <c r="CX86" s="141"/>
      <c r="CY86" s="599">
        <f>CY83-CY72</f>
        <v>1.1756617485983367</v>
      </c>
      <c r="DA86" s="141"/>
      <c r="DB86" s="599">
        <f>DB83-DB72</f>
        <v>1.3998610478992841</v>
      </c>
      <c r="DC86" s="141"/>
      <c r="DD86" s="599">
        <f>DD83-DD72</f>
        <v>1.4998610478992838</v>
      </c>
      <c r="DE86" s="141"/>
      <c r="DF86" s="599">
        <f>DF83-DF72</f>
        <v>1.2670160433046735</v>
      </c>
      <c r="DG86" s="141"/>
      <c r="DH86" s="599">
        <f>DH83-DH72</f>
        <v>1.1146494995376677</v>
      </c>
      <c r="DI86" s="141"/>
      <c r="DJ86" s="599">
        <f>DJ83-DJ72</f>
        <v>1.1086301320721255</v>
      </c>
      <c r="DK86" s="141"/>
      <c r="DL86" s="599">
        <f>DL83-DL72</f>
        <v>1.26829414906403</v>
      </c>
      <c r="DM86" s="141"/>
      <c r="DN86" s="599">
        <f>DN83-DN72</f>
        <v>1.1381289866645705</v>
      </c>
      <c r="DO86" s="141"/>
      <c r="DP86" s="599">
        <f>DP83-DP72</f>
        <v>1.1296874218177706</v>
      </c>
      <c r="DR86" s="141"/>
      <c r="DS86" s="599">
        <f>DS83-DS72</f>
        <v>0.94609298724290636</v>
      </c>
      <c r="DT86" s="141"/>
      <c r="DU86" s="599">
        <f>DU83-DU72</f>
        <v>0.69240660485480643</v>
      </c>
    </row>
    <row r="87" spans="1:125" s="65" customFormat="1" ht="18" customHeight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0.2586145218155364</v>
      </c>
      <c r="H87" s="132"/>
      <c r="I87" s="133">
        <f>I86/I67</f>
        <v>0.2352643540153265</v>
      </c>
      <c r="J87" s="132"/>
      <c r="K87" s="133">
        <f>K86/K67</f>
        <v>0.2352643540153265</v>
      </c>
      <c r="L87" s="132"/>
      <c r="M87" s="133">
        <f>M86/M67</f>
        <v>0.2352643540153265</v>
      </c>
      <c r="N87" s="381"/>
      <c r="O87" s="611">
        <f>O86/O67</f>
        <v>0.22161155708117009</v>
      </c>
      <c r="P87" s="381"/>
      <c r="Q87" s="611">
        <f>Q86/Q67</f>
        <v>0.19765506463493729</v>
      </c>
      <c r="R87" s="381"/>
      <c r="S87" s="611">
        <f>S86/S67</f>
        <v>0.19765506463493729</v>
      </c>
      <c r="T87" s="381"/>
      <c r="U87" s="611">
        <f>U86/U67</f>
        <v>0.17369971489801345</v>
      </c>
      <c r="V87" s="381"/>
      <c r="W87" s="611">
        <f>W86/W67</f>
        <v>0.16508627940427789</v>
      </c>
      <c r="X87" s="381"/>
      <c r="Y87" s="611">
        <f>Y86/Y67</f>
        <v>0.13532127613695294</v>
      </c>
      <c r="Z87" s="381"/>
      <c r="AA87" s="611">
        <f>AA86/AA67</f>
        <v>0.11530175538365456</v>
      </c>
      <c r="AB87" s="381"/>
      <c r="AC87" s="611">
        <f>AC86/AC67</f>
        <v>0.12746355754834174</v>
      </c>
      <c r="AD87" s="381"/>
      <c r="AE87" s="611">
        <f>AE86/AE67</f>
        <v>0.14800181390630937</v>
      </c>
      <c r="AF87" s="381"/>
      <c r="AG87" s="611">
        <f>AG86/AG67</f>
        <v>0.14021862934021309</v>
      </c>
      <c r="AH87" s="381"/>
      <c r="AI87" s="611">
        <f>AI86/AI67</f>
        <v>0.1934551779120387</v>
      </c>
      <c r="AJ87" s="381"/>
      <c r="AK87" s="611">
        <f>AK86/AK67</f>
        <v>0.21214071685540553</v>
      </c>
      <c r="AL87" s="381"/>
      <c r="AM87" s="611">
        <f>AM86/AM67</f>
        <v>0.22256877791539231</v>
      </c>
      <c r="AN87" s="381"/>
      <c r="AO87" s="611">
        <f>AO86/AO67</f>
        <v>0.23762843357788882</v>
      </c>
      <c r="AP87" s="381"/>
      <c r="AQ87" s="611">
        <f>AQ86/AQ67</f>
        <v>0.22089040078431885</v>
      </c>
      <c r="AR87" s="381"/>
      <c r="AS87" s="611">
        <f>AS86/AS67</f>
        <v>0.21488645958117192</v>
      </c>
      <c r="AT87" s="381"/>
      <c r="AU87" s="611">
        <f>AU86/AU67</f>
        <v>0.23984837678430879</v>
      </c>
      <c r="AV87" s="381"/>
      <c r="AW87" s="611">
        <f>AW86/AW67</f>
        <v>0.197956382666888</v>
      </c>
      <c r="AX87" s="381"/>
      <c r="AY87" s="611">
        <f>AY86/AY67</f>
        <v>0.19491641904687124</v>
      </c>
      <c r="AZ87" s="381"/>
      <c r="BA87" s="611">
        <f>BA86/BA67</f>
        <v>0.21918026116779962</v>
      </c>
      <c r="BB87" s="381"/>
      <c r="BC87" s="611">
        <f>BC86/BC67</f>
        <v>0.2319939399085553</v>
      </c>
      <c r="BD87" s="381"/>
      <c r="BE87" s="611">
        <f>BE86/BE67</f>
        <v>8.4180205789654627E-2</v>
      </c>
      <c r="BF87" s="381"/>
      <c r="BG87" s="611">
        <f>BG86/BG67</f>
        <v>8.4180205789654627E-2</v>
      </c>
      <c r="BH87" s="381"/>
      <c r="BI87" s="611">
        <f>BI86/BI67</f>
        <v>0.16556148939008117</v>
      </c>
      <c r="BJ87" s="381"/>
      <c r="BK87" s="611">
        <f>BK86/BK67</f>
        <v>0.13481463604767163</v>
      </c>
      <c r="BL87" s="381"/>
      <c r="BM87" s="611">
        <f>BM86/BM67</f>
        <v>0.15507320064655536</v>
      </c>
      <c r="BN87" s="381"/>
      <c r="BO87" s="611">
        <f>BO86/BO67</f>
        <v>0.14962110596653719</v>
      </c>
      <c r="BP87" s="381"/>
      <c r="BQ87" s="611">
        <f>BQ86/BQ67</f>
        <v>0.18629751771810485</v>
      </c>
      <c r="BR87" s="381"/>
      <c r="BS87" s="611">
        <f>BS86/BS67</f>
        <v>0.17779055400780092</v>
      </c>
      <c r="BT87" s="381"/>
      <c r="BU87" s="611">
        <f>BU86/BU67</f>
        <v>0.15429190139041518</v>
      </c>
      <c r="BV87" s="381"/>
      <c r="BW87" s="611">
        <f>BW86/BW67</f>
        <v>0.11306428318919678</v>
      </c>
      <c r="BX87" s="381"/>
      <c r="BY87" s="611">
        <f>BY86/BY67</f>
        <v>0.12426568454960649</v>
      </c>
      <c r="BZ87" s="381"/>
      <c r="CA87" s="611">
        <f>CA86/CA67</f>
        <v>0.15869375666315919</v>
      </c>
      <c r="CB87" s="381"/>
      <c r="CC87" s="611">
        <f>CC86/CC67</f>
        <v>0.17208916804244825</v>
      </c>
      <c r="CD87" s="381"/>
      <c r="CE87" s="611">
        <f>CE86/CE67</f>
        <v>0.13562306805304139</v>
      </c>
      <c r="CF87" s="620"/>
      <c r="CG87" s="620"/>
      <c r="CH87" s="620"/>
      <c r="CI87" s="620"/>
      <c r="CJ87" s="381"/>
      <c r="CK87" s="611">
        <f>CK86/CK67</f>
        <v>0.19297750101260622</v>
      </c>
      <c r="CL87" s="381"/>
      <c r="CM87" s="611">
        <f>CM86/CM67</f>
        <v>0.1265734326083785</v>
      </c>
      <c r="CN87" s="381"/>
      <c r="CO87" s="611">
        <f>CO86/CO67</f>
        <v>0.17346127940435535</v>
      </c>
      <c r="CP87" s="381"/>
      <c r="CQ87" s="611">
        <f>CQ86/CQ67</f>
        <v>0.18792544453460619</v>
      </c>
      <c r="CR87" s="381"/>
      <c r="CS87" s="611">
        <f>CS86/CS67</f>
        <v>0.16368106100702315</v>
      </c>
      <c r="CT87" s="381"/>
      <c r="CU87" s="611">
        <f>CU86/CU67</f>
        <v>0.15432485325390896</v>
      </c>
      <c r="CV87" s="381"/>
      <c r="CW87" s="611">
        <f>CW86/CW67</f>
        <v>0.18814743821729227</v>
      </c>
      <c r="CX87" s="381"/>
      <c r="CY87" s="611">
        <f>CY86/CY67</f>
        <v>0.20481911996486701</v>
      </c>
      <c r="DA87" s="381"/>
      <c r="DB87" s="611">
        <f>DB86/DB67</f>
        <v>0.24387823134133868</v>
      </c>
      <c r="DC87" s="381"/>
      <c r="DD87" s="611">
        <f>DD86/DD67</f>
        <v>0.25682552190056229</v>
      </c>
      <c r="DE87" s="381"/>
      <c r="DF87" s="611">
        <f>DF86/DF67</f>
        <v>0.21695480193573177</v>
      </c>
      <c r="DG87" s="381"/>
      <c r="DH87" s="611">
        <f>DH86/DH67</f>
        <v>0.1908646403317924</v>
      </c>
      <c r="DI87" s="381"/>
      <c r="DJ87" s="611">
        <f>DJ86/DJ67</f>
        <v>0.18983392672467903</v>
      </c>
      <c r="DK87" s="381"/>
      <c r="DL87" s="611">
        <f>DL86/DL67</f>
        <v>0.21717365566164898</v>
      </c>
      <c r="DM87" s="381"/>
      <c r="DN87" s="611">
        <f>DN86/DN67</f>
        <v>0.19488510045626209</v>
      </c>
      <c r="DO87" s="381"/>
      <c r="DP87" s="611">
        <f>DP86/DP67</f>
        <v>0.19343962702359085</v>
      </c>
      <c r="DR87" s="381"/>
      <c r="DS87" s="611">
        <f>DS86/DS67</f>
        <v>0.16200222384296342</v>
      </c>
      <c r="DT87" s="381"/>
      <c r="DU87" s="611">
        <f>DU86/DU67</f>
        <v>0.11856277480390522</v>
      </c>
    </row>
    <row r="88" spans="1:125" s="65" customFormat="1" ht="6.75" customHeight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381"/>
      <c r="O88" s="383"/>
      <c r="P88" s="381"/>
      <c r="Q88" s="383"/>
      <c r="R88" s="381"/>
      <c r="S88" s="383"/>
      <c r="T88" s="381"/>
      <c r="U88" s="383"/>
      <c r="V88" s="381"/>
      <c r="W88" s="383"/>
      <c r="X88" s="381"/>
      <c r="Y88" s="383"/>
      <c r="Z88" s="381"/>
      <c r="AA88" s="383"/>
      <c r="AB88" s="381"/>
      <c r="AC88" s="383"/>
      <c r="AD88" s="381"/>
      <c r="AE88" s="383"/>
      <c r="AF88" s="381"/>
      <c r="AG88" s="383"/>
      <c r="AH88" s="381"/>
      <c r="AI88" s="383"/>
      <c r="AJ88" s="381"/>
      <c r="AK88" s="383"/>
      <c r="AL88" s="381"/>
      <c r="AM88" s="383"/>
      <c r="AN88" s="381"/>
      <c r="AO88" s="383"/>
      <c r="AP88" s="381"/>
      <c r="AQ88" s="383"/>
      <c r="AR88" s="381"/>
      <c r="AS88" s="383"/>
      <c r="AT88" s="381"/>
      <c r="AU88" s="383"/>
      <c r="AV88" s="381"/>
      <c r="AW88" s="383"/>
      <c r="AX88" s="381"/>
      <c r="AY88" s="383"/>
      <c r="AZ88" s="381"/>
      <c r="BA88" s="383"/>
      <c r="BB88" s="381"/>
      <c r="BC88" s="383"/>
      <c r="BD88" s="381"/>
      <c r="BE88" s="383"/>
      <c r="BF88" s="381"/>
      <c r="BG88" s="383"/>
      <c r="BH88" s="381"/>
      <c r="BI88" s="383"/>
      <c r="BJ88" s="381"/>
      <c r="BK88" s="383"/>
      <c r="BL88" s="381"/>
      <c r="BM88" s="383"/>
      <c r="BN88" s="381"/>
      <c r="BO88" s="383"/>
      <c r="BP88" s="381"/>
      <c r="BQ88" s="383"/>
      <c r="BR88" s="381"/>
      <c r="BS88" s="383"/>
      <c r="BT88" s="381"/>
      <c r="BU88" s="383"/>
      <c r="BV88" s="381"/>
      <c r="BW88" s="383"/>
      <c r="BX88" s="381"/>
      <c r="BY88" s="383"/>
      <c r="BZ88" s="381"/>
      <c r="CA88" s="383"/>
      <c r="CB88" s="381"/>
      <c r="CC88" s="383"/>
      <c r="CD88" s="381"/>
      <c r="CE88" s="383"/>
      <c r="CF88" s="620"/>
      <c r="CG88" s="620"/>
      <c r="CH88" s="620"/>
      <c r="CI88" s="620"/>
      <c r="CJ88" s="381"/>
      <c r="CK88" s="383"/>
      <c r="CL88" s="381"/>
      <c r="CM88" s="383"/>
      <c r="CN88" s="381"/>
      <c r="CO88" s="383"/>
      <c r="CP88" s="381"/>
      <c r="CQ88" s="383"/>
      <c r="CR88" s="381"/>
      <c r="CS88" s="383"/>
      <c r="CT88" s="381"/>
      <c r="CU88" s="383"/>
      <c r="CV88" s="381"/>
      <c r="CW88" s="383"/>
      <c r="CX88" s="381"/>
      <c r="CY88" s="383"/>
      <c r="DA88" s="381"/>
      <c r="DB88" s="383"/>
      <c r="DC88" s="381"/>
      <c r="DD88" s="383"/>
      <c r="DE88" s="381"/>
      <c r="DF88" s="383"/>
      <c r="DG88" s="381"/>
      <c r="DH88" s="383"/>
      <c r="DI88" s="381"/>
      <c r="DJ88" s="383"/>
      <c r="DK88" s="381"/>
      <c r="DL88" s="383"/>
      <c r="DM88" s="381"/>
      <c r="DN88" s="383"/>
      <c r="DO88" s="381"/>
      <c r="DP88" s="383"/>
      <c r="DR88" s="381"/>
      <c r="DS88" s="383"/>
      <c r="DT88" s="381"/>
      <c r="DU88" s="383"/>
    </row>
    <row r="89" spans="1:125" s="65" customFormat="1" ht="18" customHeight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1.4068309390250531</v>
      </c>
      <c r="H89" s="146"/>
      <c r="I89" s="147">
        <f>I86</f>
        <v>1.2476058971765243</v>
      </c>
      <c r="J89" s="146"/>
      <c r="K89" s="147">
        <f>K86</f>
        <v>1.2476058971765243</v>
      </c>
      <c r="L89" s="146"/>
      <c r="M89" s="147">
        <f>M86</f>
        <v>1.2476058971765243</v>
      </c>
      <c r="N89" s="424"/>
      <c r="O89" s="601">
        <f>O86</f>
        <v>1.2662288997285618</v>
      </c>
      <c r="P89" s="424"/>
      <c r="Q89" s="601">
        <f>Q86</f>
        <v>1.1345400710045401</v>
      </c>
      <c r="R89" s="424"/>
      <c r="S89" s="601">
        <f>S86</f>
        <v>1.1345400710045401</v>
      </c>
      <c r="T89" s="424"/>
      <c r="U89" s="601">
        <f>U86</f>
        <v>0.99703636351459723</v>
      </c>
      <c r="V89" s="424"/>
      <c r="W89" s="601">
        <f>W86</f>
        <v>0.94759524378055515</v>
      </c>
      <c r="X89" s="424"/>
      <c r="Y89" s="601">
        <f>Y86</f>
        <v>0.7767441250261099</v>
      </c>
      <c r="Z89" s="424"/>
      <c r="AA89" s="601">
        <f>AA86</f>
        <v>0.66183207590217719</v>
      </c>
      <c r="AB89" s="424"/>
      <c r="AC89" s="601">
        <f>AC86</f>
        <v>0.73164082032748157</v>
      </c>
      <c r="AD89" s="424"/>
      <c r="AE89" s="601">
        <f>AE86</f>
        <v>0.84953041182221578</v>
      </c>
      <c r="AF89" s="424"/>
      <c r="AG89" s="601">
        <f>AG86</f>
        <v>0.80485493241282313</v>
      </c>
      <c r="AH89" s="424"/>
      <c r="AI89" s="601">
        <f>AI86</f>
        <v>1.1104327212151022</v>
      </c>
      <c r="AJ89" s="424"/>
      <c r="AK89" s="601">
        <f>AK86</f>
        <v>1.2176877147500278</v>
      </c>
      <c r="AL89" s="424"/>
      <c r="AM89" s="601">
        <f>AM86</f>
        <v>1.277544785234352</v>
      </c>
      <c r="AN89" s="424"/>
      <c r="AO89" s="601">
        <f>AO86</f>
        <v>1.3639872087370819</v>
      </c>
      <c r="AP89" s="424"/>
      <c r="AQ89" s="601">
        <f>AQ86</f>
        <v>1.2679109005019902</v>
      </c>
      <c r="AR89" s="424"/>
      <c r="AS89" s="601">
        <f>AS86</f>
        <v>1.2334482779959268</v>
      </c>
      <c r="AT89" s="424"/>
      <c r="AU89" s="601">
        <f>AU86</f>
        <v>1.3767296827419324</v>
      </c>
      <c r="AV89" s="424"/>
      <c r="AW89" s="601">
        <f>AW86</f>
        <v>1.1362696365079372</v>
      </c>
      <c r="AX89" s="424"/>
      <c r="AY89" s="601">
        <f>AY86</f>
        <v>1.118820245329041</v>
      </c>
      <c r="AZ89" s="424"/>
      <c r="BA89" s="601">
        <f>BA86</f>
        <v>1.2580946991031698</v>
      </c>
      <c r="BB89" s="424"/>
      <c r="BC89" s="601">
        <f>BC86</f>
        <v>1.3316452150751075</v>
      </c>
      <c r="BD89" s="424"/>
      <c r="BE89" s="601">
        <f>BE86</f>
        <v>0.4831943812326176</v>
      </c>
      <c r="BF89" s="424"/>
      <c r="BG89" s="601">
        <f>BG86</f>
        <v>0.4831943812326176</v>
      </c>
      <c r="BH89" s="424"/>
      <c r="BI89" s="601">
        <f>BI86</f>
        <v>0.96687909803807393</v>
      </c>
      <c r="BJ89" s="424"/>
      <c r="BK89" s="601">
        <f>BK86</f>
        <v>0.78731747451840228</v>
      </c>
      <c r="BL89" s="424"/>
      <c r="BM89" s="601">
        <f>BM86</f>
        <v>0.90562749177588331</v>
      </c>
      <c r="BN89" s="424"/>
      <c r="BO89" s="601">
        <f>BO86</f>
        <v>0.87378725884457709</v>
      </c>
      <c r="BP89" s="424"/>
      <c r="BQ89" s="601">
        <f>BQ86</f>
        <v>1.0879775034737322</v>
      </c>
      <c r="BR89" s="424"/>
      <c r="BS89" s="601">
        <f>BS86</f>
        <v>1.0382968354055573</v>
      </c>
      <c r="BT89" s="424"/>
      <c r="BU89" s="601">
        <f>BU86</f>
        <v>0.9010647041200246</v>
      </c>
      <c r="BV89" s="424"/>
      <c r="BW89" s="601">
        <f>BW86</f>
        <v>0.66029541382490919</v>
      </c>
      <c r="BX89" s="424"/>
      <c r="BY89" s="601">
        <f>BY86</f>
        <v>0.72571159776970184</v>
      </c>
      <c r="BZ89" s="424"/>
      <c r="CA89" s="601">
        <f>CA86</f>
        <v>0.92677153891284969</v>
      </c>
      <c r="CB89" s="424"/>
      <c r="CC89" s="601">
        <f>CC86</f>
        <v>1.0050007413678979</v>
      </c>
      <c r="CD89" s="424"/>
      <c r="CE89" s="601">
        <f>CE86</f>
        <v>0.79203871742976173</v>
      </c>
      <c r="CF89" s="620"/>
      <c r="CG89" s="620"/>
      <c r="CH89" s="620"/>
      <c r="CI89" s="620"/>
      <c r="CJ89" s="424"/>
      <c r="CK89" s="601">
        <f>CK86</f>
        <v>1.1053538113533623</v>
      </c>
      <c r="CL89" s="424"/>
      <c r="CM89" s="601">
        <f>CM86</f>
        <v>0.7265315031720927</v>
      </c>
      <c r="CN89" s="424"/>
      <c r="CO89" s="601">
        <f>CO86</f>
        <v>0.99566774378099976</v>
      </c>
      <c r="CP89" s="424"/>
      <c r="CQ89" s="601">
        <f>CQ86</f>
        <v>1.0786920516286396</v>
      </c>
      <c r="CR89" s="424"/>
      <c r="CS89" s="601">
        <f>CS86</f>
        <v>0.93841340769078174</v>
      </c>
      <c r="CT89" s="424"/>
      <c r="CU89" s="601">
        <f>CU86</f>
        <v>0.88582465767743745</v>
      </c>
      <c r="CV89" s="424"/>
      <c r="CW89" s="601">
        <f>CW86</f>
        <v>1.1759214888580767</v>
      </c>
      <c r="CX89" s="424"/>
      <c r="CY89" s="601">
        <f>CY86</f>
        <v>1.1756617485983367</v>
      </c>
      <c r="DA89" s="424"/>
      <c r="DB89" s="601">
        <f>DB86</f>
        <v>1.3998610478992841</v>
      </c>
      <c r="DC89" s="424"/>
      <c r="DD89" s="601">
        <f>DD86</f>
        <v>1.4998610478992838</v>
      </c>
      <c r="DE89" s="424"/>
      <c r="DF89" s="601">
        <f>DF86</f>
        <v>1.2670160433046735</v>
      </c>
      <c r="DG89" s="424"/>
      <c r="DH89" s="601">
        <f>DH86</f>
        <v>1.1146494995376677</v>
      </c>
      <c r="DI89" s="424"/>
      <c r="DJ89" s="601">
        <f>DJ86</f>
        <v>1.1086301320721255</v>
      </c>
      <c r="DK89" s="424"/>
      <c r="DL89" s="601">
        <f>DL86</f>
        <v>1.26829414906403</v>
      </c>
      <c r="DM89" s="424"/>
      <c r="DN89" s="601">
        <f>DN86</f>
        <v>1.1381289866645705</v>
      </c>
      <c r="DO89" s="424"/>
      <c r="DP89" s="601">
        <f>DP86</f>
        <v>1.1296874218177706</v>
      </c>
      <c r="DR89" s="424"/>
      <c r="DS89" s="601">
        <f>DS86</f>
        <v>0.94609298724290636</v>
      </c>
      <c r="DT89" s="424"/>
      <c r="DU89" s="601">
        <f>DU86</f>
        <v>0.69240660485480643</v>
      </c>
    </row>
    <row r="90" spans="1:125" s="283" customFormat="1" ht="18" customHeight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0.2586145218155364</v>
      </c>
      <c r="H90" s="132"/>
      <c r="I90" s="133">
        <f>I89/I67</f>
        <v>0.2352643540153265</v>
      </c>
      <c r="J90" s="132"/>
      <c r="K90" s="133">
        <f>K89/K67</f>
        <v>0.2352643540153265</v>
      </c>
      <c r="L90" s="132"/>
      <c r="M90" s="133">
        <f>M89/M67</f>
        <v>0.2352643540153265</v>
      </c>
      <c r="N90" s="381"/>
      <c r="O90" s="611">
        <f>O89/O67</f>
        <v>0.22161155708117009</v>
      </c>
      <c r="P90" s="381"/>
      <c r="Q90" s="611">
        <f>Q89/Q67</f>
        <v>0.19765506463493729</v>
      </c>
      <c r="R90" s="381"/>
      <c r="S90" s="611">
        <f>S89/S67</f>
        <v>0.19765506463493729</v>
      </c>
      <c r="T90" s="381"/>
      <c r="U90" s="611">
        <f>U89/U67</f>
        <v>0.17369971489801345</v>
      </c>
      <c r="V90" s="381"/>
      <c r="W90" s="611">
        <f>W89/W67</f>
        <v>0.16508627940427789</v>
      </c>
      <c r="X90" s="381"/>
      <c r="Y90" s="611">
        <f>Y89/Y67</f>
        <v>0.13532127613695294</v>
      </c>
      <c r="Z90" s="381"/>
      <c r="AA90" s="611">
        <f>AA89/AA67</f>
        <v>0.11530175538365456</v>
      </c>
      <c r="AB90" s="381"/>
      <c r="AC90" s="611">
        <f>AC89/AC67</f>
        <v>0.12746355754834174</v>
      </c>
      <c r="AD90" s="381"/>
      <c r="AE90" s="611">
        <f>AE89/AE67</f>
        <v>0.14800181390630937</v>
      </c>
      <c r="AF90" s="381"/>
      <c r="AG90" s="611">
        <f>AG89/AG67</f>
        <v>0.14021862934021309</v>
      </c>
      <c r="AH90" s="381"/>
      <c r="AI90" s="611">
        <f>AI89/AI67</f>
        <v>0.1934551779120387</v>
      </c>
      <c r="AJ90" s="381"/>
      <c r="AK90" s="611">
        <f>AK89/AK67</f>
        <v>0.21214071685540553</v>
      </c>
      <c r="AL90" s="381"/>
      <c r="AM90" s="611">
        <f>AM89/AM67</f>
        <v>0.22256877791539231</v>
      </c>
      <c r="AN90" s="381"/>
      <c r="AO90" s="611">
        <f>AO89/AO67</f>
        <v>0.23762843357788882</v>
      </c>
      <c r="AP90" s="381"/>
      <c r="AQ90" s="611">
        <f>AQ89/AQ67</f>
        <v>0.22089040078431885</v>
      </c>
      <c r="AR90" s="381"/>
      <c r="AS90" s="611">
        <f>AS89/AS67</f>
        <v>0.21488645958117192</v>
      </c>
      <c r="AT90" s="381"/>
      <c r="AU90" s="611">
        <f>AU89/AU67</f>
        <v>0.23984837678430879</v>
      </c>
      <c r="AV90" s="381"/>
      <c r="AW90" s="611">
        <f>AW89/AW67</f>
        <v>0.197956382666888</v>
      </c>
      <c r="AX90" s="381"/>
      <c r="AY90" s="611">
        <f>AY89/AY67</f>
        <v>0.19491641904687124</v>
      </c>
      <c r="AZ90" s="381"/>
      <c r="BA90" s="611">
        <f>BA89/BA67</f>
        <v>0.21918026116779962</v>
      </c>
      <c r="BB90" s="381"/>
      <c r="BC90" s="611">
        <f>BC89/BC67</f>
        <v>0.2319939399085553</v>
      </c>
      <c r="BD90" s="381"/>
      <c r="BE90" s="611">
        <f>BE89/BE67</f>
        <v>8.4180205789654627E-2</v>
      </c>
      <c r="BF90" s="381"/>
      <c r="BG90" s="611">
        <f>BG89/BG67</f>
        <v>8.4180205789654627E-2</v>
      </c>
      <c r="BH90" s="381"/>
      <c r="BI90" s="611">
        <f>BI89/BI67</f>
        <v>0.16556148939008117</v>
      </c>
      <c r="BJ90" s="381"/>
      <c r="BK90" s="611">
        <f>BK89/BK67</f>
        <v>0.13481463604767163</v>
      </c>
      <c r="BL90" s="381"/>
      <c r="BM90" s="611">
        <f>BM89/BM67</f>
        <v>0.15507320064655536</v>
      </c>
      <c r="BN90" s="381"/>
      <c r="BO90" s="611">
        <f>BO89/BO67</f>
        <v>0.14962110596653719</v>
      </c>
      <c r="BP90" s="381"/>
      <c r="BQ90" s="611">
        <f>BQ89/BQ67</f>
        <v>0.18629751771810485</v>
      </c>
      <c r="BR90" s="381"/>
      <c r="BS90" s="611">
        <f>BS89/BS67</f>
        <v>0.17779055400780092</v>
      </c>
      <c r="BT90" s="381"/>
      <c r="BU90" s="611">
        <f>BU89/BU67</f>
        <v>0.15429190139041518</v>
      </c>
      <c r="BV90" s="381"/>
      <c r="BW90" s="611">
        <f>BW89/BW67</f>
        <v>0.11306428318919678</v>
      </c>
      <c r="BX90" s="381"/>
      <c r="BY90" s="611">
        <f>BY89/BY67</f>
        <v>0.12426568454960649</v>
      </c>
      <c r="BZ90" s="381"/>
      <c r="CA90" s="611">
        <f>CA89/CA67</f>
        <v>0.15869375666315919</v>
      </c>
      <c r="CB90" s="381"/>
      <c r="CC90" s="611">
        <f>CC89/CC67</f>
        <v>0.17208916804244825</v>
      </c>
      <c r="CD90" s="381"/>
      <c r="CE90" s="611">
        <f>CE89/CE67</f>
        <v>0.13562306805304139</v>
      </c>
      <c r="CF90" s="620"/>
      <c r="CG90" s="620"/>
      <c r="CH90" s="620"/>
      <c r="CI90" s="620"/>
      <c r="CJ90" s="381"/>
      <c r="CK90" s="611">
        <f>CK89/CK67</f>
        <v>0.19297750101260622</v>
      </c>
      <c r="CL90" s="381"/>
      <c r="CM90" s="611">
        <f>CM89/CM67</f>
        <v>0.1265734326083785</v>
      </c>
      <c r="CN90" s="381"/>
      <c r="CO90" s="611">
        <f>CO89/CO67</f>
        <v>0.17346127940435535</v>
      </c>
      <c r="CP90" s="381"/>
      <c r="CQ90" s="611">
        <f>CQ89/CQ67</f>
        <v>0.18792544453460619</v>
      </c>
      <c r="CR90" s="381"/>
      <c r="CS90" s="611">
        <f>CS89/CS67</f>
        <v>0.16368106100702315</v>
      </c>
      <c r="CT90" s="381"/>
      <c r="CU90" s="611">
        <f>CU89/CU67</f>
        <v>0.15432485325390896</v>
      </c>
      <c r="CV90" s="381"/>
      <c r="CW90" s="611">
        <f>CW89/CW67</f>
        <v>0.18814743821729227</v>
      </c>
      <c r="CX90" s="381"/>
      <c r="CY90" s="611">
        <f>CY89/CY67</f>
        <v>0.20481911996486701</v>
      </c>
      <c r="DA90" s="381"/>
      <c r="DB90" s="611">
        <f>DB89/DB67</f>
        <v>0.24387823134133868</v>
      </c>
      <c r="DC90" s="381"/>
      <c r="DD90" s="611">
        <f>DD89/DD67</f>
        <v>0.25682552190056229</v>
      </c>
      <c r="DE90" s="381"/>
      <c r="DF90" s="611">
        <f>DF89/DF67</f>
        <v>0.21695480193573177</v>
      </c>
      <c r="DG90" s="381"/>
      <c r="DH90" s="611">
        <f>DH89/DH67</f>
        <v>0.1908646403317924</v>
      </c>
      <c r="DI90" s="381"/>
      <c r="DJ90" s="611">
        <f>DJ89/DJ67</f>
        <v>0.18983392672467903</v>
      </c>
      <c r="DK90" s="381"/>
      <c r="DL90" s="611">
        <f>DL89/DL67</f>
        <v>0.21717365566164898</v>
      </c>
      <c r="DM90" s="381"/>
      <c r="DN90" s="611">
        <f>DN89/DN67</f>
        <v>0.19488510045626209</v>
      </c>
      <c r="DO90" s="381"/>
      <c r="DP90" s="611">
        <f>DP89/DP67</f>
        <v>0.19343962702359085</v>
      </c>
      <c r="DR90" s="381"/>
      <c r="DS90" s="611">
        <f>DS89/DS67</f>
        <v>0.16200222384296342</v>
      </c>
      <c r="DT90" s="381"/>
      <c r="DU90" s="611">
        <f>DU89/DU67</f>
        <v>0.11856277480390522</v>
      </c>
    </row>
    <row r="91" spans="1:125" s="283" customFormat="1" ht="6.75" customHeight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381"/>
      <c r="O91" s="383"/>
      <c r="P91" s="381"/>
      <c r="Q91" s="383"/>
      <c r="R91" s="381"/>
      <c r="S91" s="383"/>
      <c r="T91" s="381"/>
      <c r="U91" s="383"/>
      <c r="V91" s="381"/>
      <c r="W91" s="383"/>
      <c r="X91" s="381"/>
      <c r="Y91" s="383"/>
      <c r="Z91" s="381"/>
      <c r="AA91" s="383"/>
      <c r="AB91" s="381"/>
      <c r="AC91" s="383"/>
      <c r="AD91" s="381"/>
      <c r="AE91" s="383"/>
      <c r="AF91" s="381"/>
      <c r="AG91" s="383"/>
      <c r="AH91" s="381"/>
      <c r="AI91" s="383"/>
      <c r="AJ91" s="381"/>
      <c r="AK91" s="383"/>
      <c r="AL91" s="381"/>
      <c r="AM91" s="383"/>
      <c r="AN91" s="381"/>
      <c r="AO91" s="383"/>
      <c r="AP91" s="381"/>
      <c r="AQ91" s="383"/>
      <c r="AR91" s="381"/>
      <c r="AS91" s="383"/>
      <c r="AT91" s="381"/>
      <c r="AU91" s="383"/>
      <c r="AV91" s="381"/>
      <c r="AW91" s="383"/>
      <c r="AX91" s="381"/>
      <c r="AY91" s="383"/>
      <c r="AZ91" s="381"/>
      <c r="BA91" s="383"/>
      <c r="BB91" s="381"/>
      <c r="BC91" s="383"/>
      <c r="BD91" s="381"/>
      <c r="BE91" s="383"/>
      <c r="BF91" s="381"/>
      <c r="BG91" s="383"/>
      <c r="BH91" s="381"/>
      <c r="BI91" s="383"/>
      <c r="BJ91" s="381"/>
      <c r="BK91" s="383"/>
      <c r="BL91" s="381"/>
      <c r="BM91" s="383"/>
      <c r="BN91" s="381"/>
      <c r="BO91" s="383"/>
      <c r="BP91" s="381"/>
      <c r="BQ91" s="383"/>
      <c r="BR91" s="381"/>
      <c r="BS91" s="383"/>
      <c r="BT91" s="381"/>
      <c r="BU91" s="383"/>
      <c r="BV91" s="381"/>
      <c r="BW91" s="383"/>
      <c r="BX91" s="381"/>
      <c r="BY91" s="383"/>
      <c r="BZ91" s="381"/>
      <c r="CA91" s="383"/>
      <c r="CB91" s="381"/>
      <c r="CC91" s="383"/>
      <c r="CD91" s="381"/>
      <c r="CE91" s="383"/>
      <c r="CF91" s="620"/>
      <c r="CG91" s="620"/>
      <c r="CH91" s="620"/>
      <c r="CI91" s="620"/>
      <c r="CJ91" s="381"/>
      <c r="CK91" s="383"/>
      <c r="CL91" s="381"/>
      <c r="CM91" s="383"/>
      <c r="CN91" s="381"/>
      <c r="CO91" s="383"/>
      <c r="CP91" s="381"/>
      <c r="CQ91" s="383"/>
      <c r="CR91" s="381"/>
      <c r="CS91" s="383"/>
      <c r="CT91" s="381"/>
      <c r="CU91" s="383"/>
      <c r="CV91" s="381"/>
      <c r="CW91" s="383"/>
      <c r="CX91" s="381"/>
      <c r="CY91" s="383"/>
      <c r="DA91" s="381"/>
      <c r="DB91" s="383"/>
      <c r="DC91" s="381"/>
      <c r="DD91" s="383"/>
      <c r="DE91" s="381"/>
      <c r="DF91" s="383"/>
      <c r="DG91" s="381"/>
      <c r="DH91" s="383"/>
      <c r="DI91" s="381"/>
      <c r="DJ91" s="383"/>
      <c r="DK91" s="381"/>
      <c r="DL91" s="383"/>
      <c r="DM91" s="381"/>
      <c r="DN91" s="383"/>
      <c r="DO91" s="381"/>
      <c r="DP91" s="383"/>
      <c r="DR91" s="381"/>
      <c r="DS91" s="383"/>
      <c r="DT91" s="381"/>
      <c r="DU91" s="383"/>
    </row>
    <row r="92" spans="1:125" s="65" customFormat="1" ht="18" customHeight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1.1000000000000001</v>
      </c>
      <c r="H92" s="256"/>
      <c r="I92" s="257">
        <v>0.88</v>
      </c>
      <c r="J92" s="256"/>
      <c r="K92" s="257">
        <v>0.88</v>
      </c>
      <c r="L92" s="256"/>
      <c r="M92" s="257">
        <v>0.88</v>
      </c>
      <c r="N92" s="256"/>
      <c r="O92" s="604">
        <v>1.0029850746268656</v>
      </c>
      <c r="P92" s="256"/>
      <c r="Q92" s="604">
        <v>1</v>
      </c>
      <c r="R92" s="256"/>
      <c r="S92" s="604">
        <v>1</v>
      </c>
      <c r="T92" s="256"/>
      <c r="U92" s="604">
        <v>1</v>
      </c>
      <c r="V92" s="256"/>
      <c r="W92" s="604">
        <v>1</v>
      </c>
      <c r="X92" s="256"/>
      <c r="Y92" s="604">
        <v>1</v>
      </c>
      <c r="Z92" s="256"/>
      <c r="AA92" s="604">
        <v>0.63188042366449992</v>
      </c>
      <c r="AB92" s="256"/>
      <c r="AC92" s="604">
        <v>0.6</v>
      </c>
      <c r="AD92" s="256"/>
      <c r="AE92" s="604">
        <v>0.61373387222135856</v>
      </c>
      <c r="AF92" s="256"/>
      <c r="AG92" s="604">
        <v>0.5</v>
      </c>
      <c r="AH92" s="256"/>
      <c r="AI92" s="604">
        <v>0.5</v>
      </c>
      <c r="AJ92" s="256"/>
      <c r="AK92" s="604">
        <v>0.5</v>
      </c>
      <c r="AL92" s="256"/>
      <c r="AM92" s="604">
        <v>0.5</v>
      </c>
      <c r="AN92" s="256"/>
      <c r="AO92" s="604">
        <v>0.91666000000000003</v>
      </c>
      <c r="AP92" s="256"/>
      <c r="AQ92" s="604">
        <v>0.99035113060377655</v>
      </c>
      <c r="AR92" s="256"/>
      <c r="AS92" s="604">
        <v>1</v>
      </c>
      <c r="AT92" s="256"/>
      <c r="AU92" s="604">
        <v>1</v>
      </c>
      <c r="AV92" s="256"/>
      <c r="AW92" s="604">
        <v>1</v>
      </c>
      <c r="AX92" s="256"/>
      <c r="AY92" s="604">
        <v>1</v>
      </c>
      <c r="AZ92" s="256"/>
      <c r="BA92" s="604">
        <v>1</v>
      </c>
      <c r="BB92" s="256"/>
      <c r="BC92" s="604">
        <v>1</v>
      </c>
      <c r="BD92" s="256"/>
      <c r="BE92" s="604">
        <v>0</v>
      </c>
      <c r="BF92" s="256"/>
      <c r="BG92" s="604">
        <v>0</v>
      </c>
      <c r="BH92" s="256"/>
      <c r="BI92" s="604">
        <v>0</v>
      </c>
      <c r="BJ92" s="256"/>
      <c r="BK92" s="604">
        <v>0</v>
      </c>
      <c r="BL92" s="256"/>
      <c r="BM92" s="604">
        <v>0</v>
      </c>
      <c r="BN92" s="256"/>
      <c r="BO92" s="604">
        <v>0</v>
      </c>
      <c r="BP92" s="256"/>
      <c r="BQ92" s="604">
        <v>0</v>
      </c>
      <c r="BR92" s="256"/>
      <c r="BS92" s="604">
        <v>0</v>
      </c>
      <c r="BT92" s="256"/>
      <c r="BU92" s="604">
        <v>0</v>
      </c>
      <c r="BV92" s="256"/>
      <c r="BW92" s="604">
        <v>0</v>
      </c>
      <c r="BX92" s="256"/>
      <c r="BY92" s="604">
        <v>0</v>
      </c>
      <c r="BZ92" s="256"/>
      <c r="CA92" s="604">
        <v>0</v>
      </c>
      <c r="CB92" s="256"/>
      <c r="CC92" s="604">
        <v>0</v>
      </c>
      <c r="CD92" s="256"/>
      <c r="CE92" s="604">
        <v>0</v>
      </c>
      <c r="CF92" s="620"/>
      <c r="CG92" s="620"/>
      <c r="CH92" s="620"/>
      <c r="CI92" s="620"/>
      <c r="CJ92" s="256"/>
      <c r="CK92" s="604">
        <f>(SUMPRODUCT(O92,O$131)+SUMPRODUCT(U92,U$131)+SUMPRODUCT(W92,W$131))/SUM(O$131,U$131,W$131)</f>
        <v>1.0013761875482039</v>
      </c>
      <c r="CL92" s="256"/>
      <c r="CM92" s="604">
        <f>(SUMPRODUCT(AC92,AC$131)+SUMPRODUCT(AA92,AA$131)+SUMPRODUCT(Y92,Y$131))/SUM(AC$131,AA$131,Y$131)</f>
        <v>0.73536588157202043</v>
      </c>
      <c r="CN92" s="256"/>
      <c r="CO92" s="604">
        <f>(SUMPRODUCT(AI92,AI$131)+SUMPRODUCT(AG92,AG$131)+SUMPRODUCT(AE92,AE$131))/SUM(AI$131,AG$131,AE$131)</f>
        <v>0.52495895749915777</v>
      </c>
      <c r="CP92" s="256"/>
      <c r="CQ92" s="604">
        <v>1</v>
      </c>
      <c r="CR92" s="256"/>
      <c r="CS92" s="604">
        <f>(SUMPRODUCT(O92,O$131)+SUMPRODUCT(U92,U$131)+SUMPRODUCT(W92,W$131)+SUMPRODUCT(Y92,Y$131)+SUMPRODUCT(AA92,AA$131)+SUMPRODUCT(AC92,AC$131))/SUM(O$131,U$131,W$131,Y$131,AA$131,AC$131)</f>
        <v>0.88511290471026527</v>
      </c>
      <c r="CT92" s="256"/>
      <c r="CU92" s="604">
        <v>0.5</v>
      </c>
      <c r="CV92" s="256"/>
      <c r="CW92" s="604">
        <v>1</v>
      </c>
      <c r="CX92" s="256"/>
      <c r="CY92" s="604">
        <v>1</v>
      </c>
      <c r="DA92" s="256"/>
      <c r="DB92" s="604">
        <v>0</v>
      </c>
      <c r="DC92" s="256"/>
      <c r="DD92" s="604">
        <v>0</v>
      </c>
      <c r="DE92" s="256"/>
      <c r="DF92" s="604">
        <v>0</v>
      </c>
      <c r="DG92" s="256"/>
      <c r="DH92" s="604">
        <v>0</v>
      </c>
      <c r="DI92" s="256"/>
      <c r="DJ92" s="604">
        <v>0</v>
      </c>
      <c r="DK92" s="256"/>
      <c r="DL92" s="604">
        <v>0</v>
      </c>
      <c r="DM92" s="256"/>
      <c r="DN92" s="604">
        <v>0</v>
      </c>
      <c r="DO92" s="256"/>
      <c r="DP92" s="604">
        <v>0</v>
      </c>
      <c r="DR92" s="256"/>
      <c r="DS92" s="604">
        <v>0</v>
      </c>
      <c r="DT92" s="256"/>
      <c r="DU92" s="604">
        <v>0</v>
      </c>
    </row>
    <row r="93" spans="1:125" s="65" customFormat="1" ht="18" customHeight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0.30683093902505298</v>
      </c>
      <c r="H93" s="146"/>
      <c r="I93" s="147">
        <f>I89-I92</f>
        <v>0.36760589717652425</v>
      </c>
      <c r="J93" s="146"/>
      <c r="K93" s="147">
        <f>K89-K92</f>
        <v>0.36760589717652425</v>
      </c>
      <c r="L93" s="146"/>
      <c r="M93" s="147">
        <f>M89-M92</f>
        <v>0.36760589717652425</v>
      </c>
      <c r="N93" s="146"/>
      <c r="O93" s="601">
        <f>O89-O92</f>
        <v>0.26324382510169619</v>
      </c>
      <c r="P93" s="146"/>
      <c r="Q93" s="601">
        <f>Q89-Q92</f>
        <v>0.13454007100454013</v>
      </c>
      <c r="R93" s="146"/>
      <c r="S93" s="601">
        <f>S89-S92</f>
        <v>0.13454007100454013</v>
      </c>
      <c r="T93" s="146"/>
      <c r="U93" s="601">
        <f>U89-U92</f>
        <v>-2.9636364854027653E-3</v>
      </c>
      <c r="V93" s="146"/>
      <c r="W93" s="601">
        <f>W89-W92</f>
        <v>-5.2404756219444848E-2</v>
      </c>
      <c r="X93" s="146"/>
      <c r="Y93" s="601">
        <f>Y89-Y92</f>
        <v>-0.2232558749738901</v>
      </c>
      <c r="Z93" s="146"/>
      <c r="AA93" s="601">
        <f>AA89-AA92</f>
        <v>2.9951652237677262E-2</v>
      </c>
      <c r="AB93" s="146"/>
      <c r="AC93" s="601">
        <f>AC89-AC92</f>
        <v>0.13164082032748159</v>
      </c>
      <c r="AD93" s="146"/>
      <c r="AE93" s="601">
        <f>AE89-AE92</f>
        <v>0.23579653960085722</v>
      </c>
      <c r="AF93" s="146"/>
      <c r="AG93" s="601">
        <f>AG89-AG92</f>
        <v>0.30485493241282313</v>
      </c>
      <c r="AH93" s="146"/>
      <c r="AI93" s="601">
        <f>AI89-AI92</f>
        <v>0.61043272121510217</v>
      </c>
      <c r="AJ93" s="146"/>
      <c r="AK93" s="601">
        <f>AK89-AK92</f>
        <v>0.71768771475002779</v>
      </c>
      <c r="AL93" s="146"/>
      <c r="AM93" s="601">
        <f>AM89-AM92</f>
        <v>0.777544785234352</v>
      </c>
      <c r="AN93" s="146"/>
      <c r="AO93" s="601">
        <f>AO89-AO92</f>
        <v>0.44732720873708187</v>
      </c>
      <c r="AP93" s="146"/>
      <c r="AQ93" s="601">
        <f>AQ89-AQ92</f>
        <v>0.27755976989821363</v>
      </c>
      <c r="AR93" s="146"/>
      <c r="AS93" s="601">
        <f>AS89-AS92</f>
        <v>0.23344827799592682</v>
      </c>
      <c r="AT93" s="146"/>
      <c r="AU93" s="601">
        <f>AU89-AU92</f>
        <v>0.37672968274193241</v>
      </c>
      <c r="AV93" s="146"/>
      <c r="AW93" s="601">
        <f>AW89-AW92</f>
        <v>0.13626963650793722</v>
      </c>
      <c r="AX93" s="146"/>
      <c r="AY93" s="601">
        <f>AY89-AY92</f>
        <v>0.11882024532904101</v>
      </c>
      <c r="AZ93" s="146"/>
      <c r="BA93" s="601">
        <f>BA89-BA92</f>
        <v>0.25809469910316984</v>
      </c>
      <c r="BB93" s="146"/>
      <c r="BC93" s="601">
        <f>BC89-BC92</f>
        <v>0.33164521507510747</v>
      </c>
      <c r="BD93" s="146"/>
      <c r="BE93" s="601">
        <f>BE89-BE92</f>
        <v>0.4831943812326176</v>
      </c>
      <c r="BF93" s="146"/>
      <c r="BG93" s="601">
        <f>BG89-BG92</f>
        <v>0.4831943812326176</v>
      </c>
      <c r="BH93" s="146"/>
      <c r="BI93" s="601">
        <f>BI89-BI92</f>
        <v>0.96687909803807393</v>
      </c>
      <c r="BJ93" s="146"/>
      <c r="BK93" s="601">
        <f>BK89-BK92</f>
        <v>0.78731747451840228</v>
      </c>
      <c r="BL93" s="146"/>
      <c r="BM93" s="601">
        <f>BM89-BM92</f>
        <v>0.90562749177588331</v>
      </c>
      <c r="BN93" s="146"/>
      <c r="BO93" s="601">
        <f>BO89-BO92</f>
        <v>0.87378725884457709</v>
      </c>
      <c r="BP93" s="146"/>
      <c r="BQ93" s="601">
        <f>BQ89-BQ92</f>
        <v>1.0879775034737322</v>
      </c>
      <c r="BR93" s="146"/>
      <c r="BS93" s="601">
        <f>BS89-BS92</f>
        <v>1.0382968354055573</v>
      </c>
      <c r="BT93" s="146"/>
      <c r="BU93" s="601">
        <f>BU89-BU92</f>
        <v>0.9010647041200246</v>
      </c>
      <c r="BV93" s="146"/>
      <c r="BW93" s="601">
        <f>BW89-BW92</f>
        <v>0.66029541382490919</v>
      </c>
      <c r="BX93" s="146"/>
      <c r="BY93" s="601">
        <f>BY89-BY92</f>
        <v>0.72571159776970184</v>
      </c>
      <c r="BZ93" s="146"/>
      <c r="CA93" s="601">
        <f>CA89-CA92</f>
        <v>0.92677153891284969</v>
      </c>
      <c r="CB93" s="146"/>
      <c r="CC93" s="601">
        <f>CC89-CC92</f>
        <v>1.0050007413678979</v>
      </c>
      <c r="CD93" s="146"/>
      <c r="CE93" s="601">
        <f>CE89-CE92</f>
        <v>0.79203871742976173</v>
      </c>
      <c r="CF93" s="620"/>
      <c r="CG93" s="620"/>
      <c r="CH93" s="620"/>
      <c r="CI93" s="620"/>
      <c r="CJ93" s="146"/>
      <c r="CK93" s="601">
        <f>CK89-CK92</f>
        <v>0.1039776238051584</v>
      </c>
      <c r="CL93" s="146"/>
      <c r="CM93" s="601">
        <f>CM89-CM92</f>
        <v>-8.8343783999277337E-3</v>
      </c>
      <c r="CN93" s="146"/>
      <c r="CO93" s="601">
        <f>CO89-CO92</f>
        <v>0.47070878628184198</v>
      </c>
      <c r="CP93" s="146"/>
      <c r="CQ93" s="601">
        <f>CQ89-CQ92</f>
        <v>7.869205162863957E-2</v>
      </c>
      <c r="CR93" s="146"/>
      <c r="CS93" s="601">
        <f>CS89-CS92</f>
        <v>5.3300502980516473E-2</v>
      </c>
      <c r="CT93" s="146"/>
      <c r="CU93" s="601">
        <f>CU89-CU92</f>
        <v>0.38582465767743745</v>
      </c>
      <c r="CV93" s="146"/>
      <c r="CW93" s="601">
        <f>CW89-CW92</f>
        <v>0.17592148885807668</v>
      </c>
      <c r="CX93" s="146"/>
      <c r="CY93" s="601">
        <f>CY89-CY92</f>
        <v>0.17566174859833672</v>
      </c>
      <c r="DA93" s="146"/>
      <c r="DB93" s="601">
        <f>DB89-DB92</f>
        <v>1.3998610478992841</v>
      </c>
      <c r="DC93" s="146"/>
      <c r="DD93" s="601">
        <f>DD89-DD92</f>
        <v>1.4998610478992838</v>
      </c>
      <c r="DE93" s="146"/>
      <c r="DF93" s="601">
        <f>DF89-DF92</f>
        <v>1.2670160433046735</v>
      </c>
      <c r="DG93" s="146"/>
      <c r="DH93" s="601">
        <f>DH89-DH92</f>
        <v>1.1146494995376677</v>
      </c>
      <c r="DI93" s="146"/>
      <c r="DJ93" s="601">
        <f>DJ89-DJ92</f>
        <v>1.1086301320721255</v>
      </c>
      <c r="DK93" s="146"/>
      <c r="DL93" s="601">
        <f>DL89-DL92</f>
        <v>1.26829414906403</v>
      </c>
      <c r="DM93" s="146"/>
      <c r="DN93" s="601">
        <f>DN89-DN92</f>
        <v>1.1381289866645705</v>
      </c>
      <c r="DO93" s="146"/>
      <c r="DP93" s="601">
        <f>DP89-DP92</f>
        <v>1.1296874218177706</v>
      </c>
      <c r="DR93" s="146"/>
      <c r="DS93" s="601">
        <f>DS89-DS92</f>
        <v>0.94609298724290636</v>
      </c>
      <c r="DT93" s="146"/>
      <c r="DU93" s="601">
        <f>DU89-DU92</f>
        <v>0.69240660485480643</v>
      </c>
    </row>
    <row r="94" spans="1:125" s="65" customFormat="1" ht="18" customHeight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5.6404031481683943E-2</v>
      </c>
      <c r="H94" s="132"/>
      <c r="I94" s="133">
        <f>I93/I67</f>
        <v>6.9320419314451806E-2</v>
      </c>
      <c r="J94" s="132"/>
      <c r="K94" s="133">
        <f>K93/K67</f>
        <v>6.9320419314451806E-2</v>
      </c>
      <c r="L94" s="132"/>
      <c r="M94" s="133">
        <f>M93/M67</f>
        <v>6.9320419314451806E-2</v>
      </c>
      <c r="N94" s="381"/>
      <c r="O94" s="611">
        <f>O93/O67</f>
        <v>4.6072139077931201E-2</v>
      </c>
      <c r="P94" s="381"/>
      <c r="Q94" s="611">
        <f>Q93/Q67</f>
        <v>2.3439036760372844E-2</v>
      </c>
      <c r="R94" s="381"/>
      <c r="S94" s="611">
        <f>S93/S67</f>
        <v>2.3439036760372844E-2</v>
      </c>
      <c r="T94" s="381"/>
      <c r="U94" s="611">
        <f>U93/U67</f>
        <v>-5.1631297655100434E-4</v>
      </c>
      <c r="V94" s="381"/>
      <c r="W94" s="611">
        <f>W93/W67</f>
        <v>-9.129748470286558E-3</v>
      </c>
      <c r="X94" s="381"/>
      <c r="Y94" s="611">
        <f>Y93/Y67</f>
        <v>-3.8894751737611512E-2</v>
      </c>
      <c r="Z94" s="381"/>
      <c r="AA94" s="611">
        <f>AA93/AA67</f>
        <v>5.2180578811284427E-3</v>
      </c>
      <c r="AB94" s="381"/>
      <c r="AC94" s="611">
        <f>AC93/AC67</f>
        <v>2.2933940823603064E-2</v>
      </c>
      <c r="AD94" s="381"/>
      <c r="AE94" s="611">
        <f>AE93/AE67</f>
        <v>4.1079536515828782E-2</v>
      </c>
      <c r="AF94" s="381"/>
      <c r="AG94" s="611">
        <f>AG93/AG67</f>
        <v>5.3110615402930855E-2</v>
      </c>
      <c r="AH94" s="381"/>
      <c r="AI94" s="611">
        <f>AI93/AI67</f>
        <v>0.10634716397475648</v>
      </c>
      <c r="AJ94" s="381"/>
      <c r="AK94" s="611">
        <f>AK93/AK67</f>
        <v>0.1250327029181233</v>
      </c>
      <c r="AL94" s="381"/>
      <c r="AM94" s="611">
        <f>AM93/AM67</f>
        <v>0.1354607639781101</v>
      </c>
      <c r="AN94" s="381"/>
      <c r="AO94" s="611">
        <f>AO93/AO67</f>
        <v>7.7931569466390571E-2</v>
      </c>
      <c r="AP94" s="381"/>
      <c r="AQ94" s="611">
        <f>AQ93/AQ67</f>
        <v>4.8355360609444883E-2</v>
      </c>
      <c r="AR94" s="381"/>
      <c r="AS94" s="611">
        <f>AS93/AS67</f>
        <v>4.067043170660746E-2</v>
      </c>
      <c r="AT94" s="381"/>
      <c r="AU94" s="611">
        <f>AU93/AU67</f>
        <v>6.5632348909744315E-2</v>
      </c>
      <c r="AV94" s="381"/>
      <c r="AW94" s="611">
        <f>AW93/AW67</f>
        <v>2.3740354792323556E-2</v>
      </c>
      <c r="AX94" s="381"/>
      <c r="AY94" s="611">
        <f>AY93/AY67</f>
        <v>2.0700391172306796E-2</v>
      </c>
      <c r="AZ94" s="381"/>
      <c r="BA94" s="611">
        <f>BA93/BA67</f>
        <v>4.4964233293235165E-2</v>
      </c>
      <c r="BB94" s="381"/>
      <c r="BC94" s="611">
        <f>BC93/BC67</f>
        <v>5.7777912033990846E-2</v>
      </c>
      <c r="BD94" s="381"/>
      <c r="BE94" s="611">
        <f>BE93/BE67</f>
        <v>8.4180205789654627E-2</v>
      </c>
      <c r="BF94" s="381"/>
      <c r="BG94" s="611">
        <f>BG93/BG67</f>
        <v>8.4180205789654627E-2</v>
      </c>
      <c r="BH94" s="381"/>
      <c r="BI94" s="611">
        <f>BI93/BI67</f>
        <v>0.16556148939008117</v>
      </c>
      <c r="BJ94" s="381"/>
      <c r="BK94" s="611">
        <f>BK93/BK67</f>
        <v>0.13481463604767163</v>
      </c>
      <c r="BL94" s="381"/>
      <c r="BM94" s="611">
        <f>BM93/BM67</f>
        <v>0.15507320064655536</v>
      </c>
      <c r="BN94" s="381"/>
      <c r="BO94" s="611">
        <f>BO93/BO67</f>
        <v>0.14962110596653719</v>
      </c>
      <c r="BP94" s="381"/>
      <c r="BQ94" s="611">
        <f>BQ93/BQ67</f>
        <v>0.18629751771810485</v>
      </c>
      <c r="BR94" s="381"/>
      <c r="BS94" s="611">
        <f>BS93/BS67</f>
        <v>0.17779055400780092</v>
      </c>
      <c r="BT94" s="381"/>
      <c r="BU94" s="611">
        <f>BU93/BU67</f>
        <v>0.15429190139041518</v>
      </c>
      <c r="BV94" s="381"/>
      <c r="BW94" s="611">
        <f>BW93/BW67</f>
        <v>0.11306428318919678</v>
      </c>
      <c r="BX94" s="381"/>
      <c r="BY94" s="611">
        <f>BY93/BY67</f>
        <v>0.12426568454960649</v>
      </c>
      <c r="BZ94" s="381"/>
      <c r="CA94" s="611">
        <f>CA93/CA67</f>
        <v>0.15869375666315919</v>
      </c>
      <c r="CB94" s="381"/>
      <c r="CC94" s="611">
        <f>CC93/CC67</f>
        <v>0.17208916804244825</v>
      </c>
      <c r="CD94" s="381"/>
      <c r="CE94" s="611">
        <f>CE93/CE67</f>
        <v>0.13562306805304139</v>
      </c>
      <c r="CF94" s="620"/>
      <c r="CG94" s="620"/>
      <c r="CH94" s="620"/>
      <c r="CI94" s="620"/>
      <c r="CJ94" s="381"/>
      <c r="CK94" s="611">
        <f>CK93/CK67</f>
        <v>1.8152868155926417E-2</v>
      </c>
      <c r="CL94" s="381"/>
      <c r="CM94" s="611">
        <f>CM93/CM67</f>
        <v>-1.5390903135762601E-3</v>
      </c>
      <c r="CN94" s="381"/>
      <c r="CO94" s="611">
        <f>CO93/CO67</f>
        <v>8.2005015031679784E-2</v>
      </c>
      <c r="CP94" s="381"/>
      <c r="CQ94" s="611">
        <f>CQ93/CQ67</f>
        <v>1.3709416660041737E-2</v>
      </c>
      <c r="CR94" s="381"/>
      <c r="CS94" s="611">
        <f>CS93/CS67</f>
        <v>9.2968438095182137E-3</v>
      </c>
      <c r="CT94" s="381"/>
      <c r="CU94" s="611">
        <f>CU93/CU67</f>
        <v>6.7216839316626725E-2</v>
      </c>
      <c r="CV94" s="381"/>
      <c r="CW94" s="611">
        <f>CW93/CW67</f>
        <v>2.8147438217292268E-2</v>
      </c>
      <c r="CX94" s="381"/>
      <c r="CY94" s="611">
        <f>CY93/CY67</f>
        <v>3.0603092090302562E-2</v>
      </c>
      <c r="DA94" s="381"/>
      <c r="DB94" s="611">
        <f>DB93/DB67</f>
        <v>0.24387823134133868</v>
      </c>
      <c r="DC94" s="381"/>
      <c r="DD94" s="611">
        <f>DD93/DD67</f>
        <v>0.25682552190056229</v>
      </c>
      <c r="DE94" s="381"/>
      <c r="DF94" s="611">
        <f>DF93/DF67</f>
        <v>0.21695480193573177</v>
      </c>
      <c r="DG94" s="381"/>
      <c r="DH94" s="611">
        <f>DH93/DH67</f>
        <v>0.1908646403317924</v>
      </c>
      <c r="DI94" s="381"/>
      <c r="DJ94" s="611">
        <f>DJ93/DJ67</f>
        <v>0.18983392672467903</v>
      </c>
      <c r="DK94" s="381"/>
      <c r="DL94" s="611">
        <f>DL93/DL67</f>
        <v>0.21717365566164898</v>
      </c>
      <c r="DM94" s="381"/>
      <c r="DN94" s="611">
        <f>DN93/DN67</f>
        <v>0.19488510045626209</v>
      </c>
      <c r="DO94" s="381"/>
      <c r="DP94" s="611">
        <f>DP93/DP67</f>
        <v>0.19343962702359085</v>
      </c>
      <c r="DR94" s="381"/>
      <c r="DS94" s="611">
        <f>DS93/DS67</f>
        <v>0.16200222384296342</v>
      </c>
      <c r="DT94" s="381"/>
      <c r="DU94" s="611">
        <f>DU93/DU67</f>
        <v>0.11856277480390522</v>
      </c>
    </row>
    <row r="95" spans="1:125" s="65" customFormat="1" ht="6.75" customHeight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3"/>
      <c r="P95" s="381"/>
      <c r="Q95" s="383"/>
      <c r="R95" s="381"/>
      <c r="S95" s="383"/>
      <c r="T95" s="381"/>
      <c r="U95" s="383"/>
      <c r="V95" s="381"/>
      <c r="W95" s="383"/>
      <c r="X95" s="381"/>
      <c r="Y95" s="383"/>
      <c r="Z95" s="381"/>
      <c r="AA95" s="383"/>
      <c r="AB95" s="381"/>
      <c r="AC95" s="383"/>
      <c r="AD95" s="381"/>
      <c r="AE95" s="383"/>
      <c r="AF95" s="381"/>
      <c r="AG95" s="383"/>
      <c r="AH95" s="381"/>
      <c r="AI95" s="383"/>
      <c r="AJ95" s="381"/>
      <c r="AK95" s="383"/>
      <c r="AL95" s="381"/>
      <c r="AM95" s="383"/>
      <c r="AN95" s="381"/>
      <c r="AO95" s="383"/>
      <c r="AP95" s="381"/>
      <c r="AQ95" s="383"/>
      <c r="AR95" s="381"/>
      <c r="AS95" s="383"/>
      <c r="AT95" s="381"/>
      <c r="AU95" s="383"/>
      <c r="AV95" s="381"/>
      <c r="AW95" s="383"/>
      <c r="AX95" s="381"/>
      <c r="AY95" s="383"/>
      <c r="AZ95" s="381"/>
      <c r="BA95" s="383"/>
      <c r="BB95" s="381"/>
      <c r="BC95" s="383"/>
      <c r="BD95" s="381"/>
      <c r="BE95" s="383"/>
      <c r="BF95" s="381"/>
      <c r="BG95" s="383"/>
      <c r="BH95" s="381"/>
      <c r="BI95" s="383"/>
      <c r="BJ95" s="381"/>
      <c r="BK95" s="383"/>
      <c r="BL95" s="381"/>
      <c r="BM95" s="383"/>
      <c r="BN95" s="381"/>
      <c r="BO95" s="383"/>
      <c r="BP95" s="381"/>
      <c r="BQ95" s="383"/>
      <c r="BR95" s="381"/>
      <c r="BS95" s="383"/>
      <c r="BT95" s="381"/>
      <c r="BU95" s="383"/>
      <c r="BV95" s="381"/>
      <c r="BW95" s="383"/>
      <c r="BX95" s="381"/>
      <c r="BY95" s="383"/>
      <c r="BZ95" s="381"/>
      <c r="CA95" s="383"/>
      <c r="CB95" s="381"/>
      <c r="CC95" s="383"/>
      <c r="CD95" s="381"/>
      <c r="CE95" s="383"/>
      <c r="CF95" s="620"/>
      <c r="CG95" s="620"/>
      <c r="CH95" s="620"/>
      <c r="CI95" s="620"/>
      <c r="CJ95" s="381"/>
      <c r="CK95" s="383"/>
      <c r="CL95" s="381"/>
      <c r="CM95" s="383"/>
      <c r="CN95" s="381"/>
      <c r="CO95" s="383"/>
      <c r="CP95" s="381"/>
      <c r="CQ95" s="383"/>
      <c r="CR95" s="381"/>
      <c r="CS95" s="383"/>
      <c r="CT95" s="381"/>
      <c r="CU95" s="383"/>
      <c r="CV95" s="381"/>
      <c r="CW95" s="383"/>
      <c r="CX95" s="381"/>
      <c r="CY95" s="383"/>
      <c r="DA95" s="381"/>
      <c r="DB95" s="383"/>
      <c r="DC95" s="381"/>
      <c r="DD95" s="383"/>
      <c r="DE95" s="381"/>
      <c r="DF95" s="383"/>
      <c r="DG95" s="381"/>
      <c r="DH95" s="383"/>
      <c r="DI95" s="381"/>
      <c r="DJ95" s="383"/>
      <c r="DK95" s="381"/>
      <c r="DL95" s="383"/>
      <c r="DM95" s="381"/>
      <c r="DN95" s="383"/>
      <c r="DO95" s="381"/>
      <c r="DP95" s="383"/>
      <c r="DR95" s="381"/>
      <c r="DS95" s="383"/>
      <c r="DT95" s="381"/>
      <c r="DU95" s="383"/>
    </row>
    <row r="96" spans="1:125" s="65" customFormat="1" ht="18" customHeight="1" x14ac:dyDescent="0.45">
      <c r="A96" s="561"/>
      <c r="B96" s="266"/>
      <c r="C96" s="262" t="s">
        <v>94</v>
      </c>
      <c r="D96" s="131"/>
      <c r="E96" s="131"/>
      <c r="F96" s="132"/>
      <c r="G96" s="383">
        <f>(G137-G135)/G66-G58</f>
        <v>0.14979338842975207</v>
      </c>
      <c r="H96" s="132"/>
      <c r="I96" s="383">
        <f>(I137-I135)/I66-I58</f>
        <v>1.2913223140495868E-2</v>
      </c>
      <c r="J96" s="132"/>
      <c r="K96" s="151">
        <f>(K138-K135)/K66</f>
        <v>1.2913223140495868E-2</v>
      </c>
      <c r="L96" s="132"/>
      <c r="M96" s="151">
        <f>(M138-M135)/M66</f>
        <v>1.2913223140495868E-2</v>
      </c>
      <c r="N96" s="381"/>
      <c r="O96" s="1099">
        <f>(O136-O135)/O66-O58</f>
        <v>1.3981164439282026E-2</v>
      </c>
      <c r="P96" s="381"/>
      <c r="Q96" s="383">
        <f>(Q137-Q135)/Q66</f>
        <v>7.7479338842975212E-2</v>
      </c>
      <c r="R96" s="381"/>
      <c r="S96" s="383">
        <f>(S137-S135)/S66</f>
        <v>7.7479338842975212E-2</v>
      </c>
      <c r="T96" s="381"/>
      <c r="U96" s="383">
        <f>(U136-U135)/U66-U58</f>
        <v>1.2871403295631799E-2</v>
      </c>
      <c r="V96" s="381"/>
      <c r="W96" s="383">
        <f>(W136-W135)/W66-W58</f>
        <v>-6.6136466221746112E-3</v>
      </c>
      <c r="X96" s="381"/>
      <c r="Y96" s="383">
        <f>(Y136-Y135)/Y66-Y58</f>
        <v>1.4620398874734097E-3</v>
      </c>
      <c r="Z96" s="381"/>
      <c r="AA96" s="383">
        <f>(AA136-AA135)/AA66-AA58</f>
        <v>-3.2524783504012597E-2</v>
      </c>
      <c r="AB96" s="381"/>
      <c r="AC96" s="383">
        <f>(AC136-AC135)/AC66-AC58</f>
        <v>-2.714010660993068E-2</v>
      </c>
      <c r="AD96" s="381"/>
      <c r="AE96" s="383">
        <f>(AE136-AE135)/AE66-AE58</f>
        <v>-1.4829105264790868E-2</v>
      </c>
      <c r="AF96" s="381"/>
      <c r="AG96" s="383">
        <f>(AG136-AG135)/AG66-AG58</f>
        <v>-2.2003099537987836E-2</v>
      </c>
      <c r="AH96" s="381"/>
      <c r="AI96" s="383">
        <f>(AI136-AI135)/AI66-AI58</f>
        <v>-7.8991790593093816E-2</v>
      </c>
      <c r="AJ96" s="381"/>
      <c r="AK96" s="383">
        <f>(AK136-AK135)/AK66-AK58</f>
        <v>-0.13636902376058688</v>
      </c>
      <c r="AL96" s="381"/>
      <c r="AM96" s="383">
        <f>(AM136-AM135)/AM66-AM58</f>
        <v>-0.1655769815688613</v>
      </c>
      <c r="AN96" s="381"/>
      <c r="AO96" s="383">
        <f>(AO136-AO135)/AO66-AO58</f>
        <v>-0.19151856857595179</v>
      </c>
      <c r="AP96" s="381"/>
      <c r="AQ96" s="383">
        <f>(AQ136-AQ135)/AQ66-AQ58</f>
        <v>-0.21862510721401709</v>
      </c>
      <c r="AR96" s="381"/>
      <c r="AS96" s="383">
        <f>(AS136-AS135)/AS66-AS58</f>
        <v>-0.23486958354250845</v>
      </c>
      <c r="AT96" s="381"/>
      <c r="AU96" s="383">
        <f>(AU136-AU135)/AU66-AU58</f>
        <v>-0.23624628069925302</v>
      </c>
      <c r="AV96" s="381"/>
      <c r="AW96" s="383">
        <f>(AW136-AW135)/AW66-AW58</f>
        <v>-0.24715909090909091</v>
      </c>
      <c r="AX96" s="381"/>
      <c r="AY96" s="383">
        <f>(AY136-AY135)/AY66-AY58</f>
        <v>-0.25051652892561982</v>
      </c>
      <c r="AZ96" s="381"/>
      <c r="BA96" s="383">
        <f>(BA136-BA135)/BA66-BA58</f>
        <v>-0.28202479338842973</v>
      </c>
      <c r="BB96" s="381"/>
      <c r="BC96" s="383">
        <f>(BC136-BC135)/BC66-BC58</f>
        <v>-0.28279958677685951</v>
      </c>
      <c r="BD96" s="381"/>
      <c r="BE96" s="383">
        <f>(BE136-BE135)/BE66-BE58</f>
        <v>-0.28279958677685951</v>
      </c>
      <c r="BF96" s="381"/>
      <c r="BG96" s="383">
        <f>(BG136-BG135)/BG66-BG58</f>
        <v>-0.28279958677685951</v>
      </c>
      <c r="BH96" s="381"/>
      <c r="BI96" s="383">
        <f>(BI136-BI135)/BI66-BI58</f>
        <v>-0.17949380165289255</v>
      </c>
      <c r="BJ96" s="381"/>
      <c r="BK96" s="383">
        <f>(BK136-BK135)/BK66-BK58</f>
        <v>-0.17613636363636365</v>
      </c>
      <c r="BL96" s="381"/>
      <c r="BM96" s="383">
        <f>(BM136-BM135)/BM66-BM58</f>
        <v>-0.17820247933884298</v>
      </c>
      <c r="BN96" s="381"/>
      <c r="BO96" s="383">
        <f>(BO136-BO135)/BO66-BO58</f>
        <v>-0.190599173553719</v>
      </c>
      <c r="BP96" s="381"/>
      <c r="BQ96" s="383">
        <f>(BQ136-BQ135)/BQ66-BQ58</f>
        <v>-0.17053202479338841</v>
      </c>
      <c r="BR96" s="381"/>
      <c r="BS96" s="383">
        <f>(BS136-BS135)/BS66-BS58</f>
        <v>-0.11743163196538148</v>
      </c>
      <c r="BT96" s="381"/>
      <c r="BU96" s="383">
        <f>(BU136-BU135)/BU66-BU58</f>
        <v>-0.13894628099173553</v>
      </c>
      <c r="BV96" s="381"/>
      <c r="BW96" s="383">
        <f>(BW136-BW135)/BW66-BW58</f>
        <v>-0.18104338842975207</v>
      </c>
      <c r="BX96" s="381"/>
      <c r="BY96" s="383">
        <f>(BY136-BY135)/BY66-BY58</f>
        <v>-0.1777487714987715</v>
      </c>
      <c r="BZ96" s="381"/>
      <c r="CA96" s="383">
        <f>(CA136-CA135)/CA66-CA58</f>
        <v>-0.18982438016528927</v>
      </c>
      <c r="CB96" s="381"/>
      <c r="CC96" s="383">
        <f>(CC136-CC135)/CC66-CC58</f>
        <v>-0.1918904958677686</v>
      </c>
      <c r="CD96" s="381"/>
      <c r="CE96" s="383">
        <f>(CE136-CE135)/CE66-CE58</f>
        <v>-0.18465909090909091</v>
      </c>
      <c r="CF96" s="620"/>
      <c r="CG96" s="620"/>
      <c r="CH96" s="620"/>
      <c r="CI96" s="620"/>
      <c r="CJ96" s="381"/>
      <c r="CK96" s="383">
        <f>(CK136-CK135)/CK66-CK58</f>
        <v>7.1967569954945916E-3</v>
      </c>
      <c r="CL96" s="381"/>
      <c r="CM96" s="383">
        <f>(CM136-CM135)/CM66-CM58</f>
        <v>-1.9587404992435432E-2</v>
      </c>
      <c r="CN96" s="381"/>
      <c r="CO96" s="383">
        <f>(CO136-CO135)/CO66-CO58</f>
        <v>-5.4090566042482399E-2</v>
      </c>
      <c r="CP96" s="381"/>
      <c r="CQ96" s="383">
        <f>(CQ136-CQ135)/CQ66-CQ58</f>
        <v>-0.15495867768595042</v>
      </c>
      <c r="CR96" s="381"/>
      <c r="CS96" s="383">
        <f>(CS136-CS135)/CS66-CS58</f>
        <v>-4.5096112572401564E-3</v>
      </c>
      <c r="CT96" s="381"/>
      <c r="CU96" s="383">
        <f>(CU136-CU135)/CU66-CU58</f>
        <v>-7.7479338842975212E-2</v>
      </c>
      <c r="CV96" s="381"/>
      <c r="CW96" s="383">
        <f>(CW136-CW135)/CW66-CW58</f>
        <v>-7.7479338842975212E-2</v>
      </c>
      <c r="CX96" s="381"/>
      <c r="CY96" s="383">
        <f>(CY136-CY135)/CY66-CY58</f>
        <v>-0.10330578512396695</v>
      </c>
      <c r="DA96" s="381"/>
      <c r="DB96" s="383">
        <f>(DB136-DB135)/DB66-DB58</f>
        <v>-0.29442148760330578</v>
      </c>
      <c r="DC96" s="381"/>
      <c r="DD96" s="383">
        <f>(DD136-DD135)/DD66-DD58</f>
        <v>-0.17820247933884298</v>
      </c>
      <c r="DE96" s="381"/>
      <c r="DF96" s="383">
        <f>(DF136-DF135)/DF66-DF58</f>
        <v>-0.18104338842975207</v>
      </c>
      <c r="DG96" s="381"/>
      <c r="DH96" s="383">
        <f>(DH136-DH135)/DH66-DH58</f>
        <v>-0.18465909090909091</v>
      </c>
      <c r="DI96" s="381"/>
      <c r="DJ96" s="383">
        <f>(DJ136-DJ135)/DJ66-DJ58</f>
        <v>-0.190599173553719</v>
      </c>
      <c r="DK96" s="381"/>
      <c r="DL96" s="383">
        <f>(DL136-DL135)/DL66-DL58</f>
        <v>-0.17053202479338841</v>
      </c>
      <c r="DM96" s="381"/>
      <c r="DN96" s="383">
        <f>(DN136-DN135)/DN66-DN58</f>
        <v>-0.11743163196538148</v>
      </c>
      <c r="DO96" s="381"/>
      <c r="DP96" s="383">
        <f>(DP136-DP135)/DP66-DP58</f>
        <v>-0.18465909090909091</v>
      </c>
      <c r="DR96" s="381"/>
      <c r="DS96" s="383">
        <f>(DS136-DS135)/DS66-DS58</f>
        <v>-0.13750000000000001</v>
      </c>
      <c r="DT96" s="381"/>
      <c r="DU96" s="383">
        <f>(DU136-DU135)/DU66-DU58</f>
        <v>-0.14204545454545456</v>
      </c>
    </row>
    <row r="97" spans="1:125" s="65" customFormat="1" ht="6.75" customHeight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381"/>
      <c r="O97" s="383"/>
      <c r="P97" s="381"/>
      <c r="Q97" s="383"/>
      <c r="R97" s="381"/>
      <c r="S97" s="383"/>
      <c r="T97" s="381"/>
      <c r="U97" s="383"/>
      <c r="V97" s="381"/>
      <c r="W97" s="383"/>
      <c r="X97" s="381"/>
      <c r="Y97" s="383"/>
      <c r="Z97" s="381"/>
      <c r="AA97" s="383"/>
      <c r="AB97" s="381"/>
      <c r="AC97" s="383"/>
      <c r="AD97" s="381"/>
      <c r="AE97" s="383"/>
      <c r="AF97" s="381"/>
      <c r="AG97" s="383"/>
      <c r="AH97" s="381"/>
      <c r="AI97" s="383"/>
      <c r="AJ97" s="381"/>
      <c r="AK97" s="383"/>
      <c r="AL97" s="381"/>
      <c r="AM97" s="383"/>
      <c r="AN97" s="381"/>
      <c r="AO97" s="383"/>
      <c r="AP97" s="381"/>
      <c r="AQ97" s="383"/>
      <c r="AR97" s="381"/>
      <c r="AS97" s="383"/>
      <c r="AT97" s="381"/>
      <c r="AU97" s="383"/>
      <c r="AV97" s="381"/>
      <c r="AW97" s="383"/>
      <c r="AX97" s="381"/>
      <c r="AY97" s="383"/>
      <c r="AZ97" s="381"/>
      <c r="BA97" s="383"/>
      <c r="BB97" s="381"/>
      <c r="BC97" s="383"/>
      <c r="BD97" s="381"/>
      <c r="BE97" s="383"/>
      <c r="BF97" s="381"/>
      <c r="BG97" s="383"/>
      <c r="BH97" s="381"/>
      <c r="BI97" s="383"/>
      <c r="BJ97" s="381"/>
      <c r="BK97" s="383"/>
      <c r="BL97" s="381"/>
      <c r="BM97" s="383"/>
      <c r="BN97" s="381"/>
      <c r="BO97" s="383"/>
      <c r="BP97" s="381"/>
      <c r="BQ97" s="383"/>
      <c r="BR97" s="381"/>
      <c r="BS97" s="383"/>
      <c r="BT97" s="381"/>
      <c r="BU97" s="383"/>
      <c r="BV97" s="381"/>
      <c r="BW97" s="383"/>
      <c r="BX97" s="381"/>
      <c r="BY97" s="383"/>
      <c r="BZ97" s="381"/>
      <c r="CA97" s="383"/>
      <c r="CB97" s="381"/>
      <c r="CC97" s="383"/>
      <c r="CD97" s="381"/>
      <c r="CE97" s="383"/>
      <c r="CF97" s="620"/>
      <c r="CG97" s="620"/>
      <c r="CH97" s="620"/>
      <c r="CI97" s="620"/>
      <c r="CJ97" s="381"/>
      <c r="CK97" s="383"/>
      <c r="CL97" s="381"/>
      <c r="CM97" s="383"/>
      <c r="CN97" s="381"/>
      <c r="CO97" s="383"/>
      <c r="CP97" s="381"/>
      <c r="CQ97" s="383"/>
      <c r="CR97" s="381"/>
      <c r="CS97" s="383"/>
      <c r="CT97" s="381"/>
      <c r="CU97" s="383"/>
      <c r="CV97" s="381"/>
      <c r="CW97" s="383"/>
      <c r="CX97" s="381"/>
      <c r="CY97" s="383"/>
      <c r="DA97" s="381"/>
      <c r="DB97" s="383"/>
      <c r="DC97" s="381"/>
      <c r="DD97" s="383"/>
      <c r="DE97" s="381"/>
      <c r="DF97" s="383"/>
      <c r="DG97" s="381"/>
      <c r="DH97" s="383"/>
      <c r="DI97" s="381"/>
      <c r="DJ97" s="383"/>
      <c r="DK97" s="381"/>
      <c r="DL97" s="383"/>
      <c r="DM97" s="381"/>
      <c r="DN97" s="383"/>
      <c r="DO97" s="381"/>
      <c r="DP97" s="383"/>
      <c r="DR97" s="381"/>
      <c r="DS97" s="383"/>
      <c r="DT97" s="381"/>
      <c r="DU97" s="383"/>
    </row>
    <row r="98" spans="1:125" s="65" customFormat="1" ht="18" customHeight="1" x14ac:dyDescent="0.45">
      <c r="A98" s="561"/>
      <c r="B98" s="266"/>
      <c r="C98" s="154" t="s">
        <v>95</v>
      </c>
      <c r="D98" s="154"/>
      <c r="E98" s="154" t="s">
        <v>77</v>
      </c>
      <c r="F98" s="155"/>
      <c r="G98" s="156">
        <f>G93-G96</f>
        <v>0.15703755059530092</v>
      </c>
      <c r="H98" s="155"/>
      <c r="I98" s="156">
        <f>I93-I96</f>
        <v>0.35469267403602839</v>
      </c>
      <c r="J98" s="155"/>
      <c r="K98" s="156">
        <f>K93-K96</f>
        <v>0.35469267403602839</v>
      </c>
      <c r="L98" s="155"/>
      <c r="M98" s="156">
        <f>M93-M96</f>
        <v>0.35469267403602839</v>
      </c>
      <c r="N98" s="155"/>
      <c r="O98" s="590">
        <f>O93-O96</f>
        <v>0.24926266066241418</v>
      </c>
      <c r="P98" s="155"/>
      <c r="Q98" s="590">
        <f>Q93-Q96</f>
        <v>5.7060732161564917E-2</v>
      </c>
      <c r="R98" s="155"/>
      <c r="S98" s="590">
        <f>S93-S96</f>
        <v>5.7060732161564917E-2</v>
      </c>
      <c r="T98" s="155"/>
      <c r="U98" s="590">
        <f>U93-U96</f>
        <v>-1.5835039781034566E-2</v>
      </c>
      <c r="V98" s="155"/>
      <c r="W98" s="590">
        <f>W93-W96</f>
        <v>-4.5791109597270237E-2</v>
      </c>
      <c r="X98" s="155"/>
      <c r="Y98" s="590">
        <f>Y93-Y96</f>
        <v>-0.2247179148613635</v>
      </c>
      <c r="Z98" s="155"/>
      <c r="AA98" s="590">
        <f>AA93-AA96</f>
        <v>6.2476435741689859E-2</v>
      </c>
      <c r="AB98" s="155"/>
      <c r="AC98" s="590">
        <f>AC93-AC96</f>
        <v>0.15878092693741228</v>
      </c>
      <c r="AD98" s="155"/>
      <c r="AE98" s="590">
        <f>AE93-AE96</f>
        <v>0.25062564486564809</v>
      </c>
      <c r="AF98" s="155"/>
      <c r="AG98" s="590">
        <f>AG93-AG96</f>
        <v>0.32685803195081098</v>
      </c>
      <c r="AH98" s="155"/>
      <c r="AI98" s="590">
        <f>AI93-AI96</f>
        <v>0.68942451180819597</v>
      </c>
      <c r="AJ98" s="155"/>
      <c r="AK98" s="590">
        <f>AK93-AK96</f>
        <v>0.8540567385106147</v>
      </c>
      <c r="AL98" s="155"/>
      <c r="AM98" s="590">
        <f>AM93-AM96</f>
        <v>0.94312176680321325</v>
      </c>
      <c r="AN98" s="155"/>
      <c r="AO98" s="590">
        <f>AO93-AO96</f>
        <v>0.6388457773130336</v>
      </c>
      <c r="AP98" s="155"/>
      <c r="AQ98" s="590">
        <f>AQ93-AQ96</f>
        <v>0.49618487711223069</v>
      </c>
      <c r="AR98" s="155"/>
      <c r="AS98" s="590">
        <f>AS93-AS96</f>
        <v>0.46831786153843524</v>
      </c>
      <c r="AT98" s="155"/>
      <c r="AU98" s="590">
        <f>AU93-AU96</f>
        <v>0.61297596344118543</v>
      </c>
      <c r="AV98" s="155"/>
      <c r="AW98" s="590">
        <f>AW93-AW96</f>
        <v>0.38342872741702816</v>
      </c>
      <c r="AX98" s="155"/>
      <c r="AY98" s="590">
        <f>AY93-AY96</f>
        <v>0.36933677425466083</v>
      </c>
      <c r="AZ98" s="155"/>
      <c r="BA98" s="590">
        <f>BA93-BA96</f>
        <v>0.54011949249159952</v>
      </c>
      <c r="BB98" s="155"/>
      <c r="BC98" s="590">
        <f>BC93-BC96</f>
        <v>0.61444480185196704</v>
      </c>
      <c r="BD98" s="155"/>
      <c r="BE98" s="590">
        <f>BE93-BE96</f>
        <v>0.76599396800947717</v>
      </c>
      <c r="BF98" s="155"/>
      <c r="BG98" s="590">
        <f>BG93-BG96</f>
        <v>0.76599396800947717</v>
      </c>
      <c r="BH98" s="155"/>
      <c r="BI98" s="590">
        <f>BI93-BI96</f>
        <v>1.1463728996909666</v>
      </c>
      <c r="BJ98" s="155"/>
      <c r="BK98" s="590">
        <f>BK93-BK96</f>
        <v>0.96345383815476593</v>
      </c>
      <c r="BL98" s="155"/>
      <c r="BM98" s="590">
        <f>BM93-BM96</f>
        <v>1.0838299711147263</v>
      </c>
      <c r="BN98" s="155"/>
      <c r="BO98" s="590">
        <f>BO93-BO96</f>
        <v>1.0643864323982961</v>
      </c>
      <c r="BP98" s="155"/>
      <c r="BQ98" s="590">
        <f>BQ93-BQ96</f>
        <v>1.2585095282671206</v>
      </c>
      <c r="BR98" s="155"/>
      <c r="BS98" s="590">
        <f>BS93-BS96</f>
        <v>1.1557284673709387</v>
      </c>
      <c r="BT98" s="155"/>
      <c r="BU98" s="590">
        <f>BU93-BU96</f>
        <v>1.04001098511176</v>
      </c>
      <c r="BV98" s="155"/>
      <c r="BW98" s="590">
        <f>BW93-BW96</f>
        <v>0.84133880225466129</v>
      </c>
      <c r="BX98" s="155"/>
      <c r="BY98" s="590">
        <f>BY93-BY96</f>
        <v>0.90346036926847328</v>
      </c>
      <c r="BZ98" s="155"/>
      <c r="CA98" s="590">
        <f>CA93-CA96</f>
        <v>1.1165959190781389</v>
      </c>
      <c r="CB98" s="155"/>
      <c r="CC98" s="590">
        <f>CC93-CC96</f>
        <v>1.1968912372356664</v>
      </c>
      <c r="CD98" s="155"/>
      <c r="CE98" s="590">
        <f>CE93-CE96</f>
        <v>0.97669780833885267</v>
      </c>
      <c r="CF98" s="620"/>
      <c r="CG98" s="620"/>
      <c r="CH98" s="620"/>
      <c r="CI98" s="620"/>
      <c r="CJ98" s="155"/>
      <c r="CK98" s="590">
        <f>CK93-CK96</f>
        <v>9.6780866809663815E-2</v>
      </c>
      <c r="CL98" s="155"/>
      <c r="CM98" s="590">
        <f>CM93-CM96</f>
        <v>1.0753026592507698E-2</v>
      </c>
      <c r="CN98" s="155"/>
      <c r="CO98" s="590">
        <f>CO93-CO96</f>
        <v>0.5247993523243244</v>
      </c>
      <c r="CP98" s="155"/>
      <c r="CQ98" s="590">
        <f>CQ93-CQ96</f>
        <v>0.23365072931458999</v>
      </c>
      <c r="CR98" s="155"/>
      <c r="CS98" s="590">
        <f>CS93-CS96</f>
        <v>5.781011423775663E-2</v>
      </c>
      <c r="CT98" s="155"/>
      <c r="CU98" s="590">
        <f>CU93-CU96</f>
        <v>0.46330399652041265</v>
      </c>
      <c r="CV98" s="155"/>
      <c r="CW98" s="590">
        <f>CW93-CW96</f>
        <v>0.25340082770105188</v>
      </c>
      <c r="CX98" s="155"/>
      <c r="CY98" s="590">
        <f>CY93-CY96</f>
        <v>0.27896753372230365</v>
      </c>
      <c r="DA98" s="155"/>
      <c r="DB98" s="590">
        <f>DB93-DB96</f>
        <v>1.6942825355025899</v>
      </c>
      <c r="DC98" s="155"/>
      <c r="DD98" s="590">
        <f>DD93-DD96</f>
        <v>1.6780635272381268</v>
      </c>
      <c r="DE98" s="155"/>
      <c r="DF98" s="590">
        <f>DF93-DF96</f>
        <v>1.4480594317344255</v>
      </c>
      <c r="DG98" s="155"/>
      <c r="DH98" s="590">
        <f>DH93-DH96</f>
        <v>1.2993085904467585</v>
      </c>
      <c r="DI98" s="155"/>
      <c r="DJ98" s="590">
        <f>DJ93-DJ96</f>
        <v>1.2992293056258444</v>
      </c>
      <c r="DK98" s="155"/>
      <c r="DL98" s="590">
        <f>DL93-DL96</f>
        <v>1.4388261738574184</v>
      </c>
      <c r="DM98" s="155"/>
      <c r="DN98" s="590">
        <f>DN93-DN96</f>
        <v>1.2555606186299519</v>
      </c>
      <c r="DO98" s="155"/>
      <c r="DP98" s="590">
        <f>DP93-DP96</f>
        <v>1.3143465127268614</v>
      </c>
      <c r="DR98" s="155"/>
      <c r="DS98" s="590">
        <f>DS93-DS96</f>
        <v>1.0835929872429064</v>
      </c>
      <c r="DT98" s="155"/>
      <c r="DU98" s="590">
        <f>DU93-DU96</f>
        <v>0.83445205940026101</v>
      </c>
    </row>
    <row r="99" spans="1:125" s="65" customFormat="1" ht="18" customHeight="1" thickBot="1" x14ac:dyDescent="0.5">
      <c r="A99" s="561"/>
      <c r="B99" s="267"/>
      <c r="C99" s="158" t="s">
        <v>96</v>
      </c>
      <c r="D99" s="158"/>
      <c r="E99" s="158"/>
      <c r="F99" s="159"/>
      <c r="G99" s="160">
        <f>G98/G67</f>
        <v>2.8867854642457235E-2</v>
      </c>
      <c r="H99" s="159"/>
      <c r="I99" s="160">
        <f>I98/I67</f>
        <v>6.6885338567174227E-2</v>
      </c>
      <c r="J99" s="159"/>
      <c r="K99" s="160">
        <f>K98/K67</f>
        <v>6.6885338567174227E-2</v>
      </c>
      <c r="L99" s="159"/>
      <c r="M99" s="160">
        <f>M98/M67</f>
        <v>6.6885338567174227E-2</v>
      </c>
      <c r="N99" s="159"/>
      <c r="O99" s="609">
        <f>O98/O67</f>
        <v>4.3625197911242176E-2</v>
      </c>
      <c r="P99" s="159"/>
      <c r="Q99" s="609">
        <f>Q98/Q67</f>
        <v>9.9408941048022507E-3</v>
      </c>
      <c r="R99" s="159"/>
      <c r="S99" s="609">
        <f>S98/S67</f>
        <v>9.9408941048022507E-3</v>
      </c>
      <c r="T99" s="159"/>
      <c r="U99" s="609">
        <f>U98/U67</f>
        <v>-2.7587177318875548E-3</v>
      </c>
      <c r="V99" s="159"/>
      <c r="W99" s="609">
        <f>W98/W67</f>
        <v>-7.9775452260052674E-3</v>
      </c>
      <c r="X99" s="159"/>
      <c r="Y99" s="609">
        <f>Y98/Y67</f>
        <v>-3.9149462519401303E-2</v>
      </c>
      <c r="Z99" s="159"/>
      <c r="AA99" s="609">
        <f>AA98/AA67</f>
        <v>1.0884396470677675E-2</v>
      </c>
      <c r="AB99" s="159"/>
      <c r="AC99" s="609">
        <f>AC98/AC67</f>
        <v>2.7662182393277397E-2</v>
      </c>
      <c r="AD99" s="159"/>
      <c r="AE99" s="609">
        <f>AE98/AE67</f>
        <v>4.3663004331994437E-2</v>
      </c>
      <c r="AF99" s="159"/>
      <c r="AG99" s="609">
        <f>AG98/AG67</f>
        <v>5.6943908005367763E-2</v>
      </c>
      <c r="AH99" s="159"/>
      <c r="AI99" s="609">
        <f>AI98/AI67</f>
        <v>0.12010879996658466</v>
      </c>
      <c r="AJ99" s="159"/>
      <c r="AK99" s="609">
        <f>AK98/AK67</f>
        <v>0.14879037256282485</v>
      </c>
      <c r="AL99" s="159"/>
      <c r="AM99" s="609">
        <f>AM98/AM67</f>
        <v>0.16430692801449709</v>
      </c>
      <c r="AN99" s="159"/>
      <c r="AO99" s="609">
        <f>AO98/AO67</f>
        <v>0.11129717374791526</v>
      </c>
      <c r="AP99" s="159"/>
      <c r="AQ99" s="609">
        <f>AQ98/AQ67</f>
        <v>8.6443358381921714E-2</v>
      </c>
      <c r="AR99" s="159"/>
      <c r="AS99" s="609">
        <f>AS98/AS67</f>
        <v>8.1588477619936456E-2</v>
      </c>
      <c r="AT99" s="159"/>
      <c r="AU99" s="609">
        <f>AU98/AU67</f>
        <v>0.10679023753330756</v>
      </c>
      <c r="AV99" s="159"/>
      <c r="AW99" s="609">
        <f>AW98/AW67</f>
        <v>6.6799429863593759E-2</v>
      </c>
      <c r="AX99" s="159"/>
      <c r="AY99" s="609">
        <f>AY98/AY67</f>
        <v>6.4344385758651715E-2</v>
      </c>
      <c r="AZ99" s="159"/>
      <c r="BA99" s="609">
        <f>BA98/BA67</f>
        <v>9.4097472559512105E-2</v>
      </c>
      <c r="BB99" s="159"/>
      <c r="BC99" s="609">
        <f>BC98/BC67</f>
        <v>0.10704613272682352</v>
      </c>
      <c r="BD99" s="159"/>
      <c r="BE99" s="609">
        <f>BE98/BE67</f>
        <v>0.13344842648248731</v>
      </c>
      <c r="BF99" s="159"/>
      <c r="BG99" s="609">
        <f>BG98/BG67</f>
        <v>0.13344842648248731</v>
      </c>
      <c r="BH99" s="159"/>
      <c r="BI99" s="609">
        <f>BI98/BI67</f>
        <v>0.19629672939913811</v>
      </c>
      <c r="BJ99" s="159"/>
      <c r="BK99" s="609">
        <f>BK98/BK67</f>
        <v>0.16497497228677499</v>
      </c>
      <c r="BL99" s="159"/>
      <c r="BM99" s="609">
        <f>BM98/BM67</f>
        <v>0.18558732382101478</v>
      </c>
      <c r="BN99" s="159"/>
      <c r="BO99" s="609">
        <f>BO98/BO67</f>
        <v>0.18225795075313289</v>
      </c>
      <c r="BP99" s="159"/>
      <c r="BQ99" s="609">
        <f>BQ98/BQ67</f>
        <v>0.21549820689505489</v>
      </c>
      <c r="BR99" s="159"/>
      <c r="BS99" s="609">
        <f>BS98/BS67</f>
        <v>0.19789871016625663</v>
      </c>
      <c r="BT99" s="159"/>
      <c r="BU99" s="609">
        <f>BU98/BU67</f>
        <v>0.17808407279310959</v>
      </c>
      <c r="BV99" s="159"/>
      <c r="BW99" s="609">
        <f>BW98/BW67</f>
        <v>0.14406486339977076</v>
      </c>
      <c r="BX99" s="159"/>
      <c r="BY99" s="609">
        <f>BY98/BY67</f>
        <v>0.15470211802542352</v>
      </c>
      <c r="BZ99" s="159"/>
      <c r="CA99" s="609">
        <f>CA98/CA67</f>
        <v>0.1911979313489964</v>
      </c>
      <c r="CB99" s="159"/>
      <c r="CC99" s="609">
        <f>CC98/CC67</f>
        <v>0.20494712966364151</v>
      </c>
      <c r="CD99" s="159"/>
      <c r="CE99" s="609">
        <f>CE98/CE67</f>
        <v>0.16724277540048849</v>
      </c>
      <c r="CF99" s="620"/>
      <c r="CG99" s="620"/>
      <c r="CH99" s="620"/>
      <c r="CI99" s="620"/>
      <c r="CJ99" s="159"/>
      <c r="CK99" s="609">
        <f>CK98/CK67</f>
        <v>1.68964268553033E-2</v>
      </c>
      <c r="CL99" s="159"/>
      <c r="CM99" s="609">
        <f>CM98/CM67</f>
        <v>1.873349580576254E-3</v>
      </c>
      <c r="CN99" s="159"/>
      <c r="CO99" s="609">
        <f>CO98/CO67</f>
        <v>9.1428458593087875E-2</v>
      </c>
      <c r="CP99" s="159"/>
      <c r="CQ99" s="609">
        <f>CQ98/CQ67</f>
        <v>4.0705701971182923E-2</v>
      </c>
      <c r="CR99" s="159"/>
      <c r="CS99" s="609">
        <f>CS98/CS67</f>
        <v>1.0083424594985325E-2</v>
      </c>
      <c r="CT99" s="159"/>
      <c r="CU99" s="609">
        <f>CU98/CU67</f>
        <v>8.0714981972197328E-2</v>
      </c>
      <c r="CV99" s="159"/>
      <c r="CW99" s="609">
        <f>CW98/CW67</f>
        <v>4.0544132432168298E-2</v>
      </c>
      <c r="CX99" s="159"/>
      <c r="CY99" s="609">
        <f>CY98/CY67</f>
        <v>4.8600615631063354E-2</v>
      </c>
      <c r="DA99" s="159"/>
      <c r="DB99" s="609">
        <f>DB98/DB67</f>
        <v>0.29517117343250693</v>
      </c>
      <c r="DC99" s="159"/>
      <c r="DD99" s="609">
        <f>DD98/DD67</f>
        <v>0.28733964507502174</v>
      </c>
      <c r="DE99" s="159"/>
      <c r="DF99" s="609">
        <f>DF98/DF67</f>
        <v>0.24795538214630575</v>
      </c>
      <c r="DG99" s="159"/>
      <c r="DH99" s="609">
        <f>DH98/DH67</f>
        <v>0.22248434767923947</v>
      </c>
      <c r="DI99" s="159"/>
      <c r="DJ99" s="609">
        <f>DJ98/DJ67</f>
        <v>0.22247077151127473</v>
      </c>
      <c r="DK99" s="159"/>
      <c r="DL99" s="609">
        <f>DL98/DL67</f>
        <v>0.24637434483859905</v>
      </c>
      <c r="DM99" s="159"/>
      <c r="DN99" s="609">
        <f>DN98/DN67</f>
        <v>0.2149932566147178</v>
      </c>
      <c r="DO99" s="159"/>
      <c r="DP99" s="609">
        <f>DP98/DP67</f>
        <v>0.22505933437103792</v>
      </c>
      <c r="DR99" s="159"/>
      <c r="DS99" s="609">
        <f>DS98/DS67</f>
        <v>0.18554674439090865</v>
      </c>
      <c r="DT99" s="159"/>
      <c r="DU99" s="609">
        <f>DU98/DU67</f>
        <v>0.14288562660963375</v>
      </c>
    </row>
    <row r="100" spans="1:125" s="4" customFormat="1" ht="18" customHeight="1" outlineLevel="1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f>G64</f>
        <v>620</v>
      </c>
      <c r="H100" s="251"/>
      <c r="I100" s="167">
        <f>I64</f>
        <v>1150</v>
      </c>
      <c r="J100" s="251"/>
      <c r="K100" s="167">
        <f>K64</f>
        <v>1150</v>
      </c>
      <c r="L100" s="251"/>
      <c r="M100" s="167">
        <f>M64</f>
        <v>1150</v>
      </c>
      <c r="N100" s="251"/>
      <c r="O100" s="167">
        <f>O64</f>
        <v>1198.0083582089421</v>
      </c>
      <c r="P100" s="251"/>
      <c r="Q100" s="167">
        <f>Q64</f>
        <v>1200</v>
      </c>
      <c r="R100" s="251"/>
      <c r="S100" s="167">
        <f>S64</f>
        <v>1200</v>
      </c>
      <c r="T100" s="251"/>
      <c r="U100" s="167">
        <f>U64</f>
        <v>1200</v>
      </c>
      <c r="V100" s="251"/>
      <c r="W100" s="167">
        <f>W64</f>
        <v>1200</v>
      </c>
      <c r="X100" s="251"/>
      <c r="Y100" s="167">
        <f>Y64</f>
        <v>1200</v>
      </c>
      <c r="Z100" s="251"/>
      <c r="AA100" s="167">
        <f>AA64</f>
        <v>1200</v>
      </c>
      <c r="AB100" s="251"/>
      <c r="AC100" s="167">
        <f>AC64</f>
        <v>1200</v>
      </c>
      <c r="AD100" s="251"/>
      <c r="AE100" s="167">
        <f>AE64</f>
        <v>1200</v>
      </c>
      <c r="AF100" s="251"/>
      <c r="AG100" s="167">
        <f>AG64</f>
        <v>1200</v>
      </c>
      <c r="AH100" s="251"/>
      <c r="AI100" s="167">
        <f>AI64</f>
        <v>1200</v>
      </c>
      <c r="AJ100" s="251"/>
      <c r="AK100" s="167">
        <f>AK64</f>
        <v>1200</v>
      </c>
      <c r="AL100" s="251"/>
      <c r="AM100" s="167">
        <f>AM64</f>
        <v>1200</v>
      </c>
      <c r="AN100" s="251"/>
      <c r="AO100" s="167">
        <f>AO64</f>
        <v>1200</v>
      </c>
      <c r="AP100" s="251"/>
      <c r="AQ100" s="167">
        <f>AQ64</f>
        <v>1200</v>
      </c>
      <c r="AR100" s="251"/>
      <c r="AS100" s="167">
        <f>AS64</f>
        <v>1200</v>
      </c>
      <c r="AT100" s="251"/>
      <c r="AU100" s="167">
        <f>AU64</f>
        <v>1200</v>
      </c>
      <c r="AV100" s="251"/>
      <c r="AW100" s="167">
        <f>AW64</f>
        <v>1200</v>
      </c>
      <c r="AX100" s="251"/>
      <c r="AY100" s="167">
        <f>AY64</f>
        <v>1200</v>
      </c>
      <c r="AZ100" s="251"/>
      <c r="BA100" s="167">
        <f>BA64</f>
        <v>1200</v>
      </c>
      <c r="BB100" s="251"/>
      <c r="BC100" s="167">
        <f>BC64</f>
        <v>1200</v>
      </c>
      <c r="BD100" s="251"/>
      <c r="BE100" s="167">
        <f>BE64</f>
        <v>1200</v>
      </c>
      <c r="BF100" s="251"/>
      <c r="BG100" s="167">
        <f>BG64</f>
        <v>1200</v>
      </c>
      <c r="BH100" s="251"/>
      <c r="BI100" s="167">
        <f>BI64</f>
        <v>750</v>
      </c>
      <c r="BJ100" s="251"/>
      <c r="BK100" s="167">
        <f>BK64</f>
        <v>750</v>
      </c>
      <c r="BL100" s="251"/>
      <c r="BM100" s="167">
        <f>BM64</f>
        <v>750</v>
      </c>
      <c r="BN100" s="251"/>
      <c r="BO100" s="167">
        <f>BO64</f>
        <v>750</v>
      </c>
      <c r="BP100" s="251"/>
      <c r="BQ100" s="167">
        <f>BQ64</f>
        <v>750</v>
      </c>
      <c r="BR100" s="251"/>
      <c r="BS100" s="167">
        <f>BS64</f>
        <v>750</v>
      </c>
      <c r="BT100" s="251"/>
      <c r="BU100" s="167">
        <f>BU64</f>
        <v>750</v>
      </c>
      <c r="BV100" s="251"/>
      <c r="BW100" s="167">
        <f>BW64</f>
        <v>750</v>
      </c>
      <c r="BX100" s="251"/>
      <c r="BY100" s="167">
        <f>BY64</f>
        <v>750</v>
      </c>
      <c r="BZ100" s="251"/>
      <c r="CA100" s="167">
        <f>CA64</f>
        <v>750</v>
      </c>
      <c r="CB100" s="251"/>
      <c r="CC100" s="167">
        <f>CC64</f>
        <v>750</v>
      </c>
      <c r="CD100" s="251"/>
      <c r="CE100" s="167">
        <f>CE64</f>
        <v>750</v>
      </c>
      <c r="CF100" s="620"/>
      <c r="CG100" s="620"/>
      <c r="CH100" s="620"/>
      <c r="CI100" s="620"/>
      <c r="CJ100" s="251"/>
      <c r="CK100" s="167">
        <f>CK64</f>
        <v>1199.0818076678324</v>
      </c>
      <c r="CL100" s="251"/>
      <c r="CM100" s="167">
        <f>CM64</f>
        <v>1200</v>
      </c>
      <c r="CN100" s="251"/>
      <c r="CO100" s="167">
        <f>CO64</f>
        <v>1200</v>
      </c>
      <c r="CP100" s="251"/>
      <c r="CQ100" s="167">
        <f>CQ64</f>
        <v>1200</v>
      </c>
      <c r="CR100" s="251"/>
      <c r="CS100" s="167">
        <f>CS64</f>
        <v>1199.4831156337875</v>
      </c>
      <c r="CT100" s="251"/>
      <c r="CU100" s="167">
        <f>CU64</f>
        <v>1200</v>
      </c>
      <c r="CV100" s="251"/>
      <c r="CW100" s="167">
        <f>CW64</f>
        <v>1200</v>
      </c>
      <c r="CX100" s="251"/>
      <c r="CY100" s="167">
        <f>CY64</f>
        <v>1200</v>
      </c>
      <c r="DA100" s="251"/>
      <c r="DB100" s="167">
        <f>DB64</f>
        <v>1200</v>
      </c>
      <c r="DC100" s="251"/>
      <c r="DD100" s="167">
        <f>DD64</f>
        <v>750</v>
      </c>
      <c r="DE100" s="251"/>
      <c r="DF100" s="167">
        <f>DF64</f>
        <v>750</v>
      </c>
      <c r="DG100" s="251"/>
      <c r="DH100" s="167">
        <f>DH64</f>
        <v>750</v>
      </c>
      <c r="DI100" s="251"/>
      <c r="DJ100" s="167">
        <f>DJ64</f>
        <v>750</v>
      </c>
      <c r="DK100" s="251"/>
      <c r="DL100" s="167">
        <f>DL64</f>
        <v>750</v>
      </c>
      <c r="DM100" s="251"/>
      <c r="DN100" s="167">
        <f>DN64</f>
        <v>750</v>
      </c>
      <c r="DO100" s="251"/>
      <c r="DP100" s="167">
        <f>DP64</f>
        <v>750</v>
      </c>
      <c r="DR100" s="251"/>
      <c r="DS100" s="167">
        <f>DS64</f>
        <v>750</v>
      </c>
      <c r="DT100" s="251"/>
      <c r="DU100" s="167">
        <f>DU64</f>
        <v>750</v>
      </c>
    </row>
    <row r="101" spans="1:125" s="4" customFormat="1" ht="18" customHeight="1" outlineLevel="1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>
        <v>1150</v>
      </c>
      <c r="BX101" s="164"/>
      <c r="BY101" s="168">
        <v>1150</v>
      </c>
      <c r="BZ101" s="164"/>
      <c r="CA101" s="168">
        <v>1150</v>
      </c>
      <c r="CB101" s="164"/>
      <c r="CC101" s="168">
        <v>1150</v>
      </c>
      <c r="CD101" s="164"/>
      <c r="CE101" s="168">
        <v>1150</v>
      </c>
      <c r="CF101" s="620"/>
      <c r="CG101" s="620"/>
      <c r="CH101" s="620"/>
      <c r="CI101" s="620"/>
      <c r="CJ101" s="164"/>
      <c r="CK101" s="168">
        <v>1150</v>
      </c>
      <c r="CL101" s="164"/>
      <c r="CM101" s="168">
        <v>1150</v>
      </c>
      <c r="CN101" s="164"/>
      <c r="CO101" s="168">
        <v>1150</v>
      </c>
      <c r="CP101" s="164"/>
      <c r="CQ101" s="168">
        <v>1150</v>
      </c>
      <c r="CR101" s="164"/>
      <c r="CS101" s="168">
        <v>1150</v>
      </c>
      <c r="CT101" s="164"/>
      <c r="CU101" s="168">
        <v>1150</v>
      </c>
      <c r="CV101" s="164"/>
      <c r="CW101" s="168">
        <v>1150</v>
      </c>
      <c r="CX101" s="164"/>
      <c r="CY101" s="168">
        <v>1150</v>
      </c>
      <c r="DA101" s="164"/>
      <c r="DB101" s="168">
        <v>1150</v>
      </c>
      <c r="DC101" s="164"/>
      <c r="DD101" s="168">
        <v>1150</v>
      </c>
      <c r="DE101" s="164"/>
      <c r="DF101" s="168">
        <v>1150</v>
      </c>
      <c r="DG101" s="164"/>
      <c r="DH101" s="168">
        <v>1150</v>
      </c>
      <c r="DI101" s="164"/>
      <c r="DJ101" s="168">
        <v>1150</v>
      </c>
      <c r="DK101" s="164"/>
      <c r="DL101" s="168">
        <v>1150</v>
      </c>
      <c r="DM101" s="164"/>
      <c r="DN101" s="168">
        <v>1150</v>
      </c>
      <c r="DO101" s="164"/>
      <c r="DP101" s="168">
        <v>1150</v>
      </c>
      <c r="DR101" s="164"/>
      <c r="DS101" s="168">
        <v>1150</v>
      </c>
      <c r="DT101" s="164"/>
      <c r="DU101" s="168">
        <v>1150</v>
      </c>
    </row>
    <row r="102" spans="1:125" s="4" customFormat="1" ht="18" customHeight="1" outlineLevel="1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>
        <v>750</v>
      </c>
      <c r="BX102" s="164"/>
      <c r="BY102" s="168">
        <v>750</v>
      </c>
      <c r="BZ102" s="164"/>
      <c r="CA102" s="168">
        <v>750</v>
      </c>
      <c r="CB102" s="164"/>
      <c r="CC102" s="168">
        <v>750</v>
      </c>
      <c r="CD102" s="164"/>
      <c r="CE102" s="168">
        <v>750</v>
      </c>
      <c r="CF102" s="620"/>
      <c r="CG102" s="620"/>
      <c r="CH102" s="620"/>
      <c r="CI102" s="620"/>
      <c r="CJ102" s="164"/>
      <c r="CK102" s="168">
        <v>750</v>
      </c>
      <c r="CL102" s="164"/>
      <c r="CM102" s="168">
        <v>750</v>
      </c>
      <c r="CN102" s="164"/>
      <c r="CO102" s="168">
        <v>750</v>
      </c>
      <c r="CP102" s="164"/>
      <c r="CQ102" s="168">
        <v>750</v>
      </c>
      <c r="CR102" s="164"/>
      <c r="CS102" s="168">
        <v>750</v>
      </c>
      <c r="CT102" s="164"/>
      <c r="CU102" s="168">
        <v>750</v>
      </c>
      <c r="CV102" s="164"/>
      <c r="CW102" s="168">
        <v>750</v>
      </c>
      <c r="CX102" s="164"/>
      <c r="CY102" s="168">
        <v>750</v>
      </c>
      <c r="DA102" s="164"/>
      <c r="DB102" s="168">
        <v>750</v>
      </c>
      <c r="DC102" s="164"/>
      <c r="DD102" s="168">
        <v>750</v>
      </c>
      <c r="DE102" s="164"/>
      <c r="DF102" s="168">
        <v>750</v>
      </c>
      <c r="DG102" s="164"/>
      <c r="DH102" s="168">
        <v>750</v>
      </c>
      <c r="DI102" s="164"/>
      <c r="DJ102" s="168">
        <v>750</v>
      </c>
      <c r="DK102" s="164"/>
      <c r="DL102" s="168">
        <v>750</v>
      </c>
      <c r="DM102" s="164"/>
      <c r="DN102" s="168">
        <v>750</v>
      </c>
      <c r="DO102" s="164"/>
      <c r="DP102" s="168">
        <v>750</v>
      </c>
      <c r="DR102" s="164"/>
      <c r="DS102" s="168">
        <v>750</v>
      </c>
      <c r="DT102" s="164"/>
      <c r="DU102" s="168">
        <v>750</v>
      </c>
    </row>
    <row r="103" spans="1:125" s="4" customFormat="1" ht="18" customHeight="1" outlineLevel="1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164"/>
      <c r="BY103" s="171"/>
      <c r="BZ103" s="164"/>
      <c r="CA103" s="171"/>
      <c r="CB103" s="164"/>
      <c r="CC103" s="171"/>
      <c r="CD103" s="164"/>
      <c r="CE103" s="171"/>
      <c r="CF103" s="620"/>
      <c r="CG103" s="620"/>
      <c r="CH103" s="620"/>
      <c r="CI103" s="620"/>
      <c r="CJ103" s="164"/>
      <c r="CK103" s="171"/>
      <c r="CL103" s="164"/>
      <c r="CM103" s="171"/>
      <c r="CN103" s="164"/>
      <c r="CO103" s="171"/>
      <c r="CP103" s="164"/>
      <c r="CQ103" s="171"/>
      <c r="CR103" s="164"/>
      <c r="CS103" s="171"/>
      <c r="CT103" s="164"/>
      <c r="CU103" s="171"/>
      <c r="CV103" s="164"/>
      <c r="CW103" s="171"/>
      <c r="CX103" s="164"/>
      <c r="CY103" s="171"/>
      <c r="DA103" s="164"/>
      <c r="DB103" s="171"/>
      <c r="DC103" s="164"/>
      <c r="DD103" s="171"/>
      <c r="DE103" s="164"/>
      <c r="DF103" s="171"/>
      <c r="DG103" s="164"/>
      <c r="DH103" s="171"/>
      <c r="DI103" s="164"/>
      <c r="DJ103" s="171"/>
      <c r="DK103" s="164"/>
      <c r="DL103" s="171"/>
      <c r="DM103" s="164"/>
      <c r="DN103" s="171"/>
      <c r="DO103" s="164"/>
      <c r="DP103" s="171"/>
      <c r="DR103" s="164"/>
      <c r="DS103" s="171"/>
      <c r="DT103" s="164"/>
      <c r="DU103" s="171"/>
    </row>
    <row r="104" spans="1:125" s="4" customFormat="1" ht="18" customHeight="1" outlineLevel="1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0</v>
      </c>
      <c r="J104" s="173"/>
      <c r="K104" s="165">
        <f>K101-K100</f>
        <v>0</v>
      </c>
      <c r="L104" s="173"/>
      <c r="M104" s="165">
        <f>M101-M100</f>
        <v>0</v>
      </c>
      <c r="N104" s="173"/>
      <c r="O104" s="165">
        <f>O101-O100</f>
        <v>-48.008358208942127</v>
      </c>
      <c r="P104" s="173"/>
      <c r="Q104" s="165">
        <f>Q101-Q100</f>
        <v>-50</v>
      </c>
      <c r="R104" s="173"/>
      <c r="S104" s="165">
        <f>S101-S100</f>
        <v>-50</v>
      </c>
      <c r="T104" s="173"/>
      <c r="U104" s="165">
        <f>U101-U100</f>
        <v>-50</v>
      </c>
      <c r="V104" s="173"/>
      <c r="W104" s="165">
        <f>W101-W100</f>
        <v>-50</v>
      </c>
      <c r="X104" s="173"/>
      <c r="Y104" s="165">
        <f>Y101-Y100</f>
        <v>-50</v>
      </c>
      <c r="Z104" s="173"/>
      <c r="AA104" s="165">
        <f>AA101-AA100</f>
        <v>-50</v>
      </c>
      <c r="AB104" s="173"/>
      <c r="AC104" s="165">
        <f>AC101-AC100</f>
        <v>-50</v>
      </c>
      <c r="AD104" s="173"/>
      <c r="AE104" s="165">
        <f>AE101-AE100</f>
        <v>-50</v>
      </c>
      <c r="AF104" s="173"/>
      <c r="AG104" s="165">
        <f>AG101-AG100</f>
        <v>-50</v>
      </c>
      <c r="AH104" s="173"/>
      <c r="AI104" s="165">
        <f>AI101-AI100</f>
        <v>-50</v>
      </c>
      <c r="AJ104" s="173"/>
      <c r="AK104" s="165">
        <f>AK101-AK100</f>
        <v>-50</v>
      </c>
      <c r="AL104" s="173"/>
      <c r="AM104" s="165">
        <f>AM101-AM100</f>
        <v>-50</v>
      </c>
      <c r="AN104" s="173"/>
      <c r="AO104" s="165">
        <f>AO101-AO100</f>
        <v>-50</v>
      </c>
      <c r="AP104" s="173"/>
      <c r="AQ104" s="165">
        <f>AQ101-AQ100</f>
        <v>-50</v>
      </c>
      <c r="AR104" s="173"/>
      <c r="AS104" s="165">
        <f>AS101-AS100</f>
        <v>-50</v>
      </c>
      <c r="AT104" s="173"/>
      <c r="AU104" s="165">
        <f>AU101-AU100</f>
        <v>-50</v>
      </c>
      <c r="AV104" s="173"/>
      <c r="AW104" s="165">
        <f>AW101-AW100</f>
        <v>-50</v>
      </c>
      <c r="AX104" s="173"/>
      <c r="AY104" s="165">
        <f>AY101-AY100</f>
        <v>-50</v>
      </c>
      <c r="AZ104" s="173"/>
      <c r="BA104" s="165">
        <f>BA101-BA100</f>
        <v>-50</v>
      </c>
      <c r="BB104" s="173"/>
      <c r="BC104" s="165">
        <f>BC101-BC100</f>
        <v>-50</v>
      </c>
      <c r="BD104" s="173"/>
      <c r="BE104" s="165">
        <f>BE101-BE100</f>
        <v>-50</v>
      </c>
      <c r="BF104" s="173"/>
      <c r="BG104" s="165">
        <f>BG101-BG100</f>
        <v>-50</v>
      </c>
      <c r="BH104" s="173"/>
      <c r="BI104" s="165">
        <f>BI101-BI100</f>
        <v>400</v>
      </c>
      <c r="BJ104" s="173"/>
      <c r="BK104" s="165">
        <f>BK101-BK100</f>
        <v>400</v>
      </c>
      <c r="BL104" s="173"/>
      <c r="BM104" s="165">
        <f>BM101-BM100</f>
        <v>400</v>
      </c>
      <c r="BN104" s="173"/>
      <c r="BO104" s="165">
        <f>BO101-BO100</f>
        <v>400</v>
      </c>
      <c r="BP104" s="173"/>
      <c r="BQ104" s="165">
        <f>BQ101-BQ100</f>
        <v>400</v>
      </c>
      <c r="BR104" s="173"/>
      <c r="BS104" s="165">
        <f>BS101-BS100</f>
        <v>400</v>
      </c>
      <c r="BT104" s="173"/>
      <c r="BU104" s="165">
        <f>BU101-BU100</f>
        <v>400</v>
      </c>
      <c r="BV104" s="173"/>
      <c r="BW104" s="165">
        <f>BW101-BW100</f>
        <v>400</v>
      </c>
      <c r="BX104" s="173"/>
      <c r="BY104" s="165">
        <f>BY101-BY100</f>
        <v>400</v>
      </c>
      <c r="BZ104" s="173"/>
      <c r="CA104" s="165">
        <f>CA101-CA100</f>
        <v>400</v>
      </c>
      <c r="CB104" s="173"/>
      <c r="CC104" s="165">
        <f>CC101-CC100</f>
        <v>400</v>
      </c>
      <c r="CD104" s="173"/>
      <c r="CE104" s="165">
        <f>CE101-CE100</f>
        <v>400</v>
      </c>
      <c r="CF104" s="620"/>
      <c r="CG104" s="620"/>
      <c r="CH104" s="620"/>
      <c r="CI104" s="620"/>
      <c r="CJ104" s="173"/>
      <c r="CK104" s="165">
        <f>CK101-CK100</f>
        <v>-49.081807667832436</v>
      </c>
      <c r="CL104" s="173"/>
      <c r="CM104" s="165">
        <f>CM101-CM100</f>
        <v>-50</v>
      </c>
      <c r="CN104" s="173"/>
      <c r="CO104" s="165">
        <f>CO101-CO100</f>
        <v>-50</v>
      </c>
      <c r="CP104" s="173"/>
      <c r="CQ104" s="165">
        <f>CQ101-CQ100</f>
        <v>-50</v>
      </c>
      <c r="CR104" s="173"/>
      <c r="CS104" s="165">
        <f>CS101-CS100</f>
        <v>-49.48311563378752</v>
      </c>
      <c r="CT104" s="173"/>
      <c r="CU104" s="165">
        <f>CU101-CU100</f>
        <v>-50</v>
      </c>
      <c r="CV104" s="173"/>
      <c r="CW104" s="165">
        <f>CW101-CW100</f>
        <v>-50</v>
      </c>
      <c r="CX104" s="173"/>
      <c r="CY104" s="165">
        <f>CY101-CY100</f>
        <v>-50</v>
      </c>
      <c r="DA104" s="173"/>
      <c r="DB104" s="165">
        <f>DB101-DB100</f>
        <v>-50</v>
      </c>
      <c r="DC104" s="173"/>
      <c r="DD104" s="165">
        <f>DD101-DD100</f>
        <v>400</v>
      </c>
      <c r="DE104" s="173"/>
      <c r="DF104" s="165">
        <f>DF101-DF100</f>
        <v>400</v>
      </c>
      <c r="DG104" s="173"/>
      <c r="DH104" s="165">
        <f>DH101-DH100</f>
        <v>400</v>
      </c>
      <c r="DI104" s="173"/>
      <c r="DJ104" s="165">
        <f>DJ101-DJ100</f>
        <v>400</v>
      </c>
      <c r="DK104" s="173"/>
      <c r="DL104" s="165">
        <f>DL101-DL100</f>
        <v>400</v>
      </c>
      <c r="DM104" s="173"/>
      <c r="DN104" s="165">
        <f>DN101-DN100</f>
        <v>400</v>
      </c>
      <c r="DO104" s="173"/>
      <c r="DP104" s="165">
        <f>DP101-DP100</f>
        <v>400</v>
      </c>
      <c r="DR104" s="173"/>
      <c r="DS104" s="165">
        <f>DS101-DS100</f>
        <v>400</v>
      </c>
      <c r="DT104" s="173"/>
      <c r="DU104" s="165">
        <f>DU101-DU100</f>
        <v>400</v>
      </c>
    </row>
    <row r="105" spans="1:125" s="97" customFormat="1" ht="18" customHeight="1" outlineLevel="1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65">
        <f>G104/G66</f>
        <v>0.1368801652892562</v>
      </c>
      <c r="H105" s="177"/>
      <c r="I105" s="178">
        <f>I104/I66</f>
        <v>0</v>
      </c>
      <c r="J105" s="177"/>
      <c r="K105" s="178">
        <f>K104/K66</f>
        <v>0</v>
      </c>
      <c r="L105" s="177"/>
      <c r="M105" s="178">
        <f>M104/M66</f>
        <v>0</v>
      </c>
      <c r="N105" s="177"/>
      <c r="O105" s="178">
        <f>O104/O66</f>
        <v>-1.2398852843218525E-2</v>
      </c>
      <c r="P105" s="177"/>
      <c r="Q105" s="178">
        <f>Q104/Q66</f>
        <v>-1.2913223140495868E-2</v>
      </c>
      <c r="R105" s="177"/>
      <c r="S105" s="178">
        <f>S104/S66</f>
        <v>-1.2913223140495868E-2</v>
      </c>
      <c r="T105" s="177"/>
      <c r="U105" s="178">
        <f>U104/U66</f>
        <v>-1.2913223140495868E-2</v>
      </c>
      <c r="V105" s="177"/>
      <c r="W105" s="178">
        <f>W104/W66</f>
        <v>-1.2913223140495868E-2</v>
      </c>
      <c r="X105" s="177"/>
      <c r="Y105" s="178">
        <f>Y104/Y66</f>
        <v>-1.2913223140495868E-2</v>
      </c>
      <c r="Z105" s="177"/>
      <c r="AA105" s="178">
        <f>AA104/AA66</f>
        <v>-1.2913223140495868E-2</v>
      </c>
      <c r="AB105" s="177"/>
      <c r="AC105" s="178">
        <f>AC104/AC66</f>
        <v>-1.2913223140495868E-2</v>
      </c>
      <c r="AD105" s="177"/>
      <c r="AE105" s="178">
        <f>AE104/AE66</f>
        <v>-1.2913223140495868E-2</v>
      </c>
      <c r="AF105" s="177"/>
      <c r="AG105" s="178">
        <f>AG104/AG66</f>
        <v>-1.2913223140495868E-2</v>
      </c>
      <c r="AH105" s="177"/>
      <c r="AI105" s="178">
        <f>AI104/AI66</f>
        <v>-1.2913223140495868E-2</v>
      </c>
      <c r="AJ105" s="177"/>
      <c r="AK105" s="178">
        <f>AK104/AK66</f>
        <v>-1.2913223140495868E-2</v>
      </c>
      <c r="AL105" s="177"/>
      <c r="AM105" s="178">
        <f>AM104/AM66</f>
        <v>-1.2913223140495868E-2</v>
      </c>
      <c r="AN105" s="177"/>
      <c r="AO105" s="178">
        <f>AO104/AO66</f>
        <v>-1.2913223140495868E-2</v>
      </c>
      <c r="AP105" s="177"/>
      <c r="AQ105" s="178">
        <f>AQ104/AQ66</f>
        <v>-1.2913223140495868E-2</v>
      </c>
      <c r="AR105" s="177"/>
      <c r="AS105" s="178">
        <f>AS104/AS66</f>
        <v>-1.2913223140495868E-2</v>
      </c>
      <c r="AT105" s="177"/>
      <c r="AU105" s="178">
        <f>AU104/AU66</f>
        <v>-1.2913223140495868E-2</v>
      </c>
      <c r="AV105" s="177"/>
      <c r="AW105" s="178">
        <f>AW104/AW66</f>
        <v>-1.2913223140495868E-2</v>
      </c>
      <c r="AX105" s="177"/>
      <c r="AY105" s="178">
        <f>AY104/AY66</f>
        <v>-1.2913223140495868E-2</v>
      </c>
      <c r="AZ105" s="177"/>
      <c r="BA105" s="178">
        <f>BA104/BA66</f>
        <v>-1.2913223140495868E-2</v>
      </c>
      <c r="BB105" s="177"/>
      <c r="BC105" s="178">
        <f>BC104/BC66</f>
        <v>-1.2913223140495868E-2</v>
      </c>
      <c r="BD105" s="177"/>
      <c r="BE105" s="178">
        <f>BE104/BE66</f>
        <v>-1.2913223140495868E-2</v>
      </c>
      <c r="BF105" s="177"/>
      <c r="BG105" s="178">
        <f>BG104/BG66</f>
        <v>-1.2913223140495868E-2</v>
      </c>
      <c r="BH105" s="177"/>
      <c r="BI105" s="178">
        <f>BI104/BI66</f>
        <v>0.10330578512396695</v>
      </c>
      <c r="BJ105" s="177"/>
      <c r="BK105" s="178">
        <f>BK104/BK66</f>
        <v>0.10330578512396695</v>
      </c>
      <c r="BL105" s="177"/>
      <c r="BM105" s="178">
        <f>BM104/BM66</f>
        <v>0.10330578512396695</v>
      </c>
      <c r="BN105" s="177"/>
      <c r="BO105" s="178">
        <f>BO104/BO66</f>
        <v>0.10330578512396695</v>
      </c>
      <c r="BP105" s="177"/>
      <c r="BQ105" s="178">
        <f>BQ104/BQ66</f>
        <v>0.10330578512396695</v>
      </c>
      <c r="BR105" s="177"/>
      <c r="BS105" s="178">
        <f>BS104/BS66</f>
        <v>0.10330578512396695</v>
      </c>
      <c r="BT105" s="177"/>
      <c r="BU105" s="178">
        <f>BU104/BU66</f>
        <v>0.10330578512396695</v>
      </c>
      <c r="BV105" s="177"/>
      <c r="BW105" s="178">
        <f>BW104/BW66</f>
        <v>0.10330578512396695</v>
      </c>
      <c r="BX105" s="177"/>
      <c r="BY105" s="178">
        <f>BY104/BY66</f>
        <v>0.10330578512396695</v>
      </c>
      <c r="BZ105" s="177"/>
      <c r="CA105" s="178">
        <f>CA104/CA66</f>
        <v>0.10330578512396695</v>
      </c>
      <c r="CB105" s="177"/>
      <c r="CC105" s="178">
        <f>CC104/CC66</f>
        <v>0.10330578512396695</v>
      </c>
      <c r="CD105" s="177"/>
      <c r="CE105" s="178">
        <f>CE104/CE66</f>
        <v>0.10330578512396695</v>
      </c>
      <c r="CF105" s="620"/>
      <c r="CG105" s="620"/>
      <c r="CH105" s="620"/>
      <c r="CI105" s="620"/>
      <c r="CJ105" s="177"/>
      <c r="CK105" s="178">
        <f>CK104/CK66</f>
        <v>-1.2676086691072426E-2</v>
      </c>
      <c r="CL105" s="177"/>
      <c r="CM105" s="178">
        <f>CM104/CM66</f>
        <v>-1.2913223140495868E-2</v>
      </c>
      <c r="CN105" s="177"/>
      <c r="CO105" s="178">
        <f>CO104/CO66</f>
        <v>-1.2913223140495868E-2</v>
      </c>
      <c r="CP105" s="177"/>
      <c r="CQ105" s="178">
        <f>CQ104/CQ66</f>
        <v>-1.2913223140495868E-2</v>
      </c>
      <c r="CR105" s="177"/>
      <c r="CS105" s="178">
        <f>CS104/CS66</f>
        <v>-1.2779730277321157E-2</v>
      </c>
      <c r="CT105" s="177"/>
      <c r="CU105" s="178">
        <f>CU104/CU66</f>
        <v>-1.2913223140495868E-2</v>
      </c>
      <c r="CV105" s="177"/>
      <c r="CW105" s="178">
        <f>CW104/CW66</f>
        <v>-1.2913223140495868E-2</v>
      </c>
      <c r="CX105" s="177"/>
      <c r="CY105" s="178">
        <f>CY104/CY66</f>
        <v>-1.2913223140495868E-2</v>
      </c>
      <c r="DA105" s="177"/>
      <c r="DB105" s="178">
        <f>DB104/DB66</f>
        <v>-1.2913223140495868E-2</v>
      </c>
      <c r="DC105" s="177"/>
      <c r="DD105" s="178">
        <f>DD104/DD66</f>
        <v>0.10330578512396695</v>
      </c>
      <c r="DE105" s="177"/>
      <c r="DF105" s="178">
        <f>DF104/DF66</f>
        <v>0.10330578512396695</v>
      </c>
      <c r="DG105" s="177"/>
      <c r="DH105" s="178">
        <f>DH104/DH66</f>
        <v>0.10330578512396695</v>
      </c>
      <c r="DI105" s="177"/>
      <c r="DJ105" s="178">
        <f>DJ104/DJ66</f>
        <v>0.10330578512396695</v>
      </c>
      <c r="DK105" s="177"/>
      <c r="DL105" s="178">
        <f>DL104/DL66</f>
        <v>0.10330578512396695</v>
      </c>
      <c r="DM105" s="177"/>
      <c r="DN105" s="178">
        <f>DN104/DN66</f>
        <v>0.10330578512396695</v>
      </c>
      <c r="DO105" s="177"/>
      <c r="DP105" s="178">
        <f>DP104/DP66</f>
        <v>0.10330578512396695</v>
      </c>
      <c r="DR105" s="177"/>
      <c r="DS105" s="178">
        <f>DS104/DS66</f>
        <v>0.1</v>
      </c>
      <c r="DT105" s="177"/>
      <c r="DU105" s="178">
        <f>DU104/DU66</f>
        <v>0.10330578512396695</v>
      </c>
    </row>
    <row r="106" spans="1:125" s="97" customFormat="1" ht="18" customHeight="1" outlineLevel="1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0.10330578512396695</v>
      </c>
      <c r="H106" s="177"/>
      <c r="I106" s="178">
        <f>(I101-I102)/I66</f>
        <v>0.10330578512396695</v>
      </c>
      <c r="J106" s="177"/>
      <c r="K106" s="178">
        <f>(K101-K102)/K66</f>
        <v>0.10330578512396695</v>
      </c>
      <c r="L106" s="177"/>
      <c r="M106" s="178">
        <f>(M101-M102)/M66</f>
        <v>0.10330578512396695</v>
      </c>
      <c r="N106" s="177"/>
      <c r="O106" s="178">
        <f>(O101-O102)/O66</f>
        <v>0.10330578512396695</v>
      </c>
      <c r="P106" s="177"/>
      <c r="Q106" s="178">
        <f>(Q101-Q102)/Q66</f>
        <v>0.10330578512396695</v>
      </c>
      <c r="R106" s="177"/>
      <c r="S106" s="178">
        <f>(S101-S102)/S66</f>
        <v>0.10330578512396695</v>
      </c>
      <c r="T106" s="177"/>
      <c r="U106" s="178">
        <f>(U101-U102)/U66</f>
        <v>0.10330578512396695</v>
      </c>
      <c r="V106" s="177"/>
      <c r="W106" s="178">
        <f>(W101-W102)/W66</f>
        <v>0.10330578512396695</v>
      </c>
      <c r="X106" s="177"/>
      <c r="Y106" s="178">
        <f>(Y101-Y102)/Y66</f>
        <v>0.10330578512396695</v>
      </c>
      <c r="Z106" s="177"/>
      <c r="AA106" s="178">
        <f>(AA101-AA102)/AA66</f>
        <v>0.10330578512396695</v>
      </c>
      <c r="AB106" s="177"/>
      <c r="AC106" s="178">
        <f>(AC101-AC102)/AC66</f>
        <v>0.10330578512396695</v>
      </c>
      <c r="AD106" s="177"/>
      <c r="AE106" s="178">
        <f>(AE101-AE102)/AE66</f>
        <v>0.10330578512396695</v>
      </c>
      <c r="AF106" s="177"/>
      <c r="AG106" s="178">
        <f>(AG101-AG102)/AG66</f>
        <v>0.10330578512396695</v>
      </c>
      <c r="AH106" s="177"/>
      <c r="AI106" s="178">
        <f>(AI101-AI102)/AI66</f>
        <v>0.10330578512396695</v>
      </c>
      <c r="AJ106" s="177"/>
      <c r="AK106" s="178">
        <f>(AK101-AK102)/AK66</f>
        <v>0.10330578512396695</v>
      </c>
      <c r="AL106" s="177"/>
      <c r="AM106" s="178">
        <f>(AM101-AM102)/AM66</f>
        <v>0.10330578512396695</v>
      </c>
      <c r="AN106" s="177"/>
      <c r="AO106" s="178">
        <f>(AO101-AO102)/AO66</f>
        <v>0.10330578512396695</v>
      </c>
      <c r="AP106" s="177"/>
      <c r="AQ106" s="178">
        <f>(AQ101-AQ102)/AQ66</f>
        <v>0.10330578512396695</v>
      </c>
      <c r="AR106" s="177"/>
      <c r="AS106" s="178">
        <f>(AS101-AS102)/AS66</f>
        <v>0.10330578512396695</v>
      </c>
      <c r="AT106" s="177"/>
      <c r="AU106" s="178">
        <f>(AU101-AU102)/AU66</f>
        <v>0.10330578512396695</v>
      </c>
      <c r="AV106" s="177"/>
      <c r="AW106" s="178">
        <f>(AW101-AW102)/AW66</f>
        <v>0.10330578512396695</v>
      </c>
      <c r="AX106" s="177"/>
      <c r="AY106" s="178">
        <f>(AY101-AY102)/AY66</f>
        <v>0.10330578512396695</v>
      </c>
      <c r="AZ106" s="177"/>
      <c r="BA106" s="178">
        <f>(BA101-BA102)/BA66</f>
        <v>0.10330578512396695</v>
      </c>
      <c r="BB106" s="177"/>
      <c r="BC106" s="178">
        <f>(BC101-BC102)/BC66</f>
        <v>0.10330578512396695</v>
      </c>
      <c r="BD106" s="177"/>
      <c r="BE106" s="178">
        <f>(BE101-BE102)/BE66</f>
        <v>0.10330578512396695</v>
      </c>
      <c r="BF106" s="177"/>
      <c r="BG106" s="178">
        <f>(BG101-BG102)/BG66</f>
        <v>0.10330578512396695</v>
      </c>
      <c r="BH106" s="177"/>
      <c r="BI106" s="178">
        <f>(BI101-BI102)/BI66</f>
        <v>0.10330578512396695</v>
      </c>
      <c r="BJ106" s="177"/>
      <c r="BK106" s="178">
        <f>(BK101-BK102)/BK66</f>
        <v>0.10330578512396695</v>
      </c>
      <c r="BL106" s="177"/>
      <c r="BM106" s="178">
        <f>(BM101-BM102)/BM66</f>
        <v>0.10330578512396695</v>
      </c>
      <c r="BN106" s="177"/>
      <c r="BO106" s="178">
        <f>(BO101-BO102)/BO66</f>
        <v>0.10330578512396695</v>
      </c>
      <c r="BP106" s="177"/>
      <c r="BQ106" s="178">
        <f>(BQ101-BQ102)/BQ66</f>
        <v>0.10330578512396695</v>
      </c>
      <c r="BR106" s="177"/>
      <c r="BS106" s="178">
        <f>(BS101-BS102)/BS66</f>
        <v>0.10330578512396695</v>
      </c>
      <c r="BT106" s="177"/>
      <c r="BU106" s="178">
        <f>(BU101-BU102)/BU66</f>
        <v>0.10330578512396695</v>
      </c>
      <c r="BV106" s="177"/>
      <c r="BW106" s="178">
        <f>(BW101-BW102)/BW66</f>
        <v>0.10330578512396695</v>
      </c>
      <c r="BX106" s="177"/>
      <c r="BY106" s="178">
        <f>(BY101-BY102)/BY66</f>
        <v>0.10330578512396695</v>
      </c>
      <c r="BZ106" s="177"/>
      <c r="CA106" s="178">
        <f>(CA101-CA102)/CA66</f>
        <v>0.10330578512396695</v>
      </c>
      <c r="CB106" s="177"/>
      <c r="CC106" s="178">
        <f>(CC101-CC102)/CC66</f>
        <v>0.10330578512396695</v>
      </c>
      <c r="CD106" s="177"/>
      <c r="CE106" s="178">
        <f>(CE101-CE102)/CE66</f>
        <v>0.10330578512396695</v>
      </c>
      <c r="CF106" s="620"/>
      <c r="CG106" s="620"/>
      <c r="CH106" s="620"/>
      <c r="CI106" s="620"/>
      <c r="CJ106" s="177"/>
      <c r="CK106" s="178">
        <f>(CK101-CK102)/CK66</f>
        <v>0.10330578512396695</v>
      </c>
      <c r="CL106" s="177"/>
      <c r="CM106" s="178">
        <f>(CM101-CM102)/CM66</f>
        <v>0.10330578512396695</v>
      </c>
      <c r="CN106" s="177"/>
      <c r="CO106" s="178">
        <f>(CO101-CO102)/CO66</f>
        <v>0.10330578512396695</v>
      </c>
      <c r="CP106" s="177"/>
      <c r="CQ106" s="178">
        <f>(CQ101-CQ102)/CQ66</f>
        <v>0.10330578512396695</v>
      </c>
      <c r="CR106" s="177"/>
      <c r="CS106" s="178">
        <f>(CS101-CS102)/CS66</f>
        <v>0.10330578512396695</v>
      </c>
      <c r="CT106" s="177"/>
      <c r="CU106" s="178">
        <f>(CU101-CU102)/CU66</f>
        <v>0.10330578512396695</v>
      </c>
      <c r="CV106" s="177"/>
      <c r="CW106" s="178">
        <f>(CW101-CW102)/CW66</f>
        <v>0.10330578512396695</v>
      </c>
      <c r="CX106" s="177"/>
      <c r="CY106" s="178">
        <f>(CY101-CY102)/CY66</f>
        <v>0.10330578512396695</v>
      </c>
      <c r="DA106" s="177"/>
      <c r="DB106" s="178">
        <f>(DB101-DB102)/DB66</f>
        <v>0.10330578512396695</v>
      </c>
      <c r="DC106" s="177"/>
      <c r="DD106" s="178">
        <f>(DD101-DD102)/DD66</f>
        <v>0.10330578512396695</v>
      </c>
      <c r="DE106" s="177"/>
      <c r="DF106" s="178">
        <f>(DF101-DF102)/DF66</f>
        <v>0.10330578512396695</v>
      </c>
      <c r="DG106" s="177"/>
      <c r="DH106" s="178">
        <f>(DH101-DH102)/DH66</f>
        <v>0.10330578512396695</v>
      </c>
      <c r="DI106" s="177"/>
      <c r="DJ106" s="178">
        <f>(DJ101-DJ102)/DJ66</f>
        <v>0.10330578512396695</v>
      </c>
      <c r="DK106" s="177"/>
      <c r="DL106" s="178">
        <f>(DL101-DL102)/DL66</f>
        <v>0.10330578512396695</v>
      </c>
      <c r="DM106" s="177"/>
      <c r="DN106" s="178">
        <f>(DN101-DN102)/DN66</f>
        <v>0.10330578512396695</v>
      </c>
      <c r="DO106" s="177"/>
      <c r="DP106" s="178">
        <f>(DP101-DP102)/DP66</f>
        <v>0.10330578512396695</v>
      </c>
      <c r="DR106" s="177"/>
      <c r="DS106" s="178">
        <f>(DS101-DS102)/DS66</f>
        <v>0.1</v>
      </c>
      <c r="DT106" s="177"/>
      <c r="DU106" s="178">
        <f>(DU101-DU102)/DU66</f>
        <v>0.10330578512396695</v>
      </c>
    </row>
    <row r="107" spans="1:125" s="4" customFormat="1" ht="18" customHeight="1" outlineLevel="1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180"/>
      <c r="BY107" s="181"/>
      <c r="BZ107" s="180"/>
      <c r="CA107" s="181"/>
      <c r="CB107" s="180"/>
      <c r="CC107" s="181"/>
      <c r="CD107" s="180"/>
      <c r="CE107" s="181"/>
      <c r="CF107" s="620"/>
      <c r="CG107" s="620"/>
      <c r="CH107" s="620"/>
      <c r="CI107" s="620"/>
      <c r="CJ107" s="180"/>
      <c r="CK107" s="181"/>
      <c r="CL107" s="180"/>
      <c r="CM107" s="181"/>
      <c r="CN107" s="180"/>
      <c r="CO107" s="181"/>
      <c r="CP107" s="180"/>
      <c r="CQ107" s="181"/>
      <c r="CR107" s="180"/>
      <c r="CS107" s="181"/>
      <c r="CT107" s="180"/>
      <c r="CU107" s="181"/>
      <c r="CV107" s="180"/>
      <c r="CW107" s="181"/>
      <c r="CX107" s="180"/>
      <c r="CY107" s="181"/>
      <c r="DA107" s="180"/>
      <c r="DB107" s="181"/>
      <c r="DC107" s="180"/>
      <c r="DD107" s="181"/>
      <c r="DE107" s="180"/>
      <c r="DF107" s="181"/>
      <c r="DG107" s="180"/>
      <c r="DH107" s="181"/>
      <c r="DI107" s="180"/>
      <c r="DJ107" s="181"/>
      <c r="DK107" s="180"/>
      <c r="DL107" s="181"/>
      <c r="DM107" s="180"/>
      <c r="DN107" s="181"/>
      <c r="DO107" s="180"/>
      <c r="DP107" s="181"/>
      <c r="DR107" s="180"/>
      <c r="DS107" s="181"/>
      <c r="DT107" s="180"/>
      <c r="DU107" s="181"/>
    </row>
    <row r="108" spans="1:125" s="4" customFormat="1" ht="18" customHeight="1" outlineLevel="1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1.8879381012981207</v>
      </c>
      <c r="H108" s="186"/>
      <c r="I108" s="187">
        <f>I60-(I101/I66)-I74</f>
        <v>1.7655932247388475</v>
      </c>
      <c r="J108" s="186"/>
      <c r="K108" s="187">
        <f>K60-(K101/K66)-K74</f>
        <v>1.7655932247388475</v>
      </c>
      <c r="L108" s="186"/>
      <c r="M108" s="187">
        <f>M60-(M101/M66)-M74</f>
        <v>1.7655932247388475</v>
      </c>
      <c r="N108" s="186"/>
      <c r="O108" s="187">
        <f>O60-(O101/O66)-O74</f>
        <v>2.1619942141809672</v>
      </c>
      <c r="P108" s="186"/>
      <c r="Q108" s="187">
        <f>Q60-(Q101/Q66)-Q74</f>
        <v>2.0655892794785249</v>
      </c>
      <c r="R108" s="186"/>
      <c r="S108" s="187">
        <f>S60-(S101/S66)-S74</f>
        <v>2.0655892794785249</v>
      </c>
      <c r="T108" s="186"/>
      <c r="U108" s="187">
        <f>U60-(U101/U66)-U74</f>
        <v>1.9512346253122681</v>
      </c>
      <c r="V108" s="186"/>
      <c r="W108" s="187">
        <f>W60-(W101/W66)-W74</f>
        <v>1.9172044533701325</v>
      </c>
      <c r="X108" s="186"/>
      <c r="Y108" s="187">
        <f>Y60-(Y101/Y66)-Y74</f>
        <v>1.6986915362149109</v>
      </c>
      <c r="Z108" s="186"/>
      <c r="AA108" s="187">
        <f>AA60-(AA101/AA66)-AA74</f>
        <v>1.6060107488109656</v>
      </c>
      <c r="AB108" s="186"/>
      <c r="AC108" s="187">
        <f>AC60-(AC101/AC66)-AC74</f>
        <v>1.728852076501556</v>
      </c>
      <c r="AD108" s="186"/>
      <c r="AE108" s="187">
        <f>AE60-(AE101/AE66)-AE74</f>
        <v>1.7858654853097509</v>
      </c>
      <c r="AF108" s="186"/>
      <c r="AG108" s="187">
        <f>AG60-(AG101/AG66)-AG74</f>
        <v>1.7712811929592398</v>
      </c>
      <c r="AH108" s="186"/>
      <c r="AI108" s="187">
        <f>AI60-(AI101/AI66)-AI74</f>
        <v>2.0448026206757381</v>
      </c>
      <c r="AJ108" s="186"/>
      <c r="AK108" s="187">
        <f>AK60-(AK101/AK66)-AK74</f>
        <v>2.151374422270139</v>
      </c>
      <c r="AL108" s="186"/>
      <c r="AM108" s="187">
        <f>AM60-(AM101/AM66)-AM74</f>
        <v>2.2158886887627935</v>
      </c>
      <c r="AN108" s="186"/>
      <c r="AO108" s="187">
        <f>AO60-(AO101/AO66)-AO74</f>
        <v>2.3012011846131779</v>
      </c>
      <c r="AP108" s="186"/>
      <c r="AQ108" s="187">
        <f>AQ60-(AQ101/AQ66)-AQ74</f>
        <v>2.2047885505218123</v>
      </c>
      <c r="AR108" s="186"/>
      <c r="AS108" s="187">
        <f>AS60-(AS101/AS66)-AS74</f>
        <v>2.166063884176058</v>
      </c>
      <c r="AT108" s="186"/>
      <c r="AU108" s="187">
        <f>AU60-(AU101/AU66)-AU74</f>
        <v>2.2997818579831448</v>
      </c>
      <c r="AV108" s="186"/>
      <c r="AW108" s="187">
        <f>AW60-(AW101/AW66)-AW74</f>
        <v>2.0731472865277594</v>
      </c>
      <c r="AX108" s="186"/>
      <c r="AY108" s="187">
        <f>AY60-(AY101/AY66)-AY74</f>
        <v>2.0514358515091722</v>
      </c>
      <c r="AZ108" s="186"/>
      <c r="BA108" s="187">
        <f>BA60-(BA101/BA66)-BA74</f>
        <v>2.1811468743443823</v>
      </c>
      <c r="BB108" s="186"/>
      <c r="BC108" s="187">
        <f>BC60-(BC101/BC66)-BC74</f>
        <v>2.2546973903163199</v>
      </c>
      <c r="BD108" s="186"/>
      <c r="BE108" s="187">
        <f>BE60-(BE101/BE66)-BE74</f>
        <v>1.40624655647383</v>
      </c>
      <c r="BF108" s="186"/>
      <c r="BG108" s="187">
        <f>BG60-(BG101/BG66)-BG74</f>
        <v>1.40624655647383</v>
      </c>
      <c r="BH108" s="186"/>
      <c r="BI108" s="187">
        <f>BI60-(BI101/BI66)-BI74</f>
        <v>1.8092312241883328</v>
      </c>
      <c r="BJ108" s="186"/>
      <c r="BK108" s="187">
        <f>BK60-(BK101/BK66)-BK74</f>
        <v>1.6296696006686613</v>
      </c>
      <c r="BL108" s="186"/>
      <c r="BM108" s="187">
        <f>BM60-(BM101/BM66)-BM74</f>
        <v>1.7479796179261422</v>
      </c>
      <c r="BN108" s="186"/>
      <c r="BO108" s="187">
        <f>BO60-(BO101/BO66)-BO74</f>
        <v>1.7161393849948361</v>
      </c>
      <c r="BP108" s="186"/>
      <c r="BQ108" s="187">
        <f>BQ60-(BQ101/BQ66)-BQ74</f>
        <v>1.9303296296239911</v>
      </c>
      <c r="BR108" s="186"/>
      <c r="BS108" s="187">
        <f>BS60-(BS101/BS66)-BS74</f>
        <v>1.8806489615558162</v>
      </c>
      <c r="BT108" s="186"/>
      <c r="BU108" s="187">
        <f>BU60-(BU101/BU66)-BU74</f>
        <v>1.7434168302702835</v>
      </c>
      <c r="BV108" s="186"/>
      <c r="BW108" s="187">
        <f>BW60-(BW101/BW66)-BW74</f>
        <v>1.5026475399751682</v>
      </c>
      <c r="BX108" s="186"/>
      <c r="BY108" s="187">
        <f>BY60-(BY101/BY66)-BY74</f>
        <v>1.5680637239199609</v>
      </c>
      <c r="BZ108" s="186"/>
      <c r="CA108" s="187">
        <f>CA60-(CA101/CA66)-CA74</f>
        <v>1.7691236650631086</v>
      </c>
      <c r="CB108" s="186"/>
      <c r="CC108" s="187">
        <f>CC60-(CC101/CC66)-CC74</f>
        <v>1.8473528675181567</v>
      </c>
      <c r="CD108" s="186"/>
      <c r="CE108" s="187">
        <f>CE60-(CE101/CE66)-CE74</f>
        <v>1.6343908435800207</v>
      </c>
      <c r="CF108" s="620"/>
      <c r="CG108" s="620"/>
      <c r="CH108" s="620"/>
      <c r="CI108" s="620"/>
      <c r="CJ108" s="186"/>
      <c r="CK108" s="187">
        <f>CK60-(CK101/CK66)-CK74</f>
        <v>2.0375059430488229</v>
      </c>
      <c r="CL108" s="186"/>
      <c r="CM108" s="187">
        <f>CM60-(CM101/CM66)-CM74</f>
        <v>1.685221405653226</v>
      </c>
      <c r="CN108" s="186"/>
      <c r="CO108" s="187">
        <f>CO60-(CO101/CO66)-CO74</f>
        <v>1.9365555819595235</v>
      </c>
      <c r="CP108" s="186"/>
      <c r="CQ108" s="187">
        <f>CQ60-(CQ101/CQ66)-CQ74</f>
        <v>2.0195798898071633</v>
      </c>
      <c r="CR108" s="186"/>
      <c r="CS108" s="187">
        <f>CS60-(CS101/CS66)-CS74</f>
        <v>1.8821642191419778</v>
      </c>
      <c r="CT108" s="186"/>
      <c r="CU108" s="187">
        <f>CU60-(CU101/CU66)-CU74</f>
        <v>1.8339943042215778</v>
      </c>
      <c r="CV108" s="186"/>
      <c r="CW108" s="187">
        <f>CW60-(CW101/CW66)-CW74</f>
        <v>2.3590169716646994</v>
      </c>
      <c r="CX108" s="186"/>
      <c r="CY108" s="187">
        <f>CY60-(CY101/CY66)-CY74</f>
        <v>2.1187808367768608</v>
      </c>
      <c r="DA108" s="186"/>
      <c r="DB108" s="187">
        <f>DB60-(DB101/DB66)-DB74</f>
        <v>2.3229132231404965</v>
      </c>
      <c r="DC108" s="186"/>
      <c r="DD108" s="187">
        <f>DD60-(DD101/DD66)-DD74</f>
        <v>2.3266942148760328</v>
      </c>
      <c r="DE108" s="186"/>
      <c r="DF108" s="187">
        <f>DF60-(DF101/DF66)-DF74</f>
        <v>2.1034237225507035</v>
      </c>
      <c r="DG108" s="186"/>
      <c r="DH108" s="187">
        <f>DH60-(DH101/DH66)-DH74</f>
        <v>1.9510571787836977</v>
      </c>
      <c r="DI108" s="186"/>
      <c r="DJ108" s="187">
        <f>DJ60-(DJ101/DJ66)-DJ74</f>
        <v>1.9450378113181555</v>
      </c>
      <c r="DK108" s="186"/>
      <c r="DL108" s="187">
        <f>DL60-(DL101/DL66)-DL74</f>
        <v>2.10470182831006</v>
      </c>
      <c r="DM108" s="186"/>
      <c r="DN108" s="187">
        <f>DN60-(DN101/DN66)-DN74</f>
        <v>1.9745366659106005</v>
      </c>
      <c r="DO108" s="186"/>
      <c r="DP108" s="187">
        <f>DP60-(DP101/DP66)-DP74</f>
        <v>1.9660951010638006</v>
      </c>
      <c r="DR108" s="186"/>
      <c r="DS108" s="187">
        <f>DS60-(DS101/DS66)-DS74</f>
        <v>1.7858064516129031</v>
      </c>
      <c r="DT108" s="186"/>
      <c r="DU108" s="187">
        <f>DU60-(DU101/DU66)-DU74</f>
        <v>1.5347587310050654</v>
      </c>
    </row>
    <row r="109" spans="1:125" s="4" customFormat="1" ht="18" customHeight="1" outlineLevel="1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0.34705535380314123</v>
      </c>
      <c r="H109" s="192"/>
      <c r="I109" s="193">
        <f>I108/I67</f>
        <v>0.332942598629966</v>
      </c>
      <c r="J109" s="192"/>
      <c r="K109" s="193">
        <f>K108/K67</f>
        <v>0.332942598629966</v>
      </c>
      <c r="L109" s="192"/>
      <c r="M109" s="193">
        <f>M108/M67</f>
        <v>0.332942598629966</v>
      </c>
      <c r="N109" s="192"/>
      <c r="O109" s="193">
        <f>O108/O67</f>
        <v>0.37838569654178106</v>
      </c>
      <c r="P109" s="192"/>
      <c r="Q109" s="193">
        <f>Q108/Q67</f>
        <v>0.35985875949103219</v>
      </c>
      <c r="R109" s="192"/>
      <c r="S109" s="193">
        <f>S108/S67</f>
        <v>0.35985875949103219</v>
      </c>
      <c r="T109" s="192"/>
      <c r="U109" s="193">
        <f>U108/U67</f>
        <v>0.33993634587321742</v>
      </c>
      <c r="V109" s="192"/>
      <c r="W109" s="193">
        <f>W108/W67</f>
        <v>0.3340077444895701</v>
      </c>
      <c r="X109" s="192"/>
      <c r="Y109" s="193">
        <f>Y108/Y67</f>
        <v>0.29593929202350361</v>
      </c>
      <c r="Z109" s="192"/>
      <c r="AA109" s="193">
        <f>AA108/AA67</f>
        <v>0.27979281338170131</v>
      </c>
      <c r="AB109" s="192"/>
      <c r="AC109" s="193">
        <f>AC108/AC67</f>
        <v>0.3011937415507937</v>
      </c>
      <c r="AD109" s="192"/>
      <c r="AE109" s="193">
        <f>AE108/AE67</f>
        <v>0.31112639116894614</v>
      </c>
      <c r="AF109" s="192"/>
      <c r="AG109" s="193">
        <f>AG108/AG67</f>
        <v>0.3085855736862787</v>
      </c>
      <c r="AH109" s="192"/>
      <c r="AI109" s="193">
        <f>AI108/AI67</f>
        <v>0.35623739036162683</v>
      </c>
      <c r="AJ109" s="192"/>
      <c r="AK109" s="193">
        <f>AK108/AK67</f>
        <v>0.37480390631883953</v>
      </c>
      <c r="AL109" s="192"/>
      <c r="AM109" s="193">
        <f>AM108/AM67</f>
        <v>0.38604332556843091</v>
      </c>
      <c r="AN109" s="192"/>
      <c r="AO109" s="193">
        <f>AO108/AO67</f>
        <v>0.40090612972355016</v>
      </c>
      <c r="AP109" s="192"/>
      <c r="AQ109" s="193">
        <f>AQ108/AQ67</f>
        <v>0.38410950357522861</v>
      </c>
      <c r="AR109" s="192"/>
      <c r="AS109" s="193">
        <f>AS108/AS67</f>
        <v>0.37736304602370346</v>
      </c>
      <c r="AT109" s="192"/>
      <c r="AU109" s="193">
        <f>AU108/AU67</f>
        <v>0.40065886027580921</v>
      </c>
      <c r="AV109" s="192"/>
      <c r="AW109" s="193">
        <f>AW108/AW67</f>
        <v>0.36117548545779776</v>
      </c>
      <c r="AX109" s="192"/>
      <c r="AY109" s="193">
        <f>AY108/AY67</f>
        <v>0.35739300548940278</v>
      </c>
      <c r="AZ109" s="192"/>
      <c r="BA109" s="193">
        <f>BA108/BA67</f>
        <v>0.37999074465930005</v>
      </c>
      <c r="BB109" s="192"/>
      <c r="BC109" s="193">
        <f>BC108/BC67</f>
        <v>0.39280442340005572</v>
      </c>
      <c r="BD109" s="192"/>
      <c r="BE109" s="193">
        <f>BE108/BE67</f>
        <v>0.24499068928115506</v>
      </c>
      <c r="BF109" s="192"/>
      <c r="BG109" s="193">
        <f>BG108/BG67</f>
        <v>0.24499068928115506</v>
      </c>
      <c r="BH109" s="192"/>
      <c r="BI109" s="193">
        <f>BI108/BI67</f>
        <v>0.30979986715553642</v>
      </c>
      <c r="BJ109" s="192"/>
      <c r="BK109" s="193">
        <f>BK108/BK67</f>
        <v>0.27905301381312692</v>
      </c>
      <c r="BL109" s="192"/>
      <c r="BM109" s="193">
        <f>BM108/BM67</f>
        <v>0.29931157841201067</v>
      </c>
      <c r="BN109" s="192"/>
      <c r="BO109" s="193">
        <f>BO108/BO67</f>
        <v>0.2938594837319925</v>
      </c>
      <c r="BP109" s="192"/>
      <c r="BQ109" s="193">
        <f>BQ108/BQ67</f>
        <v>0.33053589548356016</v>
      </c>
      <c r="BR109" s="192"/>
      <c r="BS109" s="193">
        <f>BS108/BS67</f>
        <v>0.3220289317732562</v>
      </c>
      <c r="BT109" s="192"/>
      <c r="BU109" s="193">
        <f>BU108/BU67</f>
        <v>0.29853027915587049</v>
      </c>
      <c r="BV109" s="192"/>
      <c r="BW109" s="193">
        <f>BW108/BW67</f>
        <v>0.2573026609546521</v>
      </c>
      <c r="BX109" s="192"/>
      <c r="BY109" s="193">
        <f>BY108/BY67</f>
        <v>0.2685040623150618</v>
      </c>
      <c r="BZ109" s="192"/>
      <c r="CA109" s="193">
        <f>CA108/CA67</f>
        <v>0.3029321344286145</v>
      </c>
      <c r="CB109" s="192"/>
      <c r="CC109" s="193">
        <f>CC108/CC67</f>
        <v>0.31632754580790357</v>
      </c>
      <c r="CD109" s="192"/>
      <c r="CE109" s="193">
        <f>CE108/CE67</f>
        <v>0.2798614458184967</v>
      </c>
      <c r="CF109" s="620"/>
      <c r="CG109" s="620"/>
      <c r="CH109" s="620"/>
      <c r="CI109" s="620"/>
      <c r="CJ109" s="192"/>
      <c r="CK109" s="193">
        <f>CK108/CK67</f>
        <v>0.35571669554970986</v>
      </c>
      <c r="CL109" s="192"/>
      <c r="CM109" s="193">
        <f>CM108/CM67</f>
        <v>0.2935925793820951</v>
      </c>
      <c r="CN109" s="192"/>
      <c r="CO109" s="193">
        <f>CO108/CO67</f>
        <v>0.33737902124730373</v>
      </c>
      <c r="CP109" s="192"/>
      <c r="CQ109" s="193">
        <f>CQ108/CQ67</f>
        <v>0.35184318637755457</v>
      </c>
      <c r="CR109" s="192"/>
      <c r="CS109" s="193">
        <f>CS108/CS67</f>
        <v>0.32829308900936804</v>
      </c>
      <c r="CT109" s="192"/>
      <c r="CU109" s="193">
        <f>CU108/CU67</f>
        <v>0.31951120282605883</v>
      </c>
      <c r="CV109" s="192"/>
      <c r="CW109" s="193">
        <f>CW108/CW67</f>
        <v>0.37744271546635189</v>
      </c>
      <c r="CX109" s="192"/>
      <c r="CY109" s="193">
        <f>CY108/CY67</f>
        <v>0.36912558132001055</v>
      </c>
      <c r="DA109" s="192"/>
      <c r="DB109" s="193">
        <f>DB108/DB67</f>
        <v>0.40468871483283908</v>
      </c>
      <c r="DC109" s="192"/>
      <c r="DD109" s="193">
        <f>DD108/DD67</f>
        <v>0.39840654364315631</v>
      </c>
      <c r="DE109" s="192"/>
      <c r="DF109" s="193">
        <f>DF108/DF67</f>
        <v>0.36017529495731226</v>
      </c>
      <c r="DG109" s="192"/>
      <c r="DH109" s="193">
        <f>DH108/DH67</f>
        <v>0.33408513335337292</v>
      </c>
      <c r="DI109" s="192"/>
      <c r="DJ109" s="193">
        <f>DJ108/DJ67</f>
        <v>0.33305441974625949</v>
      </c>
      <c r="DK109" s="192"/>
      <c r="DL109" s="193">
        <f>DL108/DL67</f>
        <v>0.36039414868322944</v>
      </c>
      <c r="DM109" s="192"/>
      <c r="DN109" s="193">
        <f>DN108/DN67</f>
        <v>0.33810559347784258</v>
      </c>
      <c r="DO109" s="192"/>
      <c r="DP109" s="193">
        <f>DP108/DP67</f>
        <v>0.33666012004517132</v>
      </c>
      <c r="DR109" s="192"/>
      <c r="DS109" s="193">
        <f>DS108/DS67</f>
        <v>0.30578877596111353</v>
      </c>
      <c r="DT109" s="192"/>
      <c r="DU109" s="193">
        <f>DU108/DU67</f>
        <v>0.26280115256936054</v>
      </c>
    </row>
    <row r="110" spans="1:125" s="162" customFormat="1" ht="18" customHeight="1" outlineLevel="1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/>
      <c r="BT110" s="164"/>
      <c r="BU110" s="198"/>
      <c r="BV110" s="164"/>
      <c r="BW110" s="198"/>
      <c r="BX110" s="164"/>
      <c r="BY110" s="198"/>
      <c r="BZ110" s="164"/>
      <c r="CA110" s="198"/>
      <c r="CB110" s="164"/>
      <c r="CC110" s="198"/>
      <c r="CD110" s="164"/>
      <c r="CE110" s="198"/>
      <c r="CF110" s="620"/>
      <c r="CG110" s="620"/>
      <c r="CH110" s="620"/>
      <c r="CI110" s="620"/>
      <c r="CJ110" s="164"/>
      <c r="CK110" s="198"/>
      <c r="CL110" s="164"/>
      <c r="CM110" s="198"/>
      <c r="CN110" s="164"/>
      <c r="CO110" s="198"/>
      <c r="CP110" s="164"/>
      <c r="CQ110" s="198"/>
      <c r="CR110" s="164"/>
      <c r="CS110" s="198"/>
      <c r="CT110" s="164"/>
      <c r="CU110" s="198"/>
      <c r="CV110" s="164"/>
      <c r="CW110" s="198"/>
      <c r="CX110" s="164"/>
      <c r="CY110" s="198"/>
      <c r="DA110" s="164"/>
      <c r="DB110" s="198"/>
      <c r="DC110" s="164"/>
      <c r="DD110" s="198"/>
      <c r="DE110" s="164"/>
      <c r="DF110" s="198"/>
      <c r="DG110" s="164"/>
      <c r="DH110" s="198"/>
      <c r="DI110" s="164"/>
      <c r="DJ110" s="198"/>
      <c r="DK110" s="164"/>
      <c r="DL110" s="198"/>
      <c r="DM110" s="164"/>
      <c r="DN110" s="198"/>
      <c r="DO110" s="164"/>
      <c r="DP110" s="198"/>
      <c r="DR110" s="164"/>
      <c r="DS110" s="198"/>
      <c r="DT110" s="164"/>
      <c r="DU110" s="198"/>
    </row>
    <row r="111" spans="1:125" s="4" customFormat="1" ht="18" customHeight="1" outlineLevel="1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1.9912438864220872</v>
      </c>
      <c r="H111" s="186"/>
      <c r="I111" s="187">
        <f>I60-(I102/I66)-I74</f>
        <v>1.868899009862814</v>
      </c>
      <c r="J111" s="186"/>
      <c r="K111" s="187">
        <f>K60-(K102/K66)-K74</f>
        <v>1.868899009862814</v>
      </c>
      <c r="L111" s="186"/>
      <c r="M111" s="187">
        <f>M60-(M102/M66)-M74</f>
        <v>1.868899009862814</v>
      </c>
      <c r="N111" s="186"/>
      <c r="O111" s="187">
        <f>O60-(O102/O66)-O74</f>
        <v>2.2652999993049336</v>
      </c>
      <c r="P111" s="186"/>
      <c r="Q111" s="187">
        <f>Q60-(Q102/Q66)-Q74</f>
        <v>2.1688950646024914</v>
      </c>
      <c r="R111" s="186"/>
      <c r="S111" s="187">
        <f>S60-(S102/S66)-S74</f>
        <v>2.1688950646024914</v>
      </c>
      <c r="T111" s="186"/>
      <c r="U111" s="187">
        <f>U60-(U102/U66)-U74</f>
        <v>2.0545404104362346</v>
      </c>
      <c r="V111" s="186"/>
      <c r="W111" s="187">
        <f>W60-(W102/W66)-W74</f>
        <v>2.0205102384940989</v>
      </c>
      <c r="X111" s="186"/>
      <c r="Y111" s="187">
        <f>Y60-(Y102/Y66)-Y74</f>
        <v>1.8019973213388774</v>
      </c>
      <c r="Z111" s="186"/>
      <c r="AA111" s="187">
        <f>AA60-(AA102/AA66)-AA74</f>
        <v>1.7093165339349321</v>
      </c>
      <c r="AB111" s="186"/>
      <c r="AC111" s="187">
        <f>AC60-(AC102/AC66)-AC74</f>
        <v>1.8321578616255225</v>
      </c>
      <c r="AD111" s="186"/>
      <c r="AE111" s="187">
        <f>AE60-(AE102/AE66)-AE74</f>
        <v>1.8891712704337174</v>
      </c>
      <c r="AF111" s="186"/>
      <c r="AG111" s="187">
        <f>AG60-(AG102/AG66)-AG74</f>
        <v>1.8745869780832063</v>
      </c>
      <c r="AH111" s="186"/>
      <c r="AI111" s="187">
        <f>AI60-(AI102/AI66)-AI74</f>
        <v>2.1481084057997046</v>
      </c>
      <c r="AJ111" s="186"/>
      <c r="AK111" s="187">
        <f>AK60-(AK102/AK66)-AK74</f>
        <v>2.2546802073941055</v>
      </c>
      <c r="AL111" s="186"/>
      <c r="AM111" s="187">
        <f>AM60-(AM102/AM66)-AM74</f>
        <v>2.31919447388676</v>
      </c>
      <c r="AN111" s="186"/>
      <c r="AO111" s="187">
        <f>AO60-(AO102/AO66)-AO74</f>
        <v>2.4045069697371444</v>
      </c>
      <c r="AP111" s="186"/>
      <c r="AQ111" s="187">
        <f>AQ60-(AQ102/AQ66)-AQ74</f>
        <v>2.3080943356457788</v>
      </c>
      <c r="AR111" s="186"/>
      <c r="AS111" s="187">
        <f>AS60-(AS102/AS66)-AS74</f>
        <v>2.2693696693000245</v>
      </c>
      <c r="AT111" s="186"/>
      <c r="AU111" s="187">
        <f>AU60-(AU102/AU66)-AU74</f>
        <v>2.4030876431071113</v>
      </c>
      <c r="AV111" s="186"/>
      <c r="AW111" s="187">
        <f>AW60-(AW102/AW66)-AW74</f>
        <v>2.1764530716517259</v>
      </c>
      <c r="AX111" s="186"/>
      <c r="AY111" s="187">
        <f>AY60-(AY102/AY66)-AY74</f>
        <v>2.1547416366331387</v>
      </c>
      <c r="AZ111" s="186"/>
      <c r="BA111" s="187">
        <f>BA60-(BA102/BA66)-BA74</f>
        <v>2.2844526594683487</v>
      </c>
      <c r="BB111" s="186"/>
      <c r="BC111" s="187">
        <f>BC60-(BC102/BC66)-BC74</f>
        <v>2.3580031754402864</v>
      </c>
      <c r="BD111" s="186"/>
      <c r="BE111" s="187">
        <f>BE60-(BE102/BE66)-BE74</f>
        <v>1.5095523415977965</v>
      </c>
      <c r="BF111" s="186"/>
      <c r="BG111" s="187">
        <f>BG60-(BG102/BG66)-BG74</f>
        <v>1.5095523415977965</v>
      </c>
      <c r="BH111" s="186"/>
      <c r="BI111" s="187">
        <f>BI60-(BI102/BI66)-BI74</f>
        <v>1.9125370093122993</v>
      </c>
      <c r="BJ111" s="186"/>
      <c r="BK111" s="187">
        <f>BK60-(BK102/BK66)-BK74</f>
        <v>1.7329753857926278</v>
      </c>
      <c r="BL111" s="186"/>
      <c r="BM111" s="187">
        <f>BM60-(BM102/BM66)-BM74</f>
        <v>1.8512854030501087</v>
      </c>
      <c r="BN111" s="186"/>
      <c r="BO111" s="187">
        <f>BO60-(BO102/BO66)-BO74</f>
        <v>1.8194451701188026</v>
      </c>
      <c r="BP111" s="186"/>
      <c r="BQ111" s="187">
        <f>BQ60-(BQ102/BQ66)-BQ74</f>
        <v>2.0336354147479576</v>
      </c>
      <c r="BR111" s="186"/>
      <c r="BS111" s="187">
        <f>BS60-(BS102/BS66)-BS74</f>
        <v>1.9839547466797827</v>
      </c>
      <c r="BT111" s="186"/>
      <c r="BU111" s="187">
        <f>BU60-(BU102/BU66)-BU74</f>
        <v>1.84672261539425</v>
      </c>
      <c r="BV111" s="186"/>
      <c r="BW111" s="187">
        <f>BW60-(BW102/BW66)-BW74</f>
        <v>1.6059533250991347</v>
      </c>
      <c r="BX111" s="186"/>
      <c r="BY111" s="187">
        <f>BY60-(BY102/BY66)-BY74</f>
        <v>1.6713695090439273</v>
      </c>
      <c r="BZ111" s="186"/>
      <c r="CA111" s="187">
        <f>CA60-(CA102/CA66)-CA74</f>
        <v>1.8724294501870751</v>
      </c>
      <c r="CB111" s="186"/>
      <c r="CC111" s="187">
        <f>CC60-(CC102/CC66)-CC74</f>
        <v>1.9506586526421232</v>
      </c>
      <c r="CD111" s="186"/>
      <c r="CE111" s="187">
        <f>CE60-(CE102/CE66)-CE74</f>
        <v>1.7376966287039872</v>
      </c>
      <c r="CF111" s="620"/>
      <c r="CG111" s="620"/>
      <c r="CH111" s="620"/>
      <c r="CI111" s="620"/>
      <c r="CJ111" s="186"/>
      <c r="CK111" s="187">
        <f>CK60-(CK102/CK66)-CK74</f>
        <v>2.1408117281727894</v>
      </c>
      <c r="CL111" s="186"/>
      <c r="CM111" s="187">
        <f>CM60-(CM102/CM66)-CM74</f>
        <v>1.7885271907771925</v>
      </c>
      <c r="CN111" s="186"/>
      <c r="CO111" s="187">
        <f>CO60-(CO102/CO66)-CO74</f>
        <v>2.03986136708349</v>
      </c>
      <c r="CP111" s="186"/>
      <c r="CQ111" s="187">
        <f>CQ60-(CQ102/CQ66)-CQ74</f>
        <v>2.1228856749311298</v>
      </c>
      <c r="CR111" s="186"/>
      <c r="CS111" s="187">
        <f>CS60-(CS102/CS66)-CS74</f>
        <v>1.9854700042659443</v>
      </c>
      <c r="CT111" s="186"/>
      <c r="CU111" s="187">
        <f>CU60-(CU102/CU66)-CU74</f>
        <v>1.9373000893455443</v>
      </c>
      <c r="CV111" s="186"/>
      <c r="CW111" s="187">
        <f>CW60-(CW102/CW66)-CW74</f>
        <v>2.4623227567886659</v>
      </c>
      <c r="CX111" s="186"/>
      <c r="CY111" s="187">
        <f>CY60-(CY102/CY66)-CY74</f>
        <v>2.2220866219008273</v>
      </c>
      <c r="DA111" s="186"/>
      <c r="DB111" s="187">
        <f>DB60-(DB102/DB66)-DB74</f>
        <v>2.426219008264463</v>
      </c>
      <c r="DC111" s="186"/>
      <c r="DD111" s="187">
        <f>DD60-(DD102/DD66)-DD74</f>
        <v>2.4299999999999993</v>
      </c>
      <c r="DE111" s="186"/>
      <c r="DF111" s="187">
        <f>DF60-(DF102/DF66)-DF74</f>
        <v>2.20672950767467</v>
      </c>
      <c r="DG111" s="186"/>
      <c r="DH111" s="187">
        <f>DH60-(DH102/DH66)-DH74</f>
        <v>2.0543629639076642</v>
      </c>
      <c r="DI111" s="186"/>
      <c r="DJ111" s="187">
        <f>DJ60-(DJ102/DJ66)-DJ74</f>
        <v>2.0483435964421219</v>
      </c>
      <c r="DK111" s="186"/>
      <c r="DL111" s="187">
        <f>DL60-(DL102/DL66)-DL74</f>
        <v>2.2080076134340265</v>
      </c>
      <c r="DM111" s="186"/>
      <c r="DN111" s="187">
        <f>DN60-(DN102/DN66)-DN74</f>
        <v>2.077842451034567</v>
      </c>
      <c r="DO111" s="186"/>
      <c r="DP111" s="187">
        <f>DP60-(DP102/DP66)-DP74</f>
        <v>2.0694008861877671</v>
      </c>
      <c r="DR111" s="186"/>
      <c r="DS111" s="187">
        <f>DS60-(DS102/DS66)-DS74</f>
        <v>1.8858064516129027</v>
      </c>
      <c r="DT111" s="186"/>
      <c r="DU111" s="187">
        <f>DU60-(DU102/DU66)-DU74</f>
        <v>1.6380645161290319</v>
      </c>
    </row>
    <row r="112" spans="1:125" s="4" customFormat="1" ht="18" customHeight="1" outlineLevel="1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0.36604582058881474</v>
      </c>
      <c r="H112" s="192"/>
      <c r="I112" s="193">
        <f>I111/I67</f>
        <v>0.35242324460818653</v>
      </c>
      <c r="J112" s="192"/>
      <c r="K112" s="193">
        <f>K111/K67</f>
        <v>0.35242324460818653</v>
      </c>
      <c r="L112" s="192"/>
      <c r="M112" s="193">
        <f>M111/M67</f>
        <v>0.35242324460818653</v>
      </c>
      <c r="N112" s="192"/>
      <c r="O112" s="193">
        <f>O111/O67</f>
        <v>0.39646596299417575</v>
      </c>
      <c r="P112" s="192"/>
      <c r="Q112" s="193">
        <f>Q111/Q67</f>
        <v>0.37785628303179292</v>
      </c>
      <c r="R112" s="192"/>
      <c r="S112" s="193">
        <f>S111/S67</f>
        <v>0.37785628303179292</v>
      </c>
      <c r="T112" s="192"/>
      <c r="U112" s="193">
        <f>U111/U67</f>
        <v>0.35793386941397815</v>
      </c>
      <c r="V112" s="192"/>
      <c r="W112" s="193">
        <f>W111/W67</f>
        <v>0.35200526803033083</v>
      </c>
      <c r="X112" s="192"/>
      <c r="Y112" s="193">
        <f>Y111/Y67</f>
        <v>0.31393681556426434</v>
      </c>
      <c r="Z112" s="192"/>
      <c r="AA112" s="193">
        <f>AA111/AA67</f>
        <v>0.29779033692246204</v>
      </c>
      <c r="AB112" s="192"/>
      <c r="AC112" s="193">
        <f>AC111/AC67</f>
        <v>0.31919126509155443</v>
      </c>
      <c r="AD112" s="192"/>
      <c r="AE112" s="193">
        <f>AE111/AE67</f>
        <v>0.32912391470970687</v>
      </c>
      <c r="AF112" s="192"/>
      <c r="AG112" s="193">
        <f>AG111/AG67</f>
        <v>0.32658309722703943</v>
      </c>
      <c r="AH112" s="192"/>
      <c r="AI112" s="193">
        <f>AI111/AI67</f>
        <v>0.37423491390238756</v>
      </c>
      <c r="AJ112" s="192"/>
      <c r="AK112" s="193">
        <f>AK111/AK67</f>
        <v>0.39280142985960026</v>
      </c>
      <c r="AL112" s="192"/>
      <c r="AM112" s="193">
        <f>AM111/AM67</f>
        <v>0.40404084910919164</v>
      </c>
      <c r="AN112" s="192"/>
      <c r="AO112" s="193">
        <f>AO111/AO67</f>
        <v>0.41890365326431084</v>
      </c>
      <c r="AP112" s="192"/>
      <c r="AQ112" s="193">
        <f>AQ111/AQ67</f>
        <v>0.40210702711598934</v>
      </c>
      <c r="AR112" s="192"/>
      <c r="AS112" s="193">
        <f>AS111/AS67</f>
        <v>0.39536056956446419</v>
      </c>
      <c r="AT112" s="192"/>
      <c r="AU112" s="193">
        <f>AU111/AU67</f>
        <v>0.41865638381656989</v>
      </c>
      <c r="AV112" s="192"/>
      <c r="AW112" s="193">
        <f>AW111/AW67</f>
        <v>0.37917300899855849</v>
      </c>
      <c r="AX112" s="192"/>
      <c r="AY112" s="193">
        <f>AY111/AY67</f>
        <v>0.37539052903016351</v>
      </c>
      <c r="AZ112" s="192"/>
      <c r="BA112" s="193">
        <f>BA111/BA67</f>
        <v>0.39798826820006072</v>
      </c>
      <c r="BB112" s="192"/>
      <c r="BC112" s="193">
        <f>BC111/BC67</f>
        <v>0.4108019469408164</v>
      </c>
      <c r="BD112" s="192"/>
      <c r="BE112" s="193">
        <f>BE111/BE67</f>
        <v>0.26298821282191576</v>
      </c>
      <c r="BF112" s="192"/>
      <c r="BG112" s="193">
        <f>BG111/BG67</f>
        <v>0.26298821282191576</v>
      </c>
      <c r="BH112" s="192"/>
      <c r="BI112" s="193">
        <f>BI111/BI67</f>
        <v>0.32748921392333891</v>
      </c>
      <c r="BJ112" s="192"/>
      <c r="BK112" s="193">
        <f>BK111/BK67</f>
        <v>0.2967423605809294</v>
      </c>
      <c r="BL112" s="192"/>
      <c r="BM112" s="193">
        <f>BM111/BM67</f>
        <v>0.31700092517981315</v>
      </c>
      <c r="BN112" s="192"/>
      <c r="BO112" s="193">
        <f>BO111/BO67</f>
        <v>0.31154883049979498</v>
      </c>
      <c r="BP112" s="192"/>
      <c r="BQ112" s="193">
        <f>BQ111/BQ67</f>
        <v>0.34822524225136259</v>
      </c>
      <c r="BR112" s="192"/>
      <c r="BS112" s="193">
        <f>BS111/BS67</f>
        <v>0.33971827854105868</v>
      </c>
      <c r="BT112" s="192"/>
      <c r="BU112" s="193">
        <f>BU111/BU67</f>
        <v>0.31621962592367298</v>
      </c>
      <c r="BV112" s="192"/>
      <c r="BW112" s="193">
        <f>BW111/BW67</f>
        <v>0.27499200772245458</v>
      </c>
      <c r="BX112" s="192"/>
      <c r="BY112" s="193">
        <f>BY111/BY67</f>
        <v>0.28619340908286428</v>
      </c>
      <c r="BZ112" s="192"/>
      <c r="CA112" s="193">
        <f>CA111/CA67</f>
        <v>0.32062148119641698</v>
      </c>
      <c r="CB112" s="192"/>
      <c r="CC112" s="193">
        <f>CC111/CC67</f>
        <v>0.33401689257570605</v>
      </c>
      <c r="CD112" s="192"/>
      <c r="CE112" s="193">
        <f>CE111/CE67</f>
        <v>0.29755079258629918</v>
      </c>
      <c r="CF112" s="620"/>
      <c r="CG112" s="620"/>
      <c r="CH112" s="620"/>
      <c r="CI112" s="620"/>
      <c r="CJ112" s="192"/>
      <c r="CK112" s="193">
        <f>CK111/CK67</f>
        <v>0.37375227117138315</v>
      </c>
      <c r="CL112" s="192"/>
      <c r="CM112" s="193">
        <f>CM111/CM67</f>
        <v>0.31159010292285583</v>
      </c>
      <c r="CN112" s="192"/>
      <c r="CO112" s="193">
        <f>CO111/CO67</f>
        <v>0.35537654478806446</v>
      </c>
      <c r="CP112" s="192"/>
      <c r="CQ112" s="193">
        <f>CQ111/CQ67</f>
        <v>0.3698407099183153</v>
      </c>
      <c r="CR112" s="192"/>
      <c r="CS112" s="193">
        <f>CS111/CS67</f>
        <v>0.34631201369509262</v>
      </c>
      <c r="CT112" s="192"/>
      <c r="CU112" s="193">
        <f>CU111/CU67</f>
        <v>0.33750872636681956</v>
      </c>
      <c r="CV112" s="192"/>
      <c r="CW112" s="193">
        <f>CW111/CW67</f>
        <v>0.39397164108618654</v>
      </c>
      <c r="CX112" s="192"/>
      <c r="CY112" s="193">
        <f>CY111/CY67</f>
        <v>0.38712310486077128</v>
      </c>
      <c r="DA112" s="192"/>
      <c r="DB112" s="193">
        <f>DB111/DB67</f>
        <v>0.42268623837359981</v>
      </c>
      <c r="DC112" s="192"/>
      <c r="DD112" s="193">
        <f>DD111/DD67</f>
        <v>0.41609589041095879</v>
      </c>
      <c r="DE112" s="192"/>
      <c r="DF112" s="193">
        <f>DF111/DF67</f>
        <v>0.37786464172511475</v>
      </c>
      <c r="DG112" s="192"/>
      <c r="DH112" s="193">
        <f>DH111/DH67</f>
        <v>0.3517744801211754</v>
      </c>
      <c r="DI112" s="192"/>
      <c r="DJ112" s="193">
        <f>DJ111/DJ67</f>
        <v>0.35074376651406197</v>
      </c>
      <c r="DK112" s="192"/>
      <c r="DL112" s="193">
        <f>DL111/DL67</f>
        <v>0.37808349545103193</v>
      </c>
      <c r="DM112" s="192"/>
      <c r="DN112" s="193">
        <f>DN111/DN67</f>
        <v>0.35579494024564506</v>
      </c>
      <c r="DO112" s="192"/>
      <c r="DP112" s="193">
        <f>DP111/DP67</f>
        <v>0.3543494668129738</v>
      </c>
      <c r="DR112" s="192"/>
      <c r="DS112" s="193">
        <f>DS111/DS67</f>
        <v>0.32291206363234637</v>
      </c>
      <c r="DT112" s="192"/>
      <c r="DU112" s="193">
        <f>DU111/DU67</f>
        <v>0.28049049933716302</v>
      </c>
    </row>
    <row r="113" spans="1:125" s="4" customFormat="1" ht="18" customHeight="1" outlineLevel="1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173"/>
      <c r="BY113" s="165"/>
      <c r="BZ113" s="173"/>
      <c r="CA113" s="165"/>
      <c r="CB113" s="173"/>
      <c r="CC113" s="165"/>
      <c r="CD113" s="173"/>
      <c r="CE113" s="165"/>
      <c r="CF113" s="620"/>
      <c r="CG113" s="620"/>
      <c r="CH113" s="620"/>
      <c r="CI113" s="620"/>
      <c r="CJ113" s="173"/>
      <c r="CK113" s="165"/>
      <c r="CL113" s="173"/>
      <c r="CM113" s="165"/>
      <c r="CN113" s="173"/>
      <c r="CO113" s="165"/>
      <c r="CP113" s="173"/>
      <c r="CQ113" s="165"/>
      <c r="CR113" s="173"/>
      <c r="CS113" s="165"/>
      <c r="CT113" s="173"/>
      <c r="CU113" s="165"/>
      <c r="CV113" s="173"/>
      <c r="CW113" s="165"/>
      <c r="CX113" s="173"/>
      <c r="CY113" s="165"/>
      <c r="DA113" s="173"/>
      <c r="DB113" s="165"/>
      <c r="DC113" s="173"/>
      <c r="DD113" s="165"/>
      <c r="DE113" s="173"/>
      <c r="DF113" s="165"/>
      <c r="DG113" s="173"/>
      <c r="DH113" s="165"/>
      <c r="DI113" s="173"/>
      <c r="DJ113" s="165"/>
      <c r="DK113" s="173"/>
      <c r="DL113" s="165"/>
      <c r="DM113" s="173"/>
      <c r="DN113" s="165"/>
      <c r="DO113" s="173"/>
      <c r="DP113" s="165"/>
      <c r="DR113" s="173"/>
      <c r="DS113" s="165"/>
      <c r="DT113" s="173"/>
      <c r="DU113" s="165"/>
    </row>
    <row r="114" spans="1:125" s="65" customFormat="1" ht="18" customHeight="1" outlineLevel="2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456.84693232131553</v>
      </c>
      <c r="H114" s="202" t="s">
        <v>111</v>
      </c>
      <c r="I114" s="203">
        <f>I116/I79</f>
        <v>456.84693232131553</v>
      </c>
      <c r="J114" s="202" t="s">
        <v>111</v>
      </c>
      <c r="K114" s="203">
        <f>K116/K79</f>
        <v>456.84693232131553</v>
      </c>
      <c r="L114" s="202" t="s">
        <v>111</v>
      </c>
      <c r="M114" s="203">
        <f>M116/M79</f>
        <v>456.84693232131553</v>
      </c>
      <c r="N114" s="202" t="s">
        <v>111</v>
      </c>
      <c r="O114" s="203">
        <f>O116/O79</f>
        <v>454.87996370995876</v>
      </c>
      <c r="P114" s="202" t="s">
        <v>111</v>
      </c>
      <c r="Q114" s="203">
        <f>Q116/Q79</f>
        <v>457.42253521126759</v>
      </c>
      <c r="R114" s="202" t="s">
        <v>111</v>
      </c>
      <c r="S114" s="203">
        <f>S116/S79</f>
        <v>457.42253521126759</v>
      </c>
      <c r="T114" s="202" t="s">
        <v>111</v>
      </c>
      <c r="U114" s="203">
        <f>U116/U79</f>
        <v>454.41196962307527</v>
      </c>
      <c r="V114" s="202" t="s">
        <v>111</v>
      </c>
      <c r="W114" s="203">
        <f>W116/W79</f>
        <v>454.52882135638112</v>
      </c>
      <c r="X114" s="202" t="s">
        <v>111</v>
      </c>
      <c r="Y114" s="203">
        <f>Y116/Y79</f>
        <v>454.13969513468356</v>
      </c>
      <c r="Z114" s="202" t="s">
        <v>111</v>
      </c>
      <c r="AA114" s="203">
        <f>AA116/AA79</f>
        <v>449.36546486967222</v>
      </c>
      <c r="AB114" s="202" t="s">
        <v>111</v>
      </c>
      <c r="AC114" s="203">
        <f>AC116/AC79</f>
        <v>448.31833980781028</v>
      </c>
      <c r="AD114" s="202" t="s">
        <v>111</v>
      </c>
      <c r="AE114" s="203">
        <f>AE116/AE79</f>
        <v>442.73482876026429</v>
      </c>
      <c r="AF114" s="202" t="s">
        <v>111</v>
      </c>
      <c r="AG114" s="203">
        <f>AG116/AG79</f>
        <v>445.00605938194303</v>
      </c>
      <c r="AH114" s="202" t="s">
        <v>111</v>
      </c>
      <c r="AI114" s="203">
        <f>AI116/AI79</f>
        <v>441.70213473432193</v>
      </c>
      <c r="AJ114" s="202" t="s">
        <v>111</v>
      </c>
      <c r="AK114" s="203">
        <f>AK116/AK79</f>
        <v>435.11155791931503</v>
      </c>
      <c r="AL114" s="202" t="s">
        <v>111</v>
      </c>
      <c r="AM114" s="203">
        <f>AM116/AM79</f>
        <v>431.33748801534034</v>
      </c>
      <c r="AN114" s="202" t="s">
        <v>111</v>
      </c>
      <c r="AO114" s="203">
        <f>AO116/AO79</f>
        <v>431.69845740254749</v>
      </c>
      <c r="AP114" s="202" t="s">
        <v>111</v>
      </c>
      <c r="AQ114" s="203">
        <f>AQ116/AQ79</f>
        <v>436.60469667318984</v>
      </c>
      <c r="AR114" s="202" t="s">
        <v>111</v>
      </c>
      <c r="AS114" s="203">
        <f>AS116/AS79</f>
        <v>440.69497813700804</v>
      </c>
      <c r="AT114" s="202" t="s">
        <v>111</v>
      </c>
      <c r="AU114" s="203">
        <f>AU116/AU79</f>
        <v>437.54664484451717</v>
      </c>
      <c r="AV114" s="202" t="s">
        <v>111</v>
      </c>
      <c r="AW114" s="203">
        <f>AW116/AW79</f>
        <v>444.98788205197246</v>
      </c>
      <c r="AX114" s="202" t="s">
        <v>111</v>
      </c>
      <c r="AY114" s="203">
        <f>AY116/AY79</f>
        <v>446.34276916581581</v>
      </c>
      <c r="AZ114" s="202" t="s">
        <v>111</v>
      </c>
      <c r="BA114" s="203">
        <f>BA116/BA79</f>
        <v>443.43373493975906</v>
      </c>
      <c r="BB114" s="202" t="s">
        <v>111</v>
      </c>
      <c r="BC114" s="203">
        <f>BC116/BC79</f>
        <v>443.43373493975906</v>
      </c>
      <c r="BD114" s="202" t="s">
        <v>111</v>
      </c>
      <c r="BE114" s="203">
        <f>BE116/BE79</f>
        <v>442.35999999999996</v>
      </c>
      <c r="BF114" s="202" t="s">
        <v>111</v>
      </c>
      <c r="BG114" s="203">
        <f>BG116/BG79</f>
        <v>442.35999999999996</v>
      </c>
      <c r="BH114" s="202" t="s">
        <v>111</v>
      </c>
      <c r="BI114" s="203">
        <f>BI116/BI79</f>
        <v>433.40206185567013</v>
      </c>
      <c r="BJ114" s="202" t="s">
        <v>111</v>
      </c>
      <c r="BK114" s="203">
        <f>BK116/BK79</f>
        <v>430.73268715725027</v>
      </c>
      <c r="BL114" s="202" t="s">
        <v>111</v>
      </c>
      <c r="BM114" s="203">
        <f>BM116/BM79</f>
        <v>424.63585434173672</v>
      </c>
      <c r="BN114" s="202" t="s">
        <v>111</v>
      </c>
      <c r="BO114" s="203">
        <f>BO116/BO79</f>
        <v>424.44952416495613</v>
      </c>
      <c r="BP114" s="202" t="s">
        <v>111</v>
      </c>
      <c r="BQ114" s="203">
        <f>BQ116/BQ79</f>
        <v>421.23319211641183</v>
      </c>
      <c r="BR114" s="202" t="s">
        <v>111</v>
      </c>
      <c r="BS114" s="203">
        <f>BS116/BS79</f>
        <v>421.58140678799805</v>
      </c>
      <c r="BT114" s="202" t="s">
        <v>111</v>
      </c>
      <c r="BU114" s="203">
        <f>BU116/BU79</f>
        <v>426.16803407026987</v>
      </c>
      <c r="BV114" s="202" t="s">
        <v>111</v>
      </c>
      <c r="BW114" s="203">
        <f>BW116/BW79</f>
        <v>435.70337385425466</v>
      </c>
      <c r="BX114" s="202" t="s">
        <v>111</v>
      </c>
      <c r="BY114" s="203">
        <f>BY116/BY79</f>
        <v>434.06976744186039</v>
      </c>
      <c r="BZ114" s="202" t="s">
        <v>111</v>
      </c>
      <c r="CA114" s="203">
        <f>CA116/CA79</f>
        <v>429.32177056249606</v>
      </c>
      <c r="CB114" s="202" t="s">
        <v>111</v>
      </c>
      <c r="CC114" s="203">
        <f>CC116/CC79</f>
        <v>443.62008514901078</v>
      </c>
      <c r="CD114" s="202" t="s">
        <v>111</v>
      </c>
      <c r="CE114" s="203">
        <f>CE116/CE79</f>
        <v>430.73268715725027</v>
      </c>
      <c r="CF114" s="620"/>
      <c r="CG114" s="620"/>
      <c r="CH114" s="620"/>
      <c r="CI114" s="620"/>
      <c r="CJ114" s="202" t="s">
        <v>111</v>
      </c>
      <c r="CK114" s="203">
        <f>CK116/CK79</f>
        <v>454.66467668449286</v>
      </c>
      <c r="CL114" s="202" t="s">
        <v>111</v>
      </c>
      <c r="CM114" s="203">
        <f>CM116/CM79</f>
        <v>450.42681881983492</v>
      </c>
      <c r="CN114" s="202" t="s">
        <v>111</v>
      </c>
      <c r="CO114" s="203">
        <f>CO116/CO79</f>
        <v>442.55022835344755</v>
      </c>
      <c r="CP114" s="202" t="s">
        <v>111</v>
      </c>
      <c r="CQ114" s="203">
        <f>CQ116/CQ79</f>
        <v>442.35999999999996</v>
      </c>
      <c r="CR114" s="202" t="s">
        <v>111</v>
      </c>
      <c r="CS114" s="203">
        <f>CS116/CS79</f>
        <v>452.79652947609617</v>
      </c>
      <c r="CT114" s="202" t="s">
        <v>111</v>
      </c>
      <c r="CU114" s="203">
        <f>CU116/CU79</f>
        <v>445.97297297297297</v>
      </c>
      <c r="CV114" s="202" t="s">
        <v>111</v>
      </c>
      <c r="CW114" s="203">
        <f>CW116/CW79</f>
        <v>435.41558441558436</v>
      </c>
      <c r="CX114" s="202" t="s">
        <v>111</v>
      </c>
      <c r="CY114" s="203">
        <f>CY116/CY79</f>
        <v>435.41558441558436</v>
      </c>
      <c r="DA114" s="202" t="s">
        <v>111</v>
      </c>
      <c r="DB114" s="203">
        <f>DB116/DB79</f>
        <v>430.22815503086611</v>
      </c>
      <c r="DC114" s="202" t="s">
        <v>111</v>
      </c>
      <c r="DD114" s="203">
        <f>DD116/DD79</f>
        <v>430.61858627063549</v>
      </c>
      <c r="DE114" s="202" t="s">
        <v>111</v>
      </c>
      <c r="DF114" s="203">
        <f>DF116/DF79</f>
        <v>430.42322145086297</v>
      </c>
      <c r="DG114" s="202" t="s">
        <v>111</v>
      </c>
      <c r="DH114" s="203">
        <f>DH116/DH79</f>
        <v>430.73268715725027</v>
      </c>
      <c r="DI114" s="202" t="s">
        <v>111</v>
      </c>
      <c r="DJ114" s="203">
        <f>DJ116/DJ79</f>
        <v>424.44952416495613</v>
      </c>
      <c r="DK114" s="202" t="s">
        <v>111</v>
      </c>
      <c r="DL114" s="203">
        <f>DL116/DL79</f>
        <v>421.23319211641183</v>
      </c>
      <c r="DM114" s="202" t="s">
        <v>111</v>
      </c>
      <c r="DN114" s="203">
        <f>DN116/DN79</f>
        <v>421.23319211641183</v>
      </c>
      <c r="DO114" s="202" t="s">
        <v>111</v>
      </c>
      <c r="DP114" s="203">
        <f>DP116/DP79</f>
        <v>430.73268715725027</v>
      </c>
      <c r="DR114" s="202" t="s">
        <v>111</v>
      </c>
      <c r="DS114" s="203">
        <f>DS116/DS79</f>
        <v>434.35483870967744</v>
      </c>
      <c r="DT114" s="202" t="s">
        <v>111</v>
      </c>
      <c r="DU114" s="203">
        <f>DU116/DU79</f>
        <v>433.73548387096776</v>
      </c>
    </row>
    <row r="115" spans="1:125" s="65" customFormat="1" ht="18" customHeight="1" outlineLevel="2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0.11798732756232323</v>
      </c>
      <c r="H115" s="202" t="s">
        <v>111</v>
      </c>
      <c r="I115" s="203">
        <f>I114/I66</f>
        <v>0.11798732756232323</v>
      </c>
      <c r="J115" s="202" t="s">
        <v>111</v>
      </c>
      <c r="K115" s="203">
        <f>K114/K66</f>
        <v>0.11798732756232323</v>
      </c>
      <c r="L115" s="202" t="s">
        <v>111</v>
      </c>
      <c r="M115" s="203">
        <f>M114/M66</f>
        <v>0.11798732756232323</v>
      </c>
      <c r="N115" s="202" t="s">
        <v>111</v>
      </c>
      <c r="O115" s="203">
        <f>O114/O66</f>
        <v>0.11747932947054721</v>
      </c>
      <c r="P115" s="202" t="s">
        <v>111</v>
      </c>
      <c r="Q115" s="203">
        <f>Q114/Q66</f>
        <v>0.11813598533348853</v>
      </c>
      <c r="R115" s="202" t="s">
        <v>111</v>
      </c>
      <c r="S115" s="203">
        <f>S114/S66</f>
        <v>0.11813598533348853</v>
      </c>
      <c r="T115" s="202" t="s">
        <v>111</v>
      </c>
      <c r="U115" s="203">
        <f>U114/U66</f>
        <v>0.11735846322910001</v>
      </c>
      <c r="V115" s="202" t="s">
        <v>111</v>
      </c>
      <c r="W115" s="203">
        <f>W114/W66</f>
        <v>0.11738864187923066</v>
      </c>
      <c r="X115" s="202" t="s">
        <v>111</v>
      </c>
      <c r="Y115" s="203">
        <f>Y114/Y66</f>
        <v>0.11728814440461868</v>
      </c>
      <c r="Z115" s="202" t="s">
        <v>111</v>
      </c>
      <c r="AA115" s="203">
        <f>AA114/AA66</f>
        <v>0.11605513038989469</v>
      </c>
      <c r="AB115" s="202" t="s">
        <v>111</v>
      </c>
      <c r="AC115" s="203">
        <f>AC114/AC66</f>
        <v>0.11578469519829811</v>
      </c>
      <c r="AD115" s="202" t="s">
        <v>111</v>
      </c>
      <c r="AE115" s="203">
        <f>AE114/AE66</f>
        <v>0.1143426727170104</v>
      </c>
      <c r="AF115" s="202" t="s">
        <v>111</v>
      </c>
      <c r="AG115" s="203">
        <f>AG114/AG66</f>
        <v>0.1149292508734357</v>
      </c>
      <c r="AH115" s="202" t="s">
        <v>111</v>
      </c>
      <c r="AI115" s="203">
        <f>AI114/AI66</f>
        <v>0.11407596454915339</v>
      </c>
      <c r="AJ115" s="202" t="s">
        <v>111</v>
      </c>
      <c r="AK115" s="203">
        <f>AK114/AK66</f>
        <v>0.11237385276841814</v>
      </c>
      <c r="AL115" s="202" t="s">
        <v>111</v>
      </c>
      <c r="AM115" s="203">
        <f>AM114/AM66</f>
        <v>0.11139914463206103</v>
      </c>
      <c r="AN115" s="202" t="s">
        <v>111</v>
      </c>
      <c r="AO115" s="203">
        <f>AO114/AO66</f>
        <v>0.11149237019693892</v>
      </c>
      <c r="AP115" s="202" t="s">
        <v>111</v>
      </c>
      <c r="AQ115" s="203">
        <f>AQ114/AQ66</f>
        <v>0.11275947744658828</v>
      </c>
      <c r="AR115" s="202" t="s">
        <v>111</v>
      </c>
      <c r="AS115" s="203">
        <f>AS114/AS66</f>
        <v>0.11381585179158266</v>
      </c>
      <c r="AT115" s="202" t="s">
        <v>111</v>
      </c>
      <c r="AU115" s="203">
        <f>AU114/AU66</f>
        <v>0.11300274918505092</v>
      </c>
      <c r="AV115" s="202" t="s">
        <v>111</v>
      </c>
      <c r="AW115" s="203">
        <f>AW114/AW66</f>
        <v>0.11492455631507553</v>
      </c>
      <c r="AX115" s="202" t="s">
        <v>111</v>
      </c>
      <c r="AY115" s="203">
        <f>AY114/AY66</f>
        <v>0.11527447550770037</v>
      </c>
      <c r="AZ115" s="202" t="s">
        <v>111</v>
      </c>
      <c r="BA115" s="203">
        <f>BA114/BA66</f>
        <v>0.11452317534601215</v>
      </c>
      <c r="BB115" s="202" t="s">
        <v>111</v>
      </c>
      <c r="BC115" s="203">
        <f>BC114/BC66</f>
        <v>0.11452317534601215</v>
      </c>
      <c r="BD115" s="202" t="s">
        <v>111</v>
      </c>
      <c r="BE115" s="203">
        <f>BE114/BE66</f>
        <v>0.11424586776859504</v>
      </c>
      <c r="BF115" s="202" t="s">
        <v>111</v>
      </c>
      <c r="BG115" s="203">
        <f>BG114/BG66</f>
        <v>0.11424586776859504</v>
      </c>
      <c r="BH115" s="202" t="s">
        <v>111</v>
      </c>
      <c r="BI115" s="203">
        <f>BI114/BI66</f>
        <v>0.11193235068586521</v>
      </c>
      <c r="BJ115" s="202" t="s">
        <v>111</v>
      </c>
      <c r="BK115" s="203">
        <f>BK114/BK66</f>
        <v>0.11124294606333943</v>
      </c>
      <c r="BL115" s="202" t="s">
        <v>111</v>
      </c>
      <c r="BM115" s="203">
        <f>BM114/BM66</f>
        <v>0.10966835081139895</v>
      </c>
      <c r="BN115" s="202" t="s">
        <v>111</v>
      </c>
      <c r="BO115" s="203">
        <f>BO114/BO66</f>
        <v>0.10962022834838743</v>
      </c>
      <c r="BP115" s="202" t="s">
        <v>111</v>
      </c>
      <c r="BQ115" s="203">
        <f>BQ114/BQ66</f>
        <v>0.10878956407965182</v>
      </c>
      <c r="BR115" s="202" t="s">
        <v>111</v>
      </c>
      <c r="BS115" s="203">
        <f>BS114/BS66</f>
        <v>0.10887949555475156</v>
      </c>
      <c r="BT115" s="202" t="s">
        <v>111</v>
      </c>
      <c r="BU115" s="203">
        <f>BU114/BU66</f>
        <v>0.1100640583859168</v>
      </c>
      <c r="BV115" s="202" t="s">
        <v>111</v>
      </c>
      <c r="BW115" s="203">
        <f>BW114/BW66</f>
        <v>0.11252669779293767</v>
      </c>
      <c r="BX115" s="202" t="s">
        <v>111</v>
      </c>
      <c r="BY115" s="203">
        <f>BY114/BY66</f>
        <v>0.11210479531039783</v>
      </c>
      <c r="BZ115" s="202" t="s">
        <v>111</v>
      </c>
      <c r="CA115" s="203">
        <f>CA114/CA66</f>
        <v>0.11087855644692564</v>
      </c>
      <c r="CB115" s="202" t="s">
        <v>111</v>
      </c>
      <c r="CC115" s="203">
        <f>CC114/CC66</f>
        <v>0.11457130298269906</v>
      </c>
      <c r="CD115" s="202" t="s">
        <v>111</v>
      </c>
      <c r="CE115" s="203">
        <f>CE114/CE66</f>
        <v>0.11124294606333943</v>
      </c>
      <c r="CF115" s="620"/>
      <c r="CG115" s="620"/>
      <c r="CH115" s="620"/>
      <c r="CI115" s="620"/>
      <c r="CJ115" s="202" t="s">
        <v>111</v>
      </c>
      <c r="CK115" s="203">
        <f>CK114/CK66</f>
        <v>0.1174237284825653</v>
      </c>
      <c r="CL115" s="202" t="s">
        <v>111</v>
      </c>
      <c r="CM115" s="203">
        <f>CM114/CM66</f>
        <v>0.11632924039768464</v>
      </c>
      <c r="CN115" s="202" t="s">
        <v>111</v>
      </c>
      <c r="CO115" s="203">
        <f>CO114/CO66</f>
        <v>0.11429499699210939</v>
      </c>
      <c r="CP115" s="202" t="s">
        <v>111</v>
      </c>
      <c r="CQ115" s="203">
        <f>CQ114/CQ66</f>
        <v>0.11424586776859504</v>
      </c>
      <c r="CR115" s="202" t="s">
        <v>111</v>
      </c>
      <c r="CS115" s="203">
        <f>CS114/CS66</f>
        <v>0.11694125244733888</v>
      </c>
      <c r="CT115" s="202" t="s">
        <v>111</v>
      </c>
      <c r="CU115" s="203">
        <f>CU114/CU66</f>
        <v>0.11517897029260665</v>
      </c>
      <c r="CV115" s="202" t="s">
        <v>111</v>
      </c>
      <c r="CW115" s="203">
        <f>CW114/CW66</f>
        <v>0.11245237200815712</v>
      </c>
      <c r="CX115" s="202" t="s">
        <v>111</v>
      </c>
      <c r="CY115" s="203">
        <f>CY114/CY66</f>
        <v>0.11245237200815712</v>
      </c>
      <c r="DA115" s="202" t="s">
        <v>111</v>
      </c>
      <c r="DB115" s="203">
        <f>DB114/DB66</f>
        <v>0.11111264334474848</v>
      </c>
      <c r="DC115" s="202" t="s">
        <v>111</v>
      </c>
      <c r="DD115" s="203">
        <f>DD114/DD66</f>
        <v>0.11121347785915173</v>
      </c>
      <c r="DE115" s="202" t="s">
        <v>111</v>
      </c>
      <c r="DF115" s="203">
        <f>DF114/DF66</f>
        <v>0.11116302206892122</v>
      </c>
      <c r="DG115" s="202" t="s">
        <v>111</v>
      </c>
      <c r="DH115" s="203">
        <f>DH114/DH66</f>
        <v>0.11124294606333943</v>
      </c>
      <c r="DI115" s="202" t="s">
        <v>111</v>
      </c>
      <c r="DJ115" s="203">
        <f>DJ114/DJ66</f>
        <v>0.10962022834838743</v>
      </c>
      <c r="DK115" s="202" t="s">
        <v>111</v>
      </c>
      <c r="DL115" s="203">
        <f>DL114/DL66</f>
        <v>0.10878956407965182</v>
      </c>
      <c r="DM115" s="202" t="s">
        <v>111</v>
      </c>
      <c r="DN115" s="203">
        <f>DN114/DN66</f>
        <v>0.10878956407965182</v>
      </c>
      <c r="DO115" s="202" t="s">
        <v>111</v>
      </c>
      <c r="DP115" s="203">
        <f>DP114/DP66</f>
        <v>0.11124294606333943</v>
      </c>
      <c r="DR115" s="202" t="s">
        <v>111</v>
      </c>
      <c r="DS115" s="203">
        <f>DS114/DS66</f>
        <v>0.10858870967741936</v>
      </c>
      <c r="DT115" s="202" t="s">
        <v>111</v>
      </c>
      <c r="DU115" s="203">
        <f>DU114/DU66</f>
        <v>0.11201846174353507</v>
      </c>
    </row>
    <row r="116" spans="1:125" s="65" customFormat="1" ht="18" customHeight="1" outlineLevel="2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6500474.9999999991</v>
      </c>
      <c r="H116" s="202" t="s">
        <v>114</v>
      </c>
      <c r="I116" s="204">
        <f>I117*I66</f>
        <v>6500474.9999999991</v>
      </c>
      <c r="J116" s="202" t="s">
        <v>114</v>
      </c>
      <c r="K116" s="204">
        <f>K117*K66</f>
        <v>6500474.9999999991</v>
      </c>
      <c r="L116" s="202" t="s">
        <v>114</v>
      </c>
      <c r="M116" s="204">
        <f>M117*M66</f>
        <v>6500474.9999999991</v>
      </c>
      <c r="N116" s="202" t="s">
        <v>114</v>
      </c>
      <c r="O116" s="204">
        <f>O117*O66</f>
        <v>6517974.9999999991</v>
      </c>
      <c r="P116" s="202" t="s">
        <v>114</v>
      </c>
      <c r="Q116" s="204">
        <f>Q117*Q66</f>
        <v>6495400</v>
      </c>
      <c r="R116" s="202" t="s">
        <v>114</v>
      </c>
      <c r="S116" s="204">
        <f>S117*S66</f>
        <v>6495400</v>
      </c>
      <c r="T116" s="202" t="s">
        <v>114</v>
      </c>
      <c r="U116" s="204">
        <f>U117*U66</f>
        <v>6522174.9999999991</v>
      </c>
      <c r="V116" s="202" t="s">
        <v>114</v>
      </c>
      <c r="W116" s="204">
        <f>W117*W66</f>
        <v>6521125</v>
      </c>
      <c r="X116" s="202" t="s">
        <v>114</v>
      </c>
      <c r="Y116" s="204">
        <f>Y117*Y66</f>
        <v>6524624.9999999991</v>
      </c>
      <c r="Z116" s="202" t="s">
        <v>114</v>
      </c>
      <c r="AA116" s="204">
        <f>AA117*AA66</f>
        <v>6568374.9999999991</v>
      </c>
      <c r="AB116" s="202" t="s">
        <v>114</v>
      </c>
      <c r="AC116" s="204">
        <f>AC117*AC66</f>
        <v>6578175</v>
      </c>
      <c r="AD116" s="202" t="s">
        <v>114</v>
      </c>
      <c r="AE116" s="204">
        <f>AE117*AE66</f>
        <v>6631724.9999999991</v>
      </c>
      <c r="AF116" s="202" t="s">
        <v>114</v>
      </c>
      <c r="AG116" s="204">
        <f>AG117*AG66</f>
        <v>6609675</v>
      </c>
      <c r="AH116" s="202" t="s">
        <v>114</v>
      </c>
      <c r="AI116" s="204">
        <f>AI117*AI66</f>
        <v>6641874.9999999991</v>
      </c>
      <c r="AJ116" s="202" t="s">
        <v>114</v>
      </c>
      <c r="AK116" s="204">
        <f>AK117*AK66</f>
        <v>6708549.9999999991</v>
      </c>
      <c r="AL116" s="202" t="s">
        <v>114</v>
      </c>
      <c r="AM116" s="204">
        <f>AM117*AM66</f>
        <v>6748275</v>
      </c>
      <c r="AN116" s="202" t="s">
        <v>114</v>
      </c>
      <c r="AO116" s="204">
        <f>AO117*AO66</f>
        <v>6744424.9999999991</v>
      </c>
      <c r="AP116" s="202" t="s">
        <v>114</v>
      </c>
      <c r="AQ116" s="204">
        <f>AQ117*AQ66</f>
        <v>6693150</v>
      </c>
      <c r="AR116" s="202" t="s">
        <v>114</v>
      </c>
      <c r="AS116" s="204">
        <f>AS117*AS66</f>
        <v>6651849.9999999991</v>
      </c>
      <c r="AT116" s="202" t="s">
        <v>114</v>
      </c>
      <c r="AU116" s="204">
        <f>AU117*AU66</f>
        <v>6683525</v>
      </c>
      <c r="AV116" s="202" t="s">
        <v>114</v>
      </c>
      <c r="AW116" s="204">
        <f>AW117*AW66</f>
        <v>6609849.9999999991</v>
      </c>
      <c r="AX116" s="202" t="s">
        <v>114</v>
      </c>
      <c r="AY116" s="204">
        <f>AY117*AY66</f>
        <v>6596870.2499999991</v>
      </c>
      <c r="AZ116" s="202" t="s">
        <v>114</v>
      </c>
      <c r="BA116" s="204">
        <f>BA117*BA66</f>
        <v>6624900</v>
      </c>
      <c r="BB116" s="202" t="s">
        <v>114</v>
      </c>
      <c r="BC116" s="204">
        <f>BC117*BC66</f>
        <v>6624900</v>
      </c>
      <c r="BD116" s="202" t="s">
        <v>114</v>
      </c>
      <c r="BE116" s="204">
        <f>BE117*BE66</f>
        <v>6635399.9999999991</v>
      </c>
      <c r="BF116" s="202" t="s">
        <v>114</v>
      </c>
      <c r="BG116" s="204">
        <f>BG117*BG66</f>
        <v>6635399.9999999991</v>
      </c>
      <c r="BH116" s="202" t="s">
        <v>114</v>
      </c>
      <c r="BI116" s="204">
        <f>BI117*BI66</f>
        <v>6726400</v>
      </c>
      <c r="BJ116" s="202" t="s">
        <v>114</v>
      </c>
      <c r="BK116" s="204">
        <f>BK117*BK66</f>
        <v>6754749.9999999991</v>
      </c>
      <c r="BL116" s="202" t="s">
        <v>114</v>
      </c>
      <c r="BM116" s="204">
        <f>BM117*BM66</f>
        <v>6821775</v>
      </c>
      <c r="BN116" s="202" t="s">
        <v>114</v>
      </c>
      <c r="BO116" s="204">
        <f>BO117*BO66</f>
        <v>6823875</v>
      </c>
      <c r="BP116" s="202" t="s">
        <v>114</v>
      </c>
      <c r="BQ116" s="204">
        <f>BQ117*BQ66</f>
        <v>6860624.9999999991</v>
      </c>
      <c r="BR116" s="202" t="s">
        <v>114</v>
      </c>
      <c r="BS116" s="204">
        <f>BS117*BS66</f>
        <v>6856600</v>
      </c>
      <c r="BT116" s="202" t="s">
        <v>114</v>
      </c>
      <c r="BU116" s="204">
        <f>BU117*BU66</f>
        <v>6804624.9999999991</v>
      </c>
      <c r="BV116" s="202" t="s">
        <v>114</v>
      </c>
      <c r="BW116" s="204">
        <f>BW117*BW66</f>
        <v>6702424.9999999991</v>
      </c>
      <c r="BX116" s="202" t="s">
        <v>114</v>
      </c>
      <c r="BY116" s="204">
        <f>BY117*BY66</f>
        <v>6719399.9999999991</v>
      </c>
      <c r="BZ116" s="202" t="s">
        <v>114</v>
      </c>
      <c r="CA116" s="204">
        <f>CA117*CA66</f>
        <v>6769975</v>
      </c>
      <c r="CB116" s="202" t="s">
        <v>114</v>
      </c>
      <c r="CC116" s="204">
        <f>CC117*CC66</f>
        <v>7085500</v>
      </c>
      <c r="CD116" s="202" t="s">
        <v>114</v>
      </c>
      <c r="CE116" s="204">
        <f>CE117*CE66</f>
        <v>6754749.9999999991</v>
      </c>
      <c r="CF116" s="620"/>
      <c r="CG116" s="620"/>
      <c r="CH116" s="620"/>
      <c r="CI116" s="620"/>
      <c r="CJ116" s="202" t="s">
        <v>114</v>
      </c>
      <c r="CK116" s="204">
        <f>CK117*CK66</f>
        <v>6519905.3416122571</v>
      </c>
      <c r="CL116" s="202" t="s">
        <v>114</v>
      </c>
      <c r="CM116" s="204">
        <f>CM117*CM66</f>
        <v>6558517.8739499636</v>
      </c>
      <c r="CN116" s="202" t="s">
        <v>114</v>
      </c>
      <c r="CO116" s="204">
        <f>CO117*CO66</f>
        <v>6633533.6236157473</v>
      </c>
      <c r="CP116" s="202" t="s">
        <v>114</v>
      </c>
      <c r="CQ116" s="204">
        <f>CQ117*CQ66</f>
        <v>6635399.9999999991</v>
      </c>
      <c r="CR116" s="202" t="s">
        <v>114</v>
      </c>
      <c r="CS116" s="204">
        <f>CS117*CS66</f>
        <v>6536781.4538057065</v>
      </c>
      <c r="CT116" s="202" t="s">
        <v>114</v>
      </c>
      <c r="CU116" s="204">
        <f>CU117*CU66</f>
        <v>6600400</v>
      </c>
      <c r="CV116" s="202" t="s">
        <v>114</v>
      </c>
      <c r="CW116" s="204">
        <f>CW117*CW66</f>
        <v>6705399.9999999991</v>
      </c>
      <c r="CX116" s="202" t="s">
        <v>114</v>
      </c>
      <c r="CY116" s="204">
        <f>CY117*CY66</f>
        <v>6705399.9999999991</v>
      </c>
      <c r="DA116" s="202" t="s">
        <v>114</v>
      </c>
      <c r="DB116" s="204">
        <f>DB117*DB66</f>
        <v>6760174.9999999991</v>
      </c>
      <c r="DC116" s="202" t="s">
        <v>114</v>
      </c>
      <c r="DD116" s="204">
        <f>DD117*DD66</f>
        <v>6755975</v>
      </c>
      <c r="DE116" s="202" t="s">
        <v>114</v>
      </c>
      <c r="DF116" s="204">
        <f>DF117*DF66</f>
        <v>6758074.9999999991</v>
      </c>
      <c r="DG116" s="202" t="s">
        <v>114</v>
      </c>
      <c r="DH116" s="204">
        <f>DH117*DH66</f>
        <v>6754749.9999999991</v>
      </c>
      <c r="DI116" s="202" t="s">
        <v>114</v>
      </c>
      <c r="DJ116" s="204">
        <f>DJ117*DJ66</f>
        <v>6823875</v>
      </c>
      <c r="DK116" s="202" t="s">
        <v>114</v>
      </c>
      <c r="DL116" s="204">
        <f>DL117*DL66</f>
        <v>6860624.9999999991</v>
      </c>
      <c r="DM116" s="202" t="s">
        <v>114</v>
      </c>
      <c r="DN116" s="204">
        <f>DN117*DN66</f>
        <v>6860624.9999999991</v>
      </c>
      <c r="DO116" s="202" t="s">
        <v>114</v>
      </c>
      <c r="DP116" s="204">
        <f>DP117*DP66</f>
        <v>6754749.9999999991</v>
      </c>
      <c r="DR116" s="202" t="s">
        <v>114</v>
      </c>
      <c r="DS116" s="204">
        <f>DS117*DS66</f>
        <v>6732500</v>
      </c>
      <c r="DT116" s="202" t="s">
        <v>114</v>
      </c>
      <c r="DU116" s="204">
        <f>DU117*DU66</f>
        <v>6722900</v>
      </c>
    </row>
    <row r="117" spans="1:125" s="65" customFormat="1" ht="18" customHeight="1" outlineLevel="2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1678.8416838842973</v>
      </c>
      <c r="H117" s="202" t="s">
        <v>114</v>
      </c>
      <c r="I117" s="204">
        <f>SUM(I118:I123)</f>
        <v>1678.8416838842973</v>
      </c>
      <c r="J117" s="202" t="s">
        <v>114</v>
      </c>
      <c r="K117" s="204">
        <f>SUM(K118:K123)</f>
        <v>1678.8416838842973</v>
      </c>
      <c r="L117" s="202" t="s">
        <v>114</v>
      </c>
      <c r="M117" s="204">
        <f>SUM(M118:M123)</f>
        <v>1678.8416838842973</v>
      </c>
      <c r="N117" s="202" t="s">
        <v>114</v>
      </c>
      <c r="O117" s="204">
        <f>SUM(O118:O123)</f>
        <v>1683.3613119834708</v>
      </c>
      <c r="P117" s="202" t="s">
        <v>114</v>
      </c>
      <c r="Q117" s="204">
        <f>SUM(Q118:Q123)</f>
        <v>1677.5309917355371</v>
      </c>
      <c r="R117" s="202" t="s">
        <v>114</v>
      </c>
      <c r="S117" s="204">
        <f>SUM(S118:S123)</f>
        <v>1677.5309917355371</v>
      </c>
      <c r="T117" s="202" t="s">
        <v>114</v>
      </c>
      <c r="U117" s="204">
        <f>SUM(U118:U123)</f>
        <v>1684.4460227272725</v>
      </c>
      <c r="V117" s="202" t="s">
        <v>114</v>
      </c>
      <c r="W117" s="204">
        <f>SUM(W118:W123)</f>
        <v>1684.1748450413222</v>
      </c>
      <c r="X117" s="202" t="s">
        <v>114</v>
      </c>
      <c r="Y117" s="204">
        <f>SUM(Y118:Y123)</f>
        <v>1685.0787706611568</v>
      </c>
      <c r="Z117" s="202" t="s">
        <v>114</v>
      </c>
      <c r="AA117" s="204">
        <f>SUM(AA118:AA123)</f>
        <v>1696.3778409090908</v>
      </c>
      <c r="AB117" s="202" t="s">
        <v>114</v>
      </c>
      <c r="AC117" s="204">
        <f>SUM(AC118:AC123)</f>
        <v>1698.9088326446281</v>
      </c>
      <c r="AD117" s="202" t="s">
        <v>114</v>
      </c>
      <c r="AE117" s="204">
        <f>SUM(AE118:AE123)</f>
        <v>1712.7388946280989</v>
      </c>
      <c r="AF117" s="202" t="s">
        <v>114</v>
      </c>
      <c r="AG117" s="204">
        <f>SUM(AG118:AG123)</f>
        <v>1707.0441632231405</v>
      </c>
      <c r="AH117" s="202" t="s">
        <v>114</v>
      </c>
      <c r="AI117" s="204">
        <f>SUM(AI118:AI123)</f>
        <v>1715.3602789256197</v>
      </c>
      <c r="AJ117" s="202" t="s">
        <v>114</v>
      </c>
      <c r="AK117" s="204">
        <f>SUM(AK118:AK123)</f>
        <v>1732.5800619834708</v>
      </c>
      <c r="AL117" s="202" t="s">
        <v>114</v>
      </c>
      <c r="AM117" s="204">
        <f>SUM(AM118:AM123)</f>
        <v>1742.839617768595</v>
      </c>
      <c r="AN117" s="202" t="s">
        <v>114</v>
      </c>
      <c r="AO117" s="204">
        <f>SUM(AO118:AO123)</f>
        <v>1741.8452995867767</v>
      </c>
      <c r="AP117" s="202" t="s">
        <v>114</v>
      </c>
      <c r="AQ117" s="204">
        <f>SUM(AQ118:AQ123)</f>
        <v>1728.6027892561983</v>
      </c>
      <c r="AR117" s="202" t="s">
        <v>114</v>
      </c>
      <c r="AS117" s="204">
        <f>SUM(AS118:AS123)</f>
        <v>1717.9364669421486</v>
      </c>
      <c r="AT117" s="202" t="s">
        <v>114</v>
      </c>
      <c r="AU117" s="204">
        <f>SUM(AU118:AU123)</f>
        <v>1726.1169938016528</v>
      </c>
      <c r="AV117" s="202" t="s">
        <v>114</v>
      </c>
      <c r="AW117" s="204">
        <f>SUM(AW118:AW123)</f>
        <v>1707.0893595041321</v>
      </c>
      <c r="AX117" s="202" t="s">
        <v>114</v>
      </c>
      <c r="AY117" s="204">
        <f>SUM(AY118:AY123)</f>
        <v>1703.737151342975</v>
      </c>
      <c r="AZ117" s="202" t="s">
        <v>114</v>
      </c>
      <c r="BA117" s="204">
        <f>SUM(BA118:BA123)</f>
        <v>1710.9762396694214</v>
      </c>
      <c r="BB117" s="202" t="s">
        <v>114</v>
      </c>
      <c r="BC117" s="204">
        <f>SUM(BC118:BC123)</f>
        <v>1710.9762396694214</v>
      </c>
      <c r="BD117" s="202" t="s">
        <v>114</v>
      </c>
      <c r="BE117" s="204">
        <f>SUM(BE118:BE123)</f>
        <v>1713.6880165289253</v>
      </c>
      <c r="BF117" s="202" t="s">
        <v>114</v>
      </c>
      <c r="BG117" s="204">
        <f>SUM(BG118:BG123)</f>
        <v>1713.6880165289253</v>
      </c>
      <c r="BH117" s="202" t="s">
        <v>114</v>
      </c>
      <c r="BI117" s="204">
        <f>SUM(BI118:BI123)</f>
        <v>1737.1900826446281</v>
      </c>
      <c r="BJ117" s="202" t="s">
        <v>114</v>
      </c>
      <c r="BK117" s="204">
        <f>SUM(BK118:BK123)</f>
        <v>1744.5118801652891</v>
      </c>
      <c r="BL117" s="202" t="s">
        <v>114</v>
      </c>
      <c r="BM117" s="204">
        <f>SUM(BM118:BM123)</f>
        <v>1761.8220557851239</v>
      </c>
      <c r="BN117" s="202" t="s">
        <v>114</v>
      </c>
      <c r="BO117" s="204">
        <f>SUM(BO118:BO123)</f>
        <v>1762.3644111570247</v>
      </c>
      <c r="BP117" s="202" t="s">
        <v>114</v>
      </c>
      <c r="BQ117" s="204">
        <f>SUM(BQ118:BQ123)</f>
        <v>1771.8556301652891</v>
      </c>
      <c r="BR117" s="202" t="s">
        <v>114</v>
      </c>
      <c r="BS117" s="204">
        <f>SUM(BS118:BS123)</f>
        <v>1770.8161157024792</v>
      </c>
      <c r="BT117" s="202" t="s">
        <v>114</v>
      </c>
      <c r="BU117" s="204">
        <f>SUM(BU118:BU123)</f>
        <v>1757.3928202479337</v>
      </c>
      <c r="BV117" s="202" t="s">
        <v>114</v>
      </c>
      <c r="BW117" s="204">
        <f>SUM(BW118:BW123)</f>
        <v>1730.9981921487602</v>
      </c>
      <c r="BX117" s="202" t="s">
        <v>114</v>
      </c>
      <c r="BY117" s="204">
        <f>SUM(BY118:BY123)</f>
        <v>1735.3822314049585</v>
      </c>
      <c r="BZ117" s="202" t="s">
        <v>114</v>
      </c>
      <c r="CA117" s="204">
        <f>SUM(CA118:CA123)</f>
        <v>1748.4439566115702</v>
      </c>
      <c r="CB117" s="202" t="s">
        <v>114</v>
      </c>
      <c r="CC117" s="204">
        <f>SUM(CC118:CC123)</f>
        <v>1829.9328512396694</v>
      </c>
      <c r="CD117" s="202" t="s">
        <v>114</v>
      </c>
      <c r="CE117" s="204">
        <f>SUM(CE118:CE123)</f>
        <v>1744.5118801652891</v>
      </c>
      <c r="CF117" s="620"/>
      <c r="CG117" s="620"/>
      <c r="CH117" s="620"/>
      <c r="CI117" s="620"/>
      <c r="CJ117" s="202" t="s">
        <v>114</v>
      </c>
      <c r="CK117" s="204">
        <f>SUM(CK118:CK123)</f>
        <v>1683.8598506230003</v>
      </c>
      <c r="CL117" s="202" t="s">
        <v>114</v>
      </c>
      <c r="CM117" s="204">
        <f>SUM(CM118:CM123)</f>
        <v>1693.8320955449287</v>
      </c>
      <c r="CN117" s="202" t="s">
        <v>114</v>
      </c>
      <c r="CO117" s="204">
        <f>SUM(CO118:CO123)</f>
        <v>1713.2059978346456</v>
      </c>
      <c r="CP117" s="202" t="s">
        <v>114</v>
      </c>
      <c r="CQ117" s="204">
        <f>SUM(CQ118:CQ123)</f>
        <v>1713.6880165289253</v>
      </c>
      <c r="CR117" s="202" t="s">
        <v>114</v>
      </c>
      <c r="CS117" s="204">
        <f>SUM(CS118:CS123)</f>
        <v>1688.2183506729614</v>
      </c>
      <c r="CT117" s="202" t="s">
        <v>114</v>
      </c>
      <c r="CU117" s="204">
        <f>SUM(CU118:CU123)</f>
        <v>1704.6487603305784</v>
      </c>
      <c r="CV117" s="202" t="s">
        <v>114</v>
      </c>
      <c r="CW117" s="204">
        <f>SUM(CW118:CW123)</f>
        <v>1731.7665289256197</v>
      </c>
      <c r="CX117" s="202" t="s">
        <v>114</v>
      </c>
      <c r="CY117" s="204">
        <f>SUM(CY118:CY123)</f>
        <v>1731.7665289256197</v>
      </c>
      <c r="DA117" s="202" t="s">
        <v>114</v>
      </c>
      <c r="DB117" s="204">
        <f>SUM(DB118:DB123)</f>
        <v>1745.9129648760329</v>
      </c>
      <c r="DC117" s="202" t="s">
        <v>114</v>
      </c>
      <c r="DD117" s="204">
        <f>SUM(DD118:DD123)</f>
        <v>1744.8282541322315</v>
      </c>
      <c r="DE117" s="202" t="s">
        <v>114</v>
      </c>
      <c r="DF117" s="204">
        <f>SUM(DF118:DF123)</f>
        <v>1745.3706095041321</v>
      </c>
      <c r="DG117" s="202" t="s">
        <v>114</v>
      </c>
      <c r="DH117" s="204">
        <f>SUM(DH118:DH123)</f>
        <v>1744.5118801652891</v>
      </c>
      <c r="DI117" s="202" t="s">
        <v>114</v>
      </c>
      <c r="DJ117" s="204">
        <f>SUM(DJ118:DJ123)</f>
        <v>1762.3644111570247</v>
      </c>
      <c r="DK117" s="202" t="s">
        <v>114</v>
      </c>
      <c r="DL117" s="204">
        <f>SUM(DL118:DL123)</f>
        <v>1771.8556301652891</v>
      </c>
      <c r="DM117" s="202" t="s">
        <v>114</v>
      </c>
      <c r="DN117" s="204">
        <f>SUM(DN118:DN123)</f>
        <v>1771.8556301652891</v>
      </c>
      <c r="DO117" s="202" t="s">
        <v>114</v>
      </c>
      <c r="DP117" s="204">
        <f>SUM(DP118:DP123)</f>
        <v>1744.5118801652891</v>
      </c>
      <c r="DR117" s="202" t="s">
        <v>114</v>
      </c>
      <c r="DS117" s="204">
        <f>SUM(DS118:DS123)</f>
        <v>1683.125</v>
      </c>
      <c r="DT117" s="202" t="s">
        <v>114</v>
      </c>
      <c r="DU117" s="204">
        <f>SUM(DU118:DU123)</f>
        <v>1736.2861570247933</v>
      </c>
    </row>
    <row r="118" spans="1:125" s="65" customFormat="1" ht="18" customHeight="1" outlineLevel="2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  <c r="BX118" s="202" t="s">
        <v>114</v>
      </c>
      <c r="BY118" s="204">
        <v>75</v>
      </c>
      <c r="BZ118" s="202" t="s">
        <v>114</v>
      </c>
      <c r="CA118" s="204">
        <v>75</v>
      </c>
      <c r="CB118" s="202" t="s">
        <v>114</v>
      </c>
      <c r="CC118" s="204">
        <v>75</v>
      </c>
      <c r="CD118" s="202" t="s">
        <v>114</v>
      </c>
      <c r="CE118" s="204">
        <v>75</v>
      </c>
      <c r="CF118" s="620"/>
      <c r="CG118" s="620"/>
      <c r="CH118" s="620"/>
      <c r="CI118" s="620"/>
      <c r="CJ118" s="202" t="s">
        <v>114</v>
      </c>
      <c r="CK118" s="204">
        <v>75</v>
      </c>
      <c r="CL118" s="202" t="s">
        <v>114</v>
      </c>
      <c r="CM118" s="204">
        <v>75</v>
      </c>
      <c r="CN118" s="202" t="s">
        <v>114</v>
      </c>
      <c r="CO118" s="204">
        <v>75</v>
      </c>
      <c r="CP118" s="202" t="s">
        <v>114</v>
      </c>
      <c r="CQ118" s="204">
        <v>75</v>
      </c>
      <c r="CR118" s="202" t="s">
        <v>114</v>
      </c>
      <c r="CS118" s="204">
        <v>75</v>
      </c>
      <c r="CT118" s="202" t="s">
        <v>114</v>
      </c>
      <c r="CU118" s="204">
        <v>75</v>
      </c>
      <c r="CV118" s="202" t="s">
        <v>114</v>
      </c>
      <c r="CW118" s="204">
        <v>75</v>
      </c>
      <c r="CX118" s="202" t="s">
        <v>114</v>
      </c>
      <c r="CY118" s="204">
        <v>75</v>
      </c>
      <c r="DA118" s="202" t="s">
        <v>114</v>
      </c>
      <c r="DB118" s="204">
        <v>75</v>
      </c>
      <c r="DC118" s="202" t="s">
        <v>114</v>
      </c>
      <c r="DD118" s="204">
        <v>75</v>
      </c>
      <c r="DE118" s="202" t="s">
        <v>114</v>
      </c>
      <c r="DF118" s="204">
        <v>75</v>
      </c>
      <c r="DG118" s="202" t="s">
        <v>114</v>
      </c>
      <c r="DH118" s="204">
        <v>75</v>
      </c>
      <c r="DI118" s="202" t="s">
        <v>114</v>
      </c>
      <c r="DJ118" s="204">
        <v>75</v>
      </c>
      <c r="DK118" s="202" t="s">
        <v>114</v>
      </c>
      <c r="DL118" s="204">
        <v>75</v>
      </c>
      <c r="DM118" s="202" t="s">
        <v>114</v>
      </c>
      <c r="DN118" s="204">
        <v>75</v>
      </c>
      <c r="DO118" s="202" t="s">
        <v>114</v>
      </c>
      <c r="DP118" s="204">
        <v>75</v>
      </c>
      <c r="DR118" s="202" t="s">
        <v>114</v>
      </c>
      <c r="DS118" s="204">
        <v>75</v>
      </c>
      <c r="DT118" s="202" t="s">
        <v>114</v>
      </c>
      <c r="DU118" s="204">
        <v>75</v>
      </c>
    </row>
    <row r="119" spans="1:125" s="65" customFormat="1" ht="18" customHeight="1" outlineLevel="2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501.03305785123968</v>
      </c>
      <c r="H119" s="202" t="s">
        <v>114</v>
      </c>
      <c r="I119" s="204">
        <f>1940000/I66</f>
        <v>501.03305785123968</v>
      </c>
      <c r="J119" s="202" t="s">
        <v>114</v>
      </c>
      <c r="K119" s="204">
        <f>1940000/K66</f>
        <v>501.03305785123968</v>
      </c>
      <c r="L119" s="202" t="s">
        <v>114</v>
      </c>
      <c r="M119" s="204">
        <f>1940000/M66</f>
        <v>501.03305785123968</v>
      </c>
      <c r="N119" s="202" t="s">
        <v>114</v>
      </c>
      <c r="O119" s="204">
        <f>1940000/O66</f>
        <v>501.03305785123968</v>
      </c>
      <c r="P119" s="202" t="s">
        <v>114</v>
      </c>
      <c r="Q119" s="204">
        <f>1940000/Q66</f>
        <v>501.03305785123968</v>
      </c>
      <c r="R119" s="202" t="s">
        <v>114</v>
      </c>
      <c r="S119" s="204">
        <f>1940000/S66</f>
        <v>501.03305785123968</v>
      </c>
      <c r="T119" s="202" t="s">
        <v>114</v>
      </c>
      <c r="U119" s="204">
        <f>1940000/U66</f>
        <v>501.03305785123968</v>
      </c>
      <c r="V119" s="202" t="s">
        <v>114</v>
      </c>
      <c r="W119" s="204">
        <f>1940000/W66</f>
        <v>501.03305785123968</v>
      </c>
      <c r="X119" s="202" t="s">
        <v>114</v>
      </c>
      <c r="Y119" s="204">
        <f>1940000/Y66</f>
        <v>501.03305785123968</v>
      </c>
      <c r="Z119" s="202" t="s">
        <v>114</v>
      </c>
      <c r="AA119" s="204">
        <f>1940000/AA66</f>
        <v>501.03305785123968</v>
      </c>
      <c r="AB119" s="202" t="s">
        <v>114</v>
      </c>
      <c r="AC119" s="204">
        <f>1940000/AC66</f>
        <v>501.03305785123968</v>
      </c>
      <c r="AD119" s="202" t="s">
        <v>114</v>
      </c>
      <c r="AE119" s="204">
        <f>1940000/AE66</f>
        <v>501.03305785123968</v>
      </c>
      <c r="AF119" s="202" t="s">
        <v>114</v>
      </c>
      <c r="AG119" s="204">
        <f>1940000/AG66</f>
        <v>501.03305785123968</v>
      </c>
      <c r="AH119" s="202" t="s">
        <v>114</v>
      </c>
      <c r="AI119" s="204">
        <f>1940000/AI66</f>
        <v>501.03305785123968</v>
      </c>
      <c r="AJ119" s="202" t="s">
        <v>114</v>
      </c>
      <c r="AK119" s="204">
        <f>1940000/AK66</f>
        <v>501.03305785123968</v>
      </c>
      <c r="AL119" s="202" t="s">
        <v>114</v>
      </c>
      <c r="AM119" s="204">
        <f>1940000/AM66</f>
        <v>501.03305785123968</v>
      </c>
      <c r="AN119" s="202" t="s">
        <v>114</v>
      </c>
      <c r="AO119" s="204">
        <f>1940000/AO66</f>
        <v>501.03305785123968</v>
      </c>
      <c r="AP119" s="202" t="s">
        <v>114</v>
      </c>
      <c r="AQ119" s="204">
        <f>1940000/AQ66</f>
        <v>501.03305785123968</v>
      </c>
      <c r="AR119" s="202" t="s">
        <v>114</v>
      </c>
      <c r="AS119" s="204">
        <f>1940000/AS66</f>
        <v>501.03305785123968</v>
      </c>
      <c r="AT119" s="202" t="s">
        <v>114</v>
      </c>
      <c r="AU119" s="204">
        <f>1940000/AU66</f>
        <v>501.03305785123968</v>
      </c>
      <c r="AV119" s="202" t="s">
        <v>114</v>
      </c>
      <c r="AW119" s="204">
        <f>1940000/AW66</f>
        <v>501.03305785123968</v>
      </c>
      <c r="AX119" s="202" t="s">
        <v>114</v>
      </c>
      <c r="AY119" s="204">
        <f>1940000/AY66</f>
        <v>501.03305785123968</v>
      </c>
      <c r="AZ119" s="202" t="s">
        <v>114</v>
      </c>
      <c r="BA119" s="204">
        <f>1940000/BA66</f>
        <v>501.03305785123968</v>
      </c>
      <c r="BB119" s="202" t="s">
        <v>114</v>
      </c>
      <c r="BC119" s="204">
        <f>1940000/BC66</f>
        <v>501.03305785123968</v>
      </c>
      <c r="BD119" s="202" t="s">
        <v>114</v>
      </c>
      <c r="BE119" s="204">
        <f>1940000/BE66</f>
        <v>501.03305785123968</v>
      </c>
      <c r="BF119" s="202" t="s">
        <v>114</v>
      </c>
      <c r="BG119" s="204">
        <f>1940000/BG66</f>
        <v>501.03305785123968</v>
      </c>
      <c r="BH119" s="202" t="s">
        <v>114</v>
      </c>
      <c r="BI119" s="204">
        <f>1940000/BI66</f>
        <v>501.03305785123968</v>
      </c>
      <c r="BJ119" s="202" t="s">
        <v>114</v>
      </c>
      <c r="BK119" s="204">
        <f>1940000/BK66</f>
        <v>501.03305785123968</v>
      </c>
      <c r="BL119" s="202" t="s">
        <v>114</v>
      </c>
      <c r="BM119" s="204">
        <f>1940000/BM66</f>
        <v>501.03305785123968</v>
      </c>
      <c r="BN119" s="202" t="s">
        <v>114</v>
      </c>
      <c r="BO119" s="204">
        <f>1940000/BO66</f>
        <v>501.03305785123968</v>
      </c>
      <c r="BP119" s="202" t="s">
        <v>114</v>
      </c>
      <c r="BQ119" s="204">
        <f>1940000/BQ66</f>
        <v>501.03305785123968</v>
      </c>
      <c r="BR119" s="202" t="s">
        <v>114</v>
      </c>
      <c r="BS119" s="204">
        <f>1940000/BS66</f>
        <v>501.03305785123968</v>
      </c>
      <c r="BT119" s="202" t="s">
        <v>114</v>
      </c>
      <c r="BU119" s="204">
        <f>1940000/BU66</f>
        <v>501.03305785123968</v>
      </c>
      <c r="BV119" s="202" t="s">
        <v>114</v>
      </c>
      <c r="BW119" s="204">
        <f>1940000/BW66</f>
        <v>501.03305785123968</v>
      </c>
      <c r="BX119" s="202" t="s">
        <v>114</v>
      </c>
      <c r="BY119" s="204">
        <f>1940000/BY66</f>
        <v>501.03305785123968</v>
      </c>
      <c r="BZ119" s="202" t="s">
        <v>114</v>
      </c>
      <c r="CA119" s="204">
        <f>1940000/CA66</f>
        <v>501.03305785123968</v>
      </c>
      <c r="CB119" s="202" t="s">
        <v>114</v>
      </c>
      <c r="CC119" s="204">
        <f>2150000/CC66</f>
        <v>555.26859504132233</v>
      </c>
      <c r="CD119" s="202" t="s">
        <v>114</v>
      </c>
      <c r="CE119" s="204">
        <f>1940000/CE66</f>
        <v>501.03305785123968</v>
      </c>
      <c r="CF119" s="620"/>
      <c r="CG119" s="620"/>
      <c r="CH119" s="620"/>
      <c r="CI119" s="620"/>
      <c r="CJ119" s="202" t="s">
        <v>114</v>
      </c>
      <c r="CK119" s="204">
        <f>1940000/CK66</f>
        <v>501.03305785123968</v>
      </c>
      <c r="CL119" s="202" t="s">
        <v>114</v>
      </c>
      <c r="CM119" s="204">
        <f>1940000/CM66</f>
        <v>501.03305785123968</v>
      </c>
      <c r="CN119" s="202" t="s">
        <v>114</v>
      </c>
      <c r="CO119" s="204">
        <f>1940000/CO66</f>
        <v>501.03305785123968</v>
      </c>
      <c r="CP119" s="202" t="s">
        <v>114</v>
      </c>
      <c r="CQ119" s="204">
        <f>1940000/CQ66</f>
        <v>501.03305785123968</v>
      </c>
      <c r="CR119" s="202" t="s">
        <v>114</v>
      </c>
      <c r="CS119" s="204">
        <f>1940000/CS66</f>
        <v>501.03305785123968</v>
      </c>
      <c r="CT119" s="202" t="s">
        <v>114</v>
      </c>
      <c r="CU119" s="204">
        <f>1940000/CU66</f>
        <v>501.03305785123968</v>
      </c>
      <c r="CV119" s="202" t="s">
        <v>114</v>
      </c>
      <c r="CW119" s="204">
        <f>1940000/CW66</f>
        <v>501.03305785123968</v>
      </c>
      <c r="CX119" s="202" t="s">
        <v>114</v>
      </c>
      <c r="CY119" s="204">
        <f>1940000/CY66</f>
        <v>501.03305785123968</v>
      </c>
      <c r="DA119" s="202" t="s">
        <v>114</v>
      </c>
      <c r="DB119" s="204">
        <f>1940000/DB66</f>
        <v>501.03305785123968</v>
      </c>
      <c r="DC119" s="202" t="s">
        <v>114</v>
      </c>
      <c r="DD119" s="204">
        <f>1940000/DD66</f>
        <v>501.03305785123968</v>
      </c>
      <c r="DE119" s="202" t="s">
        <v>114</v>
      </c>
      <c r="DF119" s="204">
        <f>1940000/DF66</f>
        <v>501.03305785123968</v>
      </c>
      <c r="DG119" s="202" t="s">
        <v>114</v>
      </c>
      <c r="DH119" s="204">
        <f>1940000/DH66</f>
        <v>501.03305785123968</v>
      </c>
      <c r="DI119" s="202" t="s">
        <v>114</v>
      </c>
      <c r="DJ119" s="204">
        <f>1940000/DJ66</f>
        <v>501.03305785123968</v>
      </c>
      <c r="DK119" s="202" t="s">
        <v>114</v>
      </c>
      <c r="DL119" s="204">
        <f>1940000/DL66</f>
        <v>501.03305785123968</v>
      </c>
      <c r="DM119" s="202" t="s">
        <v>114</v>
      </c>
      <c r="DN119" s="204">
        <f>1940000/DN66</f>
        <v>501.03305785123968</v>
      </c>
      <c r="DO119" s="202" t="s">
        <v>114</v>
      </c>
      <c r="DP119" s="204">
        <f>1940000/DP66</f>
        <v>501.03305785123968</v>
      </c>
      <c r="DR119" s="202" t="s">
        <v>114</v>
      </c>
      <c r="DS119" s="204">
        <f>1940000/DS66</f>
        <v>485</v>
      </c>
      <c r="DT119" s="202" t="s">
        <v>114</v>
      </c>
      <c r="DU119" s="204">
        <f>1940000/DU66</f>
        <v>501.03305785123968</v>
      </c>
    </row>
    <row r="120" spans="1:125" s="65" customFormat="1" ht="18" customHeight="1" outlineLevel="2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71.022727272727266</v>
      </c>
      <c r="H120" s="202" t="s">
        <v>114</v>
      </c>
      <c r="I120" s="204">
        <f>275000/I66</f>
        <v>71.022727272727266</v>
      </c>
      <c r="J120" s="202" t="s">
        <v>114</v>
      </c>
      <c r="K120" s="204">
        <f>275000/K66</f>
        <v>71.022727272727266</v>
      </c>
      <c r="L120" s="202" t="s">
        <v>114</v>
      </c>
      <c r="M120" s="204">
        <f>275000/M66</f>
        <v>71.022727272727266</v>
      </c>
      <c r="N120" s="202" t="s">
        <v>114</v>
      </c>
      <c r="O120" s="204">
        <f>275000/O66</f>
        <v>71.022727272727266</v>
      </c>
      <c r="P120" s="202" t="s">
        <v>114</v>
      </c>
      <c r="Q120" s="204">
        <f>275000/Q66</f>
        <v>71.022727272727266</v>
      </c>
      <c r="R120" s="202" t="s">
        <v>114</v>
      </c>
      <c r="S120" s="204">
        <f>275000/S66</f>
        <v>71.022727272727266</v>
      </c>
      <c r="T120" s="202" t="s">
        <v>114</v>
      </c>
      <c r="U120" s="204">
        <f>275000/U66</f>
        <v>71.022727272727266</v>
      </c>
      <c r="V120" s="202" t="s">
        <v>114</v>
      </c>
      <c r="W120" s="204">
        <f>275000/W66</f>
        <v>71.022727272727266</v>
      </c>
      <c r="X120" s="202" t="s">
        <v>114</v>
      </c>
      <c r="Y120" s="204">
        <f>275000/Y66</f>
        <v>71.022727272727266</v>
      </c>
      <c r="Z120" s="202" t="s">
        <v>114</v>
      </c>
      <c r="AA120" s="204">
        <f>275000/AA66</f>
        <v>71.022727272727266</v>
      </c>
      <c r="AB120" s="202" t="s">
        <v>114</v>
      </c>
      <c r="AC120" s="204">
        <f>275000/AC66</f>
        <v>71.022727272727266</v>
      </c>
      <c r="AD120" s="202" t="s">
        <v>114</v>
      </c>
      <c r="AE120" s="204">
        <f>275000/AE66</f>
        <v>71.022727272727266</v>
      </c>
      <c r="AF120" s="202" t="s">
        <v>114</v>
      </c>
      <c r="AG120" s="204">
        <f>275000/AG66</f>
        <v>71.022727272727266</v>
      </c>
      <c r="AH120" s="202" t="s">
        <v>114</v>
      </c>
      <c r="AI120" s="204">
        <f>275000/AI66</f>
        <v>71.022727272727266</v>
      </c>
      <c r="AJ120" s="202" t="s">
        <v>114</v>
      </c>
      <c r="AK120" s="204">
        <f>275000/AK66</f>
        <v>71.022727272727266</v>
      </c>
      <c r="AL120" s="202" t="s">
        <v>114</v>
      </c>
      <c r="AM120" s="204">
        <f>275000/AM66</f>
        <v>71.022727272727266</v>
      </c>
      <c r="AN120" s="202" t="s">
        <v>114</v>
      </c>
      <c r="AO120" s="204">
        <f>275000/AO66</f>
        <v>71.022727272727266</v>
      </c>
      <c r="AP120" s="202" t="s">
        <v>114</v>
      </c>
      <c r="AQ120" s="204">
        <f>275000/AQ66</f>
        <v>71.022727272727266</v>
      </c>
      <c r="AR120" s="202" t="s">
        <v>114</v>
      </c>
      <c r="AS120" s="204">
        <f>275000/AS66</f>
        <v>71.022727272727266</v>
      </c>
      <c r="AT120" s="202" t="s">
        <v>114</v>
      </c>
      <c r="AU120" s="204">
        <f>275000/AU66</f>
        <v>71.022727272727266</v>
      </c>
      <c r="AV120" s="202" t="s">
        <v>114</v>
      </c>
      <c r="AW120" s="204">
        <f>275000/AW66</f>
        <v>71.022727272727266</v>
      </c>
      <c r="AX120" s="202" t="s">
        <v>114</v>
      </c>
      <c r="AY120" s="204">
        <f>275000/AY66</f>
        <v>71.022727272727266</v>
      </c>
      <c r="AZ120" s="202" t="s">
        <v>114</v>
      </c>
      <c r="BA120" s="204">
        <f>275000/BA66</f>
        <v>71.022727272727266</v>
      </c>
      <c r="BB120" s="202" t="s">
        <v>114</v>
      </c>
      <c r="BC120" s="204">
        <f>275000/BC66</f>
        <v>71.022727272727266</v>
      </c>
      <c r="BD120" s="202" t="s">
        <v>114</v>
      </c>
      <c r="BE120" s="204">
        <f>275000/BE66</f>
        <v>71.022727272727266</v>
      </c>
      <c r="BF120" s="202" t="s">
        <v>114</v>
      </c>
      <c r="BG120" s="204">
        <f>275000/BG66</f>
        <v>71.022727272727266</v>
      </c>
      <c r="BH120" s="202" t="s">
        <v>114</v>
      </c>
      <c r="BI120" s="204">
        <f>275000/BI66</f>
        <v>71.022727272727266</v>
      </c>
      <c r="BJ120" s="202" t="s">
        <v>114</v>
      </c>
      <c r="BK120" s="204">
        <f>275000/BK66</f>
        <v>71.022727272727266</v>
      </c>
      <c r="BL120" s="202" t="s">
        <v>114</v>
      </c>
      <c r="BM120" s="204">
        <f>275000/BM66</f>
        <v>71.022727272727266</v>
      </c>
      <c r="BN120" s="202" t="s">
        <v>114</v>
      </c>
      <c r="BO120" s="204">
        <f>275000/BO66</f>
        <v>71.022727272727266</v>
      </c>
      <c r="BP120" s="202" t="s">
        <v>114</v>
      </c>
      <c r="BQ120" s="204">
        <f>275000/BQ66</f>
        <v>71.022727272727266</v>
      </c>
      <c r="BR120" s="202" t="s">
        <v>114</v>
      </c>
      <c r="BS120" s="204">
        <f>275000/BS66</f>
        <v>71.022727272727266</v>
      </c>
      <c r="BT120" s="202" t="s">
        <v>114</v>
      </c>
      <c r="BU120" s="204">
        <f>275000/BU66</f>
        <v>71.022727272727266</v>
      </c>
      <c r="BV120" s="202" t="s">
        <v>114</v>
      </c>
      <c r="BW120" s="204">
        <f>275000/BW66</f>
        <v>71.022727272727266</v>
      </c>
      <c r="BX120" s="202" t="s">
        <v>114</v>
      </c>
      <c r="BY120" s="204">
        <f>275000/BY66</f>
        <v>71.022727272727266</v>
      </c>
      <c r="BZ120" s="202" t="s">
        <v>114</v>
      </c>
      <c r="CA120" s="204">
        <f>275000/CA66</f>
        <v>71.022727272727266</v>
      </c>
      <c r="CB120" s="202" t="s">
        <v>114</v>
      </c>
      <c r="CC120" s="204">
        <f>300000/CC66</f>
        <v>77.47933884297521</v>
      </c>
      <c r="CD120" s="202" t="s">
        <v>114</v>
      </c>
      <c r="CE120" s="204">
        <f>275000/CE66</f>
        <v>71.022727272727266</v>
      </c>
      <c r="CF120" s="620"/>
      <c r="CG120" s="620"/>
      <c r="CH120" s="620"/>
      <c r="CI120" s="620"/>
      <c r="CJ120" s="202" t="s">
        <v>114</v>
      </c>
      <c r="CK120" s="204">
        <f>275000/CK66</f>
        <v>71.022727272727266</v>
      </c>
      <c r="CL120" s="202" t="s">
        <v>114</v>
      </c>
      <c r="CM120" s="204">
        <f>275000/CM66</f>
        <v>71.022727272727266</v>
      </c>
      <c r="CN120" s="202" t="s">
        <v>114</v>
      </c>
      <c r="CO120" s="204">
        <f>275000/CO66</f>
        <v>71.022727272727266</v>
      </c>
      <c r="CP120" s="202" t="s">
        <v>114</v>
      </c>
      <c r="CQ120" s="204">
        <f>275000/CQ66</f>
        <v>71.022727272727266</v>
      </c>
      <c r="CR120" s="202" t="s">
        <v>114</v>
      </c>
      <c r="CS120" s="204">
        <f>275000/CS66</f>
        <v>71.022727272727266</v>
      </c>
      <c r="CT120" s="202" t="s">
        <v>114</v>
      </c>
      <c r="CU120" s="204">
        <f>275000/CU66</f>
        <v>71.022727272727266</v>
      </c>
      <c r="CV120" s="202" t="s">
        <v>114</v>
      </c>
      <c r="CW120" s="204">
        <f>275000/CW66</f>
        <v>71.022727272727266</v>
      </c>
      <c r="CX120" s="202" t="s">
        <v>114</v>
      </c>
      <c r="CY120" s="204">
        <f>275000/CY66</f>
        <v>71.022727272727266</v>
      </c>
      <c r="DA120" s="202" t="s">
        <v>114</v>
      </c>
      <c r="DB120" s="204">
        <f>275000/DB66</f>
        <v>71.022727272727266</v>
      </c>
      <c r="DC120" s="202" t="s">
        <v>114</v>
      </c>
      <c r="DD120" s="204">
        <f>275000/DD66</f>
        <v>71.022727272727266</v>
      </c>
      <c r="DE120" s="202" t="s">
        <v>114</v>
      </c>
      <c r="DF120" s="204">
        <f>275000/DF66</f>
        <v>71.022727272727266</v>
      </c>
      <c r="DG120" s="202" t="s">
        <v>114</v>
      </c>
      <c r="DH120" s="204">
        <f>275000/DH66</f>
        <v>71.022727272727266</v>
      </c>
      <c r="DI120" s="202" t="s">
        <v>114</v>
      </c>
      <c r="DJ120" s="204">
        <f>275000/DJ66</f>
        <v>71.022727272727266</v>
      </c>
      <c r="DK120" s="202" t="s">
        <v>114</v>
      </c>
      <c r="DL120" s="204">
        <f>275000/DL66</f>
        <v>71.022727272727266</v>
      </c>
      <c r="DM120" s="202" t="s">
        <v>114</v>
      </c>
      <c r="DN120" s="204">
        <f>275000/DN66</f>
        <v>71.022727272727266</v>
      </c>
      <c r="DO120" s="202" t="s">
        <v>114</v>
      </c>
      <c r="DP120" s="204">
        <f>275000/DP66</f>
        <v>71.022727272727266</v>
      </c>
      <c r="DR120" s="202" t="s">
        <v>114</v>
      </c>
      <c r="DS120" s="204">
        <f>275000/DS66</f>
        <v>68.75</v>
      </c>
      <c r="DT120" s="202" t="s">
        <v>114</v>
      </c>
      <c r="DU120" s="204">
        <f>275000/DU66</f>
        <v>71.022727272727266</v>
      </c>
    </row>
    <row r="121" spans="1:125" s="65" customFormat="1" ht="18" customHeight="1" outlineLevel="2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330.57851239669424</v>
      </c>
      <c r="H121" s="202" t="s">
        <v>114</v>
      </c>
      <c r="I121" s="204">
        <f>1280000/I66</f>
        <v>330.57851239669424</v>
      </c>
      <c r="J121" s="202" t="s">
        <v>114</v>
      </c>
      <c r="K121" s="204">
        <f>1280000/K66</f>
        <v>330.57851239669424</v>
      </c>
      <c r="L121" s="202" t="s">
        <v>114</v>
      </c>
      <c r="M121" s="204">
        <f>1280000/M66</f>
        <v>330.57851239669424</v>
      </c>
      <c r="N121" s="202" t="s">
        <v>114</v>
      </c>
      <c r="O121" s="204">
        <f>1280000/O66</f>
        <v>330.57851239669424</v>
      </c>
      <c r="P121" s="202" t="s">
        <v>114</v>
      </c>
      <c r="Q121" s="204">
        <f>1280000/Q66</f>
        <v>330.57851239669424</v>
      </c>
      <c r="R121" s="202" t="s">
        <v>114</v>
      </c>
      <c r="S121" s="204">
        <f>1280000/S66</f>
        <v>330.57851239669424</v>
      </c>
      <c r="T121" s="202" t="s">
        <v>114</v>
      </c>
      <c r="U121" s="204">
        <f>1280000/U66</f>
        <v>330.57851239669424</v>
      </c>
      <c r="V121" s="202" t="s">
        <v>114</v>
      </c>
      <c r="W121" s="204">
        <f>1280000/W66</f>
        <v>330.57851239669424</v>
      </c>
      <c r="X121" s="202" t="s">
        <v>114</v>
      </c>
      <c r="Y121" s="204">
        <f>1280000/Y66</f>
        <v>330.57851239669424</v>
      </c>
      <c r="Z121" s="202" t="s">
        <v>114</v>
      </c>
      <c r="AA121" s="204">
        <f>1280000/AA66</f>
        <v>330.57851239669424</v>
      </c>
      <c r="AB121" s="202" t="s">
        <v>114</v>
      </c>
      <c r="AC121" s="204">
        <f>1280000/AC66</f>
        <v>330.57851239669424</v>
      </c>
      <c r="AD121" s="202" t="s">
        <v>114</v>
      </c>
      <c r="AE121" s="204">
        <f>1280000/AE66</f>
        <v>330.57851239669424</v>
      </c>
      <c r="AF121" s="202" t="s">
        <v>114</v>
      </c>
      <c r="AG121" s="204">
        <f>1280000/AG66</f>
        <v>330.57851239669424</v>
      </c>
      <c r="AH121" s="202" t="s">
        <v>114</v>
      </c>
      <c r="AI121" s="204">
        <f>1280000/AI66</f>
        <v>330.57851239669424</v>
      </c>
      <c r="AJ121" s="202" t="s">
        <v>114</v>
      </c>
      <c r="AK121" s="204">
        <f>1280000/AK66</f>
        <v>330.57851239669424</v>
      </c>
      <c r="AL121" s="202" t="s">
        <v>114</v>
      </c>
      <c r="AM121" s="204">
        <f>1280000/AM66</f>
        <v>330.57851239669424</v>
      </c>
      <c r="AN121" s="202" t="s">
        <v>114</v>
      </c>
      <c r="AO121" s="204">
        <f>1280000/AO66</f>
        <v>330.57851239669424</v>
      </c>
      <c r="AP121" s="202" t="s">
        <v>114</v>
      </c>
      <c r="AQ121" s="204">
        <f>1280000/AQ66</f>
        <v>330.57851239669424</v>
      </c>
      <c r="AR121" s="202" t="s">
        <v>114</v>
      </c>
      <c r="AS121" s="204">
        <f>1280000/AS66</f>
        <v>330.57851239669424</v>
      </c>
      <c r="AT121" s="202" t="s">
        <v>114</v>
      </c>
      <c r="AU121" s="204">
        <f>1280000/AU66</f>
        <v>330.57851239669424</v>
      </c>
      <c r="AV121" s="202" t="s">
        <v>114</v>
      </c>
      <c r="AW121" s="204">
        <f>1280000/AW66</f>
        <v>330.57851239669424</v>
      </c>
      <c r="AX121" s="202" t="s">
        <v>114</v>
      </c>
      <c r="AY121" s="204">
        <f>1280000/AY66</f>
        <v>330.57851239669424</v>
      </c>
      <c r="AZ121" s="202" t="s">
        <v>114</v>
      </c>
      <c r="BA121" s="204">
        <f>1280000/BA66</f>
        <v>330.57851239669424</v>
      </c>
      <c r="BB121" s="202" t="s">
        <v>114</v>
      </c>
      <c r="BC121" s="204">
        <f>1280000/BC66</f>
        <v>330.57851239669424</v>
      </c>
      <c r="BD121" s="202" t="s">
        <v>114</v>
      </c>
      <c r="BE121" s="204">
        <f>1280000/BE66</f>
        <v>330.57851239669424</v>
      </c>
      <c r="BF121" s="202" t="s">
        <v>114</v>
      </c>
      <c r="BG121" s="204">
        <f>1280000/BG66</f>
        <v>330.57851239669424</v>
      </c>
      <c r="BH121" s="202" t="s">
        <v>114</v>
      </c>
      <c r="BI121" s="204">
        <f>1280000/BI66</f>
        <v>330.57851239669424</v>
      </c>
      <c r="BJ121" s="202" t="s">
        <v>114</v>
      </c>
      <c r="BK121" s="204">
        <f>1280000/BK66</f>
        <v>330.57851239669424</v>
      </c>
      <c r="BL121" s="202" t="s">
        <v>114</v>
      </c>
      <c r="BM121" s="204">
        <f>1280000/BM66</f>
        <v>330.57851239669424</v>
      </c>
      <c r="BN121" s="202" t="s">
        <v>114</v>
      </c>
      <c r="BO121" s="204">
        <f>1280000/BO66</f>
        <v>330.57851239669424</v>
      </c>
      <c r="BP121" s="202" t="s">
        <v>114</v>
      </c>
      <c r="BQ121" s="204">
        <f>1280000/BQ66</f>
        <v>330.57851239669424</v>
      </c>
      <c r="BR121" s="202" t="s">
        <v>114</v>
      </c>
      <c r="BS121" s="204">
        <f>1280000/BS66</f>
        <v>330.57851239669424</v>
      </c>
      <c r="BT121" s="202" t="s">
        <v>114</v>
      </c>
      <c r="BU121" s="204">
        <f>1280000/BU66</f>
        <v>330.57851239669424</v>
      </c>
      <c r="BV121" s="202" t="s">
        <v>114</v>
      </c>
      <c r="BW121" s="204">
        <f>1280000/BW66</f>
        <v>330.57851239669424</v>
      </c>
      <c r="BX121" s="202" t="s">
        <v>114</v>
      </c>
      <c r="BY121" s="204">
        <f>1280000/BY66</f>
        <v>330.57851239669424</v>
      </c>
      <c r="BZ121" s="202" t="s">
        <v>114</v>
      </c>
      <c r="CA121" s="204">
        <f>1280000/CA66</f>
        <v>330.57851239669424</v>
      </c>
      <c r="CB121" s="202" t="s">
        <v>114</v>
      </c>
      <c r="CC121" s="204">
        <f t="shared" ref="CC121" si="237">1280000/CC66</f>
        <v>330.57851239669424</v>
      </c>
      <c r="CD121" s="202" t="s">
        <v>114</v>
      </c>
      <c r="CE121" s="204">
        <f>1280000/CE66</f>
        <v>330.57851239669424</v>
      </c>
      <c r="CF121" s="620"/>
      <c r="CG121" s="620"/>
      <c r="CH121" s="620"/>
      <c r="CI121" s="620"/>
      <c r="CJ121" s="202" t="s">
        <v>114</v>
      </c>
      <c r="CK121" s="204">
        <f>1280000/CK66</f>
        <v>330.57851239669424</v>
      </c>
      <c r="CL121" s="202" t="s">
        <v>114</v>
      </c>
      <c r="CM121" s="204">
        <f>1280000/CM66</f>
        <v>330.57851239669424</v>
      </c>
      <c r="CN121" s="202" t="s">
        <v>114</v>
      </c>
      <c r="CO121" s="204">
        <f>1280000/CO66</f>
        <v>330.57851239669424</v>
      </c>
      <c r="CP121" s="202" t="s">
        <v>114</v>
      </c>
      <c r="CQ121" s="204">
        <f>1280000/CQ66</f>
        <v>330.57851239669424</v>
      </c>
      <c r="CR121" s="202" t="s">
        <v>114</v>
      </c>
      <c r="CS121" s="204">
        <f>1280000/CS66</f>
        <v>330.57851239669424</v>
      </c>
      <c r="CT121" s="202" t="s">
        <v>114</v>
      </c>
      <c r="CU121" s="204">
        <f>1280000/CU66</f>
        <v>330.57851239669424</v>
      </c>
      <c r="CV121" s="202" t="s">
        <v>114</v>
      </c>
      <c r="CW121" s="204">
        <f>1280000/CW66</f>
        <v>330.57851239669424</v>
      </c>
      <c r="CX121" s="202" t="s">
        <v>114</v>
      </c>
      <c r="CY121" s="204">
        <f>1280000/CY66</f>
        <v>330.57851239669424</v>
      </c>
      <c r="DA121" s="202" t="s">
        <v>114</v>
      </c>
      <c r="DB121" s="204">
        <f>1280000/DB66</f>
        <v>330.57851239669424</v>
      </c>
      <c r="DC121" s="202" t="s">
        <v>114</v>
      </c>
      <c r="DD121" s="204">
        <f>1280000/DD66</f>
        <v>330.57851239669424</v>
      </c>
      <c r="DE121" s="202" t="s">
        <v>114</v>
      </c>
      <c r="DF121" s="204">
        <f>1280000/DF66</f>
        <v>330.57851239669424</v>
      </c>
      <c r="DG121" s="202" t="s">
        <v>114</v>
      </c>
      <c r="DH121" s="204">
        <f>1280000/DH66</f>
        <v>330.57851239669424</v>
      </c>
      <c r="DI121" s="202" t="s">
        <v>114</v>
      </c>
      <c r="DJ121" s="204">
        <f>1280000/DJ66</f>
        <v>330.57851239669424</v>
      </c>
      <c r="DK121" s="202" t="s">
        <v>114</v>
      </c>
      <c r="DL121" s="204">
        <f>1280000/DL66</f>
        <v>330.57851239669424</v>
      </c>
      <c r="DM121" s="202" t="s">
        <v>114</v>
      </c>
      <c r="DN121" s="204">
        <f>1280000/DN66</f>
        <v>330.57851239669424</v>
      </c>
      <c r="DO121" s="202" t="s">
        <v>114</v>
      </c>
      <c r="DP121" s="204">
        <f>1280000/DP66</f>
        <v>330.57851239669424</v>
      </c>
      <c r="DR121" s="202" t="s">
        <v>114</v>
      </c>
      <c r="DS121" s="204">
        <f>1280000/DS66</f>
        <v>320</v>
      </c>
      <c r="DT121" s="202" t="s">
        <v>114</v>
      </c>
      <c r="DU121" s="204">
        <f>1280000/DU66</f>
        <v>330.57851239669424</v>
      </c>
    </row>
    <row r="122" spans="1:125" s="65" customFormat="1" ht="18" customHeight="1" outlineLevel="2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58.109504132231407</v>
      </c>
      <c r="H122" s="202" t="s">
        <v>114</v>
      </c>
      <c r="I122" s="204">
        <f>225000/I66</f>
        <v>58.109504132231407</v>
      </c>
      <c r="J122" s="202" t="s">
        <v>114</v>
      </c>
      <c r="K122" s="204">
        <f>225000/K66</f>
        <v>58.109504132231407</v>
      </c>
      <c r="L122" s="202" t="s">
        <v>114</v>
      </c>
      <c r="M122" s="204">
        <f>225000/M66</f>
        <v>58.109504132231407</v>
      </c>
      <c r="N122" s="202" t="s">
        <v>114</v>
      </c>
      <c r="O122" s="204">
        <f>225000/O66</f>
        <v>58.109504132231407</v>
      </c>
      <c r="P122" s="202" t="s">
        <v>114</v>
      </c>
      <c r="Q122" s="204">
        <f>225000/Q66</f>
        <v>58.109504132231407</v>
      </c>
      <c r="R122" s="202" t="s">
        <v>114</v>
      </c>
      <c r="S122" s="204">
        <f>225000/S66</f>
        <v>58.109504132231407</v>
      </c>
      <c r="T122" s="202" t="s">
        <v>114</v>
      </c>
      <c r="U122" s="204">
        <f>225000/U66</f>
        <v>58.109504132231407</v>
      </c>
      <c r="V122" s="202" t="s">
        <v>114</v>
      </c>
      <c r="W122" s="204">
        <f>225000/W66</f>
        <v>58.109504132231407</v>
      </c>
      <c r="X122" s="202" t="s">
        <v>114</v>
      </c>
      <c r="Y122" s="204">
        <f>225000/Y66</f>
        <v>58.109504132231407</v>
      </c>
      <c r="Z122" s="202" t="s">
        <v>114</v>
      </c>
      <c r="AA122" s="204">
        <f>225000/AA66</f>
        <v>58.109504132231407</v>
      </c>
      <c r="AB122" s="202" t="s">
        <v>114</v>
      </c>
      <c r="AC122" s="204">
        <f>225000/AC66</f>
        <v>58.109504132231407</v>
      </c>
      <c r="AD122" s="202" t="s">
        <v>114</v>
      </c>
      <c r="AE122" s="204">
        <f>225000/AE66</f>
        <v>58.109504132231407</v>
      </c>
      <c r="AF122" s="202" t="s">
        <v>114</v>
      </c>
      <c r="AG122" s="204">
        <f>225000/AG66</f>
        <v>58.109504132231407</v>
      </c>
      <c r="AH122" s="202" t="s">
        <v>114</v>
      </c>
      <c r="AI122" s="204">
        <f>225000/AI66</f>
        <v>58.109504132231407</v>
      </c>
      <c r="AJ122" s="202" t="s">
        <v>114</v>
      </c>
      <c r="AK122" s="204">
        <f>225000/AK66</f>
        <v>58.109504132231407</v>
      </c>
      <c r="AL122" s="202" t="s">
        <v>114</v>
      </c>
      <c r="AM122" s="204">
        <f>225000/AM66</f>
        <v>58.109504132231407</v>
      </c>
      <c r="AN122" s="202" t="s">
        <v>114</v>
      </c>
      <c r="AO122" s="204">
        <f>225000/AO66</f>
        <v>58.109504132231407</v>
      </c>
      <c r="AP122" s="202" t="s">
        <v>114</v>
      </c>
      <c r="AQ122" s="204">
        <f>225000/AQ66</f>
        <v>58.109504132231407</v>
      </c>
      <c r="AR122" s="202" t="s">
        <v>114</v>
      </c>
      <c r="AS122" s="204">
        <f>225000/AS66</f>
        <v>58.109504132231407</v>
      </c>
      <c r="AT122" s="202" t="s">
        <v>114</v>
      </c>
      <c r="AU122" s="204">
        <f>225000/AU66</f>
        <v>58.109504132231407</v>
      </c>
      <c r="AV122" s="202" t="s">
        <v>114</v>
      </c>
      <c r="AW122" s="204">
        <f>225000/AW66</f>
        <v>58.109504132231407</v>
      </c>
      <c r="AX122" s="202" t="s">
        <v>114</v>
      </c>
      <c r="AY122" s="204">
        <f>225000/AY66</f>
        <v>58.109504132231407</v>
      </c>
      <c r="AZ122" s="202" t="s">
        <v>114</v>
      </c>
      <c r="BA122" s="204">
        <f>225000/BA66</f>
        <v>58.109504132231407</v>
      </c>
      <c r="BB122" s="202" t="s">
        <v>114</v>
      </c>
      <c r="BC122" s="204">
        <f>225000/BC66</f>
        <v>58.109504132231407</v>
      </c>
      <c r="BD122" s="202" t="s">
        <v>114</v>
      </c>
      <c r="BE122" s="204">
        <f>225000/BE66</f>
        <v>58.109504132231407</v>
      </c>
      <c r="BF122" s="202" t="s">
        <v>114</v>
      </c>
      <c r="BG122" s="204">
        <f>225000/BG66</f>
        <v>58.109504132231407</v>
      </c>
      <c r="BH122" s="202" t="s">
        <v>114</v>
      </c>
      <c r="BI122" s="204">
        <f>225000/BI66</f>
        <v>58.109504132231407</v>
      </c>
      <c r="BJ122" s="202" t="s">
        <v>114</v>
      </c>
      <c r="BK122" s="204">
        <f>225000/BK66</f>
        <v>58.109504132231407</v>
      </c>
      <c r="BL122" s="202" t="s">
        <v>114</v>
      </c>
      <c r="BM122" s="204">
        <f>225000/BM66</f>
        <v>58.109504132231407</v>
      </c>
      <c r="BN122" s="202" t="s">
        <v>114</v>
      </c>
      <c r="BO122" s="204">
        <f>225000/BO66</f>
        <v>58.109504132231407</v>
      </c>
      <c r="BP122" s="202" t="s">
        <v>114</v>
      </c>
      <c r="BQ122" s="204">
        <f>225000/BQ66</f>
        <v>58.109504132231407</v>
      </c>
      <c r="BR122" s="202" t="s">
        <v>114</v>
      </c>
      <c r="BS122" s="204">
        <f>225000/BS66</f>
        <v>58.109504132231407</v>
      </c>
      <c r="BT122" s="202" t="s">
        <v>114</v>
      </c>
      <c r="BU122" s="204">
        <f>225000/BU66</f>
        <v>58.109504132231407</v>
      </c>
      <c r="BV122" s="202" t="s">
        <v>114</v>
      </c>
      <c r="BW122" s="204">
        <f>225000/BW66</f>
        <v>58.109504132231407</v>
      </c>
      <c r="BX122" s="202" t="s">
        <v>114</v>
      </c>
      <c r="BY122" s="204">
        <f>225000/BY66</f>
        <v>58.109504132231407</v>
      </c>
      <c r="BZ122" s="202" t="s">
        <v>114</v>
      </c>
      <c r="CA122" s="204">
        <f>225000/CA66</f>
        <v>58.109504132231407</v>
      </c>
      <c r="CB122" s="202" t="s">
        <v>114</v>
      </c>
      <c r="CC122" s="204">
        <f>(225000+45000)/CC66</f>
        <v>69.731404958677686</v>
      </c>
      <c r="CD122" s="202" t="s">
        <v>114</v>
      </c>
      <c r="CE122" s="204">
        <f>225000/CE66</f>
        <v>58.109504132231407</v>
      </c>
      <c r="CF122" s="620"/>
      <c r="CG122" s="620"/>
      <c r="CH122" s="620"/>
      <c r="CI122" s="620"/>
      <c r="CJ122" s="202" t="s">
        <v>114</v>
      </c>
      <c r="CK122" s="204">
        <f>225000/CK66</f>
        <v>58.109504132231407</v>
      </c>
      <c r="CL122" s="202" t="s">
        <v>114</v>
      </c>
      <c r="CM122" s="204">
        <f>225000/CM66</f>
        <v>58.109504132231407</v>
      </c>
      <c r="CN122" s="202" t="s">
        <v>114</v>
      </c>
      <c r="CO122" s="204">
        <f>225000/CO66</f>
        <v>58.109504132231407</v>
      </c>
      <c r="CP122" s="202" t="s">
        <v>114</v>
      </c>
      <c r="CQ122" s="204">
        <f>225000/CQ66</f>
        <v>58.109504132231407</v>
      </c>
      <c r="CR122" s="202" t="s">
        <v>114</v>
      </c>
      <c r="CS122" s="204">
        <f>225000/CS66</f>
        <v>58.109504132231407</v>
      </c>
      <c r="CT122" s="202" t="s">
        <v>114</v>
      </c>
      <c r="CU122" s="204">
        <f>225000/CU66</f>
        <v>58.109504132231407</v>
      </c>
      <c r="CV122" s="202" t="s">
        <v>114</v>
      </c>
      <c r="CW122" s="204">
        <f>225000/CW66</f>
        <v>58.109504132231407</v>
      </c>
      <c r="CX122" s="202" t="s">
        <v>114</v>
      </c>
      <c r="CY122" s="204">
        <f>225000/CY66</f>
        <v>58.109504132231407</v>
      </c>
      <c r="DA122" s="202" t="s">
        <v>114</v>
      </c>
      <c r="DB122" s="204">
        <f>225000/DB66</f>
        <v>58.109504132231407</v>
      </c>
      <c r="DC122" s="202" t="s">
        <v>114</v>
      </c>
      <c r="DD122" s="204">
        <f>225000/DD66</f>
        <v>58.109504132231407</v>
      </c>
      <c r="DE122" s="202" t="s">
        <v>114</v>
      </c>
      <c r="DF122" s="204">
        <f>225000/DF66</f>
        <v>58.109504132231407</v>
      </c>
      <c r="DG122" s="202" t="s">
        <v>114</v>
      </c>
      <c r="DH122" s="204">
        <f>225000/DH66</f>
        <v>58.109504132231407</v>
      </c>
      <c r="DI122" s="202" t="s">
        <v>114</v>
      </c>
      <c r="DJ122" s="204">
        <f>225000/DJ66</f>
        <v>58.109504132231407</v>
      </c>
      <c r="DK122" s="202" t="s">
        <v>114</v>
      </c>
      <c r="DL122" s="204">
        <f>225000/DL66</f>
        <v>58.109504132231407</v>
      </c>
      <c r="DM122" s="202" t="s">
        <v>114</v>
      </c>
      <c r="DN122" s="204">
        <f>225000/DN66</f>
        <v>58.109504132231407</v>
      </c>
      <c r="DO122" s="202" t="s">
        <v>114</v>
      </c>
      <c r="DP122" s="204">
        <f>225000/DP66</f>
        <v>58.109504132231407</v>
      </c>
      <c r="DR122" s="202" t="s">
        <v>114</v>
      </c>
      <c r="DS122" s="204">
        <f>225000/DS66</f>
        <v>56.25</v>
      </c>
      <c r="DT122" s="202" t="s">
        <v>114</v>
      </c>
      <c r="DU122" s="204">
        <f>225000/DU66</f>
        <v>58.109504132231407</v>
      </c>
    </row>
    <row r="123" spans="1:125" s="4" customFormat="1" ht="18" customHeight="1" outlineLevel="2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643.09788223140492</v>
      </c>
      <c r="H123" s="208" t="s">
        <v>114</v>
      </c>
      <c r="I123" s="209">
        <f>(175*I79)/I66</f>
        <v>643.09788223140492</v>
      </c>
      <c r="J123" s="208" t="s">
        <v>114</v>
      </c>
      <c r="K123" s="209">
        <f>(175*K79)/K66</f>
        <v>643.09788223140492</v>
      </c>
      <c r="L123" s="208" t="s">
        <v>114</v>
      </c>
      <c r="M123" s="209">
        <f>(175*M79)/M66</f>
        <v>643.09788223140492</v>
      </c>
      <c r="N123" s="208" t="s">
        <v>114</v>
      </c>
      <c r="O123" s="209">
        <f>(175*O79)/O66</f>
        <v>647.61751033057851</v>
      </c>
      <c r="P123" s="208" t="s">
        <v>114</v>
      </c>
      <c r="Q123" s="209">
        <f>(175*Q79)/Q66</f>
        <v>641.78719008264466</v>
      </c>
      <c r="R123" s="208" t="s">
        <v>114</v>
      </c>
      <c r="S123" s="209">
        <f>(175*S79)/S66</f>
        <v>641.78719008264466</v>
      </c>
      <c r="T123" s="208" t="s">
        <v>114</v>
      </c>
      <c r="U123" s="209">
        <f>(175*U79)/U66</f>
        <v>648.70222107438019</v>
      </c>
      <c r="V123" s="208" t="s">
        <v>114</v>
      </c>
      <c r="W123" s="209">
        <f>(175*W79)/W66</f>
        <v>648.43104338842977</v>
      </c>
      <c r="X123" s="208" t="s">
        <v>114</v>
      </c>
      <c r="Y123" s="209">
        <f>(175*Y79)/Y66</f>
        <v>649.33496900826447</v>
      </c>
      <c r="Z123" s="208" t="s">
        <v>114</v>
      </c>
      <c r="AA123" s="209">
        <f>(175*AA79)/AA66</f>
        <v>660.63403925619832</v>
      </c>
      <c r="AB123" s="208" t="s">
        <v>114</v>
      </c>
      <c r="AC123" s="209">
        <f>(175*AC79)/AC66</f>
        <v>663.16503099173553</v>
      </c>
      <c r="AD123" s="208" t="s">
        <v>114</v>
      </c>
      <c r="AE123" s="209">
        <f>(175*AE79)/AE66</f>
        <v>676.9950929752066</v>
      </c>
      <c r="AF123" s="208" t="s">
        <v>114</v>
      </c>
      <c r="AG123" s="209">
        <f>(175*AG79)/AG66</f>
        <v>671.3003615702479</v>
      </c>
      <c r="AH123" s="208" t="s">
        <v>114</v>
      </c>
      <c r="AI123" s="209">
        <f>(175*AI79)/AI66</f>
        <v>679.61647727272725</v>
      </c>
      <c r="AJ123" s="208" t="s">
        <v>114</v>
      </c>
      <c r="AK123" s="209">
        <f>(175*AK79)/AK66</f>
        <v>696.83626033057851</v>
      </c>
      <c r="AL123" s="208" t="s">
        <v>114</v>
      </c>
      <c r="AM123" s="209">
        <f>(175*AM79)/AM66</f>
        <v>707.09581611570252</v>
      </c>
      <c r="AN123" s="208" t="s">
        <v>114</v>
      </c>
      <c r="AO123" s="209">
        <f>(175*AO79)/AO66</f>
        <v>706.10149793388427</v>
      </c>
      <c r="AP123" s="208" t="s">
        <v>114</v>
      </c>
      <c r="AQ123" s="209">
        <f>(175*AQ79)/AQ66</f>
        <v>692.85898760330576</v>
      </c>
      <c r="AR123" s="208" t="s">
        <v>114</v>
      </c>
      <c r="AS123" s="209">
        <f>(175*AS79)/AS66</f>
        <v>682.19266528925618</v>
      </c>
      <c r="AT123" s="208" t="s">
        <v>114</v>
      </c>
      <c r="AU123" s="209">
        <f>(175*AU79)/AU66</f>
        <v>690.37319214876038</v>
      </c>
      <c r="AV123" s="208" t="s">
        <v>114</v>
      </c>
      <c r="AW123" s="209">
        <f>(175*AW79)/AW66</f>
        <v>671.34555785123962</v>
      </c>
      <c r="AX123" s="208" t="s">
        <v>114</v>
      </c>
      <c r="AY123" s="209">
        <f>(175*AY79)/AY66</f>
        <v>667.9933496900826</v>
      </c>
      <c r="AZ123" s="208" t="s">
        <v>114</v>
      </c>
      <c r="BA123" s="209">
        <f>(175*BA79)/BA66</f>
        <v>675.23243801652893</v>
      </c>
      <c r="BB123" s="208" t="s">
        <v>114</v>
      </c>
      <c r="BC123" s="209">
        <f>(175*BC79)/BC66</f>
        <v>675.23243801652893</v>
      </c>
      <c r="BD123" s="208" t="s">
        <v>114</v>
      </c>
      <c r="BE123" s="209">
        <f>(175*BE79)/BE66</f>
        <v>677.94421487603302</v>
      </c>
      <c r="BF123" s="208" t="s">
        <v>114</v>
      </c>
      <c r="BG123" s="209">
        <f>(175*BG79)/BG66</f>
        <v>677.94421487603302</v>
      </c>
      <c r="BH123" s="208" t="s">
        <v>114</v>
      </c>
      <c r="BI123" s="209">
        <f>(175*BI79)/BI66</f>
        <v>701.44628099173553</v>
      </c>
      <c r="BJ123" s="208" t="s">
        <v>114</v>
      </c>
      <c r="BK123" s="209">
        <f>(175*BK79)/BK66</f>
        <v>708.76807851239664</v>
      </c>
      <c r="BL123" s="208" t="s">
        <v>114</v>
      </c>
      <c r="BM123" s="209">
        <f>(175*BM79)/BM66</f>
        <v>726.07825413223145</v>
      </c>
      <c r="BN123" s="208" t="s">
        <v>114</v>
      </c>
      <c r="BO123" s="209">
        <f>(175*BO79)/BO66</f>
        <v>726.62060950413218</v>
      </c>
      <c r="BP123" s="208" t="s">
        <v>114</v>
      </c>
      <c r="BQ123" s="209">
        <f>(175*BQ79)/BQ66</f>
        <v>736.11182851239664</v>
      </c>
      <c r="BR123" s="208" t="s">
        <v>114</v>
      </c>
      <c r="BS123" s="209">
        <f>(175*BS79)/BS66</f>
        <v>735.07231404958679</v>
      </c>
      <c r="BT123" s="208" t="s">
        <v>114</v>
      </c>
      <c r="BU123" s="209">
        <f>(175*BU79)/BU66</f>
        <v>721.6490185950413</v>
      </c>
      <c r="BV123" s="208" t="s">
        <v>114</v>
      </c>
      <c r="BW123" s="209">
        <f>(175*BW79)/BW66</f>
        <v>695.25439049586782</v>
      </c>
      <c r="BX123" s="208" t="s">
        <v>114</v>
      </c>
      <c r="BY123" s="209">
        <f>(175*BY79)/BY66</f>
        <v>699.63842975206614</v>
      </c>
      <c r="BZ123" s="208" t="s">
        <v>114</v>
      </c>
      <c r="CA123" s="209">
        <f>(175*CA79)/CA66</f>
        <v>712.70015495867767</v>
      </c>
      <c r="CB123" s="208" t="s">
        <v>114</v>
      </c>
      <c r="CC123" s="209">
        <f t="shared" ref="CC123" si="238">(175*CC79)/CC66</f>
        <v>721.875</v>
      </c>
      <c r="CD123" s="208" t="s">
        <v>114</v>
      </c>
      <c r="CE123" s="209">
        <f>(175*CE79)/CE66</f>
        <v>708.76807851239664</v>
      </c>
      <c r="CF123" s="620"/>
      <c r="CG123" s="620"/>
      <c r="CH123" s="620"/>
      <c r="CI123" s="620"/>
      <c r="CJ123" s="208" t="s">
        <v>114</v>
      </c>
      <c r="CK123" s="209">
        <f>(175*CK79)/CK66</f>
        <v>648.11604897010784</v>
      </c>
      <c r="CL123" s="208" t="s">
        <v>114</v>
      </c>
      <c r="CM123" s="209">
        <f>(175*CM79)/CM66</f>
        <v>658.08829389203629</v>
      </c>
      <c r="CN123" s="208" t="s">
        <v>114</v>
      </c>
      <c r="CO123" s="209">
        <f>(175*CO79)/CO66</f>
        <v>677.46219618175314</v>
      </c>
      <c r="CP123" s="208" t="s">
        <v>114</v>
      </c>
      <c r="CQ123" s="209">
        <f>(175*CQ79)/CQ66</f>
        <v>677.94421487603302</v>
      </c>
      <c r="CR123" s="208" t="s">
        <v>114</v>
      </c>
      <c r="CS123" s="209">
        <f>(175*CS79)/CS66</f>
        <v>652.47454902006893</v>
      </c>
      <c r="CT123" s="208" t="s">
        <v>114</v>
      </c>
      <c r="CU123" s="209">
        <f>(175*CU79)/CU66</f>
        <v>668.90495867768595</v>
      </c>
      <c r="CV123" s="208" t="s">
        <v>114</v>
      </c>
      <c r="CW123" s="209">
        <f>(175*CW79)/CW66</f>
        <v>696.02272727272725</v>
      </c>
      <c r="CX123" s="208" t="s">
        <v>114</v>
      </c>
      <c r="CY123" s="209">
        <f>(175*CY79)/CY66</f>
        <v>696.02272727272725</v>
      </c>
      <c r="DA123" s="208" t="s">
        <v>114</v>
      </c>
      <c r="DB123" s="209">
        <f>(175*DB79)/DB66</f>
        <v>710.16916322314046</v>
      </c>
      <c r="DC123" s="208" t="s">
        <v>114</v>
      </c>
      <c r="DD123" s="209">
        <f>(175*DD79)/DD66</f>
        <v>709.08445247933889</v>
      </c>
      <c r="DE123" s="208" t="s">
        <v>114</v>
      </c>
      <c r="DF123" s="209">
        <f>(175*DF79)/DF66</f>
        <v>709.62680785123962</v>
      </c>
      <c r="DG123" s="208" t="s">
        <v>114</v>
      </c>
      <c r="DH123" s="209">
        <f>(175*DH79)/DH66</f>
        <v>708.76807851239664</v>
      </c>
      <c r="DI123" s="208" t="s">
        <v>114</v>
      </c>
      <c r="DJ123" s="209">
        <f>(175*DJ79)/DJ66</f>
        <v>726.62060950413218</v>
      </c>
      <c r="DK123" s="208" t="s">
        <v>114</v>
      </c>
      <c r="DL123" s="209">
        <f>(175*DL79)/DL66</f>
        <v>736.11182851239664</v>
      </c>
      <c r="DM123" s="208" t="s">
        <v>114</v>
      </c>
      <c r="DN123" s="209">
        <f>(175*DN79)/DN66</f>
        <v>736.11182851239664</v>
      </c>
      <c r="DO123" s="208" t="s">
        <v>114</v>
      </c>
      <c r="DP123" s="209">
        <f>(175*DP79)/DP66</f>
        <v>708.76807851239664</v>
      </c>
      <c r="DR123" s="208" t="s">
        <v>114</v>
      </c>
      <c r="DS123" s="209">
        <f>(175*DS79)/DS66</f>
        <v>678.125</v>
      </c>
      <c r="DT123" s="208" t="s">
        <v>114</v>
      </c>
      <c r="DU123" s="209">
        <f>(175*DU79)/DU66</f>
        <v>700.54235537190084</v>
      </c>
    </row>
    <row r="124" spans="1:125" ht="15" customHeight="1" outlineLevel="1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359"/>
      <c r="O124" s="1094">
        <f>O99+N72</f>
        <v>6.239525414606667E-2</v>
      </c>
      <c r="P124" s="1095"/>
      <c r="Q124" s="1094"/>
      <c r="R124" s="1095"/>
      <c r="S124" s="1094"/>
      <c r="T124" s="1095"/>
      <c r="U124" s="1094">
        <f>U99+T72</f>
        <v>2.1855400501069679E-2</v>
      </c>
      <c r="V124" s="1095"/>
      <c r="W124" s="1094">
        <f>W99+V72</f>
        <v>1.932140711704021E-2</v>
      </c>
      <c r="X124" s="1095"/>
      <c r="Y124" s="1094">
        <f>Y99+X72</f>
        <v>-2.0153959375097372E-2</v>
      </c>
      <c r="Z124" s="1095"/>
      <c r="AA124" s="1094">
        <f>AA99+Z72</f>
        <v>3.3752941726477678E-2</v>
      </c>
      <c r="AB124" s="1095"/>
      <c r="AC124" s="1094">
        <f>AC99+AB72</f>
        <v>5.9769853653482634E-2</v>
      </c>
      <c r="AD124" s="1095"/>
      <c r="AE124" s="1094">
        <f>AE99+AD72</f>
        <v>6.5165068852384447E-2</v>
      </c>
      <c r="AF124" s="1095"/>
      <c r="AG124" s="1094">
        <f>AG99+AF72</f>
        <v>8.3688339609186632E-2</v>
      </c>
      <c r="AH124" s="1095"/>
      <c r="AI124" s="1094">
        <f>AI99+AH72</f>
        <v>0.14126849967392607</v>
      </c>
      <c r="AJ124" s="1095"/>
      <c r="AK124" s="1094">
        <f>AK99+AJ72</f>
        <v>0.16983104928401213</v>
      </c>
      <c r="AL124" s="1095"/>
      <c r="AM124" s="1094">
        <f>AM99+AL72</f>
        <v>0.18615896292528891</v>
      </c>
      <c r="AN124" s="1095"/>
      <c r="AO124" s="1094">
        <f>AO99+AN72</f>
        <v>0.13295235715132983</v>
      </c>
      <c r="AP124" s="1095"/>
      <c r="AQ124" s="1094">
        <f>AQ99+AP72</f>
        <v>0.10803994843058477</v>
      </c>
      <c r="AR124" s="1095"/>
      <c r="AS124" s="1094">
        <f>AS99+AR72</f>
        <v>0.10244255132022126</v>
      </c>
      <c r="AT124" s="1095"/>
      <c r="AU124" s="1094">
        <f>AU99+AT72</f>
        <v>0.12597820828256123</v>
      </c>
      <c r="AV124" s="1095"/>
      <c r="AW124" s="1094">
        <f>AW99+AV72</f>
        <v>8.8396019912256818E-2</v>
      </c>
      <c r="AX124" s="1095"/>
      <c r="AY124" s="1094">
        <f>AY99+AX72</f>
        <v>8.5198459458936518E-2</v>
      </c>
      <c r="AZ124" s="1095"/>
      <c r="BA124" s="1094">
        <f>BA99+AZ72</f>
        <v>0.11328544330876578</v>
      </c>
      <c r="BB124" s="1095"/>
      <c r="BC124" s="1094">
        <f>BC99+BB72</f>
        <v>0.12623410347607719</v>
      </c>
      <c r="BD124" s="1095"/>
      <c r="BE124" s="1094">
        <f>BE99+BD72</f>
        <v>0.13344842648248731</v>
      </c>
      <c r="BF124" s="1095"/>
      <c r="BG124" s="1094">
        <f>BG99+BF72</f>
        <v>0.13344842648248731</v>
      </c>
      <c r="BH124" s="1095"/>
      <c r="BI124" s="1094">
        <f>BI99+BH72</f>
        <v>0.19629672939913811</v>
      </c>
      <c r="BJ124" s="1095"/>
      <c r="BK124" s="1094">
        <f>BK99+BJ72</f>
        <v>0.16497497228677499</v>
      </c>
      <c r="BL124" s="1095"/>
      <c r="BM124" s="1094">
        <f>BM99+BL72</f>
        <v>0.18558732382101478</v>
      </c>
      <c r="BN124" s="1095"/>
      <c r="BO124" s="1094">
        <f>BO99+BN72</f>
        <v>0.18225795075313289</v>
      </c>
      <c r="BP124" s="1095"/>
      <c r="BQ124" s="1094">
        <f>BQ99+BP72</f>
        <v>0.21549820689505489</v>
      </c>
      <c r="BR124" s="1095"/>
      <c r="BS124" s="1094">
        <f>BS99+BR72</f>
        <v>0.19789871016625663</v>
      </c>
      <c r="BT124" s="1095"/>
      <c r="BU124" s="1094">
        <f>BU99+BT72</f>
        <v>0.17808407279310959</v>
      </c>
      <c r="BV124" s="1095"/>
      <c r="BW124" s="1094">
        <f>BW99+BV72</f>
        <v>0.14406486339977076</v>
      </c>
      <c r="BX124" s="1095"/>
      <c r="BY124" s="1094">
        <f>BY99+BX72</f>
        <v>0.15470211802542352</v>
      </c>
      <c r="BZ124" s="1095"/>
      <c r="CA124" s="1094">
        <f>CA99+BZ72</f>
        <v>0.1911979313489964</v>
      </c>
      <c r="CB124" s="1095"/>
      <c r="CC124" s="1094">
        <f>CC99+CB72</f>
        <v>0.20494712966364151</v>
      </c>
      <c r="CD124" s="1095"/>
      <c r="CE124" s="1094">
        <f>CE99+CD72</f>
        <v>0.16724277540048849</v>
      </c>
      <c r="CF124" s="620"/>
      <c r="CG124" s="620"/>
      <c r="CH124" s="620"/>
      <c r="CI124" s="620"/>
      <c r="CJ124" s="1095"/>
      <c r="CK124" s="1094">
        <f>CK99+CJ72</f>
        <v>3.9677163854619654E-2</v>
      </c>
      <c r="CL124" s="1095"/>
      <c r="CM124" s="1094">
        <f>CM99+CL72</f>
        <v>2.7269983612046092E-2</v>
      </c>
      <c r="CN124" s="1095"/>
      <c r="CO124" s="1094">
        <f>CO99+CN72</f>
        <v>0.11372368769378949</v>
      </c>
      <c r="CP124" s="1095"/>
      <c r="CQ124" s="1094">
        <f>CQ99+CP72</f>
        <v>6.3000931071884536E-2</v>
      </c>
      <c r="CR124" s="1095"/>
      <c r="CS124" s="1094">
        <f>CS99+CR72</f>
        <v>3.4008833130944688E-2</v>
      </c>
      <c r="CT124" s="1095"/>
      <c r="CU124" s="1094">
        <f>CU99+CT72</f>
        <v>0.10427881880210044</v>
      </c>
      <c r="CV124" s="1095"/>
      <c r="CW124" s="1094">
        <f>CW99+CV72</f>
        <v>6.1020070838252657E-2</v>
      </c>
      <c r="CX124" s="1095"/>
      <c r="CY124" s="1094">
        <f>CY99+CX72</f>
        <v>7.0895844731764968E-2</v>
      </c>
      <c r="DA124" s="1095"/>
      <c r="DB124" s="1094">
        <f>DB99+DA72</f>
        <v>0.29517117343250693</v>
      </c>
      <c r="DC124" s="1095"/>
      <c r="DD124" s="1094">
        <f>DD99+DC72</f>
        <v>0.28733964507502174</v>
      </c>
      <c r="DE124" s="1095"/>
      <c r="DF124" s="1094">
        <f>DF99+DE72</f>
        <v>0.24795538214630575</v>
      </c>
      <c r="DG124" s="1095"/>
      <c r="DH124" s="1094">
        <f>DH99+DG72</f>
        <v>0.22248434767923947</v>
      </c>
      <c r="DI124" s="1095"/>
      <c r="DJ124" s="1094">
        <f>DJ99+DI72</f>
        <v>0.22247077151127473</v>
      </c>
      <c r="DK124" s="1095"/>
      <c r="DL124" s="1094">
        <f>DL99+DK72</f>
        <v>0.24637434483859905</v>
      </c>
      <c r="DM124" s="1095"/>
      <c r="DN124" s="1094">
        <f>DN99+DM72</f>
        <v>0.2149932566147178</v>
      </c>
      <c r="DO124" s="1095"/>
      <c r="DP124" s="1094">
        <f>DP99+DO72</f>
        <v>0.22505933437103792</v>
      </c>
      <c r="DR124" s="1095"/>
      <c r="DS124" s="1094">
        <f>DS99+DR72</f>
        <v>0.18554674439090865</v>
      </c>
      <c r="DT124" s="1095"/>
      <c r="DU124" s="1094">
        <f>DU99+DT72</f>
        <v>0.14288562660963375</v>
      </c>
    </row>
    <row r="125" spans="1:125" ht="15" customHeight="1" outlineLevel="3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33580560</v>
      </c>
      <c r="H125" s="214"/>
      <c r="I125" s="215">
        <v>33580560</v>
      </c>
      <c r="J125" s="214"/>
      <c r="K125" s="215">
        <v>33580560</v>
      </c>
      <c r="L125" s="214"/>
      <c r="M125" s="215">
        <v>33580560</v>
      </c>
      <c r="N125" s="214"/>
      <c r="O125" s="215">
        <v>33580560</v>
      </c>
      <c r="P125" s="214"/>
      <c r="Q125" s="215">
        <v>33580560</v>
      </c>
      <c r="R125" s="214"/>
      <c r="S125" s="215">
        <v>33580560</v>
      </c>
      <c r="T125" s="214"/>
      <c r="U125" s="215">
        <v>33580560</v>
      </c>
      <c r="V125" s="214"/>
      <c r="W125" s="215">
        <v>33580560</v>
      </c>
      <c r="X125" s="214"/>
      <c r="Y125" s="215">
        <v>33580560</v>
      </c>
      <c r="Z125" s="214"/>
      <c r="AA125" s="215">
        <v>33580560</v>
      </c>
      <c r="AB125" s="214"/>
      <c r="AC125" s="215">
        <v>33580560</v>
      </c>
      <c r="AD125" s="214"/>
      <c r="AE125" s="215">
        <v>33580560</v>
      </c>
      <c r="AF125" s="214"/>
      <c r="AG125" s="215">
        <v>33580560</v>
      </c>
      <c r="AH125" s="214"/>
      <c r="AI125" s="215">
        <v>33580560</v>
      </c>
      <c r="AJ125" s="214"/>
      <c r="AK125" s="215">
        <v>33580560</v>
      </c>
      <c r="AL125" s="214"/>
      <c r="AM125" s="215">
        <v>33580560</v>
      </c>
      <c r="AN125" s="214"/>
      <c r="AO125" s="215">
        <v>33580560</v>
      </c>
      <c r="AP125" s="214"/>
      <c r="AQ125" s="215">
        <v>33580560</v>
      </c>
      <c r="AR125" s="214"/>
      <c r="AS125" s="215">
        <v>33580560</v>
      </c>
      <c r="AT125" s="214"/>
      <c r="AU125" s="215">
        <v>33580560</v>
      </c>
      <c r="AV125" s="214"/>
      <c r="AW125" s="215">
        <v>33580560</v>
      </c>
      <c r="AX125" s="214"/>
      <c r="AY125" s="215">
        <v>33580560</v>
      </c>
      <c r="AZ125" s="214"/>
      <c r="BA125" s="215">
        <v>33580560</v>
      </c>
      <c r="BB125" s="214"/>
      <c r="BC125" s="215">
        <v>33580560</v>
      </c>
      <c r="BD125" s="214"/>
      <c r="BE125" s="215">
        <v>33580560</v>
      </c>
      <c r="BF125" s="214"/>
      <c r="BG125" s="215">
        <v>33580560</v>
      </c>
      <c r="BH125" s="214"/>
      <c r="BI125" s="215">
        <v>33580560</v>
      </c>
      <c r="BJ125" s="214"/>
      <c r="BK125" s="215">
        <v>33580560</v>
      </c>
      <c r="BL125" s="214"/>
      <c r="BM125" s="215">
        <v>33580560</v>
      </c>
      <c r="BN125" s="214"/>
      <c r="BO125" s="215">
        <v>33580560</v>
      </c>
      <c r="BP125" s="214"/>
      <c r="BQ125" s="215">
        <v>33580560</v>
      </c>
      <c r="BR125" s="214"/>
      <c r="BS125" s="215">
        <v>33580560</v>
      </c>
      <c r="BT125" s="214"/>
      <c r="BU125" s="215">
        <v>33580560</v>
      </c>
      <c r="BV125" s="214"/>
      <c r="BW125" s="215">
        <v>33580560</v>
      </c>
      <c r="BX125" s="214"/>
      <c r="BY125" s="215">
        <v>33580560</v>
      </c>
      <c r="BZ125" s="214"/>
      <c r="CA125" s="215">
        <v>33580560</v>
      </c>
      <c r="CB125" s="214"/>
      <c r="CC125" s="215">
        <v>33580560</v>
      </c>
      <c r="CD125" s="214"/>
      <c r="CE125" s="215">
        <v>33580560</v>
      </c>
      <c r="CF125" s="620"/>
      <c r="CG125" s="620"/>
      <c r="CH125" s="620"/>
      <c r="CI125" s="620"/>
      <c r="CJ125" s="214"/>
      <c r="CK125" s="215">
        <v>33580560</v>
      </c>
      <c r="CL125" s="214"/>
      <c r="CM125" s="215">
        <v>33580560</v>
      </c>
      <c r="CN125" s="214"/>
      <c r="CO125" s="215">
        <v>33580560</v>
      </c>
      <c r="CP125" s="214"/>
      <c r="CQ125" s="215">
        <v>33580560</v>
      </c>
      <c r="CR125" s="214"/>
      <c r="CS125" s="215">
        <v>33580560</v>
      </c>
      <c r="CT125" s="214"/>
      <c r="CU125" s="215">
        <v>33580560</v>
      </c>
      <c r="CV125" s="214"/>
      <c r="CW125" s="215">
        <v>33580560</v>
      </c>
      <c r="CX125" s="214"/>
      <c r="CY125" s="215">
        <v>33580560</v>
      </c>
      <c r="DA125" s="214"/>
      <c r="DB125" s="215">
        <v>33580560</v>
      </c>
      <c r="DC125" s="214"/>
      <c r="DD125" s="215">
        <v>33580560</v>
      </c>
      <c r="DE125" s="214"/>
      <c r="DF125" s="215">
        <v>33580560</v>
      </c>
      <c r="DG125" s="214"/>
      <c r="DH125" s="215">
        <v>33580560</v>
      </c>
      <c r="DI125" s="214"/>
      <c r="DJ125" s="215">
        <v>33580560</v>
      </c>
      <c r="DK125" s="214"/>
      <c r="DL125" s="215">
        <v>33580560</v>
      </c>
      <c r="DM125" s="214"/>
      <c r="DN125" s="215">
        <v>33580560</v>
      </c>
      <c r="DO125" s="214"/>
      <c r="DP125" s="215">
        <v>33580560</v>
      </c>
      <c r="DR125" s="214"/>
      <c r="DS125" s="215">
        <v>33580560</v>
      </c>
      <c r="DT125" s="214"/>
      <c r="DU125" s="215">
        <v>33580560</v>
      </c>
    </row>
    <row r="126" spans="1:125" ht="15" customHeight="1" outlineLevel="3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>
        <f>O125/O10</f>
        <v>839514</v>
      </c>
      <c r="P126" s="214"/>
      <c r="Q126" s="215">
        <f>Q125/Q10</f>
        <v>839514</v>
      </c>
      <c r="R126" s="214"/>
      <c r="S126" s="215">
        <f>S125/S10</f>
        <v>839514</v>
      </c>
      <c r="T126" s="214"/>
      <c r="U126" s="215">
        <f>U125/U10</f>
        <v>839514</v>
      </c>
      <c r="V126" s="214"/>
      <c r="W126" s="215">
        <f>W125/W10</f>
        <v>839514</v>
      </c>
      <c r="X126" s="214"/>
      <c r="Y126" s="215">
        <f>Y125/Y10</f>
        <v>839514</v>
      </c>
      <c r="Z126" s="214"/>
      <c r="AA126" s="215">
        <f>AA125/AA10</f>
        <v>839514</v>
      </c>
      <c r="AB126" s="214"/>
      <c r="AC126" s="215">
        <f>AC125/AC10</f>
        <v>839514</v>
      </c>
      <c r="AD126" s="214"/>
      <c r="AE126" s="215">
        <f>AE125/AE10</f>
        <v>839514</v>
      </c>
      <c r="AF126" s="214"/>
      <c r="AG126" s="215">
        <f>AG125/AG10</f>
        <v>839514</v>
      </c>
      <c r="AH126" s="214"/>
      <c r="AI126" s="215">
        <f>AI125/AI10</f>
        <v>839514</v>
      </c>
      <c r="AJ126" s="214"/>
      <c r="AK126" s="215">
        <f>AK125/AK10</f>
        <v>839514</v>
      </c>
      <c r="AL126" s="214"/>
      <c r="AM126" s="215">
        <f>AM125/AM10</f>
        <v>839514</v>
      </c>
      <c r="AN126" s="214"/>
      <c r="AO126" s="215">
        <f>AO125/AO10</f>
        <v>839514</v>
      </c>
      <c r="AP126" s="214"/>
      <c r="AQ126" s="215">
        <f>AQ125/AQ10</f>
        <v>839514</v>
      </c>
      <c r="AR126" s="214"/>
      <c r="AS126" s="215">
        <f>AS125/AS10</f>
        <v>839514</v>
      </c>
      <c r="AT126" s="214"/>
      <c r="AU126" s="215">
        <f>AU125/AU10</f>
        <v>839514</v>
      </c>
      <c r="AV126" s="214"/>
      <c r="AW126" s="215">
        <f>AW125/AW10</f>
        <v>839514</v>
      </c>
      <c r="AX126" s="214"/>
      <c r="AY126" s="215">
        <f>AY125/AY10</f>
        <v>839514</v>
      </c>
      <c r="AZ126" s="214"/>
      <c r="BA126" s="215">
        <f>BA125/BA10</f>
        <v>839514</v>
      </c>
      <c r="BB126" s="214"/>
      <c r="BC126" s="215">
        <f>BC125/BC10</f>
        <v>839514</v>
      </c>
      <c r="BD126" s="214"/>
      <c r="BE126" s="215">
        <f>BE125/BE10</f>
        <v>839514</v>
      </c>
      <c r="BF126" s="214"/>
      <c r="BG126" s="215">
        <f>BG125/BG10</f>
        <v>839514</v>
      </c>
      <c r="BH126" s="214"/>
      <c r="BI126" s="215">
        <f>BI125/BI10</f>
        <v>839514</v>
      </c>
      <c r="BJ126" s="214"/>
      <c r="BK126" s="215">
        <f>BK125/BK10</f>
        <v>839514</v>
      </c>
      <c r="BL126" s="214"/>
      <c r="BM126" s="215">
        <f>BM125/BM10</f>
        <v>839514</v>
      </c>
      <c r="BN126" s="214"/>
      <c r="BO126" s="215">
        <f>BO125/BO10</f>
        <v>839514</v>
      </c>
      <c r="BP126" s="214"/>
      <c r="BQ126" s="215">
        <f>BQ125/BQ10</f>
        <v>839514</v>
      </c>
      <c r="BR126" s="214"/>
      <c r="BS126" s="215">
        <f>BS125/BS10</f>
        <v>839514</v>
      </c>
      <c r="BT126" s="214"/>
      <c r="BU126" s="215">
        <f>BU125/BU10</f>
        <v>839514</v>
      </c>
      <c r="BV126" s="214"/>
      <c r="BW126" s="215">
        <f>BW125/BW10</f>
        <v>839514</v>
      </c>
      <c r="BX126" s="214"/>
      <c r="BY126" s="215">
        <f>BY125/BY10</f>
        <v>839514</v>
      </c>
      <c r="BZ126" s="214"/>
      <c r="CA126" s="215">
        <f>CA125/CA10</f>
        <v>839514</v>
      </c>
      <c r="CB126" s="214"/>
      <c r="CC126" s="215">
        <f>CC125/CC10</f>
        <v>839514</v>
      </c>
      <c r="CD126" s="214"/>
      <c r="CE126" s="215">
        <f>CE125/CE10</f>
        <v>839514</v>
      </c>
      <c r="CF126" s="620"/>
      <c r="CG126" s="620"/>
      <c r="CH126" s="620"/>
      <c r="CI126" s="620"/>
      <c r="CJ126" s="214"/>
      <c r="CK126" s="215">
        <f>CK125/CK10</f>
        <v>839514</v>
      </c>
      <c r="CL126" s="214"/>
      <c r="CM126" s="215">
        <f>CM125/CM10</f>
        <v>839514</v>
      </c>
      <c r="CN126" s="214"/>
      <c r="CO126" s="215">
        <f>CO125/CO10</f>
        <v>839514</v>
      </c>
      <c r="CP126" s="214"/>
      <c r="CQ126" s="215">
        <f>CQ125/CQ10</f>
        <v>839514</v>
      </c>
      <c r="CR126" s="214"/>
      <c r="CS126" s="215">
        <f>CS125/CS10</f>
        <v>839514</v>
      </c>
      <c r="CT126" s="214"/>
      <c r="CU126" s="215">
        <f>CU125/CU10</f>
        <v>839514</v>
      </c>
      <c r="CV126" s="214"/>
      <c r="CW126" s="215">
        <f>CW125/CW10</f>
        <v>839514</v>
      </c>
      <c r="CX126" s="214"/>
      <c r="CY126" s="215">
        <f>CY125/CY10</f>
        <v>839514</v>
      </c>
      <c r="DA126" s="214"/>
      <c r="DB126" s="215">
        <f>DB125/DB10</f>
        <v>839514</v>
      </c>
      <c r="DC126" s="214"/>
      <c r="DD126" s="215">
        <f>DD125/DD10</f>
        <v>839514</v>
      </c>
      <c r="DE126" s="214"/>
      <c r="DF126" s="215">
        <f>DF125/DF10</f>
        <v>839514</v>
      </c>
      <c r="DG126" s="214"/>
      <c r="DH126" s="215">
        <f>DH125/DH10</f>
        <v>839514</v>
      </c>
      <c r="DI126" s="214"/>
      <c r="DJ126" s="215">
        <f>DJ125/DJ10</f>
        <v>839514</v>
      </c>
      <c r="DK126" s="214"/>
      <c r="DL126" s="215">
        <f>DL125/DL10</f>
        <v>839514</v>
      </c>
      <c r="DM126" s="214"/>
      <c r="DN126" s="215">
        <f>DN125/DN10</f>
        <v>839514</v>
      </c>
      <c r="DO126" s="214"/>
      <c r="DP126" s="215">
        <f>DP125/DP10</f>
        <v>839514</v>
      </c>
      <c r="DR126" s="214"/>
      <c r="DS126" s="215">
        <f>DS125/DS10</f>
        <v>839514</v>
      </c>
      <c r="DT126" s="214"/>
      <c r="DU126" s="215">
        <f>DU125/DU10</f>
        <v>839514</v>
      </c>
    </row>
    <row r="127" spans="1:125" ht="15" customHeight="1" outlineLevel="3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>
        <f>O126/O66</f>
        <v>216.81663223140495</v>
      </c>
      <c r="P127" s="214"/>
      <c r="Q127" s="215">
        <f>Q126/Q66</f>
        <v>216.81663223140495</v>
      </c>
      <c r="R127" s="214"/>
      <c r="S127" s="215">
        <f>S126/S66</f>
        <v>216.81663223140495</v>
      </c>
      <c r="T127" s="214"/>
      <c r="U127" s="215">
        <f>U126/U66</f>
        <v>216.81663223140495</v>
      </c>
      <c r="V127" s="214"/>
      <c r="W127" s="215">
        <f>W126/W66</f>
        <v>216.81663223140495</v>
      </c>
      <c r="X127" s="214"/>
      <c r="Y127" s="215">
        <f>Y126/Y66</f>
        <v>216.81663223140495</v>
      </c>
      <c r="Z127" s="214"/>
      <c r="AA127" s="215">
        <f>AA126/AA66</f>
        <v>216.81663223140495</v>
      </c>
      <c r="AB127" s="214"/>
      <c r="AC127" s="215">
        <f>AC126/AC66</f>
        <v>216.81663223140495</v>
      </c>
      <c r="AD127" s="214"/>
      <c r="AE127" s="215">
        <f>AE126/AE66</f>
        <v>216.81663223140495</v>
      </c>
      <c r="AF127" s="214"/>
      <c r="AG127" s="215">
        <f>AG126/AG66</f>
        <v>216.81663223140495</v>
      </c>
      <c r="AH127" s="214"/>
      <c r="AI127" s="215">
        <f>AI126/AI66</f>
        <v>216.81663223140495</v>
      </c>
      <c r="AJ127" s="214"/>
      <c r="AK127" s="215">
        <f>AK126/AK66</f>
        <v>216.81663223140495</v>
      </c>
      <c r="AL127" s="214"/>
      <c r="AM127" s="215">
        <f>AM126/AM66</f>
        <v>216.81663223140495</v>
      </c>
      <c r="AN127" s="214"/>
      <c r="AO127" s="215">
        <f>AO126/AO66</f>
        <v>216.81663223140495</v>
      </c>
      <c r="AP127" s="214"/>
      <c r="AQ127" s="215">
        <f>AQ126/AQ66</f>
        <v>216.81663223140495</v>
      </c>
      <c r="AR127" s="214"/>
      <c r="AS127" s="215">
        <f>AS126/AS66</f>
        <v>216.81663223140495</v>
      </c>
      <c r="AT127" s="214"/>
      <c r="AU127" s="215">
        <f>AU126/AU66</f>
        <v>216.81663223140495</v>
      </c>
      <c r="AV127" s="214"/>
      <c r="AW127" s="215">
        <f>AW126/AW66</f>
        <v>216.81663223140495</v>
      </c>
      <c r="AX127" s="214"/>
      <c r="AY127" s="215">
        <f>AY126/AY66</f>
        <v>216.81663223140495</v>
      </c>
      <c r="AZ127" s="214"/>
      <c r="BA127" s="215">
        <f>BA126/BA66</f>
        <v>216.81663223140495</v>
      </c>
      <c r="BB127" s="214"/>
      <c r="BC127" s="215">
        <f>BC126/BC66</f>
        <v>216.81663223140495</v>
      </c>
      <c r="BD127" s="214"/>
      <c r="BE127" s="215">
        <f>BE126/BE66</f>
        <v>216.81663223140495</v>
      </c>
      <c r="BF127" s="214"/>
      <c r="BG127" s="215">
        <f>BG126/BG66</f>
        <v>216.81663223140495</v>
      </c>
      <c r="BH127" s="214"/>
      <c r="BI127" s="215">
        <f>BI126/BI66</f>
        <v>216.81663223140495</v>
      </c>
      <c r="BJ127" s="214"/>
      <c r="BK127" s="215">
        <f>BK126/BK66</f>
        <v>216.81663223140495</v>
      </c>
      <c r="BL127" s="214"/>
      <c r="BM127" s="215">
        <f>BM126/BM66</f>
        <v>216.81663223140495</v>
      </c>
      <c r="BN127" s="214"/>
      <c r="BO127" s="215">
        <f>BO126/BO66</f>
        <v>216.81663223140495</v>
      </c>
      <c r="BP127" s="214"/>
      <c r="BQ127" s="215">
        <f>BQ126/BQ66</f>
        <v>216.81663223140495</v>
      </c>
      <c r="BR127" s="214"/>
      <c r="BS127" s="215">
        <f>BS126/BS66</f>
        <v>216.81663223140495</v>
      </c>
      <c r="BT127" s="214"/>
      <c r="BU127" s="215">
        <f>BU126/BU66</f>
        <v>216.81663223140495</v>
      </c>
      <c r="BV127" s="214"/>
      <c r="BW127" s="215">
        <f>BW126/BW66</f>
        <v>216.81663223140495</v>
      </c>
      <c r="BX127" s="214"/>
      <c r="BY127" s="215">
        <f>BY126/BY66</f>
        <v>216.81663223140495</v>
      </c>
      <c r="BZ127" s="214"/>
      <c r="CA127" s="215">
        <f>CA126/CA66</f>
        <v>216.81663223140495</v>
      </c>
      <c r="CB127" s="214"/>
      <c r="CC127" s="215">
        <f>CC126/CC66</f>
        <v>216.81663223140495</v>
      </c>
      <c r="CD127" s="214"/>
      <c r="CE127" s="215">
        <f>CE126/CE66</f>
        <v>216.81663223140495</v>
      </c>
      <c r="CF127" s="620"/>
      <c r="CG127" s="620"/>
      <c r="CH127" s="620"/>
      <c r="CI127" s="620"/>
      <c r="CJ127" s="214"/>
      <c r="CK127" s="215">
        <f>CK126/CK66</f>
        <v>216.81663223140495</v>
      </c>
      <c r="CL127" s="214"/>
      <c r="CM127" s="215">
        <f>CM126/CM66</f>
        <v>216.81663223140495</v>
      </c>
      <c r="CN127" s="214"/>
      <c r="CO127" s="215">
        <f>CO126/CO66</f>
        <v>216.81663223140495</v>
      </c>
      <c r="CP127" s="214"/>
      <c r="CQ127" s="215">
        <f>CQ126/CQ66</f>
        <v>216.81663223140495</v>
      </c>
      <c r="CR127" s="214"/>
      <c r="CS127" s="215">
        <f>CS126/CS66</f>
        <v>216.81663223140495</v>
      </c>
      <c r="CT127" s="214"/>
      <c r="CU127" s="215">
        <f>CU126/CU66</f>
        <v>216.81663223140495</v>
      </c>
      <c r="CV127" s="214"/>
      <c r="CW127" s="215">
        <f>CW126/CW66</f>
        <v>216.81663223140495</v>
      </c>
      <c r="CX127" s="214"/>
      <c r="CY127" s="215">
        <f>CY126/CY66</f>
        <v>216.81663223140495</v>
      </c>
      <c r="DA127" s="214"/>
      <c r="DB127" s="215">
        <f>DB126/DB66</f>
        <v>216.81663223140495</v>
      </c>
      <c r="DC127" s="214"/>
      <c r="DD127" s="215">
        <f>DD126/DD66</f>
        <v>216.81663223140495</v>
      </c>
      <c r="DE127" s="214"/>
      <c r="DF127" s="215">
        <f>DF126/DF66</f>
        <v>216.81663223140495</v>
      </c>
      <c r="DG127" s="214"/>
      <c r="DH127" s="215">
        <f>DH126/DH66</f>
        <v>216.81663223140495</v>
      </c>
      <c r="DI127" s="214"/>
      <c r="DJ127" s="215">
        <f>DJ126/DJ66</f>
        <v>216.81663223140495</v>
      </c>
      <c r="DK127" s="214"/>
      <c r="DL127" s="215">
        <f>DL126/DL66</f>
        <v>216.81663223140495</v>
      </c>
      <c r="DM127" s="214"/>
      <c r="DN127" s="215">
        <f>DN126/DN66</f>
        <v>216.81663223140495</v>
      </c>
      <c r="DO127" s="214"/>
      <c r="DP127" s="215">
        <f>DP126/DP66</f>
        <v>216.81663223140495</v>
      </c>
      <c r="DR127" s="214"/>
      <c r="DS127" s="215">
        <f>DS126/DS66</f>
        <v>209.8785</v>
      </c>
      <c r="DT127" s="214"/>
      <c r="DU127" s="215">
        <f>DU126/DU66</f>
        <v>216.81663223140495</v>
      </c>
    </row>
    <row r="128" spans="1:125" outlineLevel="3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44653360</v>
      </c>
      <c r="H128" s="219"/>
      <c r="I128" s="220">
        <f>G128</f>
        <v>44653360</v>
      </c>
      <c r="J128" s="219"/>
      <c r="K128" s="220">
        <f>I128</f>
        <v>44653360</v>
      </c>
      <c r="L128" s="219"/>
      <c r="M128" s="220">
        <f>K128</f>
        <v>44653360</v>
      </c>
      <c r="N128" s="219"/>
      <c r="O128" s="220">
        <v>44155840</v>
      </c>
      <c r="P128" s="219"/>
      <c r="Q128" s="220">
        <f>O128</f>
        <v>44155840</v>
      </c>
      <c r="R128" s="219"/>
      <c r="S128" s="220">
        <f>Q128</f>
        <v>44155840</v>
      </c>
      <c r="T128" s="219"/>
      <c r="U128" s="220">
        <v>44155840</v>
      </c>
      <c r="V128" s="219"/>
      <c r="W128" s="220">
        <v>44155840</v>
      </c>
      <c r="X128" s="219"/>
      <c r="Y128" s="220">
        <v>44155840</v>
      </c>
      <c r="Z128" s="219"/>
      <c r="AA128" s="220">
        <v>44155840</v>
      </c>
      <c r="AB128" s="219"/>
      <c r="AC128" s="220">
        <v>44155840</v>
      </c>
      <c r="AD128" s="219"/>
      <c r="AE128" s="220">
        <v>44155840</v>
      </c>
      <c r="AF128" s="219"/>
      <c r="AG128" s="220">
        <v>44155840</v>
      </c>
      <c r="AH128" s="219"/>
      <c r="AI128" s="220">
        <v>44155840</v>
      </c>
      <c r="AJ128" s="219"/>
      <c r="AK128" s="220">
        <v>44155840</v>
      </c>
      <c r="AL128" s="219"/>
      <c r="AM128" s="220">
        <v>44155840</v>
      </c>
      <c r="AN128" s="219"/>
      <c r="AO128" s="220">
        <v>44155840</v>
      </c>
      <c r="AP128" s="219"/>
      <c r="AQ128" s="220">
        <v>44155840</v>
      </c>
      <c r="AR128" s="219"/>
      <c r="AS128" s="220">
        <v>44155840</v>
      </c>
      <c r="AT128" s="219"/>
      <c r="AU128" s="220">
        <v>44155840</v>
      </c>
      <c r="AV128" s="219"/>
      <c r="AW128" s="220">
        <v>44155840</v>
      </c>
      <c r="AX128" s="219"/>
      <c r="AY128" s="220">
        <v>44155840</v>
      </c>
      <c r="AZ128" s="219"/>
      <c r="BA128" s="220">
        <v>44155840</v>
      </c>
      <c r="BB128" s="219"/>
      <c r="BC128" s="220">
        <v>44155840</v>
      </c>
      <c r="BD128" s="219"/>
      <c r="BE128" s="220">
        <v>44155840</v>
      </c>
      <c r="BF128" s="219"/>
      <c r="BG128" s="220">
        <v>44155840</v>
      </c>
      <c r="BH128" s="219"/>
      <c r="BI128" s="220">
        <v>44155840</v>
      </c>
      <c r="BJ128" s="219"/>
      <c r="BK128" s="220">
        <v>44155840</v>
      </c>
      <c r="BL128" s="219"/>
      <c r="BM128" s="220">
        <v>44155840</v>
      </c>
      <c r="BN128" s="219"/>
      <c r="BO128" s="220">
        <v>44155840</v>
      </c>
      <c r="BP128" s="219"/>
      <c r="BQ128" s="220">
        <v>44155840</v>
      </c>
      <c r="BR128" s="219"/>
      <c r="BS128" s="220">
        <v>44155840</v>
      </c>
      <c r="BT128" s="219"/>
      <c r="BU128" s="220">
        <v>44155840</v>
      </c>
      <c r="BV128" s="219"/>
      <c r="BW128" s="220">
        <v>44155840</v>
      </c>
      <c r="BX128" s="219"/>
      <c r="BY128" s="220">
        <v>44155840</v>
      </c>
      <c r="BZ128" s="219"/>
      <c r="CA128" s="220">
        <v>44155840</v>
      </c>
      <c r="CB128" s="219"/>
      <c r="CC128" s="220">
        <v>44155840</v>
      </c>
      <c r="CD128" s="219"/>
      <c r="CE128" s="220">
        <v>44155840</v>
      </c>
      <c r="CF128" s="620"/>
      <c r="CG128" s="620"/>
      <c r="CH128" s="620"/>
      <c r="CI128" s="620"/>
      <c r="CJ128" s="219"/>
      <c r="CK128" s="220">
        <v>44155840</v>
      </c>
      <c r="CL128" s="219"/>
      <c r="CM128" s="220">
        <v>44155840</v>
      </c>
      <c r="CN128" s="219"/>
      <c r="CO128" s="220">
        <v>44155840</v>
      </c>
      <c r="CP128" s="219"/>
      <c r="CQ128" s="220">
        <v>44155840</v>
      </c>
      <c r="CR128" s="219"/>
      <c r="CS128" s="220">
        <v>44155840</v>
      </c>
      <c r="CT128" s="219"/>
      <c r="CU128" s="220">
        <v>44155840</v>
      </c>
      <c r="CV128" s="219"/>
      <c r="CW128" s="220">
        <v>44155840</v>
      </c>
      <c r="CX128" s="219"/>
      <c r="CY128" s="220">
        <v>44155840</v>
      </c>
      <c r="DA128" s="219"/>
      <c r="DB128" s="220">
        <v>44155840</v>
      </c>
      <c r="DC128" s="219"/>
      <c r="DD128" s="220">
        <v>44155840</v>
      </c>
      <c r="DE128" s="219"/>
      <c r="DF128" s="220">
        <v>44155840</v>
      </c>
      <c r="DG128" s="219"/>
      <c r="DH128" s="220">
        <v>44155840</v>
      </c>
      <c r="DI128" s="219"/>
      <c r="DJ128" s="220">
        <v>44155840</v>
      </c>
      <c r="DK128" s="219"/>
      <c r="DL128" s="220">
        <v>44155840</v>
      </c>
      <c r="DM128" s="219"/>
      <c r="DN128" s="220">
        <v>44155840</v>
      </c>
      <c r="DO128" s="219"/>
      <c r="DP128" s="220">
        <v>44155840</v>
      </c>
      <c r="DR128" s="219"/>
      <c r="DS128" s="220">
        <v>44155840</v>
      </c>
      <c r="DT128" s="219"/>
      <c r="DU128" s="220">
        <v>44155840</v>
      </c>
    </row>
    <row r="129" spans="1:125" outlineLevel="3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1116334</v>
      </c>
      <c r="H129" s="219"/>
      <c r="I129" s="221">
        <f>I128/I10</f>
        <v>1116334</v>
      </c>
      <c r="J129" s="219"/>
      <c r="K129" s="221">
        <f>K128/K10</f>
        <v>1116334</v>
      </c>
      <c r="L129" s="219"/>
      <c r="M129" s="221">
        <f>M128/M10</f>
        <v>1116334</v>
      </c>
      <c r="N129" s="219"/>
      <c r="O129" s="221">
        <f>O128/O10</f>
        <v>1103896</v>
      </c>
      <c r="P129" s="219"/>
      <c r="Q129" s="221">
        <f>Q128/Q10</f>
        <v>1103896</v>
      </c>
      <c r="R129" s="219"/>
      <c r="S129" s="221">
        <f>S128/S10</f>
        <v>1103896</v>
      </c>
      <c r="T129" s="219"/>
      <c r="U129" s="221">
        <f>U128/U10</f>
        <v>1103896</v>
      </c>
      <c r="V129" s="219"/>
      <c r="W129" s="221">
        <f>W128/W10</f>
        <v>1103896</v>
      </c>
      <c r="X129" s="219"/>
      <c r="Y129" s="221">
        <f>Y128/Y10</f>
        <v>1103896</v>
      </c>
      <c r="Z129" s="219"/>
      <c r="AA129" s="221">
        <f>AA128/AA10</f>
        <v>1103896</v>
      </c>
      <c r="AB129" s="219"/>
      <c r="AC129" s="221">
        <f>AC128/AC10</f>
        <v>1103896</v>
      </c>
      <c r="AD129" s="219"/>
      <c r="AE129" s="221">
        <f>AE128/AE10</f>
        <v>1103896</v>
      </c>
      <c r="AF129" s="219"/>
      <c r="AG129" s="221">
        <f>AG128/AG10</f>
        <v>1103896</v>
      </c>
      <c r="AH129" s="219"/>
      <c r="AI129" s="221">
        <f>AI128/AI10</f>
        <v>1103896</v>
      </c>
      <c r="AJ129" s="219"/>
      <c r="AK129" s="221">
        <f>AK128/AK10</f>
        <v>1103896</v>
      </c>
      <c r="AL129" s="219"/>
      <c r="AM129" s="221">
        <f>AM128/AM10</f>
        <v>1103896</v>
      </c>
      <c r="AN129" s="219"/>
      <c r="AO129" s="221">
        <f>AO128/AO10</f>
        <v>1103896</v>
      </c>
      <c r="AP129" s="219"/>
      <c r="AQ129" s="221">
        <f>AQ128/AQ10</f>
        <v>1103896</v>
      </c>
      <c r="AR129" s="219"/>
      <c r="AS129" s="221">
        <f>AS128/AS10</f>
        <v>1103896</v>
      </c>
      <c r="AT129" s="219"/>
      <c r="AU129" s="221">
        <f>AU128/AU10</f>
        <v>1103896</v>
      </c>
      <c r="AV129" s="219"/>
      <c r="AW129" s="221">
        <f>AW128/AW10</f>
        <v>1103896</v>
      </c>
      <c r="AX129" s="219"/>
      <c r="AY129" s="221">
        <f>AY128/AY10</f>
        <v>1103896</v>
      </c>
      <c r="AZ129" s="219"/>
      <c r="BA129" s="221">
        <f>BA128/BA10</f>
        <v>1103896</v>
      </c>
      <c r="BB129" s="219"/>
      <c r="BC129" s="221">
        <f>BC128/BC10</f>
        <v>1103896</v>
      </c>
      <c r="BD129" s="219"/>
      <c r="BE129" s="221">
        <f>BE128/BE10</f>
        <v>1103896</v>
      </c>
      <c r="BF129" s="219"/>
      <c r="BG129" s="221">
        <f>BG128/BG10</f>
        <v>1103896</v>
      </c>
      <c r="BH129" s="219"/>
      <c r="BI129" s="221">
        <f>BI128/BI10</f>
        <v>1103896</v>
      </c>
      <c r="BJ129" s="219"/>
      <c r="BK129" s="221">
        <f>BK128/BK10</f>
        <v>1103896</v>
      </c>
      <c r="BL129" s="219"/>
      <c r="BM129" s="221">
        <f>BM128/BM10</f>
        <v>1103896</v>
      </c>
      <c r="BN129" s="219"/>
      <c r="BO129" s="221">
        <f>BO128/BO10</f>
        <v>1103896</v>
      </c>
      <c r="BP129" s="219"/>
      <c r="BQ129" s="221">
        <f>BQ128/BQ10</f>
        <v>1103896</v>
      </c>
      <c r="BR129" s="219"/>
      <c r="BS129" s="221">
        <f>BS128/BS10</f>
        <v>1103896</v>
      </c>
      <c r="BT129" s="219"/>
      <c r="BU129" s="221">
        <f>BU128/BU10</f>
        <v>1103896</v>
      </c>
      <c r="BV129" s="219"/>
      <c r="BW129" s="221">
        <f>BW128/BW10</f>
        <v>1103896</v>
      </c>
      <c r="BX129" s="219"/>
      <c r="BY129" s="221">
        <f>BY128/BY10</f>
        <v>1103896</v>
      </c>
      <c r="BZ129" s="219"/>
      <c r="CA129" s="221">
        <f>CA128/CA10</f>
        <v>1103896</v>
      </c>
      <c r="CB129" s="219"/>
      <c r="CC129" s="221">
        <f>CC128/CC10</f>
        <v>1103896</v>
      </c>
      <c r="CD129" s="219"/>
      <c r="CE129" s="221">
        <f>CE128/CE10</f>
        <v>1103896</v>
      </c>
      <c r="CF129" s="620"/>
      <c r="CG129" s="620"/>
      <c r="CH129" s="620"/>
      <c r="CI129" s="620"/>
      <c r="CJ129" s="219"/>
      <c r="CK129" s="221">
        <f>CK128/CK10</f>
        <v>1103896</v>
      </c>
      <c r="CL129" s="219"/>
      <c r="CM129" s="221">
        <f>CM128/CM10</f>
        <v>1103896</v>
      </c>
      <c r="CN129" s="219"/>
      <c r="CO129" s="221">
        <f>CO128/CO10</f>
        <v>1103896</v>
      </c>
      <c r="CP129" s="219"/>
      <c r="CQ129" s="221">
        <f>CQ128/CQ10</f>
        <v>1103896</v>
      </c>
      <c r="CR129" s="219"/>
      <c r="CS129" s="221">
        <f>CS128/CS10</f>
        <v>1103896</v>
      </c>
      <c r="CT129" s="219"/>
      <c r="CU129" s="221">
        <f>CU128/CU10</f>
        <v>1103896</v>
      </c>
      <c r="CV129" s="219"/>
      <c r="CW129" s="221">
        <f>CW128/CW10</f>
        <v>1103896</v>
      </c>
      <c r="CX129" s="219"/>
      <c r="CY129" s="221">
        <f>CY128/CY10</f>
        <v>1103896</v>
      </c>
      <c r="DA129" s="219"/>
      <c r="DB129" s="221">
        <f>DB128/DB10</f>
        <v>1103896</v>
      </c>
      <c r="DC129" s="219"/>
      <c r="DD129" s="221">
        <f>DD128/DD10</f>
        <v>1103896</v>
      </c>
      <c r="DE129" s="219"/>
      <c r="DF129" s="221">
        <f>DF128/DF10</f>
        <v>1103896</v>
      </c>
      <c r="DG129" s="219"/>
      <c r="DH129" s="221">
        <f>DH128/DH10</f>
        <v>1103896</v>
      </c>
      <c r="DI129" s="219"/>
      <c r="DJ129" s="221">
        <f>DJ128/DJ10</f>
        <v>1103896</v>
      </c>
      <c r="DK129" s="219"/>
      <c r="DL129" s="221">
        <f>DL128/DL10</f>
        <v>1103896</v>
      </c>
      <c r="DM129" s="219"/>
      <c r="DN129" s="221">
        <f>DN128/DN10</f>
        <v>1103896</v>
      </c>
      <c r="DO129" s="219"/>
      <c r="DP129" s="221">
        <f>DP128/DP10</f>
        <v>1103896</v>
      </c>
      <c r="DR129" s="219"/>
      <c r="DS129" s="221">
        <f>DS128/DS10</f>
        <v>1103896</v>
      </c>
      <c r="DT129" s="219"/>
      <c r="DU129" s="221">
        <f>DU128/DU10</f>
        <v>1103896</v>
      </c>
    </row>
    <row r="130" spans="1:125" outlineLevel="3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288.30940082644628</v>
      </c>
      <c r="H130" s="222"/>
      <c r="I130" s="220">
        <f>I129/I66</f>
        <v>288.30940082644628</v>
      </c>
      <c r="J130" s="222"/>
      <c r="K130" s="220">
        <f>K129/K66</f>
        <v>288.30940082644628</v>
      </c>
      <c r="L130" s="222"/>
      <c r="M130" s="220">
        <f>M129/M66</f>
        <v>288.30940082644628</v>
      </c>
      <c r="N130" s="222"/>
      <c r="O130" s="220">
        <f>O129/O66</f>
        <v>285.09710743801651</v>
      </c>
      <c r="P130" s="222"/>
      <c r="Q130" s="220">
        <f>Q129/Q66</f>
        <v>285.09710743801651</v>
      </c>
      <c r="R130" s="222"/>
      <c r="S130" s="220">
        <f>S129/S66</f>
        <v>285.09710743801651</v>
      </c>
      <c r="T130" s="222"/>
      <c r="U130" s="220">
        <f>U129/U66</f>
        <v>285.09710743801651</v>
      </c>
      <c r="V130" s="222"/>
      <c r="W130" s="220">
        <f>W129/W66</f>
        <v>285.09710743801651</v>
      </c>
      <c r="X130" s="222"/>
      <c r="Y130" s="220">
        <f>Y129/Y66</f>
        <v>285.09710743801651</v>
      </c>
      <c r="Z130" s="222"/>
      <c r="AA130" s="220">
        <f>AA129/AA66</f>
        <v>285.09710743801651</v>
      </c>
      <c r="AB130" s="222"/>
      <c r="AC130" s="220">
        <f>AC129/AC66</f>
        <v>285.09710743801651</v>
      </c>
      <c r="AD130" s="222"/>
      <c r="AE130" s="220">
        <f>AE129/AE66</f>
        <v>285.09710743801651</v>
      </c>
      <c r="AF130" s="222"/>
      <c r="AG130" s="220">
        <f>AG129/AG66</f>
        <v>285.09710743801651</v>
      </c>
      <c r="AH130" s="222"/>
      <c r="AI130" s="220">
        <f>AI129/AI66</f>
        <v>285.09710743801651</v>
      </c>
      <c r="AJ130" s="222"/>
      <c r="AK130" s="220">
        <f>AK129/AK66</f>
        <v>285.09710743801651</v>
      </c>
      <c r="AL130" s="222"/>
      <c r="AM130" s="220">
        <f>AM129/AM66</f>
        <v>285.09710743801651</v>
      </c>
      <c r="AN130" s="222"/>
      <c r="AO130" s="220">
        <f>AO129/AO66</f>
        <v>285.09710743801651</v>
      </c>
      <c r="AP130" s="222"/>
      <c r="AQ130" s="220">
        <f>AQ129/AQ66</f>
        <v>285.09710743801651</v>
      </c>
      <c r="AR130" s="222"/>
      <c r="AS130" s="220">
        <f>AS129/AS66</f>
        <v>285.09710743801651</v>
      </c>
      <c r="AT130" s="222"/>
      <c r="AU130" s="220">
        <f>AU129/AU66</f>
        <v>285.09710743801651</v>
      </c>
      <c r="AV130" s="222"/>
      <c r="AW130" s="220">
        <f>AW129/AW66</f>
        <v>285.09710743801651</v>
      </c>
      <c r="AX130" s="222"/>
      <c r="AY130" s="220">
        <f>AY129/AY66</f>
        <v>285.09710743801651</v>
      </c>
      <c r="AZ130" s="222"/>
      <c r="BA130" s="220">
        <f>BA129/BA66</f>
        <v>285.09710743801651</v>
      </c>
      <c r="BB130" s="222"/>
      <c r="BC130" s="220">
        <f>BC129/BC66</f>
        <v>285.09710743801651</v>
      </c>
      <c r="BD130" s="222"/>
      <c r="BE130" s="220">
        <f>BE129/BE66</f>
        <v>285.09710743801651</v>
      </c>
      <c r="BF130" s="222"/>
      <c r="BG130" s="220">
        <f>BG129/BG66</f>
        <v>285.09710743801651</v>
      </c>
      <c r="BH130" s="222"/>
      <c r="BI130" s="220">
        <f>BI129/BI66</f>
        <v>285.09710743801651</v>
      </c>
      <c r="BJ130" s="222"/>
      <c r="BK130" s="220">
        <f>BK129/BK66</f>
        <v>285.09710743801651</v>
      </c>
      <c r="BL130" s="222"/>
      <c r="BM130" s="220">
        <f>BM129/BM66</f>
        <v>285.09710743801651</v>
      </c>
      <c r="BN130" s="222"/>
      <c r="BO130" s="220">
        <f>BO129/BO66</f>
        <v>285.09710743801651</v>
      </c>
      <c r="BP130" s="222"/>
      <c r="BQ130" s="220">
        <f>BQ129/BQ66</f>
        <v>285.09710743801651</v>
      </c>
      <c r="BR130" s="222"/>
      <c r="BS130" s="220">
        <f>BS129/BS66</f>
        <v>285.09710743801651</v>
      </c>
      <c r="BT130" s="222"/>
      <c r="BU130" s="220">
        <f>BU129/BU66</f>
        <v>285.09710743801651</v>
      </c>
      <c r="BV130" s="222"/>
      <c r="BW130" s="220">
        <f>BW129/BW66</f>
        <v>285.09710743801651</v>
      </c>
      <c r="BX130" s="222"/>
      <c r="BY130" s="220">
        <f>BY129/BY66</f>
        <v>285.09710743801651</v>
      </c>
      <c r="BZ130" s="222"/>
      <c r="CA130" s="220">
        <f>CA129/CA66</f>
        <v>285.09710743801651</v>
      </c>
      <c r="CB130" s="222"/>
      <c r="CC130" s="220">
        <f>CC129/CC66</f>
        <v>285.09710743801651</v>
      </c>
      <c r="CD130" s="222"/>
      <c r="CE130" s="220">
        <f>CE129/CE66</f>
        <v>285.09710743801651</v>
      </c>
      <c r="CF130" s="620"/>
      <c r="CG130" s="620"/>
      <c r="CH130" s="620"/>
      <c r="CI130" s="620"/>
      <c r="CJ130" s="222"/>
      <c r="CK130" s="220">
        <f>CK129/CK66</f>
        <v>285.09710743801651</v>
      </c>
      <c r="CL130" s="222"/>
      <c r="CM130" s="220">
        <f>CM129/CM66</f>
        <v>285.09710743801651</v>
      </c>
      <c r="CN130" s="222"/>
      <c r="CO130" s="220">
        <f>CO129/CO66</f>
        <v>285.09710743801651</v>
      </c>
      <c r="CP130" s="222"/>
      <c r="CQ130" s="220">
        <f>CQ129/CQ66</f>
        <v>285.09710743801651</v>
      </c>
      <c r="CR130" s="222"/>
      <c r="CS130" s="220">
        <f>CS129/CS66</f>
        <v>285.09710743801651</v>
      </c>
      <c r="CT130" s="222"/>
      <c r="CU130" s="220">
        <f>CU129/CU66</f>
        <v>285.09710743801651</v>
      </c>
      <c r="CV130" s="222"/>
      <c r="CW130" s="220">
        <f>CW129/CW66</f>
        <v>285.09710743801651</v>
      </c>
      <c r="CX130" s="222"/>
      <c r="CY130" s="220">
        <f>CY129/CY66</f>
        <v>285.09710743801651</v>
      </c>
      <c r="DA130" s="222"/>
      <c r="DB130" s="220">
        <f>DB129/DB66</f>
        <v>285.09710743801651</v>
      </c>
      <c r="DC130" s="222"/>
      <c r="DD130" s="220">
        <f>DD129/DD66</f>
        <v>285.09710743801651</v>
      </c>
      <c r="DE130" s="222"/>
      <c r="DF130" s="220">
        <f>DF129/DF66</f>
        <v>285.09710743801651</v>
      </c>
      <c r="DG130" s="222"/>
      <c r="DH130" s="220">
        <f>DH129/DH66</f>
        <v>285.09710743801651</v>
      </c>
      <c r="DI130" s="222"/>
      <c r="DJ130" s="220">
        <f>DJ129/DJ66</f>
        <v>285.09710743801651</v>
      </c>
      <c r="DK130" s="222"/>
      <c r="DL130" s="220">
        <f>DL129/DL66</f>
        <v>285.09710743801651</v>
      </c>
      <c r="DM130" s="222"/>
      <c r="DN130" s="220">
        <f>DN129/DN66</f>
        <v>285.09710743801651</v>
      </c>
      <c r="DO130" s="222"/>
      <c r="DP130" s="220">
        <f>DP129/DP66</f>
        <v>285.09710743801651</v>
      </c>
      <c r="DR130" s="222"/>
      <c r="DS130" s="220">
        <f>DS129/DS66</f>
        <v>275.97399999999999</v>
      </c>
      <c r="DT130" s="222"/>
      <c r="DU130" s="220">
        <f>DU129/DU66</f>
        <v>285.09710743801651</v>
      </c>
    </row>
    <row r="131" spans="1:125" outlineLevel="2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/>
      <c r="H131" s="585"/>
      <c r="I131" s="586"/>
      <c r="J131" s="585"/>
      <c r="K131" s="586"/>
      <c r="L131" s="585"/>
      <c r="M131" s="586"/>
      <c r="N131" s="585"/>
      <c r="O131" s="586">
        <f>INDEX(Table5[#All],MATCH(N$4,Table5[[#All],[SKU]],0),MATCH(LEFT(N$3,3),Table5[#Headers],0))</f>
        <v>10376960</v>
      </c>
      <c r="P131" s="585"/>
      <c r="Q131" s="586">
        <v>65620800</v>
      </c>
      <c r="R131" s="585"/>
      <c r="S131" s="586">
        <v>65620800</v>
      </c>
      <c r="T131" s="585"/>
      <c r="U131" s="586">
        <f>INDEX(Table5[#All],MATCH(T$4,Table5[[#All],[SKU]],0),MATCH(LEFT(T$3,3),Table5[#Headers],0))</f>
        <v>4985400</v>
      </c>
      <c r="V131" s="585"/>
      <c r="W131" s="586">
        <f>INDEX(Table5[#All],MATCH(V$4,Table5[[#All],[SKU]],0),MATCH(LEFT(V$3,3),Table5[#Headers],0))</f>
        <v>7146200</v>
      </c>
      <c r="X131" s="585"/>
      <c r="Y131" s="586">
        <f>INDEX(Table5[#All],MATCH(X$4,Table5[[#All],[SKU]],0),MATCH(LEFT(X$3,3),Table5[#Headers],0))</f>
        <v>5527520</v>
      </c>
      <c r="Z131" s="585"/>
      <c r="AA131" s="586">
        <f>INDEX(Table5[#All],MATCH(Z$4,Table5[[#All],[SKU]],0),MATCH(LEFT(Z$3,3),Table5[#Headers],0))</f>
        <v>4849120</v>
      </c>
      <c r="AB131" s="585"/>
      <c r="AC131" s="586">
        <f>INDEX(Table5[#All],MATCH(AB$4,Table5[[#All],[SKU]],0),MATCH(LEFT(AB$3,3),Table5[#Headers],0))</f>
        <v>7098960</v>
      </c>
      <c r="AD131" s="585"/>
      <c r="AE131" s="586">
        <f>INDEX(Table5[#All],MATCH(AD$4,Table5[[#All],[SKU]],0),MATCH(LEFT(AD$3,3),Table5[#Headers],0))</f>
        <v>2058560</v>
      </c>
      <c r="AF131" s="585"/>
      <c r="AG131" s="586">
        <f>INDEX(Table5[#All],MATCH(AF$4,Table5[[#All],[SKU]],0),MATCH(LEFT(AF$3,3),Table5[#Headers],0))</f>
        <v>1781120</v>
      </c>
      <c r="AH131" s="585"/>
      <c r="AI131" s="586">
        <f>INDEX(Table5[#All],MATCH(AH$4,Table5[[#All],[SKU]],0),MATCH(LEFT(AH$3,3),Table5[#Headers],0))</f>
        <v>5540840</v>
      </c>
      <c r="AJ131" s="585"/>
      <c r="AK131" s="586">
        <f>INDEX(Table5[#All],MATCH(AJ$4,Table5[[#All],[SKU]],0),MATCH(LEFT(AJ$3,3),Table5[#Headers],0))</f>
        <v>4240080</v>
      </c>
      <c r="AL131" s="585"/>
      <c r="AM131" s="586">
        <f>INDEX(Table5[#All],MATCH(AL$4,Table5[[#All],[SKU]],0),MATCH(LEFT(AL$3,3),Table5[#Headers],0))</f>
        <v>6186040</v>
      </c>
      <c r="AN131" s="585"/>
      <c r="AO131" s="586">
        <f>INDEX(Table5[#All],MATCH(AN$4,Table5[[#All],[SKU]],0),MATCH(LEFT(AN$3,3),Table5[#Headers],0))</f>
        <v>6504960</v>
      </c>
      <c r="AP131" s="585"/>
      <c r="AQ131" s="586">
        <f>'Sales Volume'!P5</f>
        <v>7615400</v>
      </c>
      <c r="AR131" s="585"/>
      <c r="AS131" s="586">
        <f>'Sales Volume'!Q5</f>
        <v>13629760</v>
      </c>
      <c r="AT131" s="585"/>
      <c r="AU131" s="586">
        <f>'Sales Volume'!R5</f>
        <v>1589760</v>
      </c>
      <c r="AV131" s="585"/>
      <c r="AW131" s="586">
        <f>'Sales Volume'!S5</f>
        <v>1567800</v>
      </c>
      <c r="AX131" s="585"/>
      <c r="AY131" s="586">
        <f>'Sales Volume'!T5</f>
        <v>6191200</v>
      </c>
      <c r="AZ131" s="585"/>
      <c r="BA131" s="586">
        <f>'Sales Volume'!U5</f>
        <v>4238440</v>
      </c>
      <c r="BB131" s="585"/>
      <c r="BC131" s="586">
        <f>'Sales Volume'!V5</f>
        <v>5781760</v>
      </c>
      <c r="BD131" s="585"/>
      <c r="BE131" s="586">
        <f>'Sales Volume'!X5</f>
        <v>4697240</v>
      </c>
      <c r="BF131" s="585"/>
      <c r="BG131" s="586">
        <f>'Sales Volume'!Z5</f>
        <v>0</v>
      </c>
      <c r="BH131" s="585"/>
      <c r="BI131" s="586">
        <f>'Sales Volume'!AB5</f>
        <v>0</v>
      </c>
      <c r="BJ131" s="585"/>
      <c r="BK131" s="586">
        <f>'Sales Volume'!AD5</f>
        <v>0</v>
      </c>
      <c r="BL131" s="585"/>
      <c r="BM131" s="586">
        <f>'Sales Volume'!AF5</f>
        <v>0</v>
      </c>
      <c r="BN131" s="585"/>
      <c r="BO131" s="586">
        <f>'Sales Volume'!AH5</f>
        <v>0</v>
      </c>
      <c r="BP131" s="585"/>
      <c r="BQ131" s="586">
        <f>'Sales Volume'!AJ5</f>
        <v>0</v>
      </c>
      <c r="BR131" s="585"/>
      <c r="BS131" s="586">
        <f>'Sales Volume'!AL5</f>
        <v>0</v>
      </c>
      <c r="BT131" s="585"/>
      <c r="BU131" s="586">
        <f>'Sales Volume'!AN5</f>
        <v>0</v>
      </c>
      <c r="BV131" s="585"/>
      <c r="BW131" s="586">
        <f>'Sales Volume'!AP5</f>
        <v>0</v>
      </c>
      <c r="BX131" s="585"/>
      <c r="BY131" s="586">
        <f>'Sales Volume'!AR5</f>
        <v>0</v>
      </c>
      <c r="BZ131" s="585"/>
      <c r="CA131" s="586">
        <f>'Sales Volume'!AT5</f>
        <v>0</v>
      </c>
      <c r="CB131" s="585"/>
      <c r="CC131" s="586">
        <f>'Sales Volume'!AV5</f>
        <v>0</v>
      </c>
      <c r="CD131" s="585"/>
      <c r="CE131" s="586">
        <f>'Sales Volume'!AF5</f>
        <v>0</v>
      </c>
      <c r="CF131" s="620"/>
      <c r="CG131" s="620"/>
      <c r="CH131" s="620"/>
      <c r="CI131" s="620"/>
      <c r="CJ131" s="585"/>
      <c r="CK131" s="586">
        <f>SUM(O$131,U$131,W$131)</f>
        <v>22508560</v>
      </c>
      <c r="CL131" s="585"/>
      <c r="CM131" s="586">
        <f>SUM(AC$131,AA$131,Y$131)</f>
        <v>17475600</v>
      </c>
      <c r="CN131" s="585"/>
      <c r="CO131" s="586">
        <f>SUM(AE131,AG131,AI131)</f>
        <v>9380520</v>
      </c>
      <c r="CP131" s="585"/>
      <c r="CQ131" s="586">
        <v>16853920</v>
      </c>
      <c r="CR131" s="585"/>
      <c r="CS131" s="586">
        <f>SUM(O131,U131,W131,Y131,AA131,AC131)</f>
        <v>39984160</v>
      </c>
      <c r="CT131" s="585"/>
      <c r="CU131" s="586">
        <v>16853920</v>
      </c>
      <c r="CV131" s="585"/>
      <c r="CW131" s="586">
        <v>72532448</v>
      </c>
      <c r="CX131" s="585"/>
      <c r="CY131" s="586">
        <v>72532448</v>
      </c>
      <c r="DA131" s="585"/>
      <c r="DB131" s="586">
        <f>'Sales Volume'!AQ5</f>
        <v>0</v>
      </c>
      <c r="DC131" s="585"/>
      <c r="DD131" s="586">
        <f>'Sales Volume'!AS5</f>
        <v>0</v>
      </c>
      <c r="DE131" s="585"/>
      <c r="DF131" s="586">
        <f>'Sales Volume'!AU5</f>
        <v>0</v>
      </c>
      <c r="DG131" s="585"/>
      <c r="DH131" s="586">
        <f>'Sales Volume'!AW5</f>
        <v>0</v>
      </c>
      <c r="DI131" s="585"/>
      <c r="DJ131" s="586">
        <f>'Sales Volume'!AY5</f>
        <v>0</v>
      </c>
      <c r="DK131" s="585"/>
      <c r="DL131" s="586">
        <f>'Sales Volume'!BA5</f>
        <v>0</v>
      </c>
      <c r="DM131" s="585"/>
      <c r="DN131" s="586">
        <f>'Sales Volume'!BC5</f>
        <v>0</v>
      </c>
      <c r="DO131" s="585"/>
      <c r="DP131" s="586">
        <f>'Sales Volume'!AY5</f>
        <v>0</v>
      </c>
      <c r="DR131" s="585"/>
      <c r="DS131" s="586">
        <f>'Sales Volume'!BH5</f>
        <v>0</v>
      </c>
      <c r="DT131" s="585"/>
      <c r="DU131" s="586">
        <f>'Sales Volume'!CH5</f>
        <v>0</v>
      </c>
    </row>
    <row r="132" spans="1:125" outlineLevel="2" x14ac:dyDescent="0.45">
      <c r="A132" s="561"/>
      <c r="B132" s="1187"/>
      <c r="C132" s="582"/>
      <c r="D132" s="583"/>
      <c r="E132" s="584" t="s">
        <v>125</v>
      </c>
      <c r="F132" s="585"/>
      <c r="G132" s="586"/>
      <c r="H132" s="585"/>
      <c r="I132" s="586"/>
      <c r="J132" s="585"/>
      <c r="K132" s="586"/>
      <c r="L132" s="585"/>
      <c r="M132" s="586"/>
      <c r="N132" s="585"/>
      <c r="O132" s="586">
        <f>O131/O10</f>
        <v>259424</v>
      </c>
      <c r="P132" s="585"/>
      <c r="Q132" s="586">
        <f>Q131/Q10</f>
        <v>1640520</v>
      </c>
      <c r="R132" s="585"/>
      <c r="S132" s="586">
        <f>S131/S10</f>
        <v>1640520</v>
      </c>
      <c r="T132" s="585"/>
      <c r="U132" s="586">
        <f>U131/U10</f>
        <v>124635</v>
      </c>
      <c r="V132" s="585"/>
      <c r="W132" s="586">
        <f>W131/W10</f>
        <v>178655</v>
      </c>
      <c r="X132" s="585"/>
      <c r="Y132" s="586">
        <f>Y131/Y10</f>
        <v>138188</v>
      </c>
      <c r="Z132" s="585"/>
      <c r="AA132" s="586">
        <f>AA131/AA10</f>
        <v>121228</v>
      </c>
      <c r="AB132" s="585"/>
      <c r="AC132" s="586">
        <f>AC131/AC10</f>
        <v>177474</v>
      </c>
      <c r="AD132" s="585"/>
      <c r="AE132" s="586">
        <f>AE131/AE10</f>
        <v>51464</v>
      </c>
      <c r="AF132" s="585"/>
      <c r="AG132" s="586">
        <f>AG131/AG10</f>
        <v>44528</v>
      </c>
      <c r="AH132" s="585"/>
      <c r="AI132" s="586">
        <f>AI131/AI10</f>
        <v>138521</v>
      </c>
      <c r="AJ132" s="585"/>
      <c r="AK132" s="586">
        <f>AK131/AK10</f>
        <v>106002</v>
      </c>
      <c r="AL132" s="585"/>
      <c r="AM132" s="586">
        <f>AM131/AM10</f>
        <v>154651</v>
      </c>
      <c r="AN132" s="585"/>
      <c r="AO132" s="586">
        <f>AO131/AO10</f>
        <v>162624</v>
      </c>
      <c r="AP132" s="585"/>
      <c r="AQ132" s="586">
        <f>AQ131/AQ10</f>
        <v>190385</v>
      </c>
      <c r="AR132" s="585"/>
      <c r="AS132" s="586">
        <f>AS131/AS10</f>
        <v>340744</v>
      </c>
      <c r="AT132" s="585"/>
      <c r="AU132" s="586">
        <f>AU131/AU10</f>
        <v>39744</v>
      </c>
      <c r="AV132" s="585"/>
      <c r="AW132" s="586">
        <f>AW131/AW10</f>
        <v>39195</v>
      </c>
      <c r="AX132" s="585"/>
      <c r="AY132" s="586">
        <f>AY131/AY10</f>
        <v>154780</v>
      </c>
      <c r="AZ132" s="585"/>
      <c r="BA132" s="586">
        <f>BA131/BA10</f>
        <v>105961</v>
      </c>
      <c r="BB132" s="585"/>
      <c r="BC132" s="586">
        <f>BC131/BC10</f>
        <v>144544</v>
      </c>
      <c r="BD132" s="585"/>
      <c r="BE132" s="586">
        <f>BE131/BE10</f>
        <v>117431</v>
      </c>
      <c r="BF132" s="585"/>
      <c r="BG132" s="586">
        <f>BG131/BG10</f>
        <v>0</v>
      </c>
      <c r="BH132" s="585"/>
      <c r="BI132" s="586">
        <f>BI131/BI10</f>
        <v>0</v>
      </c>
      <c r="BJ132" s="585"/>
      <c r="BK132" s="586">
        <f>BK131/BK10</f>
        <v>0</v>
      </c>
      <c r="BL132" s="585"/>
      <c r="BM132" s="586">
        <f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>BS131/BS10</f>
        <v>0</v>
      </c>
      <c r="BT132" s="585"/>
      <c r="BU132" s="586">
        <f>BU131/BU10</f>
        <v>0</v>
      </c>
      <c r="BV132" s="585"/>
      <c r="BW132" s="586">
        <f>BW131/BW10</f>
        <v>0</v>
      </c>
      <c r="BX132" s="585"/>
      <c r="BY132" s="586">
        <f>BY131/BY10</f>
        <v>0</v>
      </c>
      <c r="BZ132" s="585"/>
      <c r="CA132" s="586">
        <f>CA131/CA10</f>
        <v>0</v>
      </c>
      <c r="CB132" s="585"/>
      <c r="CC132" s="586">
        <f>CC131/CC10</f>
        <v>0</v>
      </c>
      <c r="CD132" s="585"/>
      <c r="CE132" s="586">
        <f>CE131/CE10</f>
        <v>0</v>
      </c>
      <c r="CF132" s="620"/>
      <c r="CG132" s="620"/>
      <c r="CH132" s="620"/>
      <c r="CI132" s="620"/>
      <c r="CJ132" s="585"/>
      <c r="CK132" s="586">
        <f>CK131/CK10</f>
        <v>562714</v>
      </c>
      <c r="CL132" s="585"/>
      <c r="CM132" s="586">
        <f>CM131/CM10</f>
        <v>436890</v>
      </c>
      <c r="CN132" s="585"/>
      <c r="CO132" s="586">
        <f>CO131/CO10</f>
        <v>234513</v>
      </c>
      <c r="CP132" s="585"/>
      <c r="CQ132" s="586">
        <f>CQ131/CQ10</f>
        <v>421348</v>
      </c>
      <c r="CR132" s="585"/>
      <c r="CS132" s="586">
        <f>CS131/CS10</f>
        <v>999604</v>
      </c>
      <c r="CT132" s="585"/>
      <c r="CU132" s="586">
        <f>CU131/CU10</f>
        <v>421348</v>
      </c>
      <c r="CV132" s="585"/>
      <c r="CW132" s="586">
        <f>CW131/CW10</f>
        <v>1813311.2</v>
      </c>
      <c r="CX132" s="585"/>
      <c r="CY132" s="586">
        <f>CY131/CY10</f>
        <v>1813311.2</v>
      </c>
      <c r="DA132" s="585"/>
      <c r="DB132" s="586">
        <f>DB131/DB10</f>
        <v>0</v>
      </c>
      <c r="DC132" s="585"/>
      <c r="DD132" s="586">
        <f>DD131/DD10</f>
        <v>0</v>
      </c>
      <c r="DE132" s="585"/>
      <c r="DF132" s="586">
        <f>DF131/DF10</f>
        <v>0</v>
      </c>
      <c r="DG132" s="585"/>
      <c r="DH132" s="586">
        <f>DH131/DH10</f>
        <v>0</v>
      </c>
      <c r="DI132" s="585"/>
      <c r="DJ132" s="586">
        <f>DJ131/DJ10</f>
        <v>0</v>
      </c>
      <c r="DK132" s="585"/>
      <c r="DL132" s="586">
        <f>DL131/DL10</f>
        <v>0</v>
      </c>
      <c r="DM132" s="585"/>
      <c r="DN132" s="586">
        <f>DN131/DN10</f>
        <v>0</v>
      </c>
      <c r="DO132" s="585"/>
      <c r="DP132" s="586">
        <f>DP131/DP10</f>
        <v>0</v>
      </c>
      <c r="DR132" s="585"/>
      <c r="DS132" s="586">
        <f>DS131/DS10</f>
        <v>0</v>
      </c>
      <c r="DT132" s="585"/>
      <c r="DU132" s="586">
        <f>DU131/DU10</f>
        <v>0</v>
      </c>
    </row>
    <row r="133" spans="1:125" outlineLevel="2" x14ac:dyDescent="0.45">
      <c r="A133" s="561"/>
      <c r="B133" s="1187"/>
      <c r="C133" s="582"/>
      <c r="D133" s="583"/>
      <c r="E133" s="584" t="s">
        <v>126</v>
      </c>
      <c r="F133" s="585"/>
      <c r="G133" s="586"/>
      <c r="H133" s="585"/>
      <c r="I133" s="586"/>
      <c r="J133" s="585"/>
      <c r="K133" s="586"/>
      <c r="L133" s="585"/>
      <c r="M133" s="586"/>
      <c r="N133" s="585"/>
      <c r="O133" s="586">
        <f>O132/O66</f>
        <v>67</v>
      </c>
      <c r="P133" s="585"/>
      <c r="Q133" s="586">
        <f>Q132/Q66</f>
        <v>423.68801652892563</v>
      </c>
      <c r="R133" s="585"/>
      <c r="S133" s="586">
        <f>S132/S66</f>
        <v>423.68801652892563</v>
      </c>
      <c r="T133" s="585"/>
      <c r="U133" s="586">
        <f>U132/U66</f>
        <v>32.188791322314053</v>
      </c>
      <c r="V133" s="585"/>
      <c r="W133" s="586">
        <f>W132/W66</f>
        <v>46.140237603305785</v>
      </c>
      <c r="X133" s="585"/>
      <c r="Y133" s="586">
        <f>Y132/Y66</f>
        <v>35.689049586776861</v>
      </c>
      <c r="Z133" s="585"/>
      <c r="AA133" s="586">
        <f>AA132/AA66</f>
        <v>31.30888429752066</v>
      </c>
      <c r="AB133" s="585"/>
      <c r="AC133" s="586">
        <f>AC132/AC66</f>
        <v>45.835227272727273</v>
      </c>
      <c r="AD133" s="585"/>
      <c r="AE133" s="586">
        <f>AE132/AE66</f>
        <v>13.291322314049587</v>
      </c>
      <c r="AF133" s="585"/>
      <c r="AG133" s="586">
        <f>AG132/AG66</f>
        <v>11.5</v>
      </c>
      <c r="AH133" s="585"/>
      <c r="AI133" s="586">
        <f>AI132/AI66</f>
        <v>35.775051652892564</v>
      </c>
      <c r="AJ133" s="585"/>
      <c r="AK133" s="586">
        <f>AK132/AK66</f>
        <v>27.376549586776861</v>
      </c>
      <c r="AL133" s="585"/>
      <c r="AM133" s="586">
        <f>AM132/AM66</f>
        <v>39.940857438016529</v>
      </c>
      <c r="AN133" s="585"/>
      <c r="AO133" s="586">
        <f>AO132/AO66</f>
        <v>42</v>
      </c>
      <c r="AP133" s="585"/>
      <c r="AQ133" s="586">
        <f>AQ132/AQ66</f>
        <v>49.169679752066116</v>
      </c>
      <c r="AR133" s="585"/>
      <c r="AS133" s="586">
        <f>AS132/AS66</f>
        <v>88.002066115702476</v>
      </c>
      <c r="AT133" s="585"/>
      <c r="AU133" s="586">
        <f>AU132/AU66</f>
        <v>10.264462809917354</v>
      </c>
      <c r="AV133" s="585"/>
      <c r="AW133" s="586">
        <f>AW132/AW66</f>
        <v>10.122675619834711</v>
      </c>
      <c r="AX133" s="585"/>
      <c r="AY133" s="586">
        <f>AY132/AY66</f>
        <v>39.974173553719005</v>
      </c>
      <c r="AZ133" s="585"/>
      <c r="BA133" s="586">
        <f>BA132/BA66</f>
        <v>27.365960743801654</v>
      </c>
      <c r="BB133" s="585"/>
      <c r="BC133" s="586">
        <f>BC132/BC66</f>
        <v>37.330578512396691</v>
      </c>
      <c r="BD133" s="585"/>
      <c r="BE133" s="586">
        <f>BE132/BE66</f>
        <v>30.328254132231404</v>
      </c>
      <c r="BF133" s="585"/>
      <c r="BG133" s="586">
        <f>BG132/BG66</f>
        <v>0</v>
      </c>
      <c r="BH133" s="585"/>
      <c r="BI133" s="586">
        <f>BI132/BI66</f>
        <v>0</v>
      </c>
      <c r="BJ133" s="585"/>
      <c r="BK133" s="586">
        <f>BK132/BK66</f>
        <v>0</v>
      </c>
      <c r="BL133" s="585"/>
      <c r="BM133" s="586">
        <f>BM132/BM66</f>
        <v>0</v>
      </c>
      <c r="BN133" s="585"/>
      <c r="BO133" s="586">
        <f>BO132/BO66</f>
        <v>0</v>
      </c>
      <c r="BP133" s="585"/>
      <c r="BQ133" s="586">
        <f>BQ132/BQ66</f>
        <v>0</v>
      </c>
      <c r="BR133" s="585"/>
      <c r="BS133" s="586">
        <f>BS132/BS66</f>
        <v>0</v>
      </c>
      <c r="BT133" s="585"/>
      <c r="BU133" s="586">
        <f>BU132/BU66</f>
        <v>0</v>
      </c>
      <c r="BV133" s="585"/>
      <c r="BW133" s="586">
        <f>BW132/BW66</f>
        <v>0</v>
      </c>
      <c r="BX133" s="585"/>
      <c r="BY133" s="586">
        <f>BY132/BY66</f>
        <v>0</v>
      </c>
      <c r="BZ133" s="585"/>
      <c r="CA133" s="586">
        <f>CA132/CA66</f>
        <v>0</v>
      </c>
      <c r="CB133" s="585"/>
      <c r="CC133" s="586">
        <f>CC132/CC66</f>
        <v>0</v>
      </c>
      <c r="CD133" s="585"/>
      <c r="CE133" s="586">
        <f>CE132/CE66</f>
        <v>0</v>
      </c>
      <c r="CF133" s="620"/>
      <c r="CG133" s="620"/>
      <c r="CH133" s="620"/>
      <c r="CI133" s="620"/>
      <c r="CJ133" s="585"/>
      <c r="CK133" s="586">
        <f>CK132/CK66</f>
        <v>145.32902892561984</v>
      </c>
      <c r="CL133" s="585"/>
      <c r="CM133" s="586">
        <f>CM132/CM66</f>
        <v>112.83316115702479</v>
      </c>
      <c r="CN133" s="585"/>
      <c r="CO133" s="586">
        <f>CO132/CO66</f>
        <v>60.566373966942152</v>
      </c>
      <c r="CP133" s="585"/>
      <c r="CQ133" s="586">
        <f>CQ132/CQ66</f>
        <v>108.81921487603306</v>
      </c>
      <c r="CR133" s="585"/>
      <c r="CS133" s="586">
        <f>CS132/CS66</f>
        <v>258.16219008264466</v>
      </c>
      <c r="CT133" s="585"/>
      <c r="CU133" s="586">
        <f>CU132/CU66</f>
        <v>108.81921487603306</v>
      </c>
      <c r="CV133" s="585"/>
      <c r="CW133" s="586">
        <f>CW132/CW66</f>
        <v>468.31384297520663</v>
      </c>
      <c r="CX133" s="585"/>
      <c r="CY133" s="586">
        <f>CY132/CY66</f>
        <v>468.31384297520663</v>
      </c>
      <c r="DA133" s="585"/>
      <c r="DB133" s="586">
        <f>DB132/DB66</f>
        <v>0</v>
      </c>
      <c r="DC133" s="585"/>
      <c r="DD133" s="586">
        <f>DD132/DD66</f>
        <v>0</v>
      </c>
      <c r="DE133" s="585"/>
      <c r="DF133" s="586">
        <f>DF132/DF66</f>
        <v>0</v>
      </c>
      <c r="DG133" s="585"/>
      <c r="DH133" s="586">
        <f>DH132/DH66</f>
        <v>0</v>
      </c>
      <c r="DI133" s="585"/>
      <c r="DJ133" s="586">
        <f>DJ132/DJ66</f>
        <v>0</v>
      </c>
      <c r="DK133" s="585"/>
      <c r="DL133" s="586">
        <f>DL132/DL66</f>
        <v>0</v>
      </c>
      <c r="DM133" s="585"/>
      <c r="DN133" s="586">
        <f>DN132/DN66</f>
        <v>0</v>
      </c>
      <c r="DO133" s="585"/>
      <c r="DP133" s="586">
        <f>DP132/DP66</f>
        <v>0</v>
      </c>
      <c r="DR133" s="585"/>
      <c r="DS133" s="586">
        <f>DS132/DS66</f>
        <v>0</v>
      </c>
      <c r="DT133" s="585"/>
      <c r="DU133" s="586">
        <f>DU132/DU66</f>
        <v>0</v>
      </c>
    </row>
    <row r="134" spans="1:125" outlineLevel="1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375"/>
      <c r="O134" s="376"/>
      <c r="P134" s="375"/>
      <c r="Q134" s="376"/>
      <c r="R134" s="375"/>
      <c r="S134" s="376"/>
      <c r="T134" s="375"/>
      <c r="U134" s="376"/>
      <c r="V134" s="375"/>
      <c r="W134" s="376"/>
      <c r="X134" s="375"/>
      <c r="Y134" s="376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375"/>
      <c r="BY134" s="376"/>
      <c r="BZ134" s="375"/>
      <c r="CA134" s="376"/>
      <c r="CB134" s="375"/>
      <c r="CC134" s="376"/>
      <c r="CD134" s="375"/>
      <c r="CE134" s="376"/>
      <c r="CF134" s="620"/>
      <c r="CG134" s="620"/>
      <c r="CH134" s="620"/>
      <c r="CI134" s="620"/>
      <c r="CJ134" s="375"/>
      <c r="CK134" s="376"/>
      <c r="CL134" s="375"/>
      <c r="CM134" s="376"/>
      <c r="CN134" s="375"/>
      <c r="CO134" s="376"/>
      <c r="CP134" s="375"/>
      <c r="CQ134" s="376"/>
      <c r="CR134" s="375"/>
      <c r="CS134" s="376"/>
      <c r="CT134" s="375"/>
      <c r="CU134" s="376"/>
      <c r="CV134" s="375"/>
      <c r="CW134" s="376"/>
      <c r="CX134" s="375"/>
      <c r="CY134" s="376"/>
      <c r="DA134" s="375"/>
      <c r="DB134" s="376"/>
      <c r="DC134" s="375"/>
      <c r="DD134" s="376"/>
      <c r="DE134" s="375"/>
      <c r="DF134" s="376"/>
      <c r="DG134" s="375"/>
      <c r="DH134" s="376"/>
      <c r="DI134" s="375"/>
      <c r="DJ134" s="376"/>
      <c r="DK134" s="375"/>
      <c r="DL134" s="376"/>
      <c r="DM134" s="375"/>
      <c r="DN134" s="376"/>
      <c r="DO134" s="375"/>
      <c r="DP134" s="376"/>
      <c r="DR134" s="375"/>
      <c r="DS134" s="376"/>
      <c r="DT134" s="375"/>
      <c r="DU134" s="376"/>
    </row>
    <row r="135" spans="1:125" outlineLevel="2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224">
        <f>G64</f>
        <v>620</v>
      </c>
      <c r="H135" s="180"/>
      <c r="I135" s="224">
        <f>I64</f>
        <v>1150</v>
      </c>
      <c r="J135" s="180"/>
      <c r="K135" s="224">
        <f>K64</f>
        <v>1150</v>
      </c>
      <c r="L135" s="180"/>
      <c r="M135" s="224">
        <f>M64</f>
        <v>1150</v>
      </c>
      <c r="N135" s="380"/>
      <c r="O135" s="384">
        <f>O64</f>
        <v>1198.0083582089421</v>
      </c>
      <c r="P135" s="380"/>
      <c r="Q135" s="384">
        <v>1200</v>
      </c>
      <c r="R135" s="380"/>
      <c r="S135" s="384">
        <v>1200</v>
      </c>
      <c r="T135" s="380"/>
      <c r="U135" s="384">
        <f>U64</f>
        <v>1200</v>
      </c>
      <c r="V135" s="380"/>
      <c r="W135" s="384">
        <f>W64</f>
        <v>1200</v>
      </c>
      <c r="X135" s="380"/>
      <c r="Y135" s="384">
        <f>Y64</f>
        <v>1200</v>
      </c>
      <c r="Z135" s="380"/>
      <c r="AA135" s="384">
        <f>AA64</f>
        <v>1200</v>
      </c>
      <c r="AB135" s="380"/>
      <c r="AC135" s="384">
        <f>AC64</f>
        <v>1200</v>
      </c>
      <c r="AD135" s="380"/>
      <c r="AE135" s="384">
        <f>AE64</f>
        <v>1200</v>
      </c>
      <c r="AF135" s="380"/>
      <c r="AG135" s="384">
        <f>AG64</f>
        <v>1200</v>
      </c>
      <c r="AH135" s="380"/>
      <c r="AI135" s="384">
        <f>AI64</f>
        <v>1200</v>
      </c>
      <c r="AJ135" s="380"/>
      <c r="AK135" s="384">
        <f>AK64</f>
        <v>1200</v>
      </c>
      <c r="AL135" s="380"/>
      <c r="AM135" s="384">
        <f>AM64</f>
        <v>1200</v>
      </c>
      <c r="AN135" s="380"/>
      <c r="AO135" s="384">
        <f>AO64</f>
        <v>1200</v>
      </c>
      <c r="AP135" s="380"/>
      <c r="AQ135" s="384">
        <f>AQ64</f>
        <v>1200</v>
      </c>
      <c r="AR135" s="380"/>
      <c r="AS135" s="384">
        <f>AS64</f>
        <v>1200</v>
      </c>
      <c r="AT135" s="380"/>
      <c r="AU135" s="384">
        <f>AU64</f>
        <v>1200</v>
      </c>
      <c r="AV135" s="380"/>
      <c r="AW135" s="384">
        <f>AW64</f>
        <v>1200</v>
      </c>
      <c r="AX135" s="380"/>
      <c r="AY135" s="384">
        <f>AY64</f>
        <v>1200</v>
      </c>
      <c r="AZ135" s="380"/>
      <c r="BA135" s="384">
        <f>BA64</f>
        <v>1200</v>
      </c>
      <c r="BB135" s="380"/>
      <c r="BC135" s="384">
        <f>BC64</f>
        <v>1200</v>
      </c>
      <c r="BD135" s="380"/>
      <c r="BE135" s="384">
        <f>BE64</f>
        <v>1200</v>
      </c>
      <c r="BF135" s="380"/>
      <c r="BG135" s="384">
        <f>BG64</f>
        <v>1200</v>
      </c>
      <c r="BH135" s="380"/>
      <c r="BI135" s="384">
        <f>BI64</f>
        <v>750</v>
      </c>
      <c r="BJ135" s="380"/>
      <c r="BK135" s="384">
        <f>BK64</f>
        <v>750</v>
      </c>
      <c r="BL135" s="380"/>
      <c r="BM135" s="384">
        <f>BM64</f>
        <v>750</v>
      </c>
      <c r="BN135" s="380"/>
      <c r="BO135" s="384">
        <f>BO64</f>
        <v>750</v>
      </c>
      <c r="BP135" s="380"/>
      <c r="BQ135" s="384">
        <f>BQ64</f>
        <v>750</v>
      </c>
      <c r="BR135" s="380"/>
      <c r="BS135" s="384">
        <f>BS64</f>
        <v>750</v>
      </c>
      <c r="BT135" s="380"/>
      <c r="BU135" s="384">
        <f>BU64</f>
        <v>750</v>
      </c>
      <c r="BV135" s="380"/>
      <c r="BW135" s="384">
        <f>BW64</f>
        <v>750</v>
      </c>
      <c r="BX135" s="380"/>
      <c r="BY135" s="384">
        <f>BY64</f>
        <v>750</v>
      </c>
      <c r="BZ135" s="380"/>
      <c r="CA135" s="384">
        <f>CA64</f>
        <v>750</v>
      </c>
      <c r="CB135" s="380"/>
      <c r="CC135" s="384">
        <f>CC64</f>
        <v>750</v>
      </c>
      <c r="CD135" s="380"/>
      <c r="CE135" s="384">
        <f>CE64</f>
        <v>750</v>
      </c>
      <c r="CF135" s="620"/>
      <c r="CG135" s="620"/>
      <c r="CH135" s="620"/>
      <c r="CI135" s="620"/>
      <c r="CJ135" s="380"/>
      <c r="CK135" s="384">
        <f>CK64</f>
        <v>1199.0818076678324</v>
      </c>
      <c r="CL135" s="380"/>
      <c r="CM135" s="384">
        <f>CM64</f>
        <v>1200</v>
      </c>
      <c r="CN135" s="380"/>
      <c r="CO135" s="384">
        <f>CO64</f>
        <v>1200</v>
      </c>
      <c r="CP135" s="380"/>
      <c r="CQ135" s="384">
        <f>CQ64</f>
        <v>1200</v>
      </c>
      <c r="CR135" s="380"/>
      <c r="CS135" s="384">
        <f>(SUMPRODUCT(O135,O$131)+SUMPRODUCT(U135,U$131)+SUMPRODUCT(W135,W$131)+SUMPRODUCT(Y135,Y$131)+SUMPRODUCT(AA135,AA$131)+SUMPRODUCT(AC135,AC$131))/SUM(O$131,U$131,W$131,Y$131,AA$131,AC$131)</f>
        <v>1199.4831156337875</v>
      </c>
      <c r="CT135" s="380"/>
      <c r="CU135" s="384">
        <f>CU64</f>
        <v>1200</v>
      </c>
      <c r="CV135" s="380"/>
      <c r="CW135" s="384">
        <f>CW64</f>
        <v>1200</v>
      </c>
      <c r="CX135" s="380"/>
      <c r="CY135" s="384">
        <f>CY64</f>
        <v>1200</v>
      </c>
      <c r="DA135" s="380"/>
      <c r="DB135" s="384">
        <f>DB64</f>
        <v>1200</v>
      </c>
      <c r="DC135" s="380"/>
      <c r="DD135" s="384">
        <f>DD64</f>
        <v>750</v>
      </c>
      <c r="DE135" s="380"/>
      <c r="DF135" s="384">
        <f>DF64</f>
        <v>750</v>
      </c>
      <c r="DG135" s="380"/>
      <c r="DH135" s="384">
        <f>DH64</f>
        <v>750</v>
      </c>
      <c r="DI135" s="380"/>
      <c r="DJ135" s="384">
        <f>DJ64</f>
        <v>750</v>
      </c>
      <c r="DK135" s="380"/>
      <c r="DL135" s="384">
        <f>DL64</f>
        <v>750</v>
      </c>
      <c r="DM135" s="380"/>
      <c r="DN135" s="384">
        <f>DN64</f>
        <v>750</v>
      </c>
      <c r="DO135" s="380"/>
      <c r="DP135" s="384">
        <f>DP64</f>
        <v>750</v>
      </c>
      <c r="DR135" s="380"/>
      <c r="DS135" s="384">
        <f>DS64</f>
        <v>750</v>
      </c>
      <c r="DT135" s="380"/>
      <c r="DU135" s="384">
        <f>DU64</f>
        <v>750</v>
      </c>
    </row>
    <row r="136" spans="1:125" outlineLevel="2" x14ac:dyDescent="0.45">
      <c r="A136" s="561"/>
      <c r="B136" s="1187"/>
      <c r="C136" s="161" t="s">
        <v>388</v>
      </c>
      <c r="D136" s="162"/>
      <c r="E136" s="179"/>
      <c r="F136" s="180"/>
      <c r="G136" s="224"/>
      <c r="H136" s="180"/>
      <c r="I136" s="224"/>
      <c r="J136" s="180"/>
      <c r="K136" s="224"/>
      <c r="L136" s="180"/>
      <c r="M136" s="224"/>
      <c r="N136" s="380"/>
      <c r="O136" s="384">
        <v>1252.1434269178421</v>
      </c>
      <c r="P136" s="380"/>
      <c r="Q136" s="384"/>
      <c r="R136" s="380"/>
      <c r="S136" s="384"/>
      <c r="T136" s="380"/>
      <c r="U136" s="384">
        <v>1249.8380735606863</v>
      </c>
      <c r="V136" s="380"/>
      <c r="W136" s="384">
        <v>1174.3919602789399</v>
      </c>
      <c r="X136" s="380"/>
      <c r="Y136" s="384">
        <v>1205.661018444297</v>
      </c>
      <c r="Z136" s="380"/>
      <c r="AA136" s="384">
        <v>1074.0640382724632</v>
      </c>
      <c r="AB136" s="380"/>
      <c r="AC136" s="384">
        <v>1094.9135072063484</v>
      </c>
      <c r="AD136" s="380"/>
      <c r="AE136" s="384">
        <v>1142.5817044147298</v>
      </c>
      <c r="AF136" s="380"/>
      <c r="AG136" s="384">
        <v>1114.8039985889111</v>
      </c>
      <c r="AH136" s="380"/>
      <c r="AI136" s="384">
        <v>894.14378682354072</v>
      </c>
      <c r="AJ136" s="380"/>
      <c r="AK136" s="384">
        <v>671.97913999900766</v>
      </c>
      <c r="AL136" s="380"/>
      <c r="AM136" s="384">
        <v>558.88592736536907</v>
      </c>
      <c r="AN136" s="380"/>
      <c r="AO136" s="384">
        <v>458.44010247391464</v>
      </c>
      <c r="AP136" s="380"/>
      <c r="AQ136" s="384">
        <v>353.48358486732587</v>
      </c>
      <c r="AR136" s="380"/>
      <c r="AS136" s="384">
        <v>290.58497252340732</v>
      </c>
      <c r="AT136" s="380"/>
      <c r="AU136" s="384">
        <v>285.25440113249226</v>
      </c>
      <c r="AV136" s="380"/>
      <c r="AW136" s="384">
        <v>243</v>
      </c>
      <c r="AX136" s="380"/>
      <c r="AY136" s="384">
        <v>230</v>
      </c>
      <c r="AZ136" s="380"/>
      <c r="BA136" s="384">
        <v>108</v>
      </c>
      <c r="BB136" s="380"/>
      <c r="BC136" s="384">
        <v>105</v>
      </c>
      <c r="BD136" s="380"/>
      <c r="BE136" s="384">
        <v>105</v>
      </c>
      <c r="BF136" s="380"/>
      <c r="BG136" s="384">
        <v>105</v>
      </c>
      <c r="BH136" s="380"/>
      <c r="BI136" s="384">
        <v>55</v>
      </c>
      <c r="BJ136" s="380"/>
      <c r="BK136" s="384">
        <v>68</v>
      </c>
      <c r="BL136" s="380"/>
      <c r="BM136" s="384">
        <v>60</v>
      </c>
      <c r="BN136" s="380"/>
      <c r="BO136" s="384">
        <v>12</v>
      </c>
      <c r="BP136" s="380"/>
      <c r="BQ136" s="384">
        <v>89.7</v>
      </c>
      <c r="BR136" s="380"/>
      <c r="BS136" s="384">
        <v>295.30472103004291</v>
      </c>
      <c r="BT136" s="380"/>
      <c r="BU136" s="384">
        <v>212</v>
      </c>
      <c r="BV136" s="380"/>
      <c r="BW136" s="384">
        <v>49</v>
      </c>
      <c r="BX136" s="380"/>
      <c r="BY136" s="384">
        <v>61.756756756756758</v>
      </c>
      <c r="BZ136" s="380"/>
      <c r="CA136" s="384">
        <v>15</v>
      </c>
      <c r="CB136" s="380"/>
      <c r="CC136" s="384">
        <v>7</v>
      </c>
      <c r="CD136" s="380"/>
      <c r="CE136" s="384">
        <v>35</v>
      </c>
      <c r="CF136" s="620"/>
      <c r="CG136" s="620"/>
      <c r="CH136" s="620"/>
      <c r="CI136" s="620"/>
      <c r="CJ136" s="380"/>
      <c r="CK136" s="384">
        <f>(SUMPRODUCT(O136,O$131)+SUMPRODUCT(U136,U$131)+SUMPRODUCT(W136,W$131))/SUM(O$131,U$131,W$131)</f>
        <v>1226.9476507543875</v>
      </c>
      <c r="CL136" s="380"/>
      <c r="CM136" s="384">
        <f>(SUMPRODUCT(AC136,AC$131)+SUMPRODUCT(AA136,AA$131)+SUMPRODUCT(Y136,Y$131))/SUM(AC$131,AA$131,Y$131)</f>
        <v>1124.15756786929</v>
      </c>
      <c r="CN136" s="380"/>
      <c r="CO136" s="384">
        <f>(SUMPRODUCT(AI136,AI$131)+SUMPRODUCT(AG136,AG$131)+SUMPRODUCT(AE136,AE$131))/SUM(AI$131,AG$131,AE$131)</f>
        <v>990.56132828350815</v>
      </c>
      <c r="CP136" s="380"/>
      <c r="CQ136" s="384">
        <v>600</v>
      </c>
      <c r="CR136" s="380"/>
      <c r="CS136" s="384">
        <f>(SUMPRODUCT(O136,O$131)+SUMPRODUCT(U136,U$131)+SUMPRODUCT(W136,W$131)+SUMPRODUCT(Y136,Y$131)+SUMPRODUCT(AA136,AA$131)+SUMPRODUCT(AC136,AC$131))/SUM(O$131,U$131,W$131,Y$131,AA$131,AC$131)</f>
        <v>1182.0219008457536</v>
      </c>
      <c r="CT136" s="380"/>
      <c r="CU136" s="384">
        <v>900</v>
      </c>
      <c r="CV136" s="380"/>
      <c r="CW136" s="384">
        <v>900</v>
      </c>
      <c r="CX136" s="380"/>
      <c r="CY136" s="384">
        <v>800</v>
      </c>
      <c r="DA136" s="380"/>
      <c r="DB136" s="384">
        <v>60</v>
      </c>
      <c r="DC136" s="380"/>
      <c r="DD136" s="384">
        <v>60</v>
      </c>
      <c r="DE136" s="380"/>
      <c r="DF136" s="384">
        <v>49</v>
      </c>
      <c r="DG136" s="380"/>
      <c r="DH136" s="384">
        <v>35</v>
      </c>
      <c r="DI136" s="380"/>
      <c r="DJ136" s="384">
        <v>12</v>
      </c>
      <c r="DK136" s="380"/>
      <c r="DL136" s="384">
        <v>89.7</v>
      </c>
      <c r="DM136" s="380"/>
      <c r="DN136" s="384">
        <v>295.30472103004291</v>
      </c>
      <c r="DO136" s="380"/>
      <c r="DP136" s="384">
        <v>35</v>
      </c>
      <c r="DR136" s="380"/>
      <c r="DS136" s="384">
        <v>200</v>
      </c>
      <c r="DT136" s="380"/>
      <c r="DU136" s="384">
        <v>200</v>
      </c>
    </row>
    <row r="137" spans="1:125" outlineLevel="3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>
        <v>1200</v>
      </c>
      <c r="H137" s="180"/>
      <c r="I137" s="224">
        <f>G137</f>
        <v>1200</v>
      </c>
      <c r="J137" s="180"/>
      <c r="K137" s="224">
        <f>I137</f>
        <v>1200</v>
      </c>
      <c r="L137" s="180"/>
      <c r="M137" s="224">
        <f>K137</f>
        <v>1200</v>
      </c>
      <c r="N137" s="380"/>
      <c r="O137" s="384">
        <v>1218</v>
      </c>
      <c r="P137" s="380"/>
      <c r="Q137" s="384">
        <v>1500</v>
      </c>
      <c r="R137" s="380"/>
      <c r="S137" s="384">
        <v>1500</v>
      </c>
      <c r="T137" s="380"/>
      <c r="U137" s="384">
        <v>1244</v>
      </c>
      <c r="V137" s="380"/>
      <c r="W137" s="384">
        <v>1244</v>
      </c>
      <c r="X137" s="380"/>
      <c r="Y137" s="384">
        <v>1244</v>
      </c>
      <c r="Z137" s="380"/>
      <c r="AA137" s="384">
        <v>1244</v>
      </c>
      <c r="AB137" s="380"/>
      <c r="AC137" s="384">
        <v>1244</v>
      </c>
      <c r="AD137" s="380"/>
      <c r="AE137" s="384">
        <v>1244</v>
      </c>
      <c r="AF137" s="380"/>
      <c r="AG137" s="384">
        <v>1244</v>
      </c>
      <c r="AH137" s="380"/>
      <c r="AI137" s="384">
        <v>1244</v>
      </c>
      <c r="AJ137" s="380"/>
      <c r="AK137" s="384">
        <v>1244</v>
      </c>
      <c r="AL137" s="380"/>
      <c r="AM137" s="384">
        <v>1244</v>
      </c>
      <c r="AN137" s="380"/>
      <c r="AO137" s="384">
        <v>1244</v>
      </c>
      <c r="AP137" s="380"/>
      <c r="AQ137" s="384">
        <v>1244</v>
      </c>
      <c r="AR137" s="380"/>
      <c r="AS137" s="384">
        <v>1244</v>
      </c>
      <c r="AT137" s="380"/>
      <c r="AU137" s="384">
        <v>1244</v>
      </c>
      <c r="AV137" s="380"/>
      <c r="AW137" s="384">
        <v>1244</v>
      </c>
      <c r="AX137" s="380"/>
      <c r="AY137" s="384">
        <v>1244</v>
      </c>
      <c r="AZ137" s="380"/>
      <c r="BA137" s="384">
        <v>1244</v>
      </c>
      <c r="BB137" s="380"/>
      <c r="BC137" s="384">
        <v>1244</v>
      </c>
      <c r="BD137" s="380"/>
      <c r="BE137" s="384">
        <v>1244</v>
      </c>
      <c r="BF137" s="380"/>
      <c r="BG137" s="384">
        <v>1244</v>
      </c>
      <c r="BH137" s="380"/>
      <c r="BI137" s="384">
        <v>1244</v>
      </c>
      <c r="BJ137" s="380"/>
      <c r="BK137" s="384">
        <v>1244</v>
      </c>
      <c r="BL137" s="380"/>
      <c r="BM137" s="384">
        <v>1244</v>
      </c>
      <c r="BN137" s="380"/>
      <c r="BO137" s="384">
        <v>1244</v>
      </c>
      <c r="BP137" s="380"/>
      <c r="BQ137" s="384">
        <v>1244</v>
      </c>
      <c r="BR137" s="380"/>
      <c r="BS137" s="384">
        <v>1244</v>
      </c>
      <c r="BT137" s="380"/>
      <c r="BU137" s="384">
        <v>1244</v>
      </c>
      <c r="BV137" s="380"/>
      <c r="BW137" s="384">
        <v>1244</v>
      </c>
      <c r="BX137" s="380"/>
      <c r="BY137" s="384">
        <v>1244</v>
      </c>
      <c r="BZ137" s="380"/>
      <c r="CA137" s="384">
        <v>1244</v>
      </c>
      <c r="CB137" s="380"/>
      <c r="CC137" s="384">
        <v>1244</v>
      </c>
      <c r="CD137" s="380"/>
      <c r="CE137" s="384">
        <v>1244</v>
      </c>
      <c r="CF137" s="620"/>
      <c r="CG137" s="620"/>
      <c r="CH137" s="620"/>
      <c r="CI137" s="620"/>
      <c r="CJ137" s="380"/>
      <c r="CK137" s="384">
        <v>1244</v>
      </c>
      <c r="CL137" s="380"/>
      <c r="CM137" s="384">
        <v>1244</v>
      </c>
      <c r="CN137" s="380"/>
      <c r="CO137" s="384">
        <v>1244</v>
      </c>
      <c r="CP137" s="380"/>
      <c r="CQ137" s="384">
        <v>1244</v>
      </c>
      <c r="CR137" s="380"/>
      <c r="CS137" s="384">
        <v>1244</v>
      </c>
      <c r="CT137" s="380"/>
      <c r="CU137" s="384">
        <v>1244</v>
      </c>
      <c r="CV137" s="380"/>
      <c r="CW137" s="384">
        <v>1244</v>
      </c>
      <c r="CX137" s="380"/>
      <c r="CY137" s="384">
        <v>1244</v>
      </c>
      <c r="DA137" s="380"/>
      <c r="DB137" s="384">
        <v>1244</v>
      </c>
      <c r="DC137" s="380"/>
      <c r="DD137" s="384">
        <v>1244</v>
      </c>
      <c r="DE137" s="380"/>
      <c r="DF137" s="384">
        <v>1244</v>
      </c>
      <c r="DG137" s="380"/>
      <c r="DH137" s="384">
        <v>1244</v>
      </c>
      <c r="DI137" s="380"/>
      <c r="DJ137" s="384">
        <v>1244</v>
      </c>
      <c r="DK137" s="380"/>
      <c r="DL137" s="384">
        <v>1244</v>
      </c>
      <c r="DM137" s="380"/>
      <c r="DN137" s="384">
        <v>1244</v>
      </c>
      <c r="DO137" s="380"/>
      <c r="DP137" s="384">
        <v>1244</v>
      </c>
      <c r="DR137" s="380"/>
      <c r="DS137" s="384">
        <v>1244</v>
      </c>
      <c r="DT137" s="380"/>
      <c r="DU137" s="384">
        <v>1244</v>
      </c>
    </row>
    <row r="138" spans="1:125" outlineLevel="3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1200</v>
      </c>
      <c r="H138" s="180"/>
      <c r="I138" s="224">
        <f>G138</f>
        <v>1200</v>
      </c>
      <c r="J138" s="180"/>
      <c r="K138" s="224">
        <f>I138</f>
        <v>1200</v>
      </c>
      <c r="L138" s="180"/>
      <c r="M138" s="224">
        <f>K138</f>
        <v>1200</v>
      </c>
      <c r="N138" s="380"/>
      <c r="O138" s="384">
        <f>O64</f>
        <v>1198.0083582089421</v>
      </c>
      <c r="P138" s="380"/>
      <c r="Q138" s="384">
        <f>Q64</f>
        <v>1200</v>
      </c>
      <c r="R138" s="380"/>
      <c r="S138" s="384">
        <f>S64</f>
        <v>1200</v>
      </c>
      <c r="T138" s="380"/>
      <c r="U138" s="384">
        <f>U64</f>
        <v>1200</v>
      </c>
      <c r="V138" s="380"/>
      <c r="W138" s="384">
        <f>W64</f>
        <v>1200</v>
      </c>
      <c r="X138" s="380"/>
      <c r="Y138" s="384">
        <f>Y64</f>
        <v>1200</v>
      </c>
      <c r="Z138" s="380"/>
      <c r="AA138" s="384">
        <f>AA64</f>
        <v>1200</v>
      </c>
      <c r="AB138" s="380"/>
      <c r="AC138" s="384">
        <f>AC64</f>
        <v>1200</v>
      </c>
      <c r="AD138" s="380"/>
      <c r="AE138" s="384">
        <f>AE64</f>
        <v>1200</v>
      </c>
      <c r="AF138" s="380"/>
      <c r="AG138" s="384">
        <f>AG64</f>
        <v>1200</v>
      </c>
      <c r="AH138" s="380"/>
      <c r="AI138" s="384">
        <f>AI64</f>
        <v>1200</v>
      </c>
      <c r="AJ138" s="380"/>
      <c r="AK138" s="384">
        <f>AK64</f>
        <v>1200</v>
      </c>
      <c r="AL138" s="380"/>
      <c r="AM138" s="384">
        <f>AM64</f>
        <v>1200</v>
      </c>
      <c r="AN138" s="380"/>
      <c r="AO138" s="384">
        <f>AO64</f>
        <v>1200</v>
      </c>
      <c r="AP138" s="380"/>
      <c r="AQ138" s="384">
        <f>AQ64</f>
        <v>1200</v>
      </c>
      <c r="AR138" s="380"/>
      <c r="AS138" s="384">
        <f>AS64</f>
        <v>1200</v>
      </c>
      <c r="AT138" s="380"/>
      <c r="AU138" s="384">
        <f>AU64</f>
        <v>1200</v>
      </c>
      <c r="AV138" s="380"/>
      <c r="AW138" s="384">
        <f>AW64</f>
        <v>1200</v>
      </c>
      <c r="AX138" s="380"/>
      <c r="AY138" s="384">
        <f>AY64</f>
        <v>1200</v>
      </c>
      <c r="AZ138" s="380"/>
      <c r="BA138" s="384">
        <f>BA64</f>
        <v>1200</v>
      </c>
      <c r="BB138" s="380"/>
      <c r="BC138" s="384">
        <f>BC64</f>
        <v>1200</v>
      </c>
      <c r="BD138" s="380"/>
      <c r="BE138" s="384">
        <f>BE64</f>
        <v>1200</v>
      </c>
      <c r="BF138" s="380"/>
      <c r="BG138" s="384">
        <f>BG64</f>
        <v>1200</v>
      </c>
      <c r="BH138" s="380"/>
      <c r="BI138" s="384">
        <f>BI64</f>
        <v>750</v>
      </c>
      <c r="BJ138" s="380"/>
      <c r="BK138" s="384">
        <f>BK64</f>
        <v>750</v>
      </c>
      <c r="BL138" s="380"/>
      <c r="BM138" s="384">
        <f>BM64</f>
        <v>750</v>
      </c>
      <c r="BN138" s="380"/>
      <c r="BO138" s="384">
        <f>BO64</f>
        <v>750</v>
      </c>
      <c r="BP138" s="380"/>
      <c r="BQ138" s="384">
        <f>BQ64</f>
        <v>750</v>
      </c>
      <c r="BR138" s="380"/>
      <c r="BS138" s="384">
        <f>BS64</f>
        <v>750</v>
      </c>
      <c r="BT138" s="380"/>
      <c r="BU138" s="384">
        <f>BU64</f>
        <v>750</v>
      </c>
      <c r="BV138" s="380"/>
      <c r="BW138" s="384">
        <f>BW64</f>
        <v>750</v>
      </c>
      <c r="BX138" s="380"/>
      <c r="BY138" s="384">
        <f>BY64</f>
        <v>750</v>
      </c>
      <c r="BZ138" s="380"/>
      <c r="CA138" s="384">
        <f>CA64</f>
        <v>750</v>
      </c>
      <c r="CB138" s="380"/>
      <c r="CC138" s="384">
        <f>CC64</f>
        <v>750</v>
      </c>
      <c r="CD138" s="380"/>
      <c r="CE138" s="384">
        <f>CE64</f>
        <v>750</v>
      </c>
      <c r="CF138" s="620"/>
      <c r="CG138" s="620"/>
      <c r="CH138" s="620"/>
      <c r="CI138" s="620"/>
      <c r="CJ138" s="380"/>
      <c r="CK138" s="384">
        <f>CK64</f>
        <v>1199.0818076678324</v>
      </c>
      <c r="CL138" s="380"/>
      <c r="CM138" s="384">
        <f>CM64</f>
        <v>1200</v>
      </c>
      <c r="CN138" s="380"/>
      <c r="CO138" s="384">
        <f>CO64</f>
        <v>1200</v>
      </c>
      <c r="CP138" s="380"/>
      <c r="CQ138" s="384">
        <f>CQ64</f>
        <v>1200</v>
      </c>
      <c r="CR138" s="380"/>
      <c r="CS138" s="384">
        <f>CS64</f>
        <v>1199.4831156337875</v>
      </c>
      <c r="CT138" s="380"/>
      <c r="CU138" s="384">
        <f>CU64</f>
        <v>1200</v>
      </c>
      <c r="CV138" s="380"/>
      <c r="CW138" s="384">
        <f>CW64</f>
        <v>1200</v>
      </c>
      <c r="CX138" s="380"/>
      <c r="CY138" s="384">
        <f>CY64</f>
        <v>1200</v>
      </c>
      <c r="DA138" s="380"/>
      <c r="DB138" s="384">
        <f>DB64</f>
        <v>1200</v>
      </c>
      <c r="DC138" s="380"/>
      <c r="DD138" s="384">
        <f>DD64</f>
        <v>750</v>
      </c>
      <c r="DE138" s="380"/>
      <c r="DF138" s="384">
        <f>DF64</f>
        <v>750</v>
      </c>
      <c r="DG138" s="380"/>
      <c r="DH138" s="384">
        <f>DH64</f>
        <v>750</v>
      </c>
      <c r="DI138" s="380"/>
      <c r="DJ138" s="384">
        <f>DJ64</f>
        <v>750</v>
      </c>
      <c r="DK138" s="380"/>
      <c r="DL138" s="384">
        <f>DL64</f>
        <v>750</v>
      </c>
      <c r="DM138" s="380"/>
      <c r="DN138" s="384">
        <f>DN64</f>
        <v>750</v>
      </c>
      <c r="DO138" s="380"/>
      <c r="DP138" s="384">
        <f>DP64</f>
        <v>750</v>
      </c>
      <c r="DR138" s="380"/>
      <c r="DS138" s="384">
        <f>DS64</f>
        <v>750</v>
      </c>
      <c r="DT138" s="380"/>
      <c r="DU138" s="384">
        <f>DU64</f>
        <v>750</v>
      </c>
    </row>
    <row r="139" spans="1:125" outlineLevel="3" x14ac:dyDescent="0.45">
      <c r="A139" s="561"/>
      <c r="B139" s="1187"/>
      <c r="C139" s="225" t="s">
        <v>130</v>
      </c>
      <c r="D139" s="162"/>
      <c r="E139" s="179"/>
      <c r="F139" s="180"/>
      <c r="G139" s="224">
        <v>750</v>
      </c>
      <c r="H139" s="180"/>
      <c r="I139" s="224">
        <v>750</v>
      </c>
      <c r="J139" s="180"/>
      <c r="K139" s="224">
        <v>750</v>
      </c>
      <c r="L139" s="180"/>
      <c r="M139" s="224">
        <v>750</v>
      </c>
      <c r="N139" s="380"/>
      <c r="O139" s="384">
        <v>750</v>
      </c>
      <c r="P139" s="380"/>
      <c r="Q139" s="384">
        <v>750</v>
      </c>
      <c r="R139" s="380"/>
      <c r="S139" s="384">
        <v>750</v>
      </c>
      <c r="T139" s="380"/>
      <c r="U139" s="384">
        <v>750</v>
      </c>
      <c r="V139" s="380"/>
      <c r="W139" s="384">
        <v>750</v>
      </c>
      <c r="X139" s="380"/>
      <c r="Y139" s="384">
        <v>750</v>
      </c>
      <c r="Z139" s="380"/>
      <c r="AA139" s="384">
        <v>750</v>
      </c>
      <c r="AB139" s="380"/>
      <c r="AC139" s="384">
        <v>750</v>
      </c>
      <c r="AD139" s="380"/>
      <c r="AE139" s="384">
        <v>750</v>
      </c>
      <c r="AF139" s="380"/>
      <c r="AG139" s="384">
        <v>750</v>
      </c>
      <c r="AH139" s="380"/>
      <c r="AI139" s="384">
        <v>750</v>
      </c>
      <c r="AJ139" s="380"/>
      <c r="AK139" s="384">
        <v>750</v>
      </c>
      <c r="AL139" s="380"/>
      <c r="AM139" s="384">
        <v>750</v>
      </c>
      <c r="AN139" s="380"/>
      <c r="AO139" s="384">
        <v>750</v>
      </c>
      <c r="AP139" s="380"/>
      <c r="AQ139" s="384">
        <v>750</v>
      </c>
      <c r="AR139" s="380"/>
      <c r="AS139" s="384">
        <v>750</v>
      </c>
      <c r="AT139" s="380"/>
      <c r="AU139" s="384">
        <v>750</v>
      </c>
      <c r="AV139" s="380"/>
      <c r="AW139" s="384">
        <v>750</v>
      </c>
      <c r="AX139" s="380"/>
      <c r="AY139" s="384">
        <v>750</v>
      </c>
      <c r="AZ139" s="380"/>
      <c r="BA139" s="384">
        <v>750</v>
      </c>
      <c r="BB139" s="380"/>
      <c r="BC139" s="384">
        <v>750</v>
      </c>
      <c r="BD139" s="380"/>
      <c r="BE139" s="384">
        <v>750</v>
      </c>
      <c r="BF139" s="380"/>
      <c r="BG139" s="384">
        <v>750</v>
      </c>
      <c r="BH139" s="380"/>
      <c r="BI139" s="384">
        <v>750</v>
      </c>
      <c r="BJ139" s="380"/>
      <c r="BK139" s="384">
        <v>750</v>
      </c>
      <c r="BL139" s="380"/>
      <c r="BM139" s="384">
        <v>750</v>
      </c>
      <c r="BN139" s="380"/>
      <c r="BO139" s="384">
        <v>750</v>
      </c>
      <c r="BP139" s="380"/>
      <c r="BQ139" s="384">
        <v>750</v>
      </c>
      <c r="BR139" s="380"/>
      <c r="BS139" s="384">
        <v>750</v>
      </c>
      <c r="BT139" s="380"/>
      <c r="BU139" s="384">
        <v>750</v>
      </c>
      <c r="BV139" s="380"/>
      <c r="BW139" s="384">
        <v>750</v>
      </c>
      <c r="BX139" s="380"/>
      <c r="BY139" s="384">
        <v>750</v>
      </c>
      <c r="BZ139" s="380"/>
      <c r="CA139" s="384">
        <v>750</v>
      </c>
      <c r="CB139" s="380"/>
      <c r="CC139" s="384">
        <v>750</v>
      </c>
      <c r="CD139" s="380"/>
      <c r="CE139" s="384">
        <v>750</v>
      </c>
      <c r="CF139" s="620"/>
      <c r="CG139" s="620"/>
      <c r="CH139" s="620"/>
      <c r="CI139" s="620"/>
      <c r="CJ139" s="380"/>
      <c r="CK139" s="384">
        <v>750</v>
      </c>
      <c r="CL139" s="380"/>
      <c r="CM139" s="384">
        <v>750</v>
      </c>
      <c r="CN139" s="380"/>
      <c r="CO139" s="384">
        <v>750</v>
      </c>
      <c r="CP139" s="380"/>
      <c r="CQ139" s="384">
        <v>750</v>
      </c>
      <c r="CR139" s="380"/>
      <c r="CS139" s="384">
        <v>750</v>
      </c>
      <c r="CT139" s="380"/>
      <c r="CU139" s="384">
        <v>750</v>
      </c>
      <c r="CV139" s="380"/>
      <c r="CW139" s="384">
        <v>750</v>
      </c>
      <c r="CX139" s="380"/>
      <c r="CY139" s="384">
        <v>750</v>
      </c>
      <c r="DA139" s="380"/>
      <c r="DB139" s="384">
        <v>750</v>
      </c>
      <c r="DC139" s="380"/>
      <c r="DD139" s="384">
        <v>750</v>
      </c>
      <c r="DE139" s="380"/>
      <c r="DF139" s="384">
        <v>750</v>
      </c>
      <c r="DG139" s="380"/>
      <c r="DH139" s="384">
        <v>750</v>
      </c>
      <c r="DI139" s="380"/>
      <c r="DJ139" s="384">
        <v>750</v>
      </c>
      <c r="DK139" s="380"/>
      <c r="DL139" s="384">
        <v>750</v>
      </c>
      <c r="DM139" s="380"/>
      <c r="DN139" s="384">
        <v>750</v>
      </c>
      <c r="DO139" s="380"/>
      <c r="DP139" s="384">
        <v>750</v>
      </c>
      <c r="DR139" s="380"/>
      <c r="DS139" s="384">
        <v>750</v>
      </c>
      <c r="DT139" s="380"/>
      <c r="DU139" s="384">
        <v>750</v>
      </c>
    </row>
    <row r="140" spans="1:125" outlineLevel="2" x14ac:dyDescent="0.45">
      <c r="A140" s="561"/>
      <c r="B140" s="1187"/>
      <c r="C140" s="170"/>
      <c r="D140" s="162"/>
      <c r="E140" s="197"/>
      <c r="F140" s="164"/>
      <c r="G140" s="171"/>
      <c r="H140" s="164"/>
      <c r="I140" s="171"/>
      <c r="J140" s="164"/>
      <c r="K140" s="171"/>
      <c r="L140" s="164"/>
      <c r="M140" s="171"/>
      <c r="N140" s="359"/>
      <c r="O140" s="372"/>
      <c r="P140" s="359"/>
      <c r="Q140" s="372"/>
      <c r="R140" s="359"/>
      <c r="S140" s="372"/>
      <c r="T140" s="359"/>
      <c r="U140" s="372"/>
      <c r="V140" s="359"/>
      <c r="W140" s="372"/>
      <c r="X140" s="359"/>
      <c r="Y140" s="372"/>
      <c r="Z140" s="359"/>
      <c r="AA140" s="372"/>
      <c r="AB140" s="359"/>
      <c r="AC140" s="372"/>
      <c r="AD140" s="359"/>
      <c r="AE140" s="372"/>
      <c r="AF140" s="359"/>
      <c r="AG140" s="372"/>
      <c r="AH140" s="359"/>
      <c r="AI140" s="372"/>
      <c r="AJ140" s="359"/>
      <c r="AK140" s="372"/>
      <c r="AL140" s="359"/>
      <c r="AM140" s="372"/>
      <c r="AN140" s="359"/>
      <c r="AO140" s="372"/>
      <c r="AP140" s="359"/>
      <c r="AQ140" s="372"/>
      <c r="AR140" s="359"/>
      <c r="AS140" s="372"/>
      <c r="AT140" s="359"/>
      <c r="AU140" s="372"/>
      <c r="AV140" s="359"/>
      <c r="AW140" s="372"/>
      <c r="AX140" s="359"/>
      <c r="AY140" s="372"/>
      <c r="AZ140" s="359"/>
      <c r="BA140" s="372"/>
      <c r="BB140" s="359"/>
      <c r="BC140" s="372"/>
      <c r="BD140" s="359"/>
      <c r="BE140" s="372"/>
      <c r="BF140" s="359"/>
      <c r="BG140" s="372"/>
      <c r="BH140" s="359"/>
      <c r="BI140" s="372"/>
      <c r="BJ140" s="359"/>
      <c r="BK140" s="372"/>
      <c r="BL140" s="359"/>
      <c r="BM140" s="372"/>
      <c r="BN140" s="359"/>
      <c r="BO140" s="372"/>
      <c r="BP140" s="359"/>
      <c r="BQ140" s="372"/>
      <c r="BR140" s="359"/>
      <c r="BS140" s="372"/>
      <c r="BT140" s="359"/>
      <c r="BU140" s="372"/>
      <c r="BV140" s="359"/>
      <c r="BW140" s="372"/>
      <c r="BX140" s="359"/>
      <c r="BY140" s="372"/>
      <c r="BZ140" s="359"/>
      <c r="CA140" s="372"/>
      <c r="CB140" s="359"/>
      <c r="CC140" s="372"/>
      <c r="CD140" s="359"/>
      <c r="CE140" s="372"/>
      <c r="CF140" s="620"/>
      <c r="CG140" s="620"/>
      <c r="CH140" s="620"/>
      <c r="CI140" s="620"/>
      <c r="CJ140" s="359"/>
      <c r="CK140" s="372"/>
      <c r="CL140" s="359"/>
      <c r="CM140" s="372"/>
      <c r="CN140" s="359"/>
      <c r="CO140" s="372"/>
      <c r="CP140" s="359"/>
      <c r="CQ140" s="372"/>
      <c r="CR140" s="359"/>
      <c r="CS140" s="372"/>
      <c r="CT140" s="359"/>
      <c r="CU140" s="372"/>
      <c r="CV140" s="359"/>
      <c r="CW140" s="372"/>
      <c r="CX140" s="359"/>
      <c r="CY140" s="372"/>
      <c r="DA140" s="359"/>
      <c r="DB140" s="372"/>
      <c r="DC140" s="359"/>
      <c r="DD140" s="372"/>
      <c r="DE140" s="359"/>
      <c r="DF140" s="372"/>
      <c r="DG140" s="359"/>
      <c r="DH140" s="372"/>
      <c r="DI140" s="359"/>
      <c r="DJ140" s="372"/>
      <c r="DK140" s="359"/>
      <c r="DL140" s="372"/>
      <c r="DM140" s="359"/>
      <c r="DN140" s="372"/>
      <c r="DO140" s="359"/>
      <c r="DP140" s="372"/>
      <c r="DR140" s="359"/>
      <c r="DS140" s="372"/>
      <c r="DT140" s="359"/>
      <c r="DU140" s="372"/>
    </row>
    <row r="141" spans="1:125" outlineLevel="2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G138-G135</f>
        <v>580</v>
      </c>
      <c r="H141" s="229"/>
      <c r="I141" s="230">
        <f>I138-I135</f>
        <v>50</v>
      </c>
      <c r="J141" s="229"/>
      <c r="K141" s="230">
        <f>K138-K135</f>
        <v>50</v>
      </c>
      <c r="L141" s="229"/>
      <c r="M141" s="230">
        <f>M138-M135</f>
        <v>50</v>
      </c>
      <c r="N141" s="1102"/>
      <c r="O141" s="588">
        <f>O136-O135</f>
        <v>54.135068708900008</v>
      </c>
      <c r="P141" s="1102"/>
      <c r="Q141" s="588">
        <f>Q137-Q135</f>
        <v>300</v>
      </c>
      <c r="R141" s="1102"/>
      <c r="S141" s="588">
        <f>S137-S135</f>
        <v>300</v>
      </c>
      <c r="T141" s="1102"/>
      <c r="U141" s="588">
        <f>U136-U135</f>
        <v>49.838073560686325</v>
      </c>
      <c r="V141" s="1102"/>
      <c r="W141" s="588">
        <f>W136-W135</f>
        <v>-25.608039721060095</v>
      </c>
      <c r="X141" s="1102"/>
      <c r="Y141" s="588">
        <f>Y136-Y135</f>
        <v>5.6610184442970422</v>
      </c>
      <c r="Z141" s="1102"/>
      <c r="AA141" s="588">
        <f>AA136-AA135</f>
        <v>-125.93596172753678</v>
      </c>
      <c r="AB141" s="1102"/>
      <c r="AC141" s="588">
        <f>AC136-AC135</f>
        <v>-105.08649279365159</v>
      </c>
      <c r="AD141" s="1102"/>
      <c r="AE141" s="588">
        <f>AE136-AE135</f>
        <v>-57.418295585270243</v>
      </c>
      <c r="AF141" s="1102"/>
      <c r="AG141" s="588">
        <f>AG136-AG135</f>
        <v>-85.196001411088901</v>
      </c>
      <c r="AH141" s="1102"/>
      <c r="AI141" s="588">
        <f>AI136-AI135</f>
        <v>-305.85621317645928</v>
      </c>
      <c r="AJ141" s="1102"/>
      <c r="AK141" s="588">
        <f>AK136-AK135</f>
        <v>-528.02086000099234</v>
      </c>
      <c r="AL141" s="1102"/>
      <c r="AM141" s="588">
        <f>AM136-AM135</f>
        <v>-641.11407263463093</v>
      </c>
      <c r="AN141" s="1102"/>
      <c r="AO141" s="588">
        <f>AO136-AO135</f>
        <v>-741.55989752608536</v>
      </c>
      <c r="AP141" s="1102"/>
      <c r="AQ141" s="588">
        <f>AQ136-AQ135</f>
        <v>-846.51641513267418</v>
      </c>
      <c r="AR141" s="1102"/>
      <c r="AS141" s="588">
        <f>AS136-AS135</f>
        <v>-909.41502747659274</v>
      </c>
      <c r="AT141" s="1102"/>
      <c r="AU141" s="588">
        <f>AU136-AU135</f>
        <v>-914.74559886750774</v>
      </c>
      <c r="AV141" s="1102"/>
      <c r="AW141" s="588">
        <f>AW136-AW135</f>
        <v>-957</v>
      </c>
      <c r="AX141" s="1102"/>
      <c r="AY141" s="588">
        <f>AY136-AY135</f>
        <v>-970</v>
      </c>
      <c r="AZ141" s="1102"/>
      <c r="BA141" s="588">
        <f>BA136-BA135</f>
        <v>-1092</v>
      </c>
      <c r="BB141" s="1102"/>
      <c r="BC141" s="588">
        <f>BC136-BC135</f>
        <v>-1095</v>
      </c>
      <c r="BD141" s="1102"/>
      <c r="BE141" s="588">
        <f>BE136-BE135</f>
        <v>-1095</v>
      </c>
      <c r="BF141" s="1102"/>
      <c r="BG141" s="588">
        <f>BG136-BG135</f>
        <v>-1095</v>
      </c>
      <c r="BH141" s="1102"/>
      <c r="BI141" s="588">
        <f>BI136-BI135</f>
        <v>-695</v>
      </c>
      <c r="BJ141" s="1102"/>
      <c r="BK141" s="588">
        <f>BK136-BK135</f>
        <v>-682</v>
      </c>
      <c r="BL141" s="1102"/>
      <c r="BM141" s="588">
        <f>BM136-BM135</f>
        <v>-690</v>
      </c>
      <c r="BN141" s="1102"/>
      <c r="BO141" s="588">
        <f>BO136-BO135</f>
        <v>-738</v>
      </c>
      <c r="BP141" s="1102"/>
      <c r="BQ141" s="588">
        <f>BQ136-BQ135</f>
        <v>-660.3</v>
      </c>
      <c r="BR141" s="1102"/>
      <c r="BS141" s="588">
        <f>BS136-BS135</f>
        <v>-454.69527896995709</v>
      </c>
      <c r="BT141" s="1102"/>
      <c r="BU141" s="588">
        <f>BU136-BU135</f>
        <v>-538</v>
      </c>
      <c r="BV141" s="1102"/>
      <c r="BW141" s="588">
        <f>BW136-BW135</f>
        <v>-701</v>
      </c>
      <c r="BX141" s="1102"/>
      <c r="BY141" s="588">
        <f>BY136-BY135</f>
        <v>-688.24324324324323</v>
      </c>
      <c r="BZ141" s="1102"/>
      <c r="CA141" s="588">
        <f>CA136-CA135</f>
        <v>-735</v>
      </c>
      <c r="CB141" s="1102"/>
      <c r="CC141" s="588">
        <f>CC136-CC135</f>
        <v>-743</v>
      </c>
      <c r="CD141" s="1102"/>
      <c r="CE141" s="588">
        <f>CE136-CE135</f>
        <v>-715</v>
      </c>
      <c r="CF141" s="620"/>
      <c r="CG141" s="620"/>
      <c r="CH141" s="620"/>
      <c r="CI141" s="620"/>
      <c r="CJ141" s="1102"/>
      <c r="CK141" s="588">
        <f>CK136-CK135</f>
        <v>27.86584308655506</v>
      </c>
      <c r="CL141" s="1102"/>
      <c r="CM141" s="588">
        <f>CM136-CM135</f>
        <v>-75.842432130709994</v>
      </c>
      <c r="CN141" s="1102"/>
      <c r="CO141" s="588">
        <f>CO136-CO135</f>
        <v>-209.43867171649185</v>
      </c>
      <c r="CP141" s="1102"/>
      <c r="CQ141" s="588">
        <f>CQ136-CQ135</f>
        <v>-600</v>
      </c>
      <c r="CR141" s="1102"/>
      <c r="CS141" s="588">
        <f>CS136-CS135</f>
        <v>-17.461214788033885</v>
      </c>
      <c r="CT141" s="1102"/>
      <c r="CU141" s="588">
        <f>CU136-CU135</f>
        <v>-300</v>
      </c>
      <c r="CV141" s="1102"/>
      <c r="CW141" s="588">
        <f>CW136-CW135</f>
        <v>-300</v>
      </c>
      <c r="CX141" s="1102"/>
      <c r="CY141" s="588">
        <f>CY136-CY135</f>
        <v>-400</v>
      </c>
      <c r="DA141" s="1102"/>
      <c r="DB141" s="588">
        <f>DB136-DB135</f>
        <v>-1140</v>
      </c>
      <c r="DC141" s="1102"/>
      <c r="DD141" s="588">
        <f>DD136-DD135</f>
        <v>-690</v>
      </c>
      <c r="DE141" s="1102"/>
      <c r="DF141" s="588">
        <f>DF136-DF135</f>
        <v>-701</v>
      </c>
      <c r="DG141" s="1102"/>
      <c r="DH141" s="588">
        <f>DH136-DH135</f>
        <v>-715</v>
      </c>
      <c r="DI141" s="1102"/>
      <c r="DJ141" s="588">
        <f>DJ136-DJ135</f>
        <v>-738</v>
      </c>
      <c r="DK141" s="1102"/>
      <c r="DL141" s="588">
        <f>DL136-DL135</f>
        <v>-660.3</v>
      </c>
      <c r="DM141" s="1102"/>
      <c r="DN141" s="588">
        <f>DN136-DN135</f>
        <v>-454.69527896995709</v>
      </c>
      <c r="DO141" s="1102"/>
      <c r="DP141" s="588">
        <f>DP136-DP135</f>
        <v>-715</v>
      </c>
      <c r="DR141" s="1102"/>
      <c r="DS141" s="588">
        <f>DS136-DS135</f>
        <v>-550</v>
      </c>
      <c r="DT141" s="1102"/>
      <c r="DU141" s="588">
        <f>DU136-DU135</f>
        <v>-550</v>
      </c>
    </row>
    <row r="142" spans="1:125" outlineLevel="2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167219.45247933886</v>
      </c>
      <c r="H142" s="229"/>
      <c r="I142" s="230">
        <f>I141*I130</f>
        <v>14415.470041322315</v>
      </c>
      <c r="J142" s="229"/>
      <c r="K142" s="230">
        <f>K141*K130</f>
        <v>14415.470041322315</v>
      </c>
      <c r="L142" s="229"/>
      <c r="M142" s="230">
        <f>M141*M130</f>
        <v>14415.470041322315</v>
      </c>
      <c r="N142" s="229"/>
      <c r="O142" s="588">
        <f>O141*O133</f>
        <v>3627.0496034963007</v>
      </c>
      <c r="P142" s="229"/>
      <c r="Q142" s="588">
        <f>Q141*Q133</f>
        <v>127106.40495867768</v>
      </c>
      <c r="R142" s="229"/>
      <c r="S142" s="588">
        <f>S141*S133</f>
        <v>127106.40495867768</v>
      </c>
      <c r="T142" s="229"/>
      <c r="U142" s="588">
        <f>U141*U133</f>
        <v>1604.2273497510694</v>
      </c>
      <c r="V142" s="229"/>
      <c r="W142" s="588">
        <f>W141*W133</f>
        <v>-1181.5610372846052</v>
      </c>
      <c r="X142" s="229"/>
      <c r="Y142" s="588">
        <f>Y141*Y133</f>
        <v>202.03636797017555</v>
      </c>
      <c r="Z142" s="229"/>
      <c r="AA142" s="588">
        <f>AA141*AA133</f>
        <v>-3942.9144546244388</v>
      </c>
      <c r="AB142" s="229"/>
      <c r="AC142" s="588">
        <f>AC141*AC133</f>
        <v>-4816.6632804908377</v>
      </c>
      <c r="AD142" s="229"/>
      <c r="AE142" s="588">
        <f>AE141*AE133</f>
        <v>-763.16507334719734</v>
      </c>
      <c r="AF142" s="229"/>
      <c r="AG142" s="588">
        <f>AG141*AG133</f>
        <v>-979.75401622752236</v>
      </c>
      <c r="AH142" s="229"/>
      <c r="AI142" s="588">
        <f>AI141*AI133</f>
        <v>-10942.021824745951</v>
      </c>
      <c r="AJ142" s="229"/>
      <c r="AK142" s="588">
        <f>AK141*AK133</f>
        <v>-14455.389256669729</v>
      </c>
      <c r="AL142" s="229"/>
      <c r="AM142" s="588">
        <f>AM141*AM133</f>
        <v>-25606.645776605968</v>
      </c>
      <c r="AN142" s="229"/>
      <c r="AO142" s="588">
        <f>AO141*AO133</f>
        <v>-31145.515696095586</v>
      </c>
      <c r="AP142" s="229"/>
      <c r="AQ142" s="588">
        <f>AQ141*AQ133</f>
        <v>-41622.941036940647</v>
      </c>
      <c r="AR142" s="229"/>
      <c r="AS142" s="588">
        <f>AS141*AS133</f>
        <v>-80030.401374608497</v>
      </c>
      <c r="AT142" s="229"/>
      <c r="AU142" s="588">
        <f>AU141*AU133</f>
        <v>-9389.3721801111114</v>
      </c>
      <c r="AV142" s="229"/>
      <c r="AW142" s="588">
        <f>AW141*AW133</f>
        <v>-9687.400568181818</v>
      </c>
      <c r="AX142" s="229"/>
      <c r="AY142" s="588">
        <f>AY141*AY133</f>
        <v>-38774.948347107435</v>
      </c>
      <c r="AZ142" s="229"/>
      <c r="BA142" s="588">
        <f>BA141*BA133</f>
        <v>-29883.629132231406</v>
      </c>
      <c r="BB142" s="229"/>
      <c r="BC142" s="588">
        <f>BC141*BC133</f>
        <v>-40876.983471074374</v>
      </c>
      <c r="BD142" s="229"/>
      <c r="BE142" s="588">
        <f>BE141*BE133</f>
        <v>-33209.438274793385</v>
      </c>
      <c r="BF142" s="229"/>
      <c r="BG142" s="588">
        <f>BG141*BG133</f>
        <v>0</v>
      </c>
      <c r="BH142" s="229"/>
      <c r="BI142" s="588">
        <f>BI141*BI133</f>
        <v>0</v>
      </c>
      <c r="BJ142" s="229"/>
      <c r="BK142" s="588">
        <f>BK141*BK133</f>
        <v>0</v>
      </c>
      <c r="BL142" s="229"/>
      <c r="BM142" s="588">
        <f>BM141*BM133</f>
        <v>0</v>
      </c>
      <c r="BN142" s="229"/>
      <c r="BO142" s="588">
        <f>BO141*BO133</f>
        <v>0</v>
      </c>
      <c r="BP142" s="229"/>
      <c r="BQ142" s="588">
        <f>BQ141*BQ133</f>
        <v>0</v>
      </c>
      <c r="BR142" s="229"/>
      <c r="BS142" s="588">
        <f>BS141*BS133</f>
        <v>0</v>
      </c>
      <c r="BT142" s="229"/>
      <c r="BU142" s="588">
        <f>BU141*BU133</f>
        <v>0</v>
      </c>
      <c r="BV142" s="229"/>
      <c r="BW142" s="588">
        <f>BW141*BW133</f>
        <v>0</v>
      </c>
      <c r="BX142" s="229"/>
      <c r="BY142" s="588">
        <f>BY141*BY133</f>
        <v>0</v>
      </c>
      <c r="BZ142" s="229"/>
      <c r="CA142" s="588">
        <f>CA141*CA133</f>
        <v>0</v>
      </c>
      <c r="CB142" s="229"/>
      <c r="CC142" s="588">
        <f>CC141*CC133</f>
        <v>0</v>
      </c>
      <c r="CD142" s="229"/>
      <c r="CE142" s="588">
        <f>CE141*CE133</f>
        <v>0</v>
      </c>
      <c r="CF142" s="620"/>
      <c r="CG142" s="620"/>
      <c r="CH142" s="620"/>
      <c r="CI142" s="620"/>
      <c r="CJ142" s="229"/>
      <c r="CK142" s="588">
        <f>CK141*CK133</f>
        <v>4049.715915962744</v>
      </c>
      <c r="CL142" s="229"/>
      <c r="CM142" s="588">
        <f>CM141*CM133</f>
        <v>-8557.5413671451151</v>
      </c>
      <c r="CN142" s="229"/>
      <c r="CO142" s="588">
        <f>CO141*CO133</f>
        <v>-12684.940914320676</v>
      </c>
      <c r="CP142" s="229"/>
      <c r="CQ142" s="588">
        <f>CQ141*CQ133</f>
        <v>-65291.528925619838</v>
      </c>
      <c r="CR142" s="229"/>
      <c r="CS142" s="588">
        <f>CS141*CS133</f>
        <v>-4507.8254511822897</v>
      </c>
      <c r="CT142" s="229"/>
      <c r="CU142" s="588">
        <f>CU141*CU133</f>
        <v>-32645.764462809919</v>
      </c>
      <c r="CV142" s="229"/>
      <c r="CW142" s="588">
        <f>CW141*CW133</f>
        <v>-140494.15289256198</v>
      </c>
      <c r="CX142" s="229"/>
      <c r="CY142" s="588">
        <f>CY141*CY133</f>
        <v>-187325.53719008266</v>
      </c>
      <c r="DA142" s="229"/>
      <c r="DB142" s="588">
        <f>DB141*DB133</f>
        <v>0</v>
      </c>
      <c r="DC142" s="229"/>
      <c r="DD142" s="588">
        <f>DD141*DD133</f>
        <v>0</v>
      </c>
      <c r="DE142" s="229"/>
      <c r="DF142" s="588">
        <f>DF141*DF133</f>
        <v>0</v>
      </c>
      <c r="DG142" s="229"/>
      <c r="DH142" s="588">
        <f>DH141*DH133</f>
        <v>0</v>
      </c>
      <c r="DI142" s="229"/>
      <c r="DJ142" s="588">
        <f>DJ141*DJ133</f>
        <v>0</v>
      </c>
      <c r="DK142" s="229"/>
      <c r="DL142" s="588">
        <f>DL141*DL133</f>
        <v>0</v>
      </c>
      <c r="DM142" s="229"/>
      <c r="DN142" s="588">
        <f>DN141*DN133</f>
        <v>0</v>
      </c>
      <c r="DO142" s="229"/>
      <c r="DP142" s="588">
        <f>DP141*DP133</f>
        <v>0</v>
      </c>
      <c r="DR142" s="229"/>
      <c r="DS142" s="588">
        <f>DS141*DS133</f>
        <v>0</v>
      </c>
      <c r="DT142" s="229"/>
      <c r="DU142" s="588">
        <f>DU141*DU133</f>
        <v>0</v>
      </c>
    </row>
    <row r="143" spans="1:125" outlineLevel="1" x14ac:dyDescent="0.4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381"/>
      <c r="O143" s="385"/>
      <c r="P143" s="381"/>
      <c r="Q143" s="385"/>
      <c r="R143" s="381"/>
      <c r="S143" s="385"/>
      <c r="T143" s="381"/>
      <c r="U143" s="385"/>
      <c r="V143" s="381"/>
      <c r="W143" s="385"/>
      <c r="X143" s="381"/>
      <c r="Y143" s="385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  <c r="BP143" s="381"/>
      <c r="BQ143" s="385"/>
      <c r="BR143" s="381"/>
      <c r="BS143" s="385"/>
      <c r="BT143" s="381"/>
      <c r="BU143" s="385"/>
      <c r="BV143" s="381"/>
      <c r="BW143" s="385"/>
      <c r="BX143" s="381"/>
      <c r="BY143" s="385"/>
      <c r="BZ143" s="381"/>
      <c r="CA143" s="385"/>
      <c r="CB143" s="381"/>
      <c r="CC143" s="385"/>
      <c r="CD143" s="381"/>
      <c r="CE143" s="385"/>
      <c r="CF143" s="620"/>
      <c r="CG143" s="620"/>
      <c r="CH143" s="620"/>
      <c r="CI143" s="620"/>
      <c r="CJ143" s="381"/>
      <c r="CK143" s="385"/>
      <c r="CL143" s="381"/>
      <c r="CM143" s="385"/>
      <c r="CN143" s="381"/>
      <c r="CO143" s="385"/>
      <c r="CP143" s="381"/>
      <c r="CQ143" s="385"/>
      <c r="CR143" s="381"/>
      <c r="CS143" s="385"/>
      <c r="CT143" s="381"/>
      <c r="CU143" s="385"/>
      <c r="CV143" s="381"/>
      <c r="CW143" s="385"/>
      <c r="CX143" s="381"/>
      <c r="CY143" s="385"/>
      <c r="DA143" s="381"/>
      <c r="DB143" s="385"/>
      <c r="DC143" s="381"/>
      <c r="DD143" s="385"/>
      <c r="DE143" s="381"/>
      <c r="DF143" s="385"/>
      <c r="DG143" s="381"/>
      <c r="DH143" s="385"/>
      <c r="DI143" s="381"/>
      <c r="DJ143" s="385"/>
      <c r="DK143" s="381"/>
      <c r="DL143" s="385"/>
      <c r="DM143" s="381"/>
      <c r="DN143" s="385"/>
      <c r="DO143" s="381"/>
      <c r="DP143" s="385"/>
      <c r="DR143" s="381"/>
      <c r="DS143" s="385"/>
      <c r="DT143" s="381"/>
      <c r="DU143" s="385"/>
    </row>
    <row r="144" spans="1:125" ht="14.65" outlineLevel="1" thickBot="1" x14ac:dyDescent="0.5">
      <c r="A144" s="561"/>
      <c r="B144" s="1188"/>
      <c r="C144" s="301" t="s">
        <v>418</v>
      </c>
      <c r="D144" s="302"/>
      <c r="E144" s="303"/>
      <c r="F144" s="304"/>
      <c r="G144" s="305">
        <f>G98*G129</f>
        <v>175306.35700625466</v>
      </c>
      <c r="H144" s="304"/>
      <c r="I144" s="305">
        <f>I98*I129</f>
        <v>395955.49157733569</v>
      </c>
      <c r="J144" s="304"/>
      <c r="K144" s="305">
        <f>K98*K129</f>
        <v>395955.49157733569</v>
      </c>
      <c r="L144" s="304"/>
      <c r="M144" s="305">
        <f>M98*M129</f>
        <v>395955.49157733569</v>
      </c>
      <c r="N144" s="304"/>
      <c r="O144" s="305">
        <f>O98*O132</f>
        <v>64664.716479686133</v>
      </c>
      <c r="P144" s="304"/>
      <c r="Q144" s="305">
        <f>Q98*Q132</f>
        <v>93609.272325690472</v>
      </c>
      <c r="R144" s="304"/>
      <c r="S144" s="305">
        <f>S98*S132</f>
        <v>93609.272325690472</v>
      </c>
      <c r="T144" s="304"/>
      <c r="U144" s="305">
        <f>U98*U132</f>
        <v>-1973.6001831092431</v>
      </c>
      <c r="V144" s="304"/>
      <c r="W144" s="305">
        <f>W98*W132</f>
        <v>-8180.810685100314</v>
      </c>
      <c r="X144" s="304"/>
      <c r="Y144" s="305">
        <f>Y98*Y132</f>
        <v>-31053.3192188621</v>
      </c>
      <c r="Z144" s="304"/>
      <c r="AA144" s="305">
        <f>AA98*AA132</f>
        <v>7573.893352093578</v>
      </c>
      <c r="AB144" s="304"/>
      <c r="AC144" s="305">
        <f>AC98*AC132</f>
        <v>28179.486227290305</v>
      </c>
      <c r="AD144" s="304"/>
      <c r="AE144" s="305">
        <f>AE98*AE132</f>
        <v>12898.198187365713</v>
      </c>
      <c r="AF144" s="304"/>
      <c r="AG144" s="305">
        <f>AG98*AG132</f>
        <v>14554.33444670571</v>
      </c>
      <c r="AH144" s="304"/>
      <c r="AI144" s="305">
        <f>AI98*AI132</f>
        <v>95499.772800183113</v>
      </c>
      <c r="AJ144" s="304"/>
      <c r="AK144" s="305">
        <f>AK98*AK132</f>
        <v>90531.722395602177</v>
      </c>
      <c r="AL144" s="304"/>
      <c r="AM144" s="305">
        <f>AM98*AM132</f>
        <v>145854.72435788374</v>
      </c>
      <c r="AN144" s="304"/>
      <c r="AO144" s="305">
        <f>AO98*AO132</f>
        <v>103891.65568975477</v>
      </c>
      <c r="AP144" s="304"/>
      <c r="AQ144" s="305">
        <f>AQ98*AQ132</f>
        <v>94466.157829012038</v>
      </c>
      <c r="AR144" s="304"/>
      <c r="AS144" s="305">
        <f>AS98*AS132</f>
        <v>159576.50141205257</v>
      </c>
      <c r="AT144" s="304"/>
      <c r="AU144" s="305">
        <f>AU98*AU132</f>
        <v>24362.116691006475</v>
      </c>
      <c r="AV144" s="304"/>
      <c r="AW144" s="305">
        <f>AW98*AW132</f>
        <v>15028.488971110419</v>
      </c>
      <c r="AX144" s="304"/>
      <c r="AY144" s="305">
        <f>AY98*AY132</f>
        <v>57165.9459191364</v>
      </c>
      <c r="AZ144" s="304"/>
      <c r="BA144" s="305">
        <f>BA98*BA132</f>
        <v>57231.601543902376</v>
      </c>
      <c r="BB144" s="304"/>
      <c r="BC144" s="305">
        <f>BC98*BC132</f>
        <v>88814.309438890719</v>
      </c>
      <c r="BD144" s="304"/>
      <c r="BE144" s="305">
        <f>BE98*BE132</f>
        <v>89951.437657320916</v>
      </c>
      <c r="BF144" s="304"/>
      <c r="BG144" s="305">
        <f>BG98*BG132</f>
        <v>0</v>
      </c>
      <c r="BH144" s="304"/>
      <c r="BI144" s="305">
        <f>BI98*BI132</f>
        <v>0</v>
      </c>
      <c r="BJ144" s="304"/>
      <c r="BK144" s="305">
        <f>BK98*BK132</f>
        <v>0</v>
      </c>
      <c r="BL144" s="304"/>
      <c r="BM144" s="305">
        <f>BM98*BM132</f>
        <v>0</v>
      </c>
      <c r="BN144" s="304"/>
      <c r="BO144" s="305">
        <f>BO98*BO132</f>
        <v>0</v>
      </c>
      <c r="BP144" s="304"/>
      <c r="BQ144" s="305">
        <f>BQ98*BQ132</f>
        <v>0</v>
      </c>
      <c r="BR144" s="304"/>
      <c r="BS144" s="305">
        <f>BS98*BS132</f>
        <v>0</v>
      </c>
      <c r="BT144" s="304"/>
      <c r="BU144" s="305">
        <f>BU98*BU132</f>
        <v>0</v>
      </c>
      <c r="BV144" s="304"/>
      <c r="BW144" s="305">
        <f>BW98*BW132</f>
        <v>0</v>
      </c>
      <c r="BX144" s="304"/>
      <c r="BY144" s="305">
        <f>BY98*BY132</f>
        <v>0</v>
      </c>
      <c r="BZ144" s="304"/>
      <c r="CA144" s="305">
        <f>CA98*CA132</f>
        <v>0</v>
      </c>
      <c r="CB144" s="304"/>
      <c r="CC144" s="305">
        <f>CC98*CC132</f>
        <v>0</v>
      </c>
      <c r="CD144" s="304"/>
      <c r="CE144" s="305">
        <f>CE98*CE132</f>
        <v>0</v>
      </c>
      <c r="CF144" s="620"/>
      <c r="CG144" s="620"/>
      <c r="CH144" s="620"/>
      <c r="CI144" s="620"/>
      <c r="CJ144" s="304"/>
      <c r="CK144" s="305">
        <f>CK98*CK132</f>
        <v>54459.948685933166</v>
      </c>
      <c r="CL144" s="304"/>
      <c r="CM144" s="305">
        <f>CM98*CM132</f>
        <v>4697.889788000688</v>
      </c>
      <c r="CN144" s="304"/>
      <c r="CO144" s="305">
        <f>CO98*CO132</f>
        <v>123072.27051163428</v>
      </c>
      <c r="CP144" s="304"/>
      <c r="CQ144" s="305">
        <f>CQ98*CQ132</f>
        <v>98448.267495243868</v>
      </c>
      <c r="CR144" s="304"/>
      <c r="CS144" s="305">
        <f>CS98*CS132</f>
        <v>57787.221432518476</v>
      </c>
      <c r="CT144" s="304"/>
      <c r="CU144" s="305">
        <f>CU98*CU132</f>
        <v>195212.21232588284</v>
      </c>
      <c r="CV144" s="304"/>
      <c r="CW144" s="305">
        <f>CW98*CW132</f>
        <v>459494.55895958759</v>
      </c>
      <c r="CX144" s="304"/>
      <c r="CY144" s="305">
        <f>CY98*CY132</f>
        <v>505854.95333503088</v>
      </c>
      <c r="DA144" s="304"/>
      <c r="DB144" s="305">
        <f>DB98*DB132</f>
        <v>0</v>
      </c>
      <c r="DC144" s="304"/>
      <c r="DD144" s="305">
        <f>DD98*DD132</f>
        <v>0</v>
      </c>
      <c r="DE144" s="304"/>
      <c r="DF144" s="305">
        <f>DF98*DF132</f>
        <v>0</v>
      </c>
      <c r="DG144" s="304"/>
      <c r="DH144" s="305">
        <f>DH98*DH132</f>
        <v>0</v>
      </c>
      <c r="DI144" s="304"/>
      <c r="DJ144" s="305">
        <f>DJ98*DJ132</f>
        <v>0</v>
      </c>
      <c r="DK144" s="304"/>
      <c r="DL144" s="305">
        <f>DL98*DL132</f>
        <v>0</v>
      </c>
      <c r="DM144" s="304"/>
      <c r="DN144" s="305">
        <f>DN98*DN132</f>
        <v>0</v>
      </c>
      <c r="DO144" s="304"/>
      <c r="DP144" s="305">
        <f>DP98*DP132</f>
        <v>0</v>
      </c>
      <c r="DR144" s="304"/>
      <c r="DS144" s="305">
        <f>DS98*DS132</f>
        <v>0</v>
      </c>
      <c r="DT144" s="304"/>
      <c r="DU144" s="305">
        <f>DU98*DU132</f>
        <v>0</v>
      </c>
    </row>
    <row r="145" spans="15:125" ht="14.65" outlineLevel="1" thickTop="1" x14ac:dyDescent="0.45">
      <c r="CF145" s="620"/>
      <c r="CG145" s="620"/>
      <c r="CH145" s="620"/>
      <c r="CI145" s="620"/>
    </row>
    <row r="146" spans="15:125" outlineLevel="1" x14ac:dyDescent="0.45">
      <c r="O146" s="589"/>
      <c r="Q146" s="589"/>
      <c r="S146" s="589"/>
      <c r="U146" s="589"/>
      <c r="W146" s="589"/>
      <c r="Y146" s="589"/>
      <c r="AA146" s="589"/>
      <c r="AC146" s="589"/>
      <c r="AE146" s="589"/>
      <c r="AG146" s="589"/>
      <c r="AI146" s="589"/>
      <c r="AK146" s="589"/>
      <c r="AM146" s="589"/>
      <c r="AO146" s="589"/>
      <c r="AQ146" s="589"/>
      <c r="AS146" s="589"/>
      <c r="AU146" s="589"/>
      <c r="AW146" s="589"/>
      <c r="AY146" s="589"/>
      <c r="BA146" s="589"/>
      <c r="BC146" s="589"/>
      <c r="BE146" s="589"/>
      <c r="BG146" s="589"/>
      <c r="BI146" s="589"/>
      <c r="BK146" s="589"/>
      <c r="BM146" s="589"/>
      <c r="BO146" s="589"/>
      <c r="BQ146" s="589"/>
      <c r="BS146" s="589"/>
      <c r="BU146" s="589"/>
      <c r="BW146" s="589"/>
      <c r="BY146" s="589"/>
      <c r="CA146" s="589"/>
      <c r="CC146" s="589"/>
      <c r="CE146" s="589"/>
      <c r="CF146" s="620"/>
      <c r="CG146" s="620"/>
      <c r="CH146" s="620"/>
      <c r="CI146" s="620"/>
      <c r="CK146" s="589"/>
      <c r="CM146" s="589"/>
      <c r="CO146" s="589"/>
      <c r="CQ146" s="589"/>
      <c r="CS146" s="589"/>
      <c r="CU146" s="589"/>
      <c r="CW146" s="589"/>
      <c r="CY146" s="589"/>
      <c r="DB146" s="589"/>
      <c r="DD146" s="589"/>
      <c r="DF146" s="589"/>
      <c r="DH146" s="589"/>
      <c r="DJ146" s="589"/>
      <c r="DL146" s="589"/>
      <c r="DN146" s="589"/>
      <c r="DP146" s="589"/>
      <c r="DS146" s="589"/>
      <c r="DU146" s="589"/>
    </row>
    <row r="147" spans="15:125" outlineLevel="1" x14ac:dyDescent="0.45">
      <c r="O147" s="589"/>
      <c r="Q147" s="589"/>
      <c r="S147" s="589"/>
      <c r="U147" s="589"/>
      <c r="W147" s="589"/>
      <c r="Y147" s="589"/>
      <c r="AA147" s="589"/>
      <c r="AC147" s="589"/>
      <c r="AE147" s="589"/>
      <c r="AG147" s="589"/>
      <c r="AI147" s="589"/>
      <c r="AK147" s="589"/>
      <c r="AM147" s="589"/>
      <c r="AO147" s="589"/>
      <c r="AQ147" s="589"/>
      <c r="AS147" s="589"/>
      <c r="AU147" s="589"/>
      <c r="AW147" s="589"/>
      <c r="AY147" s="589"/>
      <c r="BA147" s="589"/>
      <c r="BC147" s="589"/>
      <c r="BE147" s="589"/>
      <c r="BG147" s="589"/>
      <c r="BI147" s="589"/>
      <c r="BK147" s="589"/>
      <c r="BM147" s="589"/>
      <c r="BO147" s="589"/>
      <c r="BQ147" s="589"/>
      <c r="BS147" s="589"/>
      <c r="BU147" s="589"/>
      <c r="BW147" s="589"/>
      <c r="BY147" s="589"/>
      <c r="CA147" s="589"/>
      <c r="CC147" s="589"/>
      <c r="CE147" s="589"/>
      <c r="CF147" s="620"/>
      <c r="CG147" s="620"/>
      <c r="CH147" s="620"/>
      <c r="CI147" s="620"/>
      <c r="CK147" s="589"/>
      <c r="CM147" s="589"/>
      <c r="CO147" s="589"/>
      <c r="CQ147" s="589"/>
      <c r="CS147" s="589"/>
      <c r="CU147" s="589"/>
      <c r="CW147" s="589"/>
      <c r="CY147" s="589"/>
      <c r="DB147" s="589"/>
      <c r="DD147" s="589"/>
      <c r="DF147" s="589"/>
      <c r="DH147" s="589"/>
      <c r="DJ147" s="589"/>
      <c r="DL147" s="589"/>
      <c r="DN147" s="589"/>
      <c r="DP147" s="589"/>
      <c r="DS147" s="589"/>
      <c r="DU147" s="589"/>
    </row>
    <row r="148" spans="15:125" outlineLevel="1" x14ac:dyDescent="0.45">
      <c r="O148" s="1049">
        <f>(O80-O92-O57)/O67</f>
        <v>6.4842195312755729E-2</v>
      </c>
      <c r="CF148" s="620"/>
      <c r="CG148" s="620"/>
      <c r="CH148" s="620"/>
      <c r="CI148" s="620"/>
      <c r="CY148" s="1105">
        <f>CY132*CY67</f>
        <v>10408406.288000001</v>
      </c>
      <c r="CZ148" s="1105">
        <f>CY148+'Pricing Structure - IIP'!DE155+'Pricing Structure - IHAG'!DO155</f>
        <v>24064019.1065</v>
      </c>
    </row>
    <row r="149" spans="15:125" outlineLevel="1" x14ac:dyDescent="0.45">
      <c r="O149" s="589"/>
      <c r="Q149" s="589"/>
      <c r="S149" s="589"/>
      <c r="U149" s="589"/>
      <c r="W149" s="589"/>
      <c r="Y149" s="589"/>
      <c r="AA149" s="589"/>
      <c r="AC149" s="589"/>
      <c r="AE149" s="589"/>
      <c r="AG149" s="589"/>
      <c r="AI149" s="589"/>
      <c r="AJ149" t="s">
        <v>253</v>
      </c>
      <c r="AK149" s="334">
        <f>AK78*AK131</f>
        <v>2660420.3203474539</v>
      </c>
      <c r="AL149" t="s">
        <v>253</v>
      </c>
      <c r="AM149" s="334">
        <f>AM78*AM131</f>
        <v>3811877.221366175</v>
      </c>
      <c r="AN149" t="s">
        <v>253</v>
      </c>
      <c r="AO149" s="334">
        <f>AO78*AO131</f>
        <v>3911715.8087349595</v>
      </c>
      <c r="AP149" t="s">
        <v>253</v>
      </c>
      <c r="AQ149" s="334">
        <f>AQ78*AQ131</f>
        <v>4707384.7790697441</v>
      </c>
      <c r="AR149" t="s">
        <v>253</v>
      </c>
      <c r="AS149" s="334">
        <f>AS78*AS131</f>
        <v>8517054.9906348344</v>
      </c>
      <c r="AT149" t="s">
        <v>253</v>
      </c>
      <c r="AU149" s="334">
        <f>AU78*AU131</f>
        <v>956385.03816594975</v>
      </c>
      <c r="AV149" t="s">
        <v>253</v>
      </c>
      <c r="AW149" s="334">
        <f>AW78*AW131</f>
        <v>1005076.1385751653</v>
      </c>
      <c r="AX149" t="s">
        <v>253</v>
      </c>
      <c r="AY149" s="334">
        <f>AY78*AY131</f>
        <v>3992436.7078822046</v>
      </c>
      <c r="AZ149" t="s">
        <v>253</v>
      </c>
      <c r="BA149" s="334">
        <f>BA78*BA131</f>
        <v>2637407.2061657496</v>
      </c>
      <c r="BB149" t="s">
        <v>253</v>
      </c>
      <c r="BC149" s="334">
        <f>BC78*BC131</f>
        <v>3523666.2671758733</v>
      </c>
      <c r="BD149" t="s">
        <v>253</v>
      </c>
      <c r="BE149" s="334">
        <f>BE78*BE131</f>
        <v>3557027.2706155633</v>
      </c>
      <c r="BF149" t="s">
        <v>253</v>
      </c>
      <c r="BG149" s="334">
        <f>BG78*BG131</f>
        <v>0</v>
      </c>
      <c r="BH149" t="s">
        <v>253</v>
      </c>
      <c r="BI149" s="334">
        <f>BI78*BI131</f>
        <v>0</v>
      </c>
      <c r="BJ149" t="s">
        <v>253</v>
      </c>
      <c r="BK149" s="334">
        <f>BK78*BK131</f>
        <v>0</v>
      </c>
      <c r="BL149" t="s">
        <v>253</v>
      </c>
      <c r="BM149" s="334">
        <f>BM78*BM131</f>
        <v>0</v>
      </c>
      <c r="BN149" t="s">
        <v>253</v>
      </c>
      <c r="BO149" s="334">
        <f>BO78*BO131</f>
        <v>0</v>
      </c>
      <c r="BP149" t="s">
        <v>253</v>
      </c>
      <c r="BQ149" s="334">
        <f>BQ78*BQ131</f>
        <v>0</v>
      </c>
      <c r="BR149" t="s">
        <v>253</v>
      </c>
      <c r="BS149" s="334">
        <f>BS78*BS131</f>
        <v>0</v>
      </c>
      <c r="BT149" t="s">
        <v>253</v>
      </c>
      <c r="BU149" s="334">
        <f>BU78*BU131</f>
        <v>0</v>
      </c>
      <c r="BV149" t="s">
        <v>253</v>
      </c>
      <c r="BW149" s="334">
        <f>BW78*BW131</f>
        <v>0</v>
      </c>
      <c r="BX149" t="s">
        <v>253</v>
      </c>
      <c r="BY149" s="334">
        <f>BY78*BY131</f>
        <v>0</v>
      </c>
      <c r="BZ149" t="s">
        <v>253</v>
      </c>
      <c r="CA149" s="334">
        <f>CA78*CA131</f>
        <v>0</v>
      </c>
      <c r="CB149" t="s">
        <v>253</v>
      </c>
      <c r="CC149" s="334">
        <f>CC78*CC131</f>
        <v>0</v>
      </c>
      <c r="CD149" t="s">
        <v>253</v>
      </c>
      <c r="CE149" s="334">
        <f>CE78*CE131</f>
        <v>0</v>
      </c>
      <c r="CF149" s="620"/>
      <c r="CG149" s="620"/>
      <c r="CH149" s="620"/>
      <c r="CI149" s="620"/>
      <c r="CK149" s="589"/>
      <c r="CM149" s="589"/>
      <c r="CO149" s="589"/>
      <c r="CQ149" s="589"/>
      <c r="CS149" s="589"/>
      <c r="CU149" s="589"/>
      <c r="CW149" s="589"/>
      <c r="CY149" s="589"/>
      <c r="DA149" t="s">
        <v>253</v>
      </c>
      <c r="DB149" s="334">
        <f>DB78*DB131</f>
        <v>0</v>
      </c>
      <c r="DC149" t="s">
        <v>253</v>
      </c>
      <c r="DD149" s="334">
        <f>DD78*DD131</f>
        <v>0</v>
      </c>
      <c r="DE149" t="s">
        <v>253</v>
      </c>
      <c r="DF149" s="334">
        <f>DF78*DF131</f>
        <v>0</v>
      </c>
      <c r="DG149" t="s">
        <v>253</v>
      </c>
      <c r="DH149" s="334">
        <f>DH78*DH131</f>
        <v>0</v>
      </c>
      <c r="DI149" t="s">
        <v>253</v>
      </c>
      <c r="DJ149" s="334">
        <f>DJ78*DJ131</f>
        <v>0</v>
      </c>
      <c r="DK149" t="s">
        <v>253</v>
      </c>
      <c r="DL149" s="334">
        <f>DL78*DL131</f>
        <v>0</v>
      </c>
      <c r="DM149" t="s">
        <v>253</v>
      </c>
      <c r="DN149" s="334">
        <f>DN78*DN131</f>
        <v>0</v>
      </c>
      <c r="DO149" t="s">
        <v>253</v>
      </c>
      <c r="DP149" s="334">
        <f>DP78*DP131</f>
        <v>0</v>
      </c>
      <c r="DR149" t="s">
        <v>253</v>
      </c>
      <c r="DS149" s="334">
        <f>DS78*DS131</f>
        <v>0</v>
      </c>
      <c r="DT149" t="s">
        <v>253</v>
      </c>
      <c r="DU149" s="334">
        <f>DU78*DU131</f>
        <v>0</v>
      </c>
    </row>
    <row r="150" spans="15:125" outlineLevel="1" x14ac:dyDescent="0.45">
      <c r="O150" s="593"/>
      <c r="Q150" s="593"/>
      <c r="S150" s="593"/>
      <c r="U150" s="593"/>
      <c r="W150" s="593"/>
      <c r="Y150" s="593"/>
      <c r="AA150" s="593"/>
      <c r="AC150" s="593"/>
      <c r="AE150" s="593"/>
      <c r="AG150" s="593"/>
      <c r="AI150" s="593"/>
      <c r="AJ150" t="s">
        <v>254</v>
      </c>
      <c r="AK150" s="334">
        <f>'Pricing Structure - IIP'!AK78*'Pricing Structure - IIP'!AK131</f>
        <v>936542.08391939593</v>
      </c>
      <c r="AL150" t="s">
        <v>254</v>
      </c>
      <c r="AM150" s="334">
        <f>'Pricing Structure - IIP'!CQ78*'Pricing Structure - IIP'!CQ131</f>
        <v>0</v>
      </c>
      <c r="AN150" t="s">
        <v>254</v>
      </c>
      <c r="AO150" s="334">
        <f>'Pricing Structure - IIP'!CS78*'Pricing Structure - IIP'!CS131</f>
        <v>0</v>
      </c>
      <c r="AP150" t="s">
        <v>254</v>
      </c>
      <c r="AQ150" s="334">
        <f>'Pricing Structure - IIP'!CU78*'Pricing Structure - IIP'!CU131</f>
        <v>0</v>
      </c>
      <c r="AR150" t="s">
        <v>254</v>
      </c>
      <c r="AS150" s="334">
        <f>'Pricing Structure - IIP'!CW78*'Pricing Structure - IIP'!CW131</f>
        <v>0</v>
      </c>
      <c r="AT150" t="s">
        <v>254</v>
      </c>
      <c r="AU150" s="334">
        <f>'Pricing Structure - IIP'!CY78*'Pricing Structure - IIP'!CY131</f>
        <v>0</v>
      </c>
      <c r="AV150" t="s">
        <v>254</v>
      </c>
      <c r="AW150" s="334">
        <f>'Pricing Structure - IIP'!DA78*'Pricing Structure - IIP'!DA131</f>
        <v>0</v>
      </c>
      <c r="AX150" t="s">
        <v>254</v>
      </c>
      <c r="AY150" s="334">
        <f>'Pricing Structure - IIP'!DC78*'Pricing Structure - IIP'!DC131</f>
        <v>0</v>
      </c>
      <c r="AZ150" t="s">
        <v>254</v>
      </c>
      <c r="BA150" s="334">
        <f>'Pricing Structure - IIP'!DE78*'Pricing Structure - IIP'!DE131</f>
        <v>0</v>
      </c>
      <c r="BB150" t="s">
        <v>254</v>
      </c>
      <c r="BC150" s="334">
        <f>'Pricing Structure - IIP'!DG78*'Pricing Structure - IIP'!DG131</f>
        <v>0</v>
      </c>
      <c r="BD150" t="s">
        <v>254</v>
      </c>
      <c r="BE150" s="334">
        <f>'Pricing Structure - IIP'!DI78*'Pricing Structure - IIP'!DI131</f>
        <v>0</v>
      </c>
      <c r="BF150" t="s">
        <v>254</v>
      </c>
      <c r="BG150" s="334">
        <f>'Pricing Structure - IIP'!DK78*'Pricing Structure - IIP'!DK131</f>
        <v>0</v>
      </c>
      <c r="BH150" t="s">
        <v>254</v>
      </c>
      <c r="BI150" s="334">
        <f>'Pricing Structure - IIP'!DM78*'Pricing Structure - IIP'!DM131</f>
        <v>0</v>
      </c>
      <c r="BJ150" t="s">
        <v>254</v>
      </c>
      <c r="BK150" s="334">
        <f>'Pricing Structure - IIP'!DO78*'Pricing Structure - IIP'!DO131</f>
        <v>0</v>
      </c>
      <c r="BL150" t="s">
        <v>254</v>
      </c>
      <c r="BM150" s="334">
        <f>'Pricing Structure - IIP'!DQ78*'Pricing Structure - IIP'!DQ131</f>
        <v>0</v>
      </c>
      <c r="BN150" t="s">
        <v>254</v>
      </c>
      <c r="BO150" s="334">
        <f>'Pricing Structure - IIP'!DS78*'Pricing Structure - IIP'!DS131</f>
        <v>0</v>
      </c>
      <c r="BP150" t="s">
        <v>254</v>
      </c>
      <c r="BQ150" s="334">
        <f>'Pricing Structure - IIP'!DU78*'Pricing Structure - IIP'!DU131</f>
        <v>0</v>
      </c>
      <c r="BR150" t="s">
        <v>254</v>
      </c>
      <c r="BS150" s="334">
        <f>'Pricing Structure - IIP'!DW78*'Pricing Structure - IIP'!DW131</f>
        <v>0</v>
      </c>
      <c r="BT150" t="s">
        <v>254</v>
      </c>
      <c r="BU150" s="334">
        <f>'Pricing Structure - IIP'!DY78*'Pricing Structure - IIP'!DY131</f>
        <v>0</v>
      </c>
      <c r="BV150" t="s">
        <v>254</v>
      </c>
      <c r="BW150" s="334">
        <f>'Pricing Structure - IIP'!EA78*'Pricing Structure - IIP'!EA131</f>
        <v>0</v>
      </c>
      <c r="BX150" t="s">
        <v>254</v>
      </c>
      <c r="BY150" s="334">
        <f>'Pricing Structure - IIP'!EC78*'Pricing Structure - IIP'!EC131</f>
        <v>0</v>
      </c>
      <c r="BZ150" t="s">
        <v>254</v>
      </c>
      <c r="CA150" s="334">
        <f>'Pricing Structure - IIP'!EE78*'Pricing Structure - IIP'!EE131</f>
        <v>0</v>
      </c>
      <c r="CB150" t="s">
        <v>254</v>
      </c>
      <c r="CC150" s="334">
        <f>'Pricing Structure - IIP'!EG78*'Pricing Structure - IIP'!EG131</f>
        <v>0</v>
      </c>
      <c r="CD150" t="s">
        <v>254</v>
      </c>
      <c r="CE150" s="334">
        <f>'Pricing Structure - IIP'!DQ78*'Pricing Structure - IIP'!DQ131</f>
        <v>0</v>
      </c>
      <c r="CF150" s="620"/>
      <c r="CG150" s="620"/>
      <c r="CH150" s="620"/>
      <c r="CI150" s="620"/>
      <c r="CK150" s="593"/>
      <c r="CM150" s="593"/>
      <c r="CO150" s="593"/>
      <c r="CQ150" s="593"/>
      <c r="CS150" s="593"/>
      <c r="CU150" s="593"/>
      <c r="CW150" s="593"/>
      <c r="CY150" s="1105">
        <f>CY131*CY92/CY10</f>
        <v>1813311.2</v>
      </c>
      <c r="DA150" t="s">
        <v>254</v>
      </c>
      <c r="DB150" s="334">
        <f>'Pricing Structure - IIP'!EB78*'Pricing Structure - IIP'!EB131</f>
        <v>0</v>
      </c>
      <c r="DC150" t="s">
        <v>254</v>
      </c>
      <c r="DD150" s="334">
        <f>'Pricing Structure - IIP'!ED78*'Pricing Structure - IIP'!ED131</f>
        <v>0</v>
      </c>
      <c r="DE150" t="s">
        <v>254</v>
      </c>
      <c r="DF150" s="334">
        <f>'Pricing Structure - IIP'!EF78*'Pricing Structure - IIP'!EF131</f>
        <v>0</v>
      </c>
      <c r="DG150" t="s">
        <v>254</v>
      </c>
      <c r="DH150" s="334">
        <f>'Pricing Structure - IIP'!EH78*'Pricing Structure - IIP'!EH131</f>
        <v>0</v>
      </c>
      <c r="DI150" t="s">
        <v>254</v>
      </c>
      <c r="DJ150" s="334">
        <f>'Pricing Structure - IIP'!EJ78*'Pricing Structure - IIP'!EJ131</f>
        <v>0</v>
      </c>
      <c r="DK150" t="s">
        <v>254</v>
      </c>
      <c r="DL150" s="334">
        <f>'Pricing Structure - IIP'!EL78*'Pricing Structure - IIP'!EL131</f>
        <v>0</v>
      </c>
      <c r="DM150" t="s">
        <v>254</v>
      </c>
      <c r="DN150" s="334">
        <f>'Pricing Structure - IIP'!EN78*'Pricing Structure - IIP'!EN131</f>
        <v>0</v>
      </c>
      <c r="DO150" t="s">
        <v>254</v>
      </c>
      <c r="DP150" s="334">
        <f>'Pricing Structure - IIP'!EJ78*'Pricing Structure - IIP'!EJ131</f>
        <v>0</v>
      </c>
      <c r="DR150" t="s">
        <v>254</v>
      </c>
      <c r="DS150" s="334">
        <f>'Pricing Structure - IIP'!ES78*'Pricing Structure - IIP'!ES131</f>
        <v>0</v>
      </c>
      <c r="DT150" t="s">
        <v>254</v>
      </c>
      <c r="DU150" s="334">
        <f>'Pricing Structure - IIP'!FS78*'Pricing Structure - IIP'!FS131</f>
        <v>0</v>
      </c>
    </row>
    <row r="151" spans="15:125" outlineLevel="1" x14ac:dyDescent="0.45">
      <c r="AJ151" t="s">
        <v>233</v>
      </c>
      <c r="AK151" s="334">
        <f>'Pricing Structure - IHAG'!AK78*'Pricing Structure - IHAG'!AK131</f>
        <v>2250237.4095192445</v>
      </c>
      <c r="AL151" t="s">
        <v>233</v>
      </c>
      <c r="AM151" s="334">
        <f>'Pricing Structure - IHAG'!CW78*'Pricing Structure - IHAG'!CW131</f>
        <v>0</v>
      </c>
      <c r="AN151" t="s">
        <v>233</v>
      </c>
      <c r="AO151" s="334">
        <f>'Pricing Structure - IHAG'!CY78*'Pricing Structure - IHAG'!CY131</f>
        <v>0</v>
      </c>
      <c r="AP151" t="s">
        <v>233</v>
      </c>
      <c r="AQ151" s="334">
        <f>'Pricing Structure - IHAG'!DA78*'Pricing Structure - IHAG'!DA131</f>
        <v>0</v>
      </c>
      <c r="AR151" t="s">
        <v>233</v>
      </c>
      <c r="AS151" s="334">
        <f>'Pricing Structure - IHAG'!DC78*'Pricing Structure - IHAG'!DC131</f>
        <v>0</v>
      </c>
      <c r="AT151" t="s">
        <v>233</v>
      </c>
      <c r="AU151" s="334">
        <f>'Pricing Structure - IHAG'!DE78*'Pricing Structure - IHAG'!DE131</f>
        <v>0</v>
      </c>
      <c r="AV151" t="s">
        <v>233</v>
      </c>
      <c r="AW151" s="334">
        <f>'Pricing Structure - IHAG'!DG78*'Pricing Structure - IHAG'!DG131</f>
        <v>0</v>
      </c>
      <c r="AX151" t="s">
        <v>233</v>
      </c>
      <c r="AY151" s="334">
        <f>'Pricing Structure - IHAG'!DI78*'Pricing Structure - IHAG'!DI131</f>
        <v>0</v>
      </c>
      <c r="AZ151" t="s">
        <v>233</v>
      </c>
      <c r="BA151" s="334">
        <f>'Pricing Structure - IHAG'!DK78*'Pricing Structure - IHAG'!DK131</f>
        <v>0</v>
      </c>
      <c r="BB151" t="s">
        <v>233</v>
      </c>
      <c r="BC151" s="334">
        <f>'Pricing Structure - IHAG'!DM78*'Pricing Structure - IHAG'!DM131</f>
        <v>0</v>
      </c>
      <c r="BD151" t="s">
        <v>233</v>
      </c>
      <c r="BE151" s="334">
        <f>'Pricing Structure - IHAG'!DO78*'Pricing Structure - IHAG'!DO131</f>
        <v>0</v>
      </c>
      <c r="BF151" t="s">
        <v>233</v>
      </c>
      <c r="BG151" s="334">
        <f>'Pricing Structure - IHAG'!DQ78*'Pricing Structure - IHAG'!DQ131</f>
        <v>0</v>
      </c>
      <c r="BH151" t="s">
        <v>233</v>
      </c>
      <c r="BI151" s="334">
        <f>'Pricing Structure - IHAG'!DS78*'Pricing Structure - IHAG'!DS131</f>
        <v>0</v>
      </c>
      <c r="BJ151" t="s">
        <v>233</v>
      </c>
      <c r="BK151" s="334">
        <f>'Pricing Structure - IHAG'!DU78*'Pricing Structure - IHAG'!DU131</f>
        <v>0</v>
      </c>
      <c r="BL151" t="s">
        <v>233</v>
      </c>
      <c r="BM151" s="334">
        <f>'Pricing Structure - IHAG'!DW78*'Pricing Structure - IHAG'!DW131</f>
        <v>0</v>
      </c>
      <c r="BN151" t="s">
        <v>233</v>
      </c>
      <c r="BO151" s="334">
        <f>'Pricing Structure - IHAG'!DY78*'Pricing Structure - IHAG'!DY131</f>
        <v>0</v>
      </c>
      <c r="BP151" t="s">
        <v>233</v>
      </c>
      <c r="BQ151" s="334">
        <f>'Pricing Structure - IHAG'!EA78*'Pricing Structure - IHAG'!EA131</f>
        <v>0</v>
      </c>
      <c r="BR151" t="s">
        <v>233</v>
      </c>
      <c r="BS151" s="334">
        <f>'Pricing Structure - IHAG'!EC78*'Pricing Structure - IHAG'!EC131</f>
        <v>0</v>
      </c>
      <c r="BT151" t="s">
        <v>233</v>
      </c>
      <c r="BU151" s="334">
        <f>'Pricing Structure - IHAG'!EE78*'Pricing Structure - IHAG'!EE131</f>
        <v>0</v>
      </c>
      <c r="BV151" t="s">
        <v>233</v>
      </c>
      <c r="BW151" s="334">
        <f>'Pricing Structure - IHAG'!EG78*'Pricing Structure - IHAG'!EG131</f>
        <v>0</v>
      </c>
      <c r="BX151" t="s">
        <v>233</v>
      </c>
      <c r="BY151" s="334">
        <f>'Pricing Structure - IHAG'!EI78*'Pricing Structure - IHAG'!EI131</f>
        <v>0</v>
      </c>
      <c r="BZ151" t="s">
        <v>233</v>
      </c>
      <c r="CA151" s="334">
        <f>'Pricing Structure - IHAG'!EK78*'Pricing Structure - IHAG'!EK131</f>
        <v>0</v>
      </c>
      <c r="CB151" t="s">
        <v>233</v>
      </c>
      <c r="CC151" s="334">
        <f>'Pricing Structure - IHAG'!EM78*'Pricing Structure - IHAG'!EM131</f>
        <v>0</v>
      </c>
      <c r="CD151" t="s">
        <v>233</v>
      </c>
      <c r="CE151" s="334">
        <f>'Pricing Structure - IHAG'!DW78*'Pricing Structure - IHAG'!DW131</f>
        <v>0</v>
      </c>
      <c r="CF151" s="620"/>
      <c r="CG151" s="620"/>
      <c r="CH151" s="620"/>
      <c r="CI151" s="620"/>
      <c r="DA151" t="s">
        <v>233</v>
      </c>
      <c r="DB151" s="334">
        <f>'Pricing Structure - IHAG'!EH78*'Pricing Structure - IHAG'!EH131</f>
        <v>0</v>
      </c>
      <c r="DC151" t="s">
        <v>233</v>
      </c>
      <c r="DD151" s="334">
        <f>'Pricing Structure - IHAG'!EJ78*'Pricing Structure - IHAG'!EJ131</f>
        <v>0</v>
      </c>
      <c r="DE151" t="s">
        <v>233</v>
      </c>
      <c r="DF151" s="334">
        <f>'Pricing Structure - IHAG'!EL78*'Pricing Structure - IHAG'!EL131</f>
        <v>0</v>
      </c>
      <c r="DG151" t="s">
        <v>233</v>
      </c>
      <c r="DH151" s="334">
        <f>'Pricing Structure - IHAG'!EN78*'Pricing Structure - IHAG'!EN131</f>
        <v>0</v>
      </c>
      <c r="DI151" t="s">
        <v>233</v>
      </c>
      <c r="DJ151" s="334">
        <f>'Pricing Structure - IHAG'!EP78*'Pricing Structure - IHAG'!EP131</f>
        <v>0</v>
      </c>
      <c r="DK151" t="s">
        <v>233</v>
      </c>
      <c r="DL151" s="334">
        <f>'Pricing Structure - IHAG'!ER78*'Pricing Structure - IHAG'!ER131</f>
        <v>0</v>
      </c>
      <c r="DM151" t="s">
        <v>233</v>
      </c>
      <c r="DN151" s="334">
        <f>'Pricing Structure - IHAG'!ET78*'Pricing Structure - IHAG'!ET131</f>
        <v>0</v>
      </c>
      <c r="DO151" t="s">
        <v>233</v>
      </c>
      <c r="DP151" s="334">
        <f>'Pricing Structure - IHAG'!EP78*'Pricing Structure - IHAG'!EP131</f>
        <v>0</v>
      </c>
      <c r="DR151" t="s">
        <v>233</v>
      </c>
      <c r="DS151" s="334">
        <f>'Pricing Structure - IHAG'!EY78*'Pricing Structure - IHAG'!EY131</f>
        <v>0</v>
      </c>
      <c r="DT151" t="s">
        <v>233</v>
      </c>
      <c r="DU151" s="334">
        <f>'Pricing Structure - IHAG'!FY78*'Pricing Structure - IHAG'!FY131</f>
        <v>0</v>
      </c>
    </row>
    <row r="152" spans="15:125" outlineLevel="1" x14ac:dyDescent="0.45">
      <c r="AJ152" t="s">
        <v>419</v>
      </c>
      <c r="AK152" s="334">
        <f>SUM(AK149:AK151)</f>
        <v>5847199.813786095</v>
      </c>
      <c r="AL152" t="s">
        <v>419</v>
      </c>
      <c r="AM152" s="334">
        <f>SUM(AM149:AM151)</f>
        <v>3811877.221366175</v>
      </c>
      <c r="AN152" t="s">
        <v>419</v>
      </c>
      <c r="AO152" s="334">
        <f>SUM(AO149:AO151)</f>
        <v>3911715.8087349595</v>
      </c>
      <c r="AP152" t="s">
        <v>419</v>
      </c>
      <c r="AQ152" s="334">
        <f>SUM(AQ149:AQ151)</f>
        <v>4707384.7790697441</v>
      </c>
      <c r="AR152" t="s">
        <v>419</v>
      </c>
      <c r="AS152" s="334">
        <f>SUM(AS149:AS151)</f>
        <v>8517054.9906348344</v>
      </c>
      <c r="AT152" t="s">
        <v>419</v>
      </c>
      <c r="AU152" s="334">
        <f>SUM(AU149:AU151)</f>
        <v>956385.03816594975</v>
      </c>
      <c r="AV152" t="s">
        <v>419</v>
      </c>
      <c r="AW152" s="334">
        <f>SUM(AW149:AW151)</f>
        <v>1005076.1385751653</v>
      </c>
      <c r="AX152" t="s">
        <v>419</v>
      </c>
      <c r="AY152" s="334">
        <f>SUM(AY149:AY151)</f>
        <v>3992436.7078822046</v>
      </c>
      <c r="AZ152" t="s">
        <v>419</v>
      </c>
      <c r="BA152" s="334">
        <f>SUM(BA149:BA151)</f>
        <v>2637407.2061657496</v>
      </c>
      <c r="BB152" t="s">
        <v>419</v>
      </c>
      <c r="BC152" s="334">
        <f>SUM(BC149:BC151)</f>
        <v>3523666.2671758733</v>
      </c>
      <c r="BD152" t="s">
        <v>419</v>
      </c>
      <c r="BE152" s="334">
        <f>SUM(BE149:BE151)</f>
        <v>3557027.2706155633</v>
      </c>
      <c r="BF152" t="s">
        <v>419</v>
      </c>
      <c r="BG152" s="334">
        <f>SUM(BG149:BG151)</f>
        <v>0</v>
      </c>
      <c r="BH152" t="s">
        <v>419</v>
      </c>
      <c r="BI152" s="334">
        <f>SUM(BI149:BI151)</f>
        <v>0</v>
      </c>
      <c r="BJ152" t="s">
        <v>419</v>
      </c>
      <c r="BK152" s="334">
        <f>SUM(BK149:BK151)</f>
        <v>0</v>
      </c>
      <c r="BL152" t="s">
        <v>419</v>
      </c>
      <c r="BM152" s="334">
        <f>SUM(BM149:BM151)</f>
        <v>0</v>
      </c>
      <c r="BN152" t="s">
        <v>419</v>
      </c>
      <c r="BO152" s="334">
        <f>SUM(BO149:BO151)</f>
        <v>0</v>
      </c>
      <c r="BP152" t="s">
        <v>419</v>
      </c>
      <c r="BQ152" s="334">
        <f>SUM(BQ149:BQ151)</f>
        <v>0</v>
      </c>
      <c r="BR152" t="s">
        <v>419</v>
      </c>
      <c r="BS152" s="334">
        <f>SUM(BS149:BS151)</f>
        <v>0</v>
      </c>
      <c r="BT152" t="s">
        <v>419</v>
      </c>
      <c r="BU152" s="334">
        <f>SUM(BU149:BU151)</f>
        <v>0</v>
      </c>
      <c r="BV152" t="s">
        <v>419</v>
      </c>
      <c r="BW152" s="334">
        <f>SUM(BW149:BW151)</f>
        <v>0</v>
      </c>
      <c r="BX152" t="s">
        <v>419</v>
      </c>
      <c r="BY152" s="334">
        <f>SUM(BY149:BY151)</f>
        <v>0</v>
      </c>
      <c r="BZ152" t="s">
        <v>419</v>
      </c>
      <c r="CA152" s="334">
        <f>SUM(CA149:CA151)</f>
        <v>0</v>
      </c>
      <c r="CB152" t="s">
        <v>419</v>
      </c>
      <c r="CC152" s="334">
        <f>SUM(CC149:CC151)</f>
        <v>0</v>
      </c>
      <c r="CD152" t="s">
        <v>419</v>
      </c>
      <c r="CE152" s="334">
        <f>SUM(CE149:CE151)</f>
        <v>0</v>
      </c>
      <c r="CF152" s="620"/>
      <c r="CG152" s="620"/>
      <c r="CH152" s="620"/>
      <c r="CI152" s="620"/>
      <c r="DA152" t="s">
        <v>419</v>
      </c>
      <c r="DB152" s="334">
        <f>SUM(DB149:DB151)</f>
        <v>0</v>
      </c>
      <c r="DC152" t="s">
        <v>419</v>
      </c>
      <c r="DD152" s="334">
        <f>SUM(DD149:DD151)</f>
        <v>0</v>
      </c>
      <c r="DE152" t="s">
        <v>419</v>
      </c>
      <c r="DF152" s="334">
        <f>SUM(DF149:DF151)</f>
        <v>0</v>
      </c>
      <c r="DG152" t="s">
        <v>419</v>
      </c>
      <c r="DH152" s="334">
        <f>SUM(DH149:DH151)</f>
        <v>0</v>
      </c>
      <c r="DI152" t="s">
        <v>419</v>
      </c>
      <c r="DJ152" s="334">
        <f>SUM(DJ149:DJ151)</f>
        <v>0</v>
      </c>
      <c r="DK152" t="s">
        <v>419</v>
      </c>
      <c r="DL152" s="334">
        <f>SUM(DL149:DL151)</f>
        <v>0</v>
      </c>
      <c r="DM152" t="s">
        <v>419</v>
      </c>
      <c r="DN152" s="334">
        <f>SUM(DN149:DN151)</f>
        <v>0</v>
      </c>
      <c r="DO152" t="s">
        <v>419</v>
      </c>
      <c r="DP152" s="334">
        <f>SUM(DP149:DP151)</f>
        <v>0</v>
      </c>
      <c r="DR152" t="s">
        <v>419</v>
      </c>
      <c r="DS152" s="334">
        <f>SUM(DS149:DS151)</f>
        <v>0</v>
      </c>
      <c r="DT152" t="s">
        <v>419</v>
      </c>
      <c r="DU152" s="334">
        <f>SUM(DU149:DU151)</f>
        <v>0</v>
      </c>
    </row>
    <row r="153" spans="15:125" outlineLevel="1" x14ac:dyDescent="0.45">
      <c r="AJ153" t="s">
        <v>420</v>
      </c>
      <c r="AK153" s="334">
        <f>Table5[[#Totals],[Oct]]</f>
        <v>8394340</v>
      </c>
      <c r="AL153" t="s">
        <v>420</v>
      </c>
      <c r="AM153" s="334">
        <f>Table5[[#Totals],[Oct]]</f>
        <v>8394340</v>
      </c>
      <c r="AN153" t="s">
        <v>420</v>
      </c>
      <c r="AO153" s="334">
        <f>Table5[[#Totals],[Oct]]</f>
        <v>8394340</v>
      </c>
      <c r="AP153" t="s">
        <v>420</v>
      </c>
      <c r="AQ153" s="334">
        <f>Table5[[#Totals],[Oct]]</f>
        <v>8394340</v>
      </c>
      <c r="AR153" t="s">
        <v>420</v>
      </c>
      <c r="AS153" s="334">
        <f>Table5[[#Totals],[Oct]]</f>
        <v>8394340</v>
      </c>
      <c r="AT153" t="s">
        <v>420</v>
      </c>
      <c r="AU153" s="334">
        <f>Table5[[#Totals],[Oct]]</f>
        <v>8394340</v>
      </c>
      <c r="AV153" t="s">
        <v>420</v>
      </c>
      <c r="AW153" s="334">
        <f>Table5[[#Totals],[Oct]]</f>
        <v>8394340</v>
      </c>
      <c r="AX153" t="s">
        <v>420</v>
      </c>
      <c r="AY153" s="334">
        <f>Table5[[#Totals],[Oct]]</f>
        <v>8394340</v>
      </c>
      <c r="AZ153" t="s">
        <v>420</v>
      </c>
      <c r="BA153" s="334">
        <f>Table5[[#Totals],[Oct]]</f>
        <v>8394340</v>
      </c>
      <c r="BB153" t="s">
        <v>420</v>
      </c>
      <c r="BC153" s="334">
        <f>Table5[[#Totals],[Oct]]</f>
        <v>8394340</v>
      </c>
      <c r="BD153" t="s">
        <v>420</v>
      </c>
      <c r="BE153" s="334">
        <f>Table5[[#Totals],[Oct]]</f>
        <v>8394340</v>
      </c>
      <c r="BF153" t="s">
        <v>420</v>
      </c>
      <c r="BG153" s="334">
        <f>Table5[[#Totals],[Oct]]</f>
        <v>8394340</v>
      </c>
      <c r="BH153" t="s">
        <v>420</v>
      </c>
      <c r="BI153" s="334">
        <f>Table5[[#Totals],[Oct]]</f>
        <v>8394340</v>
      </c>
      <c r="BJ153" t="s">
        <v>420</v>
      </c>
      <c r="BK153" s="334">
        <f>Table5[[#Totals],[Oct]]</f>
        <v>8394340</v>
      </c>
      <c r="BL153" t="s">
        <v>420</v>
      </c>
      <c r="BM153" s="334">
        <f>Table5[[#Totals],[Oct]]</f>
        <v>8394340</v>
      </c>
      <c r="BN153" t="s">
        <v>420</v>
      </c>
      <c r="BO153" s="334">
        <f>Table5[[#Totals],[Oct]]</f>
        <v>8394340</v>
      </c>
      <c r="BP153" t="s">
        <v>420</v>
      </c>
      <c r="BQ153" s="334">
        <f>Table5[[#Totals],[Oct]]</f>
        <v>8394340</v>
      </c>
      <c r="BR153" t="s">
        <v>420</v>
      </c>
      <c r="BS153" s="334">
        <f>Table5[[#Totals],[Oct]]</f>
        <v>8394340</v>
      </c>
      <c r="BT153" t="s">
        <v>420</v>
      </c>
      <c r="BU153" s="334">
        <f>Table5[[#Totals],[Oct]]</f>
        <v>8394340</v>
      </c>
      <c r="BV153" t="s">
        <v>420</v>
      </c>
      <c r="BW153" s="334">
        <f>Table5[[#Totals],[Oct]]</f>
        <v>8394340</v>
      </c>
      <c r="BX153" t="s">
        <v>420</v>
      </c>
      <c r="BY153" s="334">
        <f>Table5[[#Totals],[Oct]]</f>
        <v>8394340</v>
      </c>
      <c r="BZ153" t="s">
        <v>420</v>
      </c>
      <c r="CA153" s="334">
        <f>Table5[[#Totals],[Oct]]</f>
        <v>8394340</v>
      </c>
      <c r="CB153" t="s">
        <v>420</v>
      </c>
      <c r="CC153" s="334">
        <f>Table5[[#Totals],[Oct]]</f>
        <v>8394340</v>
      </c>
      <c r="CD153" t="s">
        <v>420</v>
      </c>
      <c r="CE153" s="334">
        <f>Table5[[#Totals],[Oct]]</f>
        <v>8394340</v>
      </c>
      <c r="CF153" s="620"/>
      <c r="CG153" s="620"/>
      <c r="CH153" s="620"/>
      <c r="CI153" s="620"/>
      <c r="CY153" s="1105">
        <f>CY150+'Pricing Structure - IIP'!DE157</f>
        <v>2124783.3875000002</v>
      </c>
      <c r="DA153" t="s">
        <v>420</v>
      </c>
      <c r="DB153" s="334">
        <f>Table5[[#Totals],[Oct]]</f>
        <v>8394340</v>
      </c>
      <c r="DC153" t="s">
        <v>420</v>
      </c>
      <c r="DD153" s="334">
        <f>Table5[[#Totals],[Oct]]</f>
        <v>8394340</v>
      </c>
      <c r="DE153" t="s">
        <v>420</v>
      </c>
      <c r="DF153" s="334">
        <f>Table5[[#Totals],[Oct]]</f>
        <v>8394340</v>
      </c>
      <c r="DG153" t="s">
        <v>420</v>
      </c>
      <c r="DH153" s="334">
        <f>Table5[[#Totals],[Oct]]</f>
        <v>8394340</v>
      </c>
      <c r="DI153" t="s">
        <v>420</v>
      </c>
      <c r="DJ153" s="334">
        <f>Table5[[#Totals],[Oct]]</f>
        <v>8394340</v>
      </c>
      <c r="DK153" t="s">
        <v>420</v>
      </c>
      <c r="DL153" s="334">
        <f>Table5[[#Totals],[Oct]]</f>
        <v>8394340</v>
      </c>
      <c r="DM153" t="s">
        <v>420</v>
      </c>
      <c r="DN153" s="334">
        <f>Table5[[#Totals],[Oct]]</f>
        <v>8394340</v>
      </c>
      <c r="DO153" t="s">
        <v>420</v>
      </c>
      <c r="DP153" s="334">
        <f>Table5[[#Totals],[Oct]]</f>
        <v>8394340</v>
      </c>
      <c r="DR153" t="s">
        <v>420</v>
      </c>
      <c r="DS153" s="334">
        <f>Table5[[#Totals],[Oct]]</f>
        <v>8394340</v>
      </c>
      <c r="DT153" t="s">
        <v>420</v>
      </c>
      <c r="DU153" s="334">
        <f>Table5[[#Totals],[Oct]]</f>
        <v>8394340</v>
      </c>
    </row>
    <row r="154" spans="15:125" outlineLevel="1" x14ac:dyDescent="0.45">
      <c r="AK154" s="1049">
        <f>AK152/AK153</f>
        <v>0.69656456776662545</v>
      </c>
      <c r="AM154" s="1049">
        <f>AM152/AM153</f>
        <v>0.45410088480644994</v>
      </c>
      <c r="AO154" s="1049">
        <f>AO152/AO153</f>
        <v>0.46599444491585512</v>
      </c>
      <c r="AQ154" s="1049">
        <f>AQ152/AQ153</f>
        <v>0.5607808093393577</v>
      </c>
      <c r="AS154" s="1049">
        <f>AS152/AS153</f>
        <v>1.0146187777281876</v>
      </c>
      <c r="AU154" s="1049">
        <f>AU152/AU153</f>
        <v>0.11393213024084678</v>
      </c>
      <c r="AW154" s="1049">
        <f>AW152/AW153</f>
        <v>0.119732598223942</v>
      </c>
      <c r="AY154" s="1049">
        <f>AY152/AY153</f>
        <v>0.47561055519340467</v>
      </c>
      <c r="BA154" s="1049">
        <f>BA152/BA153</f>
        <v>0.31418875172625238</v>
      </c>
      <c r="BC154" s="1049">
        <f>BC152/BC153</f>
        <v>0.41976692237577623</v>
      </c>
      <c r="BE154" s="1049">
        <f>BE152/BE153</f>
        <v>0.4237411482755718</v>
      </c>
      <c r="BG154" s="1049">
        <f>BG152/BG153</f>
        <v>0</v>
      </c>
      <c r="BI154" s="1049">
        <f>BI152/BI153</f>
        <v>0</v>
      </c>
      <c r="BK154" s="1049">
        <f>BK152/BK153</f>
        <v>0</v>
      </c>
      <c r="BM154" s="1049">
        <f>BM152/BM153</f>
        <v>0</v>
      </c>
      <c r="BO154" s="1049">
        <f>BO152/BO153</f>
        <v>0</v>
      </c>
      <c r="BQ154" s="1049">
        <f>BQ152/BQ153</f>
        <v>0</v>
      </c>
      <c r="BS154" s="1049">
        <f>BS152/BS153</f>
        <v>0</v>
      </c>
      <c r="BU154" s="1049">
        <f>BU152/BU153</f>
        <v>0</v>
      </c>
      <c r="BW154" s="1049">
        <f>BW152/BW153</f>
        <v>0</v>
      </c>
      <c r="BY154" s="1049">
        <f>BY152/BY153</f>
        <v>0</v>
      </c>
      <c r="CA154" s="1049">
        <f>CA152/CA153</f>
        <v>0</v>
      </c>
      <c r="CC154" s="1049">
        <f>CC152/CC153</f>
        <v>0</v>
      </c>
      <c r="CE154" s="1049">
        <f>CE152/CE153</f>
        <v>0</v>
      </c>
      <c r="CF154" s="620"/>
      <c r="CG154" s="620"/>
      <c r="CH154" s="620"/>
      <c r="CI154" s="620"/>
      <c r="DB154" s="1049">
        <f>DB152/DB153</f>
        <v>0</v>
      </c>
      <c r="DD154" s="1049">
        <f>DD152/DD153</f>
        <v>0</v>
      </c>
      <c r="DF154" s="1049">
        <f>DF152/DF153</f>
        <v>0</v>
      </c>
      <c r="DH154" s="1049">
        <f>DH152/DH153</f>
        <v>0</v>
      </c>
      <c r="DJ154" s="1049">
        <f>DJ152/DJ153</f>
        <v>0</v>
      </c>
      <c r="DL154" s="1049">
        <f>DL152/DL153</f>
        <v>0</v>
      </c>
      <c r="DN154" s="1049">
        <f>DN152/DN153</f>
        <v>0</v>
      </c>
      <c r="DP154" s="1049">
        <f>DP152/DP153</f>
        <v>0</v>
      </c>
      <c r="DS154" s="1049">
        <f>DS152/DS153</f>
        <v>0</v>
      </c>
      <c r="DU154" s="1049">
        <f>DU152/DU153</f>
        <v>0</v>
      </c>
    </row>
    <row r="155" spans="15:125" outlineLevel="1" x14ac:dyDescent="0.45">
      <c r="CF155" s="620"/>
      <c r="CG155" s="620"/>
      <c r="CH155" s="620"/>
      <c r="CI155" s="620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411">
    <mergeCell ref="BL6:BM6"/>
    <mergeCell ref="BR6:BS6"/>
    <mergeCell ref="BX9:BY9"/>
    <mergeCell ref="BR9:BS9"/>
    <mergeCell ref="BL9:BM9"/>
    <mergeCell ref="DA3:DB3"/>
    <mergeCell ref="DA4:DB5"/>
    <mergeCell ref="DA6:DB6"/>
    <mergeCell ref="DA7:DB7"/>
    <mergeCell ref="DA8:DB8"/>
    <mergeCell ref="DA9:DB9"/>
    <mergeCell ref="CT3:CU3"/>
    <mergeCell ref="CV3:CW3"/>
    <mergeCell ref="CX3:CY3"/>
    <mergeCell ref="CT4:CU5"/>
    <mergeCell ref="CV4:CW5"/>
    <mergeCell ref="CX6:CY6"/>
    <mergeCell ref="CV7:CW7"/>
    <mergeCell ref="CX7:CY7"/>
    <mergeCell ref="CB9:CC9"/>
    <mergeCell ref="CD7:CE7"/>
    <mergeCell ref="CJ8:CK8"/>
    <mergeCell ref="BV8:BW8"/>
    <mergeCell ref="BV9:BW9"/>
    <mergeCell ref="BL8:BM8"/>
    <mergeCell ref="BJ6:BK6"/>
    <mergeCell ref="CD2:CE2"/>
    <mergeCell ref="BH6:BI6"/>
    <mergeCell ref="CN3:CO3"/>
    <mergeCell ref="BL7:BM7"/>
    <mergeCell ref="BN8:BO8"/>
    <mergeCell ref="BT8:BU8"/>
    <mergeCell ref="BZ6:CA6"/>
    <mergeCell ref="BT7:BU7"/>
    <mergeCell ref="BP6:BQ6"/>
    <mergeCell ref="BP8:BQ8"/>
    <mergeCell ref="BP7:BQ7"/>
    <mergeCell ref="CJ6:CK6"/>
    <mergeCell ref="CB6:CC6"/>
    <mergeCell ref="BV6:BW6"/>
    <mergeCell ref="BZ7:CA7"/>
    <mergeCell ref="BZ8:CA8"/>
    <mergeCell ref="BX8:BY8"/>
    <mergeCell ref="BR7:BS7"/>
    <mergeCell ref="BR8:BS8"/>
    <mergeCell ref="BX6:BY6"/>
    <mergeCell ref="BX7:BY7"/>
    <mergeCell ref="BN6:BO6"/>
    <mergeCell ref="BT6:BU6"/>
    <mergeCell ref="CX2:CY2"/>
    <mergeCell ref="CL2:CM2"/>
    <mergeCell ref="CN2:CO2"/>
    <mergeCell ref="CP2:CQ2"/>
    <mergeCell ref="CR2:CS2"/>
    <mergeCell ref="CX4:CY5"/>
    <mergeCell ref="CL4:CM5"/>
    <mergeCell ref="CN4:CO5"/>
    <mergeCell ref="BH4:BI5"/>
    <mergeCell ref="CP3:CQ3"/>
    <mergeCell ref="BX4:BY5"/>
    <mergeCell ref="N9:O9"/>
    <mergeCell ref="T3:U3"/>
    <mergeCell ref="V3:W3"/>
    <mergeCell ref="X3:Y3"/>
    <mergeCell ref="Z3:AA3"/>
    <mergeCell ref="V7:W7"/>
    <mergeCell ref="X7:Y7"/>
    <mergeCell ref="AD9:AE9"/>
    <mergeCell ref="AF9:AG9"/>
    <mergeCell ref="V8:W8"/>
    <mergeCell ref="X8:Y8"/>
    <mergeCell ref="Z8:AA8"/>
    <mergeCell ref="AB8:AC8"/>
    <mergeCell ref="P9:Q9"/>
    <mergeCell ref="X9:Y9"/>
    <mergeCell ref="Z9:AA9"/>
    <mergeCell ref="AB9:AC9"/>
    <mergeCell ref="R9:S9"/>
    <mergeCell ref="T9:U9"/>
    <mergeCell ref="V9:W9"/>
    <mergeCell ref="N1:S1"/>
    <mergeCell ref="AN2:AO2"/>
    <mergeCell ref="AP2:AQ2"/>
    <mergeCell ref="AJ3:AK3"/>
    <mergeCell ref="AL3:AM3"/>
    <mergeCell ref="AH6:AI6"/>
    <mergeCell ref="AJ6:AK6"/>
    <mergeCell ref="AL6:AM6"/>
    <mergeCell ref="AN6:AO6"/>
    <mergeCell ref="R6:S6"/>
    <mergeCell ref="T6:U6"/>
    <mergeCell ref="V6:W6"/>
    <mergeCell ref="AD6:AE6"/>
    <mergeCell ref="AF6:AG6"/>
    <mergeCell ref="N6:O6"/>
    <mergeCell ref="P6:Q6"/>
    <mergeCell ref="X6:Y6"/>
    <mergeCell ref="Z6:AA6"/>
    <mergeCell ref="AB6:AC6"/>
    <mergeCell ref="N2:O2"/>
    <mergeCell ref="P2:Q2"/>
    <mergeCell ref="R2:S2"/>
    <mergeCell ref="AJ2:AK2"/>
    <mergeCell ref="AL2:AM2"/>
    <mergeCell ref="T2:U2"/>
    <mergeCell ref="V2:W2"/>
    <mergeCell ref="X2:Y2"/>
    <mergeCell ref="Z2:AA2"/>
    <mergeCell ref="AB2:AC2"/>
    <mergeCell ref="AH2:AI2"/>
    <mergeCell ref="AD2:AE2"/>
    <mergeCell ref="BJ3:BK3"/>
    <mergeCell ref="BF3:BG3"/>
    <mergeCell ref="BD3:BE3"/>
    <mergeCell ref="BZ3:CA3"/>
    <mergeCell ref="BZ4:CA5"/>
    <mergeCell ref="CJ4:CK5"/>
    <mergeCell ref="BT3:BU3"/>
    <mergeCell ref="BT4:BU5"/>
    <mergeCell ref="BJ4:BK5"/>
    <mergeCell ref="BH3:BI3"/>
    <mergeCell ref="BV3:BW3"/>
    <mergeCell ref="BV4:BW5"/>
    <mergeCell ref="BN3:BO3"/>
    <mergeCell ref="BF4:BG5"/>
    <mergeCell ref="BL3:BM3"/>
    <mergeCell ref="BL4:BM5"/>
    <mergeCell ref="CB3:CC3"/>
    <mergeCell ref="BN4:BO5"/>
    <mergeCell ref="BD4:BE5"/>
    <mergeCell ref="BP3:BQ3"/>
    <mergeCell ref="BP4:BQ5"/>
    <mergeCell ref="BR3:BS3"/>
    <mergeCell ref="BR4:BS5"/>
    <mergeCell ref="BB2:BC2"/>
    <mergeCell ref="AF2:AG2"/>
    <mergeCell ref="BF2:BG2"/>
    <mergeCell ref="BJ2:BK2"/>
    <mergeCell ref="BN2:BO2"/>
    <mergeCell ref="BZ2:CA2"/>
    <mergeCell ref="BV2:BW2"/>
    <mergeCell ref="CB2:CC2"/>
    <mergeCell ref="BL2:BM2"/>
    <mergeCell ref="BH2:BI2"/>
    <mergeCell ref="BX2:BY2"/>
    <mergeCell ref="BT2:BU2"/>
    <mergeCell ref="BP2:BQ2"/>
    <mergeCell ref="BD2:BE2"/>
    <mergeCell ref="AR2:AS2"/>
    <mergeCell ref="AT2:AU2"/>
    <mergeCell ref="AV2:AW2"/>
    <mergeCell ref="AX2:AY2"/>
    <mergeCell ref="BR2:BS2"/>
    <mergeCell ref="BB3:BC3"/>
    <mergeCell ref="AF3:AG3"/>
    <mergeCell ref="AH3:AI3"/>
    <mergeCell ref="AJ4:AK5"/>
    <mergeCell ref="AL4:AM5"/>
    <mergeCell ref="AN4:AO5"/>
    <mergeCell ref="AP4:AQ5"/>
    <mergeCell ref="BB4:BC5"/>
    <mergeCell ref="AD4:AE5"/>
    <mergeCell ref="AR3:AS3"/>
    <mergeCell ref="AT3:AU3"/>
    <mergeCell ref="AV3:AW3"/>
    <mergeCell ref="AF4:AG5"/>
    <mergeCell ref="AH4:AI5"/>
    <mergeCell ref="AN3:AO3"/>
    <mergeCell ref="AP3:AQ3"/>
    <mergeCell ref="AD3:AE3"/>
    <mergeCell ref="AR4:AS5"/>
    <mergeCell ref="AT4:AU5"/>
    <mergeCell ref="AV4:AW5"/>
    <mergeCell ref="AX4:AY5"/>
    <mergeCell ref="F2:G2"/>
    <mergeCell ref="H2:I2"/>
    <mergeCell ref="J2:K2"/>
    <mergeCell ref="AX3:AY3"/>
    <mergeCell ref="AZ3:BA3"/>
    <mergeCell ref="Z4:AA5"/>
    <mergeCell ref="AB4:AC5"/>
    <mergeCell ref="T4:U5"/>
    <mergeCell ref="V4:W5"/>
    <mergeCell ref="X4:Y5"/>
    <mergeCell ref="AZ2:BA2"/>
    <mergeCell ref="F3:G3"/>
    <mergeCell ref="H3:I3"/>
    <mergeCell ref="J3:K3"/>
    <mergeCell ref="L3:M3"/>
    <mergeCell ref="N3:O3"/>
    <mergeCell ref="P3:Q3"/>
    <mergeCell ref="R3:S3"/>
    <mergeCell ref="AB3:AC3"/>
    <mergeCell ref="L2:M2"/>
    <mergeCell ref="AZ4:BA5"/>
    <mergeCell ref="F4:G5"/>
    <mergeCell ref="H4:I5"/>
    <mergeCell ref="J4:K5"/>
    <mergeCell ref="L4:M5"/>
    <mergeCell ref="N4:O5"/>
    <mergeCell ref="P4:Q5"/>
    <mergeCell ref="R4:S5"/>
    <mergeCell ref="BH7:BI7"/>
    <mergeCell ref="AP7:AQ7"/>
    <mergeCell ref="AR7:AS7"/>
    <mergeCell ref="AT7:AU7"/>
    <mergeCell ref="AV7:AW7"/>
    <mergeCell ref="AX7:AY7"/>
    <mergeCell ref="BF6:BG6"/>
    <mergeCell ref="BF7:BG7"/>
    <mergeCell ref="BB6:BC6"/>
    <mergeCell ref="BD6:BE6"/>
    <mergeCell ref="AP6:AQ6"/>
    <mergeCell ref="AR6:AS6"/>
    <mergeCell ref="AT6:AU6"/>
    <mergeCell ref="AV6:AW6"/>
    <mergeCell ref="AX6:AY6"/>
    <mergeCell ref="AZ6:BA6"/>
    <mergeCell ref="BV7:BW7"/>
    <mergeCell ref="Z7:AA7"/>
    <mergeCell ref="AB7:AC7"/>
    <mergeCell ref="AD7:AE7"/>
    <mergeCell ref="AF7:AG7"/>
    <mergeCell ref="AF8:AG8"/>
    <mergeCell ref="AH8:AI8"/>
    <mergeCell ref="AJ8:AK8"/>
    <mergeCell ref="AL8:AM8"/>
    <mergeCell ref="AH7:AI7"/>
    <mergeCell ref="AJ7:AK7"/>
    <mergeCell ref="AL7:AM7"/>
    <mergeCell ref="AD8:AE8"/>
    <mergeCell ref="BJ7:BK7"/>
    <mergeCell ref="BJ8:BK8"/>
    <mergeCell ref="BB8:BC8"/>
    <mergeCell ref="BD8:BE8"/>
    <mergeCell ref="AT8:AU8"/>
    <mergeCell ref="AV8:AW8"/>
    <mergeCell ref="AX8:AY8"/>
    <mergeCell ref="AZ8:BA8"/>
    <mergeCell ref="BH8:BI8"/>
    <mergeCell ref="BN7:BO7"/>
    <mergeCell ref="AZ7:BA7"/>
    <mergeCell ref="AN8:AO8"/>
    <mergeCell ref="AP8:AQ8"/>
    <mergeCell ref="AR8:AS8"/>
    <mergeCell ref="BB9:BC9"/>
    <mergeCell ref="BD9:BE9"/>
    <mergeCell ref="F8:G8"/>
    <mergeCell ref="H8:I8"/>
    <mergeCell ref="J8:K8"/>
    <mergeCell ref="L8:M8"/>
    <mergeCell ref="N8:O8"/>
    <mergeCell ref="P8:Q8"/>
    <mergeCell ref="R7:S7"/>
    <mergeCell ref="T7:U7"/>
    <mergeCell ref="P7:Q7"/>
    <mergeCell ref="R8:S8"/>
    <mergeCell ref="T8:U8"/>
    <mergeCell ref="BB7:BC7"/>
    <mergeCell ref="BD7:BE7"/>
    <mergeCell ref="F7:G7"/>
    <mergeCell ref="H7:I7"/>
    <mergeCell ref="J7:K7"/>
    <mergeCell ref="L7:M7"/>
    <mergeCell ref="N7:O7"/>
    <mergeCell ref="B71:B84"/>
    <mergeCell ref="B100:B113"/>
    <mergeCell ref="B124:B144"/>
    <mergeCell ref="B22:B27"/>
    <mergeCell ref="B28:B33"/>
    <mergeCell ref="B34:B39"/>
    <mergeCell ref="B40:B46"/>
    <mergeCell ref="B47:B70"/>
    <mergeCell ref="L9:M9"/>
    <mergeCell ref="B6:B13"/>
    <mergeCell ref="F6:G6"/>
    <mergeCell ref="H6:I6"/>
    <mergeCell ref="J6:K6"/>
    <mergeCell ref="L6:M6"/>
    <mergeCell ref="D12:E12"/>
    <mergeCell ref="B15:B21"/>
    <mergeCell ref="AH9:AI9"/>
    <mergeCell ref="AJ9:AK9"/>
    <mergeCell ref="AL9:AM9"/>
    <mergeCell ref="AN9:AO9"/>
    <mergeCell ref="F9:G9"/>
    <mergeCell ref="H9:I9"/>
    <mergeCell ref="J9:K9"/>
    <mergeCell ref="CJ7:CK7"/>
    <mergeCell ref="CB7:CC7"/>
    <mergeCell ref="CJ9:CK9"/>
    <mergeCell ref="AP9:AQ9"/>
    <mergeCell ref="AR9:AS9"/>
    <mergeCell ref="AT9:AU9"/>
    <mergeCell ref="AV9:AW9"/>
    <mergeCell ref="AX9:AY9"/>
    <mergeCell ref="AZ9:BA9"/>
    <mergeCell ref="BP9:BQ9"/>
    <mergeCell ref="BT9:BU9"/>
    <mergeCell ref="BN9:BO9"/>
    <mergeCell ref="BJ9:BK9"/>
    <mergeCell ref="BF8:BG8"/>
    <mergeCell ref="BF9:BG9"/>
    <mergeCell ref="BH9:BI9"/>
    <mergeCell ref="AN7:AO7"/>
    <mergeCell ref="CP8:CQ8"/>
    <mergeCell ref="BZ9:CA9"/>
    <mergeCell ref="CD8:CE8"/>
    <mergeCell ref="CD9:CE9"/>
    <mergeCell ref="CB8:CC8"/>
    <mergeCell ref="CJ2:CK2"/>
    <mergeCell ref="CD3:CE3"/>
    <mergeCell ref="CD4:CE5"/>
    <mergeCell ref="CD6:CE6"/>
    <mergeCell ref="CP4:CQ5"/>
    <mergeCell ref="CJ3:CK3"/>
    <mergeCell ref="CL9:CM9"/>
    <mergeCell ref="CN9:CO9"/>
    <mergeCell ref="CP9:CQ9"/>
    <mergeCell ref="CX9:CY9"/>
    <mergeCell ref="CT8:CU8"/>
    <mergeCell ref="CV8:CW8"/>
    <mergeCell ref="CR3:CS3"/>
    <mergeCell ref="CN7:CO7"/>
    <mergeCell ref="CP7:CQ7"/>
    <mergeCell ref="CL7:CM7"/>
    <mergeCell ref="CL6:CM6"/>
    <mergeCell ref="CN6:CO6"/>
    <mergeCell ref="CP6:CQ6"/>
    <mergeCell ref="CR9:CS9"/>
    <mergeCell ref="CR8:CS8"/>
    <mergeCell ref="CR4:CS5"/>
    <mergeCell ref="CR7:CS7"/>
    <mergeCell ref="CT7:CU7"/>
    <mergeCell ref="CT6:CU6"/>
    <mergeCell ref="CV6:CW6"/>
    <mergeCell ref="CX8:CY8"/>
    <mergeCell ref="CL3:CM3"/>
    <mergeCell ref="CL8:CM8"/>
    <mergeCell ref="CT9:CU9"/>
    <mergeCell ref="CV9:CW9"/>
    <mergeCell ref="CR6:CS6"/>
    <mergeCell ref="CN8:CO8"/>
    <mergeCell ref="DT2:DU2"/>
    <mergeCell ref="DT3:DU3"/>
    <mergeCell ref="DT4:DU5"/>
    <mergeCell ref="DT6:DU6"/>
    <mergeCell ref="DG2:DH2"/>
    <mergeCell ref="DG3:DH3"/>
    <mergeCell ref="DG4:DH5"/>
    <mergeCell ref="DG6:DH6"/>
    <mergeCell ref="DK2:DL2"/>
    <mergeCell ref="DK3:DL3"/>
    <mergeCell ref="DK4:DL5"/>
    <mergeCell ref="DK6:DL6"/>
    <mergeCell ref="DA2:DB2"/>
    <mergeCell ref="CB4:CC5"/>
    <mergeCell ref="CT2:CU2"/>
    <mergeCell ref="CV2:CW2"/>
    <mergeCell ref="BX3:BY3"/>
    <mergeCell ref="DT7:DU7"/>
    <mergeCell ref="DT8:DU8"/>
    <mergeCell ref="DT9:DU9"/>
    <mergeCell ref="DM6:DN6"/>
    <mergeCell ref="DM7:DN7"/>
    <mergeCell ref="DM8:DN8"/>
    <mergeCell ref="DM9:DN9"/>
    <mergeCell ref="DO2:DP2"/>
    <mergeCell ref="DO3:DP3"/>
    <mergeCell ref="DO4:DP5"/>
    <mergeCell ref="DO6:DP6"/>
    <mergeCell ref="DO7:DP7"/>
    <mergeCell ref="DO8:DP8"/>
    <mergeCell ref="DO9:DP9"/>
    <mergeCell ref="DR2:DS2"/>
    <mergeCell ref="DR3:DS3"/>
    <mergeCell ref="DR4:DS5"/>
    <mergeCell ref="DR6:DS6"/>
    <mergeCell ref="DR7:DS7"/>
    <mergeCell ref="DR8:DS8"/>
    <mergeCell ref="DR9:DS9"/>
    <mergeCell ref="DM4:DN5"/>
    <mergeCell ref="DK7:DL7"/>
    <mergeCell ref="DK8:DL8"/>
    <mergeCell ref="DK9:DL9"/>
    <mergeCell ref="DM2:DN2"/>
    <mergeCell ref="DM3:DN3"/>
    <mergeCell ref="DI2:DJ2"/>
    <mergeCell ref="DI3:DJ3"/>
    <mergeCell ref="DI4:DJ5"/>
    <mergeCell ref="DI6:DJ6"/>
    <mergeCell ref="DI7:DJ7"/>
    <mergeCell ref="DI8:DJ8"/>
    <mergeCell ref="DI9:DJ9"/>
    <mergeCell ref="DG7:DH7"/>
    <mergeCell ref="DG8:DH8"/>
    <mergeCell ref="DC2:DD2"/>
    <mergeCell ref="DC3:DD3"/>
    <mergeCell ref="DC4:DD5"/>
    <mergeCell ref="DG9:DH9"/>
    <mergeCell ref="DC8:DD8"/>
    <mergeCell ref="DC9:DD9"/>
    <mergeCell ref="DE9:DF9"/>
    <mergeCell ref="DE2:DF2"/>
    <mergeCell ref="DE3:DF3"/>
    <mergeCell ref="DE4:DF5"/>
    <mergeCell ref="DE6:DF6"/>
    <mergeCell ref="DE7:DF7"/>
    <mergeCell ref="DE8:DF8"/>
    <mergeCell ref="DC6:DD6"/>
    <mergeCell ref="DC7:DD7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EB75-D41E-4B9D-B9B2-F48319E121C8}">
  <sheetPr>
    <pageSetUpPr fitToPage="1"/>
  </sheetPr>
  <dimension ref="A2:BO178"/>
  <sheetViews>
    <sheetView showGridLines="0" zoomScale="85" zoomScaleNormal="85" zoomScaleSheetLayoutView="80" workbookViewId="0">
      <pane xSplit="5" ySplit="6" topLeftCell="BD103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4" outlineLevelCol="1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29" width="12.86328125" hidden="1" customWidth="1" outlineLevel="1"/>
    <col min="30" max="30" width="12.86328125" hidden="1" customWidth="1" collapsed="1"/>
    <col min="31" max="53" width="12.86328125" hidden="1" customWidth="1"/>
    <col min="54" max="65" width="12.86328125" customWidth="1"/>
    <col min="66" max="67" width="12.86328125" hidden="1" customWidth="1"/>
  </cols>
  <sheetData>
    <row r="2" spans="1:67" ht="15.75" customHeight="1" thickBot="1" x14ac:dyDescent="0.5">
      <c r="F2" s="1281" t="str">
        <f>F4</f>
        <v>CGSS 12</v>
      </c>
      <c r="G2" s="1231"/>
      <c r="H2" s="1231" t="str">
        <f>H4</f>
        <v>CGSS 12</v>
      </c>
      <c r="I2" s="1231"/>
      <c r="J2" s="1231" t="str">
        <f>J4</f>
        <v>CGSS 12</v>
      </c>
      <c r="K2" s="1231"/>
      <c r="L2" s="1231" t="str">
        <f>L4</f>
        <v>CGSS 12</v>
      </c>
      <c r="M2" s="1231"/>
      <c r="N2" s="1231" t="str">
        <f>N4</f>
        <v>CGSS 12</v>
      </c>
      <c r="O2" s="1231"/>
      <c r="P2" s="1231" t="str">
        <f>P4</f>
        <v>CGSS 12</v>
      </c>
      <c r="Q2" s="1231"/>
      <c r="R2" s="1231" t="str">
        <f>R4</f>
        <v>CGSS 12</v>
      </c>
      <c r="S2" s="1231"/>
      <c r="T2" s="1231" t="str">
        <f>T4</f>
        <v>CGSS 12</v>
      </c>
      <c r="U2" s="1231"/>
      <c r="V2" s="1231" t="str">
        <f>V4</f>
        <v>CGSS 12</v>
      </c>
      <c r="W2" s="1231"/>
      <c r="X2" s="1231" t="str">
        <f>X4</f>
        <v>CGSS 12</v>
      </c>
      <c r="Y2" s="1231"/>
      <c r="Z2" s="1231" t="str">
        <f>Z4</f>
        <v>CGSS 12</v>
      </c>
      <c r="AA2" s="1231"/>
      <c r="AB2" s="1231" t="str">
        <f>AB4</f>
        <v>CGSS 12</v>
      </c>
      <c r="AC2" s="1231"/>
      <c r="AD2" s="1231" t="str">
        <f t="shared" ref="AD2" si="0">AD4</f>
        <v>CGSS 12</v>
      </c>
      <c r="AE2" s="1231"/>
      <c r="AF2" s="1231" t="str">
        <f t="shared" ref="AF2" si="1">AF4</f>
        <v>CGSS 12</v>
      </c>
      <c r="AG2" s="1231"/>
      <c r="AH2" s="1231" t="str">
        <f t="shared" ref="AH2" si="2">AH4</f>
        <v>CGSS 12</v>
      </c>
      <c r="AI2" s="1231"/>
      <c r="AJ2" s="1231" t="str">
        <f t="shared" ref="AJ2" si="3">AJ4</f>
        <v>CGSS 12</v>
      </c>
      <c r="AK2" s="1231"/>
      <c r="AL2" s="1231" t="str">
        <f t="shared" ref="AL2" si="4">AL4</f>
        <v>CGSS 12</v>
      </c>
      <c r="AM2" s="1231"/>
      <c r="AN2" s="1231" t="str">
        <f t="shared" ref="AN2" si="5">AN4</f>
        <v>CGSS 12</v>
      </c>
      <c r="AO2" s="1231"/>
      <c r="AP2" s="1231" t="str">
        <f t="shared" ref="AP2" si="6">AP4</f>
        <v>CGSS 12</v>
      </c>
      <c r="AQ2" s="1231"/>
      <c r="AR2" s="1231" t="str">
        <f t="shared" ref="AR2:AX2" si="7">AR4</f>
        <v>CGSS 12</v>
      </c>
      <c r="AS2" s="1231"/>
      <c r="AT2" s="1231" t="str">
        <f t="shared" si="7"/>
        <v>CGSS 12</v>
      </c>
      <c r="AU2" s="1231"/>
      <c r="AV2" s="1231" t="str">
        <f t="shared" si="7"/>
        <v>CGSS 12</v>
      </c>
      <c r="AW2" s="1231"/>
      <c r="AX2" s="1231" t="str">
        <f t="shared" si="7"/>
        <v>CGSS 12</v>
      </c>
      <c r="AY2" s="1231"/>
      <c r="AZ2" s="1231" t="str">
        <f t="shared" ref="AZ2:BB2" si="8">AZ4</f>
        <v>CGSS 12</v>
      </c>
      <c r="BA2" s="1231"/>
      <c r="BB2" s="1231" t="str">
        <f t="shared" si="8"/>
        <v>CGSS 12</v>
      </c>
      <c r="BC2" s="1231"/>
      <c r="BD2" s="1231" t="str">
        <f t="shared" ref="BD2:BF2" si="9">BD4</f>
        <v>CGSS 12</v>
      </c>
      <c r="BE2" s="1231"/>
      <c r="BF2" s="1231" t="str">
        <f t="shared" si="9"/>
        <v>CGSS 12</v>
      </c>
      <c r="BG2" s="1231"/>
      <c r="BH2" s="1231" t="str">
        <f t="shared" ref="BH2:BJ2" si="10">BH4</f>
        <v>CGSS 12</v>
      </c>
      <c r="BI2" s="1231"/>
      <c r="BJ2" s="1231" t="str">
        <f t="shared" si="10"/>
        <v>CGSS 12</v>
      </c>
      <c r="BK2" s="1231"/>
      <c r="BL2" s="1231" t="str">
        <f t="shared" ref="BL2" si="11">BL4</f>
        <v>CGSS 12</v>
      </c>
      <c r="BM2" s="1231"/>
      <c r="BN2" s="1231" t="str">
        <f t="shared" ref="BN2" si="12">BN4</f>
        <v>CGSS 12</v>
      </c>
      <c r="BO2" s="1231"/>
    </row>
    <row r="3" spans="1:67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397</v>
      </c>
      <c r="AS3" s="1257"/>
      <c r="AT3" s="1256" t="s">
        <v>398</v>
      </c>
      <c r="AU3" s="1257"/>
      <c r="AV3" s="1256" t="s">
        <v>399</v>
      </c>
      <c r="AW3" s="1257"/>
      <c r="AX3" s="1256" t="s">
        <v>400</v>
      </c>
      <c r="AY3" s="1257"/>
      <c r="AZ3" s="1256" t="s">
        <v>401</v>
      </c>
      <c r="BA3" s="1257"/>
      <c r="BB3" s="1256" t="s">
        <v>351</v>
      </c>
      <c r="BC3" s="1257"/>
      <c r="BD3" s="1256" t="s">
        <v>403</v>
      </c>
      <c r="BE3" s="1257"/>
      <c r="BF3" s="1256" t="s">
        <v>701</v>
      </c>
      <c r="BG3" s="1257"/>
      <c r="BH3" s="1256" t="s">
        <v>708</v>
      </c>
      <c r="BI3" s="1257"/>
      <c r="BJ3" s="1256" t="s">
        <v>711</v>
      </c>
      <c r="BK3" s="1257"/>
      <c r="BL3" s="1256" t="s">
        <v>727</v>
      </c>
      <c r="BM3" s="1257"/>
      <c r="BN3" s="1256" t="s">
        <v>713</v>
      </c>
      <c r="BO3" s="1257"/>
    </row>
    <row r="4" spans="1:67" s="4" customFormat="1" ht="21.4" thickTop="1" x14ac:dyDescent="0.45">
      <c r="A4" s="561"/>
      <c r="B4" s="2"/>
      <c r="C4" s="3"/>
      <c r="D4" s="6"/>
      <c r="E4" s="245"/>
      <c r="F4" s="1275" t="s">
        <v>354</v>
      </c>
      <c r="G4" s="1276"/>
      <c r="H4" s="1275" t="s">
        <v>354</v>
      </c>
      <c r="I4" s="1276"/>
      <c r="J4" s="1275" t="s">
        <v>354</v>
      </c>
      <c r="K4" s="1276"/>
      <c r="L4" s="1275" t="s">
        <v>354</v>
      </c>
      <c r="M4" s="1276"/>
      <c r="N4" s="1275" t="s">
        <v>354</v>
      </c>
      <c r="O4" s="1276"/>
      <c r="P4" s="1275" t="s">
        <v>354</v>
      </c>
      <c r="Q4" s="1276"/>
      <c r="R4" s="1275" t="s">
        <v>354</v>
      </c>
      <c r="S4" s="1276"/>
      <c r="T4" s="1275" t="s">
        <v>354</v>
      </c>
      <c r="U4" s="1276"/>
      <c r="V4" s="1275" t="s">
        <v>354</v>
      </c>
      <c r="W4" s="1276"/>
      <c r="X4" s="1275" t="s">
        <v>354</v>
      </c>
      <c r="Y4" s="1276"/>
      <c r="Z4" s="1275" t="s">
        <v>354</v>
      </c>
      <c r="AA4" s="1276"/>
      <c r="AB4" s="1275" t="s">
        <v>354</v>
      </c>
      <c r="AC4" s="1276"/>
      <c r="AD4" s="1275" t="s">
        <v>354</v>
      </c>
      <c r="AE4" s="1276"/>
      <c r="AF4" s="1275" t="s">
        <v>354</v>
      </c>
      <c r="AG4" s="1276"/>
      <c r="AH4" s="1275" t="s">
        <v>354</v>
      </c>
      <c r="AI4" s="1276"/>
      <c r="AJ4" s="1275" t="s">
        <v>354</v>
      </c>
      <c r="AK4" s="1276"/>
      <c r="AL4" s="1275" t="s">
        <v>354</v>
      </c>
      <c r="AM4" s="1276"/>
      <c r="AN4" s="1275" t="s">
        <v>354</v>
      </c>
      <c r="AO4" s="1276"/>
      <c r="AP4" s="1275" t="s">
        <v>354</v>
      </c>
      <c r="AQ4" s="1276"/>
      <c r="AR4" s="1275" t="s">
        <v>354</v>
      </c>
      <c r="AS4" s="1276"/>
      <c r="AT4" s="1275" t="s">
        <v>354</v>
      </c>
      <c r="AU4" s="1276"/>
      <c r="AV4" s="1275" t="s">
        <v>354</v>
      </c>
      <c r="AW4" s="1276"/>
      <c r="AX4" s="1275" t="s">
        <v>354</v>
      </c>
      <c r="AY4" s="1276"/>
      <c r="AZ4" s="1275" t="s">
        <v>354</v>
      </c>
      <c r="BA4" s="1276"/>
      <c r="BB4" s="1275" t="s">
        <v>354</v>
      </c>
      <c r="BC4" s="1276"/>
      <c r="BD4" s="1275" t="s">
        <v>354</v>
      </c>
      <c r="BE4" s="1276"/>
      <c r="BF4" s="1275" t="s">
        <v>354</v>
      </c>
      <c r="BG4" s="1276"/>
      <c r="BH4" s="1275" t="s">
        <v>354</v>
      </c>
      <c r="BI4" s="1276"/>
      <c r="BJ4" s="1275" t="s">
        <v>354</v>
      </c>
      <c r="BK4" s="1276"/>
      <c r="BL4" s="1275" t="s">
        <v>354</v>
      </c>
      <c r="BM4" s="1276"/>
      <c r="BN4" s="1275" t="s">
        <v>354</v>
      </c>
      <c r="BO4" s="1276"/>
    </row>
    <row r="5" spans="1:67" s="4" customFormat="1" ht="14.65" thickBot="1" x14ac:dyDescent="0.5">
      <c r="A5" s="561"/>
      <c r="B5" s="7"/>
      <c r="E5" s="245"/>
      <c r="F5" s="1238"/>
      <c r="G5" s="1239"/>
      <c r="H5" s="1238"/>
      <c r="I5" s="1239"/>
      <c r="J5" s="1238"/>
      <c r="K5" s="1239"/>
      <c r="L5" s="1238"/>
      <c r="M5" s="1239"/>
      <c r="N5" s="1238"/>
      <c r="O5" s="1239"/>
      <c r="P5" s="1238"/>
      <c r="Q5" s="1239"/>
      <c r="R5" s="1238"/>
      <c r="S5" s="1239"/>
      <c r="T5" s="1238"/>
      <c r="U5" s="1239"/>
      <c r="V5" s="1238"/>
      <c r="W5" s="1239"/>
      <c r="X5" s="1238"/>
      <c r="Y5" s="1239"/>
      <c r="Z5" s="1238"/>
      <c r="AA5" s="1239"/>
      <c r="AB5" s="1238"/>
      <c r="AC5" s="1239"/>
      <c r="AD5" s="1238"/>
      <c r="AE5" s="1239"/>
      <c r="AF5" s="1238"/>
      <c r="AG5" s="1239"/>
      <c r="AH5" s="1238"/>
      <c r="AI5" s="1239"/>
      <c r="AJ5" s="1238"/>
      <c r="AK5" s="1239"/>
      <c r="AL5" s="1238"/>
      <c r="AM5" s="1239"/>
      <c r="AN5" s="1238"/>
      <c r="AO5" s="1239"/>
      <c r="AP5" s="1238"/>
      <c r="AQ5" s="1239"/>
      <c r="AR5" s="1238"/>
      <c r="AS5" s="1239"/>
      <c r="AT5" s="1238"/>
      <c r="AU5" s="1239"/>
      <c r="AV5" s="1238"/>
      <c r="AW5" s="1239"/>
      <c r="AX5" s="1238"/>
      <c r="AY5" s="1239"/>
      <c r="AZ5" s="1238"/>
      <c r="BA5" s="1239"/>
      <c r="BB5" s="1238"/>
      <c r="BC5" s="1239"/>
      <c r="BD5" s="1238"/>
      <c r="BE5" s="1239"/>
      <c r="BF5" s="1238"/>
      <c r="BG5" s="1239"/>
      <c r="BH5" s="1238"/>
      <c r="BI5" s="1239"/>
      <c r="BJ5" s="1238"/>
      <c r="BK5" s="1239"/>
      <c r="BL5" s="1238"/>
      <c r="BM5" s="1239"/>
      <c r="BN5" s="1238"/>
      <c r="BO5" s="1239"/>
    </row>
    <row r="6" spans="1:67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77"/>
      <c r="G6" s="1206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05"/>
      <c r="AY6" s="1206"/>
      <c r="AZ6" s="1205"/>
      <c r="BA6" s="1206"/>
      <c r="BB6" s="1205"/>
      <c r="BC6" s="1206"/>
      <c r="BD6" s="1205"/>
      <c r="BE6" s="1206"/>
      <c r="BF6" s="1205"/>
      <c r="BG6" s="1206"/>
      <c r="BH6" s="1205"/>
      <c r="BI6" s="1206"/>
      <c r="BJ6" s="1205"/>
      <c r="BK6" s="1206"/>
      <c r="BL6" s="1205"/>
      <c r="BM6" s="1206"/>
      <c r="BN6" s="1205"/>
      <c r="BO6" s="1206"/>
    </row>
    <row r="7" spans="1:67" s="7" customFormat="1" ht="36.75" customHeight="1" x14ac:dyDescent="0.45">
      <c r="A7" s="561"/>
      <c r="B7" s="1203"/>
      <c r="C7" s="10" t="s">
        <v>11</v>
      </c>
      <c r="D7" s="11"/>
      <c r="E7" s="247"/>
      <c r="F7" s="1200">
        <v>123630</v>
      </c>
      <c r="G7" s="1201"/>
      <c r="H7" s="1267">
        <v>123630</v>
      </c>
      <c r="I7" s="1268"/>
      <c r="J7" s="1267">
        <v>123630</v>
      </c>
      <c r="K7" s="1268"/>
      <c r="L7" s="1200">
        <v>123630</v>
      </c>
      <c r="M7" s="1201"/>
      <c r="N7" s="1267">
        <v>123630</v>
      </c>
      <c r="O7" s="1268"/>
      <c r="P7" s="1267">
        <v>123630</v>
      </c>
      <c r="Q7" s="1268"/>
      <c r="R7" s="1200">
        <v>123630</v>
      </c>
      <c r="S7" s="1201"/>
      <c r="T7" s="1267">
        <v>123630</v>
      </c>
      <c r="U7" s="1268"/>
      <c r="V7" s="1267">
        <v>123630</v>
      </c>
      <c r="W7" s="1268"/>
      <c r="X7" s="1200">
        <v>123630</v>
      </c>
      <c r="Y7" s="1201"/>
      <c r="Z7" s="1267">
        <v>123630</v>
      </c>
      <c r="AA7" s="1268"/>
      <c r="AB7" s="1267">
        <v>123630</v>
      </c>
      <c r="AC7" s="1268"/>
      <c r="AD7" s="1267">
        <v>123630</v>
      </c>
      <c r="AE7" s="1268"/>
      <c r="AF7" s="1267">
        <v>123630</v>
      </c>
      <c r="AG7" s="1268"/>
      <c r="AH7" s="1267">
        <v>123630</v>
      </c>
      <c r="AI7" s="1268"/>
      <c r="AJ7" s="1267">
        <v>123630</v>
      </c>
      <c r="AK7" s="1268"/>
      <c r="AL7" s="1267">
        <v>123630</v>
      </c>
      <c r="AM7" s="1268"/>
      <c r="AN7" s="1267">
        <v>123630</v>
      </c>
      <c r="AO7" s="1268"/>
      <c r="AP7" s="1267">
        <v>123630</v>
      </c>
      <c r="AQ7" s="1268"/>
      <c r="AR7" s="1267">
        <v>123630</v>
      </c>
      <c r="AS7" s="1268"/>
      <c r="AT7" s="1267">
        <v>123630</v>
      </c>
      <c r="AU7" s="1268"/>
      <c r="AV7" s="1267">
        <v>123630</v>
      </c>
      <c r="AW7" s="1268"/>
      <c r="AX7" s="1267">
        <v>123630</v>
      </c>
      <c r="AY7" s="1268"/>
      <c r="AZ7" s="1267">
        <v>123630</v>
      </c>
      <c r="BA7" s="1268"/>
      <c r="BB7" s="1267">
        <v>123630</v>
      </c>
      <c r="BC7" s="1268"/>
      <c r="BD7" s="1267">
        <v>123630</v>
      </c>
      <c r="BE7" s="1268"/>
      <c r="BF7" s="1267">
        <v>123630</v>
      </c>
      <c r="BG7" s="1268"/>
      <c r="BH7" s="1267">
        <v>123630</v>
      </c>
      <c r="BI7" s="1268"/>
      <c r="BJ7" s="1267">
        <v>123630</v>
      </c>
      <c r="BK7" s="1268"/>
      <c r="BL7" s="1267">
        <v>123630</v>
      </c>
      <c r="BM7" s="1268"/>
      <c r="BN7" s="1267">
        <v>123630</v>
      </c>
      <c r="BO7" s="1268"/>
    </row>
    <row r="8" spans="1:67" s="7" customFormat="1" x14ac:dyDescent="0.45">
      <c r="A8" s="561"/>
      <c r="B8" s="1203"/>
      <c r="C8" s="12" t="s">
        <v>12</v>
      </c>
      <c r="D8" s="11"/>
      <c r="E8" s="11"/>
      <c r="F8" s="1232">
        <f>G60</f>
        <v>4.7229149797570855</v>
      </c>
      <c r="G8" s="1233"/>
      <c r="H8" s="1269">
        <f>I60</f>
        <v>4.7229149797570855</v>
      </c>
      <c r="I8" s="1270"/>
      <c r="J8" s="1269">
        <f>K60</f>
        <v>4.7229149797570855</v>
      </c>
      <c r="K8" s="1270"/>
      <c r="L8" s="1232">
        <f>M60</f>
        <v>4.7229149797570855</v>
      </c>
      <c r="M8" s="1233"/>
      <c r="N8" s="1269">
        <f>O60</f>
        <v>4.7229149797570855</v>
      </c>
      <c r="O8" s="1270"/>
      <c r="P8" s="1269">
        <f>Q60</f>
        <v>4.7229149797570855</v>
      </c>
      <c r="Q8" s="1270"/>
      <c r="R8" s="1232">
        <f>S60</f>
        <v>4.7229149797570855</v>
      </c>
      <c r="S8" s="1233"/>
      <c r="T8" s="1269">
        <f>U60</f>
        <v>4.7229149797570855</v>
      </c>
      <c r="U8" s="1270"/>
      <c r="V8" s="1269">
        <f>W60</f>
        <v>4.7229149797570855</v>
      </c>
      <c r="W8" s="1270"/>
      <c r="X8" s="1232">
        <f>Y60</f>
        <v>4.7229149797570855</v>
      </c>
      <c r="Y8" s="1233"/>
      <c r="Z8" s="1269">
        <f>AA60</f>
        <v>4.7229149797570855</v>
      </c>
      <c r="AA8" s="1270"/>
      <c r="AB8" s="1269">
        <f>AC60</f>
        <v>4.7229149797570855</v>
      </c>
      <c r="AC8" s="1270"/>
      <c r="AD8" s="1269">
        <f t="shared" ref="AD8" si="13">AE60</f>
        <v>4.8529149797570845</v>
      </c>
      <c r="AE8" s="1270"/>
      <c r="AF8" s="1269">
        <f t="shared" ref="AF8" si="14">AG60</f>
        <v>4.8529149797570845</v>
      </c>
      <c r="AG8" s="1270"/>
      <c r="AH8" s="1269">
        <f t="shared" ref="AH8" si="15">AI60</f>
        <v>4.8529149797570845</v>
      </c>
      <c r="AI8" s="1270"/>
      <c r="AJ8" s="1269">
        <f t="shared" ref="AJ8" si="16">AK60</f>
        <v>4.8529149797570845</v>
      </c>
      <c r="AK8" s="1270"/>
      <c r="AL8" s="1269">
        <f t="shared" ref="AL8" si="17">AM60</f>
        <v>4.8529149797570845</v>
      </c>
      <c r="AM8" s="1270"/>
      <c r="AN8" s="1269">
        <f t="shared" ref="AN8" si="18">AO60</f>
        <v>4.8529149797570845</v>
      </c>
      <c r="AO8" s="1270"/>
      <c r="AP8" s="1269">
        <f t="shared" ref="AP8" si="19">AQ60</f>
        <v>4.8529149797570845</v>
      </c>
      <c r="AQ8" s="1270"/>
      <c r="AR8" s="1269">
        <f t="shared" ref="AR8" si="20">AS60</f>
        <v>4.8529149797570845</v>
      </c>
      <c r="AS8" s="1270"/>
      <c r="AT8" s="1269">
        <f t="shared" ref="AT8" si="21">AU60</f>
        <v>4.8529149797570845</v>
      </c>
      <c r="AU8" s="1270"/>
      <c r="AV8" s="1269">
        <f t="shared" ref="AV8" si="22">AW60</f>
        <v>4.8529149797570845</v>
      </c>
      <c r="AW8" s="1270"/>
      <c r="AX8" s="1269">
        <f t="shared" ref="AX8" si="23">AY60</f>
        <v>4.8541940789473683</v>
      </c>
      <c r="AY8" s="1270"/>
      <c r="AZ8" s="1269">
        <f t="shared" ref="AZ8" si="24">BA60</f>
        <v>4.8541940789473683</v>
      </c>
      <c r="BA8" s="1270"/>
      <c r="BB8" s="1269">
        <f t="shared" ref="BB8" si="25">BC60</f>
        <v>4.8541940789473683</v>
      </c>
      <c r="BC8" s="1270"/>
      <c r="BD8" s="1269">
        <f t="shared" ref="BD8" si="26">BE60</f>
        <v>4.8541940789473683</v>
      </c>
      <c r="BE8" s="1270"/>
      <c r="BF8" s="1269">
        <f t="shared" ref="BF8" si="27">BG60</f>
        <v>4.8541940789473683</v>
      </c>
      <c r="BG8" s="1270"/>
      <c r="BH8" s="1269">
        <f t="shared" ref="BH8" si="28">BI60</f>
        <v>4.8541940789473683</v>
      </c>
      <c r="BI8" s="1270"/>
      <c r="BJ8" s="1269">
        <f t="shared" ref="BJ8" si="29">BK60</f>
        <v>4.8541940789473683</v>
      </c>
      <c r="BK8" s="1270"/>
      <c r="BL8" s="1269">
        <f t="shared" ref="BL8" si="30">BM60</f>
        <v>4.8541940789473683</v>
      </c>
      <c r="BM8" s="1270"/>
      <c r="BN8" s="1269">
        <f t="shared" ref="BN8" si="31">BO60</f>
        <v>4.8541940789473683</v>
      </c>
      <c r="BO8" s="1270"/>
    </row>
    <row r="9" spans="1:67" s="7" customFormat="1" ht="14.45" customHeigh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$1.02/ctn</v>
      </c>
      <c r="G9" s="1191"/>
      <c r="H9" s="1271" t="str">
        <f>CONCATENATE("TP $",TEXT(I57,"#,##0.00"),"/ctn")</f>
        <v>TP $1.02/ctn</v>
      </c>
      <c r="I9" s="1272"/>
      <c r="J9" s="1271" t="str">
        <f>CONCATENATE("TP $",TEXT(K57,"#,##0.00"),"/ctn")</f>
        <v>TP $1.02/ctn</v>
      </c>
      <c r="K9" s="1272"/>
      <c r="L9" s="1190" t="str">
        <f>CONCATENATE("TP $",TEXT(M57,"#,##0.00"),"/ctn")</f>
        <v>TP $1.02/ctn</v>
      </c>
      <c r="M9" s="1191"/>
      <c r="N9" s="1271" t="str">
        <f>CONCATENATE("TP $",TEXT(O57,"#,##0.00"),"/ctn")</f>
        <v>TP $1.02/ctn</v>
      </c>
      <c r="O9" s="1272"/>
      <c r="P9" s="1271" t="str">
        <f>CONCATENATE("TP $",TEXT(Q57,"#,##0.00"),"/ctn")</f>
        <v>TP $1.02/ctn</v>
      </c>
      <c r="Q9" s="1272"/>
      <c r="R9" s="1190" t="str">
        <f>CONCATENATE("TP $",TEXT(S57,"#,##0.00"),"/ctn")</f>
        <v>TP $1.02/ctn</v>
      </c>
      <c r="S9" s="1191"/>
      <c r="T9" s="1271" t="str">
        <f>CONCATENATE("TP $",TEXT(U57,"#,##0.00"),"/ctn")</f>
        <v>TP $1.02/ctn</v>
      </c>
      <c r="U9" s="1272"/>
      <c r="V9" s="1271" t="str">
        <f>CONCATENATE("TP $",TEXT(W57,"#,##0.00"),"/ctn")</f>
        <v>TP $1.02/ctn</v>
      </c>
      <c r="W9" s="1272"/>
      <c r="X9" s="1190" t="str">
        <f>CONCATENATE("TP $",TEXT(Y57,"#,##0.00"),"/ctn")</f>
        <v>TP $1.02/ctn</v>
      </c>
      <c r="Y9" s="1191"/>
      <c r="Z9" s="1271" t="str">
        <f>CONCATENATE("TP $",TEXT(AA57,"#,##0.00"),"/ctn")</f>
        <v>TP $1.02/ctn</v>
      </c>
      <c r="AA9" s="1272"/>
      <c r="AB9" s="1271" t="str">
        <f>CONCATENATE("TP $",TEXT(AC57,"#,##0.00"),"/ctn")</f>
        <v>TP $1.02/ctn</v>
      </c>
      <c r="AC9" s="1272"/>
      <c r="AD9" s="1271" t="str">
        <f t="shared" ref="AD9" si="32">CONCATENATE("TP $",TEXT(AE57,"#,##0.00"),"/ctn")</f>
        <v>TP $0.62/ctn</v>
      </c>
      <c r="AE9" s="1272"/>
      <c r="AF9" s="1271" t="str">
        <f t="shared" ref="AF9" si="33">CONCATENATE("TP $",TEXT(AG57,"#,##0.00"),"/ctn")</f>
        <v>TP $0.55/ctn</v>
      </c>
      <c r="AG9" s="1272"/>
      <c r="AH9" s="1271" t="str">
        <f t="shared" ref="AH9" si="34">CONCATENATE("TP $",TEXT(AI57,"#,##0.00"),"/ctn")</f>
        <v>TP $1.15/ctn</v>
      </c>
      <c r="AI9" s="1272"/>
      <c r="AJ9" s="1271" t="str">
        <f t="shared" ref="AJ9" si="35">CONCATENATE("TP $",TEXT(AK57,"#,##0.00"),"/ctn")</f>
        <v>TP $1.15/ctn</v>
      </c>
      <c r="AK9" s="1272"/>
      <c r="AL9" s="1271" t="str">
        <f t="shared" ref="AL9" si="36">CONCATENATE("TP $",TEXT(AM57,"#,##0.00"),"/ctn")</f>
        <v>TP $1.15/ctn</v>
      </c>
      <c r="AM9" s="1272"/>
      <c r="AN9" s="1271" t="str">
        <f t="shared" ref="AN9" si="37">CONCATENATE("TP $",TEXT(AO57,"#,##0.00"),"/ctn")</f>
        <v>TP $1.15/ctn</v>
      </c>
      <c r="AO9" s="1272"/>
      <c r="AP9" s="1271" t="str">
        <f t="shared" ref="AP9" si="38">CONCATENATE("TP $",TEXT(AQ57,"#,##0.00"),"/ctn")</f>
        <v>TP $1.15/ctn</v>
      </c>
      <c r="AQ9" s="1272"/>
      <c r="AR9" s="1271" t="str">
        <f t="shared" ref="AR9" si="39">CONCATENATE("TP $",TEXT(AS57,"#,##0.00"),"/ctn")</f>
        <v>TP $1.15/ctn</v>
      </c>
      <c r="AS9" s="1272"/>
      <c r="AT9" s="1271" t="str">
        <f t="shared" ref="AT9" si="40">CONCATENATE("TP $",TEXT(AU57,"#,##0.00"),"/ctn")</f>
        <v>TP $1.15/ctn</v>
      </c>
      <c r="AU9" s="1272"/>
      <c r="AV9" s="1271" t="str">
        <f t="shared" ref="AV9" si="41">CONCATENATE("TP $",TEXT(AW57,"#,##0.00"),"/ctn")</f>
        <v>TP $1.15/ctn</v>
      </c>
      <c r="AW9" s="1272"/>
      <c r="AX9" s="1271" t="str">
        <f t="shared" ref="AX9" si="42">CONCATENATE("TP $",TEXT(AY57,"#,##0.00"),"/ctn")</f>
        <v>TP $1.15/ctn</v>
      </c>
      <c r="AY9" s="1272"/>
      <c r="AZ9" s="1271" t="str">
        <f t="shared" ref="AZ9" si="43">CONCATENATE("TP $",TEXT(BA57,"#,##0.00"),"/ctn")</f>
        <v>TP $1.15/ctn</v>
      </c>
      <c r="BA9" s="1272"/>
      <c r="BB9" s="1271" t="str">
        <f t="shared" ref="BB9" si="44">CONCATENATE("TP $",TEXT(BC57,"#,##0.00"),"/ctn")</f>
        <v>TP $1.15/ctn</v>
      </c>
      <c r="BC9" s="1272"/>
      <c r="BD9" s="1271" t="str">
        <f t="shared" ref="BD9" si="45">CONCATENATE("TP $",TEXT(BE57,"#,##0.00"),"/ctn")</f>
        <v>TP $1.15/ctn</v>
      </c>
      <c r="BE9" s="1272"/>
      <c r="BF9" s="1271" t="str">
        <f t="shared" ref="BF9" si="46">CONCATENATE("TP $",TEXT(BG57,"#,##0.00"),"/ctn")</f>
        <v>TP $1.15/ctn</v>
      </c>
      <c r="BG9" s="1272"/>
      <c r="BH9" s="1271" t="str">
        <f t="shared" ref="BH9" si="47">CONCATENATE("TP $",TEXT(BI57,"#,##0.00"),"/ctn")</f>
        <v>TP $1.15/ctn</v>
      </c>
      <c r="BI9" s="1272"/>
      <c r="BJ9" s="1271" t="str">
        <f t="shared" ref="BJ9" si="48">CONCATENATE("TP $",TEXT(BK57,"#,##0.00"),"/ctn")</f>
        <v>TP $1.15/ctn</v>
      </c>
      <c r="BK9" s="1272"/>
      <c r="BL9" s="1271" t="str">
        <f t="shared" ref="BL9" si="49">CONCATENATE("TP $",TEXT(BM57,"#,##0.00"),"/ctn")</f>
        <v>TP $1.15/ctn</v>
      </c>
      <c r="BM9" s="1272"/>
      <c r="BN9" s="1271" t="str">
        <f t="shared" ref="BN9" si="50">CONCATENATE("TP $",TEXT(BO57,"#,##0.00"),"/ctn")</f>
        <v>TP $1.15/ctn</v>
      </c>
      <c r="BO9" s="1272"/>
    </row>
    <row r="10" spans="1:67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12</v>
      </c>
      <c r="G10" s="253" t="str">
        <f>+F10</f>
        <v>12</v>
      </c>
      <c r="H10" s="348" t="str">
        <f>RIGHT(H2,2)</f>
        <v>12</v>
      </c>
      <c r="I10" s="349" t="str">
        <f>+H10</f>
        <v>12</v>
      </c>
      <c r="J10" s="348" t="str">
        <f>RIGHT(J2,2)</f>
        <v>12</v>
      </c>
      <c r="K10" s="349" t="str">
        <f>+J10</f>
        <v>12</v>
      </c>
      <c r="L10" s="348" t="str">
        <f>RIGHT(L2,2)</f>
        <v>12</v>
      </c>
      <c r="M10" s="349" t="str">
        <f>+L10</f>
        <v>12</v>
      </c>
      <c r="N10" s="348" t="str">
        <f>RIGHT(N2,2)</f>
        <v>12</v>
      </c>
      <c r="O10" s="349" t="str">
        <f>+N10</f>
        <v>12</v>
      </c>
      <c r="P10" s="348" t="str">
        <f>RIGHT(P2,2)</f>
        <v>12</v>
      </c>
      <c r="Q10" s="349" t="str">
        <f>+P10</f>
        <v>12</v>
      </c>
      <c r="R10" s="252" t="str">
        <f>RIGHT(R2,2)</f>
        <v>12</v>
      </c>
      <c r="S10" s="253" t="str">
        <f>+R10</f>
        <v>12</v>
      </c>
      <c r="T10" s="348" t="str">
        <f>RIGHT(T2,2)</f>
        <v>12</v>
      </c>
      <c r="U10" s="349" t="str">
        <f>+T10</f>
        <v>12</v>
      </c>
      <c r="V10" s="348" t="str">
        <f>RIGHT(V2,2)</f>
        <v>12</v>
      </c>
      <c r="W10" s="349" t="str">
        <f>+V10</f>
        <v>12</v>
      </c>
      <c r="X10" s="252" t="str">
        <f>RIGHT(X2,2)</f>
        <v>12</v>
      </c>
      <c r="Y10" s="253" t="str">
        <f>+X10</f>
        <v>12</v>
      </c>
      <c r="Z10" s="348" t="str">
        <f>RIGHT(Z2,2)</f>
        <v>12</v>
      </c>
      <c r="AA10" s="349" t="str">
        <f>+Z10</f>
        <v>12</v>
      </c>
      <c r="AB10" s="348" t="str">
        <f>RIGHT(AB2,2)</f>
        <v>12</v>
      </c>
      <c r="AC10" s="349" t="str">
        <f>+AB10</f>
        <v>12</v>
      </c>
      <c r="AD10" s="348" t="str">
        <f t="shared" ref="AD10" si="51">RIGHT(AD2,2)</f>
        <v>12</v>
      </c>
      <c r="AE10" s="349" t="str">
        <f t="shared" ref="AE10" si="52">+AD10</f>
        <v>12</v>
      </c>
      <c r="AF10" s="348" t="str">
        <f t="shared" ref="AF10" si="53">RIGHT(AF2,2)</f>
        <v>12</v>
      </c>
      <c r="AG10" s="349" t="str">
        <f t="shared" ref="AG10" si="54">+AF10</f>
        <v>12</v>
      </c>
      <c r="AH10" s="348" t="str">
        <f t="shared" ref="AH10" si="55">RIGHT(AH2,2)</f>
        <v>12</v>
      </c>
      <c r="AI10" s="349" t="str">
        <f t="shared" ref="AI10" si="56">+AH10</f>
        <v>12</v>
      </c>
      <c r="AJ10" s="348" t="str">
        <f t="shared" ref="AJ10" si="57">RIGHT(AJ2,2)</f>
        <v>12</v>
      </c>
      <c r="AK10" s="349" t="str">
        <f t="shared" ref="AK10" si="58">+AJ10</f>
        <v>12</v>
      </c>
      <c r="AL10" s="348" t="str">
        <f t="shared" ref="AL10" si="59">RIGHT(AL2,2)</f>
        <v>12</v>
      </c>
      <c r="AM10" s="349" t="str">
        <f t="shared" ref="AM10" si="60">+AL10</f>
        <v>12</v>
      </c>
      <c r="AN10" s="348" t="str">
        <f t="shared" ref="AN10" si="61">RIGHT(AN2,2)</f>
        <v>12</v>
      </c>
      <c r="AO10" s="349" t="str">
        <f t="shared" ref="AO10" si="62">+AN10</f>
        <v>12</v>
      </c>
      <c r="AP10" s="348" t="str">
        <f t="shared" ref="AP10" si="63">RIGHT(AP2,2)</f>
        <v>12</v>
      </c>
      <c r="AQ10" s="349" t="str">
        <f t="shared" ref="AQ10" si="64">+AP10</f>
        <v>12</v>
      </c>
      <c r="AR10" s="348" t="str">
        <f t="shared" ref="AR10:AX10" si="65">RIGHT(AR2,2)</f>
        <v>12</v>
      </c>
      <c r="AS10" s="349" t="str">
        <f t="shared" ref="AS10" si="66">+AR10</f>
        <v>12</v>
      </c>
      <c r="AT10" s="348" t="str">
        <f t="shared" si="65"/>
        <v>12</v>
      </c>
      <c r="AU10" s="349" t="str">
        <f t="shared" ref="AU10" si="67">+AT10</f>
        <v>12</v>
      </c>
      <c r="AV10" s="348" t="str">
        <f t="shared" si="65"/>
        <v>12</v>
      </c>
      <c r="AW10" s="349" t="str">
        <f t="shared" ref="AW10" si="68">+AV10</f>
        <v>12</v>
      </c>
      <c r="AX10" s="348" t="str">
        <f t="shared" si="65"/>
        <v>12</v>
      </c>
      <c r="AY10" s="349" t="str">
        <f t="shared" ref="AY10" si="69">+AX10</f>
        <v>12</v>
      </c>
      <c r="AZ10" s="348" t="str">
        <f t="shared" ref="AZ10:BB10" si="70">RIGHT(AZ2,2)</f>
        <v>12</v>
      </c>
      <c r="BA10" s="349" t="str">
        <f t="shared" ref="BA10" si="71">+AZ10</f>
        <v>12</v>
      </c>
      <c r="BB10" s="348" t="str">
        <f t="shared" si="70"/>
        <v>12</v>
      </c>
      <c r="BC10" s="349" t="str">
        <f t="shared" ref="BC10" si="72">+BB10</f>
        <v>12</v>
      </c>
      <c r="BD10" s="348" t="str">
        <f t="shared" ref="BD10:BF10" si="73">RIGHT(BD2,2)</f>
        <v>12</v>
      </c>
      <c r="BE10" s="349" t="str">
        <f t="shared" ref="BE10" si="74">+BD10</f>
        <v>12</v>
      </c>
      <c r="BF10" s="348" t="str">
        <f t="shared" si="73"/>
        <v>12</v>
      </c>
      <c r="BG10" s="349" t="str">
        <f t="shared" ref="BG10" si="75">+BF10</f>
        <v>12</v>
      </c>
      <c r="BH10" s="348" t="str">
        <f t="shared" ref="BH10:BJ10" si="76">RIGHT(BH2,2)</f>
        <v>12</v>
      </c>
      <c r="BI10" s="349" t="str">
        <f t="shared" ref="BI10" si="77">+BH10</f>
        <v>12</v>
      </c>
      <c r="BJ10" s="348" t="str">
        <f t="shared" si="76"/>
        <v>12</v>
      </c>
      <c r="BK10" s="349" t="str">
        <f t="shared" ref="BK10" si="78">+BJ10</f>
        <v>12</v>
      </c>
      <c r="BL10" s="348" t="str">
        <f t="shared" ref="BL10" si="79">RIGHT(BL2,2)</f>
        <v>12</v>
      </c>
      <c r="BM10" s="349" t="str">
        <f t="shared" ref="BM10" si="80">+BL10</f>
        <v>12</v>
      </c>
      <c r="BN10" s="348" t="str">
        <f t="shared" ref="BN10" si="81">RIGHT(BN2,2)</f>
        <v>12</v>
      </c>
      <c r="BO10" s="349" t="str">
        <f t="shared" ref="BO10" si="82">+BN10</f>
        <v>12</v>
      </c>
    </row>
    <row r="11" spans="1:67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</row>
    <row r="12" spans="1:67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350">
        <v>4068.66</v>
      </c>
      <c r="I12" s="351"/>
      <c r="J12" s="350">
        <v>4068.66</v>
      </c>
      <c r="K12" s="351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23">
        <v>4068.66</v>
      </c>
      <c r="S12" s="24"/>
      <c r="T12" s="350">
        <v>4068.66</v>
      </c>
      <c r="U12" s="351"/>
      <c r="V12" s="350">
        <v>4068.66</v>
      </c>
      <c r="W12" s="351"/>
      <c r="X12" s="23">
        <v>4068.66</v>
      </c>
      <c r="Y12" s="24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350">
        <v>4068.66</v>
      </c>
      <c r="AG12" s="351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350">
        <v>4068.66</v>
      </c>
      <c r="AQ12" s="351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</row>
    <row r="13" spans="1:67" s="4" customFormat="1" x14ac:dyDescent="0.45">
      <c r="A13" s="561"/>
      <c r="B13" s="1204"/>
      <c r="C13" s="25"/>
      <c r="D13" s="26"/>
      <c r="E13" s="26"/>
      <c r="F13" s="27"/>
      <c r="G13" s="28"/>
      <c r="H13" s="352"/>
      <c r="I13" s="353"/>
      <c r="J13" s="352"/>
      <c r="K13" s="353"/>
      <c r="L13" s="27"/>
      <c r="M13" s="28"/>
      <c r="N13" s="352"/>
      <c r="O13" s="353"/>
      <c r="P13" s="352"/>
      <c r="Q13" s="353"/>
      <c r="R13" s="27"/>
      <c r="S13" s="28"/>
      <c r="T13" s="352"/>
      <c r="U13" s="353"/>
      <c r="V13" s="352"/>
      <c r="W13" s="353"/>
      <c r="X13" s="27"/>
      <c r="Y13" s="28"/>
      <c r="Z13" s="352"/>
      <c r="AA13" s="353"/>
      <c r="AB13" s="352"/>
      <c r="AC13" s="353"/>
      <c r="AD13" s="352"/>
      <c r="AE13" s="353"/>
      <c r="AF13" s="352"/>
      <c r="AG13" s="353"/>
      <c r="AH13" s="352"/>
      <c r="AI13" s="353"/>
      <c r="AJ13" s="352"/>
      <c r="AK13" s="353"/>
      <c r="AL13" s="352"/>
      <c r="AM13" s="353"/>
      <c r="AN13" s="352"/>
      <c r="AO13" s="353"/>
      <c r="AP13" s="352"/>
      <c r="AQ13" s="353"/>
      <c r="AR13" s="352"/>
      <c r="AS13" s="353"/>
      <c r="AT13" s="352"/>
      <c r="AU13" s="353"/>
      <c r="AV13" s="352"/>
      <c r="AW13" s="353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</row>
    <row r="14" spans="1:67" s="4" customFormat="1" x14ac:dyDescent="0.45">
      <c r="A14" s="561"/>
      <c r="B14" s="29"/>
      <c r="C14" s="15"/>
      <c r="D14" s="16"/>
      <c r="E14" s="16"/>
      <c r="F14" s="17"/>
      <c r="G14" s="18"/>
      <c r="H14" s="354"/>
      <c r="I14" s="355"/>
      <c r="J14" s="354"/>
      <c r="K14" s="355"/>
      <c r="L14" s="17"/>
      <c r="M14" s="18"/>
      <c r="N14" s="354"/>
      <c r="O14" s="355"/>
      <c r="P14" s="354"/>
      <c r="Q14" s="355"/>
      <c r="R14" s="17"/>
      <c r="S14" s="18"/>
      <c r="T14" s="354"/>
      <c r="U14" s="355"/>
      <c r="V14" s="354"/>
      <c r="W14" s="355"/>
      <c r="X14" s="17"/>
      <c r="Y14" s="18"/>
      <c r="Z14" s="354"/>
      <c r="AA14" s="355"/>
      <c r="AB14" s="354"/>
      <c r="AC14" s="355"/>
      <c r="AD14" s="354"/>
      <c r="AE14" s="355"/>
      <c r="AF14" s="354"/>
      <c r="AG14" s="355"/>
      <c r="AH14" s="354"/>
      <c r="AI14" s="355"/>
      <c r="AJ14" s="354"/>
      <c r="AK14" s="355"/>
      <c r="AL14" s="354"/>
      <c r="AM14" s="355"/>
      <c r="AN14" s="354"/>
      <c r="AO14" s="355"/>
      <c r="AP14" s="354"/>
      <c r="AQ14" s="355"/>
      <c r="AR14" s="354"/>
      <c r="AS14" s="355"/>
      <c r="AT14" s="354"/>
      <c r="AU14" s="355"/>
      <c r="AV14" s="354"/>
      <c r="AW14" s="355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</row>
    <row r="15" spans="1:67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3250</v>
      </c>
      <c r="G15" s="32">
        <f>+F15/F12</f>
        <v>0.79878879041256834</v>
      </c>
      <c r="H15" s="31">
        <v>3250</v>
      </c>
      <c r="I15" s="32">
        <f>+H15/H12</f>
        <v>0.79878879041256834</v>
      </c>
      <c r="J15" s="31">
        <v>3250</v>
      </c>
      <c r="K15" s="32">
        <f>+J15/J12</f>
        <v>0.79878879041256834</v>
      </c>
      <c r="L15" s="31">
        <v>3250</v>
      </c>
      <c r="M15" s="32">
        <f>+L15/L12</f>
        <v>0.79878879041256834</v>
      </c>
      <c r="N15" s="31">
        <v>3250</v>
      </c>
      <c r="O15" s="32">
        <f>+N15/N12</f>
        <v>0.79878879041256834</v>
      </c>
      <c r="P15" s="31">
        <v>3250</v>
      </c>
      <c r="Q15" s="32">
        <f>+P15/P12</f>
        <v>0.79878879041256834</v>
      </c>
      <c r="R15" s="31">
        <v>3250</v>
      </c>
      <c r="S15" s="32">
        <f>+R15/R12</f>
        <v>0.79878879041256834</v>
      </c>
      <c r="T15" s="31">
        <v>3250</v>
      </c>
      <c r="U15" s="32">
        <f>+T15/T12</f>
        <v>0.79878879041256834</v>
      </c>
      <c r="V15" s="31">
        <v>3250</v>
      </c>
      <c r="W15" s="32">
        <f>+V15/V12</f>
        <v>0.79878879041256834</v>
      </c>
      <c r="X15" s="31">
        <v>3250</v>
      </c>
      <c r="Y15" s="32">
        <f>+X15/X12</f>
        <v>0.79878879041256834</v>
      </c>
      <c r="Z15" s="31">
        <v>3250</v>
      </c>
      <c r="AA15" s="32">
        <f>+Z15/Z12</f>
        <v>0.79878879041256834</v>
      </c>
      <c r="AB15" s="31">
        <v>3250</v>
      </c>
      <c r="AC15" s="32">
        <f>+AB15/AB12</f>
        <v>0.79878879041256834</v>
      </c>
      <c r="AD15" s="31">
        <v>3250</v>
      </c>
      <c r="AE15" s="32">
        <f t="shared" ref="AE15" si="83">+AD15/AD12</f>
        <v>0.79878879041256834</v>
      </c>
      <c r="AF15" s="31">
        <v>3250</v>
      </c>
      <c r="AG15" s="32">
        <f t="shared" ref="AG15" si="84">+AF15/AF12</f>
        <v>0.79878879041256834</v>
      </c>
      <c r="AH15" s="31">
        <v>3250</v>
      </c>
      <c r="AI15" s="32">
        <f t="shared" ref="AI15" si="85">+AH15/AH12</f>
        <v>0.79878879041256834</v>
      </c>
      <c r="AJ15" s="31">
        <v>3250</v>
      </c>
      <c r="AK15" s="32">
        <f t="shared" ref="AK15" si="86">+AJ15/AJ12</f>
        <v>0.79878879041256834</v>
      </c>
      <c r="AL15" s="31">
        <v>3250</v>
      </c>
      <c r="AM15" s="32">
        <f t="shared" ref="AM15" si="87">+AL15/AL12</f>
        <v>0.79878879041256834</v>
      </c>
      <c r="AN15" s="31">
        <v>3250</v>
      </c>
      <c r="AO15" s="32">
        <f t="shared" ref="AO15" si="88">+AN15/AN12</f>
        <v>0.79878879041256834</v>
      </c>
      <c r="AP15" s="31">
        <v>3250</v>
      </c>
      <c r="AQ15" s="32">
        <f t="shared" ref="AQ15" si="89">+AP15/AP12</f>
        <v>0.79878879041256834</v>
      </c>
      <c r="AR15" s="31">
        <v>3250</v>
      </c>
      <c r="AS15" s="32">
        <f t="shared" ref="AS15" si="90">+AR15/AR12</f>
        <v>0.79878879041256834</v>
      </c>
      <c r="AT15" s="31">
        <v>3250</v>
      </c>
      <c r="AU15" s="32">
        <f t="shared" ref="AU15" si="91">+AT15/AT12</f>
        <v>0.79878879041256834</v>
      </c>
      <c r="AV15" s="31">
        <v>3250</v>
      </c>
      <c r="AW15" s="32">
        <f t="shared" ref="AW15" si="92">+AV15/AV12</f>
        <v>0.79878879041256834</v>
      </c>
      <c r="AX15" s="31">
        <v>3250</v>
      </c>
      <c r="AY15" s="32">
        <f t="shared" ref="AY15" si="93">+AX15/AX12</f>
        <v>0.79878879041256834</v>
      </c>
      <c r="AZ15" s="31">
        <v>3250</v>
      </c>
      <c r="BA15" s="32">
        <f t="shared" ref="BA15" si="94">+AZ15/AZ12</f>
        <v>0.79878879041256834</v>
      </c>
      <c r="BB15" s="31">
        <v>3250</v>
      </c>
      <c r="BC15" s="32">
        <f t="shared" ref="BC15" si="95">+BB15/BB12</f>
        <v>0.79878879041256834</v>
      </c>
      <c r="BD15" s="31">
        <v>3250</v>
      </c>
      <c r="BE15" s="32">
        <f t="shared" ref="BE15" si="96">+BD15/BD12</f>
        <v>0.79878879041256834</v>
      </c>
      <c r="BF15" s="31">
        <v>3250</v>
      </c>
      <c r="BG15" s="32">
        <f t="shared" ref="BG15" si="97">+BF15/BF12</f>
        <v>0.79878879041256834</v>
      </c>
      <c r="BH15" s="31">
        <v>3250</v>
      </c>
      <c r="BI15" s="32">
        <f t="shared" ref="BI15" si="98">+BH15/BH12</f>
        <v>0.79878879041256834</v>
      </c>
      <c r="BJ15" s="31">
        <v>3250</v>
      </c>
      <c r="BK15" s="32">
        <f t="shared" ref="BK15" si="99">+BJ15/BJ12</f>
        <v>0.79878879041256834</v>
      </c>
      <c r="BL15" s="31">
        <v>3250</v>
      </c>
      <c r="BM15" s="32">
        <f t="shared" ref="BM15" si="100">+BL15/BL12</f>
        <v>0.79878879041256834</v>
      </c>
      <c r="BN15" s="31">
        <v>3250</v>
      </c>
      <c r="BO15" s="32">
        <f t="shared" ref="BO15" si="101">+BN15/BN12</f>
        <v>0.79878879041256834</v>
      </c>
    </row>
    <row r="16" spans="1:67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AC16" si="102">+F15*F10</f>
        <v>39000</v>
      </c>
      <c r="G16" s="32">
        <f t="shared" si="102"/>
        <v>9.5854654849508201</v>
      </c>
      <c r="H16" s="31">
        <f t="shared" si="102"/>
        <v>39000</v>
      </c>
      <c r="I16" s="32">
        <f t="shared" si="102"/>
        <v>9.5854654849508201</v>
      </c>
      <c r="J16" s="31">
        <f t="shared" si="102"/>
        <v>39000</v>
      </c>
      <c r="K16" s="32">
        <f t="shared" si="102"/>
        <v>9.5854654849508201</v>
      </c>
      <c r="L16" s="31">
        <f t="shared" si="102"/>
        <v>39000</v>
      </c>
      <c r="M16" s="32">
        <f t="shared" si="102"/>
        <v>9.5854654849508201</v>
      </c>
      <c r="N16" s="31">
        <f t="shared" si="102"/>
        <v>39000</v>
      </c>
      <c r="O16" s="32">
        <f t="shared" si="102"/>
        <v>9.5854654849508201</v>
      </c>
      <c r="P16" s="31">
        <f t="shared" si="102"/>
        <v>39000</v>
      </c>
      <c r="Q16" s="32">
        <f t="shared" si="102"/>
        <v>9.5854654849508201</v>
      </c>
      <c r="R16" s="31">
        <f t="shared" si="102"/>
        <v>39000</v>
      </c>
      <c r="S16" s="32">
        <f t="shared" si="102"/>
        <v>9.5854654849508201</v>
      </c>
      <c r="T16" s="31">
        <f t="shared" si="102"/>
        <v>39000</v>
      </c>
      <c r="U16" s="32">
        <f t="shared" si="102"/>
        <v>9.5854654849508201</v>
      </c>
      <c r="V16" s="31">
        <f t="shared" si="102"/>
        <v>39000</v>
      </c>
      <c r="W16" s="32">
        <f t="shared" si="102"/>
        <v>9.5854654849508201</v>
      </c>
      <c r="X16" s="31">
        <f t="shared" si="102"/>
        <v>39000</v>
      </c>
      <c r="Y16" s="32">
        <f t="shared" si="102"/>
        <v>9.5854654849508201</v>
      </c>
      <c r="Z16" s="31">
        <f t="shared" si="102"/>
        <v>39000</v>
      </c>
      <c r="AA16" s="32">
        <f t="shared" si="102"/>
        <v>9.5854654849508201</v>
      </c>
      <c r="AB16" s="31">
        <f t="shared" si="102"/>
        <v>39000</v>
      </c>
      <c r="AC16" s="32">
        <f t="shared" si="102"/>
        <v>9.5854654849508201</v>
      </c>
      <c r="AD16" s="31">
        <f t="shared" ref="AD16:AI16" si="103">+AD15*AD10</f>
        <v>39000</v>
      </c>
      <c r="AE16" s="32">
        <f t="shared" si="103"/>
        <v>9.5854654849508201</v>
      </c>
      <c r="AF16" s="31">
        <f t="shared" si="103"/>
        <v>39000</v>
      </c>
      <c r="AG16" s="32">
        <f t="shared" si="103"/>
        <v>9.5854654849508201</v>
      </c>
      <c r="AH16" s="31">
        <f t="shared" si="103"/>
        <v>39000</v>
      </c>
      <c r="AI16" s="32">
        <f t="shared" si="103"/>
        <v>9.5854654849508201</v>
      </c>
      <c r="AJ16" s="31">
        <f t="shared" ref="AJ16:AQ16" si="104">+AJ15*AJ10</f>
        <v>39000</v>
      </c>
      <c r="AK16" s="32">
        <f t="shared" si="104"/>
        <v>9.5854654849508201</v>
      </c>
      <c r="AL16" s="31">
        <f t="shared" si="104"/>
        <v>39000</v>
      </c>
      <c r="AM16" s="32">
        <f t="shared" si="104"/>
        <v>9.5854654849508201</v>
      </c>
      <c r="AN16" s="31">
        <f t="shared" si="104"/>
        <v>39000</v>
      </c>
      <c r="AO16" s="32">
        <f t="shared" si="104"/>
        <v>9.5854654849508201</v>
      </c>
      <c r="AP16" s="31">
        <f t="shared" si="104"/>
        <v>39000</v>
      </c>
      <c r="AQ16" s="32">
        <f t="shared" si="104"/>
        <v>9.5854654849508201</v>
      </c>
      <c r="AR16" s="31">
        <f t="shared" ref="AR16:AS16" si="105">+AR15*AR10</f>
        <v>39000</v>
      </c>
      <c r="AS16" s="32">
        <f t="shared" si="105"/>
        <v>9.5854654849508201</v>
      </c>
      <c r="AT16" s="31">
        <f t="shared" ref="AT16:AY16" si="106">+AT15*AT10</f>
        <v>39000</v>
      </c>
      <c r="AU16" s="32">
        <f t="shared" si="106"/>
        <v>9.5854654849508201</v>
      </c>
      <c r="AV16" s="31">
        <f t="shared" si="106"/>
        <v>39000</v>
      </c>
      <c r="AW16" s="32">
        <f t="shared" si="106"/>
        <v>9.5854654849508201</v>
      </c>
      <c r="AX16" s="31">
        <f t="shared" si="106"/>
        <v>39000</v>
      </c>
      <c r="AY16" s="32">
        <f t="shared" si="106"/>
        <v>9.5854654849508201</v>
      </c>
      <c r="AZ16" s="31">
        <f t="shared" ref="AZ16:BA16" si="107">+AZ15*AZ10</f>
        <v>39000</v>
      </c>
      <c r="BA16" s="32">
        <f t="shared" si="107"/>
        <v>9.5854654849508201</v>
      </c>
      <c r="BB16" s="31">
        <f t="shared" ref="BB16:BC16" si="108">+BB15*BB10</f>
        <v>39000</v>
      </c>
      <c r="BC16" s="32">
        <f t="shared" si="108"/>
        <v>9.5854654849508201</v>
      </c>
      <c r="BD16" s="31">
        <f t="shared" ref="BD16:BE16" si="109">+BD15*BD10</f>
        <v>39000</v>
      </c>
      <c r="BE16" s="32">
        <f t="shared" si="109"/>
        <v>9.5854654849508201</v>
      </c>
      <c r="BF16" s="31">
        <f t="shared" ref="BF16:BG16" si="110">+BF15*BF10</f>
        <v>39000</v>
      </c>
      <c r="BG16" s="32">
        <f t="shared" si="110"/>
        <v>9.5854654849508201</v>
      </c>
      <c r="BH16" s="31">
        <f t="shared" ref="BH16:BI16" si="111">+BH15*BH10</f>
        <v>39000</v>
      </c>
      <c r="BI16" s="32">
        <f t="shared" si="111"/>
        <v>9.5854654849508201</v>
      </c>
      <c r="BJ16" s="31">
        <f t="shared" ref="BJ16:BK16" si="112">+BJ15*BJ10</f>
        <v>39000</v>
      </c>
      <c r="BK16" s="32">
        <f t="shared" si="112"/>
        <v>9.5854654849508201</v>
      </c>
      <c r="BL16" s="31">
        <f t="shared" ref="BL16:BM16" si="113">+BL15*BL10</f>
        <v>39000</v>
      </c>
      <c r="BM16" s="32">
        <f t="shared" si="113"/>
        <v>9.5854654849508201</v>
      </c>
      <c r="BN16" s="31">
        <f t="shared" ref="BN16:BO16" si="114">+BN15*BN10</f>
        <v>39000</v>
      </c>
      <c r="BO16" s="32">
        <f t="shared" si="114"/>
        <v>9.5854654849508201</v>
      </c>
    </row>
    <row r="17" spans="1:67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350">
        <v>0</v>
      </c>
      <c r="I17" s="351">
        <v>0</v>
      </c>
      <c r="J17" s="350">
        <v>0</v>
      </c>
      <c r="K17" s="351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23">
        <v>0</v>
      </c>
      <c r="S17" s="24">
        <v>0</v>
      </c>
      <c r="T17" s="350">
        <v>0</v>
      </c>
      <c r="U17" s="351">
        <v>0</v>
      </c>
      <c r="V17" s="350">
        <v>0</v>
      </c>
      <c r="W17" s="351">
        <v>0</v>
      </c>
      <c r="X17" s="23">
        <v>0</v>
      </c>
      <c r="Y17" s="24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350">
        <v>0</v>
      </c>
      <c r="AG17" s="351">
        <v>0</v>
      </c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350">
        <v>0</v>
      </c>
      <c r="AQ17" s="351">
        <v>0</v>
      </c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</row>
    <row r="18" spans="1:67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56">
        <v>0</v>
      </c>
      <c r="I18" s="357">
        <v>0</v>
      </c>
      <c r="J18" s="356">
        <v>0</v>
      </c>
      <c r="K18" s="35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6">
        <v>0</v>
      </c>
      <c r="S18" s="37">
        <v>0</v>
      </c>
      <c r="T18" s="356">
        <v>0</v>
      </c>
      <c r="U18" s="357">
        <v>0</v>
      </c>
      <c r="V18" s="356">
        <v>0</v>
      </c>
      <c r="W18" s="357">
        <v>0</v>
      </c>
      <c r="X18" s="36">
        <v>0</v>
      </c>
      <c r="Y18" s="3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356">
        <v>0</v>
      </c>
      <c r="AG18" s="357">
        <v>0</v>
      </c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356">
        <v>0</v>
      </c>
      <c r="AQ18" s="357">
        <v>0</v>
      </c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</row>
    <row r="19" spans="1:67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AC19" si="115">F15-F17</f>
        <v>3250</v>
      </c>
      <c r="G19" s="32">
        <f t="shared" si="115"/>
        <v>0.79878879041256834</v>
      </c>
      <c r="H19" s="38">
        <f t="shared" si="115"/>
        <v>3250</v>
      </c>
      <c r="I19" s="32">
        <f t="shared" si="115"/>
        <v>0.79878879041256834</v>
      </c>
      <c r="J19" s="38">
        <f t="shared" si="115"/>
        <v>3250</v>
      </c>
      <c r="K19" s="32">
        <f t="shared" si="115"/>
        <v>0.79878879041256834</v>
      </c>
      <c r="L19" s="38">
        <f t="shared" si="115"/>
        <v>3250</v>
      </c>
      <c r="M19" s="32">
        <f t="shared" si="115"/>
        <v>0.79878879041256834</v>
      </c>
      <c r="N19" s="38">
        <f t="shared" si="115"/>
        <v>3250</v>
      </c>
      <c r="O19" s="32">
        <f t="shared" si="115"/>
        <v>0.79878879041256834</v>
      </c>
      <c r="P19" s="38">
        <f t="shared" si="115"/>
        <v>3250</v>
      </c>
      <c r="Q19" s="32">
        <f t="shared" si="115"/>
        <v>0.79878879041256834</v>
      </c>
      <c r="R19" s="38">
        <f t="shared" si="115"/>
        <v>3250</v>
      </c>
      <c r="S19" s="32">
        <f t="shared" si="115"/>
        <v>0.79878879041256834</v>
      </c>
      <c r="T19" s="38">
        <f t="shared" si="115"/>
        <v>3250</v>
      </c>
      <c r="U19" s="32">
        <f t="shared" si="115"/>
        <v>0.79878879041256834</v>
      </c>
      <c r="V19" s="38">
        <f t="shared" si="115"/>
        <v>3250</v>
      </c>
      <c r="W19" s="32">
        <f t="shared" si="115"/>
        <v>0.79878879041256834</v>
      </c>
      <c r="X19" s="38">
        <f t="shared" si="115"/>
        <v>3250</v>
      </c>
      <c r="Y19" s="32">
        <f t="shared" si="115"/>
        <v>0.79878879041256834</v>
      </c>
      <c r="Z19" s="38">
        <f t="shared" si="115"/>
        <v>3250</v>
      </c>
      <c r="AA19" s="32">
        <f t="shared" si="115"/>
        <v>0.79878879041256834</v>
      </c>
      <c r="AB19" s="38">
        <f t="shared" si="115"/>
        <v>3250</v>
      </c>
      <c r="AC19" s="32">
        <f t="shared" si="115"/>
        <v>0.79878879041256834</v>
      </c>
      <c r="AD19" s="38">
        <f t="shared" ref="AD19:AI19" si="116">AD15-AD17</f>
        <v>3250</v>
      </c>
      <c r="AE19" s="32">
        <f t="shared" si="116"/>
        <v>0.79878879041256834</v>
      </c>
      <c r="AF19" s="38">
        <f t="shared" si="116"/>
        <v>3250</v>
      </c>
      <c r="AG19" s="32">
        <f t="shared" si="116"/>
        <v>0.79878879041256834</v>
      </c>
      <c r="AH19" s="38">
        <f t="shared" si="116"/>
        <v>3250</v>
      </c>
      <c r="AI19" s="32">
        <f t="shared" si="116"/>
        <v>0.79878879041256834</v>
      </c>
      <c r="AJ19" s="38">
        <f t="shared" ref="AJ19:AQ19" si="117">AJ15-AJ17</f>
        <v>3250</v>
      </c>
      <c r="AK19" s="32">
        <f t="shared" si="117"/>
        <v>0.79878879041256834</v>
      </c>
      <c r="AL19" s="38">
        <f t="shared" si="117"/>
        <v>3250</v>
      </c>
      <c r="AM19" s="32">
        <f t="shared" si="117"/>
        <v>0.79878879041256834</v>
      </c>
      <c r="AN19" s="38">
        <f t="shared" si="117"/>
        <v>3250</v>
      </c>
      <c r="AO19" s="32">
        <f t="shared" si="117"/>
        <v>0.79878879041256834</v>
      </c>
      <c r="AP19" s="38">
        <f t="shared" si="117"/>
        <v>3250</v>
      </c>
      <c r="AQ19" s="32">
        <f t="shared" si="117"/>
        <v>0.79878879041256834</v>
      </c>
      <c r="AR19" s="38">
        <f t="shared" ref="AR19:AS19" si="118">AR15-AR17</f>
        <v>3250</v>
      </c>
      <c r="AS19" s="32">
        <f t="shared" si="118"/>
        <v>0.79878879041256834</v>
      </c>
      <c r="AT19" s="38">
        <f t="shared" ref="AT19:AY19" si="119">AT15-AT17</f>
        <v>3250</v>
      </c>
      <c r="AU19" s="32">
        <f t="shared" si="119"/>
        <v>0.79878879041256834</v>
      </c>
      <c r="AV19" s="38">
        <f t="shared" si="119"/>
        <v>3250</v>
      </c>
      <c r="AW19" s="32">
        <f t="shared" si="119"/>
        <v>0.79878879041256834</v>
      </c>
      <c r="AX19" s="38">
        <f t="shared" si="119"/>
        <v>3250</v>
      </c>
      <c r="AY19" s="32">
        <f t="shared" si="119"/>
        <v>0.79878879041256834</v>
      </c>
      <c r="AZ19" s="38">
        <f t="shared" ref="AZ19:BA19" si="120">AZ15-AZ17</f>
        <v>3250</v>
      </c>
      <c r="BA19" s="32">
        <f t="shared" si="120"/>
        <v>0.79878879041256834</v>
      </c>
      <c r="BB19" s="38">
        <f t="shared" ref="BB19:BC19" si="121">BB15-BB17</f>
        <v>3250</v>
      </c>
      <c r="BC19" s="32">
        <f t="shared" si="121"/>
        <v>0.79878879041256834</v>
      </c>
      <c r="BD19" s="38">
        <f t="shared" ref="BD19:BE19" si="122">BD15-BD17</f>
        <v>3250</v>
      </c>
      <c r="BE19" s="32">
        <f t="shared" si="122"/>
        <v>0.79878879041256834</v>
      </c>
      <c r="BF19" s="38">
        <f t="shared" ref="BF19:BG19" si="123">BF15-BF17</f>
        <v>3250</v>
      </c>
      <c r="BG19" s="32">
        <f t="shared" si="123"/>
        <v>0.79878879041256834</v>
      </c>
      <c r="BH19" s="38">
        <f t="shared" ref="BH19:BI19" si="124">BH15-BH17</f>
        <v>3250</v>
      </c>
      <c r="BI19" s="32">
        <f t="shared" si="124"/>
        <v>0.79878879041256834</v>
      </c>
      <c r="BJ19" s="38">
        <f t="shared" ref="BJ19:BK19" si="125">BJ15-BJ17</f>
        <v>3250</v>
      </c>
      <c r="BK19" s="32">
        <f t="shared" si="125"/>
        <v>0.79878879041256834</v>
      </c>
      <c r="BL19" s="38">
        <f t="shared" ref="BL19:BM19" si="126">BL15-BL17</f>
        <v>3250</v>
      </c>
      <c r="BM19" s="32">
        <f t="shared" si="126"/>
        <v>0.79878879041256834</v>
      </c>
      <c r="BN19" s="38">
        <f t="shared" ref="BN19:BO19" si="127">BN15-BN17</f>
        <v>3250</v>
      </c>
      <c r="BO19" s="32">
        <f t="shared" si="127"/>
        <v>0.79878879041256834</v>
      </c>
    </row>
    <row r="20" spans="1:67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AC20" si="128">1/(1+F18)*F16</f>
        <v>39000</v>
      </c>
      <c r="G20" s="40">
        <f t="shared" si="128"/>
        <v>9.5854654849508201</v>
      </c>
      <c r="H20" s="39">
        <f t="shared" si="128"/>
        <v>39000</v>
      </c>
      <c r="I20" s="40">
        <f t="shared" si="128"/>
        <v>9.5854654849508201</v>
      </c>
      <c r="J20" s="39">
        <f t="shared" si="128"/>
        <v>39000</v>
      </c>
      <c r="K20" s="40">
        <f t="shared" si="128"/>
        <v>9.5854654849508201</v>
      </c>
      <c r="L20" s="39">
        <f t="shared" si="128"/>
        <v>39000</v>
      </c>
      <c r="M20" s="40">
        <f t="shared" si="128"/>
        <v>9.5854654849508201</v>
      </c>
      <c r="N20" s="39">
        <f t="shared" si="128"/>
        <v>39000</v>
      </c>
      <c r="O20" s="40">
        <f t="shared" si="128"/>
        <v>9.5854654849508201</v>
      </c>
      <c r="P20" s="39">
        <f t="shared" si="128"/>
        <v>39000</v>
      </c>
      <c r="Q20" s="40">
        <f t="shared" si="128"/>
        <v>9.5854654849508201</v>
      </c>
      <c r="R20" s="39">
        <f t="shared" si="128"/>
        <v>39000</v>
      </c>
      <c r="S20" s="40">
        <f t="shared" si="128"/>
        <v>9.5854654849508201</v>
      </c>
      <c r="T20" s="39">
        <f t="shared" si="128"/>
        <v>39000</v>
      </c>
      <c r="U20" s="40">
        <f t="shared" si="128"/>
        <v>9.5854654849508201</v>
      </c>
      <c r="V20" s="39">
        <f t="shared" si="128"/>
        <v>39000</v>
      </c>
      <c r="W20" s="40">
        <f t="shared" si="128"/>
        <v>9.5854654849508201</v>
      </c>
      <c r="X20" s="39">
        <f t="shared" si="128"/>
        <v>39000</v>
      </c>
      <c r="Y20" s="40">
        <f t="shared" si="128"/>
        <v>9.5854654849508201</v>
      </c>
      <c r="Z20" s="39">
        <f t="shared" si="128"/>
        <v>39000</v>
      </c>
      <c r="AA20" s="40">
        <f t="shared" si="128"/>
        <v>9.5854654849508201</v>
      </c>
      <c r="AB20" s="39">
        <f t="shared" si="128"/>
        <v>39000</v>
      </c>
      <c r="AC20" s="40">
        <f t="shared" si="128"/>
        <v>9.5854654849508201</v>
      </c>
      <c r="AD20" s="39">
        <f t="shared" ref="AD20:AI20" si="129">1/(1+AD18)*AD16</f>
        <v>39000</v>
      </c>
      <c r="AE20" s="40">
        <f t="shared" si="129"/>
        <v>9.5854654849508201</v>
      </c>
      <c r="AF20" s="39">
        <f t="shared" si="129"/>
        <v>39000</v>
      </c>
      <c r="AG20" s="40">
        <f t="shared" si="129"/>
        <v>9.5854654849508201</v>
      </c>
      <c r="AH20" s="39">
        <f t="shared" si="129"/>
        <v>39000</v>
      </c>
      <c r="AI20" s="40">
        <f t="shared" si="129"/>
        <v>9.5854654849508201</v>
      </c>
      <c r="AJ20" s="39">
        <f t="shared" ref="AJ20:AQ20" si="130">1/(1+AJ18)*AJ16</f>
        <v>39000</v>
      </c>
      <c r="AK20" s="40">
        <f t="shared" si="130"/>
        <v>9.5854654849508201</v>
      </c>
      <c r="AL20" s="39">
        <f t="shared" si="130"/>
        <v>39000</v>
      </c>
      <c r="AM20" s="40">
        <f t="shared" si="130"/>
        <v>9.5854654849508201</v>
      </c>
      <c r="AN20" s="39">
        <f t="shared" si="130"/>
        <v>39000</v>
      </c>
      <c r="AO20" s="40">
        <f t="shared" si="130"/>
        <v>9.5854654849508201</v>
      </c>
      <c r="AP20" s="39">
        <f t="shared" si="130"/>
        <v>39000</v>
      </c>
      <c r="AQ20" s="40">
        <f t="shared" si="130"/>
        <v>9.5854654849508201</v>
      </c>
      <c r="AR20" s="39">
        <f t="shared" ref="AR20:AS20" si="131">1/(1+AR18)*AR16</f>
        <v>39000</v>
      </c>
      <c r="AS20" s="40">
        <f t="shared" si="131"/>
        <v>9.5854654849508201</v>
      </c>
      <c r="AT20" s="39">
        <f t="shared" ref="AT20:AY20" si="132">1/(1+AT18)*AT16</f>
        <v>39000</v>
      </c>
      <c r="AU20" s="40">
        <f t="shared" si="132"/>
        <v>9.5854654849508201</v>
      </c>
      <c r="AV20" s="39">
        <f t="shared" si="132"/>
        <v>39000</v>
      </c>
      <c r="AW20" s="40">
        <f t="shared" si="132"/>
        <v>9.5854654849508201</v>
      </c>
      <c r="AX20" s="39">
        <f t="shared" si="132"/>
        <v>39000</v>
      </c>
      <c r="AY20" s="40">
        <f t="shared" si="132"/>
        <v>9.5854654849508201</v>
      </c>
      <c r="AZ20" s="39">
        <f t="shared" ref="AZ20:BA20" si="133">1/(1+AZ18)*AZ16</f>
        <v>39000</v>
      </c>
      <c r="BA20" s="40">
        <f t="shared" si="133"/>
        <v>9.5854654849508201</v>
      </c>
      <c r="BB20" s="39">
        <f t="shared" ref="BB20:BC20" si="134">1/(1+BB18)*BB16</f>
        <v>39000</v>
      </c>
      <c r="BC20" s="40">
        <f t="shared" si="134"/>
        <v>9.5854654849508201</v>
      </c>
      <c r="BD20" s="39">
        <f t="shared" ref="BD20:BE20" si="135">1/(1+BD18)*BD16</f>
        <v>39000</v>
      </c>
      <c r="BE20" s="40">
        <f t="shared" si="135"/>
        <v>9.5854654849508201</v>
      </c>
      <c r="BF20" s="39">
        <f t="shared" ref="BF20:BG20" si="136">1/(1+BF18)*BF16</f>
        <v>39000</v>
      </c>
      <c r="BG20" s="40">
        <f t="shared" si="136"/>
        <v>9.5854654849508201</v>
      </c>
      <c r="BH20" s="39">
        <f t="shared" ref="BH20:BI20" si="137">1/(1+BH18)*BH16</f>
        <v>39000</v>
      </c>
      <c r="BI20" s="40">
        <f t="shared" si="137"/>
        <v>9.5854654849508201</v>
      </c>
      <c r="BJ20" s="39">
        <f t="shared" ref="BJ20:BK20" si="138">1/(1+BJ18)*BJ16</f>
        <v>39000</v>
      </c>
      <c r="BK20" s="40">
        <f t="shared" si="138"/>
        <v>9.5854654849508201</v>
      </c>
      <c r="BL20" s="39">
        <f t="shared" ref="BL20:BM20" si="139">1/(1+BL18)*BL16</f>
        <v>39000</v>
      </c>
      <c r="BM20" s="40">
        <f t="shared" si="139"/>
        <v>9.5854654849508201</v>
      </c>
      <c r="BN20" s="39">
        <f t="shared" ref="BN20:BO20" si="140">1/(1+BN18)*BN16</f>
        <v>39000</v>
      </c>
      <c r="BO20" s="40">
        <f t="shared" si="140"/>
        <v>9.5854654849508201</v>
      </c>
    </row>
    <row r="21" spans="1:67" s="4" customFormat="1" ht="18" customHeight="1" x14ac:dyDescent="0.45">
      <c r="A21" s="561"/>
      <c r="B21" s="1195"/>
      <c r="C21" s="25"/>
      <c r="D21" s="26"/>
      <c r="E21" s="26"/>
      <c r="F21" s="27"/>
      <c r="G21" s="41"/>
      <c r="H21" s="352"/>
      <c r="I21" s="358"/>
      <c r="J21" s="352"/>
      <c r="K21" s="358"/>
      <c r="L21" s="27"/>
      <c r="M21" s="41"/>
      <c r="N21" s="352"/>
      <c r="O21" s="358"/>
      <c r="P21" s="352"/>
      <c r="Q21" s="358"/>
      <c r="R21" s="27"/>
      <c r="S21" s="41"/>
      <c r="T21" s="352"/>
      <c r="U21" s="358"/>
      <c r="V21" s="352"/>
      <c r="W21" s="358"/>
      <c r="X21" s="27"/>
      <c r="Y21" s="41"/>
      <c r="Z21" s="352"/>
      <c r="AA21" s="358"/>
      <c r="AB21" s="352"/>
      <c r="AC21" s="358"/>
      <c r="AD21" s="352"/>
      <c r="AE21" s="358"/>
      <c r="AF21" s="352"/>
      <c r="AG21" s="358"/>
      <c r="AH21" s="352"/>
      <c r="AI21" s="358"/>
      <c r="AJ21" s="352"/>
      <c r="AK21" s="358"/>
      <c r="AL21" s="352"/>
      <c r="AM21" s="358"/>
      <c r="AN21" s="352"/>
      <c r="AO21" s="358"/>
      <c r="AP21" s="352"/>
      <c r="AQ21" s="358"/>
      <c r="AR21" s="352"/>
      <c r="AS21" s="358"/>
      <c r="AT21" s="352"/>
      <c r="AU21" s="358"/>
      <c r="AV21" s="352"/>
      <c r="AW21" s="358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</row>
    <row r="22" spans="1:67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359"/>
      <c r="I22" s="360"/>
      <c r="J22" s="359"/>
      <c r="K22" s="360"/>
      <c r="L22" s="42"/>
      <c r="M22" s="43"/>
      <c r="N22" s="359"/>
      <c r="O22" s="360"/>
      <c r="P22" s="359"/>
      <c r="Q22" s="360"/>
      <c r="R22" s="42"/>
      <c r="S22" s="43"/>
      <c r="T22" s="359"/>
      <c r="U22" s="360"/>
      <c r="V22" s="359"/>
      <c r="W22" s="360"/>
      <c r="X22" s="42"/>
      <c r="Y22" s="43"/>
      <c r="Z22" s="359"/>
      <c r="AA22" s="360"/>
      <c r="AB22" s="359"/>
      <c r="AC22" s="360"/>
      <c r="AD22" s="359"/>
      <c r="AE22" s="360"/>
      <c r="AF22" s="359"/>
      <c r="AG22" s="360"/>
      <c r="AH22" s="359"/>
      <c r="AI22" s="360"/>
      <c r="AJ22" s="359"/>
      <c r="AK22" s="360"/>
      <c r="AL22" s="359"/>
      <c r="AM22" s="360"/>
      <c r="AN22" s="359"/>
      <c r="AO22" s="360"/>
      <c r="AP22" s="359"/>
      <c r="AQ22" s="360"/>
      <c r="AR22" s="359"/>
      <c r="AS22" s="360"/>
      <c r="AT22" s="359"/>
      <c r="AU22" s="360"/>
      <c r="AV22" s="359"/>
      <c r="AW22" s="360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</row>
    <row r="23" spans="1:67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AC23" si="141">F24/F20</f>
        <v>0.35615384615384604</v>
      </c>
      <c r="G23" s="48">
        <f t="shared" si="141"/>
        <v>0.3561538461538461</v>
      </c>
      <c r="H23" s="361">
        <f t="shared" si="141"/>
        <v>0.35615384615384604</v>
      </c>
      <c r="I23" s="362">
        <f t="shared" si="141"/>
        <v>0.3561538461538461</v>
      </c>
      <c r="J23" s="361">
        <f t="shared" si="141"/>
        <v>0.35615384615384604</v>
      </c>
      <c r="K23" s="362">
        <f t="shared" si="141"/>
        <v>0.3561538461538461</v>
      </c>
      <c r="L23" s="47">
        <f t="shared" si="141"/>
        <v>0.35615384615384604</v>
      </c>
      <c r="M23" s="48">
        <f t="shared" si="141"/>
        <v>0.3561538461538461</v>
      </c>
      <c r="N23" s="361">
        <f t="shared" si="141"/>
        <v>0.35615384615384604</v>
      </c>
      <c r="O23" s="362">
        <f t="shared" si="141"/>
        <v>0.3561538461538461</v>
      </c>
      <c r="P23" s="361">
        <f t="shared" si="141"/>
        <v>0.35615384615384604</v>
      </c>
      <c r="Q23" s="362">
        <f t="shared" si="141"/>
        <v>0.3561538461538461</v>
      </c>
      <c r="R23" s="47">
        <f t="shared" si="141"/>
        <v>0.35615384615384604</v>
      </c>
      <c r="S23" s="48">
        <f t="shared" si="141"/>
        <v>0.3561538461538461</v>
      </c>
      <c r="T23" s="361">
        <f t="shared" si="141"/>
        <v>0.35615384615384604</v>
      </c>
      <c r="U23" s="362">
        <f t="shared" si="141"/>
        <v>0.3561538461538461</v>
      </c>
      <c r="V23" s="361">
        <f t="shared" si="141"/>
        <v>0.35615384615384604</v>
      </c>
      <c r="W23" s="362">
        <f t="shared" si="141"/>
        <v>0.3561538461538461</v>
      </c>
      <c r="X23" s="47">
        <f t="shared" si="141"/>
        <v>0.35615384615384604</v>
      </c>
      <c r="Y23" s="48">
        <f t="shared" si="141"/>
        <v>0.3561538461538461</v>
      </c>
      <c r="Z23" s="361">
        <f t="shared" si="141"/>
        <v>0.35615384615384604</v>
      </c>
      <c r="AA23" s="362">
        <f t="shared" si="141"/>
        <v>0.3561538461538461</v>
      </c>
      <c r="AB23" s="361">
        <f t="shared" si="141"/>
        <v>0.35615384615384604</v>
      </c>
      <c r="AC23" s="362">
        <f t="shared" si="141"/>
        <v>0.3561538461538461</v>
      </c>
      <c r="AD23" s="361">
        <f t="shared" ref="AD23:AI23" si="142">AD24/AD20</f>
        <v>0.35615384615384604</v>
      </c>
      <c r="AE23" s="362">
        <f t="shared" si="142"/>
        <v>0.3561538461538461</v>
      </c>
      <c r="AF23" s="361">
        <f t="shared" si="142"/>
        <v>0.35615384615384604</v>
      </c>
      <c r="AG23" s="362">
        <f t="shared" si="142"/>
        <v>0.3561538461538461</v>
      </c>
      <c r="AH23" s="361">
        <f t="shared" si="142"/>
        <v>0.35615384615384604</v>
      </c>
      <c r="AI23" s="362">
        <f t="shared" si="142"/>
        <v>0.3561538461538461</v>
      </c>
      <c r="AJ23" s="361">
        <f t="shared" ref="AJ23:AQ23" si="143">AJ24/AJ20</f>
        <v>0.35615384615384604</v>
      </c>
      <c r="AK23" s="362">
        <f t="shared" si="143"/>
        <v>0.3561538461538461</v>
      </c>
      <c r="AL23" s="361">
        <f t="shared" si="143"/>
        <v>0.35615384615384604</v>
      </c>
      <c r="AM23" s="362">
        <f t="shared" si="143"/>
        <v>0.3561538461538461</v>
      </c>
      <c r="AN23" s="361">
        <f t="shared" si="143"/>
        <v>0.35615384615384604</v>
      </c>
      <c r="AO23" s="362">
        <f t="shared" si="143"/>
        <v>0.3561538461538461</v>
      </c>
      <c r="AP23" s="361">
        <f t="shared" si="143"/>
        <v>0.35615384615384604</v>
      </c>
      <c r="AQ23" s="362">
        <f t="shared" si="143"/>
        <v>0.3561538461538461</v>
      </c>
      <c r="AR23" s="361">
        <f t="shared" ref="AR23:AS23" si="144">AR24/AR20</f>
        <v>0.35615384615384604</v>
      </c>
      <c r="AS23" s="362">
        <f t="shared" si="144"/>
        <v>0.3561538461538461</v>
      </c>
      <c r="AT23" s="361">
        <f t="shared" ref="AT23:AY23" si="145">AT24/AT20</f>
        <v>0.35615384615384604</v>
      </c>
      <c r="AU23" s="362">
        <f t="shared" si="145"/>
        <v>0.3561538461538461</v>
      </c>
      <c r="AV23" s="361">
        <f t="shared" si="145"/>
        <v>0.35615384615384604</v>
      </c>
      <c r="AW23" s="362">
        <f t="shared" si="145"/>
        <v>0.3561538461538461</v>
      </c>
      <c r="AX23" s="361">
        <f t="shared" si="145"/>
        <v>0.35615384615384604</v>
      </c>
      <c r="AY23" s="362">
        <f t="shared" si="145"/>
        <v>0.3561538461538461</v>
      </c>
      <c r="AZ23" s="361">
        <f t="shared" ref="AZ23:BA23" si="146">AZ24/AZ20</f>
        <v>0.35615384615384604</v>
      </c>
      <c r="BA23" s="362">
        <f t="shared" si="146"/>
        <v>0.3561538461538461</v>
      </c>
      <c r="BB23" s="361">
        <f t="shared" ref="BB23:BC23" si="147">BB24/BB20</f>
        <v>0.35615384615384604</v>
      </c>
      <c r="BC23" s="362">
        <f t="shared" si="147"/>
        <v>0.3561538461538461</v>
      </c>
      <c r="BD23" s="361">
        <f t="shared" ref="BD23:BE23" si="148">BD24/BD20</f>
        <v>0.35615384615384604</v>
      </c>
      <c r="BE23" s="362">
        <f t="shared" si="148"/>
        <v>0.3561538461538461</v>
      </c>
      <c r="BF23" s="361">
        <f t="shared" ref="BF23:BG23" si="149">BF24/BF20</f>
        <v>0.35615384615384604</v>
      </c>
      <c r="BG23" s="362">
        <f t="shared" si="149"/>
        <v>0.3561538461538461</v>
      </c>
      <c r="BH23" s="361">
        <f t="shared" ref="BH23:BI23" si="150">BH24/BH20</f>
        <v>0.35615384615384604</v>
      </c>
      <c r="BI23" s="362">
        <f t="shared" si="150"/>
        <v>0.3561538461538461</v>
      </c>
      <c r="BJ23" s="361">
        <f t="shared" ref="BJ23:BK23" si="151">BJ24/BJ20</f>
        <v>0.35615384615384604</v>
      </c>
      <c r="BK23" s="362">
        <f t="shared" si="151"/>
        <v>0.3561538461538461</v>
      </c>
      <c r="BL23" s="361">
        <f t="shared" ref="BL23:BM23" si="152">BL24/BL20</f>
        <v>0.35615384615384604</v>
      </c>
      <c r="BM23" s="362">
        <f t="shared" si="152"/>
        <v>0.3561538461538461</v>
      </c>
      <c r="BN23" s="361">
        <f t="shared" ref="BN23:BO23" si="153">BN24/BN20</f>
        <v>0.35615384615384604</v>
      </c>
      <c r="BO23" s="362">
        <f t="shared" si="153"/>
        <v>0.3561538461538461</v>
      </c>
    </row>
    <row r="24" spans="1:67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AC24" si="154">F20-F26</f>
        <v>13889.999999999996</v>
      </c>
      <c r="G24" s="24">
        <f t="shared" si="154"/>
        <v>3.413900399640176</v>
      </c>
      <c r="H24" s="363">
        <f t="shared" si="154"/>
        <v>13889.999999999996</v>
      </c>
      <c r="I24" s="351">
        <f t="shared" si="154"/>
        <v>3.413900399640176</v>
      </c>
      <c r="J24" s="363">
        <f t="shared" si="154"/>
        <v>13889.999999999996</v>
      </c>
      <c r="K24" s="351">
        <f t="shared" si="154"/>
        <v>3.413900399640176</v>
      </c>
      <c r="L24" s="50">
        <f t="shared" si="154"/>
        <v>13889.999999999996</v>
      </c>
      <c r="M24" s="24">
        <f t="shared" si="154"/>
        <v>3.413900399640176</v>
      </c>
      <c r="N24" s="363">
        <f t="shared" si="154"/>
        <v>13889.999999999996</v>
      </c>
      <c r="O24" s="351">
        <f t="shared" si="154"/>
        <v>3.413900399640176</v>
      </c>
      <c r="P24" s="363">
        <f t="shared" si="154"/>
        <v>13889.999999999996</v>
      </c>
      <c r="Q24" s="351">
        <f t="shared" si="154"/>
        <v>3.413900399640176</v>
      </c>
      <c r="R24" s="50">
        <f t="shared" si="154"/>
        <v>13889.999999999996</v>
      </c>
      <c r="S24" s="24">
        <f t="shared" si="154"/>
        <v>3.413900399640176</v>
      </c>
      <c r="T24" s="363">
        <f t="shared" si="154"/>
        <v>13889.999999999996</v>
      </c>
      <c r="U24" s="351">
        <f t="shared" si="154"/>
        <v>3.413900399640176</v>
      </c>
      <c r="V24" s="363">
        <f t="shared" si="154"/>
        <v>13889.999999999996</v>
      </c>
      <c r="W24" s="351">
        <f t="shared" si="154"/>
        <v>3.413900399640176</v>
      </c>
      <c r="X24" s="50">
        <f t="shared" si="154"/>
        <v>13889.999999999996</v>
      </c>
      <c r="Y24" s="24">
        <f t="shared" si="154"/>
        <v>3.413900399640176</v>
      </c>
      <c r="Z24" s="363">
        <f t="shared" si="154"/>
        <v>13889.999999999996</v>
      </c>
      <c r="AA24" s="351">
        <f t="shared" si="154"/>
        <v>3.413900399640176</v>
      </c>
      <c r="AB24" s="363">
        <f t="shared" si="154"/>
        <v>13889.999999999996</v>
      </c>
      <c r="AC24" s="351">
        <f t="shared" si="154"/>
        <v>3.413900399640176</v>
      </c>
      <c r="AD24" s="363">
        <f t="shared" ref="AD24:AI24" si="155">AD20-AD26</f>
        <v>13889.999999999996</v>
      </c>
      <c r="AE24" s="351">
        <f t="shared" si="155"/>
        <v>3.413900399640176</v>
      </c>
      <c r="AF24" s="363">
        <f t="shared" si="155"/>
        <v>13889.999999999996</v>
      </c>
      <c r="AG24" s="351">
        <f t="shared" si="155"/>
        <v>3.413900399640176</v>
      </c>
      <c r="AH24" s="363">
        <f t="shared" si="155"/>
        <v>13889.999999999996</v>
      </c>
      <c r="AI24" s="351">
        <f t="shared" si="155"/>
        <v>3.413900399640176</v>
      </c>
      <c r="AJ24" s="363">
        <f t="shared" ref="AJ24:AQ24" si="156">AJ20-AJ26</f>
        <v>13889.999999999996</v>
      </c>
      <c r="AK24" s="351">
        <f t="shared" si="156"/>
        <v>3.413900399640176</v>
      </c>
      <c r="AL24" s="363">
        <f t="shared" si="156"/>
        <v>13889.999999999996</v>
      </c>
      <c r="AM24" s="351">
        <f t="shared" si="156"/>
        <v>3.413900399640176</v>
      </c>
      <c r="AN24" s="363">
        <f t="shared" si="156"/>
        <v>13889.999999999996</v>
      </c>
      <c r="AO24" s="351">
        <f t="shared" si="156"/>
        <v>3.413900399640176</v>
      </c>
      <c r="AP24" s="363">
        <f t="shared" si="156"/>
        <v>13889.999999999996</v>
      </c>
      <c r="AQ24" s="351">
        <f t="shared" si="156"/>
        <v>3.413900399640176</v>
      </c>
      <c r="AR24" s="363">
        <f t="shared" ref="AR24:AS24" si="157">AR20-AR26</f>
        <v>13889.999999999996</v>
      </c>
      <c r="AS24" s="351">
        <f t="shared" si="157"/>
        <v>3.413900399640176</v>
      </c>
      <c r="AT24" s="363">
        <f t="shared" ref="AT24:AY24" si="158">AT20-AT26</f>
        <v>13889.999999999996</v>
      </c>
      <c r="AU24" s="351">
        <f t="shared" si="158"/>
        <v>3.413900399640176</v>
      </c>
      <c r="AV24" s="363">
        <f t="shared" si="158"/>
        <v>13889.999999999996</v>
      </c>
      <c r="AW24" s="351">
        <f t="shared" si="158"/>
        <v>3.413900399640176</v>
      </c>
      <c r="AX24" s="363">
        <f t="shared" si="158"/>
        <v>13889.999999999996</v>
      </c>
      <c r="AY24" s="351">
        <f t="shared" si="158"/>
        <v>3.413900399640176</v>
      </c>
      <c r="AZ24" s="363">
        <f t="shared" ref="AZ24:BA24" si="159">AZ20-AZ26</f>
        <v>13889.999999999996</v>
      </c>
      <c r="BA24" s="351">
        <f t="shared" si="159"/>
        <v>3.413900399640176</v>
      </c>
      <c r="BB24" s="363">
        <f t="shared" ref="BB24:BC24" si="160">BB20-BB26</f>
        <v>13889.999999999996</v>
      </c>
      <c r="BC24" s="351">
        <f t="shared" si="160"/>
        <v>3.413900399640176</v>
      </c>
      <c r="BD24" s="363">
        <f t="shared" ref="BD24:BE24" si="161">BD20-BD26</f>
        <v>13889.999999999996</v>
      </c>
      <c r="BE24" s="351">
        <f t="shared" si="161"/>
        <v>3.413900399640176</v>
      </c>
      <c r="BF24" s="363">
        <f t="shared" ref="BF24:BG24" si="162">BF20-BF26</f>
        <v>13889.999999999996</v>
      </c>
      <c r="BG24" s="351">
        <f t="shared" si="162"/>
        <v>3.413900399640176</v>
      </c>
      <c r="BH24" s="363">
        <f t="shared" ref="BH24:BI24" si="163">BH20-BH26</f>
        <v>13889.999999999996</v>
      </c>
      <c r="BI24" s="351">
        <f t="shared" si="163"/>
        <v>3.413900399640176</v>
      </c>
      <c r="BJ24" s="363">
        <f t="shared" ref="BJ24:BK24" si="164">BJ20-BJ26</f>
        <v>13889.999999999996</v>
      </c>
      <c r="BK24" s="351">
        <f t="shared" si="164"/>
        <v>3.413900399640176</v>
      </c>
      <c r="BL24" s="363">
        <f t="shared" ref="BL24:BM24" si="165">BL20-BL26</f>
        <v>13889.999999999996</v>
      </c>
      <c r="BM24" s="351">
        <f t="shared" si="165"/>
        <v>3.413900399640176</v>
      </c>
      <c r="BN24" s="363">
        <f t="shared" ref="BN24:BO24" si="166">BN20-BN26</f>
        <v>13889.999999999996</v>
      </c>
      <c r="BO24" s="351">
        <f t="shared" si="166"/>
        <v>3.413900399640176</v>
      </c>
    </row>
    <row r="25" spans="1:67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AC25" si="167">F26</f>
        <v>25110.000000000004</v>
      </c>
      <c r="G25" s="55">
        <f t="shared" si="167"/>
        <v>6.1715650853106441</v>
      </c>
      <c r="H25" s="54">
        <f t="shared" si="167"/>
        <v>25110.000000000004</v>
      </c>
      <c r="I25" s="55">
        <f t="shared" si="167"/>
        <v>6.1715650853106441</v>
      </c>
      <c r="J25" s="54">
        <f t="shared" si="167"/>
        <v>25110.000000000004</v>
      </c>
      <c r="K25" s="55">
        <f t="shared" si="167"/>
        <v>6.1715650853106441</v>
      </c>
      <c r="L25" s="54">
        <f t="shared" si="167"/>
        <v>25110.000000000004</v>
      </c>
      <c r="M25" s="55">
        <f t="shared" si="167"/>
        <v>6.1715650853106441</v>
      </c>
      <c r="N25" s="54">
        <f t="shared" si="167"/>
        <v>25110.000000000004</v>
      </c>
      <c r="O25" s="55">
        <f t="shared" si="167"/>
        <v>6.1715650853106441</v>
      </c>
      <c r="P25" s="54">
        <f t="shared" si="167"/>
        <v>25110.000000000004</v>
      </c>
      <c r="Q25" s="55">
        <f t="shared" si="167"/>
        <v>6.1715650853106441</v>
      </c>
      <c r="R25" s="54">
        <f t="shared" si="167"/>
        <v>25110.000000000004</v>
      </c>
      <c r="S25" s="55">
        <f t="shared" si="167"/>
        <v>6.1715650853106441</v>
      </c>
      <c r="T25" s="54">
        <f t="shared" si="167"/>
        <v>25110.000000000004</v>
      </c>
      <c r="U25" s="55">
        <f t="shared" si="167"/>
        <v>6.1715650853106441</v>
      </c>
      <c r="V25" s="54">
        <f t="shared" si="167"/>
        <v>25110.000000000004</v>
      </c>
      <c r="W25" s="55">
        <f t="shared" si="167"/>
        <v>6.1715650853106441</v>
      </c>
      <c r="X25" s="54">
        <f t="shared" si="167"/>
        <v>25110.000000000004</v>
      </c>
      <c r="Y25" s="55">
        <f t="shared" si="167"/>
        <v>6.1715650853106441</v>
      </c>
      <c r="Z25" s="54">
        <f t="shared" si="167"/>
        <v>25110.000000000004</v>
      </c>
      <c r="AA25" s="55">
        <f t="shared" si="167"/>
        <v>6.1715650853106441</v>
      </c>
      <c r="AB25" s="54">
        <f t="shared" si="167"/>
        <v>25110.000000000004</v>
      </c>
      <c r="AC25" s="55">
        <f t="shared" si="167"/>
        <v>6.1715650853106441</v>
      </c>
      <c r="AD25" s="54">
        <f t="shared" ref="AD25:BO25" si="168">AD26</f>
        <v>25110.000000000004</v>
      </c>
      <c r="AE25" s="55">
        <f t="shared" si="168"/>
        <v>6.1715650853106441</v>
      </c>
      <c r="AF25" s="54">
        <f t="shared" si="168"/>
        <v>25110.000000000004</v>
      </c>
      <c r="AG25" s="55">
        <f t="shared" si="168"/>
        <v>6.1715650853106441</v>
      </c>
      <c r="AH25" s="54">
        <f t="shared" si="168"/>
        <v>25110.000000000004</v>
      </c>
      <c r="AI25" s="55">
        <f t="shared" si="168"/>
        <v>6.1715650853106441</v>
      </c>
      <c r="AJ25" s="54">
        <f t="shared" si="168"/>
        <v>25110.000000000004</v>
      </c>
      <c r="AK25" s="55">
        <f t="shared" si="168"/>
        <v>6.1715650853106441</v>
      </c>
      <c r="AL25" s="54">
        <f t="shared" si="168"/>
        <v>25110.000000000004</v>
      </c>
      <c r="AM25" s="55">
        <f t="shared" si="168"/>
        <v>6.1715650853106441</v>
      </c>
      <c r="AN25" s="54">
        <f t="shared" si="168"/>
        <v>25110.000000000004</v>
      </c>
      <c r="AO25" s="55">
        <f t="shared" si="168"/>
        <v>6.1715650853106441</v>
      </c>
      <c r="AP25" s="54">
        <f t="shared" si="168"/>
        <v>25110.000000000004</v>
      </c>
      <c r="AQ25" s="55">
        <f t="shared" si="168"/>
        <v>6.1715650853106441</v>
      </c>
      <c r="AR25" s="54">
        <f t="shared" si="168"/>
        <v>25110.000000000004</v>
      </c>
      <c r="AS25" s="55">
        <f t="shared" si="168"/>
        <v>6.1715650853106441</v>
      </c>
      <c r="AT25" s="54">
        <f t="shared" si="168"/>
        <v>25110.000000000004</v>
      </c>
      <c r="AU25" s="55">
        <f t="shared" si="168"/>
        <v>6.1715650853106441</v>
      </c>
      <c r="AV25" s="54">
        <f t="shared" si="168"/>
        <v>25110.000000000004</v>
      </c>
      <c r="AW25" s="55">
        <f t="shared" si="168"/>
        <v>6.1715650853106441</v>
      </c>
      <c r="AX25" s="54">
        <f t="shared" si="168"/>
        <v>25110.000000000004</v>
      </c>
      <c r="AY25" s="55">
        <f t="shared" si="168"/>
        <v>6.1715650853106441</v>
      </c>
      <c r="AZ25" s="54">
        <f t="shared" si="168"/>
        <v>25110.000000000004</v>
      </c>
      <c r="BA25" s="55">
        <f t="shared" si="168"/>
        <v>6.1715650853106441</v>
      </c>
      <c r="BB25" s="54">
        <f t="shared" si="168"/>
        <v>25110.000000000004</v>
      </c>
      <c r="BC25" s="55">
        <f t="shared" si="168"/>
        <v>6.1715650853106441</v>
      </c>
      <c r="BD25" s="54">
        <f t="shared" si="168"/>
        <v>25110.000000000004</v>
      </c>
      <c r="BE25" s="55">
        <f t="shared" si="168"/>
        <v>6.1715650853106441</v>
      </c>
      <c r="BF25" s="54">
        <f t="shared" si="168"/>
        <v>25110.000000000004</v>
      </c>
      <c r="BG25" s="55">
        <f t="shared" si="168"/>
        <v>6.1715650853106441</v>
      </c>
      <c r="BH25" s="54">
        <f t="shared" si="168"/>
        <v>25110.000000000004</v>
      </c>
      <c r="BI25" s="55">
        <f t="shared" si="168"/>
        <v>6.1715650853106441</v>
      </c>
      <c r="BJ25" s="54">
        <f t="shared" si="168"/>
        <v>25110.000000000004</v>
      </c>
      <c r="BK25" s="55">
        <f t="shared" si="168"/>
        <v>6.1715650853106441</v>
      </c>
      <c r="BL25" s="54">
        <f t="shared" si="168"/>
        <v>25110.000000000004</v>
      </c>
      <c r="BM25" s="55">
        <f t="shared" si="168"/>
        <v>6.1715650853106441</v>
      </c>
      <c r="BN25" s="54">
        <f t="shared" si="168"/>
        <v>25110.000000000004</v>
      </c>
      <c r="BO25" s="55">
        <f t="shared" si="168"/>
        <v>6.1715650853106441</v>
      </c>
    </row>
    <row r="26" spans="1:67" s="4" customFormat="1" ht="18" customHeight="1" x14ac:dyDescent="0.45">
      <c r="A26" s="561"/>
      <c r="B26" s="1187"/>
      <c r="C26" s="56" t="s">
        <v>40</v>
      </c>
      <c r="D26" s="52"/>
      <c r="E26" s="53"/>
      <c r="F26" s="54">
        <v>25110.000000000004</v>
      </c>
      <c r="G26" s="57">
        <f>+F26/F12</f>
        <v>6.1715650853106441</v>
      </c>
      <c r="H26" s="54">
        <v>25110.000000000004</v>
      </c>
      <c r="I26" s="57">
        <f>+H26/H12</f>
        <v>6.1715650853106441</v>
      </c>
      <c r="J26" s="54">
        <v>25110.000000000004</v>
      </c>
      <c r="K26" s="57">
        <f>+J26/J12</f>
        <v>6.1715650853106441</v>
      </c>
      <c r="L26" s="54">
        <v>25110.000000000004</v>
      </c>
      <c r="M26" s="57">
        <f>+L26/L12</f>
        <v>6.1715650853106441</v>
      </c>
      <c r="N26" s="54">
        <v>25110.000000000004</v>
      </c>
      <c r="O26" s="57">
        <f>+N26/N12</f>
        <v>6.1715650853106441</v>
      </c>
      <c r="P26" s="54">
        <v>25110.000000000004</v>
      </c>
      <c r="Q26" s="57">
        <f>+P26/P12</f>
        <v>6.1715650853106441</v>
      </c>
      <c r="R26" s="54">
        <v>25110.000000000004</v>
      </c>
      <c r="S26" s="57">
        <f>+R26/R12</f>
        <v>6.1715650853106441</v>
      </c>
      <c r="T26" s="54">
        <v>25110.000000000004</v>
      </c>
      <c r="U26" s="57">
        <f>+T26/T12</f>
        <v>6.1715650853106441</v>
      </c>
      <c r="V26" s="54">
        <v>25110.000000000004</v>
      </c>
      <c r="W26" s="57">
        <f>+V26/V12</f>
        <v>6.1715650853106441</v>
      </c>
      <c r="X26" s="54">
        <v>25110.000000000004</v>
      </c>
      <c r="Y26" s="57">
        <f>+X26/X12</f>
        <v>6.1715650853106441</v>
      </c>
      <c r="Z26" s="54">
        <v>25110.000000000004</v>
      </c>
      <c r="AA26" s="57">
        <f>+Z26/Z12</f>
        <v>6.1715650853106441</v>
      </c>
      <c r="AB26" s="54">
        <v>25110.000000000004</v>
      </c>
      <c r="AC26" s="57">
        <f>+AB26/AB12</f>
        <v>6.1715650853106441</v>
      </c>
      <c r="AD26" s="54">
        <v>25110.000000000004</v>
      </c>
      <c r="AE26" s="57">
        <f t="shared" ref="AE26" si="169">+AD26/AD12</f>
        <v>6.1715650853106441</v>
      </c>
      <c r="AF26" s="54">
        <v>25110.000000000004</v>
      </c>
      <c r="AG26" s="57">
        <f t="shared" ref="AG26" si="170">+AF26/AF12</f>
        <v>6.1715650853106441</v>
      </c>
      <c r="AH26" s="54">
        <v>25110.000000000004</v>
      </c>
      <c r="AI26" s="57">
        <f t="shared" ref="AI26" si="171">+AH26/AH12</f>
        <v>6.1715650853106441</v>
      </c>
      <c r="AJ26" s="54">
        <v>25110.000000000004</v>
      </c>
      <c r="AK26" s="57">
        <f t="shared" ref="AK26" si="172">+AJ26/AJ12</f>
        <v>6.1715650853106441</v>
      </c>
      <c r="AL26" s="54">
        <v>25110.000000000004</v>
      </c>
      <c r="AM26" s="57">
        <f t="shared" ref="AM26" si="173">+AL26/AL12</f>
        <v>6.1715650853106441</v>
      </c>
      <c r="AN26" s="54">
        <v>25110.000000000004</v>
      </c>
      <c r="AO26" s="57">
        <f t="shared" ref="AO26" si="174">+AN26/AN12</f>
        <v>6.1715650853106441</v>
      </c>
      <c r="AP26" s="54">
        <v>25110.000000000004</v>
      </c>
      <c r="AQ26" s="57">
        <f t="shared" ref="AQ26" si="175">+AP26/AP12</f>
        <v>6.1715650853106441</v>
      </c>
      <c r="AR26" s="54">
        <v>25110.000000000004</v>
      </c>
      <c r="AS26" s="57">
        <f t="shared" ref="AS26" si="176">+AR26/AR12</f>
        <v>6.1715650853106441</v>
      </c>
      <c r="AT26" s="54">
        <v>25110.000000000004</v>
      </c>
      <c r="AU26" s="57">
        <f t="shared" ref="AU26" si="177">+AT26/AT12</f>
        <v>6.1715650853106441</v>
      </c>
      <c r="AV26" s="54">
        <v>25110.000000000004</v>
      </c>
      <c r="AW26" s="57">
        <f t="shared" ref="AW26" si="178">+AV26/AV12</f>
        <v>6.1715650853106441</v>
      </c>
      <c r="AX26" s="54">
        <v>25110.000000000004</v>
      </c>
      <c r="AY26" s="57">
        <f t="shared" ref="AY26" si="179">+AX26/AX12</f>
        <v>6.1715650853106441</v>
      </c>
      <c r="AZ26" s="54">
        <v>25110.000000000004</v>
      </c>
      <c r="BA26" s="57">
        <f t="shared" ref="BA26" si="180">+AZ26/AZ12</f>
        <v>6.1715650853106441</v>
      </c>
      <c r="BB26" s="54">
        <v>25110.000000000004</v>
      </c>
      <c r="BC26" s="57">
        <f t="shared" ref="BC26" si="181">+BB26/BB12</f>
        <v>6.1715650853106441</v>
      </c>
      <c r="BD26" s="54">
        <v>25110.000000000004</v>
      </c>
      <c r="BE26" s="57">
        <f t="shared" ref="BE26" si="182">+BD26/BD12</f>
        <v>6.1715650853106441</v>
      </c>
      <c r="BF26" s="54">
        <v>25110.000000000004</v>
      </c>
      <c r="BG26" s="57">
        <f t="shared" ref="BG26" si="183">+BF26/BF12</f>
        <v>6.1715650853106441</v>
      </c>
      <c r="BH26" s="54">
        <v>25110.000000000004</v>
      </c>
      <c r="BI26" s="57">
        <f t="shared" ref="BI26" si="184">+BH26/BH12</f>
        <v>6.1715650853106441</v>
      </c>
      <c r="BJ26" s="54">
        <v>25110.000000000004</v>
      </c>
      <c r="BK26" s="57">
        <f t="shared" ref="BK26" si="185">+BJ26/BJ12</f>
        <v>6.1715650853106441</v>
      </c>
      <c r="BL26" s="54">
        <v>25110.000000000004</v>
      </c>
      <c r="BM26" s="57">
        <f t="shared" ref="BM26" si="186">+BL26/BL12</f>
        <v>6.1715650853106441</v>
      </c>
      <c r="BN26" s="54">
        <v>25110.000000000004</v>
      </c>
      <c r="BO26" s="57">
        <f t="shared" ref="BO26" si="187">+BN26/BN12</f>
        <v>6.1715650853106441</v>
      </c>
    </row>
    <row r="27" spans="1:67" s="4" customFormat="1" ht="18" customHeight="1" x14ac:dyDescent="0.45">
      <c r="A27" s="561"/>
      <c r="B27" s="1189"/>
      <c r="C27" s="15"/>
      <c r="D27" s="16"/>
      <c r="E27" s="16"/>
      <c r="F27" s="42"/>
      <c r="G27" s="18"/>
      <c r="H27" s="359"/>
      <c r="I27" s="355"/>
      <c r="J27" s="359"/>
      <c r="K27" s="355"/>
      <c r="L27" s="42"/>
      <c r="M27" s="18"/>
      <c r="N27" s="359"/>
      <c r="O27" s="355"/>
      <c r="P27" s="359"/>
      <c r="Q27" s="355"/>
      <c r="R27" s="42"/>
      <c r="S27" s="18"/>
      <c r="T27" s="359"/>
      <c r="U27" s="355"/>
      <c r="V27" s="359"/>
      <c r="W27" s="355"/>
      <c r="X27" s="42"/>
      <c r="Y27" s="18"/>
      <c r="Z27" s="359"/>
      <c r="AA27" s="355"/>
      <c r="AB27" s="359"/>
      <c r="AC27" s="355"/>
      <c r="AD27" s="359"/>
      <c r="AE27" s="355"/>
      <c r="AF27" s="359"/>
      <c r="AG27" s="355"/>
      <c r="AH27" s="359"/>
      <c r="AI27" s="355"/>
      <c r="AJ27" s="359"/>
      <c r="AK27" s="355"/>
      <c r="AL27" s="359"/>
      <c r="AM27" s="355"/>
      <c r="AN27" s="359"/>
      <c r="AO27" s="355"/>
      <c r="AP27" s="359"/>
      <c r="AQ27" s="355"/>
      <c r="AR27" s="359"/>
      <c r="AS27" s="355"/>
      <c r="AT27" s="359"/>
      <c r="AU27" s="355"/>
      <c r="AV27" s="359"/>
      <c r="AW27" s="355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</row>
    <row r="28" spans="1:67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364"/>
      <c r="I28" s="360"/>
      <c r="J28" s="364"/>
      <c r="K28" s="360"/>
      <c r="L28" s="60"/>
      <c r="M28" s="43"/>
      <c r="N28" s="364"/>
      <c r="O28" s="360"/>
      <c r="P28" s="364"/>
      <c r="Q28" s="360"/>
      <c r="R28" s="60"/>
      <c r="S28" s="43"/>
      <c r="T28" s="364"/>
      <c r="U28" s="360"/>
      <c r="V28" s="364"/>
      <c r="W28" s="360"/>
      <c r="X28" s="60"/>
      <c r="Y28" s="43"/>
      <c r="Z28" s="364"/>
      <c r="AA28" s="360"/>
      <c r="AB28" s="364"/>
      <c r="AC28" s="360"/>
      <c r="AD28" s="364"/>
      <c r="AE28" s="360"/>
      <c r="AF28" s="364"/>
      <c r="AG28" s="360"/>
      <c r="AH28" s="364"/>
      <c r="AI28" s="360"/>
      <c r="AJ28" s="364"/>
      <c r="AK28" s="360"/>
      <c r="AL28" s="364"/>
      <c r="AM28" s="360"/>
      <c r="AN28" s="364"/>
      <c r="AO28" s="360"/>
      <c r="AP28" s="364"/>
      <c r="AQ28" s="360"/>
      <c r="AR28" s="364"/>
      <c r="AS28" s="360"/>
      <c r="AT28" s="364"/>
      <c r="AU28" s="360"/>
      <c r="AV28" s="364"/>
      <c r="AW28" s="360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</row>
    <row r="29" spans="1:67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AC29" si="188">F30/F26</f>
        <v>2.5089605734767165E-2</v>
      </c>
      <c r="G29" s="48">
        <f t="shared" si="188"/>
        <v>2.508960573476712E-2</v>
      </c>
      <c r="H29" s="361">
        <f t="shared" si="188"/>
        <v>2.7799283154122039E-2</v>
      </c>
      <c r="I29" s="362">
        <f t="shared" si="188"/>
        <v>2.7799283154122063E-2</v>
      </c>
      <c r="J29" s="361">
        <f t="shared" si="188"/>
        <v>2.7799283154122039E-2</v>
      </c>
      <c r="K29" s="362">
        <f t="shared" si="188"/>
        <v>2.7799283154122063E-2</v>
      </c>
      <c r="L29" s="47">
        <f t="shared" si="188"/>
        <v>2.5089605734767165E-2</v>
      </c>
      <c r="M29" s="48">
        <f t="shared" si="188"/>
        <v>2.508960573476712E-2</v>
      </c>
      <c r="N29" s="361">
        <f t="shared" si="188"/>
        <v>2.7799283154122039E-2</v>
      </c>
      <c r="O29" s="362">
        <f t="shared" si="188"/>
        <v>2.7799283154122063E-2</v>
      </c>
      <c r="P29" s="361">
        <f t="shared" si="188"/>
        <v>2.7799283154122039E-2</v>
      </c>
      <c r="Q29" s="362">
        <f t="shared" si="188"/>
        <v>2.7799283154122063E-2</v>
      </c>
      <c r="R29" s="47">
        <f t="shared" si="188"/>
        <v>2.5089605734767165E-2</v>
      </c>
      <c r="S29" s="48">
        <f t="shared" si="188"/>
        <v>2.508960573476712E-2</v>
      </c>
      <c r="T29" s="361">
        <f t="shared" si="188"/>
        <v>2.7799283154122039E-2</v>
      </c>
      <c r="U29" s="362">
        <f t="shared" si="188"/>
        <v>2.7799283154122063E-2</v>
      </c>
      <c r="V29" s="361">
        <f t="shared" si="188"/>
        <v>2.7799283154122039E-2</v>
      </c>
      <c r="W29" s="362">
        <f t="shared" si="188"/>
        <v>2.7799283154122063E-2</v>
      </c>
      <c r="X29" s="47">
        <f t="shared" si="188"/>
        <v>2.5089605734767165E-2</v>
      </c>
      <c r="Y29" s="48">
        <f t="shared" si="188"/>
        <v>2.508960573476712E-2</v>
      </c>
      <c r="Z29" s="361">
        <f t="shared" si="188"/>
        <v>2.7799283154122039E-2</v>
      </c>
      <c r="AA29" s="362">
        <f t="shared" si="188"/>
        <v>2.7799283154122063E-2</v>
      </c>
      <c r="AB29" s="361">
        <f t="shared" si="188"/>
        <v>2.7799283154122039E-2</v>
      </c>
      <c r="AC29" s="362">
        <f t="shared" si="188"/>
        <v>2.7799283154122063E-2</v>
      </c>
      <c r="AD29" s="361">
        <f t="shared" ref="AD29:AI29" si="189">AD30/AD26</f>
        <v>2.7799283154122039E-2</v>
      </c>
      <c r="AE29" s="362">
        <f t="shared" si="189"/>
        <v>2.7799283154122063E-2</v>
      </c>
      <c r="AF29" s="361">
        <f t="shared" si="189"/>
        <v>2.7799283154122039E-2</v>
      </c>
      <c r="AG29" s="362">
        <f t="shared" si="189"/>
        <v>2.7799283154122063E-2</v>
      </c>
      <c r="AH29" s="361">
        <f t="shared" si="189"/>
        <v>2.7799283154122039E-2</v>
      </c>
      <c r="AI29" s="362">
        <f t="shared" si="189"/>
        <v>2.7799283154122063E-2</v>
      </c>
      <c r="AJ29" s="361">
        <f t="shared" ref="AJ29:AQ29" si="190">AJ30/AJ26</f>
        <v>2.7799283154122039E-2</v>
      </c>
      <c r="AK29" s="362">
        <f t="shared" si="190"/>
        <v>2.7799283154122063E-2</v>
      </c>
      <c r="AL29" s="361">
        <f t="shared" si="190"/>
        <v>2.7799283154122039E-2</v>
      </c>
      <c r="AM29" s="362">
        <f t="shared" si="190"/>
        <v>2.7799283154122063E-2</v>
      </c>
      <c r="AN29" s="361">
        <f t="shared" si="190"/>
        <v>2.7799283154122039E-2</v>
      </c>
      <c r="AO29" s="362">
        <f t="shared" si="190"/>
        <v>2.7799283154122063E-2</v>
      </c>
      <c r="AP29" s="361">
        <f t="shared" si="190"/>
        <v>2.7799283154122039E-2</v>
      </c>
      <c r="AQ29" s="362">
        <f t="shared" si="190"/>
        <v>2.7799283154122063E-2</v>
      </c>
      <c r="AR29" s="361">
        <f t="shared" ref="AR29:AS29" si="191">AR30/AR26</f>
        <v>2.7799283154122039E-2</v>
      </c>
      <c r="AS29" s="362">
        <f t="shared" si="191"/>
        <v>2.7799283154122063E-2</v>
      </c>
      <c r="AT29" s="361">
        <f t="shared" ref="AT29:AY29" si="192">AT30/AT26</f>
        <v>2.7799283154122039E-2</v>
      </c>
      <c r="AU29" s="362">
        <f t="shared" si="192"/>
        <v>2.7799283154122063E-2</v>
      </c>
      <c r="AV29" s="361">
        <f t="shared" si="192"/>
        <v>2.7799283154122039E-2</v>
      </c>
      <c r="AW29" s="362">
        <f t="shared" si="192"/>
        <v>2.7799283154122063E-2</v>
      </c>
      <c r="AX29" s="361">
        <f t="shared" si="192"/>
        <v>2.7799283154122039E-2</v>
      </c>
      <c r="AY29" s="362">
        <f t="shared" si="192"/>
        <v>2.7799283154122063E-2</v>
      </c>
      <c r="AZ29" s="361">
        <f t="shared" ref="AZ29:BA29" si="193">AZ30/AZ26</f>
        <v>2.7799283154122039E-2</v>
      </c>
      <c r="BA29" s="362">
        <f t="shared" si="193"/>
        <v>2.7799283154122063E-2</v>
      </c>
      <c r="BB29" s="361">
        <f t="shared" ref="BB29:BC29" si="194">BB30/BB26</f>
        <v>2.7799283154122039E-2</v>
      </c>
      <c r="BC29" s="362">
        <f t="shared" si="194"/>
        <v>2.7799283154122063E-2</v>
      </c>
      <c r="BD29" s="361">
        <f t="shared" ref="BD29:BE29" si="195">BD30/BD26</f>
        <v>2.7799283154122039E-2</v>
      </c>
      <c r="BE29" s="362">
        <f t="shared" si="195"/>
        <v>2.7799283154122063E-2</v>
      </c>
      <c r="BF29" s="361">
        <f t="shared" ref="BF29:BG29" si="196">BF30/BF26</f>
        <v>2.7799283154122039E-2</v>
      </c>
      <c r="BG29" s="362">
        <f t="shared" si="196"/>
        <v>2.7799283154122063E-2</v>
      </c>
      <c r="BH29" s="361">
        <f t="shared" ref="BH29:BI29" si="197">BH30/BH26</f>
        <v>2.7799283154122039E-2</v>
      </c>
      <c r="BI29" s="362">
        <f t="shared" si="197"/>
        <v>2.7799283154122063E-2</v>
      </c>
      <c r="BJ29" s="361">
        <f t="shared" ref="BJ29:BK29" si="198">BJ30/BJ26</f>
        <v>2.7799283154122039E-2</v>
      </c>
      <c r="BK29" s="362">
        <f t="shared" si="198"/>
        <v>2.7799283154122063E-2</v>
      </c>
      <c r="BL29" s="361">
        <f t="shared" ref="BL29:BM29" si="199">BL30/BL26</f>
        <v>2.7799283154122039E-2</v>
      </c>
      <c r="BM29" s="362">
        <f t="shared" si="199"/>
        <v>2.7799283154122063E-2</v>
      </c>
      <c r="BN29" s="361">
        <f t="shared" ref="BN29:BO29" si="200">BN30/BN26</f>
        <v>2.7799283154122039E-2</v>
      </c>
      <c r="BO29" s="362">
        <f t="shared" si="200"/>
        <v>2.7799283154122063E-2</v>
      </c>
    </row>
    <row r="30" spans="1:67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AC30" si="201">F26-F32</f>
        <v>630.00000000000364</v>
      </c>
      <c r="G30" s="24">
        <f t="shared" si="201"/>
        <v>0.15484213475689845</v>
      </c>
      <c r="H30" s="363">
        <f t="shared" si="201"/>
        <v>698.04000000000451</v>
      </c>
      <c r="I30" s="351">
        <f t="shared" si="201"/>
        <v>0.17156508531064407</v>
      </c>
      <c r="J30" s="363">
        <f t="shared" si="201"/>
        <v>698.04000000000451</v>
      </c>
      <c r="K30" s="351">
        <f t="shared" si="201"/>
        <v>0.17156508531064407</v>
      </c>
      <c r="L30" s="50">
        <f t="shared" si="201"/>
        <v>630.00000000000364</v>
      </c>
      <c r="M30" s="24">
        <f t="shared" si="201"/>
        <v>0.15484213475689845</v>
      </c>
      <c r="N30" s="363">
        <f t="shared" si="201"/>
        <v>698.04000000000451</v>
      </c>
      <c r="O30" s="351">
        <f t="shared" si="201"/>
        <v>0.17156508531064407</v>
      </c>
      <c r="P30" s="363">
        <f t="shared" si="201"/>
        <v>698.04000000000451</v>
      </c>
      <c r="Q30" s="351">
        <f t="shared" si="201"/>
        <v>0.17156508531064407</v>
      </c>
      <c r="R30" s="50">
        <f t="shared" si="201"/>
        <v>630.00000000000364</v>
      </c>
      <c r="S30" s="24">
        <f t="shared" si="201"/>
        <v>0.15484213475689845</v>
      </c>
      <c r="T30" s="363">
        <f t="shared" si="201"/>
        <v>698.04000000000451</v>
      </c>
      <c r="U30" s="351">
        <f t="shared" si="201"/>
        <v>0.17156508531064407</v>
      </c>
      <c r="V30" s="363">
        <f t="shared" si="201"/>
        <v>698.04000000000451</v>
      </c>
      <c r="W30" s="351">
        <f t="shared" si="201"/>
        <v>0.17156508531064407</v>
      </c>
      <c r="X30" s="50">
        <f t="shared" si="201"/>
        <v>630.00000000000364</v>
      </c>
      <c r="Y30" s="24">
        <f t="shared" si="201"/>
        <v>0.15484213475689845</v>
      </c>
      <c r="Z30" s="363">
        <f t="shared" si="201"/>
        <v>698.04000000000451</v>
      </c>
      <c r="AA30" s="351">
        <f t="shared" si="201"/>
        <v>0.17156508531064407</v>
      </c>
      <c r="AB30" s="363">
        <f t="shared" si="201"/>
        <v>698.04000000000451</v>
      </c>
      <c r="AC30" s="351">
        <f t="shared" si="201"/>
        <v>0.17156508531064407</v>
      </c>
      <c r="AD30" s="363">
        <f t="shared" ref="AD30:AI30" si="202">AD26-AD32</f>
        <v>698.04000000000451</v>
      </c>
      <c r="AE30" s="351">
        <f t="shared" si="202"/>
        <v>0.17156508531064407</v>
      </c>
      <c r="AF30" s="363">
        <f t="shared" si="202"/>
        <v>698.04000000000451</v>
      </c>
      <c r="AG30" s="351">
        <f t="shared" si="202"/>
        <v>0.17156508531064407</v>
      </c>
      <c r="AH30" s="363">
        <f t="shared" si="202"/>
        <v>698.04000000000451</v>
      </c>
      <c r="AI30" s="351">
        <f t="shared" si="202"/>
        <v>0.17156508531064407</v>
      </c>
      <c r="AJ30" s="363">
        <f t="shared" ref="AJ30:AQ30" si="203">AJ26-AJ32</f>
        <v>698.04000000000451</v>
      </c>
      <c r="AK30" s="351">
        <f t="shared" si="203"/>
        <v>0.17156508531064407</v>
      </c>
      <c r="AL30" s="363">
        <f t="shared" si="203"/>
        <v>698.04000000000451</v>
      </c>
      <c r="AM30" s="351">
        <f t="shared" si="203"/>
        <v>0.17156508531064407</v>
      </c>
      <c r="AN30" s="363">
        <f t="shared" si="203"/>
        <v>698.04000000000451</v>
      </c>
      <c r="AO30" s="351">
        <f t="shared" si="203"/>
        <v>0.17156508531064407</v>
      </c>
      <c r="AP30" s="363">
        <f t="shared" si="203"/>
        <v>698.04000000000451</v>
      </c>
      <c r="AQ30" s="351">
        <f t="shared" si="203"/>
        <v>0.17156508531064407</v>
      </c>
      <c r="AR30" s="363">
        <f t="shared" ref="AR30:AS30" si="204">AR26-AR32</f>
        <v>698.04000000000451</v>
      </c>
      <c r="AS30" s="351">
        <f t="shared" si="204"/>
        <v>0.17156508531064407</v>
      </c>
      <c r="AT30" s="363">
        <f t="shared" ref="AT30:AY30" si="205">AT26-AT32</f>
        <v>698.04000000000451</v>
      </c>
      <c r="AU30" s="351">
        <f t="shared" si="205"/>
        <v>0.17156508531064407</v>
      </c>
      <c r="AV30" s="363">
        <f t="shared" si="205"/>
        <v>698.04000000000451</v>
      </c>
      <c r="AW30" s="351">
        <f t="shared" si="205"/>
        <v>0.17156508531064407</v>
      </c>
      <c r="AX30" s="363">
        <f t="shared" si="205"/>
        <v>698.04000000000451</v>
      </c>
      <c r="AY30" s="351">
        <f t="shared" si="205"/>
        <v>0.17156508531064407</v>
      </c>
      <c r="AZ30" s="363">
        <f t="shared" ref="AZ30:BA30" si="206">AZ26-AZ32</f>
        <v>698.04000000000451</v>
      </c>
      <c r="BA30" s="351">
        <f t="shared" si="206"/>
        <v>0.17156508531064407</v>
      </c>
      <c r="BB30" s="363">
        <f t="shared" ref="BB30:BC30" si="207">BB26-BB32</f>
        <v>698.04000000000451</v>
      </c>
      <c r="BC30" s="351">
        <f t="shared" si="207"/>
        <v>0.17156508531064407</v>
      </c>
      <c r="BD30" s="363">
        <f t="shared" ref="BD30:BE30" si="208">BD26-BD32</f>
        <v>698.04000000000451</v>
      </c>
      <c r="BE30" s="351">
        <f t="shared" si="208"/>
        <v>0.17156508531064407</v>
      </c>
      <c r="BF30" s="363">
        <f t="shared" ref="BF30:BG30" si="209">BF26-BF32</f>
        <v>698.04000000000451</v>
      </c>
      <c r="BG30" s="351">
        <f t="shared" si="209"/>
        <v>0.17156508531064407</v>
      </c>
      <c r="BH30" s="363">
        <f t="shared" ref="BH30:BI30" si="210">BH26-BH32</f>
        <v>698.04000000000451</v>
      </c>
      <c r="BI30" s="351">
        <f t="shared" si="210"/>
        <v>0.17156508531064407</v>
      </c>
      <c r="BJ30" s="363">
        <f t="shared" ref="BJ30:BK30" si="211">BJ26-BJ32</f>
        <v>698.04000000000451</v>
      </c>
      <c r="BK30" s="351">
        <f t="shared" si="211"/>
        <v>0.17156508531064407</v>
      </c>
      <c r="BL30" s="363">
        <f t="shared" ref="BL30:BM30" si="212">BL26-BL32</f>
        <v>698.04000000000451</v>
      </c>
      <c r="BM30" s="351">
        <f t="shared" si="212"/>
        <v>0.17156508531064407</v>
      </c>
      <c r="BN30" s="363">
        <f t="shared" ref="BN30:BO30" si="213">BN26-BN32</f>
        <v>698.04000000000451</v>
      </c>
      <c r="BO30" s="351">
        <f t="shared" si="213"/>
        <v>0.17156508531064407</v>
      </c>
    </row>
    <row r="31" spans="1:67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24480</v>
      </c>
      <c r="G31" s="55">
        <f>G32</f>
        <v>6.0167229505537456</v>
      </c>
      <c r="H31" s="54">
        <f>+H32</f>
        <v>24411.96</v>
      </c>
      <c r="I31" s="55">
        <f>I32</f>
        <v>6</v>
      </c>
      <c r="J31" s="54">
        <f>+J32</f>
        <v>24411.96</v>
      </c>
      <c r="K31" s="55">
        <f>K32</f>
        <v>6</v>
      </c>
      <c r="L31" s="54">
        <f>+L32</f>
        <v>24480</v>
      </c>
      <c r="M31" s="55">
        <f>M32</f>
        <v>6.0167229505537456</v>
      </c>
      <c r="N31" s="54">
        <f>+N32</f>
        <v>24411.96</v>
      </c>
      <c r="O31" s="55">
        <f>O32</f>
        <v>6</v>
      </c>
      <c r="P31" s="54">
        <f>+P32</f>
        <v>24411.96</v>
      </c>
      <c r="Q31" s="55">
        <f>Q32</f>
        <v>6</v>
      </c>
      <c r="R31" s="54">
        <f>+R32</f>
        <v>24480</v>
      </c>
      <c r="S31" s="55">
        <f>S32</f>
        <v>6.0167229505537456</v>
      </c>
      <c r="T31" s="54">
        <f>+T32</f>
        <v>24411.96</v>
      </c>
      <c r="U31" s="55">
        <f>U32</f>
        <v>6</v>
      </c>
      <c r="V31" s="54">
        <f>+V32</f>
        <v>24411.96</v>
      </c>
      <c r="W31" s="55">
        <f>W32</f>
        <v>6</v>
      </c>
      <c r="X31" s="54">
        <f>+X32</f>
        <v>24480</v>
      </c>
      <c r="Y31" s="55">
        <f>Y32</f>
        <v>6.0167229505537456</v>
      </c>
      <c r="Z31" s="54">
        <f>+Z32</f>
        <v>24411.96</v>
      </c>
      <c r="AA31" s="55">
        <f>AA32</f>
        <v>6</v>
      </c>
      <c r="AB31" s="54">
        <f>+AB32</f>
        <v>24411.96</v>
      </c>
      <c r="AC31" s="55">
        <f>AC32</f>
        <v>6</v>
      </c>
      <c r="AD31" s="54">
        <f t="shared" ref="AD31" si="214">+AD32</f>
        <v>24411.96</v>
      </c>
      <c r="AE31" s="55">
        <f t="shared" ref="AE31" si="215">AE32</f>
        <v>6</v>
      </c>
      <c r="AF31" s="54">
        <f t="shared" ref="AF31" si="216">+AF32</f>
        <v>24411.96</v>
      </c>
      <c r="AG31" s="55">
        <f t="shared" ref="AG31" si="217">AG32</f>
        <v>6</v>
      </c>
      <c r="AH31" s="54">
        <f t="shared" ref="AH31" si="218">+AH32</f>
        <v>24411.96</v>
      </c>
      <c r="AI31" s="55">
        <f t="shared" ref="AI31" si="219">AI32</f>
        <v>6</v>
      </c>
      <c r="AJ31" s="54">
        <f t="shared" ref="AJ31" si="220">+AJ32</f>
        <v>24411.96</v>
      </c>
      <c r="AK31" s="55">
        <f t="shared" ref="AK31" si="221">AK32</f>
        <v>6</v>
      </c>
      <c r="AL31" s="54">
        <f t="shared" ref="AL31" si="222">+AL32</f>
        <v>24411.96</v>
      </c>
      <c r="AM31" s="55">
        <f t="shared" ref="AM31" si="223">AM32</f>
        <v>6</v>
      </c>
      <c r="AN31" s="54">
        <f t="shared" ref="AN31" si="224">+AN32</f>
        <v>24411.96</v>
      </c>
      <c r="AO31" s="55">
        <f t="shared" ref="AO31" si="225">AO32</f>
        <v>6</v>
      </c>
      <c r="AP31" s="54">
        <f t="shared" ref="AP31" si="226">+AP32</f>
        <v>24411.96</v>
      </c>
      <c r="AQ31" s="55">
        <f t="shared" ref="AQ31" si="227">AQ32</f>
        <v>6</v>
      </c>
      <c r="AR31" s="54">
        <f t="shared" ref="AR31:BN31" si="228">+AR32</f>
        <v>24411.96</v>
      </c>
      <c r="AS31" s="55">
        <f t="shared" ref="AS31:BO31" si="229">AS32</f>
        <v>6</v>
      </c>
      <c r="AT31" s="54">
        <f t="shared" si="228"/>
        <v>24411.96</v>
      </c>
      <c r="AU31" s="55">
        <f t="shared" si="229"/>
        <v>6</v>
      </c>
      <c r="AV31" s="54">
        <f t="shared" si="228"/>
        <v>24411.96</v>
      </c>
      <c r="AW31" s="55">
        <f t="shared" si="229"/>
        <v>6</v>
      </c>
      <c r="AX31" s="54">
        <f t="shared" si="228"/>
        <v>24411.96</v>
      </c>
      <c r="AY31" s="55">
        <f t="shared" si="229"/>
        <v>6</v>
      </c>
      <c r="AZ31" s="54">
        <f t="shared" si="228"/>
        <v>24411.96</v>
      </c>
      <c r="BA31" s="55">
        <f t="shared" si="229"/>
        <v>6</v>
      </c>
      <c r="BB31" s="54">
        <f t="shared" si="228"/>
        <v>24411.96</v>
      </c>
      <c r="BC31" s="55">
        <f t="shared" si="229"/>
        <v>6</v>
      </c>
      <c r="BD31" s="54">
        <f t="shared" si="228"/>
        <v>24411.96</v>
      </c>
      <c r="BE31" s="55">
        <f t="shared" si="229"/>
        <v>6</v>
      </c>
      <c r="BF31" s="54">
        <f t="shared" si="228"/>
        <v>24411.96</v>
      </c>
      <c r="BG31" s="55">
        <f t="shared" si="229"/>
        <v>6</v>
      </c>
      <c r="BH31" s="54">
        <f t="shared" si="228"/>
        <v>24411.96</v>
      </c>
      <c r="BI31" s="55">
        <f t="shared" si="229"/>
        <v>6</v>
      </c>
      <c r="BJ31" s="54">
        <f t="shared" si="228"/>
        <v>24411.96</v>
      </c>
      <c r="BK31" s="55">
        <f t="shared" si="229"/>
        <v>6</v>
      </c>
      <c r="BL31" s="54">
        <f t="shared" si="228"/>
        <v>24411.96</v>
      </c>
      <c r="BM31" s="55">
        <f t="shared" si="229"/>
        <v>6</v>
      </c>
      <c r="BN31" s="54">
        <f t="shared" si="228"/>
        <v>24411.96</v>
      </c>
      <c r="BO31" s="55">
        <f t="shared" si="229"/>
        <v>6</v>
      </c>
    </row>
    <row r="32" spans="1:67" s="4" customFormat="1" ht="18" customHeight="1" x14ac:dyDescent="0.45">
      <c r="A32" s="561"/>
      <c r="B32" s="1194"/>
      <c r="C32" s="56" t="s">
        <v>45</v>
      </c>
      <c r="D32" s="52"/>
      <c r="E32" s="53"/>
      <c r="F32" s="54">
        <v>24480</v>
      </c>
      <c r="G32" s="55">
        <f>+F32/F12</f>
        <v>6.0167229505537456</v>
      </c>
      <c r="H32" s="54">
        <f>I32*H12</f>
        <v>24411.96</v>
      </c>
      <c r="I32" s="55">
        <v>6</v>
      </c>
      <c r="J32" s="54">
        <f>K32*J12</f>
        <v>24411.96</v>
      </c>
      <c r="K32" s="55">
        <v>6</v>
      </c>
      <c r="L32" s="54">
        <v>24480</v>
      </c>
      <c r="M32" s="55">
        <f>+L32/L12</f>
        <v>6.0167229505537456</v>
      </c>
      <c r="N32" s="54">
        <f>O32*N12</f>
        <v>24411.96</v>
      </c>
      <c r="O32" s="55">
        <v>6</v>
      </c>
      <c r="P32" s="54">
        <f>Q32*P12</f>
        <v>24411.96</v>
      </c>
      <c r="Q32" s="55">
        <v>6</v>
      </c>
      <c r="R32" s="54">
        <v>24480</v>
      </c>
      <c r="S32" s="55">
        <f>+R32/R12</f>
        <v>6.0167229505537456</v>
      </c>
      <c r="T32" s="54">
        <f>U32*T12</f>
        <v>24411.96</v>
      </c>
      <c r="U32" s="55">
        <v>6</v>
      </c>
      <c r="V32" s="54">
        <f>W32*V12</f>
        <v>24411.96</v>
      </c>
      <c r="W32" s="55">
        <v>6</v>
      </c>
      <c r="X32" s="54">
        <v>24480</v>
      </c>
      <c r="Y32" s="55">
        <f>+X32/X12</f>
        <v>6.0167229505537456</v>
      </c>
      <c r="Z32" s="54">
        <f>AA32*Z12</f>
        <v>24411.96</v>
      </c>
      <c r="AA32" s="55">
        <v>6</v>
      </c>
      <c r="AB32" s="54">
        <f>AC32*AB12</f>
        <v>24411.96</v>
      </c>
      <c r="AC32" s="55">
        <v>6</v>
      </c>
      <c r="AD32" s="54">
        <f t="shared" ref="AD32" si="230">AE32*AD12</f>
        <v>24411.96</v>
      </c>
      <c r="AE32" s="55">
        <v>6</v>
      </c>
      <c r="AF32" s="54">
        <f t="shared" ref="AF32" si="231">AG32*AF12</f>
        <v>24411.96</v>
      </c>
      <c r="AG32" s="55">
        <v>6</v>
      </c>
      <c r="AH32" s="54">
        <f t="shared" ref="AH32" si="232">AI32*AH12</f>
        <v>24411.96</v>
      </c>
      <c r="AI32" s="55">
        <v>6</v>
      </c>
      <c r="AJ32" s="54">
        <f t="shared" ref="AJ32" si="233">AK32*AJ12</f>
        <v>24411.96</v>
      </c>
      <c r="AK32" s="55">
        <v>6</v>
      </c>
      <c r="AL32" s="54">
        <f t="shared" ref="AL32" si="234">AM32*AL12</f>
        <v>24411.96</v>
      </c>
      <c r="AM32" s="55">
        <v>6</v>
      </c>
      <c r="AN32" s="54">
        <f t="shared" ref="AN32" si="235">AO32*AN12</f>
        <v>24411.96</v>
      </c>
      <c r="AO32" s="55">
        <v>6</v>
      </c>
      <c r="AP32" s="54">
        <f t="shared" ref="AP32" si="236">AQ32*AP12</f>
        <v>24411.96</v>
      </c>
      <c r="AQ32" s="55">
        <v>6</v>
      </c>
      <c r="AR32" s="54">
        <f t="shared" ref="AR32" si="237">AS32*AR12</f>
        <v>24411.96</v>
      </c>
      <c r="AS32" s="55">
        <v>6</v>
      </c>
      <c r="AT32" s="54">
        <f t="shared" ref="AT32" si="238">AU32*AT12</f>
        <v>24411.96</v>
      </c>
      <c r="AU32" s="55">
        <v>6</v>
      </c>
      <c r="AV32" s="54">
        <f t="shared" ref="AV32" si="239">AW32*AV12</f>
        <v>24411.96</v>
      </c>
      <c r="AW32" s="55">
        <v>6</v>
      </c>
      <c r="AX32" s="54">
        <f t="shared" ref="AX32" si="240">AY32*AX12</f>
        <v>24411.96</v>
      </c>
      <c r="AY32" s="55">
        <v>6</v>
      </c>
      <c r="AZ32" s="54">
        <f t="shared" ref="AZ32" si="241">BA32*AZ12</f>
        <v>24411.96</v>
      </c>
      <c r="BA32" s="55">
        <v>6</v>
      </c>
      <c r="BB32" s="54">
        <f t="shared" ref="BB32" si="242">BC32*BB12</f>
        <v>24411.96</v>
      </c>
      <c r="BC32" s="55">
        <v>6</v>
      </c>
      <c r="BD32" s="54">
        <f t="shared" ref="BD32" si="243">BE32*BD12</f>
        <v>24411.96</v>
      </c>
      <c r="BE32" s="55">
        <v>6</v>
      </c>
      <c r="BF32" s="54">
        <f t="shared" ref="BF32" si="244">BG32*BF12</f>
        <v>24411.96</v>
      </c>
      <c r="BG32" s="55">
        <v>6</v>
      </c>
      <c r="BH32" s="54">
        <f t="shared" ref="BH32" si="245">BI32*BH12</f>
        <v>24411.96</v>
      </c>
      <c r="BI32" s="55">
        <v>6</v>
      </c>
      <c r="BJ32" s="54">
        <f t="shared" ref="BJ32" si="246">BK32*BJ12</f>
        <v>24411.96</v>
      </c>
      <c r="BK32" s="55">
        <v>6</v>
      </c>
      <c r="BL32" s="54">
        <f t="shared" ref="BL32" si="247">BM32*BL12</f>
        <v>24411.96</v>
      </c>
      <c r="BM32" s="55">
        <v>6</v>
      </c>
      <c r="BN32" s="54">
        <f t="shared" ref="BN32" si="248">BO32*BN12</f>
        <v>24411.96</v>
      </c>
      <c r="BO32" s="55">
        <v>6</v>
      </c>
    </row>
    <row r="33" spans="1:67" s="4" customFormat="1" ht="18" customHeight="1" x14ac:dyDescent="0.45">
      <c r="A33" s="561"/>
      <c r="B33" s="1195"/>
      <c r="C33" s="25"/>
      <c r="D33" s="26"/>
      <c r="E33" s="26"/>
      <c r="F33" s="61"/>
      <c r="G33" s="41"/>
      <c r="H33" s="365"/>
      <c r="I33" s="358"/>
      <c r="J33" s="365"/>
      <c r="K33" s="358"/>
      <c r="L33" s="61"/>
      <c r="M33" s="41"/>
      <c r="N33" s="365"/>
      <c r="O33" s="358"/>
      <c r="P33" s="365"/>
      <c r="Q33" s="358"/>
      <c r="R33" s="61"/>
      <c r="S33" s="41"/>
      <c r="T33" s="365"/>
      <c r="U33" s="358"/>
      <c r="V33" s="365"/>
      <c r="W33" s="358"/>
      <c r="X33" s="61"/>
      <c r="Y33" s="41"/>
      <c r="Z33" s="365"/>
      <c r="AA33" s="358"/>
      <c r="AB33" s="365"/>
      <c r="AC33" s="358"/>
      <c r="AD33" s="365"/>
      <c r="AE33" s="358"/>
      <c r="AF33" s="365"/>
      <c r="AG33" s="358"/>
      <c r="AH33" s="365"/>
      <c r="AI33" s="358"/>
      <c r="AJ33" s="365"/>
      <c r="AK33" s="358"/>
      <c r="AL33" s="365"/>
      <c r="AM33" s="358"/>
      <c r="AN33" s="365"/>
      <c r="AO33" s="358"/>
      <c r="AP33" s="365"/>
      <c r="AQ33" s="358"/>
      <c r="AR33" s="365"/>
      <c r="AS33" s="358"/>
      <c r="AT33" s="365"/>
      <c r="AU33" s="358"/>
      <c r="AV33" s="365"/>
      <c r="AW33" s="358"/>
      <c r="AX33" s="365"/>
      <c r="AY33" s="358"/>
      <c r="AZ33" s="365"/>
      <c r="BA33" s="358"/>
      <c r="BB33" s="365"/>
      <c r="BC33" s="358"/>
      <c r="BD33" s="365"/>
      <c r="BE33" s="358"/>
      <c r="BF33" s="365"/>
      <c r="BG33" s="358"/>
      <c r="BH33" s="365"/>
      <c r="BI33" s="358"/>
      <c r="BJ33" s="365"/>
      <c r="BK33" s="358"/>
      <c r="BL33" s="365"/>
      <c r="BM33" s="358"/>
      <c r="BN33" s="365"/>
      <c r="BO33" s="358"/>
    </row>
    <row r="34" spans="1:67" s="4" customFormat="1" ht="18" hidden="1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364"/>
      <c r="I34" s="360"/>
      <c r="J34" s="364"/>
      <c r="K34" s="360"/>
      <c r="L34" s="60"/>
      <c r="M34" s="43"/>
      <c r="N34" s="364"/>
      <c r="O34" s="360"/>
      <c r="P34" s="364"/>
      <c r="Q34" s="360"/>
      <c r="R34" s="60"/>
      <c r="S34" s="43"/>
      <c r="T34" s="364"/>
      <c r="U34" s="360"/>
      <c r="V34" s="364"/>
      <c r="W34" s="360"/>
      <c r="X34" s="60"/>
      <c r="Y34" s="43"/>
      <c r="Z34" s="364"/>
      <c r="AA34" s="360"/>
      <c r="AB34" s="364"/>
      <c r="AC34" s="360"/>
      <c r="AD34" s="364"/>
      <c r="AE34" s="360"/>
      <c r="AF34" s="364"/>
      <c r="AG34" s="360"/>
      <c r="AH34" s="364"/>
      <c r="AI34" s="360"/>
      <c r="AJ34" s="364"/>
      <c r="AK34" s="360"/>
      <c r="AL34" s="364"/>
      <c r="AM34" s="360"/>
      <c r="AN34" s="364"/>
      <c r="AO34" s="360"/>
      <c r="AP34" s="364"/>
      <c r="AQ34" s="360"/>
      <c r="AR34" s="364"/>
      <c r="AS34" s="360"/>
      <c r="AT34" s="364"/>
      <c r="AU34" s="360"/>
      <c r="AV34" s="364"/>
      <c r="AW34" s="360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364"/>
      <c r="BO34" s="360"/>
    </row>
    <row r="35" spans="1:67" s="49" customFormat="1" ht="18" hidden="1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361"/>
      <c r="I35" s="362"/>
      <c r="J35" s="361"/>
      <c r="K35" s="362"/>
      <c r="L35" s="47"/>
      <c r="M35" s="48"/>
      <c r="N35" s="361"/>
      <c r="O35" s="362"/>
      <c r="P35" s="361"/>
      <c r="Q35" s="362"/>
      <c r="R35" s="47"/>
      <c r="S35" s="48"/>
      <c r="T35" s="361"/>
      <c r="U35" s="362"/>
      <c r="V35" s="361"/>
      <c r="W35" s="362"/>
      <c r="X35" s="47"/>
      <c r="Y35" s="48"/>
      <c r="Z35" s="361"/>
      <c r="AA35" s="362"/>
      <c r="AB35" s="361"/>
      <c r="AC35" s="362"/>
      <c r="AD35" s="361"/>
      <c r="AE35" s="362"/>
      <c r="AF35" s="361"/>
      <c r="AG35" s="362"/>
      <c r="AH35" s="361"/>
      <c r="AI35" s="362"/>
      <c r="AJ35" s="361"/>
      <c r="AK35" s="362"/>
      <c r="AL35" s="361"/>
      <c r="AM35" s="362"/>
      <c r="AN35" s="361"/>
      <c r="AO35" s="362"/>
      <c r="AP35" s="361"/>
      <c r="AQ35" s="362"/>
      <c r="AR35" s="361"/>
      <c r="AS35" s="362"/>
      <c r="AT35" s="361"/>
      <c r="AU35" s="362"/>
      <c r="AV35" s="361"/>
      <c r="AW35" s="362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</row>
    <row r="36" spans="1:67" s="4" customFormat="1" ht="18" hidden="1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363"/>
      <c r="I36" s="351"/>
      <c r="J36" s="363"/>
      <c r="K36" s="351"/>
      <c r="L36" s="50"/>
      <c r="M36" s="24"/>
      <c r="N36" s="363"/>
      <c r="O36" s="351"/>
      <c r="P36" s="363"/>
      <c r="Q36" s="351"/>
      <c r="R36" s="50"/>
      <c r="S36" s="24"/>
      <c r="T36" s="363"/>
      <c r="U36" s="351"/>
      <c r="V36" s="363"/>
      <c r="W36" s="351"/>
      <c r="X36" s="50"/>
      <c r="Y36" s="24"/>
      <c r="Z36" s="363"/>
      <c r="AA36" s="351"/>
      <c r="AB36" s="363"/>
      <c r="AC36" s="351"/>
      <c r="AD36" s="363"/>
      <c r="AE36" s="351"/>
      <c r="AF36" s="363"/>
      <c r="AG36" s="351"/>
      <c r="AH36" s="363"/>
      <c r="AI36" s="351"/>
      <c r="AJ36" s="363"/>
      <c r="AK36" s="351"/>
      <c r="AL36" s="363"/>
      <c r="AM36" s="351"/>
      <c r="AN36" s="363"/>
      <c r="AO36" s="351"/>
      <c r="AP36" s="363"/>
      <c r="AQ36" s="351"/>
      <c r="AR36" s="363"/>
      <c r="AS36" s="351"/>
      <c r="AT36" s="363"/>
      <c r="AU36" s="351"/>
      <c r="AV36" s="363"/>
      <c r="AW36" s="351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</row>
    <row r="37" spans="1:67" s="4" customFormat="1" ht="18" hidden="1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</row>
    <row r="38" spans="1:67" s="4" customFormat="1" ht="18" hidden="1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</row>
    <row r="39" spans="1:67" s="4" customFormat="1" ht="18" hidden="1" customHeight="1" x14ac:dyDescent="0.45">
      <c r="A39" s="561"/>
      <c r="B39" s="1195"/>
      <c r="C39" s="25"/>
      <c r="D39" s="26"/>
      <c r="E39" s="26"/>
      <c r="F39" s="61"/>
      <c r="G39" s="41"/>
      <c r="H39" s="365"/>
      <c r="I39" s="358"/>
      <c r="J39" s="365"/>
      <c r="K39" s="358"/>
      <c r="L39" s="61"/>
      <c r="M39" s="41"/>
      <c r="N39" s="365"/>
      <c r="O39" s="358"/>
      <c r="P39" s="365"/>
      <c r="Q39" s="358"/>
      <c r="R39" s="61"/>
      <c r="S39" s="41"/>
      <c r="T39" s="365"/>
      <c r="U39" s="358"/>
      <c r="V39" s="365"/>
      <c r="W39" s="358"/>
      <c r="X39" s="61"/>
      <c r="Y39" s="41"/>
      <c r="Z39" s="365"/>
      <c r="AA39" s="358"/>
      <c r="AB39" s="365"/>
      <c r="AC39" s="358"/>
      <c r="AD39" s="365"/>
      <c r="AE39" s="358"/>
      <c r="AF39" s="365"/>
      <c r="AG39" s="358"/>
      <c r="AH39" s="365"/>
      <c r="AI39" s="358"/>
      <c r="AJ39" s="365"/>
      <c r="AK39" s="358"/>
      <c r="AL39" s="365"/>
      <c r="AM39" s="358"/>
      <c r="AN39" s="365"/>
      <c r="AO39" s="358"/>
      <c r="AP39" s="365"/>
      <c r="AQ39" s="358"/>
      <c r="AR39" s="365"/>
      <c r="AS39" s="358"/>
      <c r="AT39" s="365"/>
      <c r="AU39" s="358"/>
      <c r="AV39" s="365"/>
      <c r="AW39" s="358"/>
      <c r="AX39" s="365"/>
      <c r="AY39" s="358"/>
      <c r="AZ39" s="365"/>
      <c r="BA39" s="358"/>
      <c r="BB39" s="365"/>
      <c r="BC39" s="358"/>
      <c r="BD39" s="365"/>
      <c r="BE39" s="358"/>
      <c r="BF39" s="365"/>
      <c r="BG39" s="358"/>
      <c r="BH39" s="365"/>
      <c r="BI39" s="358"/>
      <c r="BJ39" s="365"/>
      <c r="BK39" s="358"/>
      <c r="BL39" s="365"/>
      <c r="BM39" s="358"/>
      <c r="BN39" s="365"/>
      <c r="BO39" s="358"/>
    </row>
    <row r="40" spans="1:67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364"/>
      <c r="I40" s="360"/>
      <c r="J40" s="364"/>
      <c r="K40" s="360"/>
      <c r="L40" s="60"/>
      <c r="M40" s="43"/>
      <c r="N40" s="364"/>
      <c r="O40" s="360"/>
      <c r="P40" s="364"/>
      <c r="Q40" s="360"/>
      <c r="R40" s="60"/>
      <c r="S40" s="43"/>
      <c r="T40" s="364"/>
      <c r="U40" s="360"/>
      <c r="V40" s="364"/>
      <c r="W40" s="360"/>
      <c r="X40" s="60"/>
      <c r="Y40" s="43"/>
      <c r="Z40" s="364"/>
      <c r="AA40" s="360"/>
      <c r="AB40" s="364"/>
      <c r="AC40" s="360"/>
      <c r="AD40" s="364"/>
      <c r="AE40" s="360"/>
      <c r="AF40" s="364"/>
      <c r="AG40" s="360"/>
      <c r="AH40" s="364"/>
      <c r="AI40" s="360"/>
      <c r="AJ40" s="364"/>
      <c r="AK40" s="360"/>
      <c r="AL40" s="364"/>
      <c r="AM40" s="360"/>
      <c r="AN40" s="364"/>
      <c r="AO40" s="360"/>
      <c r="AP40" s="364"/>
      <c r="AQ40" s="360"/>
      <c r="AR40" s="364"/>
      <c r="AS40" s="360"/>
      <c r="AT40" s="364"/>
      <c r="AU40" s="360"/>
      <c r="AV40" s="364"/>
      <c r="AW40" s="360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</row>
    <row r="41" spans="1:67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643.53482899300911</v>
      </c>
      <c r="G41" s="24">
        <f>G42-G54</f>
        <v>0.15816874081221033</v>
      </c>
      <c r="H41" s="430">
        <f>H42-I54*H12</f>
        <v>637.34937444755383</v>
      </c>
      <c r="I41" s="24">
        <f>I42-I54</f>
        <v>0.15664847258005188</v>
      </c>
      <c r="J41" s="430">
        <f>J42-K54*J12</f>
        <v>637.34937444755383</v>
      </c>
      <c r="K41" s="24">
        <f>K42-K54</f>
        <v>0.15664847258005188</v>
      </c>
      <c r="L41" s="430">
        <f>L42-M54*L12</f>
        <v>643.53482899300911</v>
      </c>
      <c r="M41" s="24">
        <f>M42-M54</f>
        <v>0.15816874081221033</v>
      </c>
      <c r="N41" s="430">
        <f>N42-O54*N12</f>
        <v>637.34937444755383</v>
      </c>
      <c r="O41" s="24">
        <f>O42-O54</f>
        <v>0.15664847258005188</v>
      </c>
      <c r="P41" s="430">
        <f>P42-Q54*P12</f>
        <v>637.34937444755383</v>
      </c>
      <c r="Q41" s="24">
        <f>Q42-Q54</f>
        <v>0.15664847258005188</v>
      </c>
      <c r="R41" s="430">
        <f>R42-S54*R12</f>
        <v>643.53482899300911</v>
      </c>
      <c r="S41" s="24">
        <f>S42-S54</f>
        <v>0.15816874081221033</v>
      </c>
      <c r="T41" s="430">
        <f>T42-U54*T12</f>
        <v>637.34937444755383</v>
      </c>
      <c r="U41" s="24">
        <f>U42-U54</f>
        <v>0.15664847258005188</v>
      </c>
      <c r="V41" s="430">
        <f>V42-W54*V12</f>
        <v>637.34937444755383</v>
      </c>
      <c r="W41" s="24">
        <f>W42-W54</f>
        <v>0.15664847258005188</v>
      </c>
      <c r="X41" s="430">
        <f>X42-Y54*X12</f>
        <v>643.53482899300911</v>
      </c>
      <c r="Y41" s="24">
        <f>Y42-Y54</f>
        <v>0.15816874081221033</v>
      </c>
      <c r="Z41" s="430">
        <f>Z42-AA54*Z12</f>
        <v>637.34937444755383</v>
      </c>
      <c r="AA41" s="24">
        <f>AA42-AA54</f>
        <v>0.15664847258005188</v>
      </c>
      <c r="AB41" s="430">
        <f>AB42-AC54*AB12</f>
        <v>637.34937444755383</v>
      </c>
      <c r="AC41" s="24">
        <f>AC42-AC54</f>
        <v>0.15664847258005188</v>
      </c>
      <c r="AD41" s="430">
        <f t="shared" ref="AD41" si="249">AD42-AE54*AD12</f>
        <v>412.63073537858872</v>
      </c>
      <c r="AE41" s="24">
        <f t="shared" ref="AE41" si="250">AE42-AE54</f>
        <v>0.10141686338464967</v>
      </c>
      <c r="AF41" s="430">
        <f t="shared" ref="AF41" si="251">AF42-AG54*AF12</f>
        <v>378.99646263105933</v>
      </c>
      <c r="AG41" s="24">
        <f t="shared" ref="AG41" si="252">AG42-AG54</f>
        <v>9.3150192601755721E-2</v>
      </c>
      <c r="AH41" s="430">
        <f t="shared" ref="AH41" si="253">AH42-AI54*AH12</f>
        <v>637.34937444755406</v>
      </c>
      <c r="AI41" s="24">
        <f t="shared" ref="AI41" si="254">AI42-AI54</f>
        <v>0.15664847258005193</v>
      </c>
      <c r="AJ41" s="430">
        <f t="shared" ref="AJ41" si="255">AJ42-AK54*AJ12</f>
        <v>637.34937444755406</v>
      </c>
      <c r="AK41" s="24">
        <f t="shared" ref="AK41" si="256">AK42-AK54</f>
        <v>0.15664847258005193</v>
      </c>
      <c r="AL41" s="430">
        <f t="shared" ref="AL41" si="257">AL42-AM54*AL12</f>
        <v>637.34937444755406</v>
      </c>
      <c r="AM41" s="24">
        <f t="shared" ref="AM41" si="258">AM42-AM54</f>
        <v>0.15664847258005193</v>
      </c>
      <c r="AN41" s="430">
        <f t="shared" ref="AN41" si="259">AN42-AO54*AN12</f>
        <v>637.34937444755406</v>
      </c>
      <c r="AO41" s="24">
        <f t="shared" ref="AO41" si="260">AO42-AO54</f>
        <v>0.15664847258005193</v>
      </c>
      <c r="AP41" s="430">
        <f t="shared" ref="AP41" si="261">AP42-AQ54*AP12</f>
        <v>637.34937444755406</v>
      </c>
      <c r="AQ41" s="24">
        <f t="shared" ref="AQ41" si="262">AQ42-AQ54</f>
        <v>0.15664847258005193</v>
      </c>
      <c r="AR41" s="430">
        <f t="shared" ref="AR41" si="263">AR42-AS54*AR12</f>
        <v>637.34937444755406</v>
      </c>
      <c r="AS41" s="24">
        <f t="shared" ref="AS41:AY41" si="264">AS42-AS54</f>
        <v>0.15664847258005193</v>
      </c>
      <c r="AT41" s="430">
        <f t="shared" ref="AT41" si="265">AT42-AU54*AT12</f>
        <v>637.34937444755406</v>
      </c>
      <c r="AU41" s="24">
        <f t="shared" si="264"/>
        <v>0.15664847258005193</v>
      </c>
      <c r="AV41" s="430">
        <f t="shared" ref="AV41" si="266">AV42-AW54*AV12</f>
        <v>637.34937444755406</v>
      </c>
      <c r="AW41" s="24">
        <f t="shared" si="264"/>
        <v>0.15664847258005193</v>
      </c>
      <c r="AX41" s="430">
        <f t="shared" ref="AX41" si="267">AX42-AY54*AX12</f>
        <v>636.80293137784247</v>
      </c>
      <c r="AY41" s="24">
        <f t="shared" si="264"/>
        <v>0.15651416716507216</v>
      </c>
      <c r="AZ41" s="430">
        <f t="shared" ref="AZ41" si="268">AZ42-BA54*AZ12</f>
        <v>636.80293137784247</v>
      </c>
      <c r="BA41" s="24">
        <f t="shared" ref="BA41:BC41" si="269">BA42-BA54</f>
        <v>0.15651416716507216</v>
      </c>
      <c r="BB41" s="430">
        <f t="shared" ref="BB41" si="270">BB42-BC54*BB12</f>
        <v>636.80293137784247</v>
      </c>
      <c r="BC41" s="24">
        <f t="shared" si="269"/>
        <v>0.15651416716507216</v>
      </c>
      <c r="BD41" s="430">
        <f t="shared" ref="BD41" si="271">BD42-BE54*BD12</f>
        <v>636.80293137784247</v>
      </c>
      <c r="BE41" s="24">
        <f t="shared" ref="BE41:BG41" si="272">BE42-BE54</f>
        <v>0.15651416716507216</v>
      </c>
      <c r="BF41" s="430">
        <f t="shared" ref="BF41" si="273">BF42-BG54*BF12</f>
        <v>636.80293137784247</v>
      </c>
      <c r="BG41" s="24">
        <f t="shared" si="272"/>
        <v>0.15651416716507216</v>
      </c>
      <c r="BH41" s="430">
        <f t="shared" ref="BH41" si="274">BH42-BI54*BH12</f>
        <v>636.80293137784247</v>
      </c>
      <c r="BI41" s="24">
        <f t="shared" ref="BI41:BK41" si="275">BI42-BI54</f>
        <v>0.15651416716507216</v>
      </c>
      <c r="BJ41" s="430">
        <f t="shared" ref="BJ41" si="276">BJ42-BK54*BJ12</f>
        <v>636.80293137784247</v>
      </c>
      <c r="BK41" s="24">
        <f t="shared" si="275"/>
        <v>0.15651416716507216</v>
      </c>
      <c r="BL41" s="430">
        <f t="shared" ref="BL41" si="277">BL42-BM54*BL12</f>
        <v>636.80293137784247</v>
      </c>
      <c r="BM41" s="24">
        <f t="shared" ref="BM41" si="278">BM42-BM54</f>
        <v>0.15651416716507216</v>
      </c>
      <c r="BN41" s="430">
        <f t="shared" ref="BN41" si="279">BN42-BO54*BN12</f>
        <v>636.80293137784247</v>
      </c>
      <c r="BO41" s="24">
        <f t="shared" ref="BO41" si="280">BO42-BO54</f>
        <v>0.15651416716507216</v>
      </c>
    </row>
    <row r="42" spans="1:67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AC42" si="281">F32-F32/1.1</f>
        <v>2225.4545454545478</v>
      </c>
      <c r="G42" s="24">
        <f t="shared" si="281"/>
        <v>0.54697481368670431</v>
      </c>
      <c r="H42" s="42">
        <f t="shared" si="281"/>
        <v>2219.2690909090925</v>
      </c>
      <c r="I42" s="24">
        <f t="shared" si="281"/>
        <v>0.54545454545454586</v>
      </c>
      <c r="J42" s="42">
        <f t="shared" si="281"/>
        <v>2219.2690909090925</v>
      </c>
      <c r="K42" s="24">
        <f t="shared" si="281"/>
        <v>0.54545454545454586</v>
      </c>
      <c r="L42" s="42">
        <f t="shared" si="281"/>
        <v>2225.4545454545478</v>
      </c>
      <c r="M42" s="24">
        <f t="shared" si="281"/>
        <v>0.54697481368670431</v>
      </c>
      <c r="N42" s="42">
        <f t="shared" si="281"/>
        <v>2219.2690909090925</v>
      </c>
      <c r="O42" s="24">
        <f t="shared" si="281"/>
        <v>0.54545454545454586</v>
      </c>
      <c r="P42" s="42">
        <f t="shared" si="281"/>
        <v>2219.2690909090925</v>
      </c>
      <c r="Q42" s="24">
        <f t="shared" si="281"/>
        <v>0.54545454545454586</v>
      </c>
      <c r="R42" s="42">
        <f t="shared" si="281"/>
        <v>2225.4545454545478</v>
      </c>
      <c r="S42" s="24">
        <f t="shared" si="281"/>
        <v>0.54697481368670431</v>
      </c>
      <c r="T42" s="42">
        <f t="shared" si="281"/>
        <v>2219.2690909090925</v>
      </c>
      <c r="U42" s="24">
        <f t="shared" si="281"/>
        <v>0.54545454545454586</v>
      </c>
      <c r="V42" s="42">
        <f t="shared" si="281"/>
        <v>2219.2690909090925</v>
      </c>
      <c r="W42" s="24">
        <f t="shared" si="281"/>
        <v>0.54545454545454586</v>
      </c>
      <c r="X42" s="42">
        <f t="shared" si="281"/>
        <v>2225.4545454545478</v>
      </c>
      <c r="Y42" s="24">
        <f t="shared" si="281"/>
        <v>0.54697481368670431</v>
      </c>
      <c r="Z42" s="42">
        <f t="shared" si="281"/>
        <v>2219.2690909090925</v>
      </c>
      <c r="AA42" s="24">
        <f t="shared" si="281"/>
        <v>0.54545454545454586</v>
      </c>
      <c r="AB42" s="42">
        <f t="shared" si="281"/>
        <v>2219.2690909090925</v>
      </c>
      <c r="AC42" s="24">
        <f t="shared" si="281"/>
        <v>0.54545454545454586</v>
      </c>
      <c r="AD42" s="42">
        <f t="shared" ref="AD42:AI42" si="282">AD32-AD32/1.1</f>
        <v>2219.2690909090925</v>
      </c>
      <c r="AE42" s="24">
        <f t="shared" si="282"/>
        <v>0.54545454545454586</v>
      </c>
      <c r="AF42" s="42">
        <f t="shared" si="282"/>
        <v>2219.2690909090925</v>
      </c>
      <c r="AG42" s="24">
        <f t="shared" si="282"/>
        <v>0.54545454545454586</v>
      </c>
      <c r="AH42" s="42">
        <f t="shared" si="282"/>
        <v>2219.2690909090925</v>
      </c>
      <c r="AI42" s="24">
        <f t="shared" si="282"/>
        <v>0.54545454545454586</v>
      </c>
      <c r="AJ42" s="42">
        <f t="shared" ref="AJ42:AQ42" si="283">AJ32-AJ32/1.1</f>
        <v>2219.2690909090925</v>
      </c>
      <c r="AK42" s="24">
        <f t="shared" si="283"/>
        <v>0.54545454545454586</v>
      </c>
      <c r="AL42" s="42">
        <f t="shared" si="283"/>
        <v>2219.2690909090925</v>
      </c>
      <c r="AM42" s="24">
        <f t="shared" si="283"/>
        <v>0.54545454545454586</v>
      </c>
      <c r="AN42" s="42">
        <f t="shared" si="283"/>
        <v>2219.2690909090925</v>
      </c>
      <c r="AO42" s="24">
        <f t="shared" si="283"/>
        <v>0.54545454545454586</v>
      </c>
      <c r="AP42" s="42">
        <f t="shared" si="283"/>
        <v>2219.2690909090925</v>
      </c>
      <c r="AQ42" s="24">
        <f t="shared" si="283"/>
        <v>0.54545454545454586</v>
      </c>
      <c r="AR42" s="42">
        <f t="shared" ref="AR42:AS42" si="284">AR32-AR32/1.1</f>
        <v>2219.2690909090925</v>
      </c>
      <c r="AS42" s="24">
        <f t="shared" si="284"/>
        <v>0.54545454545454586</v>
      </c>
      <c r="AT42" s="42">
        <f t="shared" ref="AT42:AY42" si="285">AT32-AT32/1.1</f>
        <v>2219.2690909090925</v>
      </c>
      <c r="AU42" s="24">
        <f t="shared" si="285"/>
        <v>0.54545454545454586</v>
      </c>
      <c r="AV42" s="42">
        <f t="shared" si="285"/>
        <v>2219.2690909090925</v>
      </c>
      <c r="AW42" s="24">
        <f t="shared" si="285"/>
        <v>0.54545454545454586</v>
      </c>
      <c r="AX42" s="42">
        <f t="shared" si="285"/>
        <v>2219.2690909090925</v>
      </c>
      <c r="AY42" s="24">
        <f t="shared" si="285"/>
        <v>0.54545454545454586</v>
      </c>
      <c r="AZ42" s="42">
        <f t="shared" ref="AZ42:BA42" si="286">AZ32-AZ32/1.1</f>
        <v>2219.2690909090925</v>
      </c>
      <c r="BA42" s="24">
        <f t="shared" si="286"/>
        <v>0.54545454545454586</v>
      </c>
      <c r="BB42" s="42">
        <f t="shared" ref="BB42:BC42" si="287">BB32-BB32/1.1</f>
        <v>2219.2690909090925</v>
      </c>
      <c r="BC42" s="24">
        <f t="shared" si="287"/>
        <v>0.54545454545454586</v>
      </c>
      <c r="BD42" s="42">
        <f t="shared" ref="BD42:BE42" si="288">BD32-BD32/1.1</f>
        <v>2219.2690909090925</v>
      </c>
      <c r="BE42" s="24">
        <f t="shared" si="288"/>
        <v>0.54545454545454586</v>
      </c>
      <c r="BF42" s="42">
        <f t="shared" ref="BF42:BG42" si="289">BF32-BF32/1.1</f>
        <v>2219.2690909090925</v>
      </c>
      <c r="BG42" s="24">
        <f t="shared" si="289"/>
        <v>0.54545454545454586</v>
      </c>
      <c r="BH42" s="42">
        <f t="shared" ref="BH42:BI42" si="290">BH32-BH32/1.1</f>
        <v>2219.2690909090925</v>
      </c>
      <c r="BI42" s="24">
        <f t="shared" si="290"/>
        <v>0.54545454545454586</v>
      </c>
      <c r="BJ42" s="42">
        <f t="shared" ref="BJ42:BK42" si="291">BJ32-BJ32/1.1</f>
        <v>2219.2690909090925</v>
      </c>
      <c r="BK42" s="24">
        <f t="shared" si="291"/>
        <v>0.54545454545454586</v>
      </c>
      <c r="BL42" s="42">
        <f t="shared" ref="BL42:BM42" si="292">BL32-BL32/1.1</f>
        <v>2219.2690909090925</v>
      </c>
      <c r="BM42" s="24">
        <f t="shared" si="292"/>
        <v>0.54545454545454586</v>
      </c>
      <c r="BN42" s="42">
        <f t="shared" ref="BN42:BO42" si="293">BN32-BN32/1.1</f>
        <v>2219.2690909090925</v>
      </c>
      <c r="BO42" s="24">
        <f t="shared" si="293"/>
        <v>0.54545454545454586</v>
      </c>
    </row>
    <row r="43" spans="1:67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AC43" si="294">+F44/F32</f>
        <v>0.20232191983751535</v>
      </c>
      <c r="G43" s="48">
        <f t="shared" si="294"/>
        <v>0.20232191983751549</v>
      </c>
      <c r="H43" s="361">
        <f t="shared" si="294"/>
        <v>0.20035204269414789</v>
      </c>
      <c r="I43" s="362">
        <f t="shared" si="294"/>
        <v>0.20035204269414789</v>
      </c>
      <c r="J43" s="361">
        <f t="shared" si="294"/>
        <v>0.20035204269414789</v>
      </c>
      <c r="K43" s="362">
        <f t="shared" si="294"/>
        <v>0.20035204269414789</v>
      </c>
      <c r="L43" s="47">
        <f t="shared" si="294"/>
        <v>0.20232191983751535</v>
      </c>
      <c r="M43" s="48">
        <f t="shared" si="294"/>
        <v>0.20232191983751549</v>
      </c>
      <c r="N43" s="361">
        <f t="shared" si="294"/>
        <v>0.20035204269414789</v>
      </c>
      <c r="O43" s="362">
        <f t="shared" si="294"/>
        <v>0.20035204269414789</v>
      </c>
      <c r="P43" s="361">
        <f t="shared" si="294"/>
        <v>0.20035204269414789</v>
      </c>
      <c r="Q43" s="362">
        <f t="shared" si="294"/>
        <v>0.20035204269414789</v>
      </c>
      <c r="R43" s="47">
        <f t="shared" si="294"/>
        <v>0.20232191983751535</v>
      </c>
      <c r="S43" s="48">
        <f t="shared" si="294"/>
        <v>0.20232191983751549</v>
      </c>
      <c r="T43" s="361">
        <f t="shared" si="294"/>
        <v>0.20035204269414789</v>
      </c>
      <c r="U43" s="362">
        <f t="shared" si="294"/>
        <v>0.20035204269414789</v>
      </c>
      <c r="V43" s="361">
        <f t="shared" si="294"/>
        <v>0.20035204269414789</v>
      </c>
      <c r="W43" s="362">
        <f t="shared" si="294"/>
        <v>0.20035204269414789</v>
      </c>
      <c r="X43" s="47">
        <f t="shared" si="294"/>
        <v>0.20232191983751535</v>
      </c>
      <c r="Y43" s="48">
        <f t="shared" si="294"/>
        <v>0.20232191983751549</v>
      </c>
      <c r="Z43" s="361">
        <f t="shared" si="294"/>
        <v>0.20035204269414789</v>
      </c>
      <c r="AA43" s="362">
        <f t="shared" si="294"/>
        <v>0.20035204269414789</v>
      </c>
      <c r="AB43" s="361">
        <f t="shared" si="294"/>
        <v>0.20035204269414789</v>
      </c>
      <c r="AC43" s="362">
        <f t="shared" si="294"/>
        <v>0.20035204269414789</v>
      </c>
      <c r="AD43" s="361">
        <f t="shared" ref="AD43:AI43" si="295">+AD44/AD32</f>
        <v>0.10829936070181079</v>
      </c>
      <c r="AE43" s="362">
        <f t="shared" si="295"/>
        <v>0.10829936070181075</v>
      </c>
      <c r="AF43" s="361">
        <f t="shared" si="295"/>
        <v>9.4521576063654245E-2</v>
      </c>
      <c r="AG43" s="362">
        <f t="shared" si="295"/>
        <v>9.4521576063654231E-2</v>
      </c>
      <c r="AH43" s="361">
        <f t="shared" si="295"/>
        <v>0.200352042694148</v>
      </c>
      <c r="AI43" s="362">
        <f t="shared" si="295"/>
        <v>0.20035204269414805</v>
      </c>
      <c r="AJ43" s="361">
        <f t="shared" ref="AJ43:AQ43" si="296">+AJ44/AJ32</f>
        <v>0.200352042694148</v>
      </c>
      <c r="AK43" s="362">
        <f t="shared" si="296"/>
        <v>0.20035204269414805</v>
      </c>
      <c r="AL43" s="361">
        <f t="shared" si="296"/>
        <v>0.200352042694148</v>
      </c>
      <c r="AM43" s="362">
        <f t="shared" si="296"/>
        <v>0.20035204269414805</v>
      </c>
      <c r="AN43" s="361">
        <f t="shared" si="296"/>
        <v>0.200352042694148</v>
      </c>
      <c r="AO43" s="362">
        <f t="shared" si="296"/>
        <v>0.20035204269414805</v>
      </c>
      <c r="AP43" s="361">
        <f t="shared" si="296"/>
        <v>0.200352042694148</v>
      </c>
      <c r="AQ43" s="362">
        <f t="shared" si="296"/>
        <v>0.20035204269414805</v>
      </c>
      <c r="AR43" s="361">
        <f t="shared" ref="AR43:AS43" si="297">+AR44/AR32</f>
        <v>0.200352042694148</v>
      </c>
      <c r="AS43" s="362">
        <f t="shared" si="297"/>
        <v>0.20035204269414805</v>
      </c>
      <c r="AT43" s="361">
        <f t="shared" ref="AT43:AY43" si="298">+AT44/AT32</f>
        <v>0.200352042694148</v>
      </c>
      <c r="AU43" s="362">
        <f t="shared" si="298"/>
        <v>0.20035204269414805</v>
      </c>
      <c r="AV43" s="361">
        <f t="shared" si="298"/>
        <v>0.200352042694148</v>
      </c>
      <c r="AW43" s="362">
        <f t="shared" si="298"/>
        <v>0.20035204269414805</v>
      </c>
      <c r="AX43" s="361">
        <f t="shared" si="298"/>
        <v>0.19917931369617214</v>
      </c>
      <c r="AY43" s="362">
        <f t="shared" si="298"/>
        <v>0.19917931369617223</v>
      </c>
      <c r="AZ43" s="361">
        <f t="shared" ref="AZ43:BA43" si="299">+AZ44/AZ32</f>
        <v>0.19917931369617214</v>
      </c>
      <c r="BA43" s="362">
        <f t="shared" si="299"/>
        <v>0.19917931369617223</v>
      </c>
      <c r="BB43" s="361">
        <f t="shared" ref="BB43:BC43" si="300">+BB44/BB32</f>
        <v>0.19917931369617214</v>
      </c>
      <c r="BC43" s="362">
        <f t="shared" si="300"/>
        <v>0.19917931369617223</v>
      </c>
      <c r="BD43" s="361">
        <f t="shared" ref="BD43:BE43" si="301">+BD44/BD32</f>
        <v>0.19917931369617214</v>
      </c>
      <c r="BE43" s="362">
        <f t="shared" si="301"/>
        <v>0.19917931369617223</v>
      </c>
      <c r="BF43" s="361">
        <f t="shared" ref="BF43:BG43" si="302">+BF44/BF32</f>
        <v>0.19917931369617214</v>
      </c>
      <c r="BG43" s="362">
        <f t="shared" si="302"/>
        <v>0.19917931369617223</v>
      </c>
      <c r="BH43" s="361">
        <f t="shared" ref="BH43:BI43" si="303">+BH44/BH32</f>
        <v>0.19917931369617214</v>
      </c>
      <c r="BI43" s="362">
        <f t="shared" si="303"/>
        <v>0.19917931369617223</v>
      </c>
      <c r="BJ43" s="361">
        <f t="shared" ref="BJ43:BK43" si="304">+BJ44/BJ32</f>
        <v>0.19917931369617214</v>
      </c>
      <c r="BK43" s="362">
        <f t="shared" si="304"/>
        <v>0.19917931369617223</v>
      </c>
      <c r="BL43" s="361">
        <f t="shared" ref="BL43:BM43" si="305">+BL44/BL32</f>
        <v>0.19917931369617214</v>
      </c>
      <c r="BM43" s="362">
        <f t="shared" si="305"/>
        <v>0.19917931369617223</v>
      </c>
      <c r="BN43" s="361">
        <f t="shared" ref="BN43:BO43" si="306">+BN44/BN32</f>
        <v>0.19917931369617214</v>
      </c>
      <c r="BO43" s="362">
        <f t="shared" si="306"/>
        <v>0.19917931369617223</v>
      </c>
    </row>
    <row r="44" spans="1:67" s="4" customFormat="1" ht="18" customHeight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AC44" si="307">+F32-F45-F41</f>
        <v>4952.8405976223758</v>
      </c>
      <c r="G44" s="24">
        <f t="shared" si="307"/>
        <v>1.2173149384864745</v>
      </c>
      <c r="H44" s="42">
        <f t="shared" si="307"/>
        <v>4890.9860521678302</v>
      </c>
      <c r="I44" s="24">
        <f t="shared" si="307"/>
        <v>1.2021122561648874</v>
      </c>
      <c r="J44" s="42">
        <f t="shared" si="307"/>
        <v>4890.9860521678302</v>
      </c>
      <c r="K44" s="24">
        <f t="shared" si="307"/>
        <v>1.2021122561648874</v>
      </c>
      <c r="L44" s="42">
        <f t="shared" si="307"/>
        <v>4952.8405976223758</v>
      </c>
      <c r="M44" s="24">
        <f t="shared" si="307"/>
        <v>1.2173149384864745</v>
      </c>
      <c r="N44" s="42">
        <f t="shared" si="307"/>
        <v>4890.9860521678302</v>
      </c>
      <c r="O44" s="24">
        <f t="shared" si="307"/>
        <v>1.2021122561648874</v>
      </c>
      <c r="P44" s="42">
        <f t="shared" si="307"/>
        <v>4890.9860521678302</v>
      </c>
      <c r="Q44" s="24">
        <f t="shared" si="307"/>
        <v>1.2021122561648874</v>
      </c>
      <c r="R44" s="42">
        <f t="shared" si="307"/>
        <v>4952.8405976223758</v>
      </c>
      <c r="S44" s="24">
        <f t="shared" si="307"/>
        <v>1.2173149384864745</v>
      </c>
      <c r="T44" s="42">
        <f t="shared" si="307"/>
        <v>4890.9860521678302</v>
      </c>
      <c r="U44" s="24">
        <f t="shared" si="307"/>
        <v>1.2021122561648874</v>
      </c>
      <c r="V44" s="42">
        <f t="shared" si="307"/>
        <v>4890.9860521678302</v>
      </c>
      <c r="W44" s="24">
        <f t="shared" si="307"/>
        <v>1.2021122561648874</v>
      </c>
      <c r="X44" s="42">
        <f t="shared" si="307"/>
        <v>4952.8405976223758</v>
      </c>
      <c r="Y44" s="24">
        <f t="shared" si="307"/>
        <v>1.2173149384864745</v>
      </c>
      <c r="Z44" s="42">
        <f t="shared" si="307"/>
        <v>4890.9860521678302</v>
      </c>
      <c r="AA44" s="24">
        <f t="shared" si="307"/>
        <v>1.2021122561648874</v>
      </c>
      <c r="AB44" s="42">
        <f t="shared" si="307"/>
        <v>4890.9860521678302</v>
      </c>
      <c r="AC44" s="24">
        <f t="shared" si="307"/>
        <v>1.2021122561648874</v>
      </c>
      <c r="AD44" s="42">
        <f t="shared" ref="AD44:AI44" si="308">+AD32-AD45-AD41</f>
        <v>2643.7996614781769</v>
      </c>
      <c r="AE44" s="24">
        <f t="shared" si="308"/>
        <v>0.6497961642108645</v>
      </c>
      <c r="AF44" s="42">
        <f t="shared" si="308"/>
        <v>2307.4569340028847</v>
      </c>
      <c r="AG44" s="24">
        <f t="shared" si="308"/>
        <v>0.56712945638192536</v>
      </c>
      <c r="AH44" s="42">
        <f t="shared" si="308"/>
        <v>4890.9860521678329</v>
      </c>
      <c r="AI44" s="24">
        <f t="shared" si="308"/>
        <v>1.2021122561648883</v>
      </c>
      <c r="AJ44" s="42">
        <f t="shared" ref="AJ44:AQ44" si="309">+AJ32-AJ45-AJ41</f>
        <v>4890.9860521678329</v>
      </c>
      <c r="AK44" s="24">
        <f t="shared" si="309"/>
        <v>1.2021122561648883</v>
      </c>
      <c r="AL44" s="42">
        <f t="shared" si="309"/>
        <v>4890.9860521678329</v>
      </c>
      <c r="AM44" s="24">
        <f t="shared" si="309"/>
        <v>1.2021122561648883</v>
      </c>
      <c r="AN44" s="42">
        <f t="shared" si="309"/>
        <v>4890.9860521678329</v>
      </c>
      <c r="AO44" s="24">
        <f t="shared" si="309"/>
        <v>1.2021122561648883</v>
      </c>
      <c r="AP44" s="42">
        <f t="shared" si="309"/>
        <v>4890.9860521678329</v>
      </c>
      <c r="AQ44" s="24">
        <f t="shared" si="309"/>
        <v>1.2021122561648883</v>
      </c>
      <c r="AR44" s="42">
        <f t="shared" ref="AR44:AS44" si="310">+AR32-AR45-AR41</f>
        <v>4890.9860521678329</v>
      </c>
      <c r="AS44" s="24">
        <f t="shared" si="310"/>
        <v>1.2021122561648883</v>
      </c>
      <c r="AT44" s="42">
        <f t="shared" ref="AT44:AY44" si="311">+AT32-AT45-AT41</f>
        <v>4890.9860521678329</v>
      </c>
      <c r="AU44" s="24">
        <f t="shared" si="311"/>
        <v>1.2021122561648883</v>
      </c>
      <c r="AV44" s="42">
        <f t="shared" si="311"/>
        <v>4890.9860521678329</v>
      </c>
      <c r="AW44" s="24">
        <f t="shared" si="311"/>
        <v>1.2021122561648883</v>
      </c>
      <c r="AX44" s="42">
        <f t="shared" si="311"/>
        <v>4862.3574387784065</v>
      </c>
      <c r="AY44" s="24">
        <f t="shared" si="311"/>
        <v>1.1950758821770333</v>
      </c>
      <c r="AZ44" s="42">
        <f t="shared" ref="AZ44:BA44" si="312">+AZ32-AZ45-AZ41</f>
        <v>4862.3574387784065</v>
      </c>
      <c r="BA44" s="24">
        <f t="shared" si="312"/>
        <v>1.1950758821770333</v>
      </c>
      <c r="BB44" s="42">
        <f t="shared" ref="BB44:BC44" si="313">+BB32-BB45-BB41</f>
        <v>4862.3574387784065</v>
      </c>
      <c r="BC44" s="24">
        <f t="shared" si="313"/>
        <v>1.1950758821770333</v>
      </c>
      <c r="BD44" s="42">
        <f t="shared" ref="BD44:BE44" si="314">+BD32-BD45-BD41</f>
        <v>4862.3574387784065</v>
      </c>
      <c r="BE44" s="24">
        <f t="shared" si="314"/>
        <v>1.1950758821770333</v>
      </c>
      <c r="BF44" s="42">
        <f t="shared" ref="BF44:BG44" si="315">+BF32-BF45-BF41</f>
        <v>4862.3574387784065</v>
      </c>
      <c r="BG44" s="24">
        <f t="shared" si="315"/>
        <v>1.1950758821770333</v>
      </c>
      <c r="BH44" s="42">
        <f t="shared" ref="BH44:BI44" si="316">+BH32-BH45-BH41</f>
        <v>4862.3574387784065</v>
      </c>
      <c r="BI44" s="24">
        <f t="shared" si="316"/>
        <v>1.1950758821770333</v>
      </c>
      <c r="BJ44" s="42">
        <f t="shared" ref="BJ44:BK44" si="317">+BJ32-BJ45-BJ41</f>
        <v>4862.3574387784065</v>
      </c>
      <c r="BK44" s="24">
        <f t="shared" si="317"/>
        <v>1.1950758821770333</v>
      </c>
      <c r="BL44" s="42">
        <f t="shared" ref="BL44:BM44" si="318">+BL32-BL45-BL41</f>
        <v>4862.3574387784065</v>
      </c>
      <c r="BM44" s="24">
        <f t="shared" si="318"/>
        <v>1.1950758821770333</v>
      </c>
      <c r="BN44" s="42">
        <f t="shared" ref="BN44:BO44" si="319">+BN32-BN45-BN41</f>
        <v>4862.3574387784065</v>
      </c>
      <c r="BO44" s="24">
        <f t="shared" si="319"/>
        <v>1.1950758821770333</v>
      </c>
    </row>
    <row r="45" spans="1:67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18883.624573384615</v>
      </c>
      <c r="G45" s="32">
        <f>+G49</f>
        <v>4.6412392712550607</v>
      </c>
      <c r="H45" s="66">
        <f>+I49*H12</f>
        <v>18883.624573384615</v>
      </c>
      <c r="I45" s="32">
        <f>+I49</f>
        <v>4.6412392712550607</v>
      </c>
      <c r="J45" s="66">
        <f>+K49*J12</f>
        <v>18883.624573384615</v>
      </c>
      <c r="K45" s="32">
        <f>+K49</f>
        <v>4.6412392712550607</v>
      </c>
      <c r="L45" s="66">
        <f>+M49*L12</f>
        <v>18883.624573384615</v>
      </c>
      <c r="M45" s="32">
        <f>+M49</f>
        <v>4.6412392712550607</v>
      </c>
      <c r="N45" s="66">
        <f>+O49*N12</f>
        <v>18883.624573384615</v>
      </c>
      <c r="O45" s="32">
        <f>+O49</f>
        <v>4.6412392712550607</v>
      </c>
      <c r="P45" s="66">
        <f>+Q49*P12</f>
        <v>18883.624573384615</v>
      </c>
      <c r="Q45" s="32">
        <f>+Q49</f>
        <v>4.6412392712550607</v>
      </c>
      <c r="R45" s="66">
        <f>+S49*R12</f>
        <v>18883.624573384615</v>
      </c>
      <c r="S45" s="32">
        <f>+S49</f>
        <v>4.6412392712550607</v>
      </c>
      <c r="T45" s="66">
        <f>+U49*T12</f>
        <v>18883.624573384615</v>
      </c>
      <c r="U45" s="32">
        <f>+U49</f>
        <v>4.6412392712550607</v>
      </c>
      <c r="V45" s="66">
        <f>+W49*V12</f>
        <v>18883.624573384615</v>
      </c>
      <c r="W45" s="32">
        <f>+W49</f>
        <v>4.6412392712550607</v>
      </c>
      <c r="X45" s="66">
        <f>+Y49*X12</f>
        <v>18883.624573384615</v>
      </c>
      <c r="Y45" s="32">
        <f>+Y49</f>
        <v>4.6412392712550607</v>
      </c>
      <c r="Z45" s="66">
        <f>+AA49*Z12</f>
        <v>18883.624573384615</v>
      </c>
      <c r="AA45" s="32">
        <f>+AA49</f>
        <v>4.6412392712550607</v>
      </c>
      <c r="AB45" s="66">
        <f>+AC49*AB12</f>
        <v>18883.624573384615</v>
      </c>
      <c r="AC45" s="32">
        <f>+AC49</f>
        <v>4.6412392712550607</v>
      </c>
      <c r="AD45" s="66">
        <f t="shared" ref="AD45" si="320">+AE49*AD12</f>
        <v>21355.529603143234</v>
      </c>
      <c r="AE45" s="32">
        <f t="shared" ref="AE45" si="321">+AE49</f>
        <v>5.2487869724044858</v>
      </c>
      <c r="AF45" s="66">
        <f t="shared" ref="AF45" si="322">+AG49*AF12</f>
        <v>21725.506603366055</v>
      </c>
      <c r="AG45" s="32">
        <f t="shared" ref="AG45" si="323">+AG49</f>
        <v>5.3397203510163189</v>
      </c>
      <c r="AH45" s="66">
        <f t="shared" ref="AH45" si="324">+AI49*AH12</f>
        <v>18883.624573384612</v>
      </c>
      <c r="AI45" s="32">
        <f t="shared" ref="AI45" si="325">+AI49</f>
        <v>4.6412392712550599</v>
      </c>
      <c r="AJ45" s="66">
        <f t="shared" ref="AJ45" si="326">+AK49*AJ12</f>
        <v>18883.624573384612</v>
      </c>
      <c r="AK45" s="32">
        <f t="shared" ref="AK45" si="327">+AK49</f>
        <v>4.6412392712550599</v>
      </c>
      <c r="AL45" s="66">
        <f t="shared" ref="AL45" si="328">+AM49*AL12</f>
        <v>18883.624573384612</v>
      </c>
      <c r="AM45" s="32">
        <f t="shared" ref="AM45" si="329">+AM49</f>
        <v>4.6412392712550599</v>
      </c>
      <c r="AN45" s="66">
        <f t="shared" ref="AN45" si="330">+AO49*AN12</f>
        <v>18883.624573384612</v>
      </c>
      <c r="AO45" s="32">
        <f t="shared" ref="AO45" si="331">+AO49</f>
        <v>4.6412392712550599</v>
      </c>
      <c r="AP45" s="66">
        <f t="shared" ref="AP45" si="332">+AQ49*AP12</f>
        <v>18883.624573384612</v>
      </c>
      <c r="AQ45" s="32">
        <f t="shared" ref="AQ45" si="333">+AQ49</f>
        <v>4.6412392712550599</v>
      </c>
      <c r="AR45" s="66">
        <f t="shared" ref="AR45" si="334">+AS49*AR12</f>
        <v>18883.624573384612</v>
      </c>
      <c r="AS45" s="32">
        <f t="shared" ref="AS45:AY45" si="335">+AS49</f>
        <v>4.6412392712550599</v>
      </c>
      <c r="AT45" s="66">
        <f t="shared" ref="AT45" si="336">+AU49*AT12</f>
        <v>18883.624573384612</v>
      </c>
      <c r="AU45" s="32">
        <f t="shared" si="335"/>
        <v>4.6412392712550599</v>
      </c>
      <c r="AV45" s="66">
        <f t="shared" ref="AV45" si="337">+AW49*AV12</f>
        <v>18883.624573384612</v>
      </c>
      <c r="AW45" s="32">
        <f t="shared" si="335"/>
        <v>4.6412392712550599</v>
      </c>
      <c r="AX45" s="66">
        <f t="shared" ref="AX45" si="338">+AY49*AX12</f>
        <v>18912.79962984375</v>
      </c>
      <c r="AY45" s="32">
        <f t="shared" si="335"/>
        <v>4.6484099506578946</v>
      </c>
      <c r="AZ45" s="66">
        <f t="shared" ref="AZ45" si="339">+BA49*AZ12</f>
        <v>18912.79962984375</v>
      </c>
      <c r="BA45" s="32">
        <f t="shared" ref="BA45:BC45" si="340">+BA49</f>
        <v>4.6484099506578946</v>
      </c>
      <c r="BB45" s="66">
        <f t="shared" ref="BB45" si="341">+BC49*BB12</f>
        <v>18912.79962984375</v>
      </c>
      <c r="BC45" s="32">
        <f t="shared" si="340"/>
        <v>4.6484099506578946</v>
      </c>
      <c r="BD45" s="66">
        <f t="shared" ref="BD45" si="342">+BE49*BD12</f>
        <v>18912.79962984375</v>
      </c>
      <c r="BE45" s="32">
        <f t="shared" ref="BE45:BG45" si="343">+BE49</f>
        <v>4.6484099506578946</v>
      </c>
      <c r="BF45" s="66">
        <f t="shared" ref="BF45" si="344">+BG49*BF12</f>
        <v>18912.79962984375</v>
      </c>
      <c r="BG45" s="32">
        <f t="shared" si="343"/>
        <v>4.6484099506578946</v>
      </c>
      <c r="BH45" s="66">
        <f t="shared" ref="BH45" si="345">+BI49*BH12</f>
        <v>18912.79962984375</v>
      </c>
      <c r="BI45" s="32">
        <f t="shared" ref="BI45:BK45" si="346">+BI49</f>
        <v>4.6484099506578946</v>
      </c>
      <c r="BJ45" s="66">
        <f t="shared" ref="BJ45" si="347">+BK49*BJ12</f>
        <v>18912.79962984375</v>
      </c>
      <c r="BK45" s="32">
        <f t="shared" si="346"/>
        <v>4.6484099506578946</v>
      </c>
      <c r="BL45" s="66">
        <f t="shared" ref="BL45" si="348">+BM49*BL12</f>
        <v>18912.79962984375</v>
      </c>
      <c r="BM45" s="32">
        <f t="shared" ref="BM45" si="349">+BM49</f>
        <v>4.6484099506578946</v>
      </c>
      <c r="BN45" s="66">
        <f t="shared" ref="BN45" si="350">+BO49*BN12</f>
        <v>18912.79962984375</v>
      </c>
      <c r="BO45" s="32">
        <f t="shared" ref="BO45" si="351">+BO49</f>
        <v>4.6484099506578946</v>
      </c>
    </row>
    <row r="46" spans="1:67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352">
        <v>0</v>
      </c>
      <c r="I46" s="358"/>
      <c r="J46" s="352">
        <v>0</v>
      </c>
      <c r="K46" s="358"/>
      <c r="L46" s="27">
        <v>0</v>
      </c>
      <c r="M46" s="41"/>
      <c r="N46" s="352">
        <v>0</v>
      </c>
      <c r="O46" s="358"/>
      <c r="P46" s="352">
        <v>0</v>
      </c>
      <c r="Q46" s="358"/>
      <c r="R46" s="27">
        <v>0</v>
      </c>
      <c r="S46" s="41"/>
      <c r="T46" s="352">
        <v>0</v>
      </c>
      <c r="U46" s="358"/>
      <c r="V46" s="352">
        <v>0</v>
      </c>
      <c r="W46" s="358"/>
      <c r="X46" s="27">
        <v>0</v>
      </c>
      <c r="Y46" s="41"/>
      <c r="Z46" s="352">
        <v>0</v>
      </c>
      <c r="AA46" s="358"/>
      <c r="AB46" s="352">
        <v>0</v>
      </c>
      <c r="AC46" s="358"/>
      <c r="AD46" s="352">
        <v>0</v>
      </c>
      <c r="AE46" s="358"/>
      <c r="AF46" s="352">
        <v>0</v>
      </c>
      <c r="AG46" s="358"/>
      <c r="AH46" s="352">
        <v>0</v>
      </c>
      <c r="AI46" s="358"/>
      <c r="AJ46" s="352">
        <v>0</v>
      </c>
      <c r="AK46" s="358"/>
      <c r="AL46" s="352">
        <v>0</v>
      </c>
      <c r="AM46" s="358"/>
      <c r="AN46" s="352">
        <v>0</v>
      </c>
      <c r="AO46" s="358"/>
      <c r="AP46" s="352">
        <v>0</v>
      </c>
      <c r="AQ46" s="358"/>
      <c r="AR46" s="352">
        <v>0</v>
      </c>
      <c r="AS46" s="358"/>
      <c r="AT46" s="352">
        <v>0</v>
      </c>
      <c r="AU46" s="358"/>
      <c r="AV46" s="352">
        <v>0</v>
      </c>
      <c r="AW46" s="358"/>
      <c r="AX46" s="352">
        <v>0</v>
      </c>
      <c r="AY46" s="358"/>
      <c r="AZ46" s="352">
        <v>0</v>
      </c>
      <c r="BA46" s="358"/>
      <c r="BB46" s="352">
        <v>0</v>
      </c>
      <c r="BC46" s="358"/>
      <c r="BD46" s="352">
        <v>0</v>
      </c>
      <c r="BE46" s="358"/>
      <c r="BF46" s="352">
        <v>0</v>
      </c>
      <c r="BG46" s="358"/>
      <c r="BH46" s="352">
        <v>0</v>
      </c>
      <c r="BI46" s="358"/>
      <c r="BJ46" s="352">
        <v>0</v>
      </c>
      <c r="BK46" s="358"/>
      <c r="BL46" s="352">
        <v>0</v>
      </c>
      <c r="BM46" s="358"/>
      <c r="BN46" s="352">
        <v>0</v>
      </c>
      <c r="BO46" s="358"/>
    </row>
    <row r="47" spans="1:67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364"/>
      <c r="I47" s="366"/>
      <c r="J47" s="364"/>
      <c r="K47" s="366"/>
      <c r="L47" s="60"/>
      <c r="M47" s="68"/>
      <c r="N47" s="364"/>
      <c r="O47" s="366"/>
      <c r="P47" s="364"/>
      <c r="Q47" s="366"/>
      <c r="R47" s="60"/>
      <c r="S47" s="68"/>
      <c r="T47" s="364"/>
      <c r="U47" s="366"/>
      <c r="V47" s="364"/>
      <c r="W47" s="366"/>
      <c r="X47" s="60"/>
      <c r="Y47" s="68"/>
      <c r="Z47" s="364"/>
      <c r="AA47" s="366"/>
      <c r="AB47" s="364"/>
      <c r="AC47" s="366"/>
      <c r="AD47" s="364"/>
      <c r="AE47" s="366"/>
      <c r="AF47" s="364"/>
      <c r="AG47" s="366"/>
      <c r="AH47" s="364"/>
      <c r="AI47" s="366"/>
      <c r="AJ47" s="364"/>
      <c r="AK47" s="366"/>
      <c r="AL47" s="364"/>
      <c r="AM47" s="366"/>
      <c r="AN47" s="364"/>
      <c r="AO47" s="366"/>
      <c r="AP47" s="364"/>
      <c r="AQ47" s="366"/>
      <c r="AR47" s="364"/>
      <c r="AS47" s="366"/>
      <c r="AT47" s="364"/>
      <c r="AU47" s="366"/>
      <c r="AV47" s="364"/>
      <c r="AW47" s="366"/>
      <c r="AX47" s="364"/>
      <c r="AY47" s="366"/>
      <c r="AZ47" s="364"/>
      <c r="BA47" s="366"/>
      <c r="BB47" s="364"/>
      <c r="BC47" s="366"/>
      <c r="BD47" s="364"/>
      <c r="BE47" s="366"/>
      <c r="BF47" s="364"/>
      <c r="BG47" s="366"/>
      <c r="BH47" s="364"/>
      <c r="BI47" s="366"/>
      <c r="BJ47" s="364"/>
      <c r="BK47" s="366"/>
      <c r="BL47" s="364"/>
      <c r="BM47" s="366"/>
      <c r="BN47" s="364"/>
      <c r="BO47" s="366"/>
    </row>
    <row r="48" spans="1:67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AC48" si="352">+F49/F10</f>
        <v>1573.6353811153847</v>
      </c>
      <c r="G48" s="70">
        <f t="shared" si="352"/>
        <v>0.38676993927125508</v>
      </c>
      <c r="H48" s="69">
        <f t="shared" si="352"/>
        <v>1573.6353811153847</v>
      </c>
      <c r="I48" s="70">
        <f t="shared" si="352"/>
        <v>0.38676993927125508</v>
      </c>
      <c r="J48" s="69">
        <f t="shared" si="352"/>
        <v>1573.6353811153847</v>
      </c>
      <c r="K48" s="70">
        <f t="shared" si="352"/>
        <v>0.38676993927125508</v>
      </c>
      <c r="L48" s="69">
        <f t="shared" si="352"/>
        <v>1573.6353811153847</v>
      </c>
      <c r="M48" s="70">
        <f t="shared" si="352"/>
        <v>0.38676993927125508</v>
      </c>
      <c r="N48" s="69">
        <f t="shared" si="352"/>
        <v>1573.6353811153847</v>
      </c>
      <c r="O48" s="70">
        <f t="shared" si="352"/>
        <v>0.38676993927125508</v>
      </c>
      <c r="P48" s="69">
        <f t="shared" si="352"/>
        <v>1573.6353811153847</v>
      </c>
      <c r="Q48" s="70">
        <f t="shared" si="352"/>
        <v>0.38676993927125508</v>
      </c>
      <c r="R48" s="69">
        <f t="shared" si="352"/>
        <v>1573.6353811153847</v>
      </c>
      <c r="S48" s="70">
        <f t="shared" si="352"/>
        <v>0.38676993927125508</v>
      </c>
      <c r="T48" s="69">
        <f t="shared" si="352"/>
        <v>1573.6353811153847</v>
      </c>
      <c r="U48" s="70">
        <f t="shared" si="352"/>
        <v>0.38676993927125508</v>
      </c>
      <c r="V48" s="69">
        <f t="shared" si="352"/>
        <v>1573.6353811153847</v>
      </c>
      <c r="W48" s="70">
        <f t="shared" si="352"/>
        <v>0.38676993927125508</v>
      </c>
      <c r="X48" s="69">
        <f t="shared" si="352"/>
        <v>1573.6353811153847</v>
      </c>
      <c r="Y48" s="70">
        <f t="shared" si="352"/>
        <v>0.38676993927125508</v>
      </c>
      <c r="Z48" s="69">
        <f t="shared" si="352"/>
        <v>1573.6353811153847</v>
      </c>
      <c r="AA48" s="70">
        <f t="shared" si="352"/>
        <v>0.38676993927125508</v>
      </c>
      <c r="AB48" s="69">
        <f t="shared" si="352"/>
        <v>1573.6353811153847</v>
      </c>
      <c r="AC48" s="70">
        <f t="shared" si="352"/>
        <v>0.38676993927125508</v>
      </c>
      <c r="AD48" s="69">
        <f t="shared" ref="AD48:AI48" si="353">+AD49/AD10</f>
        <v>1779.6274669286029</v>
      </c>
      <c r="AE48" s="70">
        <f t="shared" si="353"/>
        <v>0.43739891436704048</v>
      </c>
      <c r="AF48" s="69">
        <f t="shared" si="353"/>
        <v>1810.458883613838</v>
      </c>
      <c r="AG48" s="70">
        <f t="shared" si="353"/>
        <v>0.44497669591802658</v>
      </c>
      <c r="AH48" s="69">
        <f t="shared" si="353"/>
        <v>1573.6353811153842</v>
      </c>
      <c r="AI48" s="70">
        <f t="shared" si="353"/>
        <v>0.38676993927125497</v>
      </c>
      <c r="AJ48" s="69">
        <f t="shared" ref="AJ48:AQ48" si="354">+AJ49/AJ10</f>
        <v>1573.6353811153842</v>
      </c>
      <c r="AK48" s="70">
        <f t="shared" si="354"/>
        <v>0.38676993927125497</v>
      </c>
      <c r="AL48" s="69">
        <f t="shared" si="354"/>
        <v>1573.6353811153842</v>
      </c>
      <c r="AM48" s="70">
        <f t="shared" si="354"/>
        <v>0.38676993927125497</v>
      </c>
      <c r="AN48" s="69">
        <f t="shared" si="354"/>
        <v>1573.6353811153842</v>
      </c>
      <c r="AO48" s="70">
        <f t="shared" si="354"/>
        <v>0.38676993927125497</v>
      </c>
      <c r="AP48" s="69">
        <f t="shared" si="354"/>
        <v>1573.6353811153842</v>
      </c>
      <c r="AQ48" s="70">
        <f t="shared" si="354"/>
        <v>0.38676993927125497</v>
      </c>
      <c r="AR48" s="69">
        <f t="shared" ref="AR48:AS48" si="355">+AR49/AR10</f>
        <v>1573.6353811153842</v>
      </c>
      <c r="AS48" s="70">
        <f t="shared" si="355"/>
        <v>0.38676993927125497</v>
      </c>
      <c r="AT48" s="69">
        <f t="shared" ref="AT48:AY48" si="356">+AT49/AT10</f>
        <v>1573.6353811153842</v>
      </c>
      <c r="AU48" s="70">
        <f t="shared" si="356"/>
        <v>0.38676993927125497</v>
      </c>
      <c r="AV48" s="69">
        <f t="shared" si="356"/>
        <v>1573.6353811153842</v>
      </c>
      <c r="AW48" s="70">
        <f t="shared" si="356"/>
        <v>0.38676993927125497</v>
      </c>
      <c r="AX48" s="69">
        <f t="shared" si="356"/>
        <v>1576.0666358203125</v>
      </c>
      <c r="AY48" s="70">
        <f t="shared" si="356"/>
        <v>0.38736749588815789</v>
      </c>
      <c r="AZ48" s="69">
        <f t="shared" ref="AZ48:BA48" si="357">+AZ49/AZ10</f>
        <v>1576.0666358203125</v>
      </c>
      <c r="BA48" s="70">
        <f t="shared" si="357"/>
        <v>0.38736749588815789</v>
      </c>
      <c r="BB48" s="69">
        <f t="shared" ref="BB48:BC48" si="358">+BB49/BB10</f>
        <v>1576.0666358203125</v>
      </c>
      <c r="BC48" s="70">
        <f t="shared" si="358"/>
        <v>0.38736749588815789</v>
      </c>
      <c r="BD48" s="69">
        <f t="shared" ref="BD48:BE48" si="359">+BD49/BD10</f>
        <v>1576.0666358203125</v>
      </c>
      <c r="BE48" s="70">
        <f t="shared" si="359"/>
        <v>0.38736749588815789</v>
      </c>
      <c r="BF48" s="69">
        <f t="shared" ref="BF48:BG48" si="360">+BF49/BF10</f>
        <v>1576.0666358203125</v>
      </c>
      <c r="BG48" s="70">
        <f t="shared" si="360"/>
        <v>0.38736749588815789</v>
      </c>
      <c r="BH48" s="69">
        <f t="shared" ref="BH48:BI48" si="361">+BH49/BH10</f>
        <v>1576.0666358203125</v>
      </c>
      <c r="BI48" s="70">
        <f t="shared" si="361"/>
        <v>0.38736749588815789</v>
      </c>
      <c r="BJ48" s="69">
        <f t="shared" ref="BJ48:BK48" si="362">+BJ49/BJ10</f>
        <v>1576.0666358203125</v>
      </c>
      <c r="BK48" s="70">
        <f t="shared" si="362"/>
        <v>0.38736749588815789</v>
      </c>
      <c r="BL48" s="69">
        <f t="shared" ref="BL48:BM48" si="363">+BL49/BL10</f>
        <v>1576.0666358203125</v>
      </c>
      <c r="BM48" s="70">
        <f t="shared" si="363"/>
        <v>0.38736749588815789</v>
      </c>
      <c r="BN48" s="69">
        <f t="shared" ref="BN48:BO48" si="364">+BN49/BN10</f>
        <v>1576.0666358203125</v>
      </c>
      <c r="BO48" s="70">
        <f t="shared" si="364"/>
        <v>0.38736749588815789</v>
      </c>
    </row>
    <row r="49" spans="1:67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18883.624573384615</v>
      </c>
      <c r="G49" s="70">
        <f>+G50+G52+G56+G54</f>
        <v>4.6412392712550607</v>
      </c>
      <c r="H49" s="69">
        <f>+I49*H12</f>
        <v>18883.624573384615</v>
      </c>
      <c r="I49" s="70">
        <f>+I50+I52+I56+I54</f>
        <v>4.6412392712550607</v>
      </c>
      <c r="J49" s="69">
        <f>+K49*J12</f>
        <v>18883.624573384615</v>
      </c>
      <c r="K49" s="70">
        <f>+K50+K52+K56+K54</f>
        <v>4.6412392712550607</v>
      </c>
      <c r="L49" s="69">
        <f>+M49*L12</f>
        <v>18883.624573384615</v>
      </c>
      <c r="M49" s="70">
        <f>+M50+M52+M56+M54</f>
        <v>4.6412392712550607</v>
      </c>
      <c r="N49" s="69">
        <f>+O49*N12</f>
        <v>18883.624573384615</v>
      </c>
      <c r="O49" s="70">
        <f>+O50+O52+O56+O54</f>
        <v>4.6412392712550607</v>
      </c>
      <c r="P49" s="69">
        <f>+Q49*P12</f>
        <v>18883.624573384615</v>
      </c>
      <c r="Q49" s="70">
        <f>+Q50+Q52+Q56+Q54</f>
        <v>4.6412392712550607</v>
      </c>
      <c r="R49" s="69">
        <f>+S49*R12</f>
        <v>18883.624573384615</v>
      </c>
      <c r="S49" s="70">
        <f>+S50+S52+S56+S54</f>
        <v>4.6412392712550607</v>
      </c>
      <c r="T49" s="69">
        <f>+U49*T12</f>
        <v>18883.624573384615</v>
      </c>
      <c r="U49" s="70">
        <f>+U50+U52+U56+U54</f>
        <v>4.6412392712550607</v>
      </c>
      <c r="V49" s="69">
        <f>+W49*V12</f>
        <v>18883.624573384615</v>
      </c>
      <c r="W49" s="70">
        <f>+W50+W52+W56+W54</f>
        <v>4.6412392712550607</v>
      </c>
      <c r="X49" s="69">
        <f>+Y49*X12</f>
        <v>18883.624573384615</v>
      </c>
      <c r="Y49" s="70">
        <f>+Y50+Y52+Y56+Y54</f>
        <v>4.6412392712550607</v>
      </c>
      <c r="Z49" s="69">
        <f>+AA49*Z12</f>
        <v>18883.624573384615</v>
      </c>
      <c r="AA49" s="70">
        <f>+AA50+AA52+AA56+AA54</f>
        <v>4.6412392712550607</v>
      </c>
      <c r="AB49" s="69">
        <f>+AC49*AB12</f>
        <v>18883.624573384615</v>
      </c>
      <c r="AC49" s="70">
        <f>+AC50+AC52+AC56+AC54</f>
        <v>4.6412392712550607</v>
      </c>
      <c r="AD49" s="69">
        <f t="shared" ref="AD49" si="365">+AE49*AD12</f>
        <v>21355.529603143234</v>
      </c>
      <c r="AE49" s="70">
        <f t="shared" ref="AE49" si="366">+AE50+AE52+AE56+AE54</f>
        <v>5.2487869724044858</v>
      </c>
      <c r="AF49" s="69">
        <f t="shared" ref="AF49" si="367">+AG49*AF12</f>
        <v>21725.506603366055</v>
      </c>
      <c r="AG49" s="70">
        <f t="shared" ref="AG49" si="368">+AG50+AG52+AG56+AG54</f>
        <v>5.3397203510163189</v>
      </c>
      <c r="AH49" s="69">
        <f t="shared" ref="AH49" si="369">+AI49*AH12</f>
        <v>18883.624573384612</v>
      </c>
      <c r="AI49" s="70">
        <f t="shared" ref="AI49" si="370">+AI50+AI52+AI56+AI54</f>
        <v>4.6412392712550599</v>
      </c>
      <c r="AJ49" s="69">
        <f t="shared" ref="AJ49" si="371">+AK49*AJ12</f>
        <v>18883.624573384612</v>
      </c>
      <c r="AK49" s="70">
        <f t="shared" ref="AK49" si="372">+AK50+AK52+AK56+AK54</f>
        <v>4.6412392712550599</v>
      </c>
      <c r="AL49" s="69">
        <f t="shared" ref="AL49" si="373">+AM49*AL12</f>
        <v>18883.624573384612</v>
      </c>
      <c r="AM49" s="70">
        <f t="shared" ref="AM49" si="374">+AM50+AM52+AM56+AM54</f>
        <v>4.6412392712550599</v>
      </c>
      <c r="AN49" s="69">
        <f t="shared" ref="AN49" si="375">+AO49*AN12</f>
        <v>18883.624573384612</v>
      </c>
      <c r="AO49" s="70">
        <f t="shared" ref="AO49" si="376">+AO50+AO52+AO56+AO54</f>
        <v>4.6412392712550599</v>
      </c>
      <c r="AP49" s="69">
        <f t="shared" ref="AP49" si="377">+AQ49*AP12</f>
        <v>18883.624573384612</v>
      </c>
      <c r="AQ49" s="70">
        <f t="shared" ref="AQ49" si="378">+AQ50+AQ52+AQ56+AQ54</f>
        <v>4.6412392712550599</v>
      </c>
      <c r="AR49" s="69">
        <f t="shared" ref="AR49" si="379">+AS49*AR12</f>
        <v>18883.624573384612</v>
      </c>
      <c r="AS49" s="70">
        <f t="shared" ref="AS49:AY49" si="380">+AS50+AS52+AS56+AS54</f>
        <v>4.6412392712550599</v>
      </c>
      <c r="AT49" s="69">
        <f t="shared" ref="AT49" si="381">+AU49*AT12</f>
        <v>18883.624573384612</v>
      </c>
      <c r="AU49" s="70">
        <f t="shared" si="380"/>
        <v>4.6412392712550599</v>
      </c>
      <c r="AV49" s="69">
        <f t="shared" ref="AV49" si="382">+AW49*AV12</f>
        <v>18883.624573384612</v>
      </c>
      <c r="AW49" s="70">
        <f t="shared" si="380"/>
        <v>4.6412392712550599</v>
      </c>
      <c r="AX49" s="69">
        <f t="shared" ref="AX49" si="383">+AY49*AX12</f>
        <v>18912.79962984375</v>
      </c>
      <c r="AY49" s="70">
        <f t="shared" si="380"/>
        <v>4.6484099506578946</v>
      </c>
      <c r="AZ49" s="69">
        <f t="shared" ref="AZ49" si="384">+BA49*AZ12</f>
        <v>18912.79962984375</v>
      </c>
      <c r="BA49" s="70">
        <f t="shared" ref="BA49:BC49" si="385">+BA50+BA52+BA56+BA54</f>
        <v>4.6484099506578946</v>
      </c>
      <c r="BB49" s="69">
        <f t="shared" ref="BB49" si="386">+BC49*BB12</f>
        <v>18912.79962984375</v>
      </c>
      <c r="BC49" s="70">
        <f t="shared" si="385"/>
        <v>4.6484099506578946</v>
      </c>
      <c r="BD49" s="69">
        <f t="shared" ref="BD49" si="387">+BE49*BD12</f>
        <v>18912.79962984375</v>
      </c>
      <c r="BE49" s="70">
        <f t="shared" ref="BE49:BG49" si="388">+BE50+BE52+BE56+BE54</f>
        <v>4.6484099506578946</v>
      </c>
      <c r="BF49" s="69">
        <f t="shared" ref="BF49" si="389">+BG49*BF12</f>
        <v>18912.79962984375</v>
      </c>
      <c r="BG49" s="70">
        <f t="shared" si="388"/>
        <v>4.6484099506578946</v>
      </c>
      <c r="BH49" s="69">
        <f t="shared" ref="BH49" si="390">+BI49*BH12</f>
        <v>18912.79962984375</v>
      </c>
      <c r="BI49" s="70">
        <f t="shared" ref="BI49:BK49" si="391">+BI50+BI52+BI56+BI54</f>
        <v>4.6484099506578946</v>
      </c>
      <c r="BJ49" s="69">
        <f t="shared" ref="BJ49" si="392">+BK49*BJ12</f>
        <v>18912.79962984375</v>
      </c>
      <c r="BK49" s="70">
        <f t="shared" si="391"/>
        <v>4.6484099506578946</v>
      </c>
      <c r="BL49" s="69">
        <f t="shared" ref="BL49" si="393">+BM49*BL12</f>
        <v>18912.79962984375</v>
      </c>
      <c r="BM49" s="70">
        <f t="shared" ref="BM49" si="394">+BM50+BM52+BM56+BM54</f>
        <v>4.6484099506578946</v>
      </c>
      <c r="BN49" s="69">
        <f t="shared" ref="BN49" si="395">+BO49*BN12</f>
        <v>18912.79962984375</v>
      </c>
      <c r="BO49" s="70">
        <f t="shared" ref="BO49" si="396">+BO50+BO52+BO56+BO54</f>
        <v>4.6484099506578946</v>
      </c>
    </row>
    <row r="50" spans="1:67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0.1851457489878543</v>
      </c>
      <c r="H50" s="367"/>
      <c r="I50" s="368">
        <f>+I51*I56</f>
        <v>0.1851457489878543</v>
      </c>
      <c r="J50" s="367"/>
      <c r="K50" s="368">
        <f>+K51*K56</f>
        <v>0.1851457489878543</v>
      </c>
      <c r="L50" s="50"/>
      <c r="M50" s="72">
        <f>+M51*M56</f>
        <v>0.1851457489878543</v>
      </c>
      <c r="N50" s="367"/>
      <c r="O50" s="368">
        <f>+O51*O56</f>
        <v>0.1851457489878543</v>
      </c>
      <c r="P50" s="367"/>
      <c r="Q50" s="368">
        <f>+Q51*Q56</f>
        <v>0.1851457489878543</v>
      </c>
      <c r="R50" s="50"/>
      <c r="S50" s="72">
        <f>+S51*S56</f>
        <v>0.1851457489878543</v>
      </c>
      <c r="T50" s="367"/>
      <c r="U50" s="368">
        <f>+U51*U56</f>
        <v>0.1851457489878543</v>
      </c>
      <c r="V50" s="367"/>
      <c r="W50" s="368">
        <f>+W51*W56</f>
        <v>0.1851457489878543</v>
      </c>
      <c r="X50" s="50"/>
      <c r="Y50" s="72">
        <f>+Y51*Y56</f>
        <v>0.1851457489878543</v>
      </c>
      <c r="Z50" s="367"/>
      <c r="AA50" s="368">
        <f>+AA51*AA56</f>
        <v>0.1851457489878543</v>
      </c>
      <c r="AB50" s="367"/>
      <c r="AC50" s="368">
        <f>+AC51*AC56</f>
        <v>0.1851457489878543</v>
      </c>
      <c r="AD50" s="367"/>
      <c r="AE50" s="368">
        <f t="shared" ref="AE50" si="397">+AE51*AE56</f>
        <v>0.21144651527137914</v>
      </c>
      <c r="AF50" s="367"/>
      <c r="AG50" s="368">
        <f t="shared" ref="AG50" si="398">+AG51*AG56</f>
        <v>0.21538302516799532</v>
      </c>
      <c r="AH50" s="367"/>
      <c r="AI50" s="368">
        <f t="shared" ref="AI50" si="399">+AI51*AI56</f>
        <v>0.18514574898785424</v>
      </c>
      <c r="AJ50" s="367"/>
      <c r="AK50" s="368">
        <f t="shared" ref="AK50" si="400">+AK51*AK56</f>
        <v>0.18514574898785424</v>
      </c>
      <c r="AL50" s="367"/>
      <c r="AM50" s="368">
        <f t="shared" ref="AM50" si="401">+AM51*AM56</f>
        <v>0.18514574898785424</v>
      </c>
      <c r="AN50" s="367"/>
      <c r="AO50" s="368">
        <f t="shared" ref="AO50" si="402">+AO51*AO56</f>
        <v>0.18514574898785424</v>
      </c>
      <c r="AP50" s="367"/>
      <c r="AQ50" s="368">
        <f t="shared" ref="AQ50" si="403">+AQ51*AQ56</f>
        <v>0.18514574898785424</v>
      </c>
      <c r="AR50" s="367"/>
      <c r="AS50" s="368">
        <f t="shared" ref="AS50:AY50" si="404">+AS51*AS56</f>
        <v>0.18514574898785424</v>
      </c>
      <c r="AT50" s="367"/>
      <c r="AU50" s="368">
        <f t="shared" si="404"/>
        <v>0.18514574898785424</v>
      </c>
      <c r="AV50" s="367"/>
      <c r="AW50" s="368">
        <f t="shared" si="404"/>
        <v>0.18514574898785424</v>
      </c>
      <c r="AX50" s="367"/>
      <c r="AY50" s="368">
        <f t="shared" si="404"/>
        <v>0.18520970394736844</v>
      </c>
      <c r="AZ50" s="367"/>
      <c r="BA50" s="368">
        <f t="shared" ref="BA50:BC50" si="405">+BA51*BA56</f>
        <v>0.18520970394736844</v>
      </c>
      <c r="BB50" s="367"/>
      <c r="BC50" s="368">
        <f t="shared" si="405"/>
        <v>0.18520970394736844</v>
      </c>
      <c r="BD50" s="367"/>
      <c r="BE50" s="368">
        <f t="shared" ref="BE50:BG50" si="406">+BE51*BE56</f>
        <v>0.18520970394736844</v>
      </c>
      <c r="BF50" s="367"/>
      <c r="BG50" s="368">
        <f t="shared" si="406"/>
        <v>0.18520970394736844</v>
      </c>
      <c r="BH50" s="367"/>
      <c r="BI50" s="368">
        <f t="shared" ref="BI50:BK50" si="407">+BI51*BI56</f>
        <v>0.18520970394736844</v>
      </c>
      <c r="BJ50" s="367"/>
      <c r="BK50" s="368">
        <f t="shared" si="407"/>
        <v>0.18520970394736844</v>
      </c>
      <c r="BL50" s="367"/>
      <c r="BM50" s="368">
        <f t="shared" ref="BM50" si="408">+BM51*BM56</f>
        <v>0.18520970394736844</v>
      </c>
      <c r="BN50" s="367"/>
      <c r="BO50" s="368">
        <f t="shared" ref="BO50" si="409">+BO51*BO56</f>
        <v>0.18520970394736844</v>
      </c>
    </row>
    <row r="51" spans="1:67" s="4" customFormat="1" ht="18" customHeight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361"/>
      <c r="I51" s="1081">
        <v>0.05</v>
      </c>
      <c r="J51" s="361"/>
      <c r="K51" s="1081">
        <v>0.05</v>
      </c>
      <c r="L51" s="47"/>
      <c r="M51" s="1082">
        <v>0.05</v>
      </c>
      <c r="N51" s="361"/>
      <c r="O51" s="1081">
        <v>0.05</v>
      </c>
      <c r="P51" s="361"/>
      <c r="Q51" s="1081">
        <v>0.05</v>
      </c>
      <c r="R51" s="47"/>
      <c r="S51" s="1082">
        <v>0.05</v>
      </c>
      <c r="T51" s="361"/>
      <c r="U51" s="1081">
        <v>0.05</v>
      </c>
      <c r="V51" s="361"/>
      <c r="W51" s="1081">
        <v>0.05</v>
      </c>
      <c r="X51" s="47"/>
      <c r="Y51" s="1082">
        <v>0.05</v>
      </c>
      <c r="Z51" s="361"/>
      <c r="AA51" s="1081">
        <v>0.05</v>
      </c>
      <c r="AB51" s="361"/>
      <c r="AC51" s="1081">
        <v>0.05</v>
      </c>
      <c r="AD51" s="361"/>
      <c r="AE51" s="1081">
        <v>0.05</v>
      </c>
      <c r="AF51" s="361"/>
      <c r="AG51" s="1081">
        <v>0.05</v>
      </c>
      <c r="AH51" s="361"/>
      <c r="AI51" s="1081">
        <v>0.05</v>
      </c>
      <c r="AJ51" s="361"/>
      <c r="AK51" s="1081">
        <v>0.05</v>
      </c>
      <c r="AL51" s="361"/>
      <c r="AM51" s="1081">
        <v>0.05</v>
      </c>
      <c r="AN51" s="361"/>
      <c r="AO51" s="1081">
        <v>0.05</v>
      </c>
      <c r="AP51" s="361"/>
      <c r="AQ51" s="1081">
        <v>0.05</v>
      </c>
      <c r="AR51" s="361"/>
      <c r="AS51" s="1081">
        <v>0.05</v>
      </c>
      <c r="AT51" s="361"/>
      <c r="AU51" s="1081">
        <v>0.05</v>
      </c>
      <c r="AV51" s="361"/>
      <c r="AW51" s="1081">
        <v>0.05</v>
      </c>
      <c r="AX51" s="361"/>
      <c r="AY51" s="1081">
        <v>0.05</v>
      </c>
      <c r="AZ51" s="361"/>
      <c r="BA51" s="1081">
        <v>0.05</v>
      </c>
      <c r="BB51" s="361"/>
      <c r="BC51" s="1081">
        <v>0.05</v>
      </c>
      <c r="BD51" s="361"/>
      <c r="BE51" s="1081">
        <v>0.05</v>
      </c>
      <c r="BF51" s="361"/>
      <c r="BG51" s="1081">
        <v>0.05</v>
      </c>
      <c r="BH51" s="361"/>
      <c r="BI51" s="1081">
        <v>0.05</v>
      </c>
      <c r="BJ51" s="361"/>
      <c r="BK51" s="1081">
        <v>0.05</v>
      </c>
      <c r="BL51" s="361"/>
      <c r="BM51" s="1081">
        <v>0.05</v>
      </c>
      <c r="BN51" s="361"/>
      <c r="BO51" s="1081">
        <v>0.05</v>
      </c>
    </row>
    <row r="52" spans="1:67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0.36437246963562753</v>
      </c>
      <c r="H52" s="367"/>
      <c r="I52" s="368">
        <f>$D$53/I66</f>
        <v>0.36437246963562753</v>
      </c>
      <c r="J52" s="367"/>
      <c r="K52" s="368">
        <f>$D$53/K66</f>
        <v>0.36437246963562753</v>
      </c>
      <c r="L52" s="50"/>
      <c r="M52" s="72">
        <f>$D$53/M66</f>
        <v>0.36437246963562753</v>
      </c>
      <c r="N52" s="367"/>
      <c r="O52" s="368">
        <f>$D$53/O66</f>
        <v>0.36437246963562753</v>
      </c>
      <c r="P52" s="367"/>
      <c r="Q52" s="368">
        <f>$D$53/Q66</f>
        <v>0.36437246963562753</v>
      </c>
      <c r="R52" s="50"/>
      <c r="S52" s="72">
        <f>$D$53/S66</f>
        <v>0.36437246963562753</v>
      </c>
      <c r="T52" s="367"/>
      <c r="U52" s="368">
        <f>$D$53/U66</f>
        <v>0.36437246963562753</v>
      </c>
      <c r="V52" s="367"/>
      <c r="W52" s="368">
        <f>$D$53/W66</f>
        <v>0.36437246963562753</v>
      </c>
      <c r="X52" s="50"/>
      <c r="Y52" s="72">
        <f>$D$53/Y66</f>
        <v>0.36437246963562753</v>
      </c>
      <c r="Z52" s="367"/>
      <c r="AA52" s="368">
        <f>$D$53/AA66</f>
        <v>0.36437246963562753</v>
      </c>
      <c r="AB52" s="367"/>
      <c r="AC52" s="368">
        <f>$D$53/AC66</f>
        <v>0.36437246963562753</v>
      </c>
      <c r="AD52" s="367"/>
      <c r="AE52" s="368">
        <f t="shared" ref="AE52" si="410">$D$53/AE66</f>
        <v>0.36437246963562753</v>
      </c>
      <c r="AF52" s="367"/>
      <c r="AG52" s="368">
        <f t="shared" ref="AG52" si="411">$D$53/AG66</f>
        <v>0.36437246963562753</v>
      </c>
      <c r="AH52" s="367"/>
      <c r="AI52" s="368">
        <f t="shared" ref="AI52" si="412">$D$53/AI66</f>
        <v>0.36437246963562753</v>
      </c>
      <c r="AJ52" s="367"/>
      <c r="AK52" s="368">
        <f t="shared" ref="AK52" si="413">$D$53/AK66</f>
        <v>0.36437246963562753</v>
      </c>
      <c r="AL52" s="367"/>
      <c r="AM52" s="368">
        <f t="shared" ref="AM52" si="414">$D$53/AM66</f>
        <v>0.36437246963562753</v>
      </c>
      <c r="AN52" s="367"/>
      <c r="AO52" s="368">
        <f t="shared" ref="AO52" si="415">$D$53/AO66</f>
        <v>0.36437246963562753</v>
      </c>
      <c r="AP52" s="367"/>
      <c r="AQ52" s="368">
        <f t="shared" ref="AQ52" si="416">$D$53/AQ66</f>
        <v>0.36437246963562753</v>
      </c>
      <c r="AR52" s="367"/>
      <c r="AS52" s="368">
        <f t="shared" ref="AS52:AY52" si="417">$D$53/AS66</f>
        <v>0.36437246963562753</v>
      </c>
      <c r="AT52" s="367"/>
      <c r="AU52" s="368">
        <f t="shared" si="417"/>
        <v>0.36437246963562753</v>
      </c>
      <c r="AV52" s="367"/>
      <c r="AW52" s="368">
        <f t="shared" si="417"/>
        <v>0.36437246963562753</v>
      </c>
      <c r="AX52" s="367"/>
      <c r="AY52" s="368">
        <f t="shared" si="417"/>
        <v>0.37006578947368424</v>
      </c>
      <c r="AZ52" s="367"/>
      <c r="BA52" s="368">
        <f t="shared" ref="BA52:BC52" si="418">$D$53/BA66</f>
        <v>0.37006578947368424</v>
      </c>
      <c r="BB52" s="367"/>
      <c r="BC52" s="368">
        <f t="shared" si="418"/>
        <v>0.37006578947368424</v>
      </c>
      <c r="BD52" s="367"/>
      <c r="BE52" s="368">
        <f t="shared" ref="BE52:BG52" si="419">$D$53/BE66</f>
        <v>0.37006578947368424</v>
      </c>
      <c r="BF52" s="367"/>
      <c r="BG52" s="368">
        <f t="shared" si="419"/>
        <v>0.37006578947368424</v>
      </c>
      <c r="BH52" s="367"/>
      <c r="BI52" s="368">
        <f t="shared" ref="BI52:BK52" si="420">$D$53/BI66</f>
        <v>0.37006578947368424</v>
      </c>
      <c r="BJ52" s="367"/>
      <c r="BK52" s="368">
        <f t="shared" si="420"/>
        <v>0.37006578947368424</v>
      </c>
      <c r="BL52" s="367"/>
      <c r="BM52" s="368">
        <f t="shared" ref="BM52" si="421">$D$53/BM66</f>
        <v>0.37006578947368424</v>
      </c>
      <c r="BN52" s="367"/>
      <c r="BO52" s="368">
        <f t="shared" ref="BO52" si="422">$D$53/BO66</f>
        <v>0.37006578947368424</v>
      </c>
    </row>
    <row r="53" spans="1:67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9.8401521943539377E-2</v>
      </c>
      <c r="H53" s="361"/>
      <c r="I53" s="1081">
        <f>I52/I56</f>
        <v>9.8401521943539377E-2</v>
      </c>
      <c r="J53" s="361"/>
      <c r="K53" s="1081">
        <f>K52/K56</f>
        <v>9.8401521943539377E-2</v>
      </c>
      <c r="L53" s="47"/>
      <c r="M53" s="1082">
        <f>M52/M56</f>
        <v>9.8401521943539377E-2</v>
      </c>
      <c r="N53" s="361"/>
      <c r="O53" s="1081">
        <f>O52/O56</f>
        <v>9.8401521943539377E-2</v>
      </c>
      <c r="P53" s="361"/>
      <c r="Q53" s="1081">
        <f>Q52/Q56</f>
        <v>9.8401521943539377E-2</v>
      </c>
      <c r="R53" s="47"/>
      <c r="S53" s="1082">
        <f>S52/S56</f>
        <v>9.8401521943539377E-2</v>
      </c>
      <c r="T53" s="361"/>
      <c r="U53" s="1081">
        <f>U52/U56</f>
        <v>9.8401521943539377E-2</v>
      </c>
      <c r="V53" s="361"/>
      <c r="W53" s="1081">
        <f>W52/W56</f>
        <v>9.8401521943539377E-2</v>
      </c>
      <c r="X53" s="47"/>
      <c r="Y53" s="1082">
        <f>Y52/Y56</f>
        <v>9.8401521943539377E-2</v>
      </c>
      <c r="Z53" s="361"/>
      <c r="AA53" s="1081">
        <f>AA52/AA56</f>
        <v>9.8401521943539377E-2</v>
      </c>
      <c r="AB53" s="361"/>
      <c r="AC53" s="1081">
        <f>AC52/AC56</f>
        <v>9.8401521943539377E-2</v>
      </c>
      <c r="AD53" s="361"/>
      <c r="AE53" s="1081">
        <f t="shared" ref="AE53" si="423">AE52/AE56</f>
        <v>8.6161852600875666E-2</v>
      </c>
      <c r="AF53" s="361"/>
      <c r="AG53" s="1081">
        <f t="shared" ref="AG53" si="424">AG52/AG56</f>
        <v>8.4587090684473121E-2</v>
      </c>
      <c r="AH53" s="361"/>
      <c r="AI53" s="1081">
        <f t="shared" ref="AI53" si="425">AI52/AI56</f>
        <v>9.8401521943539405E-2</v>
      </c>
      <c r="AJ53" s="361"/>
      <c r="AK53" s="1081">
        <f t="shared" ref="AK53" si="426">AK52/AK56</f>
        <v>9.8401521943539405E-2</v>
      </c>
      <c r="AL53" s="361"/>
      <c r="AM53" s="1081">
        <f t="shared" ref="AM53" si="427">AM52/AM56</f>
        <v>9.8401521943539405E-2</v>
      </c>
      <c r="AN53" s="361"/>
      <c r="AO53" s="1081">
        <f t="shared" ref="AO53" si="428">AO52/AO56</f>
        <v>9.8401521943539405E-2</v>
      </c>
      <c r="AP53" s="361"/>
      <c r="AQ53" s="1081">
        <f t="shared" ref="AQ53" si="429">AQ52/AQ56</f>
        <v>9.8401521943539405E-2</v>
      </c>
      <c r="AR53" s="361"/>
      <c r="AS53" s="1081">
        <f t="shared" ref="AS53:AY53" si="430">AS52/AS56</f>
        <v>9.8401521943539405E-2</v>
      </c>
      <c r="AT53" s="361"/>
      <c r="AU53" s="1081">
        <f t="shared" si="430"/>
        <v>9.8401521943539405E-2</v>
      </c>
      <c r="AV53" s="361"/>
      <c r="AW53" s="1081">
        <f t="shared" si="430"/>
        <v>9.8401521943539405E-2</v>
      </c>
      <c r="AX53" s="361"/>
      <c r="AY53" s="1081">
        <f t="shared" si="430"/>
        <v>9.9904535665919239E-2</v>
      </c>
      <c r="AZ53" s="361"/>
      <c r="BA53" s="1081">
        <f t="shared" ref="BA53:BC53" si="431">BA52/BA56</f>
        <v>9.9904535665919239E-2</v>
      </c>
      <c r="BB53" s="361"/>
      <c r="BC53" s="1081">
        <f t="shared" si="431"/>
        <v>9.9904535665919239E-2</v>
      </c>
      <c r="BD53" s="361"/>
      <c r="BE53" s="1081">
        <f t="shared" ref="BE53:BG53" si="432">BE52/BE56</f>
        <v>9.9904535665919239E-2</v>
      </c>
      <c r="BF53" s="361"/>
      <c r="BG53" s="1081">
        <f t="shared" si="432"/>
        <v>9.9904535665919239E-2</v>
      </c>
      <c r="BH53" s="361"/>
      <c r="BI53" s="1081">
        <f t="shared" ref="BI53:BK53" si="433">BI52/BI56</f>
        <v>9.9904535665919239E-2</v>
      </c>
      <c r="BJ53" s="361"/>
      <c r="BK53" s="1081">
        <f t="shared" si="433"/>
        <v>9.9904535665919239E-2</v>
      </c>
      <c r="BL53" s="361"/>
      <c r="BM53" s="1081">
        <f t="shared" ref="BM53" si="434">BM52/BM56</f>
        <v>9.9904535665919239E-2</v>
      </c>
      <c r="BN53" s="361"/>
      <c r="BO53" s="1081">
        <f t="shared" ref="BO53" si="435">BO52/BO56</f>
        <v>9.9904535665919239E-2</v>
      </c>
    </row>
    <row r="54" spans="1:67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0.38880607287449398</v>
      </c>
      <c r="H54" s="371"/>
      <c r="I54" s="368">
        <f>(I55*(I56+I50))</f>
        <v>0.38880607287449398</v>
      </c>
      <c r="J54" s="371"/>
      <c r="K54" s="368">
        <f>(K55*(K56+K50))</f>
        <v>0.38880607287449398</v>
      </c>
      <c r="L54" s="73"/>
      <c r="M54" s="72">
        <f>(M55*(M56+M50))</f>
        <v>0.38880607287449398</v>
      </c>
      <c r="N54" s="371"/>
      <c r="O54" s="368">
        <f>(O55*(O56+O50))</f>
        <v>0.38880607287449398</v>
      </c>
      <c r="P54" s="371"/>
      <c r="Q54" s="368">
        <f>(Q55*(Q56+Q50))</f>
        <v>0.38880607287449398</v>
      </c>
      <c r="R54" s="73"/>
      <c r="S54" s="72">
        <f>(S55*(S56+S50))</f>
        <v>0.38880607287449398</v>
      </c>
      <c r="T54" s="371"/>
      <c r="U54" s="368">
        <f>(U55*(U56+U50))</f>
        <v>0.38880607287449398</v>
      </c>
      <c r="V54" s="371"/>
      <c r="W54" s="368">
        <f>(W55*(W56+W50))</f>
        <v>0.38880607287449398</v>
      </c>
      <c r="X54" s="73"/>
      <c r="Y54" s="72">
        <f>(Y55*(Y56+Y50))</f>
        <v>0.38880607287449398</v>
      </c>
      <c r="Z54" s="371"/>
      <c r="AA54" s="368">
        <f>(AA55*(AA56+AA50))</f>
        <v>0.38880607287449398</v>
      </c>
      <c r="AB54" s="371"/>
      <c r="AC54" s="368">
        <f>(AC55*(AC56+AC50))</f>
        <v>0.38880607287449398</v>
      </c>
      <c r="AD54" s="371"/>
      <c r="AE54" s="368">
        <f t="shared" ref="AE54" si="436">(AE55*(AE56+AE50))</f>
        <v>0.44403768206989619</v>
      </c>
      <c r="AF54" s="371"/>
      <c r="AG54" s="368">
        <f t="shared" ref="AG54" si="437">(AG55*(AG56+AG50))</f>
        <v>0.45230435285279014</v>
      </c>
      <c r="AH54" s="371"/>
      <c r="AI54" s="368">
        <f t="shared" ref="AI54" si="438">(AI55*(AI56+AI50))</f>
        <v>0.38880607287449392</v>
      </c>
      <c r="AJ54" s="371"/>
      <c r="AK54" s="368">
        <f t="shared" ref="AK54" si="439">(AK55*(AK56+AK50))</f>
        <v>0.38880607287449392</v>
      </c>
      <c r="AL54" s="371"/>
      <c r="AM54" s="368">
        <f t="shared" ref="AM54" si="440">(AM55*(AM56+AM50))</f>
        <v>0.38880607287449392</v>
      </c>
      <c r="AN54" s="371"/>
      <c r="AO54" s="368">
        <f t="shared" ref="AO54" si="441">(AO55*(AO56+AO50))</f>
        <v>0.38880607287449392</v>
      </c>
      <c r="AP54" s="371"/>
      <c r="AQ54" s="368">
        <f t="shared" ref="AQ54" si="442">(AQ55*(AQ56+AQ50))</f>
        <v>0.38880607287449392</v>
      </c>
      <c r="AR54" s="371"/>
      <c r="AS54" s="368">
        <f t="shared" ref="AS54:AY54" si="443">(AS55*(AS56+AS50))</f>
        <v>0.38880607287449392</v>
      </c>
      <c r="AT54" s="371"/>
      <c r="AU54" s="368">
        <f t="shared" si="443"/>
        <v>0.38880607287449392</v>
      </c>
      <c r="AV54" s="371"/>
      <c r="AW54" s="368">
        <f t="shared" si="443"/>
        <v>0.38880607287449392</v>
      </c>
      <c r="AX54" s="371"/>
      <c r="AY54" s="368">
        <f t="shared" si="443"/>
        <v>0.3889403782894737</v>
      </c>
      <c r="AZ54" s="371"/>
      <c r="BA54" s="368">
        <f t="shared" ref="BA54:BC54" si="444">(BA55*(BA56+BA50))</f>
        <v>0.3889403782894737</v>
      </c>
      <c r="BB54" s="371"/>
      <c r="BC54" s="368">
        <f t="shared" si="444"/>
        <v>0.3889403782894737</v>
      </c>
      <c r="BD54" s="371"/>
      <c r="BE54" s="368">
        <f t="shared" ref="BE54:BG54" si="445">(BE55*(BE56+BE50))</f>
        <v>0.3889403782894737</v>
      </c>
      <c r="BF54" s="371"/>
      <c r="BG54" s="368">
        <f t="shared" si="445"/>
        <v>0.3889403782894737</v>
      </c>
      <c r="BH54" s="371"/>
      <c r="BI54" s="368">
        <f t="shared" ref="BI54:BK54" si="446">(BI55*(BI56+BI50))</f>
        <v>0.3889403782894737</v>
      </c>
      <c r="BJ54" s="371"/>
      <c r="BK54" s="368">
        <f t="shared" si="446"/>
        <v>0.3889403782894737</v>
      </c>
      <c r="BL54" s="371"/>
      <c r="BM54" s="368">
        <f t="shared" ref="BM54" si="447">(BM55*(BM56+BM50))</f>
        <v>0.3889403782894737</v>
      </c>
      <c r="BN54" s="371"/>
      <c r="BO54" s="368">
        <f t="shared" ref="BO54" si="448">(BO55*(BO56+BO50))</f>
        <v>0.3889403782894737</v>
      </c>
    </row>
    <row r="55" spans="1:67" s="4" customFormat="1" ht="18" customHeight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361"/>
      <c r="I55" s="1081">
        <v>0.1</v>
      </c>
      <c r="J55" s="361"/>
      <c r="K55" s="1081">
        <v>0.1</v>
      </c>
      <c r="L55" s="47"/>
      <c r="M55" s="1082">
        <v>0.1</v>
      </c>
      <c r="N55" s="361"/>
      <c r="O55" s="1081">
        <v>0.1</v>
      </c>
      <c r="P55" s="361"/>
      <c r="Q55" s="1081">
        <v>0.1</v>
      </c>
      <c r="R55" s="47"/>
      <c r="S55" s="1082">
        <v>0.1</v>
      </c>
      <c r="T55" s="361"/>
      <c r="U55" s="1081">
        <v>0.1</v>
      </c>
      <c r="V55" s="361"/>
      <c r="W55" s="1081">
        <v>0.1</v>
      </c>
      <c r="X55" s="47"/>
      <c r="Y55" s="1082">
        <v>0.1</v>
      </c>
      <c r="Z55" s="361"/>
      <c r="AA55" s="1081">
        <v>0.1</v>
      </c>
      <c r="AB55" s="361"/>
      <c r="AC55" s="1081">
        <v>0.1</v>
      </c>
      <c r="AD55" s="361"/>
      <c r="AE55" s="1081">
        <v>0.1</v>
      </c>
      <c r="AF55" s="361"/>
      <c r="AG55" s="1081">
        <v>0.1</v>
      </c>
      <c r="AH55" s="361"/>
      <c r="AI55" s="1081">
        <v>0.1</v>
      </c>
      <c r="AJ55" s="361"/>
      <c r="AK55" s="1081">
        <v>0.1</v>
      </c>
      <c r="AL55" s="361"/>
      <c r="AM55" s="1081">
        <v>0.1</v>
      </c>
      <c r="AN55" s="361"/>
      <c r="AO55" s="1081">
        <v>0.1</v>
      </c>
      <c r="AP55" s="361"/>
      <c r="AQ55" s="1081">
        <v>0.1</v>
      </c>
      <c r="AR55" s="361"/>
      <c r="AS55" s="1081">
        <v>0.1</v>
      </c>
      <c r="AT55" s="361"/>
      <c r="AU55" s="1081">
        <v>0.1</v>
      </c>
      <c r="AV55" s="361"/>
      <c r="AW55" s="1081">
        <v>0.1</v>
      </c>
      <c r="AX55" s="361"/>
      <c r="AY55" s="1081">
        <v>0.1</v>
      </c>
      <c r="AZ55" s="361"/>
      <c r="BA55" s="1081">
        <v>0.1</v>
      </c>
      <c r="BB55" s="361"/>
      <c r="BC55" s="1081">
        <v>0.1</v>
      </c>
      <c r="BD55" s="361"/>
      <c r="BE55" s="1081">
        <v>0.1</v>
      </c>
      <c r="BF55" s="361"/>
      <c r="BG55" s="1081">
        <v>0.1</v>
      </c>
      <c r="BH55" s="361"/>
      <c r="BI55" s="1081">
        <v>0.1</v>
      </c>
      <c r="BJ55" s="361"/>
      <c r="BK55" s="1081">
        <v>0.1</v>
      </c>
      <c r="BL55" s="361"/>
      <c r="BM55" s="1081">
        <v>0.1</v>
      </c>
      <c r="BN55" s="361"/>
      <c r="BO55" s="1081">
        <v>0.1</v>
      </c>
    </row>
    <row r="56" spans="1:67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3.7029149797570855</v>
      </c>
      <c r="H56" s="81"/>
      <c r="I56" s="82">
        <f>I60-I57+I58</f>
        <v>3.7029149797570855</v>
      </c>
      <c r="J56" s="81"/>
      <c r="K56" s="82">
        <f>K60-K57+K58</f>
        <v>3.7029149797570855</v>
      </c>
      <c r="L56" s="81"/>
      <c r="M56" s="82">
        <f>M60-M57+M58</f>
        <v>3.7029149797570855</v>
      </c>
      <c r="N56" s="81"/>
      <c r="O56" s="82">
        <f>O60-O57+O58</f>
        <v>3.7029149797570855</v>
      </c>
      <c r="P56" s="81"/>
      <c r="Q56" s="82">
        <f>Q60-Q57+Q58</f>
        <v>3.7029149797570855</v>
      </c>
      <c r="R56" s="81"/>
      <c r="S56" s="82">
        <f>S60-S57+S58</f>
        <v>3.7029149797570855</v>
      </c>
      <c r="T56" s="81"/>
      <c r="U56" s="82">
        <f>U60-U57+U58</f>
        <v>3.7029149797570855</v>
      </c>
      <c r="V56" s="81"/>
      <c r="W56" s="82">
        <f>W60-W57+W58</f>
        <v>3.7029149797570855</v>
      </c>
      <c r="X56" s="81"/>
      <c r="Y56" s="82">
        <f>Y60-Y57+Y58</f>
        <v>3.7029149797570855</v>
      </c>
      <c r="Z56" s="81"/>
      <c r="AA56" s="82">
        <f>AA60-AA57+AA58</f>
        <v>3.7029149797570855</v>
      </c>
      <c r="AB56" s="81"/>
      <c r="AC56" s="82">
        <f>AC60-AC57+AC58</f>
        <v>3.7029149797570855</v>
      </c>
      <c r="AD56" s="81"/>
      <c r="AE56" s="82">
        <f t="shared" ref="AE56" si="449">AE60-AE57+AE58</f>
        <v>4.2289303054275829</v>
      </c>
      <c r="AF56" s="81"/>
      <c r="AG56" s="82">
        <f t="shared" ref="AG56" si="450">AG60-AG57+AG58</f>
        <v>4.307660503359906</v>
      </c>
      <c r="AH56" s="81"/>
      <c r="AI56" s="82">
        <f t="shared" ref="AI56" si="451">AI60-AI57+AI58</f>
        <v>3.7029149797570846</v>
      </c>
      <c r="AJ56" s="81"/>
      <c r="AK56" s="82">
        <f t="shared" ref="AK56" si="452">AK60-AK57+AK58</f>
        <v>3.7029149797570846</v>
      </c>
      <c r="AL56" s="81"/>
      <c r="AM56" s="82">
        <f t="shared" ref="AM56" si="453">AM60-AM57+AM58</f>
        <v>3.7029149797570846</v>
      </c>
      <c r="AN56" s="81"/>
      <c r="AO56" s="82">
        <f t="shared" ref="AO56" si="454">AO60-AO57+AO58</f>
        <v>3.7029149797570846</v>
      </c>
      <c r="AP56" s="81"/>
      <c r="AQ56" s="82">
        <f t="shared" ref="AQ56" si="455">AQ60-AQ57+AQ58</f>
        <v>3.7029149797570846</v>
      </c>
      <c r="AR56" s="81"/>
      <c r="AS56" s="82">
        <f t="shared" ref="AS56:AY56" si="456">AS60-AS57+AS58</f>
        <v>3.7029149797570846</v>
      </c>
      <c r="AT56" s="81"/>
      <c r="AU56" s="82">
        <f t="shared" si="456"/>
        <v>3.7029149797570846</v>
      </c>
      <c r="AV56" s="81"/>
      <c r="AW56" s="82">
        <f t="shared" si="456"/>
        <v>3.7029149797570846</v>
      </c>
      <c r="AX56" s="81"/>
      <c r="AY56" s="82">
        <f t="shared" si="456"/>
        <v>3.7041940789473684</v>
      </c>
      <c r="AZ56" s="81"/>
      <c r="BA56" s="82">
        <f t="shared" ref="BA56:BC56" si="457">BA60-BA57+BA58</f>
        <v>3.7041940789473684</v>
      </c>
      <c r="BB56" s="81"/>
      <c r="BC56" s="82">
        <f t="shared" si="457"/>
        <v>3.7041940789473684</v>
      </c>
      <c r="BD56" s="81"/>
      <c r="BE56" s="82">
        <f t="shared" ref="BE56:BG56" si="458">BE60-BE57+BE58</f>
        <v>3.7041940789473684</v>
      </c>
      <c r="BF56" s="81"/>
      <c r="BG56" s="82">
        <f t="shared" si="458"/>
        <v>3.7041940789473684</v>
      </c>
      <c r="BH56" s="81"/>
      <c r="BI56" s="82">
        <f t="shared" ref="BI56:BK56" si="459">BI60-BI57+BI58</f>
        <v>3.7041940789473684</v>
      </c>
      <c r="BJ56" s="81"/>
      <c r="BK56" s="82">
        <f t="shared" si="459"/>
        <v>3.7041940789473684</v>
      </c>
      <c r="BL56" s="81"/>
      <c r="BM56" s="82">
        <f t="shared" ref="BM56" si="460">BM60-BM57+BM58</f>
        <v>3.7041940789473684</v>
      </c>
      <c r="BN56" s="81"/>
      <c r="BO56" s="82">
        <f t="shared" ref="BO56" si="461">BO60-BO57+BO58</f>
        <v>3.7041940789473684</v>
      </c>
    </row>
    <row r="57" spans="1:67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1.02</v>
      </c>
      <c r="H57" s="85"/>
      <c r="I57" s="86">
        <f>0.54+0.48</f>
        <v>1.02</v>
      </c>
      <c r="J57" s="85"/>
      <c r="K57" s="86">
        <f>0.54+0.48</f>
        <v>1.02</v>
      </c>
      <c r="L57" s="85"/>
      <c r="M57" s="86">
        <v>1.02</v>
      </c>
      <c r="N57" s="85"/>
      <c r="O57" s="86">
        <f>0.54+0.48</f>
        <v>1.02</v>
      </c>
      <c r="P57" s="85"/>
      <c r="Q57" s="86">
        <f>0.54+0.48</f>
        <v>1.02</v>
      </c>
      <c r="R57" s="85"/>
      <c r="S57" s="86">
        <v>1.02</v>
      </c>
      <c r="T57" s="85"/>
      <c r="U57" s="86">
        <f>0.54+0.48</f>
        <v>1.02</v>
      </c>
      <c r="V57" s="85"/>
      <c r="W57" s="86">
        <f>0.54+0.48</f>
        <v>1.02</v>
      </c>
      <c r="X57" s="85"/>
      <c r="Y57" s="86">
        <v>1.02</v>
      </c>
      <c r="Z57" s="85"/>
      <c r="AA57" s="86">
        <f>0.54+0.48</f>
        <v>1.02</v>
      </c>
      <c r="AB57" s="85"/>
      <c r="AC57" s="86">
        <f>0.54+0.48</f>
        <v>1.02</v>
      </c>
      <c r="AD57" s="85"/>
      <c r="AE57" s="86">
        <v>0.623984674329502</v>
      </c>
      <c r="AF57" s="85"/>
      <c r="AG57" s="86">
        <v>0.54525447639717861</v>
      </c>
      <c r="AH57" s="85"/>
      <c r="AI57" s="86">
        <v>1.1499999999999999</v>
      </c>
      <c r="AJ57" s="85"/>
      <c r="AK57" s="86">
        <v>1.1499999999999999</v>
      </c>
      <c r="AL57" s="85"/>
      <c r="AM57" s="86">
        <v>1.1499999999999999</v>
      </c>
      <c r="AN57" s="85"/>
      <c r="AO57" s="86">
        <v>1.1499999999999999</v>
      </c>
      <c r="AP57" s="85"/>
      <c r="AQ57" s="86">
        <v>1.1499999999999999</v>
      </c>
      <c r="AR57" s="85"/>
      <c r="AS57" s="86">
        <v>1.1499999999999999</v>
      </c>
      <c r="AT57" s="85"/>
      <c r="AU57" s="86">
        <v>1.1499999999999999</v>
      </c>
      <c r="AV57" s="85"/>
      <c r="AW57" s="86">
        <v>1.1499999999999999</v>
      </c>
      <c r="AX57" s="85"/>
      <c r="AY57" s="86">
        <v>1.1499999999999999</v>
      </c>
      <c r="AZ57" s="85"/>
      <c r="BA57" s="86">
        <v>1.1499999999999999</v>
      </c>
      <c r="BB57" s="85"/>
      <c r="BC57" s="86">
        <v>1.1499999999999999</v>
      </c>
      <c r="BD57" s="85"/>
      <c r="BE57" s="86">
        <v>1.1499999999999999</v>
      </c>
      <c r="BF57" s="85"/>
      <c r="BG57" s="86">
        <v>1.1499999999999999</v>
      </c>
      <c r="BH57" s="85"/>
      <c r="BI57" s="86">
        <v>1.1499999999999999</v>
      </c>
      <c r="BJ57" s="85"/>
      <c r="BK57" s="86">
        <v>1.1499999999999999</v>
      </c>
      <c r="BL57" s="85"/>
      <c r="BM57" s="86">
        <v>1.1499999999999999</v>
      </c>
      <c r="BN57" s="85"/>
      <c r="BO57" s="86">
        <v>1.1499999999999999</v>
      </c>
    </row>
    <row r="58" spans="1:67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</row>
    <row r="59" spans="1:67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4.7255125829959521</v>
      </c>
      <c r="H59" s="85"/>
      <c r="I59" s="86">
        <f>+I62+I65+I67</f>
        <v>4.7255125829959521</v>
      </c>
      <c r="J59" s="85"/>
      <c r="K59" s="86">
        <f>+K62+K65+K67</f>
        <v>4.7255125829959521</v>
      </c>
      <c r="L59" s="85"/>
      <c r="M59" s="86">
        <f>+M62+M65+M67</f>
        <v>4.7255125829959521</v>
      </c>
      <c r="N59" s="85"/>
      <c r="O59" s="86">
        <f>+O62+O65+O67</f>
        <v>4.7255125829959521</v>
      </c>
      <c r="P59" s="85"/>
      <c r="Q59" s="86">
        <f>+Q62+Q65+Q67</f>
        <v>4.7255125829959521</v>
      </c>
      <c r="R59" s="85"/>
      <c r="S59" s="86">
        <f>+S62+S65+S67</f>
        <v>4.7255125829959521</v>
      </c>
      <c r="T59" s="85"/>
      <c r="U59" s="86">
        <f>+U62+U65+U67</f>
        <v>4.7255125829959521</v>
      </c>
      <c r="V59" s="85"/>
      <c r="W59" s="86">
        <f>+W62+W65+W67</f>
        <v>4.7255125829959521</v>
      </c>
      <c r="X59" s="85"/>
      <c r="Y59" s="86">
        <f>+Y62+Y65+Y67</f>
        <v>4.7255125829959521</v>
      </c>
      <c r="Z59" s="85"/>
      <c r="AA59" s="86">
        <f>+AA62+AA65+AA67</f>
        <v>4.7255125829959521</v>
      </c>
      <c r="AB59" s="85"/>
      <c r="AC59" s="86">
        <f>+AC62+AC65+AC67</f>
        <v>4.7255125829959521</v>
      </c>
      <c r="AD59" s="85"/>
      <c r="AE59" s="86">
        <f t="shared" ref="AE59" si="462">+AE62+AE65+AE67</f>
        <v>4.8529149797570845</v>
      </c>
      <c r="AF59" s="85"/>
      <c r="AG59" s="86">
        <f t="shared" ref="AG59" si="463">+AG62+AG65+AG67</f>
        <v>4.8529149797570845</v>
      </c>
      <c r="AH59" s="85"/>
      <c r="AI59" s="86">
        <f t="shared" ref="AI59" si="464">+AI62+AI65+AI67</f>
        <v>4.8529149797570845</v>
      </c>
      <c r="AJ59" s="85"/>
      <c r="AK59" s="86">
        <f t="shared" ref="AK59" si="465">+AK62+AK65+AK67</f>
        <v>4.8529149797570845</v>
      </c>
      <c r="AL59" s="85"/>
      <c r="AM59" s="86">
        <f t="shared" ref="AM59" si="466">+AM62+AM65+AM67</f>
        <v>4.8529149797570845</v>
      </c>
      <c r="AN59" s="85"/>
      <c r="AO59" s="86">
        <f t="shared" ref="AO59" si="467">+AO62+AO65+AO67</f>
        <v>4.8529149797570845</v>
      </c>
      <c r="AP59" s="85"/>
      <c r="AQ59" s="86">
        <f t="shared" ref="AQ59" si="468">+AQ62+AQ65+AQ67</f>
        <v>4.8529149797570845</v>
      </c>
      <c r="AR59" s="85"/>
      <c r="AS59" s="86">
        <f t="shared" ref="AS59:AY59" si="469">+AS62+AS65+AS67</f>
        <v>4.8529149797570845</v>
      </c>
      <c r="AT59" s="85"/>
      <c r="AU59" s="86">
        <f t="shared" si="469"/>
        <v>4.8529149797570845</v>
      </c>
      <c r="AV59" s="85"/>
      <c r="AW59" s="86">
        <f t="shared" si="469"/>
        <v>4.8529149797570845</v>
      </c>
      <c r="AX59" s="85"/>
      <c r="AY59" s="86">
        <f t="shared" si="469"/>
        <v>4.8541940789473683</v>
      </c>
      <c r="AZ59" s="85"/>
      <c r="BA59" s="86">
        <f t="shared" ref="BA59:BC59" si="470">+BA62+BA65+BA67</f>
        <v>4.8541940789473683</v>
      </c>
      <c r="BB59" s="85"/>
      <c r="BC59" s="86">
        <f t="shared" si="470"/>
        <v>4.8541940789473683</v>
      </c>
      <c r="BD59" s="85"/>
      <c r="BE59" s="86">
        <f t="shared" ref="BE59:BG59" si="471">+BE62+BE65+BE67</f>
        <v>4.8541940789473683</v>
      </c>
      <c r="BF59" s="85"/>
      <c r="BG59" s="86">
        <f t="shared" si="471"/>
        <v>4.8541940789473683</v>
      </c>
      <c r="BH59" s="85"/>
      <c r="BI59" s="86">
        <f t="shared" ref="BI59:BK59" si="472">+BI62+BI65+BI67</f>
        <v>4.8541940789473683</v>
      </c>
      <c r="BJ59" s="85"/>
      <c r="BK59" s="86">
        <f t="shared" si="472"/>
        <v>4.8541940789473683</v>
      </c>
      <c r="BL59" s="85"/>
      <c r="BM59" s="86">
        <f t="shared" ref="BM59" si="473">+BM62+BM65+BM67</f>
        <v>4.8541940789473683</v>
      </c>
      <c r="BN59" s="85"/>
      <c r="BO59" s="86">
        <f t="shared" ref="BO59" si="474">+BO62+BO65+BO67</f>
        <v>4.8541940789473683</v>
      </c>
    </row>
    <row r="60" spans="1:67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4.7229149797570855</v>
      </c>
      <c r="H60" s="81"/>
      <c r="I60" s="82">
        <f>I65+I67</f>
        <v>4.7229149797570855</v>
      </c>
      <c r="J60" s="81"/>
      <c r="K60" s="82">
        <f>K65+K67</f>
        <v>4.7229149797570855</v>
      </c>
      <c r="L60" s="81"/>
      <c r="M60" s="82">
        <f>M65+M67</f>
        <v>4.7229149797570855</v>
      </c>
      <c r="N60" s="81"/>
      <c r="O60" s="82">
        <f>O65+O67</f>
        <v>4.7229149797570855</v>
      </c>
      <c r="P60" s="81"/>
      <c r="Q60" s="82">
        <f>Q65+Q67</f>
        <v>4.7229149797570855</v>
      </c>
      <c r="R60" s="81"/>
      <c r="S60" s="82">
        <f>S65+S67</f>
        <v>4.7229149797570855</v>
      </c>
      <c r="T60" s="81"/>
      <c r="U60" s="82">
        <f>U65+U67</f>
        <v>4.7229149797570855</v>
      </c>
      <c r="V60" s="81"/>
      <c r="W60" s="82">
        <f>W65+W67</f>
        <v>4.7229149797570855</v>
      </c>
      <c r="X60" s="81"/>
      <c r="Y60" s="82">
        <f>Y65+Y67</f>
        <v>4.7229149797570855</v>
      </c>
      <c r="Z60" s="81"/>
      <c r="AA60" s="82">
        <f>AA65+AA67</f>
        <v>4.7229149797570855</v>
      </c>
      <c r="AB60" s="81"/>
      <c r="AC60" s="82">
        <f>AC65+AC67</f>
        <v>4.7229149797570855</v>
      </c>
      <c r="AD60" s="81"/>
      <c r="AE60" s="82">
        <f>AE65+AE67+AE62</f>
        <v>4.8529149797570845</v>
      </c>
      <c r="AF60" s="81"/>
      <c r="AG60" s="82">
        <f>AG65+AG67+AG62</f>
        <v>4.8529149797570845</v>
      </c>
      <c r="AH60" s="81"/>
      <c r="AI60" s="82">
        <f>AI65+AI67+AI62</f>
        <v>4.8529149797570845</v>
      </c>
      <c r="AJ60" s="81"/>
      <c r="AK60" s="82">
        <f>AK65+AK67+AK62</f>
        <v>4.8529149797570845</v>
      </c>
      <c r="AL60" s="81"/>
      <c r="AM60" s="82">
        <f>AM65+AM67+AM62</f>
        <v>4.8529149797570845</v>
      </c>
      <c r="AN60" s="81"/>
      <c r="AO60" s="82">
        <f>AO65+AO67+AO62</f>
        <v>4.8529149797570845</v>
      </c>
      <c r="AP60" s="81"/>
      <c r="AQ60" s="82">
        <f>AQ65+AQ67+AQ62</f>
        <v>4.8529149797570845</v>
      </c>
      <c r="AR60" s="81"/>
      <c r="AS60" s="82">
        <f>AS65+AS67+AS62</f>
        <v>4.8529149797570845</v>
      </c>
      <c r="AT60" s="81"/>
      <c r="AU60" s="82">
        <f t="shared" ref="AU60" si="475">AU65+AU67+AU62</f>
        <v>4.8529149797570845</v>
      </c>
      <c r="AV60" s="81"/>
      <c r="AW60" s="82">
        <f t="shared" ref="AW60" si="476">AW65+AW67+AW62</f>
        <v>4.8529149797570845</v>
      </c>
      <c r="AX60" s="81"/>
      <c r="AY60" s="82">
        <f t="shared" ref="AY60:BA60" si="477">AY65+AY67+AY62</f>
        <v>4.8541940789473683</v>
      </c>
      <c r="AZ60" s="81"/>
      <c r="BA60" s="82">
        <f t="shared" si="477"/>
        <v>4.8541940789473683</v>
      </c>
      <c r="BB60" s="81"/>
      <c r="BC60" s="82">
        <f t="shared" ref="BC60:BE60" si="478">BC65+BC67+BC62</f>
        <v>4.8541940789473683</v>
      </c>
      <c r="BD60" s="81"/>
      <c r="BE60" s="82">
        <f t="shared" si="478"/>
        <v>4.8541940789473683</v>
      </c>
      <c r="BF60" s="81"/>
      <c r="BG60" s="82">
        <f t="shared" ref="BG60:BI60" si="479">BG65+BG67+BG62</f>
        <v>4.8541940789473683</v>
      </c>
      <c r="BH60" s="81"/>
      <c r="BI60" s="82">
        <f t="shared" si="479"/>
        <v>4.8541940789473683</v>
      </c>
      <c r="BJ60" s="81"/>
      <c r="BK60" s="82">
        <f t="shared" ref="BK60:BO60" si="480">BK65+BK67+BK62</f>
        <v>4.8541940789473683</v>
      </c>
      <c r="BL60" s="81"/>
      <c r="BM60" s="82">
        <f t="shared" ref="BM60" si="481">BM65+BM67+BM62</f>
        <v>4.8541940789473683</v>
      </c>
      <c r="BN60" s="81"/>
      <c r="BO60" s="82">
        <f t="shared" si="480"/>
        <v>4.8541940789473683</v>
      </c>
    </row>
    <row r="61" spans="1:67" s="4" customFormat="1" ht="18" customHeight="1" outlineLevel="1" x14ac:dyDescent="0.45">
      <c r="A61" s="561"/>
      <c r="B61" s="1184"/>
      <c r="C61" s="12" t="s">
        <v>66</v>
      </c>
      <c r="D61" s="11"/>
      <c r="E61" s="16"/>
      <c r="F61" s="42"/>
      <c r="G61" s="88"/>
      <c r="H61" s="359"/>
      <c r="I61" s="372"/>
      <c r="J61" s="359"/>
      <c r="K61" s="372"/>
      <c r="L61" s="42"/>
      <c r="M61" s="88"/>
      <c r="N61" s="359"/>
      <c r="O61" s="372"/>
      <c r="P61" s="359"/>
      <c r="Q61" s="372"/>
      <c r="R61" s="42"/>
      <c r="S61" s="88"/>
      <c r="T61" s="359"/>
      <c r="U61" s="372"/>
      <c r="V61" s="359"/>
      <c r="W61" s="372"/>
      <c r="X61" s="42"/>
      <c r="Y61" s="88"/>
      <c r="Z61" s="359"/>
      <c r="AA61" s="372"/>
      <c r="AB61" s="359"/>
      <c r="AC61" s="372"/>
      <c r="AD61" s="359"/>
      <c r="AE61" s="372"/>
      <c r="AF61" s="359"/>
      <c r="AG61" s="372"/>
      <c r="AH61" s="359"/>
      <c r="AI61" s="372"/>
      <c r="AJ61" s="359"/>
      <c r="AK61" s="372"/>
      <c r="AL61" s="359"/>
      <c r="AM61" s="372"/>
      <c r="AN61" s="359"/>
      <c r="AO61" s="372"/>
      <c r="AP61" s="359"/>
      <c r="AQ61" s="372"/>
      <c r="AR61" s="359"/>
      <c r="AS61" s="372"/>
      <c r="AT61" s="359"/>
      <c r="AU61" s="372"/>
      <c r="AV61" s="359"/>
      <c r="AW61" s="372"/>
      <c r="AX61" s="359"/>
      <c r="AY61" s="372"/>
      <c r="AZ61" s="359"/>
      <c r="BA61" s="372"/>
      <c r="BB61" s="359"/>
      <c r="BC61" s="372"/>
      <c r="BD61" s="359"/>
      <c r="BE61" s="372"/>
      <c r="BF61" s="359"/>
      <c r="BG61" s="372"/>
      <c r="BH61" s="359"/>
      <c r="BI61" s="372"/>
      <c r="BJ61" s="359"/>
      <c r="BK61" s="372"/>
      <c r="BL61" s="359"/>
      <c r="BM61" s="372"/>
      <c r="BN61" s="359"/>
      <c r="BO61" s="372"/>
    </row>
    <row r="62" spans="1:67" s="4" customFormat="1" ht="18" customHeight="1" outlineLevel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2.5976032388663971E-3</v>
      </c>
      <c r="H62" s="373"/>
      <c r="I62" s="374">
        <f>0.055/100*(I67+(I64/I66))</f>
        <v>2.5976032388663971E-3</v>
      </c>
      <c r="J62" s="373"/>
      <c r="K62" s="374">
        <f>0.055/100*(K67+(K64/K66))</f>
        <v>2.5976032388663971E-3</v>
      </c>
      <c r="L62" s="89"/>
      <c r="M62" s="90">
        <f>0.055/100*(M67+(M64/M66))</f>
        <v>2.5976032388663971E-3</v>
      </c>
      <c r="N62" s="373"/>
      <c r="O62" s="374">
        <f>0.055/100*(O67+(O64/O66))</f>
        <v>2.5976032388663971E-3</v>
      </c>
      <c r="P62" s="373"/>
      <c r="Q62" s="374">
        <f>0.055/100*(Q67+(Q64/Q66))</f>
        <v>2.5976032388663971E-3</v>
      </c>
      <c r="R62" s="89"/>
      <c r="S62" s="90">
        <f>0.055/100*(S67+(S64/S66))</f>
        <v>2.5976032388663971E-3</v>
      </c>
      <c r="T62" s="373"/>
      <c r="U62" s="374">
        <f>0.055/100*(U67+(U64/U66))</f>
        <v>2.5976032388663971E-3</v>
      </c>
      <c r="V62" s="373"/>
      <c r="W62" s="374">
        <f>0.055/100*(W67+(W64/W66))</f>
        <v>2.5976032388663971E-3</v>
      </c>
      <c r="X62" s="89"/>
      <c r="Y62" s="90">
        <f>0.055/100*(Y67+(Y64/Y66))</f>
        <v>2.5976032388663971E-3</v>
      </c>
      <c r="Z62" s="373"/>
      <c r="AA62" s="374">
        <f>0.055/100*(AA67+(AA64/AA66))</f>
        <v>2.5976032388663971E-3</v>
      </c>
      <c r="AB62" s="373"/>
      <c r="AC62" s="374">
        <f>0.055/100*(AC67+(AC64/AC66))</f>
        <v>2.5976032388663971E-3</v>
      </c>
      <c r="AD62" s="373"/>
      <c r="AE62" s="374">
        <v>0.01</v>
      </c>
      <c r="AF62" s="373"/>
      <c r="AG62" s="374">
        <v>0.01</v>
      </c>
      <c r="AH62" s="373"/>
      <c r="AI62" s="374">
        <v>0.01</v>
      </c>
      <c r="AJ62" s="373"/>
      <c r="AK62" s="374">
        <v>0.01</v>
      </c>
      <c r="AL62" s="373"/>
      <c r="AM62" s="374">
        <v>0.01</v>
      </c>
      <c r="AN62" s="373"/>
      <c r="AO62" s="374">
        <v>0.01</v>
      </c>
      <c r="AP62" s="373"/>
      <c r="AQ62" s="374">
        <v>0.01</v>
      </c>
      <c r="AR62" s="373"/>
      <c r="AS62" s="374">
        <v>0.01</v>
      </c>
      <c r="AT62" s="373"/>
      <c r="AU62" s="374">
        <v>0.01</v>
      </c>
      <c r="AV62" s="373"/>
      <c r="AW62" s="374">
        <v>0.01</v>
      </c>
      <c r="AX62" s="373"/>
      <c r="AY62" s="374">
        <v>0</v>
      </c>
      <c r="AZ62" s="373"/>
      <c r="BA62" s="374">
        <v>0</v>
      </c>
      <c r="BB62" s="373"/>
      <c r="BC62" s="374">
        <v>0</v>
      </c>
      <c r="BD62" s="373"/>
      <c r="BE62" s="374">
        <v>0</v>
      </c>
      <c r="BF62" s="373"/>
      <c r="BG62" s="374">
        <v>0</v>
      </c>
      <c r="BH62" s="373"/>
      <c r="BI62" s="374">
        <v>0</v>
      </c>
      <c r="BJ62" s="373"/>
      <c r="BK62" s="374">
        <v>0</v>
      </c>
      <c r="BL62" s="373"/>
      <c r="BM62" s="374">
        <v>0</v>
      </c>
      <c r="BN62" s="373"/>
      <c r="BO62" s="374">
        <v>0</v>
      </c>
    </row>
    <row r="63" spans="1:67" s="4" customFormat="1" ht="18" customHeight="1" outlineLevel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2.2014999999999999E-3</v>
      </c>
      <c r="H63" s="373"/>
      <c r="I63" s="374">
        <f>0.0425/100*(6.2-I57)</f>
        <v>2.2014999999999999E-3</v>
      </c>
      <c r="J63" s="373"/>
      <c r="K63" s="374">
        <f>0.0425/100*(6.2-K57)</f>
        <v>2.2014999999999999E-3</v>
      </c>
      <c r="L63" s="89"/>
      <c r="M63" s="90">
        <f>0.0425/100*(6.2-M57)</f>
        <v>2.2014999999999999E-3</v>
      </c>
      <c r="N63" s="373"/>
      <c r="O63" s="374">
        <f>0.0425/100*(6.2-O57)</f>
        <v>2.2014999999999999E-3</v>
      </c>
      <c r="P63" s="373"/>
      <c r="Q63" s="374">
        <f>0.0425/100*(6.2-Q57)</f>
        <v>2.2014999999999999E-3</v>
      </c>
      <c r="R63" s="89"/>
      <c r="S63" s="90">
        <f>0.0425/100*(6.2-S57)</f>
        <v>2.2014999999999999E-3</v>
      </c>
      <c r="T63" s="373"/>
      <c r="U63" s="374">
        <f>0.0425/100*(6.2-U57)</f>
        <v>2.2014999999999999E-3</v>
      </c>
      <c r="V63" s="373"/>
      <c r="W63" s="374">
        <f>0.0425/100*(6.2-W57)</f>
        <v>2.2014999999999999E-3</v>
      </c>
      <c r="X63" s="89"/>
      <c r="Y63" s="90">
        <f>0.0425/100*(6.2-Y57)</f>
        <v>2.2014999999999999E-3</v>
      </c>
      <c r="Z63" s="373"/>
      <c r="AA63" s="374">
        <f>0.0425/100*(6.2-AA57)</f>
        <v>2.2014999999999999E-3</v>
      </c>
      <c r="AB63" s="373"/>
      <c r="AC63" s="374">
        <f>0.0425/100*(6.2-AC57)</f>
        <v>2.2014999999999999E-3</v>
      </c>
      <c r="AD63" s="373"/>
      <c r="AE63" s="374">
        <f t="shared" ref="AE63" si="482">0.0425/100*(6.2-AE57)</f>
        <v>2.369806513409962E-3</v>
      </c>
      <c r="AF63" s="373"/>
      <c r="AG63" s="374">
        <f t="shared" ref="AG63" si="483">0.0425/100*(6.2-AG57)</f>
        <v>2.4032668475311996E-3</v>
      </c>
      <c r="AH63" s="373"/>
      <c r="AI63" s="374">
        <f t="shared" ref="AI63" si="484">0.0425/100*(6.2-AI57)</f>
        <v>2.1462500000000006E-3</v>
      </c>
      <c r="AJ63" s="373"/>
      <c r="AK63" s="374">
        <f t="shared" ref="AK63" si="485">0.0425/100*(6.2-AK57)</f>
        <v>2.1462500000000006E-3</v>
      </c>
      <c r="AL63" s="373"/>
      <c r="AM63" s="374">
        <f t="shared" ref="AM63" si="486">0.0425/100*(6.2-AM57)</f>
        <v>2.1462500000000006E-3</v>
      </c>
      <c r="AN63" s="373"/>
      <c r="AO63" s="374">
        <f t="shared" ref="AO63" si="487">0.0425/100*(6.2-AO57)</f>
        <v>2.1462500000000006E-3</v>
      </c>
      <c r="AP63" s="373"/>
      <c r="AQ63" s="374">
        <f t="shared" ref="AQ63" si="488">0.0425/100*(6.2-AQ57)</f>
        <v>2.1462500000000006E-3</v>
      </c>
      <c r="AR63" s="373"/>
      <c r="AS63" s="374">
        <f t="shared" ref="AS63:AY63" si="489">0.0425/100*(6.2-AS57)</f>
        <v>2.1462500000000006E-3</v>
      </c>
      <c r="AT63" s="373"/>
      <c r="AU63" s="374">
        <f t="shared" si="489"/>
        <v>2.1462500000000006E-3</v>
      </c>
      <c r="AV63" s="373"/>
      <c r="AW63" s="374">
        <f t="shared" si="489"/>
        <v>2.1462500000000006E-3</v>
      </c>
      <c r="AX63" s="373"/>
      <c r="AY63" s="374">
        <f t="shared" si="489"/>
        <v>2.1462500000000006E-3</v>
      </c>
      <c r="AZ63" s="373"/>
      <c r="BA63" s="374">
        <f t="shared" ref="BA63:BC63" si="490">0.0425/100*(6.2-BA57)</f>
        <v>2.1462500000000006E-3</v>
      </c>
      <c r="BB63" s="373"/>
      <c r="BC63" s="374">
        <f t="shared" si="490"/>
        <v>2.1462500000000006E-3</v>
      </c>
      <c r="BD63" s="373"/>
      <c r="BE63" s="374">
        <f t="shared" ref="BE63:BG63" si="491">0.0425/100*(6.2-BE57)</f>
        <v>2.1462500000000006E-3</v>
      </c>
      <c r="BF63" s="373"/>
      <c r="BG63" s="374">
        <f t="shared" si="491"/>
        <v>2.1462500000000006E-3</v>
      </c>
      <c r="BH63" s="373"/>
      <c r="BI63" s="374">
        <f t="shared" ref="BI63:BK63" si="492">0.0425/100*(6.2-BI57)</f>
        <v>2.1462500000000006E-3</v>
      </c>
      <c r="BJ63" s="373"/>
      <c r="BK63" s="374">
        <f t="shared" si="492"/>
        <v>2.1462500000000006E-3</v>
      </c>
      <c r="BL63" s="373"/>
      <c r="BM63" s="374">
        <f t="shared" ref="BM63" si="493">0.0425/100*(6.2-BM57)</f>
        <v>2.1462500000000006E-3</v>
      </c>
      <c r="BN63" s="373"/>
      <c r="BO63" s="374">
        <f t="shared" ref="BO63" si="494">0.0425/100*(6.2-BO57)</f>
        <v>2.1462500000000006E-3</v>
      </c>
    </row>
    <row r="64" spans="1:67" s="4" customFormat="1" ht="18" customHeight="1" outlineLevel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359"/>
      <c r="I64" s="91">
        <v>1200</v>
      </c>
      <c r="J64" s="359"/>
      <c r="K64" s="91">
        <v>1200</v>
      </c>
      <c r="L64" s="42"/>
      <c r="M64" s="91">
        <v>1200</v>
      </c>
      <c r="N64" s="359"/>
      <c r="O64" s="91">
        <v>1200</v>
      </c>
      <c r="P64" s="359"/>
      <c r="Q64" s="91">
        <v>1200</v>
      </c>
      <c r="R64" s="42"/>
      <c r="S64" s="91">
        <v>1200</v>
      </c>
      <c r="T64" s="359"/>
      <c r="U64" s="91">
        <v>1200</v>
      </c>
      <c r="V64" s="359"/>
      <c r="W64" s="91">
        <v>1200</v>
      </c>
      <c r="X64" s="42"/>
      <c r="Y64" s="91">
        <v>1200</v>
      </c>
      <c r="Z64" s="359"/>
      <c r="AA64" s="91">
        <v>1200</v>
      </c>
      <c r="AB64" s="359"/>
      <c r="AC64" s="91">
        <v>1200</v>
      </c>
      <c r="AD64" s="359"/>
      <c r="AE64" s="91">
        <v>1200</v>
      </c>
      <c r="AF64" s="359"/>
      <c r="AG64" s="91">
        <v>1200</v>
      </c>
      <c r="AH64" s="359"/>
      <c r="AI64" s="91">
        <v>1200</v>
      </c>
      <c r="AJ64" s="359"/>
      <c r="AK64" s="91">
        <v>1200</v>
      </c>
      <c r="AL64" s="359"/>
      <c r="AM64" s="91">
        <v>1200</v>
      </c>
      <c r="AN64" s="359"/>
      <c r="AO64" s="91">
        <v>1200</v>
      </c>
      <c r="AP64" s="359"/>
      <c r="AQ64" s="91">
        <v>1200</v>
      </c>
      <c r="AR64" s="359"/>
      <c r="AS64" s="91">
        <v>1200</v>
      </c>
      <c r="AT64" s="359"/>
      <c r="AU64" s="91">
        <v>1200</v>
      </c>
      <c r="AV64" s="359"/>
      <c r="AW64" s="91">
        <v>1200</v>
      </c>
      <c r="AX64" s="359"/>
      <c r="AY64" s="91">
        <v>750</v>
      </c>
      <c r="AZ64" s="359"/>
      <c r="BA64" s="91">
        <v>750</v>
      </c>
      <c r="BB64" s="359"/>
      <c r="BC64" s="91">
        <v>750</v>
      </c>
      <c r="BD64" s="359"/>
      <c r="BE64" s="91">
        <v>750</v>
      </c>
      <c r="BF64" s="359"/>
      <c r="BG64" s="91">
        <v>750</v>
      </c>
      <c r="BH64" s="359"/>
      <c r="BI64" s="91">
        <v>750</v>
      </c>
      <c r="BJ64" s="359"/>
      <c r="BK64" s="91">
        <v>750</v>
      </c>
      <c r="BL64" s="359"/>
      <c r="BM64" s="91">
        <v>750</v>
      </c>
      <c r="BN64" s="359"/>
      <c r="BO64" s="91">
        <v>750</v>
      </c>
    </row>
    <row r="65" spans="1:67" s="97" customFormat="1" ht="18" customHeight="1" outlineLevel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0.24291497975708501</v>
      </c>
      <c r="H65" s="375"/>
      <c r="I65" s="376">
        <f>+I64/I66</f>
        <v>0.24291497975708501</v>
      </c>
      <c r="J65" s="375"/>
      <c r="K65" s="376">
        <f>+K64/K66</f>
        <v>0.24291497975708501</v>
      </c>
      <c r="L65" s="95"/>
      <c r="M65" s="96">
        <f>+M64/M66</f>
        <v>0.24291497975708501</v>
      </c>
      <c r="N65" s="375"/>
      <c r="O65" s="376">
        <f>+O64/O66</f>
        <v>0.24291497975708501</v>
      </c>
      <c r="P65" s="375"/>
      <c r="Q65" s="376">
        <f>+Q64/Q66</f>
        <v>0.24291497975708501</v>
      </c>
      <c r="R65" s="95"/>
      <c r="S65" s="96">
        <f>+S64/S66</f>
        <v>0.24291497975708501</v>
      </c>
      <c r="T65" s="375"/>
      <c r="U65" s="376">
        <f>+U64/U66</f>
        <v>0.24291497975708501</v>
      </c>
      <c r="V65" s="375"/>
      <c r="W65" s="376">
        <f>+W64/W66</f>
        <v>0.24291497975708501</v>
      </c>
      <c r="X65" s="95"/>
      <c r="Y65" s="96">
        <f>+Y64/Y66</f>
        <v>0.24291497975708501</v>
      </c>
      <c r="Z65" s="375"/>
      <c r="AA65" s="376">
        <f>+AA64/AA66</f>
        <v>0.24291497975708501</v>
      </c>
      <c r="AB65" s="375"/>
      <c r="AC65" s="376">
        <f>+AC64/AC66</f>
        <v>0.24291497975708501</v>
      </c>
      <c r="AD65" s="375"/>
      <c r="AE65" s="376">
        <f t="shared" ref="AE65" si="495">+AE64/AE66</f>
        <v>0.24291497975708501</v>
      </c>
      <c r="AF65" s="375"/>
      <c r="AG65" s="376">
        <f t="shared" ref="AG65" si="496">+AG64/AG66</f>
        <v>0.24291497975708501</v>
      </c>
      <c r="AH65" s="375"/>
      <c r="AI65" s="376">
        <f t="shared" ref="AI65" si="497">+AI64/AI66</f>
        <v>0.24291497975708501</v>
      </c>
      <c r="AJ65" s="375"/>
      <c r="AK65" s="376">
        <f t="shared" ref="AK65" si="498">+AK64/AK66</f>
        <v>0.24291497975708501</v>
      </c>
      <c r="AL65" s="375"/>
      <c r="AM65" s="376">
        <f t="shared" ref="AM65" si="499">+AM64/AM66</f>
        <v>0.24291497975708501</v>
      </c>
      <c r="AN65" s="375"/>
      <c r="AO65" s="376">
        <f t="shared" ref="AO65" si="500">+AO64/AO66</f>
        <v>0.24291497975708501</v>
      </c>
      <c r="AP65" s="375"/>
      <c r="AQ65" s="376">
        <f t="shared" ref="AQ65" si="501">+AQ64/AQ66</f>
        <v>0.24291497975708501</v>
      </c>
      <c r="AR65" s="375"/>
      <c r="AS65" s="376">
        <f t="shared" ref="AS65:AY65" si="502">+AS64/AS66</f>
        <v>0.24291497975708501</v>
      </c>
      <c r="AT65" s="375"/>
      <c r="AU65" s="376">
        <f t="shared" si="502"/>
        <v>0.24291497975708501</v>
      </c>
      <c r="AV65" s="375"/>
      <c r="AW65" s="376">
        <f t="shared" si="502"/>
        <v>0.24291497975708501</v>
      </c>
      <c r="AX65" s="375"/>
      <c r="AY65" s="376">
        <f t="shared" si="502"/>
        <v>0.15419407894736842</v>
      </c>
      <c r="AZ65" s="375"/>
      <c r="BA65" s="376">
        <f t="shared" ref="BA65:BC65" si="503">+BA64/BA66</f>
        <v>0.15419407894736842</v>
      </c>
      <c r="BB65" s="375"/>
      <c r="BC65" s="376">
        <f t="shared" si="503"/>
        <v>0.15419407894736842</v>
      </c>
      <c r="BD65" s="375"/>
      <c r="BE65" s="376">
        <f t="shared" ref="BE65:BG65" si="504">+BE64/BE66</f>
        <v>0.15419407894736842</v>
      </c>
      <c r="BF65" s="375"/>
      <c r="BG65" s="376">
        <f t="shared" si="504"/>
        <v>0.15419407894736842</v>
      </c>
      <c r="BH65" s="375"/>
      <c r="BI65" s="376">
        <f t="shared" ref="BI65:BK65" si="505">+BI64/BI66</f>
        <v>0.15419407894736842</v>
      </c>
      <c r="BJ65" s="375"/>
      <c r="BK65" s="376">
        <f t="shared" si="505"/>
        <v>0.15419407894736842</v>
      </c>
      <c r="BL65" s="375"/>
      <c r="BM65" s="376">
        <f t="shared" ref="BM65" si="506">+BM64/BM66</f>
        <v>0.15419407894736842</v>
      </c>
      <c r="BN65" s="375"/>
      <c r="BO65" s="376">
        <f t="shared" ref="BO65" si="507">+BO64/BO66</f>
        <v>0.15419407894736842</v>
      </c>
    </row>
    <row r="66" spans="1:67" s="4" customFormat="1" ht="18" customHeight="1" outlineLevel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4940</v>
      </c>
      <c r="H66" s="359"/>
      <c r="I66" s="372">
        <f>G66</f>
        <v>4940</v>
      </c>
      <c r="J66" s="359"/>
      <c r="K66" s="372">
        <f>I66</f>
        <v>4940</v>
      </c>
      <c r="L66" s="42"/>
      <c r="M66" s="88">
        <v>4940</v>
      </c>
      <c r="N66" s="359"/>
      <c r="O66" s="372">
        <f>M66</f>
        <v>4940</v>
      </c>
      <c r="P66" s="359"/>
      <c r="Q66" s="372">
        <f>O66</f>
        <v>4940</v>
      </c>
      <c r="R66" s="42"/>
      <c r="S66" s="88">
        <v>4940</v>
      </c>
      <c r="T66" s="359"/>
      <c r="U66" s="372">
        <f>S66</f>
        <v>4940</v>
      </c>
      <c r="V66" s="359"/>
      <c r="W66" s="372">
        <f>U66</f>
        <v>4940</v>
      </c>
      <c r="X66" s="42"/>
      <c r="Y66" s="88">
        <v>4940</v>
      </c>
      <c r="Z66" s="359"/>
      <c r="AA66" s="372">
        <f>Y66</f>
        <v>4940</v>
      </c>
      <c r="AB66" s="359"/>
      <c r="AC66" s="372">
        <f>AA66</f>
        <v>4940</v>
      </c>
      <c r="AD66" s="359"/>
      <c r="AE66" s="372">
        <f t="shared" ref="AE66" si="508">AC66</f>
        <v>4940</v>
      </c>
      <c r="AF66" s="359"/>
      <c r="AG66" s="372">
        <f t="shared" ref="AG66" si="509">AE66</f>
        <v>4940</v>
      </c>
      <c r="AH66" s="359"/>
      <c r="AI66" s="372">
        <f t="shared" ref="AI66" si="510">AG66</f>
        <v>4940</v>
      </c>
      <c r="AJ66" s="359"/>
      <c r="AK66" s="372">
        <f t="shared" ref="AK66" si="511">AI66</f>
        <v>4940</v>
      </c>
      <c r="AL66" s="359"/>
      <c r="AM66" s="372">
        <f t="shared" ref="AM66" si="512">AK66</f>
        <v>4940</v>
      </c>
      <c r="AN66" s="359"/>
      <c r="AO66" s="372">
        <f t="shared" ref="AO66" si="513">AM66</f>
        <v>4940</v>
      </c>
      <c r="AP66" s="359"/>
      <c r="AQ66" s="372">
        <f t="shared" ref="AQ66" si="514">AO66</f>
        <v>4940</v>
      </c>
      <c r="AR66" s="359"/>
      <c r="AS66" s="372">
        <f t="shared" ref="AS66" si="515">AQ66</f>
        <v>4940</v>
      </c>
      <c r="AT66" s="359"/>
      <c r="AU66" s="372">
        <f t="shared" ref="AU66" si="516">AS66</f>
        <v>4940</v>
      </c>
      <c r="AV66" s="359"/>
      <c r="AW66" s="372">
        <f t="shared" ref="AW66" si="517">AU66</f>
        <v>4940</v>
      </c>
      <c r="AX66" s="359"/>
      <c r="AY66" s="372">
        <v>4864</v>
      </c>
      <c r="AZ66" s="359"/>
      <c r="BA66" s="372">
        <f t="shared" ref="BA66" si="518">AY66</f>
        <v>4864</v>
      </c>
      <c r="BB66" s="359"/>
      <c r="BC66" s="372">
        <f t="shared" ref="BC66" si="519">BA66</f>
        <v>4864</v>
      </c>
      <c r="BD66" s="359"/>
      <c r="BE66" s="372">
        <f t="shared" ref="BE66" si="520">BC66</f>
        <v>4864</v>
      </c>
      <c r="BF66" s="359"/>
      <c r="BG66" s="372">
        <f t="shared" ref="BG66" si="521">BE66</f>
        <v>4864</v>
      </c>
      <c r="BH66" s="359"/>
      <c r="BI66" s="372">
        <f t="shared" ref="BI66" si="522">BG66</f>
        <v>4864</v>
      </c>
      <c r="BJ66" s="359"/>
      <c r="BK66" s="372">
        <f t="shared" ref="BK66" si="523">BI66</f>
        <v>4864</v>
      </c>
      <c r="BL66" s="359"/>
      <c r="BM66" s="372">
        <f t="shared" ref="BM66" si="524">BK66</f>
        <v>4864</v>
      </c>
      <c r="BN66" s="359"/>
      <c r="BO66" s="372">
        <f t="shared" ref="BO66" si="525">BK66</f>
        <v>4864</v>
      </c>
    </row>
    <row r="67" spans="1:67" s="7" customFormat="1" ht="18" customHeight="1" outlineLevel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4.4800000000000004</v>
      </c>
      <c r="H67" s="81"/>
      <c r="I67" s="82">
        <v>4.4800000000000004</v>
      </c>
      <c r="J67" s="81"/>
      <c r="K67" s="82">
        <v>4.4800000000000004</v>
      </c>
      <c r="L67" s="81"/>
      <c r="M67" s="82">
        <v>4.4800000000000004</v>
      </c>
      <c r="N67" s="81"/>
      <c r="O67" s="82">
        <v>4.4800000000000004</v>
      </c>
      <c r="P67" s="81"/>
      <c r="Q67" s="82">
        <v>4.4800000000000004</v>
      </c>
      <c r="R67" s="81"/>
      <c r="S67" s="82">
        <v>4.4800000000000004</v>
      </c>
      <c r="T67" s="81"/>
      <c r="U67" s="82">
        <v>4.4800000000000004</v>
      </c>
      <c r="V67" s="81"/>
      <c r="W67" s="82">
        <v>4.4800000000000004</v>
      </c>
      <c r="X67" s="81"/>
      <c r="Y67" s="82">
        <v>4.4800000000000004</v>
      </c>
      <c r="Z67" s="81"/>
      <c r="AA67" s="82">
        <v>4.4800000000000004</v>
      </c>
      <c r="AB67" s="81"/>
      <c r="AC67" s="82">
        <v>4.4800000000000004</v>
      </c>
      <c r="AD67" s="81"/>
      <c r="AE67" s="82">
        <v>4.5999999999999996</v>
      </c>
      <c r="AF67" s="81"/>
      <c r="AG67" s="82">
        <v>4.5999999999999996</v>
      </c>
      <c r="AH67" s="81"/>
      <c r="AI67" s="82">
        <v>4.5999999999999996</v>
      </c>
      <c r="AJ67" s="81"/>
      <c r="AK67" s="82">
        <v>4.5999999999999996</v>
      </c>
      <c r="AL67" s="81"/>
      <c r="AM67" s="82">
        <v>4.5999999999999996</v>
      </c>
      <c r="AN67" s="81"/>
      <c r="AO67" s="82">
        <v>4.5999999999999996</v>
      </c>
      <c r="AP67" s="81"/>
      <c r="AQ67" s="82">
        <v>4.5999999999999996</v>
      </c>
      <c r="AR67" s="81"/>
      <c r="AS67" s="82">
        <v>4.5999999999999996</v>
      </c>
      <c r="AT67" s="81"/>
      <c r="AU67" s="82">
        <v>4.5999999999999996</v>
      </c>
      <c r="AV67" s="81"/>
      <c r="AW67" s="82">
        <v>4.5999999999999996</v>
      </c>
      <c r="AX67" s="81"/>
      <c r="AY67" s="82">
        <v>4.7</v>
      </c>
      <c r="AZ67" s="81"/>
      <c r="BA67" s="82">
        <v>4.7</v>
      </c>
      <c r="BB67" s="81"/>
      <c r="BC67" s="82">
        <v>4.7</v>
      </c>
      <c r="BD67" s="81"/>
      <c r="BE67" s="82">
        <v>4.7</v>
      </c>
      <c r="BF67" s="81"/>
      <c r="BG67" s="82">
        <v>4.7</v>
      </c>
      <c r="BH67" s="81"/>
      <c r="BI67" s="82">
        <v>4.7</v>
      </c>
      <c r="BJ67" s="81"/>
      <c r="BK67" s="82">
        <v>4.7</v>
      </c>
      <c r="BL67" s="81"/>
      <c r="BM67" s="82">
        <v>4.7</v>
      </c>
      <c r="BN67" s="81"/>
      <c r="BO67" s="82">
        <v>4.7</v>
      </c>
    </row>
    <row r="68" spans="1:67" s="7" customFormat="1" ht="18" customHeight="1" outlineLevel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3.4600000000000004</v>
      </c>
      <c r="H68" s="81"/>
      <c r="I68" s="82">
        <f>I56-I65</f>
        <v>3.4600000000000004</v>
      </c>
      <c r="J68" s="81"/>
      <c r="K68" s="82">
        <f>K56-K65</f>
        <v>3.4600000000000004</v>
      </c>
      <c r="L68" s="81"/>
      <c r="M68" s="82">
        <f>M56-M65</f>
        <v>3.4600000000000004</v>
      </c>
      <c r="N68" s="81"/>
      <c r="O68" s="82">
        <f>O56-O65</f>
        <v>3.4600000000000004</v>
      </c>
      <c r="P68" s="81"/>
      <c r="Q68" s="82">
        <f>Q56-Q65</f>
        <v>3.4600000000000004</v>
      </c>
      <c r="R68" s="81"/>
      <c r="S68" s="82">
        <f>S56-S65</f>
        <v>3.4600000000000004</v>
      </c>
      <c r="T68" s="81"/>
      <c r="U68" s="82">
        <f>U56-U65</f>
        <v>3.4600000000000004</v>
      </c>
      <c r="V68" s="81"/>
      <c r="W68" s="82">
        <f>W56-W65</f>
        <v>3.4600000000000004</v>
      </c>
      <c r="X68" s="81"/>
      <c r="Y68" s="82">
        <f>Y56-Y65</f>
        <v>3.4600000000000004</v>
      </c>
      <c r="Z68" s="81"/>
      <c r="AA68" s="82">
        <f>AA56-AA65</f>
        <v>3.4600000000000004</v>
      </c>
      <c r="AB68" s="81"/>
      <c r="AC68" s="82">
        <f>AC56-AC65</f>
        <v>3.4600000000000004</v>
      </c>
      <c r="AD68" s="81"/>
      <c r="AE68" s="82">
        <f t="shared" ref="AE68" si="526">AE56-AE65</f>
        <v>3.9860153256704978</v>
      </c>
      <c r="AF68" s="81"/>
      <c r="AG68" s="82">
        <f t="shared" ref="AG68" si="527">AG56-AG65</f>
        <v>4.0647455236028209</v>
      </c>
      <c r="AH68" s="81"/>
      <c r="AI68" s="82">
        <f t="shared" ref="AI68" si="528">AI56-AI65</f>
        <v>3.4599999999999995</v>
      </c>
      <c r="AJ68" s="81"/>
      <c r="AK68" s="82">
        <f t="shared" ref="AK68" si="529">AK56-AK65</f>
        <v>3.4599999999999995</v>
      </c>
      <c r="AL68" s="81"/>
      <c r="AM68" s="82">
        <f t="shared" ref="AM68" si="530">AM56-AM65</f>
        <v>3.4599999999999995</v>
      </c>
      <c r="AN68" s="81"/>
      <c r="AO68" s="82">
        <f t="shared" ref="AO68" si="531">AO56-AO65</f>
        <v>3.4599999999999995</v>
      </c>
      <c r="AP68" s="81"/>
      <c r="AQ68" s="82">
        <f t="shared" ref="AQ68" si="532">AQ56-AQ65</f>
        <v>3.4599999999999995</v>
      </c>
      <c r="AR68" s="81"/>
      <c r="AS68" s="82">
        <f t="shared" ref="AS68:AY68" si="533">AS56-AS65</f>
        <v>3.4599999999999995</v>
      </c>
      <c r="AT68" s="81"/>
      <c r="AU68" s="82">
        <f t="shared" si="533"/>
        <v>3.4599999999999995</v>
      </c>
      <c r="AV68" s="81"/>
      <c r="AW68" s="82">
        <f t="shared" si="533"/>
        <v>3.4599999999999995</v>
      </c>
      <c r="AX68" s="81"/>
      <c r="AY68" s="82">
        <f t="shared" si="533"/>
        <v>3.55</v>
      </c>
      <c r="AZ68" s="81"/>
      <c r="BA68" s="82">
        <f t="shared" ref="BA68:BC68" si="534">BA56-BA65</f>
        <v>3.55</v>
      </c>
      <c r="BB68" s="81"/>
      <c r="BC68" s="82">
        <f t="shared" si="534"/>
        <v>3.55</v>
      </c>
      <c r="BD68" s="81"/>
      <c r="BE68" s="82">
        <f t="shared" ref="BE68:BG68" si="535">BE56-BE65</f>
        <v>3.55</v>
      </c>
      <c r="BF68" s="81"/>
      <c r="BG68" s="82">
        <f t="shared" si="535"/>
        <v>3.55</v>
      </c>
      <c r="BH68" s="81"/>
      <c r="BI68" s="82">
        <f t="shared" ref="BI68:BK68" si="536">BI56-BI65</f>
        <v>3.55</v>
      </c>
      <c r="BJ68" s="81"/>
      <c r="BK68" s="82">
        <f t="shared" si="536"/>
        <v>3.55</v>
      </c>
      <c r="BL68" s="81"/>
      <c r="BM68" s="82">
        <f t="shared" ref="BM68" si="537">BM56-BM65</f>
        <v>3.55</v>
      </c>
      <c r="BN68" s="81"/>
      <c r="BO68" s="82">
        <f t="shared" ref="BO68" si="538">BO56-BO65</f>
        <v>3.55</v>
      </c>
    </row>
    <row r="69" spans="1:67" s="103" customFormat="1" ht="18" customHeight="1" outlineLevel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0.37333333333333335</v>
      </c>
      <c r="H69" s="101"/>
      <c r="I69" s="102">
        <f>+I67/I10</f>
        <v>0.37333333333333335</v>
      </c>
      <c r="J69" s="101"/>
      <c r="K69" s="102">
        <f>+K67/K10</f>
        <v>0.37333333333333335</v>
      </c>
      <c r="L69" s="101"/>
      <c r="M69" s="102">
        <f>+M67/M10</f>
        <v>0.37333333333333335</v>
      </c>
      <c r="N69" s="101"/>
      <c r="O69" s="102">
        <f>+O67/O10</f>
        <v>0.37333333333333335</v>
      </c>
      <c r="P69" s="101"/>
      <c r="Q69" s="102">
        <f>+Q67/Q10</f>
        <v>0.37333333333333335</v>
      </c>
      <c r="R69" s="101"/>
      <c r="S69" s="102">
        <f>+S67/S10</f>
        <v>0.37333333333333335</v>
      </c>
      <c r="T69" s="101"/>
      <c r="U69" s="102">
        <f>+U67/U10</f>
        <v>0.37333333333333335</v>
      </c>
      <c r="V69" s="101"/>
      <c r="W69" s="102">
        <f>+W67/W10</f>
        <v>0.37333333333333335</v>
      </c>
      <c r="X69" s="101"/>
      <c r="Y69" s="102">
        <f>+Y67/Y10</f>
        <v>0.37333333333333335</v>
      </c>
      <c r="Z69" s="101"/>
      <c r="AA69" s="102">
        <f>+AA67/AA10</f>
        <v>0.37333333333333335</v>
      </c>
      <c r="AB69" s="101"/>
      <c r="AC69" s="102">
        <f>+AC67/AC10</f>
        <v>0.37333333333333335</v>
      </c>
      <c r="AD69" s="101"/>
      <c r="AE69" s="102">
        <f t="shared" ref="AE69" si="539">+AE67/AE10</f>
        <v>0.3833333333333333</v>
      </c>
      <c r="AF69" s="101"/>
      <c r="AG69" s="102">
        <f t="shared" ref="AG69" si="540">+AG67/AG10</f>
        <v>0.3833333333333333</v>
      </c>
      <c r="AH69" s="101"/>
      <c r="AI69" s="102">
        <f t="shared" ref="AI69" si="541">+AI67/AI10</f>
        <v>0.3833333333333333</v>
      </c>
      <c r="AJ69" s="101"/>
      <c r="AK69" s="102">
        <f t="shared" ref="AK69" si="542">+AK67/AK10</f>
        <v>0.3833333333333333</v>
      </c>
      <c r="AL69" s="101"/>
      <c r="AM69" s="102">
        <f t="shared" ref="AM69" si="543">+AM67/AM10</f>
        <v>0.3833333333333333</v>
      </c>
      <c r="AN69" s="101"/>
      <c r="AO69" s="102">
        <f t="shared" ref="AO69" si="544">+AO67/AO10</f>
        <v>0.3833333333333333</v>
      </c>
      <c r="AP69" s="101"/>
      <c r="AQ69" s="102">
        <f t="shared" ref="AQ69" si="545">+AQ67/AQ10</f>
        <v>0.3833333333333333</v>
      </c>
      <c r="AR69" s="101"/>
      <c r="AS69" s="102">
        <f t="shared" ref="AS69:AY69" si="546">+AS67/AS10</f>
        <v>0.3833333333333333</v>
      </c>
      <c r="AT69" s="101"/>
      <c r="AU69" s="102">
        <f t="shared" si="546"/>
        <v>0.3833333333333333</v>
      </c>
      <c r="AV69" s="101"/>
      <c r="AW69" s="102">
        <f t="shared" si="546"/>
        <v>0.3833333333333333</v>
      </c>
      <c r="AX69" s="101"/>
      <c r="AY69" s="102">
        <f t="shared" si="546"/>
        <v>0.39166666666666666</v>
      </c>
      <c r="AZ69" s="101"/>
      <c r="BA69" s="102">
        <f t="shared" ref="BA69:BC69" si="547">+BA67/BA10</f>
        <v>0.39166666666666666</v>
      </c>
      <c r="BB69" s="101"/>
      <c r="BC69" s="102">
        <f t="shared" si="547"/>
        <v>0.39166666666666666</v>
      </c>
      <c r="BD69" s="101"/>
      <c r="BE69" s="102">
        <f t="shared" ref="BE69:BG69" si="548">+BE67/BE10</f>
        <v>0.39166666666666666</v>
      </c>
      <c r="BF69" s="101"/>
      <c r="BG69" s="102">
        <f t="shared" si="548"/>
        <v>0.39166666666666666</v>
      </c>
      <c r="BH69" s="101"/>
      <c r="BI69" s="102">
        <f t="shared" ref="BI69:BK69" si="549">+BI67/BI10</f>
        <v>0.39166666666666666</v>
      </c>
      <c r="BJ69" s="101"/>
      <c r="BK69" s="102">
        <f t="shared" si="549"/>
        <v>0.39166666666666666</v>
      </c>
      <c r="BL69" s="101"/>
      <c r="BM69" s="102">
        <f t="shared" ref="BM69" si="550">+BM67/BM10</f>
        <v>0.39166666666666666</v>
      </c>
      <c r="BN69" s="101"/>
      <c r="BO69" s="102">
        <f t="shared" ref="BO69" si="551">+BO67/BO10</f>
        <v>0.39166666666666666</v>
      </c>
    </row>
    <row r="70" spans="1:67" s="4" customFormat="1" ht="18" customHeight="1" outlineLevel="1" thickBot="1" x14ac:dyDescent="0.5">
      <c r="A70" s="561"/>
      <c r="B70" s="1184"/>
      <c r="C70" s="104"/>
      <c r="D70" s="105"/>
      <c r="E70" s="105"/>
      <c r="F70" s="106"/>
      <c r="G70" s="107"/>
      <c r="H70" s="377"/>
      <c r="I70" s="378"/>
      <c r="J70" s="377"/>
      <c r="K70" s="378"/>
      <c r="L70" s="106"/>
      <c r="M70" s="107"/>
      <c r="N70" s="377"/>
      <c r="O70" s="378"/>
      <c r="P70" s="377"/>
      <c r="Q70" s="378"/>
      <c r="R70" s="106"/>
      <c r="S70" s="107"/>
      <c r="T70" s="377"/>
      <c r="U70" s="378"/>
      <c r="V70" s="377"/>
      <c r="W70" s="378"/>
      <c r="X70" s="106"/>
      <c r="Y70" s="107"/>
      <c r="Z70" s="377"/>
      <c r="AA70" s="378"/>
      <c r="AB70" s="377"/>
      <c r="AC70" s="378"/>
      <c r="AD70" s="377"/>
      <c r="AE70" s="378"/>
      <c r="AF70" s="377"/>
      <c r="AG70" s="378"/>
      <c r="AH70" s="377"/>
      <c r="AI70" s="378"/>
      <c r="AJ70" s="377"/>
      <c r="AK70" s="378"/>
      <c r="AL70" s="377"/>
      <c r="AM70" s="378"/>
      <c r="AN70" s="377"/>
      <c r="AO70" s="378"/>
      <c r="AP70" s="377"/>
      <c r="AQ70" s="378"/>
      <c r="AR70" s="377"/>
      <c r="AS70" s="378"/>
      <c r="AT70" s="377"/>
      <c r="AU70" s="378"/>
      <c r="AV70" s="377"/>
      <c r="AW70" s="378"/>
      <c r="AX70" s="377"/>
      <c r="AY70" s="378"/>
      <c r="AZ70" s="377"/>
      <c r="BA70" s="378"/>
      <c r="BB70" s="377"/>
      <c r="BC70" s="378"/>
      <c r="BD70" s="377"/>
      <c r="BE70" s="378"/>
      <c r="BF70" s="377"/>
      <c r="BG70" s="378"/>
      <c r="BH70" s="377"/>
      <c r="BI70" s="378"/>
      <c r="BJ70" s="377"/>
      <c r="BK70" s="378"/>
      <c r="BL70" s="377"/>
      <c r="BM70" s="378"/>
      <c r="BN70" s="377"/>
      <c r="BO70" s="378"/>
    </row>
    <row r="71" spans="1:67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2.3856968416146938</v>
      </c>
      <c r="H71" s="111"/>
      <c r="I71" s="112">
        <f>I74+I72</f>
        <v>2.3856968416146938</v>
      </c>
      <c r="J71" s="111"/>
      <c r="K71" s="112">
        <f>K74+K72</f>
        <v>2.7322007740658072</v>
      </c>
      <c r="L71" s="111"/>
      <c r="M71" s="112">
        <f>M74+M72</f>
        <v>2.5237042260137383</v>
      </c>
      <c r="N71" s="111"/>
      <c r="O71" s="112">
        <f>O74+O72</f>
        <v>2.7168094017393325</v>
      </c>
      <c r="P71" s="111"/>
      <c r="Q71" s="112">
        <f>Q74+Q72</f>
        <v>2.7168094017393325</v>
      </c>
      <c r="R71" s="111"/>
      <c r="S71" s="112">
        <f>S74+S72</f>
        <v>2.6496337303278912</v>
      </c>
      <c r="T71" s="111"/>
      <c r="U71" s="112">
        <f>U74+U72</f>
        <v>2.6496337303278912</v>
      </c>
      <c r="V71" s="111"/>
      <c r="W71" s="112">
        <f>W74+W72</f>
        <v>2.7202214273511771</v>
      </c>
      <c r="X71" s="111"/>
      <c r="Y71" s="112">
        <f>Y74+Y72</f>
        <v>2.6641312213275388</v>
      </c>
      <c r="Z71" s="111"/>
      <c r="AA71" s="112">
        <f>AA74+AA72</f>
        <v>2.5806650881991016</v>
      </c>
      <c r="AB71" s="111"/>
      <c r="AC71" s="112">
        <f>AC74+AC72</f>
        <v>2.4667509355033657</v>
      </c>
      <c r="AD71" s="111"/>
      <c r="AE71" s="112">
        <f t="shared" ref="AE71" si="552">AE74+AE72</f>
        <v>2.5429159912345844</v>
      </c>
      <c r="AF71" s="111"/>
      <c r="AG71" s="112">
        <f t="shared" ref="AG71" si="553">AG74+AG72</f>
        <v>2.5602782819284142</v>
      </c>
      <c r="AH71" s="111"/>
      <c r="AI71" s="112">
        <f t="shared" ref="AI71" si="554">AI74+AI72</f>
        <v>2.5602782819284142</v>
      </c>
      <c r="AJ71" s="111"/>
      <c r="AK71" s="112">
        <f t="shared" ref="AK71" si="555">AK74+AK72</f>
        <v>2.7263123387291772</v>
      </c>
      <c r="AL71" s="111"/>
      <c r="AM71" s="112">
        <f t="shared" ref="AM71" si="556">AM74+AM72</f>
        <v>2.7263123387291772</v>
      </c>
      <c r="AN71" s="111"/>
      <c r="AO71" s="112">
        <f t="shared" ref="AO71" si="557">AO74+AO72</f>
        <v>2.7721426621456424</v>
      </c>
      <c r="AP71" s="111"/>
      <c r="AQ71" s="112">
        <f t="shared" ref="AQ71" si="558">AQ74+AQ72</f>
        <v>2.7721426621456424</v>
      </c>
      <c r="AR71" s="111"/>
      <c r="AS71" s="112">
        <f t="shared" ref="AS71:AY71" si="559">AS74+AS72</f>
        <v>2.7721426621456424</v>
      </c>
      <c r="AT71" s="111"/>
      <c r="AU71" s="112">
        <f t="shared" si="559"/>
        <v>2.3181153069054652</v>
      </c>
      <c r="AV71" s="111"/>
      <c r="AW71" s="112">
        <f t="shared" si="559"/>
        <v>2.2058090445262586</v>
      </c>
      <c r="AX71" s="111"/>
      <c r="AY71" s="112">
        <f t="shared" si="559"/>
        <v>2.2560052699300361</v>
      </c>
      <c r="AZ71" s="111"/>
      <c r="BA71" s="112">
        <f t="shared" ref="BA71:BC71" si="560">BA74+BA72</f>
        <v>2.1629908805499478</v>
      </c>
      <c r="BB71" s="111"/>
      <c r="BC71" s="112">
        <f t="shared" si="560"/>
        <v>2.3317925143081704</v>
      </c>
      <c r="BD71" s="111"/>
      <c r="BE71" s="112">
        <f t="shared" ref="BE71:BG71" si="561">BE74+BE72</f>
        <v>2.1814882230554709</v>
      </c>
      <c r="BF71" s="111"/>
      <c r="BG71" s="112">
        <f t="shared" si="561"/>
        <v>2.6039158298199174</v>
      </c>
      <c r="BH71" s="111"/>
      <c r="BI71" s="112">
        <f t="shared" ref="BI71:BK71" si="562">BI74+BI72</f>
        <v>2.3351859435582556</v>
      </c>
      <c r="BJ71" s="111"/>
      <c r="BK71" s="112">
        <f t="shared" si="562"/>
        <v>2.2687316319794206</v>
      </c>
      <c r="BL71" s="111"/>
      <c r="BM71" s="112">
        <f t="shared" ref="BM71" si="563">BM74+BM72</f>
        <v>2.2292826476121705</v>
      </c>
      <c r="BN71" s="111"/>
      <c r="BO71" s="112">
        <f t="shared" ref="BO71" si="564">BO74+BO72</f>
        <v>2.2518909217693643</v>
      </c>
    </row>
    <row r="72" spans="1:67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4.2385511597152363E-2</v>
      </c>
      <c r="H72" s="116"/>
      <c r="I72" s="117">
        <v>4.2385511597152363E-2</v>
      </c>
      <c r="J72" s="116"/>
      <c r="K72" s="117">
        <v>4.7008795934724318E-2</v>
      </c>
      <c r="L72" s="116"/>
      <c r="M72" s="117">
        <v>3.27102564144914E-2</v>
      </c>
      <c r="N72" s="116"/>
      <c r="O72" s="117">
        <v>3.9379634930487621E-2</v>
      </c>
      <c r="P72" s="116"/>
      <c r="Q72" s="117">
        <f>O72</f>
        <v>3.9379634930487621E-2</v>
      </c>
      <c r="R72" s="116"/>
      <c r="S72" s="117">
        <v>3.7026555104111576E-2</v>
      </c>
      <c r="T72" s="116"/>
      <c r="U72" s="117">
        <f>S72</f>
        <v>3.7026555104111576E-2</v>
      </c>
      <c r="V72" s="116"/>
      <c r="W72" s="117">
        <v>3.6437002896041883E-2</v>
      </c>
      <c r="X72" s="116"/>
      <c r="Y72" s="117">
        <f>W72</f>
        <v>3.6437002896041883E-2</v>
      </c>
      <c r="Z72" s="116"/>
      <c r="AA72" s="117">
        <v>3.762920411638352E-2</v>
      </c>
      <c r="AB72" s="116"/>
      <c r="AC72" s="117">
        <v>3.7290225820679868E-2</v>
      </c>
      <c r="AD72" s="116"/>
      <c r="AE72" s="117">
        <v>3.7290225820679868E-2</v>
      </c>
      <c r="AF72" s="116"/>
      <c r="AG72" s="117">
        <v>3.7290225820679868E-2</v>
      </c>
      <c r="AH72" s="116"/>
      <c r="AI72" s="117">
        <v>3.7290225820679868E-2</v>
      </c>
      <c r="AJ72" s="116"/>
      <c r="AK72" s="117">
        <v>3.7290225820679868E-2</v>
      </c>
      <c r="AL72" s="116"/>
      <c r="AM72" s="117">
        <v>3.7290225820679868E-2</v>
      </c>
      <c r="AN72" s="116"/>
      <c r="AO72" s="117">
        <v>3.9421599686285703E-2</v>
      </c>
      <c r="AP72" s="116"/>
      <c r="AQ72" s="117">
        <f>AO72</f>
        <v>3.9421599686285703E-2</v>
      </c>
      <c r="AR72" s="116"/>
      <c r="AS72" s="117">
        <f>AQ72</f>
        <v>3.9421599686285703E-2</v>
      </c>
      <c r="AT72" s="116"/>
      <c r="AU72" s="117">
        <v>3.831660167448718E-2</v>
      </c>
      <c r="AV72" s="116"/>
      <c r="AW72" s="117">
        <v>3.5809044526258701E-2</v>
      </c>
      <c r="AX72" s="116"/>
      <c r="AY72" s="117">
        <v>3.6005269930035902E-2</v>
      </c>
      <c r="AZ72" s="116"/>
      <c r="BA72" s="117">
        <v>3.7697373382267897E-2</v>
      </c>
      <c r="BB72" s="116"/>
      <c r="BC72" s="117">
        <v>3.7697373382267897E-2</v>
      </c>
      <c r="BD72" s="116"/>
      <c r="BE72" s="117">
        <v>3.7697373382267897E-2</v>
      </c>
      <c r="BF72" s="116"/>
      <c r="BG72" s="117">
        <v>3.7697373382267897E-2</v>
      </c>
      <c r="BH72" s="116"/>
      <c r="BI72" s="117">
        <v>3.7697373382267897E-2</v>
      </c>
      <c r="BJ72" s="116"/>
      <c r="BK72" s="117">
        <v>3.7697373382267897E-2</v>
      </c>
      <c r="BL72" s="116"/>
      <c r="BM72" s="117">
        <v>3.7697373382267897E-2</v>
      </c>
      <c r="BN72" s="116"/>
      <c r="BO72" s="117">
        <v>3.7697373382267897E-2</v>
      </c>
    </row>
    <row r="73" spans="1:67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359"/>
      <c r="I73" s="379"/>
      <c r="J73" s="359"/>
      <c r="K73" s="379"/>
      <c r="L73" s="42"/>
      <c r="M73" s="118"/>
      <c r="N73" s="359"/>
      <c r="O73" s="379"/>
      <c r="P73" s="359"/>
      <c r="Q73" s="379"/>
      <c r="R73" s="42"/>
      <c r="S73" s="118"/>
      <c r="T73" s="359"/>
      <c r="U73" s="379"/>
      <c r="V73" s="359"/>
      <c r="W73" s="379"/>
      <c r="X73" s="42"/>
      <c r="Y73" s="118"/>
      <c r="Z73" s="359"/>
      <c r="AA73" s="379"/>
      <c r="AB73" s="359"/>
      <c r="AC73" s="379"/>
      <c r="AD73" s="359"/>
      <c r="AE73" s="379"/>
      <c r="AF73" s="359"/>
      <c r="AG73" s="379"/>
      <c r="AH73" s="359"/>
      <c r="AI73" s="379"/>
      <c r="AJ73" s="359"/>
      <c r="AK73" s="379"/>
      <c r="AL73" s="359"/>
      <c r="AM73" s="379"/>
      <c r="AN73" s="359"/>
      <c r="AO73" s="379"/>
      <c r="AP73" s="359"/>
      <c r="AQ73" s="379"/>
      <c r="AR73" s="359"/>
      <c r="AS73" s="379"/>
      <c r="AT73" s="359"/>
      <c r="AU73" s="379"/>
      <c r="AV73" s="359"/>
      <c r="AW73" s="379"/>
      <c r="AX73" s="359"/>
      <c r="AY73" s="379"/>
      <c r="AZ73" s="359"/>
      <c r="BA73" s="379"/>
      <c r="BB73" s="359"/>
      <c r="BC73" s="379"/>
      <c r="BD73" s="359"/>
      <c r="BE73" s="379"/>
      <c r="BF73" s="359"/>
      <c r="BG73" s="379"/>
      <c r="BH73" s="359"/>
      <c r="BI73" s="379"/>
      <c r="BJ73" s="359"/>
      <c r="BK73" s="379"/>
      <c r="BL73" s="359"/>
      <c r="BM73" s="379"/>
      <c r="BN73" s="359"/>
      <c r="BO73" s="379"/>
    </row>
    <row r="74" spans="1:67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2.3433113300175412</v>
      </c>
      <c r="H74" s="66"/>
      <c r="I74" s="70">
        <v>2.3433113300175412</v>
      </c>
      <c r="J74" s="66"/>
      <c r="K74" s="70">
        <v>2.6851919781310829</v>
      </c>
      <c r="L74" s="66"/>
      <c r="M74" s="70">
        <v>2.4909939695992471</v>
      </c>
      <c r="N74" s="66"/>
      <c r="O74" s="70">
        <v>2.6774297668088449</v>
      </c>
      <c r="P74" s="66"/>
      <c r="Q74" s="70">
        <f>O74</f>
        <v>2.6774297668088449</v>
      </c>
      <c r="R74" s="66"/>
      <c r="S74" s="70">
        <v>2.6126071752237796</v>
      </c>
      <c r="T74" s="66"/>
      <c r="U74" s="70">
        <f>S74</f>
        <v>2.6126071752237796</v>
      </c>
      <c r="V74" s="66"/>
      <c r="W74" s="70">
        <v>2.6837844244551352</v>
      </c>
      <c r="X74" s="66"/>
      <c r="Y74" s="70">
        <v>2.6276942184314969</v>
      </c>
      <c r="Z74" s="66"/>
      <c r="AA74" s="70">
        <v>2.5430358840827179</v>
      </c>
      <c r="AB74" s="66"/>
      <c r="AC74" s="70">
        <v>2.4294607096826857</v>
      </c>
      <c r="AD74" s="66"/>
      <c r="AE74" s="70">
        <v>2.5056257654139045</v>
      </c>
      <c r="AF74" s="66"/>
      <c r="AG74" s="70">
        <v>2.5229880561077342</v>
      </c>
      <c r="AH74" s="66"/>
      <c r="AI74" s="70">
        <v>2.5229880561077342</v>
      </c>
      <c r="AJ74" s="66"/>
      <c r="AK74" s="70">
        <v>2.6890221129084972</v>
      </c>
      <c r="AL74" s="66"/>
      <c r="AM74" s="70">
        <v>2.6890221129084972</v>
      </c>
      <c r="AN74" s="66"/>
      <c r="AO74" s="70">
        <v>2.7327210624593565</v>
      </c>
      <c r="AP74" s="66"/>
      <c r="AQ74" s="70">
        <v>2.7327210624593565</v>
      </c>
      <c r="AR74" s="66"/>
      <c r="AS74" s="70">
        <v>2.7327210624593565</v>
      </c>
      <c r="AT74" s="66"/>
      <c r="AU74" s="70">
        <v>2.2797987052309781</v>
      </c>
      <c r="AV74" s="66"/>
      <c r="AW74" s="70">
        <v>2.17</v>
      </c>
      <c r="AX74" s="66"/>
      <c r="AY74" s="70">
        <v>2.2200000000000002</v>
      </c>
      <c r="AZ74" s="66"/>
      <c r="BA74" s="70">
        <v>2.12529350716768</v>
      </c>
      <c r="BB74" s="66"/>
      <c r="BC74" s="70">
        <f>BC77/BC79*BC10</f>
        <v>2.2940951409259025</v>
      </c>
      <c r="BD74" s="66"/>
      <c r="BE74" s="70">
        <f>BE77/BE79*BE10</f>
        <v>2.143790849673203</v>
      </c>
      <c r="BF74" s="66"/>
      <c r="BG74" s="70">
        <f>BG77/BG79*BG10</f>
        <v>2.5662184564376496</v>
      </c>
      <c r="BH74" s="66"/>
      <c r="BI74" s="70">
        <f>BI77/BI79*BI10</f>
        <v>2.2974885701759877</v>
      </c>
      <c r="BJ74" s="66"/>
      <c r="BK74" s="70">
        <f>BK77/BK79*BK10</f>
        <v>2.2310342585971528</v>
      </c>
      <c r="BL74" s="66"/>
      <c r="BM74" s="70">
        <f>BM77/BM79*BM10</f>
        <v>2.1915852742299027</v>
      </c>
      <c r="BN74" s="66"/>
      <c r="BO74" s="70">
        <f>BO77/BO79*BO10</f>
        <v>2.2141935483870965</v>
      </c>
    </row>
    <row r="75" spans="1:67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0.19527594416812843</v>
      </c>
      <c r="H75" s="124"/>
      <c r="I75" s="125">
        <f>+I74/I10</f>
        <v>0.19527594416812843</v>
      </c>
      <c r="J75" s="124"/>
      <c r="K75" s="125">
        <f>+K74/K10</f>
        <v>0.22376599817759024</v>
      </c>
      <c r="L75" s="124"/>
      <c r="M75" s="125">
        <f>+M74/M10</f>
        <v>0.20758283079993725</v>
      </c>
      <c r="N75" s="124"/>
      <c r="O75" s="125">
        <f>+O74/O10</f>
        <v>0.22311914723407042</v>
      </c>
      <c r="P75" s="124"/>
      <c r="Q75" s="125">
        <f>+Q74/Q10</f>
        <v>0.22311914723407042</v>
      </c>
      <c r="R75" s="124"/>
      <c r="S75" s="125">
        <f>+S74/S10</f>
        <v>0.21771726460198162</v>
      </c>
      <c r="T75" s="124"/>
      <c r="U75" s="125">
        <f>+U74/U10</f>
        <v>0.21771726460198162</v>
      </c>
      <c r="V75" s="124"/>
      <c r="W75" s="125">
        <f>+W74/W10</f>
        <v>0.22364870203792794</v>
      </c>
      <c r="X75" s="124"/>
      <c r="Y75" s="125">
        <f>+Y74/Y10</f>
        <v>0.21897451820262473</v>
      </c>
      <c r="Z75" s="124"/>
      <c r="AA75" s="125">
        <f>+AA74/AA10</f>
        <v>0.21191965700689316</v>
      </c>
      <c r="AB75" s="124"/>
      <c r="AC75" s="125">
        <f>+AC74/AC10</f>
        <v>0.2024550591402238</v>
      </c>
      <c r="AD75" s="124"/>
      <c r="AE75" s="125">
        <f t="shared" ref="AE75" si="565">+AE74/AE10</f>
        <v>0.20880214711782538</v>
      </c>
      <c r="AF75" s="124"/>
      <c r="AG75" s="125">
        <f t="shared" ref="AG75" si="566">+AG74/AG10</f>
        <v>0.21024900467564453</v>
      </c>
      <c r="AH75" s="124"/>
      <c r="AI75" s="125">
        <f t="shared" ref="AI75" si="567">+AI74/AI10</f>
        <v>0.21024900467564453</v>
      </c>
      <c r="AJ75" s="124"/>
      <c r="AK75" s="125">
        <f t="shared" ref="AK75" si="568">+AK74/AK10</f>
        <v>0.2240851760757081</v>
      </c>
      <c r="AL75" s="124"/>
      <c r="AM75" s="125">
        <f t="shared" ref="AM75" si="569">+AM74/AM10</f>
        <v>0.2240851760757081</v>
      </c>
      <c r="AN75" s="124"/>
      <c r="AO75" s="125">
        <f t="shared" ref="AO75" si="570">+AO74/AO10</f>
        <v>0.22772675520494637</v>
      </c>
      <c r="AP75" s="124"/>
      <c r="AQ75" s="125">
        <f t="shared" ref="AQ75" si="571">+AQ74/AQ10</f>
        <v>0.22772675520494637</v>
      </c>
      <c r="AR75" s="124"/>
      <c r="AS75" s="125">
        <f t="shared" ref="AS75:AY75" si="572">+AS74/AS10</f>
        <v>0.22772675520494637</v>
      </c>
      <c r="AT75" s="124"/>
      <c r="AU75" s="125">
        <f t="shared" si="572"/>
        <v>0.18998322543591484</v>
      </c>
      <c r="AV75" s="124"/>
      <c r="AW75" s="125">
        <f t="shared" si="572"/>
        <v>0.18083333333333332</v>
      </c>
      <c r="AX75" s="124"/>
      <c r="AY75" s="125">
        <f t="shared" si="572"/>
        <v>0.18500000000000003</v>
      </c>
      <c r="AZ75" s="124"/>
      <c r="BA75" s="125">
        <f t="shared" ref="BA75:BC75" si="573">+BA74/BA10</f>
        <v>0.17710779226397333</v>
      </c>
      <c r="BB75" s="124"/>
      <c r="BC75" s="125">
        <f t="shared" si="573"/>
        <v>0.19117459507715853</v>
      </c>
      <c r="BD75" s="124"/>
      <c r="BE75" s="125">
        <f t="shared" ref="BE75:BG75" si="574">+BE74/BE10</f>
        <v>0.17864923747276693</v>
      </c>
      <c r="BF75" s="124"/>
      <c r="BG75" s="125">
        <f t="shared" si="574"/>
        <v>0.21385153803647081</v>
      </c>
      <c r="BH75" s="124"/>
      <c r="BI75" s="125">
        <f t="shared" ref="BI75:BK75" si="575">+BI74/BI10</f>
        <v>0.19145738084799899</v>
      </c>
      <c r="BJ75" s="124"/>
      <c r="BK75" s="125">
        <f t="shared" si="575"/>
        <v>0.18591952154976274</v>
      </c>
      <c r="BL75" s="124"/>
      <c r="BM75" s="125">
        <f t="shared" ref="BM75" si="576">+BM74/BM10</f>
        <v>0.18263210618582523</v>
      </c>
      <c r="BN75" s="124"/>
      <c r="BO75" s="125">
        <f t="shared" ref="BO75" si="577">+BO74/BO10</f>
        <v>0.18451612903225803</v>
      </c>
    </row>
    <row r="76" spans="1:67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33577.308047821345</v>
      </c>
      <c r="H76" s="380"/>
      <c r="I76" s="374">
        <f>I77*I10</f>
        <v>33633.547519741769</v>
      </c>
      <c r="J76" s="380"/>
      <c r="K76" s="374">
        <f>K77*K10</f>
        <v>38524.449310246644</v>
      </c>
      <c r="L76" s="127"/>
      <c r="M76" s="374">
        <f>M77*M10</f>
        <v>35788.110361232386</v>
      </c>
      <c r="N76" s="380"/>
      <c r="O76" s="374">
        <f>O77*O10</f>
        <v>39135.990901444886</v>
      </c>
      <c r="P76" s="380"/>
      <c r="Q76" s="374">
        <f>Q77*Q10</f>
        <v>39285.926968386178</v>
      </c>
      <c r="R76" s="127"/>
      <c r="S76" s="374">
        <f>S77*S10</f>
        <v>39134.242877676996</v>
      </c>
      <c r="T76" s="380"/>
      <c r="U76" s="374">
        <f>U77*U10</f>
        <v>38805.054373598796</v>
      </c>
      <c r="V76" s="380"/>
      <c r="W76" s="374">
        <f>W77*W10</f>
        <v>40356.066390531865</v>
      </c>
      <c r="X76" s="127"/>
      <c r="Y76" s="374">
        <f>Y77*Y10</f>
        <v>40513.789459776817</v>
      </c>
      <c r="Z76" s="380"/>
      <c r="AA76" s="374">
        <f>AA77*AA10</f>
        <v>39785.796406474117</v>
      </c>
      <c r="AB76" s="380"/>
      <c r="AC76" s="374">
        <f>AC77*AC10</f>
        <v>37955.464667372602</v>
      </c>
      <c r="AD76" s="380"/>
      <c r="AE76" s="374">
        <f t="shared" ref="AE76" si="578">AE77*AE10</f>
        <v>38413.748609560571</v>
      </c>
      <c r="AF76" s="380"/>
      <c r="AG76" s="374">
        <f t="shared" ref="AG76" si="579">AG77*AG10</f>
        <v>38074.412754721816</v>
      </c>
      <c r="AH76" s="380"/>
      <c r="AI76" s="374">
        <f t="shared" ref="AI76" si="580">AI77*AI10</f>
        <v>38538.642557045641</v>
      </c>
      <c r="AJ76" s="380"/>
      <c r="AK76" s="374">
        <f t="shared" ref="AK76" si="581">AK77*AK10</f>
        <v>39950.801531481542</v>
      </c>
      <c r="AL76" s="380"/>
      <c r="AM76" s="374">
        <f t="shared" ref="AM76" si="582">AM77*AM10</f>
        <v>39746.435850900496</v>
      </c>
      <c r="AN76" s="380"/>
      <c r="AO76" s="374">
        <f t="shared" ref="AO76" si="583">AO77*AO10</f>
        <v>40802.258183580656</v>
      </c>
      <c r="AP76" s="380"/>
      <c r="AQ76" s="374">
        <f t="shared" ref="AQ76" si="584">AQ77*AQ10</f>
        <v>41056.401242389373</v>
      </c>
      <c r="AR76" s="380"/>
      <c r="AS76" s="374">
        <f t="shared" ref="AS76:AY76" si="585">AS77*AS10</f>
        <v>41635.738107630757</v>
      </c>
      <c r="AT76" s="380"/>
      <c r="AU76" s="374">
        <f t="shared" si="585"/>
        <v>34960.713144717047</v>
      </c>
      <c r="AV76" s="380"/>
      <c r="AW76" s="374">
        <f t="shared" si="585"/>
        <v>34097.21</v>
      </c>
      <c r="AX76" s="380"/>
      <c r="AY76" s="374">
        <f t="shared" si="585"/>
        <v>34829.58</v>
      </c>
      <c r="AZ76" s="380"/>
      <c r="BA76" s="374">
        <f t="shared" ref="BA76:BC76" si="586">BA77*BA10</f>
        <v>32984.55523124239</v>
      </c>
      <c r="BB76" s="380"/>
      <c r="BC76" s="374">
        <f t="shared" si="586"/>
        <v>35976</v>
      </c>
      <c r="BD76" s="380"/>
      <c r="BE76" s="374">
        <f t="shared" ref="BE76:BG76" si="587">BE77*BE10</f>
        <v>34440</v>
      </c>
      <c r="BF76" s="380"/>
      <c r="BG76" s="374">
        <f t="shared" si="587"/>
        <v>41796</v>
      </c>
      <c r="BH76" s="380"/>
      <c r="BI76" s="374">
        <f t="shared" ref="BI76:BK76" si="588">BI77*BI10</f>
        <v>36684</v>
      </c>
      <c r="BJ76" s="380"/>
      <c r="BK76" s="374">
        <f t="shared" si="588"/>
        <v>34320</v>
      </c>
      <c r="BL76" s="380"/>
      <c r="BM76" s="374">
        <f t="shared" ref="BM76" si="589">BM77*BM10</f>
        <v>35004</v>
      </c>
      <c r="BN76" s="380"/>
      <c r="BO76" s="374">
        <f t="shared" ref="BO76" si="590">BO77*BO10</f>
        <v>34320</v>
      </c>
    </row>
    <row r="77" spans="1:67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G74*G79/G10</f>
        <v>2798.1090039851119</v>
      </c>
      <c r="H77" s="380"/>
      <c r="I77" s="90">
        <f>I74*I79/I10</f>
        <v>2802.7956266451474</v>
      </c>
      <c r="J77" s="380"/>
      <c r="K77" s="90">
        <f>K74*K79/K10</f>
        <v>3210.3707758538872</v>
      </c>
      <c r="L77" s="127"/>
      <c r="M77" s="90">
        <f>M74*M79/M10</f>
        <v>2982.3425301026987</v>
      </c>
      <c r="N77" s="380"/>
      <c r="O77" s="90">
        <f>O74*O79/O10</f>
        <v>3261.332575120407</v>
      </c>
      <c r="P77" s="380"/>
      <c r="Q77" s="90">
        <f>Q74*Q79/Q10</f>
        <v>3273.8272473655147</v>
      </c>
      <c r="R77" s="127"/>
      <c r="S77" s="90">
        <f>S74*S79/S10</f>
        <v>3261.1869064730831</v>
      </c>
      <c r="T77" s="380"/>
      <c r="U77" s="90">
        <f>U74*U79/U10</f>
        <v>3233.7545311332328</v>
      </c>
      <c r="V77" s="380"/>
      <c r="W77" s="90">
        <f>W74*W79/W10</f>
        <v>3363.0055325443223</v>
      </c>
      <c r="X77" s="127"/>
      <c r="Y77" s="90">
        <f>Y74*Y79/Y10</f>
        <v>3376.1491216480681</v>
      </c>
      <c r="Z77" s="380"/>
      <c r="AA77" s="90">
        <f>AA74*AA79/AA10</f>
        <v>3315.483033872843</v>
      </c>
      <c r="AB77" s="380"/>
      <c r="AC77" s="90">
        <f>AC74*AC79/AC10</f>
        <v>3162.955388947717</v>
      </c>
      <c r="AD77" s="380"/>
      <c r="AE77" s="90">
        <f t="shared" ref="AE77" si="591">AE74*AE79/AE10</f>
        <v>3201.1457174633811</v>
      </c>
      <c r="AF77" s="380"/>
      <c r="AG77" s="90">
        <f t="shared" ref="AG77" si="592">AG74*AG79/AG10</f>
        <v>3172.8677295601515</v>
      </c>
      <c r="AH77" s="380"/>
      <c r="AI77" s="90">
        <f t="shared" ref="AI77" si="593">AI74*AI79/AI10</f>
        <v>3211.55354642047</v>
      </c>
      <c r="AJ77" s="380"/>
      <c r="AK77" s="90">
        <f t="shared" ref="AK77" si="594">AK74*AK79/AK10</f>
        <v>3329.2334609567952</v>
      </c>
      <c r="AL77" s="380"/>
      <c r="AM77" s="90">
        <f t="shared" ref="AM77" si="595">AM74*AM79/AM10</f>
        <v>3312.2029875750413</v>
      </c>
      <c r="AN77" s="380"/>
      <c r="AO77" s="90">
        <f t="shared" ref="AO77" si="596">AO74*AO79/AO10</f>
        <v>3400.1881819650548</v>
      </c>
      <c r="AP77" s="380"/>
      <c r="AQ77" s="90">
        <f t="shared" ref="AQ77" si="597">AQ74*AQ79/AQ10</f>
        <v>3421.3667701991144</v>
      </c>
      <c r="AR77" s="380"/>
      <c r="AS77" s="90">
        <f t="shared" ref="AS77:AY77" si="598">AS74*AS79/AS10</f>
        <v>3469.6448423025631</v>
      </c>
      <c r="AT77" s="380"/>
      <c r="AU77" s="90">
        <f t="shared" si="598"/>
        <v>2913.3927620597537</v>
      </c>
      <c r="AV77" s="380"/>
      <c r="AW77" s="90">
        <f t="shared" si="598"/>
        <v>2841.4341666666664</v>
      </c>
      <c r="AX77" s="380"/>
      <c r="AY77" s="90">
        <f t="shared" si="598"/>
        <v>2902.4650000000001</v>
      </c>
      <c r="AZ77" s="380"/>
      <c r="BA77" s="90">
        <f t="shared" ref="BA77" si="599">BA74*BA79/BA10</f>
        <v>2748.712935936866</v>
      </c>
      <c r="BB77" s="380"/>
      <c r="BC77" s="90">
        <v>2998</v>
      </c>
      <c r="BD77" s="380"/>
      <c r="BE77" s="90">
        <v>2870</v>
      </c>
      <c r="BF77" s="380"/>
      <c r="BG77" s="90">
        <v>3483</v>
      </c>
      <c r="BH77" s="380"/>
      <c r="BI77" s="90">
        <v>3057</v>
      </c>
      <c r="BJ77" s="380"/>
      <c r="BK77" s="90">
        <v>2860</v>
      </c>
      <c r="BL77" s="380"/>
      <c r="BM77" s="90">
        <v>2917</v>
      </c>
      <c r="BN77" s="380"/>
      <c r="BO77" s="90">
        <v>2860</v>
      </c>
    </row>
    <row r="78" spans="1:67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380"/>
      <c r="I78" s="374"/>
      <c r="J78" s="380"/>
      <c r="K78" s="374"/>
      <c r="L78" s="127"/>
      <c r="M78" s="90"/>
      <c r="N78" s="380"/>
      <c r="O78" s="374"/>
      <c r="P78" s="380"/>
      <c r="Q78" s="374"/>
      <c r="R78" s="127"/>
      <c r="S78" s="90"/>
      <c r="T78" s="380"/>
      <c r="U78" s="374"/>
      <c r="V78" s="380"/>
      <c r="W78" s="374"/>
      <c r="X78" s="127"/>
      <c r="Y78" s="90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/>
      <c r="AL78" s="380"/>
      <c r="AM78" s="374"/>
      <c r="AN78" s="380"/>
      <c r="AO78" s="374"/>
      <c r="AP78" s="380"/>
      <c r="AQ78" s="374"/>
      <c r="AR78" s="380"/>
      <c r="AS78" s="374"/>
      <c r="AT78" s="380"/>
      <c r="AU78" s="374"/>
      <c r="AV78" s="380"/>
      <c r="AW78" s="374"/>
      <c r="AX78" s="380"/>
      <c r="AY78" s="374"/>
      <c r="AZ78" s="380"/>
      <c r="BA78" s="374"/>
      <c r="BB78" s="380"/>
      <c r="BC78" s="374"/>
      <c r="BD78" s="380"/>
      <c r="BE78" s="374"/>
      <c r="BF78" s="380"/>
      <c r="BG78" s="374"/>
      <c r="BH78" s="380"/>
      <c r="BI78" s="374"/>
      <c r="BJ78" s="380"/>
      <c r="BK78" s="374"/>
      <c r="BL78" s="380"/>
      <c r="BM78" s="374"/>
      <c r="BN78" s="380"/>
      <c r="BO78" s="374"/>
    </row>
    <row r="79" spans="1:67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'Pricing Structure - GSS'!O79</f>
        <v>14329</v>
      </c>
      <c r="H79" s="359"/>
      <c r="I79" s="372">
        <f>'Pricing Structure - GSS'!U79</f>
        <v>14353</v>
      </c>
      <c r="J79" s="359"/>
      <c r="K79" s="372">
        <f>'Pricing Structure - GSS'!W79</f>
        <v>14347</v>
      </c>
      <c r="L79" s="42"/>
      <c r="M79" s="372">
        <f>'Pricing Structure - GSS'!Y79</f>
        <v>14367</v>
      </c>
      <c r="N79" s="359"/>
      <c r="O79" s="372">
        <f>'Pricing Structure - GSS'!AA79</f>
        <v>14617</v>
      </c>
      <c r="P79" s="359"/>
      <c r="Q79" s="372">
        <f>'Pricing Structure - GSS'!AC79</f>
        <v>14673</v>
      </c>
      <c r="R79" s="42"/>
      <c r="S79" s="372">
        <f>'Pricing Structure - GSS'!AE79</f>
        <v>14979</v>
      </c>
      <c r="T79" s="359"/>
      <c r="U79" s="372">
        <f>'Pricing Structure - GSS'!AG79</f>
        <v>14853</v>
      </c>
      <c r="V79" s="359"/>
      <c r="W79" s="372">
        <f>'Pricing Structure - GSS'!AI79</f>
        <v>15037</v>
      </c>
      <c r="X79" s="42"/>
      <c r="Y79" s="372">
        <f>'Pricing Structure - GSS'!AK79</f>
        <v>15418</v>
      </c>
      <c r="Z79" s="359"/>
      <c r="AA79" s="372">
        <f>'Pricing Structure - GSS'!AM79</f>
        <v>15645</v>
      </c>
      <c r="AB79" s="359"/>
      <c r="AC79" s="372">
        <f>'Pricing Structure - GSS'!AO79</f>
        <v>15623</v>
      </c>
      <c r="AD79" s="359"/>
      <c r="AE79" s="372">
        <f>'Pricing Structure - GSS'!AQ79</f>
        <v>15331</v>
      </c>
      <c r="AF79" s="359"/>
      <c r="AG79" s="372">
        <f>'Pricing Structure - GSS'!AS79</f>
        <v>15091</v>
      </c>
      <c r="AH79" s="359"/>
      <c r="AI79" s="372">
        <f>'Pricing Structure - GSS'!AU79</f>
        <v>15275</v>
      </c>
      <c r="AJ79" s="359"/>
      <c r="AK79" s="372">
        <f>'Pricing Structure - GSS'!AW79</f>
        <v>14857</v>
      </c>
      <c r="AL79" s="359"/>
      <c r="AM79" s="372">
        <f>'Pricing Structure - GSS'!AY79</f>
        <v>14781</v>
      </c>
      <c r="AN79" s="359"/>
      <c r="AO79" s="372">
        <f>'Pricing Structure - GSS'!BA79</f>
        <v>14931</v>
      </c>
      <c r="AP79" s="359"/>
      <c r="AQ79" s="372">
        <f>'Pricing Structure - GSS'!BC79</f>
        <v>15024</v>
      </c>
      <c r="AR79" s="359"/>
      <c r="AS79" s="372">
        <f>'Pricing Structure - GSS'!BE79</f>
        <v>15236</v>
      </c>
      <c r="AT79" s="359"/>
      <c r="AU79" s="372">
        <v>15335</v>
      </c>
      <c r="AV79" s="359"/>
      <c r="AW79" s="372">
        <v>15713</v>
      </c>
      <c r="AX79" s="359"/>
      <c r="AY79" s="372">
        <v>15689</v>
      </c>
      <c r="AZ79" s="359"/>
      <c r="BA79" s="372">
        <v>15520</v>
      </c>
      <c r="BB79" s="359"/>
      <c r="BC79" s="372">
        <v>15682</v>
      </c>
      <c r="BD79" s="359"/>
      <c r="BE79" s="372">
        <v>16065</v>
      </c>
      <c r="BF79" s="359"/>
      <c r="BG79" s="372">
        <v>16287</v>
      </c>
      <c r="BH79" s="359"/>
      <c r="BI79" s="372">
        <v>15967</v>
      </c>
      <c r="BJ79" s="359"/>
      <c r="BK79" s="372">
        <v>15383</v>
      </c>
      <c r="BL79" s="359"/>
      <c r="BM79" s="372">
        <v>15972</v>
      </c>
      <c r="BN79" s="359"/>
      <c r="BO79" s="372">
        <v>15500</v>
      </c>
    </row>
    <row r="80" spans="1:67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2.1366886699824592</v>
      </c>
      <c r="H80" s="363"/>
      <c r="I80" s="368">
        <f>+I67-I74</f>
        <v>2.1366886699824592</v>
      </c>
      <c r="J80" s="363"/>
      <c r="K80" s="368">
        <f>+K67-K74</f>
        <v>1.7948080218689175</v>
      </c>
      <c r="L80" s="50"/>
      <c r="M80" s="72">
        <f>+M67-M74</f>
        <v>1.9890060304007533</v>
      </c>
      <c r="N80" s="363"/>
      <c r="O80" s="368">
        <f>+O67-O74</f>
        <v>1.8025702331911555</v>
      </c>
      <c r="P80" s="363"/>
      <c r="Q80" s="368">
        <f>+Q67-Q74</f>
        <v>1.8025702331911555</v>
      </c>
      <c r="R80" s="50"/>
      <c r="S80" s="72">
        <f>+S67-S74</f>
        <v>1.8673928247762208</v>
      </c>
      <c r="T80" s="363"/>
      <c r="U80" s="368">
        <f>+U67-U74</f>
        <v>1.8673928247762208</v>
      </c>
      <c r="V80" s="363"/>
      <c r="W80" s="368">
        <f>+W67-W74</f>
        <v>1.7962155755448652</v>
      </c>
      <c r="X80" s="50"/>
      <c r="Y80" s="72">
        <f>+Y67-Y74</f>
        <v>1.8523057815685036</v>
      </c>
      <c r="Z80" s="363"/>
      <c r="AA80" s="368">
        <f>+AA67-AA74</f>
        <v>1.9369641159172826</v>
      </c>
      <c r="AB80" s="363"/>
      <c r="AC80" s="368">
        <f>+AC67-AC74</f>
        <v>2.0505392903173147</v>
      </c>
      <c r="AD80" s="363"/>
      <c r="AE80" s="368">
        <f t="shared" ref="AE80" si="600">+AE67-AE74</f>
        <v>2.0943742345860952</v>
      </c>
      <c r="AF80" s="363"/>
      <c r="AG80" s="368">
        <f t="shared" ref="AG80" si="601">+AG67-AG74</f>
        <v>2.0770119438922654</v>
      </c>
      <c r="AH80" s="363"/>
      <c r="AI80" s="368">
        <f t="shared" ref="AI80" si="602">+AI67-AI74</f>
        <v>2.0770119438922654</v>
      </c>
      <c r="AJ80" s="363"/>
      <c r="AK80" s="368">
        <f t="shared" ref="AK80" si="603">+AK67-AK74</f>
        <v>1.9109778870915024</v>
      </c>
      <c r="AL80" s="363"/>
      <c r="AM80" s="368">
        <f t="shared" ref="AM80" si="604">+AM67-AM74</f>
        <v>1.9109778870915024</v>
      </c>
      <c r="AN80" s="363"/>
      <c r="AO80" s="368">
        <f t="shared" ref="AO80" si="605">+AO67-AO74</f>
        <v>1.8672789375406431</v>
      </c>
      <c r="AP80" s="363"/>
      <c r="AQ80" s="368">
        <f t="shared" ref="AQ80" si="606">+AQ67-AQ74</f>
        <v>1.8672789375406431</v>
      </c>
      <c r="AR80" s="363"/>
      <c r="AS80" s="368">
        <f t="shared" ref="AS80:AY80" si="607">+AS67-AS74</f>
        <v>1.8672789375406431</v>
      </c>
      <c r="AT80" s="363"/>
      <c r="AU80" s="368">
        <f t="shared" si="607"/>
        <v>2.3202012947690216</v>
      </c>
      <c r="AV80" s="363"/>
      <c r="AW80" s="368">
        <f t="shared" si="607"/>
        <v>2.4299999999999997</v>
      </c>
      <c r="AX80" s="363"/>
      <c r="AY80" s="368">
        <f t="shared" si="607"/>
        <v>2.48</v>
      </c>
      <c r="AZ80" s="363"/>
      <c r="BA80" s="368">
        <f t="shared" ref="BA80:BC80" si="608">+BA67-BA74</f>
        <v>2.5747064928323202</v>
      </c>
      <c r="BB80" s="363"/>
      <c r="BC80" s="368">
        <f t="shared" si="608"/>
        <v>2.4059048590740977</v>
      </c>
      <c r="BD80" s="363"/>
      <c r="BE80" s="368">
        <f t="shared" ref="BE80:BG80" si="609">+BE67-BE74</f>
        <v>2.5562091503267972</v>
      </c>
      <c r="BF80" s="363"/>
      <c r="BG80" s="368">
        <f t="shared" si="609"/>
        <v>2.1337815435623506</v>
      </c>
      <c r="BH80" s="363"/>
      <c r="BI80" s="368">
        <f t="shared" ref="BI80:BK80" si="610">+BI67-BI74</f>
        <v>2.4025114298240124</v>
      </c>
      <c r="BJ80" s="363"/>
      <c r="BK80" s="368">
        <f t="shared" si="610"/>
        <v>2.4689657414028474</v>
      </c>
      <c r="BL80" s="363"/>
      <c r="BM80" s="368">
        <f t="shared" ref="BM80" si="611">+BM67-BM74</f>
        <v>2.5084147257700975</v>
      </c>
      <c r="BN80" s="363"/>
      <c r="BO80" s="368">
        <f t="shared" ref="BO80" si="612">+BO67-BO74</f>
        <v>2.4858064516129037</v>
      </c>
    </row>
    <row r="81" spans="1:67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0.17805738916520494</v>
      </c>
      <c r="H81" s="363"/>
      <c r="I81" s="368">
        <f>+I80/I10</f>
        <v>0.17805738916520494</v>
      </c>
      <c r="J81" s="363"/>
      <c r="K81" s="368">
        <f>+K80/K10</f>
        <v>0.14956733515574314</v>
      </c>
      <c r="L81" s="50"/>
      <c r="M81" s="72">
        <f>+M80/M10</f>
        <v>0.1657505025333961</v>
      </c>
      <c r="N81" s="363"/>
      <c r="O81" s="368">
        <f>+O80/O10</f>
        <v>0.15021418609926296</v>
      </c>
      <c r="P81" s="363"/>
      <c r="Q81" s="368">
        <f>+Q80/Q10</f>
        <v>0.15021418609926296</v>
      </c>
      <c r="R81" s="50"/>
      <c r="S81" s="72">
        <f>+S80/S10</f>
        <v>0.15561606873135173</v>
      </c>
      <c r="T81" s="363"/>
      <c r="U81" s="368">
        <f>+U80/U10</f>
        <v>0.15561606873135173</v>
      </c>
      <c r="V81" s="363"/>
      <c r="W81" s="368">
        <f>+W80/W10</f>
        <v>0.14968463129540543</v>
      </c>
      <c r="X81" s="50"/>
      <c r="Y81" s="72">
        <f>+Y80/Y10</f>
        <v>0.15435881513070862</v>
      </c>
      <c r="Z81" s="363"/>
      <c r="AA81" s="368">
        <f>+AA80/AA10</f>
        <v>0.16141367632644021</v>
      </c>
      <c r="AB81" s="363"/>
      <c r="AC81" s="368">
        <f>+AC80/AC10</f>
        <v>0.17087827419310955</v>
      </c>
      <c r="AD81" s="363"/>
      <c r="AE81" s="368">
        <f t="shared" ref="AE81" si="613">+AE80/AE10</f>
        <v>0.17453118621550792</v>
      </c>
      <c r="AF81" s="363"/>
      <c r="AG81" s="368">
        <f t="shared" ref="AG81" si="614">+AG80/AG10</f>
        <v>0.17308432865768877</v>
      </c>
      <c r="AH81" s="363"/>
      <c r="AI81" s="368">
        <f t="shared" ref="AI81" si="615">+AI80/AI10</f>
        <v>0.17308432865768877</v>
      </c>
      <c r="AJ81" s="363"/>
      <c r="AK81" s="368">
        <f t="shared" ref="AK81" si="616">+AK80/AK10</f>
        <v>0.1592481572576252</v>
      </c>
      <c r="AL81" s="363"/>
      <c r="AM81" s="368">
        <f t="shared" ref="AM81" si="617">+AM80/AM10</f>
        <v>0.1592481572576252</v>
      </c>
      <c r="AN81" s="363"/>
      <c r="AO81" s="368">
        <f t="shared" ref="AO81" si="618">+AO80/AO10</f>
        <v>0.15560657812838694</v>
      </c>
      <c r="AP81" s="363"/>
      <c r="AQ81" s="368">
        <f t="shared" ref="AQ81" si="619">+AQ80/AQ10</f>
        <v>0.15560657812838694</v>
      </c>
      <c r="AR81" s="363"/>
      <c r="AS81" s="368">
        <f t="shared" ref="AS81:AY81" si="620">+AS80/AS10</f>
        <v>0.15560657812838694</v>
      </c>
      <c r="AT81" s="363"/>
      <c r="AU81" s="368">
        <f t="shared" si="620"/>
        <v>0.19335010789741847</v>
      </c>
      <c r="AV81" s="363"/>
      <c r="AW81" s="368">
        <f t="shared" si="620"/>
        <v>0.20249999999999999</v>
      </c>
      <c r="AX81" s="363"/>
      <c r="AY81" s="368">
        <f t="shared" si="620"/>
        <v>0.20666666666666667</v>
      </c>
      <c r="AZ81" s="363"/>
      <c r="BA81" s="368">
        <f t="shared" ref="BA81:BC81" si="621">+BA80/BA10</f>
        <v>0.21455887440269336</v>
      </c>
      <c r="BB81" s="363"/>
      <c r="BC81" s="368">
        <f t="shared" si="621"/>
        <v>0.20049207158950813</v>
      </c>
      <c r="BD81" s="363"/>
      <c r="BE81" s="368">
        <f t="shared" ref="BE81:BG81" si="622">+BE80/BE10</f>
        <v>0.21301742919389977</v>
      </c>
      <c r="BF81" s="363"/>
      <c r="BG81" s="368">
        <f t="shared" si="622"/>
        <v>0.17781512863019588</v>
      </c>
      <c r="BH81" s="363"/>
      <c r="BI81" s="368">
        <f t="shared" ref="BI81:BK81" si="623">+BI80/BI10</f>
        <v>0.2002092858186677</v>
      </c>
      <c r="BJ81" s="363"/>
      <c r="BK81" s="368">
        <f t="shared" si="623"/>
        <v>0.20574714511690395</v>
      </c>
      <c r="BL81" s="363"/>
      <c r="BM81" s="368">
        <f t="shared" ref="BM81" si="624">+BM80/BM10</f>
        <v>0.20903456048084146</v>
      </c>
      <c r="BN81" s="363"/>
      <c r="BO81" s="368">
        <f t="shared" ref="BO81" si="625">+BO80/BO10</f>
        <v>0.20715053763440863</v>
      </c>
    </row>
    <row r="82" spans="1:67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0.47693943526394172</v>
      </c>
      <c r="H82" s="381"/>
      <c r="I82" s="1096">
        <f>+I80/I67</f>
        <v>0.47693943526394172</v>
      </c>
      <c r="J82" s="381"/>
      <c r="K82" s="1096">
        <f>+K80/K67</f>
        <v>0.40062679059574047</v>
      </c>
      <c r="L82" s="132"/>
      <c r="M82" s="1096">
        <f>+M80/M67</f>
        <v>0.44397456035731098</v>
      </c>
      <c r="N82" s="381"/>
      <c r="O82" s="1096">
        <f>+O80/O67</f>
        <v>0.40235942705159716</v>
      </c>
      <c r="P82" s="381"/>
      <c r="Q82" s="1096">
        <f>+Q80/Q67</f>
        <v>0.40235942705159716</v>
      </c>
      <c r="R82" s="132"/>
      <c r="S82" s="1096">
        <f>+S80/S67</f>
        <v>0.41682875553040638</v>
      </c>
      <c r="T82" s="381"/>
      <c r="U82" s="382">
        <f>+U80/U67</f>
        <v>0.41682875553040638</v>
      </c>
      <c r="V82" s="381"/>
      <c r="W82" s="382">
        <f>+W80/W67</f>
        <v>0.40094097668412165</v>
      </c>
      <c r="X82" s="132"/>
      <c r="Y82" s="133">
        <f>+Y80/Y67</f>
        <v>0.41346111195725521</v>
      </c>
      <c r="Z82" s="381"/>
      <c r="AA82" s="382">
        <f>+AA80/AA67</f>
        <v>0.43235806158867912</v>
      </c>
      <c r="AB82" s="381"/>
      <c r="AC82" s="382">
        <f>+AC80/AC67</f>
        <v>0.45770966301725774</v>
      </c>
      <c r="AD82" s="381"/>
      <c r="AE82" s="382">
        <f t="shared" ref="AE82" si="626">+AE80/AE67</f>
        <v>0.45529874664915115</v>
      </c>
      <c r="AF82" s="381"/>
      <c r="AG82" s="382">
        <f t="shared" ref="AG82" si="627">+AG80/AG67</f>
        <v>0.45152433562875338</v>
      </c>
      <c r="AH82" s="381"/>
      <c r="AI82" s="382">
        <f t="shared" ref="AI82" si="628">+AI80/AI67</f>
        <v>0.45152433562875338</v>
      </c>
      <c r="AJ82" s="381"/>
      <c r="AK82" s="382">
        <f t="shared" ref="AK82" si="629">+AK80/AK67</f>
        <v>0.41542997545467447</v>
      </c>
      <c r="AL82" s="381"/>
      <c r="AM82" s="382">
        <f t="shared" ref="AM82" si="630">+AM80/AM67</f>
        <v>0.41542997545467447</v>
      </c>
      <c r="AN82" s="381"/>
      <c r="AO82" s="382">
        <f t="shared" ref="AO82" si="631">+AO80/AO67</f>
        <v>0.40593020381318334</v>
      </c>
      <c r="AP82" s="381"/>
      <c r="AQ82" s="382">
        <f t="shared" ref="AQ82" si="632">+AQ80/AQ67</f>
        <v>0.40593020381318334</v>
      </c>
      <c r="AR82" s="381"/>
      <c r="AS82" s="382">
        <f t="shared" ref="AS82:AY82" si="633">+AS80/AS67</f>
        <v>0.40593020381318334</v>
      </c>
      <c r="AT82" s="381"/>
      <c r="AU82" s="382">
        <f t="shared" si="633"/>
        <v>0.50439158581935251</v>
      </c>
      <c r="AV82" s="381"/>
      <c r="AW82" s="382">
        <f t="shared" si="633"/>
        <v>0.52826086956521734</v>
      </c>
      <c r="AX82" s="381"/>
      <c r="AY82" s="382">
        <f t="shared" si="633"/>
        <v>0.52765957446808509</v>
      </c>
      <c r="AZ82" s="381"/>
      <c r="BA82" s="382">
        <f t="shared" ref="BA82:BC82" si="634">+BA80/BA67</f>
        <v>0.54780989209198305</v>
      </c>
      <c r="BB82" s="381"/>
      <c r="BC82" s="382">
        <f t="shared" si="634"/>
        <v>0.51189465086682928</v>
      </c>
      <c r="BD82" s="381"/>
      <c r="BE82" s="382">
        <f t="shared" ref="BE82:BG82" si="635">+BE80/BE67</f>
        <v>0.5438742873035739</v>
      </c>
      <c r="BF82" s="381"/>
      <c r="BG82" s="382">
        <f t="shared" si="635"/>
        <v>0.45399607309837248</v>
      </c>
      <c r="BH82" s="381"/>
      <c r="BI82" s="382">
        <f t="shared" ref="BI82:BK82" si="636">+BI80/BI67</f>
        <v>0.51117264464340684</v>
      </c>
      <c r="BJ82" s="381"/>
      <c r="BK82" s="382">
        <f t="shared" si="636"/>
        <v>0.52531185987294626</v>
      </c>
      <c r="BL82" s="381"/>
      <c r="BM82" s="382">
        <f t="shared" ref="BM82" si="637">+BM80/BM67</f>
        <v>0.53370526080214842</v>
      </c>
      <c r="BN82" s="381"/>
      <c r="BO82" s="382">
        <f t="shared" ref="BO82" si="638">+BO80/BO67</f>
        <v>0.52889498970487314</v>
      </c>
    </row>
    <row r="83" spans="1:67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1.1166886699824592</v>
      </c>
      <c r="H83" s="137"/>
      <c r="I83" s="138">
        <f>I80-I57</f>
        <v>1.1166886699824592</v>
      </c>
      <c r="J83" s="137"/>
      <c r="K83" s="138">
        <f>K80-K57</f>
        <v>0.77480802186891751</v>
      </c>
      <c r="L83" s="137"/>
      <c r="M83" s="138">
        <f>M80-M57</f>
        <v>0.96900603040075328</v>
      </c>
      <c r="N83" s="137"/>
      <c r="O83" s="138">
        <f>O80-O57</f>
        <v>0.78257023319115548</v>
      </c>
      <c r="P83" s="137"/>
      <c r="Q83" s="138">
        <f>Q80-Q57</f>
        <v>0.78257023319115548</v>
      </c>
      <c r="R83" s="137"/>
      <c r="S83" s="138">
        <f>S80-S57</f>
        <v>0.8473928247762208</v>
      </c>
      <c r="T83" s="137"/>
      <c r="U83" s="138">
        <f>U80-U57</f>
        <v>0.8473928247762208</v>
      </c>
      <c r="V83" s="137"/>
      <c r="W83" s="138">
        <f>W80-W57</f>
        <v>0.7762155755448652</v>
      </c>
      <c r="X83" s="137"/>
      <c r="Y83" s="138">
        <f>Y80-Y57</f>
        <v>0.83230578156850354</v>
      </c>
      <c r="Z83" s="137"/>
      <c r="AA83" s="138">
        <f>AA80-AA57</f>
        <v>0.91696411591728255</v>
      </c>
      <c r="AB83" s="137"/>
      <c r="AC83" s="138">
        <f>AC80-AC57</f>
        <v>1.0305392903173147</v>
      </c>
      <c r="AD83" s="137"/>
      <c r="AE83" s="138">
        <f t="shared" ref="AE83" si="639">AE80-AE57</f>
        <v>1.4703895602565931</v>
      </c>
      <c r="AF83" s="137"/>
      <c r="AG83" s="138">
        <f t="shared" ref="AG83" si="640">AG80-AG57</f>
        <v>1.5317574674950869</v>
      </c>
      <c r="AH83" s="137"/>
      <c r="AI83" s="138">
        <f t="shared" ref="AI83" si="641">AI80-AI57</f>
        <v>0.92701194389226549</v>
      </c>
      <c r="AJ83" s="137"/>
      <c r="AK83" s="138">
        <f t="shared" ref="AK83" si="642">AK80-AK57</f>
        <v>0.76097788709150249</v>
      </c>
      <c r="AL83" s="137"/>
      <c r="AM83" s="138">
        <f t="shared" ref="AM83" si="643">AM80-AM57</f>
        <v>0.76097788709150249</v>
      </c>
      <c r="AN83" s="137"/>
      <c r="AO83" s="138">
        <f t="shared" ref="AO83" si="644">AO80-AO57</f>
        <v>0.7172789375406432</v>
      </c>
      <c r="AP83" s="137"/>
      <c r="AQ83" s="138">
        <f t="shared" ref="AQ83" si="645">AQ80-AQ57</f>
        <v>0.7172789375406432</v>
      </c>
      <c r="AR83" s="137"/>
      <c r="AS83" s="138">
        <f t="shared" ref="AS83:AY83" si="646">AS80-AS57</f>
        <v>0.7172789375406432</v>
      </c>
      <c r="AT83" s="137"/>
      <c r="AU83" s="138">
        <f t="shared" si="646"/>
        <v>1.1702012947690217</v>
      </c>
      <c r="AV83" s="137"/>
      <c r="AW83" s="138">
        <f t="shared" si="646"/>
        <v>1.2799999999999998</v>
      </c>
      <c r="AX83" s="137"/>
      <c r="AY83" s="138">
        <f t="shared" si="646"/>
        <v>1.33</v>
      </c>
      <c r="AZ83" s="137"/>
      <c r="BA83" s="138">
        <f t="shared" ref="BA83:BC83" si="647">BA80-BA57</f>
        <v>1.4247064928323203</v>
      </c>
      <c r="BB83" s="137"/>
      <c r="BC83" s="138">
        <f t="shared" si="647"/>
        <v>1.2559048590740978</v>
      </c>
      <c r="BD83" s="137"/>
      <c r="BE83" s="138">
        <f t="shared" ref="BE83:BG83" si="648">BE80-BE57</f>
        <v>1.4062091503267973</v>
      </c>
      <c r="BF83" s="137"/>
      <c r="BG83" s="138">
        <f t="shared" si="648"/>
        <v>0.9837815435623507</v>
      </c>
      <c r="BH83" s="137"/>
      <c r="BI83" s="138">
        <f t="shared" ref="BI83:BK83" si="649">BI80-BI57</f>
        <v>1.2525114298240125</v>
      </c>
      <c r="BJ83" s="137"/>
      <c r="BK83" s="138">
        <f t="shared" si="649"/>
        <v>1.3189657414028475</v>
      </c>
      <c r="BL83" s="137"/>
      <c r="BM83" s="138">
        <f t="shared" ref="BM83" si="650">BM80-BM57</f>
        <v>1.3584147257700976</v>
      </c>
      <c r="BN83" s="137"/>
      <c r="BO83" s="138">
        <f t="shared" ref="BO83" si="651">BO80-BO57</f>
        <v>1.3358064516129038</v>
      </c>
    </row>
    <row r="84" spans="1:67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0.24926086383537033</v>
      </c>
      <c r="H84" s="381"/>
      <c r="I84" s="382">
        <f>I83/I67</f>
        <v>0.24926086383537033</v>
      </c>
      <c r="J84" s="381"/>
      <c r="K84" s="1096">
        <f>K83/K67</f>
        <v>0.17294821916716907</v>
      </c>
      <c r="L84" s="132"/>
      <c r="M84" s="133">
        <f>M83/M67</f>
        <v>0.21629598892873955</v>
      </c>
      <c r="N84" s="381"/>
      <c r="O84" s="382">
        <f>O83/O67</f>
        <v>0.17468085562302577</v>
      </c>
      <c r="P84" s="381"/>
      <c r="Q84" s="382">
        <f>Q83/Q67</f>
        <v>0.17468085562302577</v>
      </c>
      <c r="R84" s="132"/>
      <c r="S84" s="133">
        <f>S83/S67</f>
        <v>0.18915018410183498</v>
      </c>
      <c r="T84" s="381"/>
      <c r="U84" s="382">
        <f>U83/U67</f>
        <v>0.18915018410183498</v>
      </c>
      <c r="V84" s="381"/>
      <c r="W84" s="382">
        <f>W83/W67</f>
        <v>0.17326240525555026</v>
      </c>
      <c r="X84" s="132"/>
      <c r="Y84" s="133">
        <f>Y83/Y67</f>
        <v>0.18578254052868381</v>
      </c>
      <c r="Z84" s="381"/>
      <c r="AA84" s="382">
        <f>AA83/AA67</f>
        <v>0.2046794901601077</v>
      </c>
      <c r="AB84" s="381"/>
      <c r="AC84" s="382">
        <f>AC83/AC67</f>
        <v>0.23003109158868629</v>
      </c>
      <c r="AD84" s="381"/>
      <c r="AE84" s="382">
        <f t="shared" ref="AE84" si="652">AE83/AE67</f>
        <v>0.31964990440360719</v>
      </c>
      <c r="AF84" s="381"/>
      <c r="AG84" s="382">
        <f t="shared" ref="AG84" si="653">AG83/AG67</f>
        <v>0.3329907538032798</v>
      </c>
      <c r="AH84" s="381"/>
      <c r="AI84" s="382">
        <f t="shared" ref="AI84" si="654">AI83/AI67</f>
        <v>0.20152433562875338</v>
      </c>
      <c r="AJ84" s="381"/>
      <c r="AK84" s="382">
        <f t="shared" ref="AK84" si="655">AK83/AK67</f>
        <v>0.16542997545467447</v>
      </c>
      <c r="AL84" s="381"/>
      <c r="AM84" s="382">
        <f t="shared" ref="AM84" si="656">AM83/AM67</f>
        <v>0.16542997545467447</v>
      </c>
      <c r="AN84" s="381"/>
      <c r="AO84" s="382">
        <f t="shared" ref="AO84" si="657">AO83/AO67</f>
        <v>0.15593020381318332</v>
      </c>
      <c r="AP84" s="381"/>
      <c r="AQ84" s="382">
        <f t="shared" ref="AQ84" si="658">AQ83/AQ67</f>
        <v>0.15593020381318332</v>
      </c>
      <c r="AR84" s="381"/>
      <c r="AS84" s="382">
        <f t="shared" ref="AS84:AY84" si="659">AS83/AS67</f>
        <v>0.15593020381318332</v>
      </c>
      <c r="AT84" s="381"/>
      <c r="AU84" s="382">
        <f t="shared" si="659"/>
        <v>0.25439158581935256</v>
      </c>
      <c r="AV84" s="381"/>
      <c r="AW84" s="382">
        <f t="shared" si="659"/>
        <v>0.27826086956521739</v>
      </c>
      <c r="AX84" s="381"/>
      <c r="AY84" s="382">
        <f t="shared" si="659"/>
        <v>0.28297872340425534</v>
      </c>
      <c r="AZ84" s="381"/>
      <c r="BA84" s="382">
        <f t="shared" ref="BA84:BC84" si="660">BA83/BA67</f>
        <v>0.30312904102815325</v>
      </c>
      <c r="BB84" s="381"/>
      <c r="BC84" s="382">
        <f t="shared" si="660"/>
        <v>0.26721379980299953</v>
      </c>
      <c r="BD84" s="381"/>
      <c r="BE84" s="382">
        <f t="shared" ref="BE84:BG84" si="661">BE83/BE67</f>
        <v>0.29919343623974409</v>
      </c>
      <c r="BF84" s="381"/>
      <c r="BG84" s="382">
        <f t="shared" si="661"/>
        <v>0.2093152220345427</v>
      </c>
      <c r="BH84" s="381"/>
      <c r="BI84" s="382">
        <f t="shared" ref="BI84:BK84" si="662">BI83/BI67</f>
        <v>0.26649179357957714</v>
      </c>
      <c r="BJ84" s="381"/>
      <c r="BK84" s="382">
        <f t="shared" si="662"/>
        <v>0.28063100880911646</v>
      </c>
      <c r="BL84" s="381"/>
      <c r="BM84" s="382">
        <f t="shared" ref="BM84" si="663">BM83/BM67</f>
        <v>0.28902440973831861</v>
      </c>
      <c r="BN84" s="381"/>
      <c r="BO84" s="382">
        <f t="shared" ref="BO84" si="664">BO83/BO67</f>
        <v>0.28421413864104333</v>
      </c>
    </row>
    <row r="85" spans="1:67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381"/>
      <c r="I85" s="382"/>
      <c r="J85" s="381"/>
      <c r="K85" s="382"/>
      <c r="L85" s="132"/>
      <c r="M85" s="133"/>
      <c r="N85" s="381"/>
      <c r="O85" s="382"/>
      <c r="P85" s="381"/>
      <c r="Q85" s="382"/>
      <c r="R85" s="132"/>
      <c r="S85" s="133"/>
      <c r="T85" s="381"/>
      <c r="U85" s="382"/>
      <c r="V85" s="381"/>
      <c r="W85" s="382"/>
      <c r="X85" s="132"/>
      <c r="Y85" s="133"/>
      <c r="Z85" s="381"/>
      <c r="AA85" s="382"/>
      <c r="AB85" s="381"/>
      <c r="AC85" s="382"/>
      <c r="AD85" s="381"/>
      <c r="AE85" s="382"/>
      <c r="AF85" s="381"/>
      <c r="AG85" s="382"/>
      <c r="AH85" s="381"/>
      <c r="AI85" s="382"/>
      <c r="AJ85" s="381"/>
      <c r="AK85" s="382"/>
      <c r="AL85" s="381"/>
      <c r="AM85" s="382"/>
      <c r="AN85" s="381"/>
      <c r="AO85" s="382"/>
      <c r="AP85" s="381"/>
      <c r="AQ85" s="382"/>
      <c r="AR85" s="381"/>
      <c r="AS85" s="382"/>
      <c r="AT85" s="381"/>
      <c r="AU85" s="382"/>
      <c r="AV85" s="381"/>
      <c r="AW85" s="382"/>
      <c r="AX85" s="381"/>
      <c r="AY85" s="382"/>
      <c r="AZ85" s="381"/>
      <c r="BA85" s="382"/>
      <c r="BB85" s="381"/>
      <c r="BC85" s="382"/>
      <c r="BD85" s="381"/>
      <c r="BE85" s="382"/>
      <c r="BF85" s="381"/>
      <c r="BG85" s="382"/>
      <c r="BH85" s="381"/>
      <c r="BI85" s="382"/>
      <c r="BJ85" s="381"/>
      <c r="BK85" s="382"/>
      <c r="BL85" s="381"/>
      <c r="BM85" s="382"/>
      <c r="BN85" s="381"/>
      <c r="BO85" s="382"/>
    </row>
    <row r="86" spans="1:67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1.0743031583853069</v>
      </c>
      <c r="H86" s="141"/>
      <c r="I86" s="142">
        <f>I83-I72</f>
        <v>1.0743031583853069</v>
      </c>
      <c r="J86" s="141"/>
      <c r="K86" s="142">
        <f>K83-K72</f>
        <v>0.72779922593419322</v>
      </c>
      <c r="L86" s="141"/>
      <c r="M86" s="142">
        <f>M83-M72</f>
        <v>0.93629577398626185</v>
      </c>
      <c r="N86" s="141"/>
      <c r="O86" s="142">
        <f>O83-O72</f>
        <v>0.74319059826066791</v>
      </c>
      <c r="P86" s="141"/>
      <c r="Q86" s="142">
        <f>Q83-Q72</f>
        <v>0.74319059826066791</v>
      </c>
      <c r="R86" s="141"/>
      <c r="S86" s="142">
        <f>S83-S72</f>
        <v>0.81036626967210923</v>
      </c>
      <c r="T86" s="141"/>
      <c r="U86" s="142">
        <f>U83-U72</f>
        <v>0.81036626967210923</v>
      </c>
      <c r="V86" s="141"/>
      <c r="W86" s="142">
        <f>W83-W72</f>
        <v>0.7397785726488233</v>
      </c>
      <c r="X86" s="141"/>
      <c r="Y86" s="142">
        <f>Y83-Y72</f>
        <v>0.79586877867246164</v>
      </c>
      <c r="Z86" s="141"/>
      <c r="AA86" s="142">
        <f>AA83-AA72</f>
        <v>0.87933491180089907</v>
      </c>
      <c r="AB86" s="141"/>
      <c r="AC86" s="142">
        <f>AC83-AC72</f>
        <v>0.99324906449663486</v>
      </c>
      <c r="AD86" s="141"/>
      <c r="AE86" s="142">
        <f t="shared" ref="AE86" si="665">AE83-AE72</f>
        <v>1.4330993344359131</v>
      </c>
      <c r="AF86" s="141"/>
      <c r="AG86" s="142">
        <f t="shared" ref="AG86" si="666">AG83-AG72</f>
        <v>1.4944672416744069</v>
      </c>
      <c r="AH86" s="141"/>
      <c r="AI86" s="142">
        <f t="shared" ref="AI86" si="667">AI83-AI72</f>
        <v>0.88972171807158562</v>
      </c>
      <c r="AJ86" s="141"/>
      <c r="AK86" s="142">
        <f t="shared" ref="AK86" si="668">AK83-AK72</f>
        <v>0.72368766127082262</v>
      </c>
      <c r="AL86" s="141"/>
      <c r="AM86" s="142">
        <f t="shared" ref="AM86" si="669">AM83-AM72</f>
        <v>0.72368766127082262</v>
      </c>
      <c r="AN86" s="141"/>
      <c r="AO86" s="142">
        <f t="shared" ref="AO86" si="670">AO83-AO72</f>
        <v>0.67785733785435753</v>
      </c>
      <c r="AP86" s="141"/>
      <c r="AQ86" s="142">
        <f t="shared" ref="AQ86" si="671">AQ83-AQ72</f>
        <v>0.67785733785435753</v>
      </c>
      <c r="AR86" s="141"/>
      <c r="AS86" s="142">
        <f t="shared" ref="AS86:AY86" si="672">AS83-AS72</f>
        <v>0.67785733785435753</v>
      </c>
      <c r="AT86" s="141"/>
      <c r="AU86" s="142">
        <f t="shared" si="672"/>
        <v>1.1318846930945345</v>
      </c>
      <c r="AV86" s="141"/>
      <c r="AW86" s="142">
        <f t="shared" si="672"/>
        <v>1.2441909554737411</v>
      </c>
      <c r="AX86" s="141"/>
      <c r="AY86" s="142">
        <f t="shared" si="672"/>
        <v>1.2939947300699641</v>
      </c>
      <c r="AZ86" s="141"/>
      <c r="BA86" s="142">
        <f t="shared" ref="BA86:BC86" si="673">BA83-BA72</f>
        <v>1.3870091194500525</v>
      </c>
      <c r="BB86" s="141"/>
      <c r="BC86" s="142">
        <f t="shared" si="673"/>
        <v>1.2182074856918299</v>
      </c>
      <c r="BD86" s="141"/>
      <c r="BE86" s="142">
        <f t="shared" ref="BE86:BG86" si="674">BE83-BE72</f>
        <v>1.3685117769445294</v>
      </c>
      <c r="BF86" s="141"/>
      <c r="BG86" s="142">
        <f t="shared" si="674"/>
        <v>0.94608417018008284</v>
      </c>
      <c r="BH86" s="141"/>
      <c r="BI86" s="142">
        <f t="shared" ref="BI86:BK86" si="675">BI83-BI72</f>
        <v>1.2148140564417447</v>
      </c>
      <c r="BJ86" s="141"/>
      <c r="BK86" s="142">
        <f t="shared" si="675"/>
        <v>1.2812683680205796</v>
      </c>
      <c r="BL86" s="141"/>
      <c r="BM86" s="142">
        <f t="shared" ref="BM86" si="676">BM83-BM72</f>
        <v>1.3207173523878297</v>
      </c>
      <c r="BN86" s="141"/>
      <c r="BO86" s="142">
        <f t="shared" ref="BO86" si="677">BO83-BO72</f>
        <v>1.2981090782306359</v>
      </c>
    </row>
    <row r="87" spans="1:67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0.23979981213957741</v>
      </c>
      <c r="H87" s="381"/>
      <c r="I87" s="382">
        <f>I86/I67</f>
        <v>0.23979981213957741</v>
      </c>
      <c r="J87" s="381"/>
      <c r="K87" s="1096">
        <f>K86/K67</f>
        <v>0.16245518436031098</v>
      </c>
      <c r="L87" s="132"/>
      <c r="M87" s="133">
        <f>M86/M67</f>
        <v>0.2089945924076477</v>
      </c>
      <c r="N87" s="381"/>
      <c r="O87" s="382">
        <f>O86/O67</f>
        <v>0.16589075854032764</v>
      </c>
      <c r="P87" s="381"/>
      <c r="Q87" s="382">
        <f>Q86/Q67</f>
        <v>0.16589075854032764</v>
      </c>
      <c r="R87" s="132"/>
      <c r="S87" s="133">
        <f>S86/S67</f>
        <v>0.18088532805181007</v>
      </c>
      <c r="T87" s="381"/>
      <c r="U87" s="382">
        <f>U86/U67</f>
        <v>0.18088532805181007</v>
      </c>
      <c r="V87" s="381"/>
      <c r="W87" s="382">
        <f>W86/W67</f>
        <v>0.16512914568054091</v>
      </c>
      <c r="X87" s="132"/>
      <c r="Y87" s="133">
        <f>Y86/Y67</f>
        <v>0.17764928095367447</v>
      </c>
      <c r="Z87" s="381"/>
      <c r="AA87" s="382">
        <f>AA86/AA67</f>
        <v>0.19628011424127209</v>
      </c>
      <c r="AB87" s="381"/>
      <c r="AC87" s="382">
        <f>AC86/AC67</f>
        <v>0.22170738046799884</v>
      </c>
      <c r="AD87" s="381"/>
      <c r="AE87" s="382">
        <f t="shared" ref="AE87" si="678">AE86/AE67</f>
        <v>0.31154333357302461</v>
      </c>
      <c r="AF87" s="381"/>
      <c r="AG87" s="382">
        <f t="shared" ref="AG87" si="679">AG86/AG67</f>
        <v>0.32488418297269717</v>
      </c>
      <c r="AH87" s="381"/>
      <c r="AI87" s="382">
        <f t="shared" ref="AI87" si="680">AI86/AI67</f>
        <v>0.1934177647981708</v>
      </c>
      <c r="AJ87" s="381"/>
      <c r="AK87" s="382">
        <f t="shared" ref="AK87" si="681">AK86/AK67</f>
        <v>0.15732340462409189</v>
      </c>
      <c r="AL87" s="381"/>
      <c r="AM87" s="382">
        <f t="shared" ref="AM87" si="682">AM86/AM67</f>
        <v>0.15732340462409189</v>
      </c>
      <c r="AN87" s="381"/>
      <c r="AO87" s="382">
        <f t="shared" ref="AO87" si="683">AO86/AO67</f>
        <v>0.14736029083790383</v>
      </c>
      <c r="AP87" s="381"/>
      <c r="AQ87" s="382">
        <f t="shared" ref="AQ87" si="684">AQ86/AQ67</f>
        <v>0.14736029083790383</v>
      </c>
      <c r="AR87" s="381"/>
      <c r="AS87" s="382">
        <f t="shared" ref="AS87:AY87" si="685">AS86/AS67</f>
        <v>0.14736029083790383</v>
      </c>
      <c r="AT87" s="381"/>
      <c r="AU87" s="382">
        <f t="shared" si="685"/>
        <v>0.24606188980315971</v>
      </c>
      <c r="AV87" s="381"/>
      <c r="AW87" s="382">
        <f t="shared" si="685"/>
        <v>0.27047629466820461</v>
      </c>
      <c r="AX87" s="381"/>
      <c r="AY87" s="382">
        <f t="shared" si="685"/>
        <v>0.27531802767446045</v>
      </c>
      <c r="AZ87" s="381"/>
      <c r="BA87" s="382">
        <f t="shared" ref="BA87:BC87" si="686">BA86/BA67</f>
        <v>0.29510832328724518</v>
      </c>
      <c r="BB87" s="381"/>
      <c r="BC87" s="382">
        <f t="shared" si="686"/>
        <v>0.25919308206209146</v>
      </c>
      <c r="BD87" s="381"/>
      <c r="BE87" s="382">
        <f t="shared" ref="BE87:BG87" si="687">BE86/BE67</f>
        <v>0.29117271849883603</v>
      </c>
      <c r="BF87" s="381"/>
      <c r="BG87" s="382">
        <f t="shared" si="687"/>
        <v>0.20129450429363463</v>
      </c>
      <c r="BH87" s="381"/>
      <c r="BI87" s="382">
        <f t="shared" ref="BI87:BK87" si="688">BI86/BI67</f>
        <v>0.25847107583866907</v>
      </c>
      <c r="BJ87" s="381"/>
      <c r="BK87" s="382">
        <f t="shared" si="688"/>
        <v>0.27261029106820844</v>
      </c>
      <c r="BL87" s="381"/>
      <c r="BM87" s="382">
        <f t="shared" ref="BM87" si="689">BM86/BM67</f>
        <v>0.28100369199741054</v>
      </c>
      <c r="BN87" s="381"/>
      <c r="BO87" s="382">
        <f t="shared" ref="BO87" si="690">BO86/BO67</f>
        <v>0.27619342090013527</v>
      </c>
    </row>
    <row r="88" spans="1:67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381"/>
      <c r="I88" s="382"/>
      <c r="J88" s="381"/>
      <c r="K88" s="382"/>
      <c r="L88" s="132"/>
      <c r="M88" s="133"/>
      <c r="N88" s="381"/>
      <c r="O88" s="382"/>
      <c r="P88" s="381"/>
      <c r="Q88" s="382"/>
      <c r="R88" s="132"/>
      <c r="S88" s="133"/>
      <c r="T88" s="381"/>
      <c r="U88" s="382"/>
      <c r="V88" s="381"/>
      <c r="W88" s="382"/>
      <c r="X88" s="132"/>
      <c r="Y88" s="133"/>
      <c r="Z88" s="381"/>
      <c r="AA88" s="382"/>
      <c r="AB88" s="381"/>
      <c r="AC88" s="382"/>
      <c r="AD88" s="381"/>
      <c r="AE88" s="382"/>
      <c r="AF88" s="381"/>
      <c r="AG88" s="382"/>
      <c r="AH88" s="381"/>
      <c r="AI88" s="382"/>
      <c r="AJ88" s="381"/>
      <c r="AK88" s="382"/>
      <c r="AL88" s="381"/>
      <c r="AM88" s="382"/>
      <c r="AN88" s="381"/>
      <c r="AO88" s="382"/>
      <c r="AP88" s="381"/>
      <c r="AQ88" s="382"/>
      <c r="AR88" s="381"/>
      <c r="AS88" s="382"/>
      <c r="AT88" s="381"/>
      <c r="AU88" s="382"/>
      <c r="AV88" s="381"/>
      <c r="AW88" s="382"/>
      <c r="AX88" s="381"/>
      <c r="AY88" s="382"/>
      <c r="AZ88" s="381"/>
      <c r="BA88" s="382"/>
      <c r="BB88" s="381"/>
      <c r="BC88" s="382"/>
      <c r="BD88" s="381"/>
      <c r="BE88" s="382"/>
      <c r="BF88" s="381"/>
      <c r="BG88" s="382"/>
      <c r="BH88" s="381"/>
      <c r="BI88" s="382"/>
      <c r="BJ88" s="381"/>
      <c r="BK88" s="382"/>
      <c r="BL88" s="381"/>
      <c r="BM88" s="382"/>
      <c r="BN88" s="381"/>
      <c r="BO88" s="382"/>
    </row>
    <row r="89" spans="1:67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1.0743031583853069</v>
      </c>
      <c r="H89" s="146"/>
      <c r="I89" s="147">
        <f>I86</f>
        <v>1.0743031583853069</v>
      </c>
      <c r="J89" s="146"/>
      <c r="K89" s="147">
        <f>K86</f>
        <v>0.72779922593419322</v>
      </c>
      <c r="L89" s="146"/>
      <c r="M89" s="147">
        <f>M86</f>
        <v>0.93629577398626185</v>
      </c>
      <c r="N89" s="146"/>
      <c r="O89" s="147">
        <f>O86</f>
        <v>0.74319059826066791</v>
      </c>
      <c r="P89" s="146"/>
      <c r="Q89" s="147">
        <f>Q86</f>
        <v>0.74319059826066791</v>
      </c>
      <c r="R89" s="146"/>
      <c r="S89" s="147">
        <f>S86</f>
        <v>0.81036626967210923</v>
      </c>
      <c r="T89" s="146"/>
      <c r="U89" s="147">
        <f>U86</f>
        <v>0.81036626967210923</v>
      </c>
      <c r="V89" s="146"/>
      <c r="W89" s="147">
        <f>W86</f>
        <v>0.7397785726488233</v>
      </c>
      <c r="X89" s="146"/>
      <c r="Y89" s="147">
        <f>Y86</f>
        <v>0.79586877867246164</v>
      </c>
      <c r="Z89" s="146"/>
      <c r="AA89" s="147">
        <f>AA86</f>
        <v>0.87933491180089907</v>
      </c>
      <c r="AB89" s="146"/>
      <c r="AC89" s="147">
        <f>AC86</f>
        <v>0.99324906449663486</v>
      </c>
      <c r="AD89" s="146"/>
      <c r="AE89" s="147">
        <f t="shared" ref="AE89" si="691">AE86</f>
        <v>1.4330993344359131</v>
      </c>
      <c r="AF89" s="146"/>
      <c r="AG89" s="147">
        <f t="shared" ref="AG89" si="692">AG86</f>
        <v>1.4944672416744069</v>
      </c>
      <c r="AH89" s="146"/>
      <c r="AI89" s="147">
        <f t="shared" ref="AI89" si="693">AI86</f>
        <v>0.88972171807158562</v>
      </c>
      <c r="AJ89" s="146"/>
      <c r="AK89" s="147">
        <f t="shared" ref="AK89" si="694">AK86</f>
        <v>0.72368766127082262</v>
      </c>
      <c r="AL89" s="146"/>
      <c r="AM89" s="147">
        <f t="shared" ref="AM89" si="695">AM86</f>
        <v>0.72368766127082262</v>
      </c>
      <c r="AN89" s="146"/>
      <c r="AO89" s="147">
        <f t="shared" ref="AO89" si="696">AO86</f>
        <v>0.67785733785435753</v>
      </c>
      <c r="AP89" s="146"/>
      <c r="AQ89" s="147">
        <f t="shared" ref="AQ89" si="697">AQ86</f>
        <v>0.67785733785435753</v>
      </c>
      <c r="AR89" s="146"/>
      <c r="AS89" s="147">
        <f t="shared" ref="AS89:AY89" si="698">AS86</f>
        <v>0.67785733785435753</v>
      </c>
      <c r="AT89" s="146"/>
      <c r="AU89" s="147">
        <f t="shared" si="698"/>
        <v>1.1318846930945345</v>
      </c>
      <c r="AV89" s="146"/>
      <c r="AW89" s="147">
        <f t="shared" si="698"/>
        <v>1.2441909554737411</v>
      </c>
      <c r="AX89" s="146"/>
      <c r="AY89" s="147">
        <f t="shared" si="698"/>
        <v>1.2939947300699641</v>
      </c>
      <c r="AZ89" s="146"/>
      <c r="BA89" s="147">
        <f t="shared" ref="BA89:BC89" si="699">BA86</f>
        <v>1.3870091194500525</v>
      </c>
      <c r="BB89" s="146"/>
      <c r="BC89" s="147">
        <f t="shared" si="699"/>
        <v>1.2182074856918299</v>
      </c>
      <c r="BD89" s="146"/>
      <c r="BE89" s="147">
        <f t="shared" ref="BE89:BG89" si="700">BE86</f>
        <v>1.3685117769445294</v>
      </c>
      <c r="BF89" s="146"/>
      <c r="BG89" s="147">
        <f t="shared" si="700"/>
        <v>0.94608417018008284</v>
      </c>
      <c r="BH89" s="146"/>
      <c r="BI89" s="147">
        <f t="shared" ref="BI89:BK89" si="701">BI86</f>
        <v>1.2148140564417447</v>
      </c>
      <c r="BJ89" s="146"/>
      <c r="BK89" s="147">
        <f t="shared" si="701"/>
        <v>1.2812683680205796</v>
      </c>
      <c r="BL89" s="146"/>
      <c r="BM89" s="147">
        <f t="shared" ref="BM89" si="702">BM86</f>
        <v>1.3207173523878297</v>
      </c>
      <c r="BN89" s="146"/>
      <c r="BO89" s="147">
        <f t="shared" ref="BO89" si="703">BO86</f>
        <v>1.2981090782306359</v>
      </c>
    </row>
    <row r="90" spans="1:67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0.23979981213957741</v>
      </c>
      <c r="H90" s="381"/>
      <c r="I90" s="382">
        <f>I89/I67</f>
        <v>0.23979981213957741</v>
      </c>
      <c r="J90" s="381"/>
      <c r="K90" s="1096">
        <f>K89/K67</f>
        <v>0.16245518436031098</v>
      </c>
      <c r="L90" s="132"/>
      <c r="M90" s="133">
        <f>M89/M67</f>
        <v>0.2089945924076477</v>
      </c>
      <c r="N90" s="381"/>
      <c r="O90" s="382">
        <f>O89/O67</f>
        <v>0.16589075854032764</v>
      </c>
      <c r="P90" s="381"/>
      <c r="Q90" s="382">
        <f>Q89/Q67</f>
        <v>0.16589075854032764</v>
      </c>
      <c r="R90" s="132"/>
      <c r="S90" s="133">
        <f>S89/S67</f>
        <v>0.18088532805181007</v>
      </c>
      <c r="T90" s="381"/>
      <c r="U90" s="382">
        <f>U89/U67</f>
        <v>0.18088532805181007</v>
      </c>
      <c r="V90" s="381"/>
      <c r="W90" s="382">
        <f>W89/W67</f>
        <v>0.16512914568054091</v>
      </c>
      <c r="X90" s="132"/>
      <c r="Y90" s="133">
        <f>Y89/Y67</f>
        <v>0.17764928095367447</v>
      </c>
      <c r="Z90" s="381"/>
      <c r="AA90" s="382">
        <f>AA89/AA67</f>
        <v>0.19628011424127209</v>
      </c>
      <c r="AB90" s="381"/>
      <c r="AC90" s="382">
        <f>AC89/AC67</f>
        <v>0.22170738046799884</v>
      </c>
      <c r="AD90" s="381"/>
      <c r="AE90" s="382">
        <f t="shared" ref="AE90" si="704">AE89/AE67</f>
        <v>0.31154333357302461</v>
      </c>
      <c r="AF90" s="381"/>
      <c r="AG90" s="382">
        <f t="shared" ref="AG90" si="705">AG89/AG67</f>
        <v>0.32488418297269717</v>
      </c>
      <c r="AH90" s="381"/>
      <c r="AI90" s="382">
        <f t="shared" ref="AI90" si="706">AI89/AI67</f>
        <v>0.1934177647981708</v>
      </c>
      <c r="AJ90" s="381"/>
      <c r="AK90" s="382">
        <f t="shared" ref="AK90" si="707">AK89/AK67</f>
        <v>0.15732340462409189</v>
      </c>
      <c r="AL90" s="381"/>
      <c r="AM90" s="382">
        <f t="shared" ref="AM90" si="708">AM89/AM67</f>
        <v>0.15732340462409189</v>
      </c>
      <c r="AN90" s="381"/>
      <c r="AO90" s="382">
        <f t="shared" ref="AO90" si="709">AO89/AO67</f>
        <v>0.14736029083790383</v>
      </c>
      <c r="AP90" s="381"/>
      <c r="AQ90" s="382">
        <f t="shared" ref="AQ90" si="710">AQ89/AQ67</f>
        <v>0.14736029083790383</v>
      </c>
      <c r="AR90" s="381"/>
      <c r="AS90" s="382">
        <f t="shared" ref="AS90:AY90" si="711">AS89/AS67</f>
        <v>0.14736029083790383</v>
      </c>
      <c r="AT90" s="381"/>
      <c r="AU90" s="382">
        <f t="shared" si="711"/>
        <v>0.24606188980315971</v>
      </c>
      <c r="AV90" s="381"/>
      <c r="AW90" s="382">
        <f t="shared" si="711"/>
        <v>0.27047629466820461</v>
      </c>
      <c r="AX90" s="381"/>
      <c r="AY90" s="382">
        <f t="shared" si="711"/>
        <v>0.27531802767446045</v>
      </c>
      <c r="AZ90" s="381"/>
      <c r="BA90" s="382">
        <f t="shared" ref="BA90:BC90" si="712">BA89/BA67</f>
        <v>0.29510832328724518</v>
      </c>
      <c r="BB90" s="381"/>
      <c r="BC90" s="382">
        <f t="shared" si="712"/>
        <v>0.25919308206209146</v>
      </c>
      <c r="BD90" s="381"/>
      <c r="BE90" s="382">
        <f t="shared" ref="BE90:BG90" si="713">BE89/BE67</f>
        <v>0.29117271849883603</v>
      </c>
      <c r="BF90" s="381"/>
      <c r="BG90" s="382">
        <f t="shared" si="713"/>
        <v>0.20129450429363463</v>
      </c>
      <c r="BH90" s="381"/>
      <c r="BI90" s="382">
        <f t="shared" ref="BI90:BK90" si="714">BI89/BI67</f>
        <v>0.25847107583866907</v>
      </c>
      <c r="BJ90" s="381"/>
      <c r="BK90" s="382">
        <f t="shared" si="714"/>
        <v>0.27261029106820844</v>
      </c>
      <c r="BL90" s="381"/>
      <c r="BM90" s="382">
        <f t="shared" ref="BM90" si="715">BM89/BM67</f>
        <v>0.28100369199741054</v>
      </c>
      <c r="BN90" s="381"/>
      <c r="BO90" s="382">
        <f t="shared" ref="BO90" si="716">BO89/BO67</f>
        <v>0.27619342090013527</v>
      </c>
    </row>
    <row r="91" spans="1:67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381"/>
      <c r="I91" s="382"/>
      <c r="J91" s="381"/>
      <c r="K91" s="382"/>
      <c r="L91" s="132"/>
      <c r="M91" s="133"/>
      <c r="N91" s="381"/>
      <c r="O91" s="382"/>
      <c r="P91" s="381"/>
      <c r="Q91" s="382"/>
      <c r="R91" s="132"/>
      <c r="S91" s="133"/>
      <c r="T91" s="381"/>
      <c r="U91" s="382"/>
      <c r="V91" s="381"/>
      <c r="W91" s="382"/>
      <c r="X91" s="132"/>
      <c r="Y91" s="133"/>
      <c r="Z91" s="381"/>
      <c r="AA91" s="382"/>
      <c r="AB91" s="381"/>
      <c r="AC91" s="382"/>
      <c r="AD91" s="381"/>
      <c r="AE91" s="382"/>
      <c r="AF91" s="381"/>
      <c r="AG91" s="382"/>
      <c r="AH91" s="381"/>
      <c r="AI91" s="382"/>
      <c r="AJ91" s="381"/>
      <c r="AK91" s="382"/>
      <c r="AL91" s="381"/>
      <c r="AM91" s="382"/>
      <c r="AN91" s="381"/>
      <c r="AO91" s="382"/>
      <c r="AP91" s="381"/>
      <c r="AQ91" s="382"/>
      <c r="AR91" s="381"/>
      <c r="AS91" s="382"/>
      <c r="AT91" s="381"/>
      <c r="AU91" s="382"/>
      <c r="AV91" s="381"/>
      <c r="AW91" s="382"/>
      <c r="AX91" s="381"/>
      <c r="AY91" s="382"/>
      <c r="AZ91" s="381"/>
      <c r="BA91" s="382"/>
      <c r="BB91" s="381"/>
      <c r="BC91" s="382"/>
      <c r="BD91" s="381"/>
      <c r="BE91" s="382"/>
      <c r="BF91" s="381"/>
      <c r="BG91" s="382"/>
      <c r="BH91" s="381"/>
      <c r="BI91" s="382"/>
      <c r="BJ91" s="381"/>
      <c r="BK91" s="382"/>
      <c r="BL91" s="381"/>
      <c r="BM91" s="382"/>
      <c r="BN91" s="381"/>
      <c r="BO91" s="382"/>
    </row>
    <row r="92" spans="1:67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257">
        <v>0</v>
      </c>
      <c r="AZ92" s="256"/>
      <c r="BA92" s="257">
        <v>0</v>
      </c>
      <c r="BB92" s="256"/>
      <c r="BC92" s="257">
        <v>0</v>
      </c>
      <c r="BD92" s="256"/>
      <c r="BE92" s="257">
        <v>0</v>
      </c>
      <c r="BF92" s="256"/>
      <c r="BG92" s="257">
        <v>0</v>
      </c>
      <c r="BH92" s="256"/>
      <c r="BI92" s="257">
        <v>0</v>
      </c>
      <c r="BJ92" s="256"/>
      <c r="BK92" s="257">
        <v>0</v>
      </c>
      <c r="BL92" s="256"/>
      <c r="BM92" s="257">
        <v>0</v>
      </c>
      <c r="BN92" s="256"/>
      <c r="BO92" s="257">
        <v>0</v>
      </c>
    </row>
    <row r="93" spans="1:67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1.0743031583853069</v>
      </c>
      <c r="H93" s="146"/>
      <c r="I93" s="147">
        <f>I89-I92</f>
        <v>1.0743031583853069</v>
      </c>
      <c r="J93" s="146"/>
      <c r="K93" s="147">
        <f>K89-K92</f>
        <v>0.72779922593419322</v>
      </c>
      <c r="L93" s="146"/>
      <c r="M93" s="147">
        <f>M89-M92</f>
        <v>0.93629577398626185</v>
      </c>
      <c r="N93" s="146"/>
      <c r="O93" s="147">
        <f>O89-O92</f>
        <v>0.74319059826066791</v>
      </c>
      <c r="P93" s="146"/>
      <c r="Q93" s="147">
        <f>Q89-Q92</f>
        <v>0.74319059826066791</v>
      </c>
      <c r="R93" s="146"/>
      <c r="S93" s="147">
        <f>S89-S92</f>
        <v>0.81036626967210923</v>
      </c>
      <c r="T93" s="146"/>
      <c r="U93" s="147">
        <f>U89-U92</f>
        <v>0.81036626967210923</v>
      </c>
      <c r="V93" s="146"/>
      <c r="W93" s="147">
        <f>W89-W92</f>
        <v>0.7397785726488233</v>
      </c>
      <c r="X93" s="146"/>
      <c r="Y93" s="147">
        <f>Y89-Y92</f>
        <v>0.79586877867246164</v>
      </c>
      <c r="Z93" s="146"/>
      <c r="AA93" s="147">
        <f>AA89-AA92</f>
        <v>0.87933491180089907</v>
      </c>
      <c r="AB93" s="146"/>
      <c r="AC93" s="147">
        <f>AC89-AC92</f>
        <v>0.99324906449663486</v>
      </c>
      <c r="AD93" s="146"/>
      <c r="AE93" s="147">
        <f t="shared" ref="AE93" si="717">AE89-AE92</f>
        <v>1.4330993344359131</v>
      </c>
      <c r="AF93" s="146"/>
      <c r="AG93" s="147">
        <f t="shared" ref="AG93" si="718">AG89-AG92</f>
        <v>1.4944672416744069</v>
      </c>
      <c r="AH93" s="146"/>
      <c r="AI93" s="147">
        <f t="shared" ref="AI93" si="719">AI89-AI92</f>
        <v>0.88972171807158562</v>
      </c>
      <c r="AJ93" s="146"/>
      <c r="AK93" s="147">
        <f t="shared" ref="AK93" si="720">AK89-AK92</f>
        <v>0.72368766127082262</v>
      </c>
      <c r="AL93" s="146"/>
      <c r="AM93" s="147">
        <f t="shared" ref="AM93" si="721">AM89-AM92</f>
        <v>0.72368766127082262</v>
      </c>
      <c r="AN93" s="146"/>
      <c r="AO93" s="147">
        <f t="shared" ref="AO93" si="722">AO89-AO92</f>
        <v>0.67785733785435753</v>
      </c>
      <c r="AP93" s="146"/>
      <c r="AQ93" s="147">
        <f t="shared" ref="AQ93" si="723">AQ89-AQ92</f>
        <v>0.67785733785435753</v>
      </c>
      <c r="AR93" s="146"/>
      <c r="AS93" s="147">
        <f t="shared" ref="AS93:AY93" si="724">AS89-AS92</f>
        <v>0.67785733785435753</v>
      </c>
      <c r="AT93" s="146"/>
      <c r="AU93" s="147">
        <f t="shared" si="724"/>
        <v>1.1318846930945345</v>
      </c>
      <c r="AV93" s="146"/>
      <c r="AW93" s="147">
        <f t="shared" si="724"/>
        <v>1.2441909554737411</v>
      </c>
      <c r="AX93" s="146"/>
      <c r="AY93" s="147">
        <f t="shared" si="724"/>
        <v>1.2939947300699641</v>
      </c>
      <c r="AZ93" s="146"/>
      <c r="BA93" s="147">
        <f t="shared" ref="BA93:BC93" si="725">BA89-BA92</f>
        <v>1.3870091194500525</v>
      </c>
      <c r="BB93" s="146"/>
      <c r="BC93" s="147">
        <f t="shared" si="725"/>
        <v>1.2182074856918299</v>
      </c>
      <c r="BD93" s="146"/>
      <c r="BE93" s="147">
        <f t="shared" ref="BE93:BG93" si="726">BE89-BE92</f>
        <v>1.3685117769445294</v>
      </c>
      <c r="BF93" s="146"/>
      <c r="BG93" s="147">
        <f t="shared" si="726"/>
        <v>0.94608417018008284</v>
      </c>
      <c r="BH93" s="146"/>
      <c r="BI93" s="147">
        <f t="shared" ref="BI93:BK93" si="727">BI89-BI92</f>
        <v>1.2148140564417447</v>
      </c>
      <c r="BJ93" s="146"/>
      <c r="BK93" s="147">
        <f t="shared" si="727"/>
        <v>1.2812683680205796</v>
      </c>
      <c r="BL93" s="146"/>
      <c r="BM93" s="147">
        <f t="shared" ref="BM93" si="728">BM89-BM92</f>
        <v>1.3207173523878297</v>
      </c>
      <c r="BN93" s="146"/>
      <c r="BO93" s="147">
        <f t="shared" ref="BO93" si="729">BO89-BO92</f>
        <v>1.2981090782306359</v>
      </c>
    </row>
    <row r="94" spans="1:67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0.23979981213957741</v>
      </c>
      <c r="H94" s="381"/>
      <c r="I94" s="382">
        <f>I93/I67</f>
        <v>0.23979981213957741</v>
      </c>
      <c r="J94" s="381"/>
      <c r="K94" s="382">
        <f>K93/K67</f>
        <v>0.16245518436031098</v>
      </c>
      <c r="L94" s="132"/>
      <c r="M94" s="133">
        <f>M93/M67</f>
        <v>0.2089945924076477</v>
      </c>
      <c r="N94" s="381"/>
      <c r="O94" s="382">
        <f>O93/O67</f>
        <v>0.16589075854032764</v>
      </c>
      <c r="P94" s="381"/>
      <c r="Q94" s="382">
        <f>Q93/Q67</f>
        <v>0.16589075854032764</v>
      </c>
      <c r="R94" s="132"/>
      <c r="S94" s="133">
        <f>S93/S67</f>
        <v>0.18088532805181007</v>
      </c>
      <c r="T94" s="381"/>
      <c r="U94" s="382">
        <f>U93/U67</f>
        <v>0.18088532805181007</v>
      </c>
      <c r="V94" s="381"/>
      <c r="W94" s="382">
        <f>W93/W67</f>
        <v>0.16512914568054091</v>
      </c>
      <c r="X94" s="132"/>
      <c r="Y94" s="133">
        <f>Y93/Y67</f>
        <v>0.17764928095367447</v>
      </c>
      <c r="Z94" s="381"/>
      <c r="AA94" s="382">
        <f>AA93/AA67</f>
        <v>0.19628011424127209</v>
      </c>
      <c r="AB94" s="381"/>
      <c r="AC94" s="382">
        <f>AC93/AC67</f>
        <v>0.22170738046799884</v>
      </c>
      <c r="AD94" s="381"/>
      <c r="AE94" s="382">
        <f t="shared" ref="AE94" si="730">AE93/AE67</f>
        <v>0.31154333357302461</v>
      </c>
      <c r="AF94" s="381"/>
      <c r="AG94" s="382">
        <f t="shared" ref="AG94" si="731">AG93/AG67</f>
        <v>0.32488418297269717</v>
      </c>
      <c r="AH94" s="381"/>
      <c r="AI94" s="382">
        <f t="shared" ref="AI94" si="732">AI93/AI67</f>
        <v>0.1934177647981708</v>
      </c>
      <c r="AJ94" s="381"/>
      <c r="AK94" s="382">
        <f t="shared" ref="AK94" si="733">AK93/AK67</f>
        <v>0.15732340462409189</v>
      </c>
      <c r="AL94" s="381"/>
      <c r="AM94" s="382">
        <f t="shared" ref="AM94" si="734">AM93/AM67</f>
        <v>0.15732340462409189</v>
      </c>
      <c r="AN94" s="381"/>
      <c r="AO94" s="382">
        <f t="shared" ref="AO94" si="735">AO93/AO67</f>
        <v>0.14736029083790383</v>
      </c>
      <c r="AP94" s="381"/>
      <c r="AQ94" s="382">
        <f t="shared" ref="AQ94" si="736">AQ93/AQ67</f>
        <v>0.14736029083790383</v>
      </c>
      <c r="AR94" s="381"/>
      <c r="AS94" s="382">
        <f t="shared" ref="AS94:AY94" si="737">AS93/AS67</f>
        <v>0.14736029083790383</v>
      </c>
      <c r="AT94" s="381"/>
      <c r="AU94" s="382">
        <f t="shared" si="737"/>
        <v>0.24606188980315971</v>
      </c>
      <c r="AV94" s="381"/>
      <c r="AW94" s="382">
        <f t="shared" si="737"/>
        <v>0.27047629466820461</v>
      </c>
      <c r="AX94" s="381"/>
      <c r="AY94" s="382">
        <f t="shared" si="737"/>
        <v>0.27531802767446045</v>
      </c>
      <c r="AZ94" s="381"/>
      <c r="BA94" s="382">
        <f t="shared" ref="BA94:BC94" si="738">BA93/BA67</f>
        <v>0.29510832328724518</v>
      </c>
      <c r="BB94" s="381"/>
      <c r="BC94" s="382">
        <f t="shared" si="738"/>
        <v>0.25919308206209146</v>
      </c>
      <c r="BD94" s="381"/>
      <c r="BE94" s="382">
        <f t="shared" ref="BE94:BG94" si="739">BE93/BE67</f>
        <v>0.29117271849883603</v>
      </c>
      <c r="BF94" s="381"/>
      <c r="BG94" s="382">
        <f t="shared" si="739"/>
        <v>0.20129450429363463</v>
      </c>
      <c r="BH94" s="381"/>
      <c r="BI94" s="382">
        <f t="shared" ref="BI94:BK94" si="740">BI93/BI67</f>
        <v>0.25847107583866907</v>
      </c>
      <c r="BJ94" s="381"/>
      <c r="BK94" s="382">
        <f t="shared" si="740"/>
        <v>0.27261029106820844</v>
      </c>
      <c r="BL94" s="381"/>
      <c r="BM94" s="382">
        <f t="shared" ref="BM94" si="741">BM93/BM67</f>
        <v>0.28100369199741054</v>
      </c>
      <c r="BN94" s="381"/>
      <c r="BO94" s="382">
        <f t="shared" ref="BO94" si="742">BO93/BO67</f>
        <v>0.27619342090013527</v>
      </c>
    </row>
    <row r="95" spans="1:67" s="65" customFormat="1" ht="6.75" customHeight="1" outlineLevel="1" x14ac:dyDescent="0.45">
      <c r="A95" s="561"/>
      <c r="B95" s="266"/>
      <c r="C95" s="131"/>
      <c r="D95" s="131"/>
      <c r="E95" s="131"/>
      <c r="F95" s="132"/>
      <c r="G95" s="133"/>
      <c r="H95" s="381"/>
      <c r="I95" s="382"/>
      <c r="J95" s="381"/>
      <c r="K95" s="382"/>
      <c r="L95" s="132"/>
      <c r="M95" s="133"/>
      <c r="N95" s="381"/>
      <c r="O95" s="382"/>
      <c r="P95" s="381"/>
      <c r="Q95" s="382"/>
      <c r="R95" s="132"/>
      <c r="S95" s="133"/>
      <c r="T95" s="381"/>
      <c r="U95" s="382"/>
      <c r="V95" s="381"/>
      <c r="W95" s="382"/>
      <c r="X95" s="132"/>
      <c r="Y95" s="133"/>
      <c r="Z95" s="381"/>
      <c r="AA95" s="382"/>
      <c r="AB95" s="381"/>
      <c r="AC95" s="382"/>
      <c r="AD95" s="381"/>
      <c r="AE95" s="382"/>
      <c r="AF95" s="381"/>
      <c r="AG95" s="382"/>
      <c r="AH95" s="381"/>
      <c r="AI95" s="382"/>
      <c r="AJ95" s="381"/>
      <c r="AK95" s="382"/>
      <c r="AL95" s="381"/>
      <c r="AM95" s="382"/>
      <c r="AN95" s="381"/>
      <c r="AO95" s="382"/>
      <c r="AP95" s="381"/>
      <c r="AQ95" s="382"/>
      <c r="AR95" s="381"/>
      <c r="AS95" s="382"/>
      <c r="AT95" s="381"/>
      <c r="AU95" s="382"/>
      <c r="AV95" s="381"/>
      <c r="AW95" s="382"/>
      <c r="AX95" s="381"/>
      <c r="AY95" s="382"/>
      <c r="AZ95" s="381"/>
      <c r="BA95" s="382"/>
      <c r="BB95" s="381"/>
      <c r="BC95" s="382"/>
      <c r="BD95" s="381"/>
      <c r="BE95" s="382"/>
      <c r="BF95" s="381"/>
      <c r="BG95" s="382"/>
      <c r="BH95" s="381"/>
      <c r="BI95" s="382"/>
      <c r="BJ95" s="381"/>
      <c r="BK95" s="382"/>
      <c r="BL95" s="381"/>
      <c r="BM95" s="382"/>
      <c r="BN95" s="381"/>
      <c r="BO95" s="382"/>
    </row>
    <row r="96" spans="1:67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2.0176661733347992E-2</v>
      </c>
      <c r="H96" s="381"/>
      <c r="I96" s="383">
        <f>(I136-I135)/I66</f>
        <v>2.0176661733347992E-2</v>
      </c>
      <c r="J96" s="381"/>
      <c r="K96" s="383">
        <f>(K136-K135)/K66</f>
        <v>7.8089867189252158E-3</v>
      </c>
      <c r="L96" s="132"/>
      <c r="M96" s="383">
        <f>(M136-M135)/M66</f>
        <v>3.1246262105709199E-2</v>
      </c>
      <c r="N96" s="381"/>
      <c r="O96" s="383">
        <f>(O136-O135)/O66</f>
        <v>5.0083498172899789E-2</v>
      </c>
      <c r="P96" s="381"/>
      <c r="Q96" s="383">
        <f>(Q136-Q135)/Q66</f>
        <v>5.0083498172899789E-2</v>
      </c>
      <c r="R96" s="132"/>
      <c r="S96" s="383">
        <f>(S136-S135)/S66</f>
        <v>5.7908853146301842E-2</v>
      </c>
      <c r="T96" s="381"/>
      <c r="U96" s="383">
        <f>(U136-U135)/U66</f>
        <v>5.7908853146301842E-2</v>
      </c>
      <c r="V96" s="381"/>
      <c r="W96" s="383">
        <f>(W136-W135)/W66</f>
        <v>-7.7519731472926352E-3</v>
      </c>
      <c r="X96" s="132"/>
      <c r="Y96" s="383">
        <f>(Y136-Y135)/Y66</f>
        <v>-7.7519731472926352E-3</v>
      </c>
      <c r="Z96" s="381"/>
      <c r="AA96" s="383">
        <f>(AA136-AA135)/AA66</f>
        <v>-0.14651116693212834</v>
      </c>
      <c r="AB96" s="381"/>
      <c r="AC96" s="383">
        <f>(AC136-AC135)/AC66</f>
        <v>-0.13476190155409004</v>
      </c>
      <c r="AD96" s="381"/>
      <c r="AE96" s="383">
        <f t="shared" ref="AE96" si="743">(AE136-AE135)/AE66</f>
        <v>-0.1674925514436201</v>
      </c>
      <c r="AF96" s="381"/>
      <c r="AG96" s="383">
        <f t="shared" ref="AG96" si="744">(AG136-AG135)/AG66</f>
        <v>-0.16937922821286402</v>
      </c>
      <c r="AH96" s="381"/>
      <c r="AI96" s="383">
        <f t="shared" ref="AI96" si="745">(AI136-AI135)/AI66</f>
        <v>-0.16937922821286402</v>
      </c>
      <c r="AJ96" s="381"/>
      <c r="AK96" s="383">
        <f t="shared" ref="AK96" si="746">(AK136-AK135)/AK66</f>
        <v>-0.16937922821286402</v>
      </c>
      <c r="AL96" s="381"/>
      <c r="AM96" s="383">
        <f t="shared" ref="AM96" si="747">(AM136-AM135)/AM66</f>
        <v>-0.16937922821286402</v>
      </c>
      <c r="AN96" s="381"/>
      <c r="AO96" s="383">
        <f t="shared" ref="AO96" si="748">(AO136-AO135)/AO66</f>
        <v>-0.16937922821286402</v>
      </c>
      <c r="AP96" s="381"/>
      <c r="AQ96" s="383">
        <f t="shared" ref="AQ96" si="749">(AQ136-AQ135)/AQ66</f>
        <v>-0.16937922821286402</v>
      </c>
      <c r="AR96" s="381"/>
      <c r="AS96" s="383">
        <f t="shared" ref="AS96:AY96" si="750">(AS136-AS135)/AS66</f>
        <v>-0.16937922821286402</v>
      </c>
      <c r="AT96" s="381"/>
      <c r="AU96" s="383">
        <f t="shared" si="750"/>
        <v>-0.16937922821286402</v>
      </c>
      <c r="AV96" s="381"/>
      <c r="AW96" s="383">
        <f t="shared" si="750"/>
        <v>-0.23076923076923078</v>
      </c>
      <c r="AX96" s="381"/>
      <c r="AY96" s="383">
        <f t="shared" si="750"/>
        <v>-0.14185855263157895</v>
      </c>
      <c r="AZ96" s="381"/>
      <c r="BA96" s="383">
        <f t="shared" ref="BA96" si="751">(BA136-BA135)/BA66</f>
        <v>-0.14288651315789475</v>
      </c>
      <c r="BB96" s="381"/>
      <c r="BC96" s="383">
        <f>(BC136-BC135)/BC66</f>
        <v>-0.14021381578947367</v>
      </c>
      <c r="BD96" s="381"/>
      <c r="BE96" s="383">
        <f>(BE136-BE135)/BE66</f>
        <v>-0.14185855263157895</v>
      </c>
      <c r="BF96" s="381"/>
      <c r="BG96" s="383">
        <f>(BG136-BG135)/BG66</f>
        <v>-0.13575246710526315</v>
      </c>
      <c r="BH96" s="381"/>
      <c r="BI96" s="383">
        <f>(BI136-BI135)/BI66</f>
        <v>-0.11060855263157894</v>
      </c>
      <c r="BJ96" s="381"/>
      <c r="BK96" s="383">
        <f>(BK136-BK135)/BK66</f>
        <v>-0.14412006578947367</v>
      </c>
      <c r="BL96" s="381"/>
      <c r="BM96" s="383">
        <f>(BM136-BM135)/BM66</f>
        <v>-0.15275493421052633</v>
      </c>
      <c r="BN96" s="381"/>
      <c r="BO96" s="383">
        <f>(BO136-BO135)/BO66</f>
        <v>-0.11307565789473684</v>
      </c>
    </row>
    <row r="97" spans="1:67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381"/>
      <c r="I97" s="382"/>
      <c r="J97" s="381"/>
      <c r="K97" s="382"/>
      <c r="L97" s="132"/>
      <c r="M97" s="133"/>
      <c r="N97" s="381"/>
      <c r="O97" s="382"/>
      <c r="P97" s="381"/>
      <c r="Q97" s="382"/>
      <c r="R97" s="132"/>
      <c r="S97" s="133"/>
      <c r="T97" s="381"/>
      <c r="U97" s="382"/>
      <c r="V97" s="381"/>
      <c r="W97" s="382"/>
      <c r="X97" s="132"/>
      <c r="Y97" s="133"/>
      <c r="Z97" s="381"/>
      <c r="AA97" s="382"/>
      <c r="AB97" s="381"/>
      <c r="AC97" s="382"/>
      <c r="AD97" s="381"/>
      <c r="AE97" s="382"/>
      <c r="AF97" s="381"/>
      <c r="AG97" s="382"/>
      <c r="AH97" s="381"/>
      <c r="AI97" s="382"/>
      <c r="AJ97" s="381"/>
      <c r="AK97" s="382"/>
      <c r="AL97" s="381"/>
      <c r="AM97" s="382"/>
      <c r="AN97" s="381"/>
      <c r="AO97" s="382"/>
      <c r="AP97" s="381"/>
      <c r="AQ97" s="382"/>
      <c r="AR97" s="381"/>
      <c r="AS97" s="382"/>
      <c r="AT97" s="381"/>
      <c r="AU97" s="382"/>
      <c r="AV97" s="381"/>
      <c r="AW97" s="382"/>
      <c r="AX97" s="381"/>
      <c r="AY97" s="382"/>
      <c r="AZ97" s="381"/>
      <c r="BA97" s="382"/>
      <c r="BB97" s="381"/>
      <c r="BC97" s="382"/>
      <c r="BD97" s="381"/>
      <c r="BE97" s="382"/>
      <c r="BF97" s="381"/>
      <c r="BG97" s="382"/>
      <c r="BH97" s="381"/>
      <c r="BI97" s="382"/>
      <c r="BJ97" s="381"/>
      <c r="BK97" s="382"/>
      <c r="BL97" s="381"/>
      <c r="BM97" s="382"/>
      <c r="BN97" s="381"/>
      <c r="BO97" s="382"/>
    </row>
    <row r="98" spans="1:67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1.0541264966519588</v>
      </c>
      <c r="H98" s="591"/>
      <c r="I98" s="590">
        <f>I93-I96</f>
        <v>1.0541264966519588</v>
      </c>
      <c r="J98" s="591"/>
      <c r="K98" s="590">
        <f>K93-K96</f>
        <v>0.71999023921526795</v>
      </c>
      <c r="L98" s="591"/>
      <c r="M98" s="590">
        <f>M93-M96</f>
        <v>0.9050495118805526</v>
      </c>
      <c r="N98" s="591"/>
      <c r="O98" s="590">
        <f>O93-O96</f>
        <v>0.6931071000877681</v>
      </c>
      <c r="P98" s="591"/>
      <c r="Q98" s="590">
        <f>Q93-Q96</f>
        <v>0.6931071000877681</v>
      </c>
      <c r="R98" s="591"/>
      <c r="S98" s="590">
        <f>S93-S96</f>
        <v>0.75245741652580733</v>
      </c>
      <c r="T98" s="591"/>
      <c r="U98" s="590">
        <f>U93-U96</f>
        <v>0.75245741652580733</v>
      </c>
      <c r="V98" s="591"/>
      <c r="W98" s="590">
        <f>W93-W96</f>
        <v>0.74753054579611589</v>
      </c>
      <c r="X98" s="591"/>
      <c r="Y98" s="590">
        <f>Y93-Y96</f>
        <v>0.80362075181975423</v>
      </c>
      <c r="Z98" s="591"/>
      <c r="AA98" s="590">
        <f>AA93-AA96</f>
        <v>1.0258460787330275</v>
      </c>
      <c r="AB98" s="591"/>
      <c r="AC98" s="590">
        <f>AC93-AC96</f>
        <v>1.1280109660507249</v>
      </c>
      <c r="AD98" s="591"/>
      <c r="AE98" s="590">
        <f t="shared" ref="AE98" si="752">AE93-AE96</f>
        <v>1.6005918858795332</v>
      </c>
      <c r="AF98" s="591"/>
      <c r="AG98" s="590">
        <f t="shared" ref="AG98" si="753">AG93-AG96</f>
        <v>1.663846469887271</v>
      </c>
      <c r="AH98" s="591"/>
      <c r="AI98" s="590">
        <f t="shared" ref="AI98" si="754">AI93-AI96</f>
        <v>1.0591009462844496</v>
      </c>
      <c r="AJ98" s="591"/>
      <c r="AK98" s="590">
        <f t="shared" ref="AK98" si="755">AK93-AK96</f>
        <v>0.89306688948368662</v>
      </c>
      <c r="AL98" s="591"/>
      <c r="AM98" s="590">
        <f t="shared" ref="AM98" si="756">AM93-AM96</f>
        <v>0.89306688948368662</v>
      </c>
      <c r="AN98" s="591"/>
      <c r="AO98" s="590">
        <f t="shared" ref="AO98" si="757">AO93-AO96</f>
        <v>0.84723656606722153</v>
      </c>
      <c r="AP98" s="591"/>
      <c r="AQ98" s="590">
        <f t="shared" ref="AQ98" si="758">AQ93-AQ96</f>
        <v>0.84723656606722153</v>
      </c>
      <c r="AR98" s="591"/>
      <c r="AS98" s="590">
        <f t="shared" ref="AS98:AY98" si="759">AS93-AS96</f>
        <v>0.84723656606722153</v>
      </c>
      <c r="AT98" s="591"/>
      <c r="AU98" s="590">
        <f t="shared" si="759"/>
        <v>1.3012639213073987</v>
      </c>
      <c r="AV98" s="591"/>
      <c r="AW98" s="590">
        <f t="shared" si="759"/>
        <v>1.474960186242972</v>
      </c>
      <c r="AX98" s="591"/>
      <c r="AY98" s="590">
        <f t="shared" si="759"/>
        <v>1.4358532827015431</v>
      </c>
      <c r="AZ98" s="591"/>
      <c r="BA98" s="590">
        <f t="shared" ref="BA98:BC98" si="760">BA93-BA96</f>
        <v>1.5298956326079471</v>
      </c>
      <c r="BB98" s="591"/>
      <c r="BC98" s="590">
        <f t="shared" si="760"/>
        <v>1.3584213014813036</v>
      </c>
      <c r="BD98" s="591"/>
      <c r="BE98" s="590">
        <f t="shared" ref="BE98:BG98" si="761">BE93-BE96</f>
        <v>1.5103703295761084</v>
      </c>
      <c r="BF98" s="591"/>
      <c r="BG98" s="590">
        <f t="shared" si="761"/>
        <v>1.0818366372853461</v>
      </c>
      <c r="BH98" s="591"/>
      <c r="BI98" s="590">
        <f t="shared" ref="BI98:BK98" si="762">BI93-BI96</f>
        <v>1.3254226090733237</v>
      </c>
      <c r="BJ98" s="591"/>
      <c r="BK98" s="590">
        <f t="shared" si="762"/>
        <v>1.4253884338100533</v>
      </c>
      <c r="BL98" s="591"/>
      <c r="BM98" s="590">
        <f t="shared" ref="BM98" si="763">BM93-BM96</f>
        <v>1.4734722865983561</v>
      </c>
      <c r="BN98" s="591"/>
      <c r="BO98" s="590">
        <f t="shared" ref="BO98" si="764">BO93-BO96</f>
        <v>1.4111847361253727</v>
      </c>
    </row>
    <row r="99" spans="1:67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0.23529609300266935</v>
      </c>
      <c r="H99" s="159"/>
      <c r="I99" s="1097">
        <f>I98/I67</f>
        <v>0.23529609300266935</v>
      </c>
      <c r="J99" s="159"/>
      <c r="K99" s="1097">
        <f>K98/K67</f>
        <v>0.16071210696769372</v>
      </c>
      <c r="L99" s="159"/>
      <c r="M99" s="1097">
        <f>M98/M67</f>
        <v>0.20201998033048046</v>
      </c>
      <c r="N99" s="159"/>
      <c r="O99" s="1097">
        <f>O98/O67</f>
        <v>0.15471140626959107</v>
      </c>
      <c r="P99" s="159"/>
      <c r="Q99" s="1097">
        <f>Q98/Q67</f>
        <v>0.15471140626959107</v>
      </c>
      <c r="R99" s="159"/>
      <c r="S99" s="1097">
        <f>S98/S67</f>
        <v>0.16795924476022484</v>
      </c>
      <c r="T99" s="159"/>
      <c r="U99" s="1097">
        <f>U98/U67</f>
        <v>0.16795924476022484</v>
      </c>
      <c r="V99" s="159"/>
      <c r="W99" s="1097">
        <f>W98/W67</f>
        <v>0.16685949682949014</v>
      </c>
      <c r="X99" s="159"/>
      <c r="Y99" s="1097">
        <f>Y98/Y67</f>
        <v>0.1793796321026237</v>
      </c>
      <c r="Z99" s="159"/>
      <c r="AA99" s="1097">
        <f>AA98/AA67</f>
        <v>0.22898349971719362</v>
      </c>
      <c r="AB99" s="159"/>
      <c r="AC99" s="1097">
        <f>AC98/AC67</f>
        <v>0.25178816206489391</v>
      </c>
      <c r="AD99" s="159"/>
      <c r="AE99" s="1097">
        <f t="shared" ref="AE99" si="765">AE98/AE67</f>
        <v>0.34795475779989854</v>
      </c>
      <c r="AF99" s="159"/>
      <c r="AG99" s="1097">
        <f t="shared" ref="AG99" si="766">AG98/AG67</f>
        <v>0.36170575432331981</v>
      </c>
      <c r="AH99" s="159"/>
      <c r="AI99" s="1097">
        <f t="shared" ref="AI99" si="767">AI98/AI67</f>
        <v>0.23023933614879341</v>
      </c>
      <c r="AJ99" s="159"/>
      <c r="AK99" s="1097">
        <f t="shared" ref="AK99" si="768">AK98/AK67</f>
        <v>0.1941449759747145</v>
      </c>
      <c r="AL99" s="159"/>
      <c r="AM99" s="1097">
        <f t="shared" ref="AM99" si="769">AM98/AM67</f>
        <v>0.1941449759747145</v>
      </c>
      <c r="AN99" s="159"/>
      <c r="AO99" s="1097">
        <f t="shared" ref="AO99" si="770">AO98/AO67</f>
        <v>0.18418186218852645</v>
      </c>
      <c r="AP99" s="159"/>
      <c r="AQ99" s="1097">
        <f t="shared" ref="AQ99" si="771">AQ98/AQ67</f>
        <v>0.18418186218852645</v>
      </c>
      <c r="AR99" s="159"/>
      <c r="AS99" s="1097">
        <f t="shared" ref="AS99:AY99" si="772">AS98/AS67</f>
        <v>0.18418186218852645</v>
      </c>
      <c r="AT99" s="159"/>
      <c r="AU99" s="1097">
        <f t="shared" si="772"/>
        <v>0.28288346115378232</v>
      </c>
      <c r="AV99" s="159"/>
      <c r="AW99" s="1097">
        <f t="shared" si="772"/>
        <v>0.32064351874847219</v>
      </c>
      <c r="AX99" s="159"/>
      <c r="AY99" s="1097">
        <f t="shared" si="772"/>
        <v>0.30550069844713684</v>
      </c>
      <c r="AZ99" s="159"/>
      <c r="BA99" s="1097">
        <f t="shared" ref="BA99:BC99" si="773">BA98/BA67</f>
        <v>0.32550970906552068</v>
      </c>
      <c r="BB99" s="159"/>
      <c r="BC99" s="1097">
        <f t="shared" si="773"/>
        <v>0.28902580882580925</v>
      </c>
      <c r="BD99" s="159"/>
      <c r="BE99" s="1097">
        <f t="shared" ref="BE99:BG99" si="774">BE98/BE67</f>
        <v>0.32135538927151241</v>
      </c>
      <c r="BF99" s="159"/>
      <c r="BG99" s="1097">
        <f t="shared" si="774"/>
        <v>0.23017800793305235</v>
      </c>
      <c r="BH99" s="159"/>
      <c r="BI99" s="1097">
        <f t="shared" ref="BI99:BK99" si="775">BI98/BI67</f>
        <v>0.28200481044113268</v>
      </c>
      <c r="BJ99" s="159"/>
      <c r="BK99" s="1097">
        <f t="shared" si="775"/>
        <v>0.30327413485320281</v>
      </c>
      <c r="BL99" s="159"/>
      <c r="BM99" s="1097">
        <f t="shared" ref="BM99" si="776">BM98/BM67</f>
        <v>0.31350474182943744</v>
      </c>
      <c r="BN99" s="159"/>
      <c r="BO99" s="1097">
        <f t="shared" ref="BO99" si="777">BO98/BO67</f>
        <v>0.30025207151603672</v>
      </c>
    </row>
    <row r="100" spans="1:67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620</v>
      </c>
      <c r="BN100" s="251"/>
      <c r="BO100" s="167">
        <v>620</v>
      </c>
    </row>
    <row r="101" spans="1:67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</row>
    <row r="102" spans="1:67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</row>
    <row r="103" spans="1:67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</row>
    <row r="104" spans="1:67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>K101-K100</f>
        <v>530</v>
      </c>
      <c r="L104" s="173"/>
      <c r="M104" s="165">
        <f>M101-M100</f>
        <v>530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530</v>
      </c>
      <c r="T104" s="173"/>
      <c r="U104" s="165">
        <f>U101-U100</f>
        <v>530</v>
      </c>
      <c r="V104" s="173"/>
      <c r="W104" s="165">
        <f>W101-W100</f>
        <v>530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530</v>
      </c>
      <c r="AD104" s="173"/>
      <c r="AE104" s="165">
        <f t="shared" ref="AE104" si="778">AE101-AE100</f>
        <v>530</v>
      </c>
      <c r="AF104" s="173"/>
      <c r="AG104" s="165">
        <f t="shared" ref="AG104" si="779">AG101-AG100</f>
        <v>530</v>
      </c>
      <c r="AH104" s="173"/>
      <c r="AI104" s="165">
        <f t="shared" ref="AI104" si="780">AI101-AI100</f>
        <v>530</v>
      </c>
      <c r="AJ104" s="173"/>
      <c r="AK104" s="165">
        <f t="shared" ref="AK104" si="781">AK101-AK100</f>
        <v>530</v>
      </c>
      <c r="AL104" s="173"/>
      <c r="AM104" s="165">
        <f t="shared" ref="AM104" si="782">AM101-AM100</f>
        <v>530</v>
      </c>
      <c r="AN104" s="173"/>
      <c r="AO104" s="165">
        <f t="shared" ref="AO104" si="783">AO101-AO100</f>
        <v>530</v>
      </c>
      <c r="AP104" s="173"/>
      <c r="AQ104" s="165">
        <f t="shared" ref="AQ104" si="784">AQ101-AQ100</f>
        <v>530</v>
      </c>
      <c r="AR104" s="173"/>
      <c r="AS104" s="165">
        <f t="shared" ref="AS104:AY104" si="785">AS101-AS100</f>
        <v>530</v>
      </c>
      <c r="AT104" s="173"/>
      <c r="AU104" s="165">
        <f t="shared" si="785"/>
        <v>530</v>
      </c>
      <c r="AV104" s="173"/>
      <c r="AW104" s="165">
        <f t="shared" si="785"/>
        <v>530</v>
      </c>
      <c r="AX104" s="173"/>
      <c r="AY104" s="165">
        <f t="shared" si="785"/>
        <v>530</v>
      </c>
      <c r="AZ104" s="173"/>
      <c r="BA104" s="165">
        <f t="shared" ref="BA104:BC104" si="786">BA101-BA100</f>
        <v>530</v>
      </c>
      <c r="BB104" s="173"/>
      <c r="BC104" s="165">
        <f t="shared" si="786"/>
        <v>530</v>
      </c>
      <c r="BD104" s="173"/>
      <c r="BE104" s="165">
        <f t="shared" ref="BE104:BG104" si="787">BE101-BE100</f>
        <v>530</v>
      </c>
      <c r="BF104" s="173"/>
      <c r="BG104" s="165">
        <f t="shared" si="787"/>
        <v>530</v>
      </c>
      <c r="BH104" s="173"/>
      <c r="BI104" s="165">
        <f t="shared" ref="BI104:BK104" si="788">BI101-BI100</f>
        <v>530</v>
      </c>
      <c r="BJ104" s="173"/>
      <c r="BK104" s="165">
        <f t="shared" si="788"/>
        <v>530</v>
      </c>
      <c r="BL104" s="173"/>
      <c r="BM104" s="165">
        <f t="shared" ref="BM104" si="789">BM101-BM100</f>
        <v>530</v>
      </c>
      <c r="BN104" s="173"/>
      <c r="BO104" s="165">
        <f t="shared" ref="BO104" si="790">BO101-BO100</f>
        <v>530</v>
      </c>
    </row>
    <row r="105" spans="1:67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0.10728744939271255</v>
      </c>
      <c r="H105" s="177"/>
      <c r="I105" s="178">
        <f>I104/I66</f>
        <v>0.10728744939271255</v>
      </c>
      <c r="J105" s="177"/>
      <c r="K105" s="178">
        <f>K104/K66</f>
        <v>0.10728744939271255</v>
      </c>
      <c r="L105" s="177"/>
      <c r="M105" s="178">
        <f>M104/M66</f>
        <v>0.10728744939271255</v>
      </c>
      <c r="N105" s="177"/>
      <c r="O105" s="178">
        <f>O104/O66</f>
        <v>0.10728744939271255</v>
      </c>
      <c r="P105" s="177"/>
      <c r="Q105" s="178">
        <f>Q104/Q66</f>
        <v>0.10728744939271255</v>
      </c>
      <c r="R105" s="177"/>
      <c r="S105" s="178">
        <f>S104/S66</f>
        <v>0.10728744939271255</v>
      </c>
      <c r="T105" s="177"/>
      <c r="U105" s="178">
        <f>U104/U66</f>
        <v>0.10728744939271255</v>
      </c>
      <c r="V105" s="177"/>
      <c r="W105" s="178">
        <f>W104/W66</f>
        <v>0.10728744939271255</v>
      </c>
      <c r="X105" s="177"/>
      <c r="Y105" s="178">
        <f>Y104/Y66</f>
        <v>0.10728744939271255</v>
      </c>
      <c r="Z105" s="177"/>
      <c r="AA105" s="178">
        <f>AA104/AA66</f>
        <v>0.10728744939271255</v>
      </c>
      <c r="AB105" s="177"/>
      <c r="AC105" s="178">
        <f>AC104/AC66</f>
        <v>0.10728744939271255</v>
      </c>
      <c r="AD105" s="177"/>
      <c r="AE105" s="178">
        <f t="shared" ref="AE105" si="791">AE104/AE66</f>
        <v>0.10728744939271255</v>
      </c>
      <c r="AF105" s="177"/>
      <c r="AG105" s="178">
        <f t="shared" ref="AG105" si="792">AG104/AG66</f>
        <v>0.10728744939271255</v>
      </c>
      <c r="AH105" s="177"/>
      <c r="AI105" s="178">
        <f t="shared" ref="AI105" si="793">AI104/AI66</f>
        <v>0.10728744939271255</v>
      </c>
      <c r="AJ105" s="177"/>
      <c r="AK105" s="178">
        <f t="shared" ref="AK105" si="794">AK104/AK66</f>
        <v>0.10728744939271255</v>
      </c>
      <c r="AL105" s="177"/>
      <c r="AM105" s="178">
        <f t="shared" ref="AM105" si="795">AM104/AM66</f>
        <v>0.10728744939271255</v>
      </c>
      <c r="AN105" s="177"/>
      <c r="AO105" s="178">
        <f t="shared" ref="AO105" si="796">AO104/AO66</f>
        <v>0.10728744939271255</v>
      </c>
      <c r="AP105" s="177"/>
      <c r="AQ105" s="178">
        <f t="shared" ref="AQ105" si="797">AQ104/AQ66</f>
        <v>0.10728744939271255</v>
      </c>
      <c r="AR105" s="177"/>
      <c r="AS105" s="178">
        <f t="shared" ref="AS105:AY105" si="798">AS104/AS66</f>
        <v>0.10728744939271255</v>
      </c>
      <c r="AT105" s="177"/>
      <c r="AU105" s="178">
        <f t="shared" si="798"/>
        <v>0.10728744939271255</v>
      </c>
      <c r="AV105" s="177"/>
      <c r="AW105" s="178">
        <f t="shared" si="798"/>
        <v>0.10728744939271255</v>
      </c>
      <c r="AX105" s="177"/>
      <c r="AY105" s="178">
        <f t="shared" si="798"/>
        <v>0.10896381578947369</v>
      </c>
      <c r="AZ105" s="177"/>
      <c r="BA105" s="178">
        <f t="shared" ref="BA105:BC105" si="799">BA104/BA66</f>
        <v>0.10896381578947369</v>
      </c>
      <c r="BB105" s="177"/>
      <c r="BC105" s="178">
        <f t="shared" si="799"/>
        <v>0.10896381578947369</v>
      </c>
      <c r="BD105" s="177"/>
      <c r="BE105" s="178">
        <f t="shared" ref="BE105:BG105" si="800">BE104/BE66</f>
        <v>0.10896381578947369</v>
      </c>
      <c r="BF105" s="177"/>
      <c r="BG105" s="178">
        <f t="shared" si="800"/>
        <v>0.10896381578947369</v>
      </c>
      <c r="BH105" s="177"/>
      <c r="BI105" s="178">
        <f t="shared" ref="BI105:BK105" si="801">BI104/BI66</f>
        <v>0.10896381578947369</v>
      </c>
      <c r="BJ105" s="177"/>
      <c r="BK105" s="178">
        <f t="shared" si="801"/>
        <v>0.10896381578947369</v>
      </c>
      <c r="BL105" s="177"/>
      <c r="BM105" s="178">
        <f t="shared" ref="BM105" si="802">BM104/BM66</f>
        <v>0.10896381578947369</v>
      </c>
      <c r="BN105" s="177"/>
      <c r="BO105" s="178">
        <f t="shared" ref="BO105" si="803">BO104/BO66</f>
        <v>0.10896381578947369</v>
      </c>
    </row>
    <row r="106" spans="1:67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8.0971659919028341E-2</v>
      </c>
      <c r="H106" s="177"/>
      <c r="I106" s="178">
        <f>(I101-I102)/I66</f>
        <v>8.0971659919028341E-2</v>
      </c>
      <c r="J106" s="177"/>
      <c r="K106" s="178">
        <f>(K101-K102)/K66</f>
        <v>8.0971659919028341E-2</v>
      </c>
      <c r="L106" s="177"/>
      <c r="M106" s="178">
        <f>(M101-M102)/M66</f>
        <v>8.0971659919028341E-2</v>
      </c>
      <c r="N106" s="177"/>
      <c r="O106" s="178">
        <f>(O101-O102)/O66</f>
        <v>8.0971659919028341E-2</v>
      </c>
      <c r="P106" s="177"/>
      <c r="Q106" s="178">
        <f>(Q101-Q102)/Q66</f>
        <v>8.0971659919028341E-2</v>
      </c>
      <c r="R106" s="177"/>
      <c r="S106" s="178">
        <f>(S101-S102)/S66</f>
        <v>8.0971659919028341E-2</v>
      </c>
      <c r="T106" s="177"/>
      <c r="U106" s="178">
        <f>(U101-U102)/U66</f>
        <v>8.0971659919028341E-2</v>
      </c>
      <c r="V106" s="177"/>
      <c r="W106" s="178">
        <f>(W101-W102)/W66</f>
        <v>8.0971659919028341E-2</v>
      </c>
      <c r="X106" s="177"/>
      <c r="Y106" s="178">
        <f>(Y101-Y102)/Y66</f>
        <v>8.0971659919028341E-2</v>
      </c>
      <c r="Z106" s="177"/>
      <c r="AA106" s="178">
        <f>(AA101-AA102)/AA66</f>
        <v>8.0971659919028341E-2</v>
      </c>
      <c r="AB106" s="177"/>
      <c r="AC106" s="178">
        <f>(AC101-AC102)/AC66</f>
        <v>8.0971659919028341E-2</v>
      </c>
      <c r="AD106" s="177"/>
      <c r="AE106" s="178">
        <f t="shared" ref="AE106" si="804">(AE101-AE102)/AE66</f>
        <v>8.0971659919028341E-2</v>
      </c>
      <c r="AF106" s="177"/>
      <c r="AG106" s="178">
        <f t="shared" ref="AG106" si="805">(AG101-AG102)/AG66</f>
        <v>8.0971659919028341E-2</v>
      </c>
      <c r="AH106" s="177"/>
      <c r="AI106" s="178">
        <f t="shared" ref="AI106" si="806">(AI101-AI102)/AI66</f>
        <v>8.0971659919028341E-2</v>
      </c>
      <c r="AJ106" s="177"/>
      <c r="AK106" s="178">
        <f t="shared" ref="AK106" si="807">(AK101-AK102)/AK66</f>
        <v>8.0971659919028341E-2</v>
      </c>
      <c r="AL106" s="177"/>
      <c r="AM106" s="178">
        <f t="shared" ref="AM106" si="808">(AM101-AM102)/AM66</f>
        <v>8.0971659919028341E-2</v>
      </c>
      <c r="AN106" s="177"/>
      <c r="AO106" s="178">
        <f t="shared" ref="AO106" si="809">(AO101-AO102)/AO66</f>
        <v>8.0971659919028341E-2</v>
      </c>
      <c r="AP106" s="177"/>
      <c r="AQ106" s="178">
        <f t="shared" ref="AQ106" si="810">(AQ101-AQ102)/AQ66</f>
        <v>8.0971659919028341E-2</v>
      </c>
      <c r="AR106" s="177"/>
      <c r="AS106" s="178">
        <f t="shared" ref="AS106:AY106" si="811">(AS101-AS102)/AS66</f>
        <v>8.0971659919028341E-2</v>
      </c>
      <c r="AT106" s="177"/>
      <c r="AU106" s="178">
        <f t="shared" si="811"/>
        <v>8.0971659919028341E-2</v>
      </c>
      <c r="AV106" s="177"/>
      <c r="AW106" s="178">
        <f t="shared" si="811"/>
        <v>8.0971659919028341E-2</v>
      </c>
      <c r="AX106" s="177"/>
      <c r="AY106" s="178">
        <f t="shared" si="811"/>
        <v>8.2236842105263164E-2</v>
      </c>
      <c r="AZ106" s="177"/>
      <c r="BA106" s="178">
        <f t="shared" ref="BA106:BC106" si="812">(BA101-BA102)/BA66</f>
        <v>8.2236842105263164E-2</v>
      </c>
      <c r="BB106" s="177"/>
      <c r="BC106" s="178">
        <f t="shared" si="812"/>
        <v>8.2236842105263164E-2</v>
      </c>
      <c r="BD106" s="177"/>
      <c r="BE106" s="178">
        <f t="shared" ref="BE106:BG106" si="813">(BE101-BE102)/BE66</f>
        <v>8.2236842105263164E-2</v>
      </c>
      <c r="BF106" s="177"/>
      <c r="BG106" s="178">
        <f t="shared" si="813"/>
        <v>8.2236842105263164E-2</v>
      </c>
      <c r="BH106" s="177"/>
      <c r="BI106" s="178">
        <f t="shared" ref="BI106:BK106" si="814">(BI101-BI102)/BI66</f>
        <v>8.2236842105263164E-2</v>
      </c>
      <c r="BJ106" s="177"/>
      <c r="BK106" s="178">
        <f t="shared" si="814"/>
        <v>8.2236842105263164E-2</v>
      </c>
      <c r="BL106" s="177"/>
      <c r="BM106" s="178">
        <f t="shared" ref="BM106" si="815">(BM101-BM102)/BM66</f>
        <v>8.2236842105263164E-2</v>
      </c>
      <c r="BN106" s="177"/>
      <c r="BO106" s="178">
        <f t="shared" ref="BO106" si="816">(BO101-BO102)/BO66</f>
        <v>8.2236842105263164E-2</v>
      </c>
    </row>
    <row r="107" spans="1:67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</row>
    <row r="108" spans="1:67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2.1468101274723379</v>
      </c>
      <c r="H108" s="186"/>
      <c r="I108" s="187">
        <f>I60-(I101/I66)-I74</f>
        <v>2.1468101274723379</v>
      </c>
      <c r="J108" s="186"/>
      <c r="K108" s="187">
        <f>K60-(K101/K66)-K74</f>
        <v>1.8049294793587962</v>
      </c>
      <c r="L108" s="186"/>
      <c r="M108" s="187">
        <f>M60-(M101/M66)-M74</f>
        <v>1.999127487890632</v>
      </c>
      <c r="N108" s="186"/>
      <c r="O108" s="187">
        <f>O60-(O101/O66)-O74</f>
        <v>1.8126916906810342</v>
      </c>
      <c r="P108" s="186"/>
      <c r="Q108" s="187">
        <f>Q60-(Q101/Q66)-Q74</f>
        <v>1.8126916906810342</v>
      </c>
      <c r="R108" s="186"/>
      <c r="S108" s="187">
        <f>S60-(S101/S66)-S74</f>
        <v>1.8775142822660995</v>
      </c>
      <c r="T108" s="186"/>
      <c r="U108" s="187">
        <f>U60-(U101/U66)-U74</f>
        <v>1.8775142822660995</v>
      </c>
      <c r="V108" s="186"/>
      <c r="W108" s="187">
        <f>W60-(W101/W66)-W74</f>
        <v>1.8063370330347439</v>
      </c>
      <c r="X108" s="186"/>
      <c r="Y108" s="187">
        <f>Y60-(Y101/Y66)-Y74</f>
        <v>1.8624272390583823</v>
      </c>
      <c r="Z108" s="186"/>
      <c r="AA108" s="187">
        <f>AA60-(AA101/AA66)-AA74</f>
        <v>1.9470855734071613</v>
      </c>
      <c r="AB108" s="186"/>
      <c r="AC108" s="187">
        <f>AC60-(AC101/AC66)-AC74</f>
        <v>2.0606607478071934</v>
      </c>
      <c r="AD108" s="186"/>
      <c r="AE108" s="187">
        <f t="shared" ref="AE108" si="817">AE60-(AE101/AE66)-AE74</f>
        <v>2.1144956920759737</v>
      </c>
      <c r="AF108" s="186"/>
      <c r="AG108" s="187">
        <f t="shared" ref="AG108" si="818">AG60-(AG101/AG66)-AG74</f>
        <v>2.0971334013821439</v>
      </c>
      <c r="AH108" s="186"/>
      <c r="AI108" s="187">
        <f t="shared" ref="AI108" si="819">AI60-(AI101/AI66)-AI74</f>
        <v>2.0971334013821439</v>
      </c>
      <c r="AJ108" s="186"/>
      <c r="AK108" s="187">
        <f t="shared" ref="AK108" si="820">AK60-(AK101/AK66)-AK74</f>
        <v>1.9310993445813809</v>
      </c>
      <c r="AL108" s="186"/>
      <c r="AM108" s="187">
        <f t="shared" ref="AM108" si="821">AM60-(AM101/AM66)-AM74</f>
        <v>1.9310993445813809</v>
      </c>
      <c r="AN108" s="186"/>
      <c r="AO108" s="187">
        <f t="shared" ref="AO108" si="822">AO60-(AO101/AO66)-AO74</f>
        <v>1.8874003950305216</v>
      </c>
      <c r="AP108" s="186"/>
      <c r="AQ108" s="187">
        <f t="shared" ref="AQ108" si="823">AQ60-(AQ101/AQ66)-AQ74</f>
        <v>1.8874003950305216</v>
      </c>
      <c r="AR108" s="186"/>
      <c r="AS108" s="187">
        <f t="shared" ref="AS108:AY108" si="824">AS60-(AS101/AS66)-AS74</f>
        <v>1.8874003950305216</v>
      </c>
      <c r="AT108" s="186"/>
      <c r="AU108" s="187">
        <f t="shared" si="824"/>
        <v>2.3403227522589001</v>
      </c>
      <c r="AV108" s="186"/>
      <c r="AW108" s="187">
        <f t="shared" si="824"/>
        <v>2.4501214574898782</v>
      </c>
      <c r="AX108" s="186"/>
      <c r="AY108" s="187">
        <f t="shared" si="824"/>
        <v>2.3977631578947363</v>
      </c>
      <c r="AZ108" s="186"/>
      <c r="BA108" s="187">
        <f t="shared" ref="BA108:BC108" si="825">BA60-(BA101/BA66)-BA74</f>
        <v>2.4924696507270565</v>
      </c>
      <c r="BB108" s="186"/>
      <c r="BC108" s="187">
        <f t="shared" si="825"/>
        <v>2.323668016968834</v>
      </c>
      <c r="BD108" s="186"/>
      <c r="BE108" s="187">
        <f t="shared" ref="BE108:BG108" si="826">BE60-(BE101/BE66)-BE74</f>
        <v>2.4739723082215335</v>
      </c>
      <c r="BF108" s="186"/>
      <c r="BG108" s="187">
        <f t="shared" si="826"/>
        <v>2.0515447014570869</v>
      </c>
      <c r="BH108" s="186"/>
      <c r="BI108" s="187">
        <f t="shared" ref="BI108:BK108" si="827">BI60-(BI101/BI66)-BI74</f>
        <v>2.3202745877187487</v>
      </c>
      <c r="BJ108" s="186"/>
      <c r="BK108" s="187">
        <f t="shared" si="827"/>
        <v>2.3867288992975837</v>
      </c>
      <c r="BL108" s="186"/>
      <c r="BM108" s="187">
        <f t="shared" ref="BM108" si="828">BM60-(BM101/BM66)-BM74</f>
        <v>2.4261778836648338</v>
      </c>
      <c r="BN108" s="186"/>
      <c r="BO108" s="187">
        <f t="shared" ref="BO108" si="829">BO60-(BO101/BO66)-BO74</f>
        <v>2.40356960950764</v>
      </c>
    </row>
    <row r="109" spans="1:67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0.47919868916793251</v>
      </c>
      <c r="H109" s="192"/>
      <c r="I109" s="193">
        <f>I108/I67</f>
        <v>0.47919868916793251</v>
      </c>
      <c r="J109" s="192"/>
      <c r="K109" s="193">
        <f>K108/K67</f>
        <v>0.40288604449973126</v>
      </c>
      <c r="L109" s="192"/>
      <c r="M109" s="193">
        <f>M108/M67</f>
        <v>0.44623381426130176</v>
      </c>
      <c r="N109" s="192"/>
      <c r="O109" s="193">
        <f>O108/O67</f>
        <v>0.40461868095558795</v>
      </c>
      <c r="P109" s="192"/>
      <c r="Q109" s="193">
        <f>Q108/Q67</f>
        <v>0.40461868095558795</v>
      </c>
      <c r="R109" s="192"/>
      <c r="S109" s="193">
        <f>S108/S67</f>
        <v>0.41908800943439717</v>
      </c>
      <c r="T109" s="192"/>
      <c r="U109" s="193">
        <f>U108/U67</f>
        <v>0.41908800943439717</v>
      </c>
      <c r="V109" s="192"/>
      <c r="W109" s="193">
        <f>W108/W67</f>
        <v>0.40320023058811244</v>
      </c>
      <c r="X109" s="192"/>
      <c r="Y109" s="193">
        <f>Y108/Y67</f>
        <v>0.415720365861246</v>
      </c>
      <c r="Z109" s="192"/>
      <c r="AA109" s="193">
        <f>AA108/AA67</f>
        <v>0.43461731549266991</v>
      </c>
      <c r="AB109" s="192"/>
      <c r="AC109" s="193">
        <f>AC108/AC67</f>
        <v>0.45996891692124847</v>
      </c>
      <c r="AD109" s="192"/>
      <c r="AE109" s="193">
        <f t="shared" ref="AE109" si="830">AE108/AE67</f>
        <v>0.45967297653825517</v>
      </c>
      <c r="AF109" s="192"/>
      <c r="AG109" s="193">
        <f t="shared" ref="AG109" si="831">AG108/AG67</f>
        <v>0.4558985655178574</v>
      </c>
      <c r="AH109" s="192"/>
      <c r="AI109" s="193">
        <f t="shared" ref="AI109" si="832">AI108/AI67</f>
        <v>0.4558985655178574</v>
      </c>
      <c r="AJ109" s="192"/>
      <c r="AK109" s="193">
        <f t="shared" ref="AK109" si="833">AK108/AK67</f>
        <v>0.41980420534377849</v>
      </c>
      <c r="AL109" s="192"/>
      <c r="AM109" s="193">
        <f t="shared" ref="AM109" si="834">AM108/AM67</f>
        <v>0.41980420534377849</v>
      </c>
      <c r="AN109" s="192"/>
      <c r="AO109" s="193">
        <f t="shared" ref="AO109" si="835">AO108/AO67</f>
        <v>0.41030443370228731</v>
      </c>
      <c r="AP109" s="192"/>
      <c r="AQ109" s="193">
        <f t="shared" ref="AQ109" si="836">AQ108/AQ67</f>
        <v>0.41030443370228731</v>
      </c>
      <c r="AR109" s="192"/>
      <c r="AS109" s="193">
        <f t="shared" ref="AS109:AY109" si="837">AS108/AS67</f>
        <v>0.41030443370228731</v>
      </c>
      <c r="AT109" s="192"/>
      <c r="AU109" s="193">
        <f t="shared" si="837"/>
        <v>0.50876581570845658</v>
      </c>
      <c r="AV109" s="192"/>
      <c r="AW109" s="193">
        <f t="shared" si="837"/>
        <v>0.53263509945432141</v>
      </c>
      <c r="AX109" s="192"/>
      <c r="AY109" s="193">
        <f t="shared" si="837"/>
        <v>0.51016237402015663</v>
      </c>
      <c r="AZ109" s="192"/>
      <c r="BA109" s="193">
        <f t="shared" ref="BA109:BC109" si="838">BA108/BA67</f>
        <v>0.53031269164405459</v>
      </c>
      <c r="BB109" s="192"/>
      <c r="BC109" s="193">
        <f t="shared" si="838"/>
        <v>0.49439745041890082</v>
      </c>
      <c r="BD109" s="192"/>
      <c r="BE109" s="193">
        <f t="shared" ref="BE109:BG109" si="839">BE108/BE67</f>
        <v>0.52637708685564544</v>
      </c>
      <c r="BF109" s="192"/>
      <c r="BG109" s="193">
        <f t="shared" si="839"/>
        <v>0.43649887265044401</v>
      </c>
      <c r="BH109" s="192"/>
      <c r="BI109" s="193">
        <f t="shared" ref="BI109:BK109" si="840">BI108/BI67</f>
        <v>0.49367544419547843</v>
      </c>
      <c r="BJ109" s="192"/>
      <c r="BK109" s="193">
        <f t="shared" si="840"/>
        <v>0.5078146594250178</v>
      </c>
      <c r="BL109" s="192"/>
      <c r="BM109" s="193">
        <f t="shared" ref="BM109" si="841">BM108/BM67</f>
        <v>0.51620806035421996</v>
      </c>
      <c r="BN109" s="192"/>
      <c r="BO109" s="193">
        <f t="shared" ref="BO109" si="842">BO108/BO67</f>
        <v>0.51139778925694468</v>
      </c>
    </row>
    <row r="110" spans="1:67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</row>
    <row r="111" spans="1:67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2.2277817873913666</v>
      </c>
      <c r="H111" s="186"/>
      <c r="I111" s="187">
        <f>I60-(I102/I66)-I74</f>
        <v>2.2277817873913666</v>
      </c>
      <c r="J111" s="186"/>
      <c r="K111" s="187">
        <f>K60-(K102/K66)-K74</f>
        <v>1.8859011392778249</v>
      </c>
      <c r="L111" s="186"/>
      <c r="M111" s="187">
        <f>M60-(M102/M66)-M74</f>
        <v>2.0800991478096607</v>
      </c>
      <c r="N111" s="186"/>
      <c r="O111" s="187">
        <f>O60-(O102/O66)-O74</f>
        <v>1.8936633506000629</v>
      </c>
      <c r="P111" s="186"/>
      <c r="Q111" s="187">
        <f>Q60-(Q102/Q66)-Q74</f>
        <v>1.8936633506000629</v>
      </c>
      <c r="R111" s="186"/>
      <c r="S111" s="187">
        <f>S60-(S102/S66)-S74</f>
        <v>1.9584859421851282</v>
      </c>
      <c r="T111" s="186"/>
      <c r="U111" s="187">
        <f>U60-(U102/U66)-U74</f>
        <v>1.9584859421851282</v>
      </c>
      <c r="V111" s="186"/>
      <c r="W111" s="187">
        <f>W60-(W102/W66)-W74</f>
        <v>1.8873086929537726</v>
      </c>
      <c r="X111" s="186"/>
      <c r="Y111" s="187">
        <f>Y60-(Y102/Y66)-Y74</f>
        <v>1.9433988989774109</v>
      </c>
      <c r="Z111" s="186"/>
      <c r="AA111" s="187">
        <f>AA60-(AA102/AA66)-AA74</f>
        <v>2.0280572333261899</v>
      </c>
      <c r="AB111" s="186"/>
      <c r="AC111" s="187">
        <f>AC60-(AC102/AC66)-AC74</f>
        <v>2.1416324077262221</v>
      </c>
      <c r="AD111" s="186"/>
      <c r="AE111" s="187">
        <f t="shared" ref="AE111" si="843">AE60-(AE102/AE66)-AE74</f>
        <v>2.1954673519950023</v>
      </c>
      <c r="AF111" s="186"/>
      <c r="AG111" s="187">
        <f t="shared" ref="AG111" si="844">AG60-(AG102/AG66)-AG74</f>
        <v>2.1781050613011725</v>
      </c>
      <c r="AH111" s="186"/>
      <c r="AI111" s="187">
        <f t="shared" ref="AI111" si="845">AI60-(AI102/AI66)-AI74</f>
        <v>2.1781050613011725</v>
      </c>
      <c r="AJ111" s="186"/>
      <c r="AK111" s="187">
        <f t="shared" ref="AK111" si="846">AK60-(AK102/AK66)-AK74</f>
        <v>2.0120710045004095</v>
      </c>
      <c r="AL111" s="186"/>
      <c r="AM111" s="187">
        <f t="shared" ref="AM111" si="847">AM60-(AM102/AM66)-AM74</f>
        <v>2.0120710045004095</v>
      </c>
      <c r="AN111" s="186"/>
      <c r="AO111" s="187">
        <f t="shared" ref="AO111" si="848">AO60-(AO102/AO66)-AO74</f>
        <v>1.9683720549495503</v>
      </c>
      <c r="AP111" s="186"/>
      <c r="AQ111" s="187">
        <f t="shared" ref="AQ111" si="849">AQ60-(AQ102/AQ66)-AQ74</f>
        <v>1.9683720549495503</v>
      </c>
      <c r="AR111" s="186"/>
      <c r="AS111" s="187">
        <f t="shared" ref="AS111:AY111" si="850">AS60-(AS102/AS66)-AS74</f>
        <v>1.9683720549495503</v>
      </c>
      <c r="AT111" s="186"/>
      <c r="AU111" s="187">
        <f t="shared" si="850"/>
        <v>2.4212944121779287</v>
      </c>
      <c r="AV111" s="186"/>
      <c r="AW111" s="187">
        <f t="shared" si="850"/>
        <v>2.5310931174089069</v>
      </c>
      <c r="AX111" s="186"/>
      <c r="AY111" s="187">
        <f t="shared" si="850"/>
        <v>2.48</v>
      </c>
      <c r="AZ111" s="186"/>
      <c r="BA111" s="187">
        <f t="shared" ref="BA111:BC111" si="851">BA60-(BA102/BA66)-BA74</f>
        <v>2.5747064928323202</v>
      </c>
      <c r="BB111" s="186"/>
      <c r="BC111" s="187">
        <f t="shared" si="851"/>
        <v>2.4059048590740977</v>
      </c>
      <c r="BD111" s="186"/>
      <c r="BE111" s="187">
        <f t="shared" ref="BE111:BG111" si="852">BE60-(BE102/BE66)-BE74</f>
        <v>2.5562091503267972</v>
      </c>
      <c r="BF111" s="186"/>
      <c r="BG111" s="187">
        <f t="shared" si="852"/>
        <v>2.1337815435623506</v>
      </c>
      <c r="BH111" s="186"/>
      <c r="BI111" s="187">
        <f t="shared" ref="BI111:BK111" si="853">BI60-(BI102/BI66)-BI74</f>
        <v>2.4025114298240124</v>
      </c>
      <c r="BJ111" s="186"/>
      <c r="BK111" s="187">
        <f t="shared" si="853"/>
        <v>2.4689657414028474</v>
      </c>
      <c r="BL111" s="186"/>
      <c r="BM111" s="187">
        <f t="shared" ref="BM111" si="854">BM60-(BM102/BM66)-BM74</f>
        <v>2.5084147257700975</v>
      </c>
      <c r="BN111" s="186"/>
      <c r="BO111" s="187">
        <f t="shared" ref="BO111" si="855">BO60-(BO102/BO66)-BO74</f>
        <v>2.4858064516129037</v>
      </c>
    </row>
    <row r="112" spans="1:67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0.49727272039985854</v>
      </c>
      <c r="H112" s="192"/>
      <c r="I112" s="193">
        <f>I111/I67</f>
        <v>0.49727272039985854</v>
      </c>
      <c r="J112" s="192"/>
      <c r="K112" s="193">
        <f>K111/K67</f>
        <v>0.42096007573165728</v>
      </c>
      <c r="L112" s="192"/>
      <c r="M112" s="193">
        <f>M111/M67</f>
        <v>0.46430784549322779</v>
      </c>
      <c r="N112" s="192"/>
      <c r="O112" s="193">
        <f>O111/O67</f>
        <v>0.42269271218751397</v>
      </c>
      <c r="P112" s="192"/>
      <c r="Q112" s="193">
        <f>Q111/Q67</f>
        <v>0.42269271218751397</v>
      </c>
      <c r="R112" s="192"/>
      <c r="S112" s="193">
        <f>S111/S67</f>
        <v>0.43716204066632319</v>
      </c>
      <c r="T112" s="192"/>
      <c r="U112" s="193">
        <f>U111/U67</f>
        <v>0.43716204066632319</v>
      </c>
      <c r="V112" s="192"/>
      <c r="W112" s="193">
        <f>W111/W67</f>
        <v>0.42127426182003846</v>
      </c>
      <c r="X112" s="192"/>
      <c r="Y112" s="193">
        <f>Y111/Y67</f>
        <v>0.43379439709317202</v>
      </c>
      <c r="Z112" s="192"/>
      <c r="AA112" s="193">
        <f>AA111/AA67</f>
        <v>0.45269134672459593</v>
      </c>
      <c r="AB112" s="192"/>
      <c r="AC112" s="193">
        <f>AC111/AC67</f>
        <v>0.47804294815317455</v>
      </c>
      <c r="AD112" s="192"/>
      <c r="AE112" s="193">
        <f t="shared" ref="AE112" si="856">AE111/AE67</f>
        <v>0.4772755113032614</v>
      </c>
      <c r="AF112" s="192"/>
      <c r="AG112" s="193">
        <f t="shared" ref="AG112" si="857">AG111/AG67</f>
        <v>0.47350110028286363</v>
      </c>
      <c r="AH112" s="192"/>
      <c r="AI112" s="193">
        <f t="shared" ref="AI112" si="858">AI111/AI67</f>
        <v>0.47350110028286363</v>
      </c>
      <c r="AJ112" s="192"/>
      <c r="AK112" s="193">
        <f t="shared" ref="AK112" si="859">AK111/AK67</f>
        <v>0.43740674010878472</v>
      </c>
      <c r="AL112" s="192"/>
      <c r="AM112" s="193">
        <f t="shared" ref="AM112" si="860">AM111/AM67</f>
        <v>0.43740674010878472</v>
      </c>
      <c r="AN112" s="192"/>
      <c r="AO112" s="193">
        <f t="shared" ref="AO112" si="861">AO111/AO67</f>
        <v>0.42790696846729359</v>
      </c>
      <c r="AP112" s="192"/>
      <c r="AQ112" s="193">
        <f t="shared" ref="AQ112" si="862">AQ111/AQ67</f>
        <v>0.42790696846729359</v>
      </c>
      <c r="AR112" s="192"/>
      <c r="AS112" s="193">
        <f t="shared" ref="AS112:AY112" si="863">AS111/AS67</f>
        <v>0.42790696846729359</v>
      </c>
      <c r="AT112" s="192"/>
      <c r="AU112" s="193">
        <f t="shared" si="863"/>
        <v>0.52636835047346275</v>
      </c>
      <c r="AV112" s="192"/>
      <c r="AW112" s="193">
        <f t="shared" si="863"/>
        <v>0.55023763421932759</v>
      </c>
      <c r="AX112" s="192"/>
      <c r="AY112" s="193">
        <f t="shared" si="863"/>
        <v>0.52765957446808509</v>
      </c>
      <c r="AZ112" s="192"/>
      <c r="BA112" s="193">
        <f t="shared" ref="BA112:BC112" si="864">BA111/BA67</f>
        <v>0.54780989209198305</v>
      </c>
      <c r="BB112" s="192"/>
      <c r="BC112" s="193">
        <f t="shared" si="864"/>
        <v>0.51189465086682928</v>
      </c>
      <c r="BD112" s="192"/>
      <c r="BE112" s="193">
        <f t="shared" ref="BE112:BG112" si="865">BE111/BE67</f>
        <v>0.5438742873035739</v>
      </c>
      <c r="BF112" s="192"/>
      <c r="BG112" s="193">
        <f t="shared" si="865"/>
        <v>0.45399607309837248</v>
      </c>
      <c r="BH112" s="192"/>
      <c r="BI112" s="193">
        <f t="shared" ref="BI112:BK112" si="866">BI111/BI67</f>
        <v>0.51117264464340684</v>
      </c>
      <c r="BJ112" s="192"/>
      <c r="BK112" s="193">
        <f t="shared" si="866"/>
        <v>0.52531185987294626</v>
      </c>
      <c r="BL112" s="192"/>
      <c r="BM112" s="193">
        <f t="shared" ref="BM112" si="867">BM111/BM67</f>
        <v>0.53370526080214842</v>
      </c>
      <c r="BN112" s="192"/>
      <c r="BO112" s="193">
        <f t="shared" ref="BO112" si="868">BO111/BO67</f>
        <v>0.52889498970487314</v>
      </c>
    </row>
    <row r="113" spans="1:67" s="4" customFormat="1" ht="18" customHeight="1" outlineLevel="2" collapsed="1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</row>
    <row r="114" spans="1:67" s="65" customFormat="1" ht="18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460.47002582176009</v>
      </c>
      <c r="H114" s="202" t="s">
        <v>111</v>
      </c>
      <c r="I114" s="203">
        <f>I116/I79</f>
        <v>459.99268445621118</v>
      </c>
      <c r="J114" s="202" t="s">
        <v>111</v>
      </c>
      <c r="K114" s="203">
        <f>K116/K79</f>
        <v>460.11187007736811</v>
      </c>
      <c r="L114" s="202" t="s">
        <v>111</v>
      </c>
      <c r="M114" s="203">
        <f>M116/M79</f>
        <v>459.71497181039882</v>
      </c>
      <c r="N114" s="202" t="s">
        <v>111</v>
      </c>
      <c r="O114" s="203">
        <f>O116/O79</f>
        <v>454.8453855100226</v>
      </c>
      <c r="P114" s="202" t="s">
        <v>111</v>
      </c>
      <c r="Q114" s="203">
        <f>Q116/Q79</f>
        <v>453.77734614598234</v>
      </c>
      <c r="R114" s="202" t="s">
        <v>111</v>
      </c>
      <c r="S114" s="203">
        <f>S116/S79</f>
        <v>448.08231524133782</v>
      </c>
      <c r="T114" s="202" t="s">
        <v>111</v>
      </c>
      <c r="U114" s="203">
        <f>U116/U79</f>
        <v>450.39890931125024</v>
      </c>
      <c r="V114" s="202" t="s">
        <v>111</v>
      </c>
      <c r="W114" s="203">
        <f>W116/W79</f>
        <v>447.02899514530822</v>
      </c>
      <c r="X114" s="202" t="s">
        <v>111</v>
      </c>
      <c r="Y114" s="203">
        <f>Y116/Y79</f>
        <v>440.30678427811648</v>
      </c>
      <c r="Z114" s="202" t="s">
        <v>111</v>
      </c>
      <c r="AA114" s="203">
        <f>AA116/AA79</f>
        <v>436.45733461169698</v>
      </c>
      <c r="AB114" s="202" t="s">
        <v>111</v>
      </c>
      <c r="AC114" s="203">
        <f>AC116/AC79</f>
        <v>436.82551366574916</v>
      </c>
      <c r="AD114" s="202" t="s">
        <v>111</v>
      </c>
      <c r="AE114" s="203">
        <f t="shared" ref="AE114" si="869">AE116/AE79</f>
        <v>441.81234100841425</v>
      </c>
      <c r="AF114" s="202" t="s">
        <v>111</v>
      </c>
      <c r="AG114" s="203">
        <f t="shared" ref="AG114" si="870">AG116/AG79</f>
        <v>446.05559605062615</v>
      </c>
      <c r="AH114" s="202" t="s">
        <v>111</v>
      </c>
      <c r="AI114" s="203">
        <f t="shared" ref="AI114" si="871">AI116/AI79</f>
        <v>442.79050736497544</v>
      </c>
      <c r="AJ114" s="202" t="s">
        <v>111</v>
      </c>
      <c r="AK114" s="203">
        <f t="shared" ref="AK114" si="872">AK116/AK79</f>
        <v>450.32476273810323</v>
      </c>
      <c r="AL114" s="202" t="s">
        <v>111</v>
      </c>
      <c r="AM114" s="203">
        <f t="shared" ref="AM114" si="873">AM116/AM79</f>
        <v>451.74040998579255</v>
      </c>
      <c r="AN114" s="202" t="s">
        <v>111</v>
      </c>
      <c r="AO114" s="203">
        <f t="shared" ref="AO114" si="874">AO116/AO79</f>
        <v>448.9602169981917</v>
      </c>
      <c r="AP114" s="202" t="s">
        <v>111</v>
      </c>
      <c r="AQ114" s="203">
        <f t="shared" ref="AQ114" si="875">AQ116/AQ79</f>
        <v>447.26437699680503</v>
      </c>
      <c r="AR114" s="202" t="s">
        <v>111</v>
      </c>
      <c r="AS114" s="203">
        <f t="shared" ref="AS114:AY114" si="876">AS116/AS79</f>
        <v>443.47597794696765</v>
      </c>
      <c r="AT114" s="202" t="s">
        <v>111</v>
      </c>
      <c r="AU114" s="203">
        <f t="shared" si="876"/>
        <v>441.74274535376588</v>
      </c>
      <c r="AV114" s="202" t="s">
        <v>111</v>
      </c>
      <c r="AW114" s="203">
        <f t="shared" si="876"/>
        <v>435.32584484185065</v>
      </c>
      <c r="AX114" s="202" t="s">
        <v>111</v>
      </c>
      <c r="AY114" s="203">
        <f t="shared" si="876"/>
        <v>435.36076231754731</v>
      </c>
      <c r="AZ114" s="202" t="s">
        <v>111</v>
      </c>
      <c r="BA114" s="203">
        <f t="shared" ref="BA114:BC114" si="877">BA116/BA79</f>
        <v>438.1958762886598</v>
      </c>
      <c r="BB114" s="202" t="s">
        <v>111</v>
      </c>
      <c r="BC114" s="203">
        <f t="shared" si="877"/>
        <v>435.4769799770437</v>
      </c>
      <c r="BD114" s="202" t="s">
        <v>111</v>
      </c>
      <c r="BE114" s="203">
        <f t="shared" ref="BE114:BG114" si="878">BE116/BE79</f>
        <v>429.2670401493931</v>
      </c>
      <c r="BF114" s="202" t="s">
        <v>111</v>
      </c>
      <c r="BG114" s="203">
        <f t="shared" si="878"/>
        <v>425.80125253269472</v>
      </c>
      <c r="BH114" s="202" t="s">
        <v>111</v>
      </c>
      <c r="BI114" s="203">
        <f t="shared" ref="BI114:BK114" si="879">BI116/BI79</f>
        <v>430.82764451681589</v>
      </c>
      <c r="BJ114" s="202" t="s">
        <v>111</v>
      </c>
      <c r="BK114" s="203">
        <f t="shared" si="879"/>
        <v>440.53988168757718</v>
      </c>
      <c r="BL114" s="202" t="s">
        <v>111</v>
      </c>
      <c r="BM114" s="203">
        <f t="shared" ref="BM114" si="880">BM116/BM79</f>
        <v>448.27823691460054</v>
      </c>
      <c r="BN114" s="202" t="s">
        <v>111</v>
      </c>
      <c r="BO114" s="203">
        <f t="shared" ref="BO114" si="881">BO116/BO79</f>
        <v>438.53548387096777</v>
      </c>
    </row>
    <row r="115" spans="1:67" s="65" customFormat="1" ht="18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9.3212555834364386E-2</v>
      </c>
      <c r="H115" s="202" t="s">
        <v>111</v>
      </c>
      <c r="I115" s="203">
        <f>I114/I66</f>
        <v>9.3115928027573111E-2</v>
      </c>
      <c r="J115" s="202" t="s">
        <v>111</v>
      </c>
      <c r="K115" s="203">
        <f>K114/K66</f>
        <v>9.314005467153201E-2</v>
      </c>
      <c r="L115" s="202" t="s">
        <v>111</v>
      </c>
      <c r="M115" s="203">
        <f>M114/M66</f>
        <v>9.3059710892793288E-2</v>
      </c>
      <c r="N115" s="202" t="s">
        <v>111</v>
      </c>
      <c r="O115" s="203">
        <f>O114/O66</f>
        <v>9.2073964678142231E-2</v>
      </c>
      <c r="P115" s="202" t="s">
        <v>111</v>
      </c>
      <c r="Q115" s="203">
        <f>Q114/Q66</f>
        <v>9.1857762377729218E-2</v>
      </c>
      <c r="R115" s="202" t="s">
        <v>111</v>
      </c>
      <c r="S115" s="203">
        <f>S114/S66</f>
        <v>9.070492211363114E-2</v>
      </c>
      <c r="T115" s="202" t="s">
        <v>111</v>
      </c>
      <c r="U115" s="203">
        <f>U114/U66</f>
        <v>9.11738682816296E-2</v>
      </c>
      <c r="V115" s="202" t="s">
        <v>111</v>
      </c>
      <c r="W115" s="203">
        <f>W114/W66</f>
        <v>9.0491699422127175E-2</v>
      </c>
      <c r="X115" s="202" t="s">
        <v>111</v>
      </c>
      <c r="Y115" s="203">
        <f>Y114/Y66</f>
        <v>8.9130927991521558E-2</v>
      </c>
      <c r="Z115" s="202" t="s">
        <v>111</v>
      </c>
      <c r="AA115" s="203">
        <f>AA114/AA66</f>
        <v>8.8351687168359713E-2</v>
      </c>
      <c r="AB115" s="202" t="s">
        <v>111</v>
      </c>
      <c r="AC115" s="203">
        <f>AC114/AC66</f>
        <v>8.842621734124477E-2</v>
      </c>
      <c r="AD115" s="202" t="s">
        <v>111</v>
      </c>
      <c r="AE115" s="203">
        <f t="shared" ref="AE115" si="882">AE114/AE66</f>
        <v>8.9435696560407743E-2</v>
      </c>
      <c r="AF115" s="202" t="s">
        <v>111</v>
      </c>
      <c r="AG115" s="203">
        <f t="shared" ref="AG115" si="883">AG114/AG66</f>
        <v>9.0294655070976948E-2</v>
      </c>
      <c r="AH115" s="202" t="s">
        <v>111</v>
      </c>
      <c r="AI115" s="203">
        <f t="shared" ref="AI115" si="884">AI114/AI66</f>
        <v>8.9633705944327013E-2</v>
      </c>
      <c r="AJ115" s="202" t="s">
        <v>111</v>
      </c>
      <c r="AK115" s="203">
        <f t="shared" ref="AK115" si="885">AK114/AK66</f>
        <v>9.1158858853867056E-2</v>
      </c>
      <c r="AL115" s="202" t="s">
        <v>111</v>
      </c>
      <c r="AM115" s="203">
        <f t="shared" ref="AM115" si="886">AM114/AM66</f>
        <v>9.1445427122630069E-2</v>
      </c>
      <c r="AN115" s="202" t="s">
        <v>111</v>
      </c>
      <c r="AO115" s="203">
        <f t="shared" ref="AO115" si="887">AO114/AO66</f>
        <v>9.0882635019876867E-2</v>
      </c>
      <c r="AP115" s="202" t="s">
        <v>111</v>
      </c>
      <c r="AQ115" s="203">
        <f t="shared" ref="AQ115" si="888">AQ114/AQ66</f>
        <v>9.0539347570203446E-2</v>
      </c>
      <c r="AR115" s="202" t="s">
        <v>111</v>
      </c>
      <c r="AS115" s="203">
        <f t="shared" ref="AS115:AY115" si="889">AS114/AS66</f>
        <v>8.9772465171450946E-2</v>
      </c>
      <c r="AT115" s="202" t="s">
        <v>111</v>
      </c>
      <c r="AU115" s="203">
        <f t="shared" si="889"/>
        <v>8.9421608371207675E-2</v>
      </c>
      <c r="AV115" s="202" t="s">
        <v>111</v>
      </c>
      <c r="AW115" s="203">
        <f t="shared" si="889"/>
        <v>8.8122640656245074E-2</v>
      </c>
      <c r="AX115" s="202" t="s">
        <v>111</v>
      </c>
      <c r="AY115" s="203">
        <f t="shared" si="889"/>
        <v>8.9506735673837851E-2</v>
      </c>
      <c r="AZ115" s="202" t="s">
        <v>111</v>
      </c>
      <c r="BA115" s="203">
        <f t="shared" ref="BA115:BC115" si="890">BA114/BA66</f>
        <v>9.0089612723819865E-2</v>
      </c>
      <c r="BB115" s="202" t="s">
        <v>111</v>
      </c>
      <c r="BC115" s="203">
        <f t="shared" si="890"/>
        <v>8.9530629107122464E-2</v>
      </c>
      <c r="BD115" s="202" t="s">
        <v>111</v>
      </c>
      <c r="BE115" s="203">
        <f t="shared" ref="BE115:BG115" si="891">BE114/BE66</f>
        <v>8.8253914504398248E-2</v>
      </c>
      <c r="BF115" s="202" t="s">
        <v>111</v>
      </c>
      <c r="BG115" s="203">
        <f t="shared" si="891"/>
        <v>8.7541375931886253E-2</v>
      </c>
      <c r="BH115" s="202" t="s">
        <v>111</v>
      </c>
      <c r="BI115" s="203">
        <f t="shared" ref="BI115:BK115" si="892">BI114/BI66</f>
        <v>8.8574762441779586E-2</v>
      </c>
      <c r="BJ115" s="202" t="s">
        <v>111</v>
      </c>
      <c r="BK115" s="203">
        <f t="shared" si="892"/>
        <v>9.0571521728531487E-2</v>
      </c>
      <c r="BL115" s="202" t="s">
        <v>111</v>
      </c>
      <c r="BM115" s="203">
        <f t="shared" ref="BM115" si="893">BM114/BM66</f>
        <v>9.2162466470929391E-2</v>
      </c>
      <c r="BN115" s="202" t="s">
        <v>111</v>
      </c>
      <c r="BO115" s="203">
        <f t="shared" ref="BO115" si="894">BO114/BO66</f>
        <v>9.015943336162989E-2</v>
      </c>
    </row>
    <row r="116" spans="1:67" s="65" customFormat="1" ht="18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6598075</v>
      </c>
      <c r="H116" s="202" t="s">
        <v>114</v>
      </c>
      <c r="I116" s="204">
        <f>I117*I66</f>
        <v>6602274.9999999991</v>
      </c>
      <c r="J116" s="202" t="s">
        <v>114</v>
      </c>
      <c r="K116" s="204">
        <f>K117*K66</f>
        <v>6601225</v>
      </c>
      <c r="L116" s="202" t="s">
        <v>114</v>
      </c>
      <c r="M116" s="204">
        <f>M117*M66</f>
        <v>6604725</v>
      </c>
      <c r="N116" s="202" t="s">
        <v>114</v>
      </c>
      <c r="O116" s="204">
        <f>O117*O66</f>
        <v>6648475</v>
      </c>
      <c r="P116" s="202" t="s">
        <v>114</v>
      </c>
      <c r="Q116" s="204">
        <f>Q117*Q66</f>
        <v>6658274.9999999991</v>
      </c>
      <c r="R116" s="202" t="s">
        <v>114</v>
      </c>
      <c r="S116" s="204">
        <f>S117*S66</f>
        <v>6711824.9999999991</v>
      </c>
      <c r="T116" s="202" t="s">
        <v>114</v>
      </c>
      <c r="U116" s="204">
        <f>U117*U66</f>
        <v>6689775</v>
      </c>
      <c r="V116" s="202" t="s">
        <v>114</v>
      </c>
      <c r="W116" s="204">
        <f>W117*W66</f>
        <v>6721975</v>
      </c>
      <c r="X116" s="202" t="s">
        <v>114</v>
      </c>
      <c r="Y116" s="204">
        <f>Y117*Y66</f>
        <v>6788650</v>
      </c>
      <c r="Z116" s="202" t="s">
        <v>114</v>
      </c>
      <c r="AA116" s="204">
        <f>AA117*AA66</f>
        <v>6828374.9999999991</v>
      </c>
      <c r="AB116" s="202" t="s">
        <v>114</v>
      </c>
      <c r="AC116" s="204">
        <f>AC117*AC66</f>
        <v>6824524.9999999991</v>
      </c>
      <c r="AD116" s="202" t="s">
        <v>114</v>
      </c>
      <c r="AE116" s="204">
        <f t="shared" ref="AE116" si="895">AE117*AE66</f>
        <v>6773424.9999999991</v>
      </c>
      <c r="AF116" s="202" t="s">
        <v>114</v>
      </c>
      <c r="AG116" s="204">
        <f t="shared" ref="AG116" si="896">AG117*AG66</f>
        <v>6731424.9999999991</v>
      </c>
      <c r="AH116" s="202" t="s">
        <v>114</v>
      </c>
      <c r="AI116" s="204">
        <f t="shared" ref="AI116" si="897">AI117*AI66</f>
        <v>6763625</v>
      </c>
      <c r="AJ116" s="202" t="s">
        <v>114</v>
      </c>
      <c r="AK116" s="204">
        <f t="shared" ref="AK116" si="898">AK117*AK66</f>
        <v>6690475</v>
      </c>
      <c r="AL116" s="202" t="s">
        <v>114</v>
      </c>
      <c r="AM116" s="204">
        <f t="shared" ref="AM116" si="899">AM117*AM66</f>
        <v>6677175</v>
      </c>
      <c r="AN116" s="202" t="s">
        <v>114</v>
      </c>
      <c r="AO116" s="204">
        <f t="shared" ref="AO116" si="900">AO117*AO66</f>
        <v>6703425</v>
      </c>
      <c r="AP116" s="202" t="s">
        <v>114</v>
      </c>
      <c r="AQ116" s="204">
        <f t="shared" ref="AQ116" si="901">AQ117*AQ66</f>
        <v>6719699.9999999991</v>
      </c>
      <c r="AR116" s="202" t="s">
        <v>114</v>
      </c>
      <c r="AS116" s="204">
        <f t="shared" ref="AS116:AY116" si="902">AS117*AS66</f>
        <v>6756799.9999999991</v>
      </c>
      <c r="AT116" s="202" t="s">
        <v>114</v>
      </c>
      <c r="AU116" s="204">
        <f t="shared" si="902"/>
        <v>6774125</v>
      </c>
      <c r="AV116" s="202" t="s">
        <v>114</v>
      </c>
      <c r="AW116" s="204">
        <f t="shared" si="902"/>
        <v>6840274.9999999991</v>
      </c>
      <c r="AX116" s="202" t="s">
        <v>114</v>
      </c>
      <c r="AY116" s="204">
        <f t="shared" si="902"/>
        <v>6830375</v>
      </c>
      <c r="AZ116" s="202" t="s">
        <v>114</v>
      </c>
      <c r="BA116" s="204">
        <f t="shared" ref="BA116:BC116" si="903">BA117*BA66</f>
        <v>6800800</v>
      </c>
      <c r="BB116" s="202" t="s">
        <v>114</v>
      </c>
      <c r="BC116" s="204">
        <f t="shared" si="903"/>
        <v>6829149.9999999991</v>
      </c>
      <c r="BD116" s="202" t="s">
        <v>114</v>
      </c>
      <c r="BE116" s="204">
        <f t="shared" ref="BE116:BG116" si="904">BE117*BE66</f>
        <v>6896175</v>
      </c>
      <c r="BF116" s="202" t="s">
        <v>114</v>
      </c>
      <c r="BG116" s="204">
        <f t="shared" si="904"/>
        <v>6935024.9999999991</v>
      </c>
      <c r="BH116" s="202" t="s">
        <v>114</v>
      </c>
      <c r="BI116" s="204">
        <f t="shared" ref="BI116:BK116" si="905">BI117*BI66</f>
        <v>6879024.9999999991</v>
      </c>
      <c r="BJ116" s="202" t="s">
        <v>114</v>
      </c>
      <c r="BK116" s="204">
        <f t="shared" si="905"/>
        <v>6776825</v>
      </c>
      <c r="BL116" s="202" t="s">
        <v>114</v>
      </c>
      <c r="BM116" s="204">
        <f t="shared" ref="BM116" si="906">BM117*BM66</f>
        <v>7159900</v>
      </c>
      <c r="BN116" s="202" t="s">
        <v>114</v>
      </c>
      <c r="BO116" s="204">
        <f t="shared" ref="BO116" si="907">BO117*BO66</f>
        <v>6797300</v>
      </c>
    </row>
    <row r="117" spans="1:67" s="65" customFormat="1" ht="18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1335.6427125506073</v>
      </c>
      <c r="H117" s="202" t="s">
        <v>114</v>
      </c>
      <c r="I117" s="204">
        <f>SUM(I118:I123)</f>
        <v>1336.492914979757</v>
      </c>
      <c r="J117" s="202" t="s">
        <v>114</v>
      </c>
      <c r="K117" s="204">
        <f>SUM(K118:K123)</f>
        <v>1336.2803643724696</v>
      </c>
      <c r="L117" s="202" t="s">
        <v>114</v>
      </c>
      <c r="M117" s="204">
        <f>SUM(M118:M123)</f>
        <v>1336.9888663967611</v>
      </c>
      <c r="N117" s="202" t="s">
        <v>114</v>
      </c>
      <c r="O117" s="204">
        <f>SUM(O118:O123)</f>
        <v>1345.8451417004048</v>
      </c>
      <c r="P117" s="202" t="s">
        <v>114</v>
      </c>
      <c r="Q117" s="204">
        <f>SUM(Q118:Q123)</f>
        <v>1347.8289473684208</v>
      </c>
      <c r="R117" s="202" t="s">
        <v>114</v>
      </c>
      <c r="S117" s="204">
        <f>SUM(S118:S123)</f>
        <v>1358.6690283400808</v>
      </c>
      <c r="T117" s="202" t="s">
        <v>114</v>
      </c>
      <c r="U117" s="204">
        <f>SUM(U118:U123)</f>
        <v>1354.2054655870445</v>
      </c>
      <c r="V117" s="202" t="s">
        <v>114</v>
      </c>
      <c r="W117" s="204">
        <f>SUM(W118:W123)</f>
        <v>1360.7236842105262</v>
      </c>
      <c r="X117" s="202" t="s">
        <v>114</v>
      </c>
      <c r="Y117" s="204">
        <f>SUM(Y118:Y123)</f>
        <v>1374.2206477732793</v>
      </c>
      <c r="Z117" s="202" t="s">
        <v>114</v>
      </c>
      <c r="AA117" s="204">
        <f>SUM(AA118:AA123)</f>
        <v>1382.2621457489877</v>
      </c>
      <c r="AB117" s="202" t="s">
        <v>114</v>
      </c>
      <c r="AC117" s="204">
        <f>SUM(AC118:AC123)</f>
        <v>1381.482793522267</v>
      </c>
      <c r="AD117" s="202" t="s">
        <v>114</v>
      </c>
      <c r="AE117" s="204">
        <f t="shared" ref="AE117" si="908">SUM(AE118:AE123)</f>
        <v>1371.1386639676111</v>
      </c>
      <c r="AF117" s="202" t="s">
        <v>114</v>
      </c>
      <c r="AG117" s="204">
        <f t="shared" ref="AG117" si="909">SUM(AG118:AG123)</f>
        <v>1362.6366396761132</v>
      </c>
      <c r="AH117" s="202" t="s">
        <v>114</v>
      </c>
      <c r="AI117" s="204">
        <f t="shared" ref="AI117" si="910">SUM(AI118:AI123)</f>
        <v>1369.1548582995952</v>
      </c>
      <c r="AJ117" s="202" t="s">
        <v>114</v>
      </c>
      <c r="AK117" s="204">
        <f t="shared" ref="AK117" si="911">SUM(AK118:AK123)</f>
        <v>1354.3471659919028</v>
      </c>
      <c r="AL117" s="202" t="s">
        <v>114</v>
      </c>
      <c r="AM117" s="204">
        <f t="shared" ref="AM117" si="912">SUM(AM118:AM123)</f>
        <v>1351.6548582995952</v>
      </c>
      <c r="AN117" s="202" t="s">
        <v>114</v>
      </c>
      <c r="AO117" s="204">
        <f t="shared" ref="AO117" si="913">SUM(AO118:AO123)</f>
        <v>1356.9686234817814</v>
      </c>
      <c r="AP117" s="202" t="s">
        <v>114</v>
      </c>
      <c r="AQ117" s="204">
        <f t="shared" ref="AQ117" si="914">SUM(AQ118:AQ123)</f>
        <v>1360.2631578947367</v>
      </c>
      <c r="AR117" s="202" t="s">
        <v>114</v>
      </c>
      <c r="AS117" s="204">
        <f t="shared" ref="AS117:AY117" si="915">SUM(AS118:AS123)</f>
        <v>1367.7732793522266</v>
      </c>
      <c r="AT117" s="202" t="s">
        <v>114</v>
      </c>
      <c r="AU117" s="204">
        <f t="shared" si="915"/>
        <v>1371.2803643724696</v>
      </c>
      <c r="AV117" s="202" t="s">
        <v>114</v>
      </c>
      <c r="AW117" s="204">
        <f t="shared" si="915"/>
        <v>1384.6710526315787</v>
      </c>
      <c r="AX117" s="202" t="s">
        <v>114</v>
      </c>
      <c r="AY117" s="204">
        <f t="shared" si="915"/>
        <v>1404.2711759868421</v>
      </c>
      <c r="AZ117" s="202" t="s">
        <v>114</v>
      </c>
      <c r="BA117" s="204">
        <f t="shared" ref="BA117:BC117" si="916">SUM(BA118:BA123)</f>
        <v>1398.1907894736842</v>
      </c>
      <c r="BB117" s="202" t="s">
        <v>114</v>
      </c>
      <c r="BC117" s="204">
        <f t="shared" si="916"/>
        <v>1404.0193256578946</v>
      </c>
      <c r="BD117" s="202" t="s">
        <v>114</v>
      </c>
      <c r="BE117" s="204">
        <f t="shared" ref="BE117:BG117" si="917">SUM(BE118:BE123)</f>
        <v>1417.7991365131579</v>
      </c>
      <c r="BF117" s="202" t="s">
        <v>114</v>
      </c>
      <c r="BG117" s="204">
        <f t="shared" si="917"/>
        <v>1425.7863898026314</v>
      </c>
      <c r="BH117" s="202" t="s">
        <v>114</v>
      </c>
      <c r="BI117" s="204">
        <f t="shared" ref="BI117:BK117" si="918">SUM(BI118:BI123)</f>
        <v>1414.2732319078946</v>
      </c>
      <c r="BJ117" s="202" t="s">
        <v>114</v>
      </c>
      <c r="BK117" s="204">
        <f t="shared" si="918"/>
        <v>1393.26171875</v>
      </c>
      <c r="BL117" s="202" t="s">
        <v>114</v>
      </c>
      <c r="BM117" s="204">
        <f t="shared" ref="BM117" si="919">SUM(BM118:BM123)</f>
        <v>1472.0189144736842</v>
      </c>
      <c r="BN117" s="202" t="s">
        <v>114</v>
      </c>
      <c r="BO117" s="204">
        <f t="shared" ref="BO117" si="920">SUM(BO118:BO123)</f>
        <v>1397.4712171052631</v>
      </c>
    </row>
    <row r="118" spans="1:67" s="65" customFormat="1" ht="18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</row>
    <row r="119" spans="1:67" s="65" customFormat="1" ht="18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392.71255060728743</v>
      </c>
      <c r="H119" s="202" t="s">
        <v>114</v>
      </c>
      <c r="I119" s="204">
        <f>1940000/I66</f>
        <v>392.71255060728743</v>
      </c>
      <c r="J119" s="202" t="s">
        <v>114</v>
      </c>
      <c r="K119" s="204">
        <f>1940000/K66</f>
        <v>392.71255060728743</v>
      </c>
      <c r="L119" s="202" t="s">
        <v>114</v>
      </c>
      <c r="M119" s="204">
        <f>1940000/M66</f>
        <v>392.71255060728743</v>
      </c>
      <c r="N119" s="202" t="s">
        <v>114</v>
      </c>
      <c r="O119" s="204">
        <f>1940000/O66</f>
        <v>392.71255060728743</v>
      </c>
      <c r="P119" s="202" t="s">
        <v>114</v>
      </c>
      <c r="Q119" s="204">
        <f>1940000/Q66</f>
        <v>392.71255060728743</v>
      </c>
      <c r="R119" s="202" t="s">
        <v>114</v>
      </c>
      <c r="S119" s="204">
        <f>1940000/S66</f>
        <v>392.71255060728743</v>
      </c>
      <c r="T119" s="202" t="s">
        <v>114</v>
      </c>
      <c r="U119" s="204">
        <f>1940000/U66</f>
        <v>392.71255060728743</v>
      </c>
      <c r="V119" s="202" t="s">
        <v>114</v>
      </c>
      <c r="W119" s="204">
        <f>1940000/W66</f>
        <v>392.71255060728743</v>
      </c>
      <c r="X119" s="202" t="s">
        <v>114</v>
      </c>
      <c r="Y119" s="204">
        <f>1940000/Y66</f>
        <v>392.71255060728743</v>
      </c>
      <c r="Z119" s="202" t="s">
        <v>114</v>
      </c>
      <c r="AA119" s="204">
        <f>1940000/AA66</f>
        <v>392.71255060728743</v>
      </c>
      <c r="AB119" s="202" t="s">
        <v>114</v>
      </c>
      <c r="AC119" s="204">
        <f>1940000/AC66</f>
        <v>392.71255060728743</v>
      </c>
      <c r="AD119" s="202" t="s">
        <v>114</v>
      </c>
      <c r="AE119" s="204">
        <f t="shared" ref="AE119" si="921">1940000/AE66</f>
        <v>392.71255060728743</v>
      </c>
      <c r="AF119" s="202" t="s">
        <v>114</v>
      </c>
      <c r="AG119" s="204">
        <f t="shared" ref="AG119" si="922">1940000/AG66</f>
        <v>392.71255060728743</v>
      </c>
      <c r="AH119" s="202" t="s">
        <v>114</v>
      </c>
      <c r="AI119" s="204">
        <f t="shared" ref="AI119" si="923">1940000/AI66</f>
        <v>392.71255060728743</v>
      </c>
      <c r="AJ119" s="202" t="s">
        <v>114</v>
      </c>
      <c r="AK119" s="204">
        <f t="shared" ref="AK119" si="924">1940000/AK66</f>
        <v>392.71255060728743</v>
      </c>
      <c r="AL119" s="202" t="s">
        <v>114</v>
      </c>
      <c r="AM119" s="204">
        <f t="shared" ref="AM119" si="925">1940000/AM66</f>
        <v>392.71255060728743</v>
      </c>
      <c r="AN119" s="202" t="s">
        <v>114</v>
      </c>
      <c r="AO119" s="204">
        <f t="shared" ref="AO119" si="926">1940000/AO66</f>
        <v>392.71255060728743</v>
      </c>
      <c r="AP119" s="202" t="s">
        <v>114</v>
      </c>
      <c r="AQ119" s="204">
        <f t="shared" ref="AQ119" si="927">1940000/AQ66</f>
        <v>392.71255060728743</v>
      </c>
      <c r="AR119" s="202" t="s">
        <v>114</v>
      </c>
      <c r="AS119" s="204">
        <f t="shared" ref="AS119:AY119" si="928">1940000/AS66</f>
        <v>392.71255060728743</v>
      </c>
      <c r="AT119" s="202" t="s">
        <v>114</v>
      </c>
      <c r="AU119" s="204">
        <f t="shared" si="928"/>
        <v>392.71255060728743</v>
      </c>
      <c r="AV119" s="202" t="s">
        <v>114</v>
      </c>
      <c r="AW119" s="204">
        <f t="shared" si="928"/>
        <v>392.71255060728743</v>
      </c>
      <c r="AX119" s="202" t="s">
        <v>114</v>
      </c>
      <c r="AY119" s="204">
        <f t="shared" si="928"/>
        <v>398.8486842105263</v>
      </c>
      <c r="AZ119" s="202" t="s">
        <v>114</v>
      </c>
      <c r="BA119" s="204">
        <f t="shared" ref="BA119:BC119" si="929">1940000/BA66</f>
        <v>398.8486842105263</v>
      </c>
      <c r="BB119" s="202" t="s">
        <v>114</v>
      </c>
      <c r="BC119" s="204">
        <f t="shared" si="929"/>
        <v>398.8486842105263</v>
      </c>
      <c r="BD119" s="202" t="s">
        <v>114</v>
      </c>
      <c r="BE119" s="204">
        <f t="shared" ref="BE119:BG119" si="930">1940000/BE66</f>
        <v>398.8486842105263</v>
      </c>
      <c r="BF119" s="202" t="s">
        <v>114</v>
      </c>
      <c r="BG119" s="204">
        <f t="shared" si="930"/>
        <v>398.8486842105263</v>
      </c>
      <c r="BH119" s="202" t="s">
        <v>114</v>
      </c>
      <c r="BI119" s="204">
        <f t="shared" ref="BI119:BK119" si="931">1940000/BI66</f>
        <v>398.8486842105263</v>
      </c>
      <c r="BJ119" s="202" t="s">
        <v>114</v>
      </c>
      <c r="BK119" s="204">
        <f t="shared" si="931"/>
        <v>398.8486842105263</v>
      </c>
      <c r="BL119" s="202" t="s">
        <v>114</v>
      </c>
      <c r="BM119" s="204">
        <f>2150000/BM66</f>
        <v>442.02302631578948</v>
      </c>
      <c r="BN119" s="202" t="s">
        <v>114</v>
      </c>
      <c r="BO119" s="204">
        <f t="shared" ref="BO119" si="932">1940000/BO66</f>
        <v>398.8486842105263</v>
      </c>
    </row>
    <row r="120" spans="1:67" s="65" customFormat="1" ht="18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55.668016194331983</v>
      </c>
      <c r="H120" s="202" t="s">
        <v>114</v>
      </c>
      <c r="I120" s="204">
        <f>275000/I66</f>
        <v>55.668016194331983</v>
      </c>
      <c r="J120" s="202" t="s">
        <v>114</v>
      </c>
      <c r="K120" s="204">
        <f>275000/K66</f>
        <v>55.668016194331983</v>
      </c>
      <c r="L120" s="202" t="s">
        <v>114</v>
      </c>
      <c r="M120" s="204">
        <f>275000/M66</f>
        <v>55.668016194331983</v>
      </c>
      <c r="N120" s="202" t="s">
        <v>114</v>
      </c>
      <c r="O120" s="204">
        <f>275000/O66</f>
        <v>55.668016194331983</v>
      </c>
      <c r="P120" s="202" t="s">
        <v>114</v>
      </c>
      <c r="Q120" s="204">
        <f>275000/Q66</f>
        <v>55.668016194331983</v>
      </c>
      <c r="R120" s="202" t="s">
        <v>114</v>
      </c>
      <c r="S120" s="204">
        <f>275000/S66</f>
        <v>55.668016194331983</v>
      </c>
      <c r="T120" s="202" t="s">
        <v>114</v>
      </c>
      <c r="U120" s="204">
        <f>275000/U66</f>
        <v>55.668016194331983</v>
      </c>
      <c r="V120" s="202" t="s">
        <v>114</v>
      </c>
      <c r="W120" s="204">
        <f>275000/W66</f>
        <v>55.668016194331983</v>
      </c>
      <c r="X120" s="202" t="s">
        <v>114</v>
      </c>
      <c r="Y120" s="204">
        <f>275000/Y66</f>
        <v>55.668016194331983</v>
      </c>
      <c r="Z120" s="202" t="s">
        <v>114</v>
      </c>
      <c r="AA120" s="204">
        <f>275000/AA66</f>
        <v>55.668016194331983</v>
      </c>
      <c r="AB120" s="202" t="s">
        <v>114</v>
      </c>
      <c r="AC120" s="204">
        <f>275000/AC66</f>
        <v>55.668016194331983</v>
      </c>
      <c r="AD120" s="202" t="s">
        <v>114</v>
      </c>
      <c r="AE120" s="204">
        <f t="shared" ref="AE120" si="933">275000/AE66</f>
        <v>55.668016194331983</v>
      </c>
      <c r="AF120" s="202" t="s">
        <v>114</v>
      </c>
      <c r="AG120" s="204">
        <f t="shared" ref="AG120" si="934">275000/AG66</f>
        <v>55.668016194331983</v>
      </c>
      <c r="AH120" s="202" t="s">
        <v>114</v>
      </c>
      <c r="AI120" s="204">
        <f t="shared" ref="AI120" si="935">275000/AI66</f>
        <v>55.668016194331983</v>
      </c>
      <c r="AJ120" s="202" t="s">
        <v>114</v>
      </c>
      <c r="AK120" s="204">
        <f t="shared" ref="AK120" si="936">275000/AK66</f>
        <v>55.668016194331983</v>
      </c>
      <c r="AL120" s="202" t="s">
        <v>114</v>
      </c>
      <c r="AM120" s="204">
        <f t="shared" ref="AM120" si="937">275000/AM66</f>
        <v>55.668016194331983</v>
      </c>
      <c r="AN120" s="202" t="s">
        <v>114</v>
      </c>
      <c r="AO120" s="204">
        <f t="shared" ref="AO120" si="938">275000/AO66</f>
        <v>55.668016194331983</v>
      </c>
      <c r="AP120" s="202" t="s">
        <v>114</v>
      </c>
      <c r="AQ120" s="204">
        <f t="shared" ref="AQ120" si="939">275000/AQ66</f>
        <v>55.668016194331983</v>
      </c>
      <c r="AR120" s="202" t="s">
        <v>114</v>
      </c>
      <c r="AS120" s="204">
        <f t="shared" ref="AS120:AY120" si="940">275000/AS66</f>
        <v>55.668016194331983</v>
      </c>
      <c r="AT120" s="202" t="s">
        <v>114</v>
      </c>
      <c r="AU120" s="204">
        <f t="shared" si="940"/>
        <v>55.668016194331983</v>
      </c>
      <c r="AV120" s="202" t="s">
        <v>114</v>
      </c>
      <c r="AW120" s="204">
        <f t="shared" si="940"/>
        <v>55.668016194331983</v>
      </c>
      <c r="AX120" s="202" t="s">
        <v>114</v>
      </c>
      <c r="AY120" s="204">
        <f t="shared" si="940"/>
        <v>56.537828947368418</v>
      </c>
      <c r="AZ120" s="202" t="s">
        <v>114</v>
      </c>
      <c r="BA120" s="204">
        <f t="shared" ref="BA120:BC120" si="941">275000/BA66</f>
        <v>56.537828947368418</v>
      </c>
      <c r="BB120" s="202" t="s">
        <v>114</v>
      </c>
      <c r="BC120" s="204">
        <f t="shared" si="941"/>
        <v>56.537828947368418</v>
      </c>
      <c r="BD120" s="202" t="s">
        <v>114</v>
      </c>
      <c r="BE120" s="204">
        <f t="shared" ref="BE120:BG120" si="942">275000/BE66</f>
        <v>56.537828947368418</v>
      </c>
      <c r="BF120" s="202" t="s">
        <v>114</v>
      </c>
      <c r="BG120" s="204">
        <f t="shared" si="942"/>
        <v>56.537828947368418</v>
      </c>
      <c r="BH120" s="202" t="s">
        <v>114</v>
      </c>
      <c r="BI120" s="204">
        <f t="shared" ref="BI120:BK120" si="943">275000/BI66</f>
        <v>56.537828947368418</v>
      </c>
      <c r="BJ120" s="202" t="s">
        <v>114</v>
      </c>
      <c r="BK120" s="204">
        <f t="shared" si="943"/>
        <v>56.537828947368418</v>
      </c>
      <c r="BL120" s="202" t="s">
        <v>114</v>
      </c>
      <c r="BM120" s="204">
        <f>300000/BM66</f>
        <v>61.67763157894737</v>
      </c>
      <c r="BN120" s="202" t="s">
        <v>114</v>
      </c>
      <c r="BO120" s="204">
        <f t="shared" ref="BO120" si="944">275000/BO66</f>
        <v>56.537828947368418</v>
      </c>
    </row>
    <row r="121" spans="1:67" s="65" customFormat="1" ht="18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259.10931174089069</v>
      </c>
      <c r="H121" s="202" t="s">
        <v>114</v>
      </c>
      <c r="I121" s="204">
        <f>1280000/I66</f>
        <v>259.10931174089069</v>
      </c>
      <c r="J121" s="202" t="s">
        <v>114</v>
      </c>
      <c r="K121" s="204">
        <f>1280000/K66</f>
        <v>259.10931174089069</v>
      </c>
      <c r="L121" s="202" t="s">
        <v>114</v>
      </c>
      <c r="M121" s="204">
        <f>1280000/M66</f>
        <v>259.10931174089069</v>
      </c>
      <c r="N121" s="202" t="s">
        <v>114</v>
      </c>
      <c r="O121" s="204">
        <f>1280000/O66</f>
        <v>259.10931174089069</v>
      </c>
      <c r="P121" s="202" t="s">
        <v>114</v>
      </c>
      <c r="Q121" s="204">
        <f>1280000/Q66</f>
        <v>259.10931174089069</v>
      </c>
      <c r="R121" s="202" t="s">
        <v>114</v>
      </c>
      <c r="S121" s="204">
        <f>1280000/S66</f>
        <v>259.10931174089069</v>
      </c>
      <c r="T121" s="202" t="s">
        <v>114</v>
      </c>
      <c r="U121" s="204">
        <f>1280000/U66</f>
        <v>259.10931174089069</v>
      </c>
      <c r="V121" s="202" t="s">
        <v>114</v>
      </c>
      <c r="W121" s="204">
        <f>1280000/W66</f>
        <v>259.10931174089069</v>
      </c>
      <c r="X121" s="202" t="s">
        <v>114</v>
      </c>
      <c r="Y121" s="204">
        <f>1280000/Y66</f>
        <v>259.10931174089069</v>
      </c>
      <c r="Z121" s="202" t="s">
        <v>114</v>
      </c>
      <c r="AA121" s="204">
        <f>1280000/AA66</f>
        <v>259.10931174089069</v>
      </c>
      <c r="AB121" s="202" t="s">
        <v>114</v>
      </c>
      <c r="AC121" s="204">
        <f>1280000/AC66</f>
        <v>259.10931174089069</v>
      </c>
      <c r="AD121" s="202" t="s">
        <v>114</v>
      </c>
      <c r="AE121" s="204">
        <f t="shared" ref="AE121" si="945">1280000/AE66</f>
        <v>259.10931174089069</v>
      </c>
      <c r="AF121" s="202" t="s">
        <v>114</v>
      </c>
      <c r="AG121" s="204">
        <f t="shared" ref="AG121" si="946">1280000/AG66</f>
        <v>259.10931174089069</v>
      </c>
      <c r="AH121" s="202" t="s">
        <v>114</v>
      </c>
      <c r="AI121" s="204">
        <f t="shared" ref="AI121" si="947">1280000/AI66</f>
        <v>259.10931174089069</v>
      </c>
      <c r="AJ121" s="202" t="s">
        <v>114</v>
      </c>
      <c r="AK121" s="204">
        <f t="shared" ref="AK121" si="948">1280000/AK66</f>
        <v>259.10931174089069</v>
      </c>
      <c r="AL121" s="202" t="s">
        <v>114</v>
      </c>
      <c r="AM121" s="204">
        <f t="shared" ref="AM121" si="949">1280000/AM66</f>
        <v>259.10931174089069</v>
      </c>
      <c r="AN121" s="202" t="s">
        <v>114</v>
      </c>
      <c r="AO121" s="204">
        <f t="shared" ref="AO121" si="950">1280000/AO66</f>
        <v>259.10931174089069</v>
      </c>
      <c r="AP121" s="202" t="s">
        <v>114</v>
      </c>
      <c r="AQ121" s="204">
        <f t="shared" ref="AQ121" si="951">1280000/AQ66</f>
        <v>259.10931174089069</v>
      </c>
      <c r="AR121" s="202" t="s">
        <v>114</v>
      </c>
      <c r="AS121" s="204">
        <f t="shared" ref="AS121:AY121" si="952">1280000/AS66</f>
        <v>259.10931174089069</v>
      </c>
      <c r="AT121" s="202" t="s">
        <v>114</v>
      </c>
      <c r="AU121" s="204">
        <f t="shared" si="952"/>
        <v>259.10931174089069</v>
      </c>
      <c r="AV121" s="202" t="s">
        <v>114</v>
      </c>
      <c r="AW121" s="204">
        <f t="shared" si="952"/>
        <v>259.10931174089069</v>
      </c>
      <c r="AX121" s="202" t="s">
        <v>114</v>
      </c>
      <c r="AY121" s="204">
        <f t="shared" si="952"/>
        <v>263.15789473684208</v>
      </c>
      <c r="AZ121" s="202" t="s">
        <v>114</v>
      </c>
      <c r="BA121" s="204">
        <f t="shared" ref="BA121:BC121" si="953">1280000/BA66</f>
        <v>263.15789473684208</v>
      </c>
      <c r="BB121" s="202" t="s">
        <v>114</v>
      </c>
      <c r="BC121" s="204">
        <f t="shared" si="953"/>
        <v>263.15789473684208</v>
      </c>
      <c r="BD121" s="202" t="s">
        <v>114</v>
      </c>
      <c r="BE121" s="204">
        <f t="shared" ref="BE121:BG121" si="954">1280000/BE66</f>
        <v>263.15789473684208</v>
      </c>
      <c r="BF121" s="202" t="s">
        <v>114</v>
      </c>
      <c r="BG121" s="204">
        <f t="shared" si="954"/>
        <v>263.15789473684208</v>
      </c>
      <c r="BH121" s="202" t="s">
        <v>114</v>
      </c>
      <c r="BI121" s="204">
        <f t="shared" ref="BI121:BK121" si="955">1280000/BI66</f>
        <v>263.15789473684208</v>
      </c>
      <c r="BJ121" s="202" t="s">
        <v>114</v>
      </c>
      <c r="BK121" s="204">
        <f t="shared" si="955"/>
        <v>263.15789473684208</v>
      </c>
      <c r="BL121" s="202" t="s">
        <v>114</v>
      </c>
      <c r="BM121" s="204">
        <f t="shared" ref="BM121" si="956">1280000/BM66</f>
        <v>263.15789473684208</v>
      </c>
      <c r="BN121" s="202" t="s">
        <v>114</v>
      </c>
      <c r="BO121" s="204">
        <f t="shared" ref="BO121" si="957">1280000/BO66</f>
        <v>263.15789473684208</v>
      </c>
    </row>
    <row r="122" spans="1:67" s="65" customFormat="1" ht="18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45.546558704453439</v>
      </c>
      <c r="H122" s="202" t="s">
        <v>114</v>
      </c>
      <c r="I122" s="204">
        <f>225000/I66</f>
        <v>45.546558704453439</v>
      </c>
      <c r="J122" s="202" t="s">
        <v>114</v>
      </c>
      <c r="K122" s="204">
        <f>225000/K66</f>
        <v>45.546558704453439</v>
      </c>
      <c r="L122" s="202" t="s">
        <v>114</v>
      </c>
      <c r="M122" s="204">
        <f>225000/M66</f>
        <v>45.546558704453439</v>
      </c>
      <c r="N122" s="202" t="s">
        <v>114</v>
      </c>
      <c r="O122" s="204">
        <f>225000/O66</f>
        <v>45.546558704453439</v>
      </c>
      <c r="P122" s="202" t="s">
        <v>114</v>
      </c>
      <c r="Q122" s="204">
        <f>225000/Q66</f>
        <v>45.546558704453439</v>
      </c>
      <c r="R122" s="202" t="s">
        <v>114</v>
      </c>
      <c r="S122" s="204">
        <f>225000/S66</f>
        <v>45.546558704453439</v>
      </c>
      <c r="T122" s="202" t="s">
        <v>114</v>
      </c>
      <c r="U122" s="204">
        <f>225000/U66</f>
        <v>45.546558704453439</v>
      </c>
      <c r="V122" s="202" t="s">
        <v>114</v>
      </c>
      <c r="W122" s="204">
        <f>225000/W66</f>
        <v>45.546558704453439</v>
      </c>
      <c r="X122" s="202" t="s">
        <v>114</v>
      </c>
      <c r="Y122" s="204">
        <f>225000/Y66</f>
        <v>45.546558704453439</v>
      </c>
      <c r="Z122" s="202" t="s">
        <v>114</v>
      </c>
      <c r="AA122" s="204">
        <f>225000/AA66</f>
        <v>45.546558704453439</v>
      </c>
      <c r="AB122" s="202" t="s">
        <v>114</v>
      </c>
      <c r="AC122" s="204">
        <f>225000/AC66</f>
        <v>45.546558704453439</v>
      </c>
      <c r="AD122" s="202" t="s">
        <v>114</v>
      </c>
      <c r="AE122" s="204">
        <f t="shared" ref="AE122" si="958">225000/AE66</f>
        <v>45.546558704453439</v>
      </c>
      <c r="AF122" s="202" t="s">
        <v>114</v>
      </c>
      <c r="AG122" s="204">
        <f t="shared" ref="AG122" si="959">225000/AG66</f>
        <v>45.546558704453439</v>
      </c>
      <c r="AH122" s="202" t="s">
        <v>114</v>
      </c>
      <c r="AI122" s="204">
        <f t="shared" ref="AI122" si="960">225000/AI66</f>
        <v>45.546558704453439</v>
      </c>
      <c r="AJ122" s="202" t="s">
        <v>114</v>
      </c>
      <c r="AK122" s="204">
        <f t="shared" ref="AK122" si="961">225000/AK66</f>
        <v>45.546558704453439</v>
      </c>
      <c r="AL122" s="202" t="s">
        <v>114</v>
      </c>
      <c r="AM122" s="204">
        <f t="shared" ref="AM122" si="962">225000/AM66</f>
        <v>45.546558704453439</v>
      </c>
      <c r="AN122" s="202" t="s">
        <v>114</v>
      </c>
      <c r="AO122" s="204">
        <f t="shared" ref="AO122" si="963">225000/AO66</f>
        <v>45.546558704453439</v>
      </c>
      <c r="AP122" s="202" t="s">
        <v>114</v>
      </c>
      <c r="AQ122" s="204">
        <f t="shared" ref="AQ122" si="964">225000/AQ66</f>
        <v>45.546558704453439</v>
      </c>
      <c r="AR122" s="202" t="s">
        <v>114</v>
      </c>
      <c r="AS122" s="204">
        <f t="shared" ref="AS122:AY122" si="965">225000/AS66</f>
        <v>45.546558704453439</v>
      </c>
      <c r="AT122" s="202" t="s">
        <v>114</v>
      </c>
      <c r="AU122" s="204">
        <f t="shared" si="965"/>
        <v>45.546558704453439</v>
      </c>
      <c r="AV122" s="202" t="s">
        <v>114</v>
      </c>
      <c r="AW122" s="204">
        <f t="shared" si="965"/>
        <v>45.546558704453439</v>
      </c>
      <c r="AX122" s="202" t="s">
        <v>114</v>
      </c>
      <c r="AY122" s="204">
        <f t="shared" si="965"/>
        <v>46.258223684210527</v>
      </c>
      <c r="AZ122" s="202" t="s">
        <v>114</v>
      </c>
      <c r="BA122" s="204">
        <f t="shared" ref="BA122:BC122" si="966">225000/BA66</f>
        <v>46.258223684210527</v>
      </c>
      <c r="BB122" s="202" t="s">
        <v>114</v>
      </c>
      <c r="BC122" s="204">
        <f t="shared" si="966"/>
        <v>46.258223684210527</v>
      </c>
      <c r="BD122" s="202" t="s">
        <v>114</v>
      </c>
      <c r="BE122" s="204">
        <f t="shared" ref="BE122:BG122" si="967">225000/BE66</f>
        <v>46.258223684210527</v>
      </c>
      <c r="BF122" s="202" t="s">
        <v>114</v>
      </c>
      <c r="BG122" s="204">
        <f t="shared" si="967"/>
        <v>46.258223684210527</v>
      </c>
      <c r="BH122" s="202" t="s">
        <v>114</v>
      </c>
      <c r="BI122" s="204">
        <f t="shared" ref="BI122:BK122" si="968">225000/BI66</f>
        <v>46.258223684210527</v>
      </c>
      <c r="BJ122" s="202" t="s">
        <v>114</v>
      </c>
      <c r="BK122" s="204">
        <f t="shared" si="968"/>
        <v>46.258223684210527</v>
      </c>
      <c r="BL122" s="202" t="s">
        <v>114</v>
      </c>
      <c r="BM122" s="204">
        <f>(225000+45000)/BM66</f>
        <v>55.50986842105263</v>
      </c>
      <c r="BN122" s="202" t="s">
        <v>114</v>
      </c>
      <c r="BO122" s="204">
        <f t="shared" ref="BO122" si="969">225000/BO66</f>
        <v>46.258223684210527</v>
      </c>
    </row>
    <row r="123" spans="1:67" s="4" customFormat="1" ht="18" customHeight="1" outlineLevel="3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507.60627530364371</v>
      </c>
      <c r="H123" s="208" t="s">
        <v>114</v>
      </c>
      <c r="I123" s="209">
        <f>(175*I79)/I66</f>
        <v>508.45647773279353</v>
      </c>
      <c r="J123" s="208" t="s">
        <v>114</v>
      </c>
      <c r="K123" s="209">
        <f>(175*K79)/K66</f>
        <v>508.24392712550605</v>
      </c>
      <c r="L123" s="208" t="s">
        <v>114</v>
      </c>
      <c r="M123" s="209">
        <f>(175*M79)/M66</f>
        <v>508.95242914979758</v>
      </c>
      <c r="N123" s="208" t="s">
        <v>114</v>
      </c>
      <c r="O123" s="209">
        <f>(175*O79)/O66</f>
        <v>517.80870445344135</v>
      </c>
      <c r="P123" s="208" t="s">
        <v>114</v>
      </c>
      <c r="Q123" s="209">
        <f>(175*Q79)/Q66</f>
        <v>519.79251012145744</v>
      </c>
      <c r="R123" s="208" t="s">
        <v>114</v>
      </c>
      <c r="S123" s="209">
        <f>(175*S79)/S66</f>
        <v>530.63259109311741</v>
      </c>
      <c r="T123" s="208" t="s">
        <v>114</v>
      </c>
      <c r="U123" s="209">
        <f>(175*U79)/U66</f>
        <v>526.16902834008101</v>
      </c>
      <c r="V123" s="208" t="s">
        <v>114</v>
      </c>
      <c r="W123" s="209">
        <f>(175*W79)/W66</f>
        <v>532.68724696356276</v>
      </c>
      <c r="X123" s="208" t="s">
        <v>114</v>
      </c>
      <c r="Y123" s="209">
        <f>(175*Y79)/Y66</f>
        <v>546.18421052631584</v>
      </c>
      <c r="Z123" s="208" t="s">
        <v>114</v>
      </c>
      <c r="AA123" s="209">
        <f>(175*AA79)/AA66</f>
        <v>554.2257085020243</v>
      </c>
      <c r="AB123" s="208" t="s">
        <v>114</v>
      </c>
      <c r="AC123" s="209">
        <f>(175*AC79)/AC66</f>
        <v>553.44635627530363</v>
      </c>
      <c r="AD123" s="208" t="s">
        <v>114</v>
      </c>
      <c r="AE123" s="209">
        <f t="shared" ref="AE123" si="970">(175*AE79)/AE66</f>
        <v>543.10222672064776</v>
      </c>
      <c r="AF123" s="208" t="s">
        <v>114</v>
      </c>
      <c r="AG123" s="209">
        <f t="shared" ref="AG123" si="971">(175*AG79)/AG66</f>
        <v>534.60020242914982</v>
      </c>
      <c r="AH123" s="208" t="s">
        <v>114</v>
      </c>
      <c r="AI123" s="209">
        <f t="shared" ref="AI123" si="972">(175*AI79)/AI66</f>
        <v>541.11842105263156</v>
      </c>
      <c r="AJ123" s="208" t="s">
        <v>114</v>
      </c>
      <c r="AK123" s="209">
        <f t="shared" ref="AK123" si="973">(175*AK79)/AK66</f>
        <v>526.3107287449393</v>
      </c>
      <c r="AL123" s="208" t="s">
        <v>114</v>
      </c>
      <c r="AM123" s="209">
        <f t="shared" ref="AM123" si="974">(175*AM79)/AM66</f>
        <v>523.61842105263156</v>
      </c>
      <c r="AN123" s="208" t="s">
        <v>114</v>
      </c>
      <c r="AO123" s="209">
        <f t="shared" ref="AO123" si="975">(175*AO79)/AO66</f>
        <v>528.93218623481778</v>
      </c>
      <c r="AP123" s="208" t="s">
        <v>114</v>
      </c>
      <c r="AQ123" s="209">
        <f t="shared" ref="AQ123" si="976">(175*AQ79)/AQ66</f>
        <v>532.22672064777328</v>
      </c>
      <c r="AR123" s="208" t="s">
        <v>114</v>
      </c>
      <c r="AS123" s="209">
        <f t="shared" ref="AS123:AY123" si="977">(175*AS79)/AS66</f>
        <v>539.73684210526312</v>
      </c>
      <c r="AT123" s="208" t="s">
        <v>114</v>
      </c>
      <c r="AU123" s="209">
        <f t="shared" si="977"/>
        <v>543.24392712550605</v>
      </c>
      <c r="AV123" s="208" t="s">
        <v>114</v>
      </c>
      <c r="AW123" s="209">
        <f t="shared" si="977"/>
        <v>556.63461538461536</v>
      </c>
      <c r="AX123" s="208" t="s">
        <v>114</v>
      </c>
      <c r="AY123" s="209">
        <f t="shared" si="977"/>
        <v>564.46854440789468</v>
      </c>
      <c r="AZ123" s="208" t="s">
        <v>114</v>
      </c>
      <c r="BA123" s="209">
        <f t="shared" ref="BA123:BC123" si="978">(175*BA79)/BA66</f>
        <v>558.38815789473688</v>
      </c>
      <c r="BB123" s="208" t="s">
        <v>114</v>
      </c>
      <c r="BC123" s="209">
        <f t="shared" si="978"/>
        <v>564.2166940789474</v>
      </c>
      <c r="BD123" s="208" t="s">
        <v>114</v>
      </c>
      <c r="BE123" s="209">
        <f t="shared" ref="BE123:BG123" si="979">(175*BE79)/BE66</f>
        <v>577.99650493421052</v>
      </c>
      <c r="BF123" s="208" t="s">
        <v>114</v>
      </c>
      <c r="BG123" s="209">
        <f t="shared" si="979"/>
        <v>585.98375822368416</v>
      </c>
      <c r="BH123" s="208" t="s">
        <v>114</v>
      </c>
      <c r="BI123" s="209">
        <f t="shared" ref="BI123:BK123" si="980">(175*BI79)/BI66</f>
        <v>574.4706003289474</v>
      </c>
      <c r="BJ123" s="208" t="s">
        <v>114</v>
      </c>
      <c r="BK123" s="209">
        <f t="shared" si="980"/>
        <v>553.4590871710526</v>
      </c>
      <c r="BL123" s="208" t="s">
        <v>114</v>
      </c>
      <c r="BM123" s="209">
        <f t="shared" ref="BM123" si="981">(175*BM79)/BM66</f>
        <v>574.6504934210526</v>
      </c>
      <c r="BN123" s="208" t="s">
        <v>114</v>
      </c>
      <c r="BO123" s="209">
        <f t="shared" ref="BO123" si="982">(175*BO79)/BO66</f>
        <v>557.66858552631584</v>
      </c>
    </row>
    <row r="124" spans="1:67" ht="14.65" outlineLevel="2" thickTop="1" x14ac:dyDescent="0.45">
      <c r="A124" s="561"/>
      <c r="B124" s="1187"/>
      <c r="C124" s="161"/>
      <c r="D124" s="162"/>
      <c r="E124" s="210"/>
      <c r="F124" s="164"/>
      <c r="G124" s="165"/>
      <c r="H124" s="359"/>
      <c r="I124" s="368"/>
      <c r="J124" s="359"/>
      <c r="K124" s="368"/>
      <c r="L124" s="164"/>
      <c r="M124" s="165"/>
      <c r="N124" s="359"/>
      <c r="O124" s="368"/>
      <c r="P124" s="359"/>
      <c r="Q124" s="368"/>
      <c r="R124" s="164"/>
      <c r="S124" s="165"/>
      <c r="T124" s="359"/>
      <c r="U124" s="368"/>
      <c r="V124" s="359"/>
      <c r="W124" s="368"/>
      <c r="X124" s="164"/>
      <c r="Y124" s="165"/>
      <c r="Z124" s="359"/>
      <c r="AA124" s="368"/>
      <c r="AB124" s="359"/>
      <c r="AC124" s="368"/>
      <c r="AD124" s="359"/>
      <c r="AE124" s="368"/>
      <c r="AF124" s="359"/>
      <c r="AG124" s="368"/>
      <c r="AH124" s="359"/>
      <c r="AI124" s="368"/>
      <c r="AJ124" s="359"/>
      <c r="AK124" s="368"/>
      <c r="AL124" s="359"/>
      <c r="AM124" s="368"/>
      <c r="AN124" s="359"/>
      <c r="AO124" s="368"/>
      <c r="AP124" s="359"/>
      <c r="AQ124" s="368"/>
      <c r="AR124" s="359"/>
      <c r="AS124" s="368"/>
      <c r="AT124" s="359"/>
      <c r="AU124" s="368"/>
      <c r="AV124" s="359"/>
      <c r="AW124" s="368"/>
      <c r="AX124" s="359"/>
      <c r="AY124" s="368"/>
      <c r="AZ124" s="359"/>
      <c r="BA124" s="368"/>
      <c r="BB124" s="359"/>
      <c r="BC124" s="368"/>
      <c r="BD124" s="359"/>
      <c r="BE124" s="368"/>
      <c r="BF124" s="359"/>
      <c r="BG124" s="368"/>
      <c r="BH124" s="359"/>
      <c r="BI124" s="368"/>
      <c r="BJ124" s="359"/>
      <c r="BK124" s="368"/>
      <c r="BL124" s="359"/>
      <c r="BM124" s="368"/>
      <c r="BN124" s="359"/>
      <c r="BO124" s="368"/>
    </row>
    <row r="125" spans="1:67" ht="15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154272</v>
      </c>
      <c r="H125" s="214"/>
      <c r="I125" s="215">
        <v>154272</v>
      </c>
      <c r="J125" s="214"/>
      <c r="K125" s="215">
        <v>154272</v>
      </c>
      <c r="L125" s="214"/>
      <c r="M125" s="215">
        <v>154272</v>
      </c>
      <c r="N125" s="214"/>
      <c r="O125" s="215">
        <v>154272</v>
      </c>
      <c r="P125" s="214"/>
      <c r="Q125" s="215">
        <v>154272</v>
      </c>
      <c r="R125" s="214"/>
      <c r="S125" s="215">
        <v>154272</v>
      </c>
      <c r="T125" s="214"/>
      <c r="U125" s="215">
        <v>154272</v>
      </c>
      <c r="V125" s="214"/>
      <c r="W125" s="215">
        <v>154272</v>
      </c>
      <c r="X125" s="214"/>
      <c r="Y125" s="215">
        <v>154272</v>
      </c>
      <c r="Z125" s="214"/>
      <c r="AA125" s="215">
        <v>154272</v>
      </c>
      <c r="AB125" s="214"/>
      <c r="AC125" s="215">
        <v>154272</v>
      </c>
      <c r="AD125" s="214"/>
      <c r="AE125" s="215">
        <v>154272</v>
      </c>
      <c r="AF125" s="214"/>
      <c r="AG125" s="215">
        <v>154272</v>
      </c>
      <c r="AH125" s="214"/>
      <c r="AI125" s="215">
        <v>154272</v>
      </c>
      <c r="AJ125" s="214"/>
      <c r="AK125" s="215">
        <v>154272</v>
      </c>
      <c r="AL125" s="214"/>
      <c r="AM125" s="215">
        <v>154272</v>
      </c>
      <c r="AN125" s="214"/>
      <c r="AO125" s="215">
        <v>154272</v>
      </c>
      <c r="AP125" s="214"/>
      <c r="AQ125" s="215">
        <v>154272</v>
      </c>
      <c r="AR125" s="214"/>
      <c r="AS125" s="215">
        <v>154272</v>
      </c>
      <c r="AT125" s="214"/>
      <c r="AU125" s="215">
        <v>154272</v>
      </c>
      <c r="AV125" s="214"/>
      <c r="AW125" s="215">
        <v>154272</v>
      </c>
      <c r="AX125" s="214"/>
      <c r="AY125" s="215">
        <v>154272</v>
      </c>
      <c r="AZ125" s="214"/>
      <c r="BA125" s="215">
        <v>154272</v>
      </c>
      <c r="BB125" s="214"/>
      <c r="BC125" s="215">
        <v>154272</v>
      </c>
      <c r="BD125" s="214"/>
      <c r="BE125" s="215">
        <v>154272</v>
      </c>
      <c r="BF125" s="214"/>
      <c r="BG125" s="215">
        <v>154272</v>
      </c>
      <c r="BH125" s="214"/>
      <c r="BI125" s="215">
        <v>154272</v>
      </c>
      <c r="BJ125" s="214"/>
      <c r="BK125" s="215">
        <v>154272</v>
      </c>
      <c r="BL125" s="214"/>
      <c r="BM125" s="215">
        <v>154272</v>
      </c>
      <c r="BN125" s="214"/>
      <c r="BO125" s="215">
        <v>154272</v>
      </c>
    </row>
    <row r="126" spans="1:67" ht="15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>
        <f>I125/I10</f>
        <v>12856</v>
      </c>
      <c r="J126" s="214"/>
      <c r="K126" s="215">
        <f>K125/K10</f>
        <v>12856</v>
      </c>
      <c r="L126" s="214"/>
      <c r="M126" s="215"/>
      <c r="N126" s="214"/>
      <c r="O126" s="215">
        <f>O125/O10</f>
        <v>12856</v>
      </c>
      <c r="P126" s="214"/>
      <c r="Q126" s="215">
        <f>Q125/Q10</f>
        <v>12856</v>
      </c>
      <c r="R126" s="214"/>
      <c r="S126" s="215"/>
      <c r="T126" s="214"/>
      <c r="U126" s="215">
        <f>U125/U10</f>
        <v>12856</v>
      </c>
      <c r="V126" s="214"/>
      <c r="W126" s="215">
        <f>W125/W10</f>
        <v>12856</v>
      </c>
      <c r="X126" s="214"/>
      <c r="Y126" s="215"/>
      <c r="Z126" s="214"/>
      <c r="AA126" s="215">
        <f>AA125/AA10</f>
        <v>12856</v>
      </c>
      <c r="AB126" s="214"/>
      <c r="AC126" s="215">
        <f>AC125/AC10</f>
        <v>12856</v>
      </c>
      <c r="AD126" s="214"/>
      <c r="AE126" s="215">
        <f t="shared" ref="AE126" si="983">AE125/AE10</f>
        <v>12856</v>
      </c>
      <c r="AF126" s="214"/>
      <c r="AG126" s="215">
        <f t="shared" ref="AG126" si="984">AG125/AG10</f>
        <v>12856</v>
      </c>
      <c r="AH126" s="214"/>
      <c r="AI126" s="215">
        <f t="shared" ref="AI126" si="985">AI125/AI10</f>
        <v>12856</v>
      </c>
      <c r="AJ126" s="214"/>
      <c r="AK126" s="215">
        <f t="shared" ref="AK126" si="986">AK125/AK10</f>
        <v>12856</v>
      </c>
      <c r="AL126" s="214"/>
      <c r="AM126" s="215">
        <f t="shared" ref="AM126" si="987">AM125/AM10</f>
        <v>12856</v>
      </c>
      <c r="AN126" s="214"/>
      <c r="AO126" s="215">
        <f t="shared" ref="AO126" si="988">AO125/AO10</f>
        <v>12856</v>
      </c>
      <c r="AP126" s="214"/>
      <c r="AQ126" s="215">
        <f t="shared" ref="AQ126" si="989">AQ125/AQ10</f>
        <v>12856</v>
      </c>
      <c r="AR126" s="214"/>
      <c r="AS126" s="215">
        <f t="shared" ref="AS126:AY126" si="990">AS125/AS10</f>
        <v>12856</v>
      </c>
      <c r="AT126" s="214"/>
      <c r="AU126" s="215">
        <f t="shared" si="990"/>
        <v>12856</v>
      </c>
      <c r="AV126" s="214"/>
      <c r="AW126" s="215">
        <f t="shared" si="990"/>
        <v>12856</v>
      </c>
      <c r="AX126" s="214"/>
      <c r="AY126" s="215">
        <f t="shared" si="990"/>
        <v>12856</v>
      </c>
      <c r="AZ126" s="214"/>
      <c r="BA126" s="215">
        <f t="shared" ref="BA126:BC126" si="991">BA125/BA10</f>
        <v>12856</v>
      </c>
      <c r="BB126" s="214"/>
      <c r="BC126" s="215">
        <f t="shared" si="991"/>
        <v>12856</v>
      </c>
      <c r="BD126" s="214"/>
      <c r="BE126" s="215">
        <f t="shared" ref="BE126:BG126" si="992">BE125/BE10</f>
        <v>12856</v>
      </c>
      <c r="BF126" s="214"/>
      <c r="BG126" s="215">
        <f t="shared" si="992"/>
        <v>12856</v>
      </c>
      <c r="BH126" s="214"/>
      <c r="BI126" s="215">
        <f t="shared" ref="BI126:BK126" si="993">BI125/BI10</f>
        <v>12856</v>
      </c>
      <c r="BJ126" s="214"/>
      <c r="BK126" s="215">
        <f t="shared" si="993"/>
        <v>12856</v>
      </c>
      <c r="BL126" s="214"/>
      <c r="BM126" s="215">
        <f t="shared" ref="BM126" si="994">BM125/BM10</f>
        <v>12856</v>
      </c>
      <c r="BN126" s="214"/>
      <c r="BO126" s="215">
        <f t="shared" ref="BO126" si="995">BO125/BO10</f>
        <v>12856</v>
      </c>
    </row>
    <row r="127" spans="1:67" ht="15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>
        <f>I126/I66</f>
        <v>2.6024291497975707</v>
      </c>
      <c r="J127" s="214"/>
      <c r="K127" s="215">
        <f>K126/K66</f>
        <v>2.6024291497975707</v>
      </c>
      <c r="L127" s="214"/>
      <c r="M127" s="215"/>
      <c r="N127" s="214"/>
      <c r="O127" s="215">
        <f>O126/O66</f>
        <v>2.6024291497975707</v>
      </c>
      <c r="P127" s="214"/>
      <c r="Q127" s="215">
        <f>Q126/Q66</f>
        <v>2.6024291497975707</v>
      </c>
      <c r="R127" s="214"/>
      <c r="S127" s="215"/>
      <c r="T127" s="214"/>
      <c r="U127" s="215">
        <f>U126/U66</f>
        <v>2.6024291497975707</v>
      </c>
      <c r="V127" s="214"/>
      <c r="W127" s="215">
        <f>W126/W66</f>
        <v>2.6024291497975707</v>
      </c>
      <c r="X127" s="214"/>
      <c r="Y127" s="215"/>
      <c r="Z127" s="214"/>
      <c r="AA127" s="215">
        <f>AA126/AA66</f>
        <v>2.6024291497975707</v>
      </c>
      <c r="AB127" s="214"/>
      <c r="AC127" s="215">
        <f>AC126/AC66</f>
        <v>2.6024291497975707</v>
      </c>
      <c r="AD127" s="214"/>
      <c r="AE127" s="215">
        <f t="shared" ref="AE127" si="996">AE126/AE66</f>
        <v>2.6024291497975707</v>
      </c>
      <c r="AF127" s="214"/>
      <c r="AG127" s="215">
        <f t="shared" ref="AG127" si="997">AG126/AG66</f>
        <v>2.6024291497975707</v>
      </c>
      <c r="AH127" s="214"/>
      <c r="AI127" s="215">
        <f t="shared" ref="AI127" si="998">AI126/AI66</f>
        <v>2.6024291497975707</v>
      </c>
      <c r="AJ127" s="214"/>
      <c r="AK127" s="215">
        <f t="shared" ref="AK127" si="999">AK126/AK66</f>
        <v>2.6024291497975707</v>
      </c>
      <c r="AL127" s="214"/>
      <c r="AM127" s="215">
        <f t="shared" ref="AM127" si="1000">AM126/AM66</f>
        <v>2.6024291497975707</v>
      </c>
      <c r="AN127" s="214"/>
      <c r="AO127" s="215">
        <f t="shared" ref="AO127" si="1001">AO126/AO66</f>
        <v>2.6024291497975707</v>
      </c>
      <c r="AP127" s="214"/>
      <c r="AQ127" s="215">
        <f t="shared" ref="AQ127" si="1002">AQ126/AQ66</f>
        <v>2.6024291497975707</v>
      </c>
      <c r="AR127" s="214"/>
      <c r="AS127" s="215">
        <f t="shared" ref="AS127:AY127" si="1003">AS126/AS66</f>
        <v>2.6024291497975707</v>
      </c>
      <c r="AT127" s="214"/>
      <c r="AU127" s="215">
        <f t="shared" si="1003"/>
        <v>2.6024291497975707</v>
      </c>
      <c r="AV127" s="214"/>
      <c r="AW127" s="215">
        <f t="shared" si="1003"/>
        <v>2.6024291497975707</v>
      </c>
      <c r="AX127" s="214"/>
      <c r="AY127" s="215">
        <f t="shared" si="1003"/>
        <v>2.643092105263158</v>
      </c>
      <c r="AZ127" s="214"/>
      <c r="BA127" s="215">
        <f t="shared" ref="BA127:BC127" si="1004">BA126/BA66</f>
        <v>2.643092105263158</v>
      </c>
      <c r="BB127" s="214"/>
      <c r="BC127" s="215">
        <f t="shared" si="1004"/>
        <v>2.643092105263158</v>
      </c>
      <c r="BD127" s="214"/>
      <c r="BE127" s="215">
        <f t="shared" ref="BE127:BG127" si="1005">BE126/BE66</f>
        <v>2.643092105263158</v>
      </c>
      <c r="BF127" s="214"/>
      <c r="BG127" s="215">
        <f t="shared" si="1005"/>
        <v>2.643092105263158</v>
      </c>
      <c r="BH127" s="214"/>
      <c r="BI127" s="215">
        <f t="shared" ref="BI127:BK127" si="1006">BI126/BI66</f>
        <v>2.643092105263158</v>
      </c>
      <c r="BJ127" s="214"/>
      <c r="BK127" s="215">
        <f t="shared" si="1006"/>
        <v>2.643092105263158</v>
      </c>
      <c r="BL127" s="214"/>
      <c r="BM127" s="215">
        <f t="shared" ref="BM127" si="1007">BM126/BM66</f>
        <v>2.643092105263158</v>
      </c>
      <c r="BN127" s="214"/>
      <c r="BO127" s="215">
        <f t="shared" ref="BO127" si="1008">BO126/BO66</f>
        <v>2.643092105263158</v>
      </c>
    </row>
    <row r="128" spans="1:67" ht="15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192132</v>
      </c>
      <c r="H128" s="219"/>
      <c r="I128" s="220">
        <v>192132</v>
      </c>
      <c r="J128" s="219"/>
      <c r="K128" s="220">
        <v>192132</v>
      </c>
      <c r="L128" s="219"/>
      <c r="M128" s="220">
        <v>192132</v>
      </c>
      <c r="N128" s="219"/>
      <c r="O128" s="220">
        <v>192132</v>
      </c>
      <c r="P128" s="219"/>
      <c r="Q128" s="220">
        <v>192132</v>
      </c>
      <c r="R128" s="219"/>
      <c r="S128" s="220">
        <v>192132</v>
      </c>
      <c r="T128" s="219"/>
      <c r="U128" s="220">
        <v>192132</v>
      </c>
      <c r="V128" s="219"/>
      <c r="W128" s="220">
        <v>192132</v>
      </c>
      <c r="X128" s="219"/>
      <c r="Y128" s="220">
        <v>192132</v>
      </c>
      <c r="Z128" s="219"/>
      <c r="AA128" s="220">
        <v>192132</v>
      </c>
      <c r="AB128" s="219"/>
      <c r="AC128" s="220">
        <v>192132</v>
      </c>
      <c r="AD128" s="219"/>
      <c r="AE128" s="220">
        <v>192132</v>
      </c>
      <c r="AF128" s="219"/>
      <c r="AG128" s="220">
        <v>192132</v>
      </c>
      <c r="AH128" s="219"/>
      <c r="AI128" s="220">
        <v>192132</v>
      </c>
      <c r="AJ128" s="219"/>
      <c r="AK128" s="220">
        <v>192132</v>
      </c>
      <c r="AL128" s="219"/>
      <c r="AM128" s="220">
        <v>192132</v>
      </c>
      <c r="AN128" s="219"/>
      <c r="AO128" s="220">
        <v>192132</v>
      </c>
      <c r="AP128" s="219"/>
      <c r="AQ128" s="220">
        <v>192132</v>
      </c>
      <c r="AR128" s="219"/>
      <c r="AS128" s="220">
        <v>192132</v>
      </c>
      <c r="AT128" s="219"/>
      <c r="AU128" s="220">
        <v>192132</v>
      </c>
      <c r="AV128" s="219"/>
      <c r="AW128" s="220">
        <v>192132</v>
      </c>
      <c r="AX128" s="219"/>
      <c r="AY128" s="220">
        <v>192132</v>
      </c>
      <c r="AZ128" s="219"/>
      <c r="BA128" s="220">
        <v>192132</v>
      </c>
      <c r="BB128" s="219"/>
      <c r="BC128" s="220">
        <v>192132</v>
      </c>
      <c r="BD128" s="219"/>
      <c r="BE128" s="220">
        <v>192132</v>
      </c>
      <c r="BF128" s="219"/>
      <c r="BG128" s="220">
        <v>192132</v>
      </c>
      <c r="BH128" s="219"/>
      <c r="BI128" s="220">
        <v>192132</v>
      </c>
      <c r="BJ128" s="219"/>
      <c r="BK128" s="220">
        <v>192132</v>
      </c>
      <c r="BL128" s="219"/>
      <c r="BM128" s="220">
        <v>192132</v>
      </c>
      <c r="BN128" s="219"/>
      <c r="BO128" s="220">
        <v>192132</v>
      </c>
    </row>
    <row r="129" spans="1:67" ht="15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16011</v>
      </c>
      <c r="H129" s="219"/>
      <c r="I129" s="221">
        <f>I128/I10</f>
        <v>16011</v>
      </c>
      <c r="J129" s="219"/>
      <c r="K129" s="221">
        <f>K128/K10</f>
        <v>16011</v>
      </c>
      <c r="L129" s="219"/>
      <c r="M129" s="221">
        <f>M128/M10</f>
        <v>16011</v>
      </c>
      <c r="N129" s="219"/>
      <c r="O129" s="221">
        <f>O128/O10</f>
        <v>16011</v>
      </c>
      <c r="P129" s="219"/>
      <c r="Q129" s="221">
        <f>Q128/Q10</f>
        <v>16011</v>
      </c>
      <c r="R129" s="219"/>
      <c r="S129" s="221">
        <f>S128/S10</f>
        <v>16011</v>
      </c>
      <c r="T129" s="219"/>
      <c r="U129" s="221">
        <f>U128/U10</f>
        <v>16011</v>
      </c>
      <c r="V129" s="219"/>
      <c r="W129" s="221">
        <f>W128/W10</f>
        <v>16011</v>
      </c>
      <c r="X129" s="219"/>
      <c r="Y129" s="221">
        <f>Y128/Y10</f>
        <v>16011</v>
      </c>
      <c r="Z129" s="219"/>
      <c r="AA129" s="221">
        <f>AA128/AA10</f>
        <v>16011</v>
      </c>
      <c r="AB129" s="219"/>
      <c r="AC129" s="221">
        <f>AC128/AC10</f>
        <v>16011</v>
      </c>
      <c r="AD129" s="219"/>
      <c r="AE129" s="221">
        <f t="shared" ref="AE129" si="1009">AE128/AE10</f>
        <v>16011</v>
      </c>
      <c r="AF129" s="219"/>
      <c r="AG129" s="221">
        <f t="shared" ref="AG129" si="1010">AG128/AG10</f>
        <v>16011</v>
      </c>
      <c r="AH129" s="219"/>
      <c r="AI129" s="221">
        <f t="shared" ref="AI129" si="1011">AI128/AI10</f>
        <v>16011</v>
      </c>
      <c r="AJ129" s="219"/>
      <c r="AK129" s="221">
        <f t="shared" ref="AK129" si="1012">AK128/AK10</f>
        <v>16011</v>
      </c>
      <c r="AL129" s="219"/>
      <c r="AM129" s="221">
        <f t="shared" ref="AM129" si="1013">AM128/AM10</f>
        <v>16011</v>
      </c>
      <c r="AN129" s="219"/>
      <c r="AO129" s="221">
        <f t="shared" ref="AO129" si="1014">AO128/AO10</f>
        <v>16011</v>
      </c>
      <c r="AP129" s="219"/>
      <c r="AQ129" s="221">
        <f t="shared" ref="AQ129" si="1015">AQ128/AQ10</f>
        <v>16011</v>
      </c>
      <c r="AR129" s="219"/>
      <c r="AS129" s="221">
        <f t="shared" ref="AS129:AY129" si="1016">AS128/AS10</f>
        <v>16011</v>
      </c>
      <c r="AT129" s="219"/>
      <c r="AU129" s="221">
        <f t="shared" si="1016"/>
        <v>16011</v>
      </c>
      <c r="AV129" s="219"/>
      <c r="AW129" s="221">
        <f t="shared" si="1016"/>
        <v>16011</v>
      </c>
      <c r="AX129" s="219"/>
      <c r="AY129" s="221">
        <f t="shared" si="1016"/>
        <v>16011</v>
      </c>
      <c r="AZ129" s="219"/>
      <c r="BA129" s="221">
        <f t="shared" ref="BA129:BC129" si="1017">BA128/BA10</f>
        <v>16011</v>
      </c>
      <c r="BB129" s="219"/>
      <c r="BC129" s="221">
        <f t="shared" si="1017"/>
        <v>16011</v>
      </c>
      <c r="BD129" s="219"/>
      <c r="BE129" s="221">
        <f t="shared" ref="BE129:BG129" si="1018">BE128/BE10</f>
        <v>16011</v>
      </c>
      <c r="BF129" s="219"/>
      <c r="BG129" s="221">
        <f t="shared" si="1018"/>
        <v>16011</v>
      </c>
      <c r="BH129" s="219"/>
      <c r="BI129" s="221">
        <f t="shared" ref="BI129:BK129" si="1019">BI128/BI10</f>
        <v>16011</v>
      </c>
      <c r="BJ129" s="219"/>
      <c r="BK129" s="221">
        <f t="shared" si="1019"/>
        <v>16011</v>
      </c>
      <c r="BL129" s="219"/>
      <c r="BM129" s="221">
        <f t="shared" ref="BM129" si="1020">BM128/BM10</f>
        <v>16011</v>
      </c>
      <c r="BN129" s="219"/>
      <c r="BO129" s="221">
        <f t="shared" ref="BO129" si="1021">BO128/BO10</f>
        <v>16011</v>
      </c>
    </row>
    <row r="130" spans="1:67" ht="15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3.2410931174089068</v>
      </c>
      <c r="H130" s="222"/>
      <c r="I130" s="220">
        <f>I129/I66</f>
        <v>3.2410931174089068</v>
      </c>
      <c r="J130" s="222"/>
      <c r="K130" s="220">
        <f>K129/K66</f>
        <v>3.2410931174089068</v>
      </c>
      <c r="L130" s="222"/>
      <c r="M130" s="220">
        <f>M129/M66</f>
        <v>3.2410931174089068</v>
      </c>
      <c r="N130" s="222"/>
      <c r="O130" s="220">
        <f>O129/O66</f>
        <v>3.2410931174089068</v>
      </c>
      <c r="P130" s="222"/>
      <c r="Q130" s="220">
        <f>Q129/Q66</f>
        <v>3.2410931174089068</v>
      </c>
      <c r="R130" s="222"/>
      <c r="S130" s="220">
        <f>S129/S66</f>
        <v>3.2410931174089068</v>
      </c>
      <c r="T130" s="222"/>
      <c r="U130" s="220">
        <f>U129/U66</f>
        <v>3.2410931174089068</v>
      </c>
      <c r="V130" s="222"/>
      <c r="W130" s="220">
        <f>W129/W66</f>
        <v>3.2410931174089068</v>
      </c>
      <c r="X130" s="222"/>
      <c r="Y130" s="220">
        <f>Y129/Y66</f>
        <v>3.2410931174089068</v>
      </c>
      <c r="Z130" s="222"/>
      <c r="AA130" s="220">
        <f>AA129/AA66</f>
        <v>3.2410931174089068</v>
      </c>
      <c r="AB130" s="222"/>
      <c r="AC130" s="220">
        <f>AC129/AC66</f>
        <v>3.2410931174089068</v>
      </c>
      <c r="AD130" s="222"/>
      <c r="AE130" s="220">
        <f t="shared" ref="AE130" si="1022">AE129/AE66</f>
        <v>3.2410931174089068</v>
      </c>
      <c r="AF130" s="222"/>
      <c r="AG130" s="220">
        <f t="shared" ref="AG130" si="1023">AG129/AG66</f>
        <v>3.2410931174089068</v>
      </c>
      <c r="AH130" s="222"/>
      <c r="AI130" s="220">
        <f t="shared" ref="AI130" si="1024">AI129/AI66</f>
        <v>3.2410931174089068</v>
      </c>
      <c r="AJ130" s="222"/>
      <c r="AK130" s="220">
        <f t="shared" ref="AK130" si="1025">AK129/AK66</f>
        <v>3.2410931174089068</v>
      </c>
      <c r="AL130" s="222"/>
      <c r="AM130" s="220">
        <f t="shared" ref="AM130" si="1026">AM129/AM66</f>
        <v>3.2410931174089068</v>
      </c>
      <c r="AN130" s="222"/>
      <c r="AO130" s="220">
        <f t="shared" ref="AO130" si="1027">AO129/AO66</f>
        <v>3.2410931174089068</v>
      </c>
      <c r="AP130" s="222"/>
      <c r="AQ130" s="220">
        <f t="shared" ref="AQ130" si="1028">AQ129/AQ66</f>
        <v>3.2410931174089068</v>
      </c>
      <c r="AR130" s="222"/>
      <c r="AS130" s="220">
        <f t="shared" ref="AS130:AY130" si="1029">AS129/AS66</f>
        <v>3.2410931174089068</v>
      </c>
      <c r="AT130" s="222"/>
      <c r="AU130" s="220">
        <f t="shared" si="1029"/>
        <v>3.2410931174089068</v>
      </c>
      <c r="AV130" s="222"/>
      <c r="AW130" s="220">
        <f t="shared" si="1029"/>
        <v>3.2410931174089068</v>
      </c>
      <c r="AX130" s="222"/>
      <c r="AY130" s="220">
        <f t="shared" si="1029"/>
        <v>3.2917351973684212</v>
      </c>
      <c r="AZ130" s="222"/>
      <c r="BA130" s="220">
        <f t="shared" ref="BA130:BC130" si="1030">BA129/BA66</f>
        <v>3.2917351973684212</v>
      </c>
      <c r="BB130" s="222"/>
      <c r="BC130" s="220">
        <f t="shared" si="1030"/>
        <v>3.2917351973684212</v>
      </c>
      <c r="BD130" s="222"/>
      <c r="BE130" s="220">
        <f t="shared" ref="BE130:BG130" si="1031">BE129/BE66</f>
        <v>3.2917351973684212</v>
      </c>
      <c r="BF130" s="222"/>
      <c r="BG130" s="220">
        <f t="shared" si="1031"/>
        <v>3.2917351973684212</v>
      </c>
      <c r="BH130" s="222"/>
      <c r="BI130" s="220">
        <f t="shared" ref="BI130:BK130" si="1032">BI129/BI66</f>
        <v>3.2917351973684212</v>
      </c>
      <c r="BJ130" s="222"/>
      <c r="BK130" s="220">
        <f t="shared" si="1032"/>
        <v>3.2917351973684212</v>
      </c>
      <c r="BL130" s="222"/>
      <c r="BM130" s="220">
        <f t="shared" ref="BM130" si="1033">BM129/BM66</f>
        <v>3.2917351973684212</v>
      </c>
      <c r="BN130" s="222"/>
      <c r="BO130" s="220">
        <f t="shared" ref="BO130" si="1034">BO129/BO66</f>
        <v>3.2917351973684212</v>
      </c>
    </row>
    <row r="131" spans="1:67" ht="15" customHeight="1" outlineLevel="3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>
        <f>INDEX(Table5[#All],MATCH(F$4,Table5[[#All],[SKU]],0),MATCH(LEFT(F$3,3),Table5[#Headers],0))</f>
        <v>0</v>
      </c>
      <c r="H131" s="585"/>
      <c r="I131" s="586">
        <f>INDEX(Table5[#All],MATCH(H$4,Table5[[#All],[SKU]],0),MATCH(LEFT(H$3,3),Table5[#Headers],0))</f>
        <v>13668</v>
      </c>
      <c r="J131" s="585"/>
      <c r="K131" s="586">
        <f>INDEX(Table5[#All],MATCH(J$4,Table5[[#All],[SKU]],0),MATCH(LEFT(J$3,3),Table5[#Headers],0))</f>
        <v>24900</v>
      </c>
      <c r="L131" s="585"/>
      <c r="M131" s="586">
        <f>INDEX(Table5[#All],MATCH(L$4,Table5[[#All],[SKU]],0),MATCH(LEFT(L$3,3),Table5[#Headers],0))</f>
        <v>18840</v>
      </c>
      <c r="N131" s="585"/>
      <c r="O131" s="586">
        <f>INDEX(Table5[#All],MATCH(N$4,Table5[[#All],[SKU]],0),MATCH(LEFT(N$3,3),Table5[#Headers],0))</f>
        <v>9144</v>
      </c>
      <c r="P131" s="585"/>
      <c r="Q131" s="586">
        <f>INDEX(Table5[#All],MATCH(P$4,Table5[[#All],[SKU]],0),MATCH(LEFT(P$3,3),Table5[#Headers],0))</f>
        <v>0</v>
      </c>
      <c r="R131" s="585"/>
      <c r="S131" s="586">
        <f>INDEX(Table5[#All],MATCH(R$4,Table5[[#All],[SKU]],0),MATCH(LEFT(R$3,3),Table5[#Headers],0))</f>
        <v>32592</v>
      </c>
      <c r="T131" s="585"/>
      <c r="U131" s="586">
        <f>INDEX(Table5[#All],MATCH(T$4,Table5[[#All],[SKU]],0),MATCH(LEFT(T$3,3),Table5[#Headers],0))</f>
        <v>0</v>
      </c>
      <c r="V131" s="585"/>
      <c r="W131" s="586">
        <f>INDEX(Table5[#All],MATCH(V$4,Table5[[#All],[SKU]],0),MATCH(LEFT(V$3,3),Table5[#Headers],0))</f>
        <v>29688</v>
      </c>
      <c r="X131" s="585"/>
      <c r="Y131" s="586">
        <f>INDEX(Table5[#All],MATCH(X$4,Table5[[#All],[SKU]],0),MATCH(LEFT(X$3,3),Table5[#Headers],0))</f>
        <v>0</v>
      </c>
      <c r="Z131" s="585"/>
      <c r="AA131" s="586">
        <f>INDEX(Table5[#All],MATCH(Z$4,Table5[[#All],[SKU]],0),MATCH(LEFT(Z$3,3),Table5[#Headers],0))</f>
        <v>44064</v>
      </c>
      <c r="AB131" s="585"/>
      <c r="AC131" s="586">
        <f>INDEX(Table5[#All],MATCH(AB$4,Table5[[#All],[SKU]],0),MATCH(LEFT(AB$3,3),Table5[#Headers],0))</f>
        <v>58368</v>
      </c>
      <c r="AD131" s="585"/>
      <c r="AE131" s="586">
        <f>'Sales Volume'!P8</f>
        <v>167064</v>
      </c>
      <c r="AF131" s="585"/>
      <c r="AG131" s="586">
        <f>'Sales Volume'!Q8</f>
        <v>110580</v>
      </c>
      <c r="AH131" s="585"/>
      <c r="AI131" s="586">
        <f>'Sales Volume'!R8</f>
        <v>0</v>
      </c>
      <c r="AJ131" s="585"/>
      <c r="AK131" s="586">
        <f>'Sales Volume'!S8</f>
        <v>53136</v>
      </c>
      <c r="AL131" s="585"/>
      <c r="AM131" s="586">
        <f>'Sales Volume'!T8</f>
        <v>0</v>
      </c>
      <c r="AN131" s="585"/>
      <c r="AO131" s="586">
        <f>'Sales Volume'!U8</f>
        <v>60312</v>
      </c>
      <c r="AP131" s="585"/>
      <c r="AQ131" s="586">
        <f>'Sales Volume'!V8</f>
        <v>0</v>
      </c>
      <c r="AR131" s="585"/>
      <c r="AS131" s="586">
        <f>'Sales Volume'!W8</f>
        <v>0</v>
      </c>
      <c r="AT131" s="585"/>
      <c r="AU131" s="586">
        <f>'Sales Volume'!X8</f>
        <v>117252</v>
      </c>
      <c r="AV131" s="585"/>
      <c r="AW131" s="586">
        <f>'Sales Volume'!Y8</f>
        <v>59640</v>
      </c>
      <c r="AX131" s="585"/>
      <c r="AY131" s="586">
        <v>0</v>
      </c>
      <c r="AZ131" s="585"/>
      <c r="BA131" s="586">
        <v>0</v>
      </c>
      <c r="BB131" s="585"/>
      <c r="BC131" s="586">
        <v>0</v>
      </c>
      <c r="BD131" s="585"/>
      <c r="BE131" s="586">
        <v>0</v>
      </c>
      <c r="BF131" s="585"/>
      <c r="BG131" s="586">
        <v>0</v>
      </c>
      <c r="BH131" s="585"/>
      <c r="BI131" s="586">
        <v>0</v>
      </c>
      <c r="BJ131" s="585"/>
      <c r="BK131" s="586">
        <v>0</v>
      </c>
      <c r="BL131" s="585"/>
      <c r="BM131" s="586">
        <v>0</v>
      </c>
      <c r="BN131" s="585"/>
      <c r="BO131" s="586">
        <v>0</v>
      </c>
    </row>
    <row r="132" spans="1:67" ht="15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0</v>
      </c>
      <c r="H132" s="585"/>
      <c r="I132" s="586">
        <f>I131/I10</f>
        <v>1139</v>
      </c>
      <c r="J132" s="585"/>
      <c r="K132" s="586">
        <f>K131/K10</f>
        <v>2075</v>
      </c>
      <c r="L132" s="585"/>
      <c r="M132" s="586">
        <f>M131/M10</f>
        <v>1570</v>
      </c>
      <c r="N132" s="585"/>
      <c r="O132" s="586">
        <f>O131/O10</f>
        <v>762</v>
      </c>
      <c r="P132" s="585"/>
      <c r="Q132" s="586">
        <f>Q131/Q10</f>
        <v>0</v>
      </c>
      <c r="R132" s="585"/>
      <c r="S132" s="586">
        <f>S131/S10</f>
        <v>2716</v>
      </c>
      <c r="T132" s="585"/>
      <c r="U132" s="586">
        <f>U131/U10</f>
        <v>0</v>
      </c>
      <c r="V132" s="585"/>
      <c r="W132" s="586">
        <f>W131/W10</f>
        <v>2474</v>
      </c>
      <c r="X132" s="585"/>
      <c r="Y132" s="586">
        <f>Y131/Y10</f>
        <v>0</v>
      </c>
      <c r="Z132" s="585"/>
      <c r="AA132" s="586">
        <f>AA131/AA10</f>
        <v>3672</v>
      </c>
      <c r="AB132" s="585"/>
      <c r="AC132" s="586">
        <f>AC131/AC10</f>
        <v>4864</v>
      </c>
      <c r="AD132" s="585"/>
      <c r="AE132" s="586">
        <f t="shared" ref="AE132" si="1035">AE131/AE10</f>
        <v>13922</v>
      </c>
      <c r="AF132" s="585"/>
      <c r="AG132" s="586">
        <f t="shared" ref="AG132" si="1036">AG131/AG10</f>
        <v>9215</v>
      </c>
      <c r="AH132" s="585"/>
      <c r="AI132" s="586">
        <f t="shared" ref="AI132" si="1037">AI131/AI10</f>
        <v>0</v>
      </c>
      <c r="AJ132" s="585"/>
      <c r="AK132" s="586">
        <f t="shared" ref="AK132" si="1038">AK131/AK10</f>
        <v>4428</v>
      </c>
      <c r="AL132" s="585"/>
      <c r="AM132" s="586">
        <f t="shared" ref="AM132" si="1039">AM131/AM10</f>
        <v>0</v>
      </c>
      <c r="AN132" s="585"/>
      <c r="AO132" s="586">
        <f t="shared" ref="AO132" si="1040">AO131/AO10</f>
        <v>5026</v>
      </c>
      <c r="AP132" s="585"/>
      <c r="AQ132" s="586">
        <f t="shared" ref="AQ132" si="1041">AQ131/AQ10</f>
        <v>0</v>
      </c>
      <c r="AR132" s="585"/>
      <c r="AS132" s="586">
        <f t="shared" ref="AS132:AY132" si="1042">AS131/AS10</f>
        <v>0</v>
      </c>
      <c r="AT132" s="585"/>
      <c r="AU132" s="586">
        <f t="shared" si="1042"/>
        <v>9771</v>
      </c>
      <c r="AV132" s="585"/>
      <c r="AW132" s="586">
        <f t="shared" si="1042"/>
        <v>4970</v>
      </c>
      <c r="AX132" s="585"/>
      <c r="AY132" s="586">
        <f t="shared" si="1042"/>
        <v>0</v>
      </c>
      <c r="AZ132" s="585"/>
      <c r="BA132" s="586">
        <f t="shared" ref="BA132:BC132" si="1043">BA131/BA10</f>
        <v>0</v>
      </c>
      <c r="BB132" s="585"/>
      <c r="BC132" s="586">
        <f t="shared" si="1043"/>
        <v>0</v>
      </c>
      <c r="BD132" s="585"/>
      <c r="BE132" s="586">
        <f t="shared" ref="BE132:BG132" si="1044">BE131/BE10</f>
        <v>0</v>
      </c>
      <c r="BF132" s="585"/>
      <c r="BG132" s="586">
        <f t="shared" si="1044"/>
        <v>0</v>
      </c>
      <c r="BH132" s="585"/>
      <c r="BI132" s="586">
        <f t="shared" ref="BI132:BK132" si="1045">BI131/BI10</f>
        <v>0</v>
      </c>
      <c r="BJ132" s="585"/>
      <c r="BK132" s="586">
        <f t="shared" si="1045"/>
        <v>0</v>
      </c>
      <c r="BL132" s="585"/>
      <c r="BM132" s="586">
        <f t="shared" ref="BM132" si="1046">BM131/BM10</f>
        <v>0</v>
      </c>
      <c r="BN132" s="585"/>
      <c r="BO132" s="586">
        <f t="shared" ref="BO132" si="1047">BO131/BO10</f>
        <v>0</v>
      </c>
    </row>
    <row r="133" spans="1:67" ht="15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0</v>
      </c>
      <c r="H133" s="585"/>
      <c r="I133" s="586">
        <f>I132/I66</f>
        <v>0.23056680161943319</v>
      </c>
      <c r="J133" s="585"/>
      <c r="K133" s="586">
        <f>K132/K66</f>
        <v>0.42004048582995951</v>
      </c>
      <c r="L133" s="585"/>
      <c r="M133" s="586">
        <f>M132/M66</f>
        <v>0.31781376518218624</v>
      </c>
      <c r="N133" s="585"/>
      <c r="O133" s="586">
        <f>O132/O66</f>
        <v>0.15425101214574899</v>
      </c>
      <c r="P133" s="585"/>
      <c r="Q133" s="586">
        <f>Q132/Q66</f>
        <v>0</v>
      </c>
      <c r="R133" s="585"/>
      <c r="S133" s="586">
        <f>S132/S66</f>
        <v>0.54979757085020242</v>
      </c>
      <c r="T133" s="585"/>
      <c r="U133" s="586">
        <f>U132/U66</f>
        <v>0</v>
      </c>
      <c r="V133" s="585"/>
      <c r="W133" s="586">
        <f>W132/W66</f>
        <v>0.50080971659919027</v>
      </c>
      <c r="X133" s="585"/>
      <c r="Y133" s="586">
        <f>Y132/Y66</f>
        <v>0</v>
      </c>
      <c r="Z133" s="585"/>
      <c r="AA133" s="586">
        <f>AA132/AA66</f>
        <v>0.74331983805668012</v>
      </c>
      <c r="AB133" s="585"/>
      <c r="AC133" s="586">
        <f>AC132/AC66</f>
        <v>0.98461538461538467</v>
      </c>
      <c r="AD133" s="585"/>
      <c r="AE133" s="586">
        <f t="shared" ref="AE133" si="1048">AE132/AE66</f>
        <v>2.8182186234817812</v>
      </c>
      <c r="AF133" s="585"/>
      <c r="AG133" s="586">
        <f t="shared" ref="AG133" si="1049">AG132/AG66</f>
        <v>1.8653846153846154</v>
      </c>
      <c r="AH133" s="585"/>
      <c r="AI133" s="586">
        <f t="shared" ref="AI133" si="1050">AI132/AI66</f>
        <v>0</v>
      </c>
      <c r="AJ133" s="585"/>
      <c r="AK133" s="586">
        <f t="shared" ref="AK133" si="1051">AK132/AK66</f>
        <v>0.8963562753036437</v>
      </c>
      <c r="AL133" s="585"/>
      <c r="AM133" s="586">
        <f t="shared" ref="AM133" si="1052">AM132/AM66</f>
        <v>0</v>
      </c>
      <c r="AN133" s="585"/>
      <c r="AO133" s="586">
        <f t="shared" ref="AO133" si="1053">AO132/AO66</f>
        <v>1.0174089068825911</v>
      </c>
      <c r="AP133" s="585"/>
      <c r="AQ133" s="586">
        <f t="shared" ref="AQ133" si="1054">AQ132/AQ66</f>
        <v>0</v>
      </c>
      <c r="AR133" s="585"/>
      <c r="AS133" s="586">
        <f t="shared" ref="AS133:AY133" si="1055">AS132/AS66</f>
        <v>0</v>
      </c>
      <c r="AT133" s="585"/>
      <c r="AU133" s="586">
        <f t="shared" si="1055"/>
        <v>1.9779352226720648</v>
      </c>
      <c r="AV133" s="585"/>
      <c r="AW133" s="586">
        <f t="shared" si="1055"/>
        <v>1.0060728744939271</v>
      </c>
      <c r="AX133" s="585"/>
      <c r="AY133" s="586">
        <f t="shared" si="1055"/>
        <v>0</v>
      </c>
      <c r="AZ133" s="585"/>
      <c r="BA133" s="586">
        <f t="shared" ref="BA133:BC133" si="1056">BA132/BA66</f>
        <v>0</v>
      </c>
      <c r="BB133" s="585"/>
      <c r="BC133" s="586">
        <f t="shared" si="1056"/>
        <v>0</v>
      </c>
      <c r="BD133" s="585"/>
      <c r="BE133" s="586">
        <f t="shared" ref="BE133:BG133" si="1057">BE132/BE66</f>
        <v>0</v>
      </c>
      <c r="BF133" s="585"/>
      <c r="BG133" s="586">
        <f t="shared" si="1057"/>
        <v>0</v>
      </c>
      <c r="BH133" s="585"/>
      <c r="BI133" s="586">
        <f t="shared" ref="BI133:BK133" si="1058">BI132/BI66</f>
        <v>0</v>
      </c>
      <c r="BJ133" s="585"/>
      <c r="BK133" s="586">
        <f t="shared" si="1058"/>
        <v>0</v>
      </c>
      <c r="BL133" s="585"/>
      <c r="BM133" s="586">
        <f t="shared" ref="BM133" si="1059">BM132/BM66</f>
        <v>0</v>
      </c>
      <c r="BN133" s="585"/>
      <c r="BO133" s="586">
        <f t="shared" ref="BO133" si="1060">BO132/BO66</f>
        <v>0</v>
      </c>
    </row>
    <row r="134" spans="1:67" outlineLevel="2" x14ac:dyDescent="0.45">
      <c r="A134" s="561"/>
      <c r="B134" s="1187"/>
      <c r="C134" s="223"/>
      <c r="D134" s="175"/>
      <c r="E134" s="176"/>
      <c r="F134" s="177"/>
      <c r="G134" s="178"/>
      <c r="H134" s="375"/>
      <c r="I134" s="376"/>
      <c r="J134" s="375"/>
      <c r="K134" s="376"/>
      <c r="L134" s="177"/>
      <c r="M134" s="178"/>
      <c r="N134" s="375"/>
      <c r="O134" s="376"/>
      <c r="P134" s="375"/>
      <c r="Q134" s="376"/>
      <c r="R134" s="177"/>
      <c r="S134" s="178"/>
      <c r="T134" s="375"/>
      <c r="U134" s="376"/>
      <c r="V134" s="375"/>
      <c r="W134" s="376"/>
      <c r="X134" s="177"/>
      <c r="Y134" s="178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</row>
    <row r="135" spans="1:67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380"/>
      <c r="I135" s="384">
        <f>I64</f>
        <v>1200</v>
      </c>
      <c r="J135" s="380"/>
      <c r="K135" s="384">
        <f>K64</f>
        <v>1200</v>
      </c>
      <c r="L135" s="180"/>
      <c r="M135" s="384">
        <f>M64</f>
        <v>1200</v>
      </c>
      <c r="N135" s="380"/>
      <c r="O135" s="384">
        <f>O64</f>
        <v>1200</v>
      </c>
      <c r="P135" s="380"/>
      <c r="Q135" s="384">
        <f>Q64</f>
        <v>1200</v>
      </c>
      <c r="R135" s="180"/>
      <c r="S135" s="384">
        <f>S64</f>
        <v>1200</v>
      </c>
      <c r="T135" s="380"/>
      <c r="U135" s="384">
        <f>U64</f>
        <v>1200</v>
      </c>
      <c r="V135" s="380"/>
      <c r="W135" s="384">
        <f>W64</f>
        <v>1200</v>
      </c>
      <c r="X135" s="180"/>
      <c r="Y135" s="384">
        <f>Y64</f>
        <v>1200</v>
      </c>
      <c r="Z135" s="380"/>
      <c r="AA135" s="384">
        <f>AA64</f>
        <v>1200</v>
      </c>
      <c r="AB135" s="380"/>
      <c r="AC135" s="384">
        <f>AC64</f>
        <v>1200</v>
      </c>
      <c r="AD135" s="380"/>
      <c r="AE135" s="384">
        <f t="shared" ref="AE135" si="1061">AE64</f>
        <v>1200</v>
      </c>
      <c r="AF135" s="380"/>
      <c r="AG135" s="384">
        <f t="shared" ref="AG135" si="1062">AG64</f>
        <v>1200</v>
      </c>
      <c r="AH135" s="380"/>
      <c r="AI135" s="384">
        <f t="shared" ref="AI135" si="1063">AI64</f>
        <v>1200</v>
      </c>
      <c r="AJ135" s="380"/>
      <c r="AK135" s="384">
        <f t="shared" ref="AK135" si="1064">AK64</f>
        <v>1200</v>
      </c>
      <c r="AL135" s="380"/>
      <c r="AM135" s="384">
        <f t="shared" ref="AM135" si="1065">AM64</f>
        <v>1200</v>
      </c>
      <c r="AN135" s="380"/>
      <c r="AO135" s="384">
        <f t="shared" ref="AO135" si="1066">AO64</f>
        <v>1200</v>
      </c>
      <c r="AP135" s="380"/>
      <c r="AQ135" s="384">
        <f t="shared" ref="AQ135" si="1067">AQ64</f>
        <v>1200</v>
      </c>
      <c r="AR135" s="380"/>
      <c r="AS135" s="384">
        <f t="shared" ref="AS135:AY135" si="1068">AS64</f>
        <v>1200</v>
      </c>
      <c r="AT135" s="380"/>
      <c r="AU135" s="384">
        <f t="shared" si="1068"/>
        <v>1200</v>
      </c>
      <c r="AV135" s="380"/>
      <c r="AW135" s="384">
        <f t="shared" si="1068"/>
        <v>1200</v>
      </c>
      <c r="AX135" s="380"/>
      <c r="AY135" s="384">
        <f t="shared" si="1068"/>
        <v>750</v>
      </c>
      <c r="AZ135" s="380"/>
      <c r="BA135" s="384">
        <f t="shared" ref="BA135:BC135" si="1069">BA64</f>
        <v>750</v>
      </c>
      <c r="BB135" s="380"/>
      <c r="BC135" s="384">
        <f t="shared" si="1069"/>
        <v>750</v>
      </c>
      <c r="BD135" s="380"/>
      <c r="BE135" s="384">
        <f t="shared" ref="BE135:BG135" si="1070">BE64</f>
        <v>750</v>
      </c>
      <c r="BF135" s="380"/>
      <c r="BG135" s="384">
        <f t="shared" si="1070"/>
        <v>750</v>
      </c>
      <c r="BH135" s="380"/>
      <c r="BI135" s="384">
        <f t="shared" ref="BI135:BK135" si="1071">BI64</f>
        <v>750</v>
      </c>
      <c r="BJ135" s="380"/>
      <c r="BK135" s="384">
        <f t="shared" si="1071"/>
        <v>750</v>
      </c>
      <c r="BL135" s="380"/>
      <c r="BM135" s="384">
        <f t="shared" ref="BM135" si="1072">BM64</f>
        <v>750</v>
      </c>
      <c r="BN135" s="380"/>
      <c r="BO135" s="384">
        <f t="shared" ref="BO135" si="1073">BO64</f>
        <v>750</v>
      </c>
    </row>
    <row r="136" spans="1:67" outlineLevel="3" x14ac:dyDescent="0.45">
      <c r="A136" s="561"/>
      <c r="B136" s="1187"/>
      <c r="C136" s="161" t="s">
        <v>388</v>
      </c>
      <c r="D136" s="162"/>
      <c r="E136" s="179"/>
      <c r="F136" s="180"/>
      <c r="G136" s="224">
        <f>I136</f>
        <v>1299.6727089627391</v>
      </c>
      <c r="H136" s="380"/>
      <c r="I136" s="384">
        <v>1299.6727089627391</v>
      </c>
      <c r="J136" s="380"/>
      <c r="K136" s="384">
        <v>1238.5763943914906</v>
      </c>
      <c r="L136" s="180"/>
      <c r="M136" s="224">
        <v>1354.3565348022034</v>
      </c>
      <c r="N136" s="380"/>
      <c r="O136" s="384">
        <v>1447.4124809741249</v>
      </c>
      <c r="P136" s="380"/>
      <c r="Q136" s="384">
        <f>O136</f>
        <v>1447.4124809741249</v>
      </c>
      <c r="R136" s="180"/>
      <c r="S136" s="224">
        <v>1486.0697345427311</v>
      </c>
      <c r="T136" s="380"/>
      <c r="U136" s="384">
        <f>S136</f>
        <v>1486.0697345427311</v>
      </c>
      <c r="V136" s="380"/>
      <c r="W136" s="384">
        <v>1161.7052526523744</v>
      </c>
      <c r="X136" s="180"/>
      <c r="Y136" s="224">
        <f>W136</f>
        <v>1161.7052526523744</v>
      </c>
      <c r="Z136" s="380"/>
      <c r="AA136" s="384">
        <v>476.23483535528601</v>
      </c>
      <c r="AB136" s="380"/>
      <c r="AC136" s="384">
        <v>534.27620632279525</v>
      </c>
      <c r="AD136" s="380"/>
      <c r="AE136" s="384">
        <v>372.58679586851662</v>
      </c>
      <c r="AF136" s="380"/>
      <c r="AG136" s="384">
        <v>363.26661262845175</v>
      </c>
      <c r="AH136" s="380"/>
      <c r="AI136" s="384">
        <v>363.26661262845175</v>
      </c>
      <c r="AJ136" s="380"/>
      <c r="AK136" s="384">
        <v>363.26661262845175</v>
      </c>
      <c r="AL136" s="380"/>
      <c r="AM136" s="384">
        <v>363.26661262845175</v>
      </c>
      <c r="AN136" s="380"/>
      <c r="AO136" s="384">
        <v>363.26661262845175</v>
      </c>
      <c r="AP136" s="380"/>
      <c r="AQ136" s="384">
        <v>363.26661262845175</v>
      </c>
      <c r="AR136" s="380"/>
      <c r="AS136" s="384">
        <v>363.26661262845175</v>
      </c>
      <c r="AT136" s="380"/>
      <c r="AU136" s="384">
        <v>363.26661262845175</v>
      </c>
      <c r="AV136" s="380"/>
      <c r="AW136" s="384">
        <v>60</v>
      </c>
      <c r="AX136" s="380"/>
      <c r="AY136" s="384">
        <v>60</v>
      </c>
      <c r="AZ136" s="380"/>
      <c r="BA136" s="384">
        <v>55</v>
      </c>
      <c r="BB136" s="380"/>
      <c r="BC136" s="384">
        <v>68</v>
      </c>
      <c r="BD136" s="380"/>
      <c r="BE136" s="384">
        <v>60</v>
      </c>
      <c r="BF136" s="380"/>
      <c r="BG136" s="384">
        <v>89.7</v>
      </c>
      <c r="BH136" s="380"/>
      <c r="BI136" s="384">
        <v>212</v>
      </c>
      <c r="BJ136" s="380"/>
      <c r="BK136" s="384">
        <v>49</v>
      </c>
      <c r="BL136" s="380"/>
      <c r="BM136" s="384">
        <v>7</v>
      </c>
      <c r="BN136" s="380"/>
      <c r="BO136" s="384">
        <v>200</v>
      </c>
    </row>
    <row r="137" spans="1:67" ht="14.45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380"/>
      <c r="I137" s="384" t="e">
        <f>G137</f>
        <v>#REF!</v>
      </c>
      <c r="J137" s="380"/>
      <c r="K137" s="384" t="e">
        <f>I137</f>
        <v>#REF!</v>
      </c>
      <c r="L137" s="180"/>
      <c r="M137" s="224" t="e">
        <f>#REF!</f>
        <v>#REF!</v>
      </c>
      <c r="N137" s="380"/>
      <c r="O137" s="384" t="e">
        <f>M137</f>
        <v>#REF!</v>
      </c>
      <c r="P137" s="380"/>
      <c r="Q137" s="384" t="e">
        <f>O137</f>
        <v>#REF!</v>
      </c>
      <c r="R137" s="180"/>
      <c r="S137" s="224" t="e">
        <f>#REF!</f>
        <v>#REF!</v>
      </c>
      <c r="T137" s="380"/>
      <c r="U137" s="384" t="e">
        <f>S137</f>
        <v>#REF!</v>
      </c>
      <c r="V137" s="380"/>
      <c r="W137" s="384" t="e">
        <f>U137</f>
        <v>#REF!</v>
      </c>
      <c r="X137" s="180"/>
      <c r="Y137" s="224" t="e">
        <f>#REF!</f>
        <v>#REF!</v>
      </c>
      <c r="Z137" s="380"/>
      <c r="AA137" s="384" t="e">
        <f>Y137</f>
        <v>#REF!</v>
      </c>
      <c r="AB137" s="380"/>
      <c r="AC137" s="384" t="e">
        <f>AA137</f>
        <v>#REF!</v>
      </c>
      <c r="AD137" s="380"/>
      <c r="AE137" s="384" t="e">
        <f t="shared" ref="AE137" si="1074">AC137</f>
        <v>#REF!</v>
      </c>
      <c r="AF137" s="380"/>
      <c r="AG137" s="384" t="e">
        <f t="shared" ref="AG137" si="1075">AE137</f>
        <v>#REF!</v>
      </c>
      <c r="AH137" s="380"/>
      <c r="AI137" s="384" t="e">
        <f t="shared" ref="AI137" si="1076">AG137</f>
        <v>#REF!</v>
      </c>
      <c r="AJ137" s="380"/>
      <c r="AK137" s="384" t="e">
        <f t="shared" ref="AK137" si="1077">AI137</f>
        <v>#REF!</v>
      </c>
      <c r="AL137" s="380"/>
      <c r="AM137" s="384" t="e">
        <f t="shared" ref="AM137" si="1078">AK137</f>
        <v>#REF!</v>
      </c>
      <c r="AN137" s="380"/>
      <c r="AO137" s="384" t="e">
        <f t="shared" ref="AO137" si="1079">AM137</f>
        <v>#REF!</v>
      </c>
      <c r="AP137" s="380"/>
      <c r="AQ137" s="384" t="e">
        <f t="shared" ref="AQ137" si="1080">AO137</f>
        <v>#REF!</v>
      </c>
      <c r="AR137" s="380"/>
      <c r="AS137" s="384" t="e">
        <f t="shared" ref="AS137" si="1081">AQ137</f>
        <v>#REF!</v>
      </c>
      <c r="AT137" s="380"/>
      <c r="AU137" s="384" t="e">
        <f t="shared" ref="AU137" si="1082">AS137</f>
        <v>#REF!</v>
      </c>
      <c r="AV137" s="380"/>
      <c r="AW137" s="384" t="e">
        <f t="shared" ref="AW137" si="1083">AU137</f>
        <v>#REF!</v>
      </c>
      <c r="AX137" s="380"/>
      <c r="AY137" s="384" t="e">
        <f t="shared" ref="AY137" si="1084">AW137</f>
        <v>#REF!</v>
      </c>
      <c r="AZ137" s="380"/>
      <c r="BA137" s="384" t="e">
        <f t="shared" ref="BA137" si="1085">AY137</f>
        <v>#REF!</v>
      </c>
      <c r="BB137" s="380"/>
      <c r="BC137" s="384" t="e">
        <f t="shared" ref="BC137" si="1086">BA137</f>
        <v>#REF!</v>
      </c>
      <c r="BD137" s="380"/>
      <c r="BE137" s="384" t="e">
        <f t="shared" ref="BE137" si="1087">BC137</f>
        <v>#REF!</v>
      </c>
      <c r="BF137" s="380"/>
      <c r="BG137" s="384" t="e">
        <f t="shared" ref="BG137" si="1088">BE137</f>
        <v>#REF!</v>
      </c>
      <c r="BH137" s="380"/>
      <c r="BI137" s="384" t="e">
        <f t="shared" ref="BI137" si="1089">BG137</f>
        <v>#REF!</v>
      </c>
      <c r="BJ137" s="380"/>
      <c r="BK137" s="384" t="e">
        <f t="shared" ref="BK137" si="1090">BI137</f>
        <v>#REF!</v>
      </c>
      <c r="BL137" s="380"/>
      <c r="BM137" s="384" t="e">
        <f t="shared" ref="BM137" si="1091">BK137</f>
        <v>#REF!</v>
      </c>
      <c r="BN137" s="380"/>
      <c r="BO137" s="384" t="e">
        <f t="shared" ref="BO137" si="1092">BK137</f>
        <v>#REF!</v>
      </c>
    </row>
    <row r="138" spans="1:67" ht="14.45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380"/>
      <c r="I138" s="384">
        <v>750</v>
      </c>
      <c r="J138" s="380"/>
      <c r="K138" s="384">
        <v>750</v>
      </c>
      <c r="L138" s="180"/>
      <c r="M138" s="224">
        <v>750</v>
      </c>
      <c r="N138" s="380"/>
      <c r="O138" s="384">
        <v>750</v>
      </c>
      <c r="P138" s="380"/>
      <c r="Q138" s="384">
        <v>750</v>
      </c>
      <c r="R138" s="180"/>
      <c r="S138" s="224">
        <v>750</v>
      </c>
      <c r="T138" s="380"/>
      <c r="U138" s="384">
        <v>750</v>
      </c>
      <c r="V138" s="380"/>
      <c r="W138" s="384">
        <v>750</v>
      </c>
      <c r="X138" s="180"/>
      <c r="Y138" s="224">
        <v>750</v>
      </c>
      <c r="Z138" s="380"/>
      <c r="AA138" s="384">
        <v>750</v>
      </c>
      <c r="AB138" s="380"/>
      <c r="AC138" s="384">
        <v>750</v>
      </c>
      <c r="AD138" s="380"/>
      <c r="AE138" s="384">
        <v>750</v>
      </c>
      <c r="AF138" s="380"/>
      <c r="AG138" s="384">
        <v>750</v>
      </c>
      <c r="AH138" s="380"/>
      <c r="AI138" s="384">
        <v>750</v>
      </c>
      <c r="AJ138" s="380"/>
      <c r="AK138" s="384">
        <v>750</v>
      </c>
      <c r="AL138" s="380"/>
      <c r="AM138" s="384">
        <v>750</v>
      </c>
      <c r="AN138" s="380"/>
      <c r="AO138" s="384">
        <v>750</v>
      </c>
      <c r="AP138" s="380"/>
      <c r="AQ138" s="384">
        <v>750</v>
      </c>
      <c r="AR138" s="380"/>
      <c r="AS138" s="384">
        <v>750</v>
      </c>
      <c r="AT138" s="380"/>
      <c r="AU138" s="384">
        <v>750</v>
      </c>
      <c r="AV138" s="380"/>
      <c r="AW138" s="384">
        <v>750</v>
      </c>
      <c r="AX138" s="380"/>
      <c r="AY138" s="384">
        <v>750</v>
      </c>
      <c r="AZ138" s="380"/>
      <c r="BA138" s="384">
        <v>750</v>
      </c>
      <c r="BB138" s="380"/>
      <c r="BC138" s="384">
        <v>750</v>
      </c>
      <c r="BD138" s="380"/>
      <c r="BE138" s="384">
        <v>750</v>
      </c>
      <c r="BF138" s="380"/>
      <c r="BG138" s="384">
        <v>750</v>
      </c>
      <c r="BH138" s="380"/>
      <c r="BI138" s="384">
        <v>750</v>
      </c>
      <c r="BJ138" s="380"/>
      <c r="BK138" s="384">
        <v>750</v>
      </c>
      <c r="BL138" s="380"/>
      <c r="BM138" s="384">
        <v>750</v>
      </c>
      <c r="BN138" s="380"/>
      <c r="BO138" s="384">
        <v>750</v>
      </c>
    </row>
    <row r="139" spans="1:67" ht="14.45" customHeight="1" outlineLevel="4" x14ac:dyDescent="0.45">
      <c r="A139" s="561"/>
      <c r="B139" s="1187"/>
      <c r="C139" s="225" t="s">
        <v>130</v>
      </c>
      <c r="D139" s="162"/>
      <c r="E139" s="179"/>
      <c r="F139" s="164"/>
      <c r="G139" s="171"/>
      <c r="H139" s="359"/>
      <c r="I139" s="372"/>
      <c r="J139" s="359"/>
      <c r="K139" s="372"/>
      <c r="L139" s="164"/>
      <c r="M139" s="171"/>
      <c r="N139" s="359"/>
      <c r="O139" s="372"/>
      <c r="P139" s="359"/>
      <c r="Q139" s="372"/>
      <c r="R139" s="164"/>
      <c r="S139" s="171"/>
      <c r="T139" s="359"/>
      <c r="U139" s="372"/>
      <c r="V139" s="359"/>
      <c r="W139" s="372"/>
      <c r="X139" s="164"/>
      <c r="Y139" s="171"/>
      <c r="Z139" s="359"/>
      <c r="AA139" s="372"/>
      <c r="AB139" s="359"/>
      <c r="AC139" s="372"/>
      <c r="AD139" s="359"/>
      <c r="AE139" s="372"/>
      <c r="AF139" s="359"/>
      <c r="AG139" s="372"/>
      <c r="AH139" s="359"/>
      <c r="AI139" s="372"/>
      <c r="AJ139" s="359"/>
      <c r="AK139" s="372"/>
      <c r="AL139" s="359"/>
      <c r="AM139" s="372"/>
      <c r="AN139" s="359"/>
      <c r="AO139" s="372"/>
      <c r="AP139" s="359"/>
      <c r="AQ139" s="372"/>
      <c r="AR139" s="359"/>
      <c r="AS139" s="372"/>
      <c r="AT139" s="359"/>
      <c r="AU139" s="372"/>
      <c r="AV139" s="359"/>
      <c r="AW139" s="372"/>
      <c r="AX139" s="359"/>
      <c r="AY139" s="372"/>
      <c r="AZ139" s="359"/>
      <c r="BA139" s="372"/>
      <c r="BB139" s="359"/>
      <c r="BC139" s="372"/>
      <c r="BD139" s="359"/>
      <c r="BE139" s="372"/>
      <c r="BF139" s="359"/>
      <c r="BG139" s="372"/>
      <c r="BH139" s="359"/>
      <c r="BI139" s="372"/>
      <c r="BJ139" s="359"/>
      <c r="BK139" s="372"/>
      <c r="BL139" s="359"/>
      <c r="BM139" s="372"/>
      <c r="BN139" s="359"/>
      <c r="BO139" s="372"/>
    </row>
    <row r="140" spans="1:67" outlineLevel="3" x14ac:dyDescent="0.45">
      <c r="A140" s="561"/>
      <c r="B140" s="1187"/>
      <c r="C140" s="170"/>
      <c r="D140" s="162"/>
      <c r="E140" s="176"/>
      <c r="F140" s="177"/>
      <c r="G140" s="178"/>
      <c r="H140" s="375"/>
      <c r="I140" s="376"/>
      <c r="J140" s="375"/>
      <c r="K140" s="376"/>
      <c r="L140" s="177"/>
      <c r="M140" s="178"/>
      <c r="N140" s="375"/>
      <c r="O140" s="376"/>
      <c r="P140" s="375"/>
      <c r="Q140" s="376"/>
      <c r="R140" s="177"/>
      <c r="S140" s="178"/>
      <c r="T140" s="375"/>
      <c r="U140" s="376"/>
      <c r="V140" s="375"/>
      <c r="W140" s="376"/>
      <c r="X140" s="177"/>
      <c r="Y140" s="178"/>
      <c r="Z140" s="375"/>
      <c r="AA140" s="376"/>
      <c r="AB140" s="375"/>
      <c r="AC140" s="376"/>
      <c r="AD140" s="375"/>
      <c r="AE140" s="376"/>
      <c r="AF140" s="375"/>
      <c r="AG140" s="376"/>
      <c r="AH140" s="375"/>
      <c r="AI140" s="376"/>
      <c r="AJ140" s="375"/>
      <c r="AK140" s="376"/>
      <c r="AL140" s="375"/>
      <c r="AM140" s="376"/>
      <c r="AN140" s="375"/>
      <c r="AO140" s="376"/>
      <c r="AP140" s="375"/>
      <c r="AQ140" s="376"/>
      <c r="AR140" s="375"/>
      <c r="AS140" s="376"/>
      <c r="AT140" s="375"/>
      <c r="AU140" s="376"/>
      <c r="AV140" s="375"/>
      <c r="AW140" s="376"/>
      <c r="AX140" s="375"/>
      <c r="AY140" s="376"/>
      <c r="AZ140" s="375"/>
      <c r="BA140" s="376"/>
      <c r="BB140" s="375"/>
      <c r="BC140" s="376"/>
      <c r="BD140" s="375"/>
      <c r="BE140" s="376"/>
      <c r="BF140" s="375"/>
      <c r="BG140" s="376"/>
      <c r="BH140" s="375"/>
      <c r="BI140" s="376"/>
      <c r="BJ140" s="375"/>
      <c r="BK140" s="376"/>
      <c r="BL140" s="375"/>
      <c r="BM140" s="376"/>
      <c r="BN140" s="375"/>
      <c r="BO140" s="376"/>
    </row>
    <row r="141" spans="1:67" outlineLevel="3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99.67270896273908</v>
      </c>
      <c r="H141" s="229"/>
      <c r="I141" s="230">
        <f>I136-I135</f>
        <v>99.67270896273908</v>
      </c>
      <c r="J141" s="229"/>
      <c r="K141" s="230">
        <f>K136-K135</f>
        <v>38.576394391490567</v>
      </c>
      <c r="L141" s="229"/>
      <c r="M141" s="230">
        <f>M136-M135</f>
        <v>154.35653480220344</v>
      </c>
      <c r="N141" s="229"/>
      <c r="O141" s="230">
        <f>O136-O135</f>
        <v>247.41248097412495</v>
      </c>
      <c r="P141" s="229"/>
      <c r="Q141" s="230">
        <f>Q136-Q135</f>
        <v>247.41248097412495</v>
      </c>
      <c r="R141" s="229"/>
      <c r="S141" s="230">
        <f>S136-S135</f>
        <v>286.06973454273111</v>
      </c>
      <c r="T141" s="229"/>
      <c r="U141" s="230">
        <f>U136-U135</f>
        <v>286.06973454273111</v>
      </c>
      <c r="V141" s="229"/>
      <c r="W141" s="230">
        <f>W136-W135</f>
        <v>-38.294747347625616</v>
      </c>
      <c r="X141" s="229"/>
      <c r="Y141" s="230">
        <f>Y136-Y135</f>
        <v>-38.294747347625616</v>
      </c>
      <c r="Z141" s="229"/>
      <c r="AA141" s="230">
        <f>AA136-AA135</f>
        <v>-723.76516464471399</v>
      </c>
      <c r="AB141" s="229"/>
      <c r="AC141" s="230">
        <f>AC136-AC135</f>
        <v>-665.72379367720475</v>
      </c>
      <c r="AD141" s="229"/>
      <c r="AE141" s="230">
        <f t="shared" ref="AE141" si="1093">AE136-AE135</f>
        <v>-827.41320413148333</v>
      </c>
      <c r="AF141" s="229"/>
      <c r="AG141" s="230">
        <f t="shared" ref="AG141" si="1094">AG136-AG135</f>
        <v>-836.73338737154825</v>
      </c>
      <c r="AH141" s="229"/>
      <c r="AI141" s="230">
        <f t="shared" ref="AI141" si="1095">AI136-AI135</f>
        <v>-836.73338737154825</v>
      </c>
      <c r="AJ141" s="229"/>
      <c r="AK141" s="230">
        <f t="shared" ref="AK141" si="1096">AK136-AK135</f>
        <v>-836.73338737154825</v>
      </c>
      <c r="AL141" s="229"/>
      <c r="AM141" s="230">
        <f t="shared" ref="AM141" si="1097">AM136-AM135</f>
        <v>-836.73338737154825</v>
      </c>
      <c r="AN141" s="229"/>
      <c r="AO141" s="230">
        <f t="shared" ref="AO141" si="1098">AO136-AO135</f>
        <v>-836.73338737154825</v>
      </c>
      <c r="AP141" s="229"/>
      <c r="AQ141" s="230">
        <f t="shared" ref="AQ141" si="1099">AQ136-AQ135</f>
        <v>-836.73338737154825</v>
      </c>
      <c r="AR141" s="229"/>
      <c r="AS141" s="230">
        <f t="shared" ref="AS141:AY141" si="1100">AS136-AS135</f>
        <v>-836.73338737154825</v>
      </c>
      <c r="AT141" s="229"/>
      <c r="AU141" s="230">
        <f t="shared" si="1100"/>
        <v>-836.73338737154825</v>
      </c>
      <c r="AV141" s="229"/>
      <c r="AW141" s="230">
        <f t="shared" si="1100"/>
        <v>-1140</v>
      </c>
      <c r="AX141" s="229"/>
      <c r="AY141" s="230">
        <f t="shared" si="1100"/>
        <v>-690</v>
      </c>
      <c r="AZ141" s="229"/>
      <c r="BA141" s="230">
        <f t="shared" ref="BA141:BC141" si="1101">BA136-BA135</f>
        <v>-695</v>
      </c>
      <c r="BB141" s="229"/>
      <c r="BC141" s="230">
        <f t="shared" si="1101"/>
        <v>-682</v>
      </c>
      <c r="BD141" s="229"/>
      <c r="BE141" s="230">
        <f t="shared" ref="BE141:BG141" si="1102">BE136-BE135</f>
        <v>-690</v>
      </c>
      <c r="BF141" s="229"/>
      <c r="BG141" s="230">
        <f t="shared" si="1102"/>
        <v>-660.3</v>
      </c>
      <c r="BH141" s="229"/>
      <c r="BI141" s="230">
        <f t="shared" ref="BI141:BK141" si="1103">BI136-BI135</f>
        <v>-538</v>
      </c>
      <c r="BJ141" s="229"/>
      <c r="BK141" s="230">
        <f t="shared" si="1103"/>
        <v>-701</v>
      </c>
      <c r="BL141" s="229"/>
      <c r="BM141" s="230">
        <f t="shared" ref="BM141" si="1104">BM136-BM135</f>
        <v>-743</v>
      </c>
      <c r="BN141" s="229"/>
      <c r="BO141" s="230">
        <f t="shared" ref="BO141" si="1105">BO136-BO135</f>
        <v>-550</v>
      </c>
    </row>
    <row r="142" spans="1:67" outlineLevel="3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323.04853101263467</v>
      </c>
      <c r="H142" s="229"/>
      <c r="I142" s="588">
        <f>I141*I133</f>
        <v>22.98121771428336</v>
      </c>
      <c r="J142" s="229"/>
      <c r="K142" s="588">
        <f>K141*K133</f>
        <v>16.203647441769824</v>
      </c>
      <c r="L142" s="229"/>
      <c r="M142" s="230">
        <f>M141*M130</f>
        <v>500.28390257450997</v>
      </c>
      <c r="N142" s="229"/>
      <c r="O142" s="588">
        <f>O141*O133</f>
        <v>38.163625607749637</v>
      </c>
      <c r="P142" s="229"/>
      <c r="Q142" s="588">
        <f>Q141*Q133</f>
        <v>0</v>
      </c>
      <c r="R142" s="229"/>
      <c r="S142" s="230">
        <f>S141*S130</f>
        <v>927.17864772543885</v>
      </c>
      <c r="T142" s="229"/>
      <c r="U142" s="588">
        <f>U141*U133</f>
        <v>0</v>
      </c>
      <c r="V142" s="229"/>
      <c r="W142" s="588">
        <f>W141*W133</f>
        <v>-19.178381566401978</v>
      </c>
      <c r="X142" s="229"/>
      <c r="Y142" s="230">
        <f>Y141*Y130</f>
        <v>-124.11684206130238</v>
      </c>
      <c r="Z142" s="229"/>
      <c r="AA142" s="588">
        <f>AA141*AA133</f>
        <v>-537.98900497477518</v>
      </c>
      <c r="AB142" s="229"/>
      <c r="AC142" s="588">
        <f>AC141*AC133</f>
        <v>-655.48188915909395</v>
      </c>
      <c r="AD142" s="229"/>
      <c r="AE142" s="588">
        <f t="shared" ref="AE142" si="1106">AE141*AE133</f>
        <v>-2331.831301198079</v>
      </c>
      <c r="AF142" s="229"/>
      <c r="AG142" s="588">
        <f t="shared" ref="AG142" si="1107">AG141*AG133</f>
        <v>-1560.8295879815419</v>
      </c>
      <c r="AH142" s="229"/>
      <c r="AI142" s="588">
        <f t="shared" ref="AI142" si="1108">AI141*AI133</f>
        <v>0</v>
      </c>
      <c r="AJ142" s="229"/>
      <c r="AK142" s="588">
        <f t="shared" ref="AK142" si="1109">AK141*AK133</f>
        <v>-750.01122252656182</v>
      </c>
      <c r="AL142" s="229"/>
      <c r="AM142" s="588">
        <f t="shared" ref="AM142" si="1110">AM141*AM133</f>
        <v>0</v>
      </c>
      <c r="AN142" s="229"/>
      <c r="AO142" s="588">
        <f t="shared" ref="AO142" si="1111">AO141*AO133</f>
        <v>-851.30000099785457</v>
      </c>
      <c r="AP142" s="229"/>
      <c r="AQ142" s="588">
        <f t="shared" ref="AQ142" si="1112">AQ141*AQ133</f>
        <v>0</v>
      </c>
      <c r="AR142" s="229"/>
      <c r="AS142" s="588">
        <f t="shared" ref="AS142:AY142" si="1113">AS141*AS133</f>
        <v>0</v>
      </c>
      <c r="AT142" s="229"/>
      <c r="AU142" s="588">
        <f t="shared" si="1113"/>
        <v>-1655.0044388678944</v>
      </c>
      <c r="AV142" s="229"/>
      <c r="AW142" s="588">
        <f t="shared" si="1113"/>
        <v>-1146.9230769230769</v>
      </c>
      <c r="AX142" s="229"/>
      <c r="AY142" s="588">
        <f t="shared" si="1113"/>
        <v>0</v>
      </c>
      <c r="AZ142" s="229"/>
      <c r="BA142" s="588">
        <f t="shared" ref="BA142:BC142" si="1114">BA141*BA133</f>
        <v>0</v>
      </c>
      <c r="BB142" s="229"/>
      <c r="BC142" s="588">
        <f t="shared" si="1114"/>
        <v>0</v>
      </c>
      <c r="BD142" s="229"/>
      <c r="BE142" s="588">
        <f t="shared" ref="BE142:BG142" si="1115">BE141*BE133</f>
        <v>0</v>
      </c>
      <c r="BF142" s="229"/>
      <c r="BG142" s="588">
        <f t="shared" si="1115"/>
        <v>0</v>
      </c>
      <c r="BH142" s="229"/>
      <c r="BI142" s="588">
        <f t="shared" ref="BI142:BK142" si="1116">BI141*BI133</f>
        <v>0</v>
      </c>
      <c r="BJ142" s="229"/>
      <c r="BK142" s="588">
        <f t="shared" si="1116"/>
        <v>0</v>
      </c>
      <c r="BL142" s="229"/>
      <c r="BM142" s="588">
        <f t="shared" ref="BM142" si="1117">BM141*BM133</f>
        <v>0</v>
      </c>
      <c r="BN142" s="229"/>
      <c r="BO142" s="588">
        <f t="shared" ref="BO142" si="1118">BO141*BO133</f>
        <v>0</v>
      </c>
    </row>
    <row r="143" spans="1:67" outlineLevel="2" x14ac:dyDescent="0.45">
      <c r="A143" s="561"/>
      <c r="B143" s="1187"/>
      <c r="C143" s="233"/>
      <c r="D143" s="234"/>
      <c r="E143" s="234"/>
      <c r="F143" s="235"/>
      <c r="G143" s="236"/>
      <c r="H143" s="381"/>
      <c r="I143" s="385"/>
      <c r="J143" s="381"/>
      <c r="K143" s="385"/>
      <c r="L143" s="235"/>
      <c r="M143" s="236"/>
      <c r="N143" s="381"/>
      <c r="O143" s="385"/>
      <c r="P143" s="381"/>
      <c r="Q143" s="385"/>
      <c r="R143" s="235"/>
      <c r="S143" s="236"/>
      <c r="T143" s="381"/>
      <c r="U143" s="385"/>
      <c r="V143" s="381"/>
      <c r="W143" s="385"/>
      <c r="X143" s="235"/>
      <c r="Y143" s="236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</row>
    <row r="144" spans="1:67" ht="15.75" customHeight="1" outlineLevel="3" thickBot="1" x14ac:dyDescent="0.5">
      <c r="A144" s="561"/>
      <c r="B144" s="1188"/>
      <c r="C144" s="301" t="s">
        <v>134</v>
      </c>
      <c r="D144" s="302"/>
      <c r="E144" s="303"/>
      <c r="F144" s="241"/>
      <c r="G144" s="242">
        <f>G98*G129</f>
        <v>16877.619337894514</v>
      </c>
      <c r="H144" s="304"/>
      <c r="I144" s="305">
        <f>I98*I132</f>
        <v>1200.650079686581</v>
      </c>
      <c r="J144" s="304"/>
      <c r="K144" s="305">
        <f>K98*K132</f>
        <v>1493.9797463716809</v>
      </c>
      <c r="L144" s="241"/>
      <c r="M144" s="242">
        <f>M98*M129</f>
        <v>14490.747734719527</v>
      </c>
      <c r="N144" s="304"/>
      <c r="O144" s="305">
        <f>O98*O132</f>
        <v>528.14761026687927</v>
      </c>
      <c r="P144" s="304"/>
      <c r="Q144" s="305">
        <f>Q98*Q132</f>
        <v>0</v>
      </c>
      <c r="R144" s="241"/>
      <c r="S144" s="242">
        <f>S98*S129</f>
        <v>12047.595695994702</v>
      </c>
      <c r="T144" s="304"/>
      <c r="U144" s="305">
        <f>U98*U132</f>
        <v>0</v>
      </c>
      <c r="V144" s="304"/>
      <c r="W144" s="305">
        <f>W98*W132</f>
        <v>1849.3905702995908</v>
      </c>
      <c r="X144" s="241"/>
      <c r="Y144" s="242">
        <f>Y98*Y129</f>
        <v>12866.771857386086</v>
      </c>
      <c r="Z144" s="304"/>
      <c r="AA144" s="305">
        <f>AA98*AA132</f>
        <v>3766.906801107677</v>
      </c>
      <c r="AB144" s="304"/>
      <c r="AC144" s="305">
        <f>AC98*AC132</f>
        <v>5486.6453388707259</v>
      </c>
      <c r="AD144" s="304"/>
      <c r="AE144" s="305">
        <f t="shared" ref="AE144" si="1119">AE98*AE132</f>
        <v>22283.440235214861</v>
      </c>
      <c r="AF144" s="304"/>
      <c r="AG144" s="305">
        <f t="shared" ref="AG144" si="1120">AG98*AG132</f>
        <v>15332.345220011202</v>
      </c>
      <c r="AH144" s="304"/>
      <c r="AI144" s="305">
        <f t="shared" ref="AI144" si="1121">AI98*AI132</f>
        <v>0</v>
      </c>
      <c r="AJ144" s="304"/>
      <c r="AK144" s="305">
        <f t="shared" ref="AK144" si="1122">AK98*AK132</f>
        <v>3954.5001866337643</v>
      </c>
      <c r="AL144" s="304"/>
      <c r="AM144" s="305">
        <f t="shared" ref="AM144" si="1123">AM98*AM132</f>
        <v>0</v>
      </c>
      <c r="AN144" s="304"/>
      <c r="AO144" s="305">
        <f t="shared" ref="AO144" si="1124">AO98*AO132</f>
        <v>4258.210981053855</v>
      </c>
      <c r="AP144" s="304"/>
      <c r="AQ144" s="305">
        <f t="shared" ref="AQ144" si="1125">AQ98*AQ132</f>
        <v>0</v>
      </c>
      <c r="AR144" s="304"/>
      <c r="AS144" s="305">
        <f t="shared" ref="AS144:AY144" si="1126">AS98*AS132</f>
        <v>0</v>
      </c>
      <c r="AT144" s="304"/>
      <c r="AU144" s="305">
        <f t="shared" si="1126"/>
        <v>12714.649775094593</v>
      </c>
      <c r="AV144" s="304"/>
      <c r="AW144" s="305">
        <f t="shared" si="1126"/>
        <v>7330.5521256275706</v>
      </c>
      <c r="AX144" s="304"/>
      <c r="AY144" s="305">
        <f t="shared" si="1126"/>
        <v>0</v>
      </c>
      <c r="AZ144" s="304"/>
      <c r="BA144" s="305">
        <f t="shared" ref="BA144:BC144" si="1127">BA98*BA132</f>
        <v>0</v>
      </c>
      <c r="BB144" s="304"/>
      <c r="BC144" s="305">
        <f t="shared" si="1127"/>
        <v>0</v>
      </c>
      <c r="BD144" s="304"/>
      <c r="BE144" s="305">
        <f t="shared" ref="BE144:BG144" si="1128">BE98*BE132</f>
        <v>0</v>
      </c>
      <c r="BF144" s="304"/>
      <c r="BG144" s="305">
        <f t="shared" si="1128"/>
        <v>0</v>
      </c>
      <c r="BH144" s="304"/>
      <c r="BI144" s="305">
        <f t="shared" ref="BI144:BK144" si="1129">BI98*BI132</f>
        <v>0</v>
      </c>
      <c r="BJ144" s="304"/>
      <c r="BK144" s="305">
        <f t="shared" si="1129"/>
        <v>0</v>
      </c>
      <c r="BL144" s="304"/>
      <c r="BM144" s="305">
        <f t="shared" ref="BM144" si="1130">BM98*BM132</f>
        <v>0</v>
      </c>
      <c r="BN144" s="304"/>
      <c r="BO144" s="305">
        <f t="shared" ref="BO144" si="1131">BO98*BO132</f>
        <v>0</v>
      </c>
    </row>
    <row r="145" spans="11:11" ht="14.65" outlineLevel="2" thickTop="1" x14ac:dyDescent="0.45"/>
    <row r="146" spans="11:11" outlineLevel="2" x14ac:dyDescent="0.45"/>
    <row r="147" spans="11:11" outlineLevel="1" x14ac:dyDescent="0.45">
      <c r="K147" s="1105"/>
    </row>
    <row r="148" spans="11:11" x14ac:dyDescent="0.45">
      <c r="K148" s="1105"/>
    </row>
    <row r="149" spans="11:11" x14ac:dyDescent="0.45">
      <c r="K149" s="1017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228">
    <mergeCell ref="BJ2:BK2"/>
    <mergeCell ref="BJ3:BK3"/>
    <mergeCell ref="BJ4:BK5"/>
    <mergeCell ref="BJ6:BK6"/>
    <mergeCell ref="BJ7:BK7"/>
    <mergeCell ref="BJ8:BK8"/>
    <mergeCell ref="BJ9:BK9"/>
    <mergeCell ref="BH2:BI2"/>
    <mergeCell ref="BH3:BI3"/>
    <mergeCell ref="BH4:BI5"/>
    <mergeCell ref="BH6:BI6"/>
    <mergeCell ref="BH7:BI7"/>
    <mergeCell ref="BH8:BI8"/>
    <mergeCell ref="BH9:BI9"/>
    <mergeCell ref="BF2:BG2"/>
    <mergeCell ref="BF3:BG3"/>
    <mergeCell ref="BF4:BG5"/>
    <mergeCell ref="BF6:BG6"/>
    <mergeCell ref="BF7:BG7"/>
    <mergeCell ref="BF8:BG8"/>
    <mergeCell ref="BF9:BG9"/>
    <mergeCell ref="BD2:BE2"/>
    <mergeCell ref="BD3:BE3"/>
    <mergeCell ref="BD4:BE5"/>
    <mergeCell ref="BD6:BE6"/>
    <mergeCell ref="BD7:BE7"/>
    <mergeCell ref="BD8:BE8"/>
    <mergeCell ref="BD9:BE9"/>
    <mergeCell ref="AZ6:BA6"/>
    <mergeCell ref="AZ7:BA7"/>
    <mergeCell ref="AZ8:BA8"/>
    <mergeCell ref="AZ9:BA9"/>
    <mergeCell ref="AZ2:BA2"/>
    <mergeCell ref="AZ3:BA3"/>
    <mergeCell ref="AZ4:BA5"/>
    <mergeCell ref="BB2:BC2"/>
    <mergeCell ref="BB3:BC3"/>
    <mergeCell ref="BB4:BC5"/>
    <mergeCell ref="BB6:BC6"/>
    <mergeCell ref="BB7:BC7"/>
    <mergeCell ref="BB8:BC8"/>
    <mergeCell ref="BB9:BC9"/>
    <mergeCell ref="AB3:AC3"/>
    <mergeCell ref="AP3:AQ3"/>
    <mergeCell ref="AR3:AS3"/>
    <mergeCell ref="AF4:AG5"/>
    <mergeCell ref="AH4:AI5"/>
    <mergeCell ref="V3:W3"/>
    <mergeCell ref="AD3:AE3"/>
    <mergeCell ref="AJ3:AK3"/>
    <mergeCell ref="AL3:AM3"/>
    <mergeCell ref="V4:W5"/>
    <mergeCell ref="X4:Y5"/>
    <mergeCell ref="Z4:AA5"/>
    <mergeCell ref="Z3:AA3"/>
    <mergeCell ref="X3:Y3"/>
    <mergeCell ref="AB4:AC5"/>
    <mergeCell ref="AD4:AE5"/>
    <mergeCell ref="AJ4:AK5"/>
    <mergeCell ref="AL4:AM5"/>
    <mergeCell ref="F8:G8"/>
    <mergeCell ref="H8:I8"/>
    <mergeCell ref="J8:K8"/>
    <mergeCell ref="L8:M8"/>
    <mergeCell ref="N8:O8"/>
    <mergeCell ref="P9:Q9"/>
    <mergeCell ref="R9:S9"/>
    <mergeCell ref="T9:U9"/>
    <mergeCell ref="F9:G9"/>
    <mergeCell ref="H9:I9"/>
    <mergeCell ref="J9:K9"/>
    <mergeCell ref="L9:M9"/>
    <mergeCell ref="N9:O9"/>
    <mergeCell ref="P8:Q8"/>
    <mergeCell ref="B40:B46"/>
    <mergeCell ref="B47:B70"/>
    <mergeCell ref="B71:B84"/>
    <mergeCell ref="B100:B113"/>
    <mergeCell ref="B124:B144"/>
    <mergeCell ref="D12:E12"/>
    <mergeCell ref="B15:B21"/>
    <mergeCell ref="B22:B27"/>
    <mergeCell ref="B28:B33"/>
    <mergeCell ref="B34:B39"/>
    <mergeCell ref="B6:B13"/>
    <mergeCell ref="F2:G2"/>
    <mergeCell ref="H2:I2"/>
    <mergeCell ref="J2:K2"/>
    <mergeCell ref="P6:Q6"/>
    <mergeCell ref="F3:G3"/>
    <mergeCell ref="H3:I3"/>
    <mergeCell ref="J3:K3"/>
    <mergeCell ref="P3:Q3"/>
    <mergeCell ref="N6:O6"/>
    <mergeCell ref="F6:G6"/>
    <mergeCell ref="H6:I6"/>
    <mergeCell ref="J6:K6"/>
    <mergeCell ref="L6:M6"/>
    <mergeCell ref="F4:G5"/>
    <mergeCell ref="H4:I5"/>
    <mergeCell ref="J4:K5"/>
    <mergeCell ref="L2:M2"/>
    <mergeCell ref="P2:Q2"/>
    <mergeCell ref="N2:O2"/>
    <mergeCell ref="P4:Q5"/>
    <mergeCell ref="N4:O5"/>
    <mergeCell ref="L3:M3"/>
    <mergeCell ref="N3:O3"/>
    <mergeCell ref="L4:M5"/>
    <mergeCell ref="Z9:AA9"/>
    <mergeCell ref="X9:Y9"/>
    <mergeCell ref="V9:W9"/>
    <mergeCell ref="R6:S6"/>
    <mergeCell ref="T6:U6"/>
    <mergeCell ref="V6:W6"/>
    <mergeCell ref="X6:Y6"/>
    <mergeCell ref="Z6:AA6"/>
    <mergeCell ref="T8:U8"/>
    <mergeCell ref="X7:Y7"/>
    <mergeCell ref="Z7:AA7"/>
    <mergeCell ref="R8:S8"/>
    <mergeCell ref="Z8:AA8"/>
    <mergeCell ref="X8:Y8"/>
    <mergeCell ref="V8:W8"/>
    <mergeCell ref="AB6:AC6"/>
    <mergeCell ref="AD6:AE6"/>
    <mergeCell ref="AP8:AQ8"/>
    <mergeCell ref="AF9:AG9"/>
    <mergeCell ref="AH9:AI9"/>
    <mergeCell ref="AB9:AC9"/>
    <mergeCell ref="AD9:AE9"/>
    <mergeCell ref="AF8:AG8"/>
    <mergeCell ref="AH8:AI8"/>
    <mergeCell ref="AB7:AC7"/>
    <mergeCell ref="AD7:AE7"/>
    <mergeCell ref="AF7:AG7"/>
    <mergeCell ref="AH7:AI7"/>
    <mergeCell ref="AD8:AE8"/>
    <mergeCell ref="AB8:AC8"/>
    <mergeCell ref="AL7:AM7"/>
    <mergeCell ref="AN7:AO7"/>
    <mergeCell ref="AF6:AG6"/>
    <mergeCell ref="AH6:AI6"/>
    <mergeCell ref="AJ6:AK6"/>
    <mergeCell ref="AL6:AM6"/>
    <mergeCell ref="AN6:AO6"/>
    <mergeCell ref="AP6:AQ6"/>
    <mergeCell ref="AP7:AQ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R4:S5"/>
    <mergeCell ref="AJ2:AK2"/>
    <mergeCell ref="AL2:AM2"/>
    <mergeCell ref="AN2:AO2"/>
    <mergeCell ref="AP2:AQ2"/>
    <mergeCell ref="AR2:AS2"/>
    <mergeCell ref="AF3:AG3"/>
    <mergeCell ref="AH3:AI3"/>
    <mergeCell ref="R3:S3"/>
    <mergeCell ref="T3:U3"/>
    <mergeCell ref="AD2:AE2"/>
    <mergeCell ref="AF2:AG2"/>
    <mergeCell ref="AH2:AI2"/>
    <mergeCell ref="R2:S2"/>
    <mergeCell ref="T2:U2"/>
    <mergeCell ref="V2:W2"/>
    <mergeCell ref="X2:Y2"/>
    <mergeCell ref="Z2:AA2"/>
    <mergeCell ref="AB2:AC2"/>
    <mergeCell ref="AN3:AO3"/>
    <mergeCell ref="T4:U5"/>
    <mergeCell ref="AN4:AO5"/>
    <mergeCell ref="AP4:AQ5"/>
    <mergeCell ref="AR4:AS5"/>
    <mergeCell ref="AT9:AU9"/>
    <mergeCell ref="AV9:AW9"/>
    <mergeCell ref="AX9:AY9"/>
    <mergeCell ref="AT6:AU6"/>
    <mergeCell ref="AV6:AW6"/>
    <mergeCell ref="AX6:AY6"/>
    <mergeCell ref="AR7:AS7"/>
    <mergeCell ref="AJ9:AK9"/>
    <mergeCell ref="AL9:AM9"/>
    <mergeCell ref="AN9:AO9"/>
    <mergeCell ref="AP9:AQ9"/>
    <mergeCell ref="AR9:AS9"/>
    <mergeCell ref="AJ8:AK8"/>
    <mergeCell ref="AL8:AM8"/>
    <mergeCell ref="AN8:AO8"/>
    <mergeCell ref="AJ7:AK7"/>
    <mergeCell ref="AT7:AU7"/>
    <mergeCell ref="AV7:AW7"/>
    <mergeCell ref="AX7:AY7"/>
    <mergeCell ref="AT8:AU8"/>
    <mergeCell ref="AV8:AW8"/>
    <mergeCell ref="AX8:AY8"/>
    <mergeCell ref="AR6:AS6"/>
    <mergeCell ref="AR8:AS8"/>
    <mergeCell ref="AT2:AU2"/>
    <mergeCell ref="AV2:AW2"/>
    <mergeCell ref="AX2:AY2"/>
    <mergeCell ref="AT3:AU3"/>
    <mergeCell ref="AV3:AW3"/>
    <mergeCell ref="AX3:AY3"/>
    <mergeCell ref="AT4:AU5"/>
    <mergeCell ref="AV4:AW5"/>
    <mergeCell ref="AX4:AY5"/>
    <mergeCell ref="BL2:BM2"/>
    <mergeCell ref="BL3:BM3"/>
    <mergeCell ref="BL4:BM5"/>
    <mergeCell ref="BL6:BM6"/>
    <mergeCell ref="BL7:BM7"/>
    <mergeCell ref="BL8:BM8"/>
    <mergeCell ref="BL9:BM9"/>
    <mergeCell ref="BN2:BO2"/>
    <mergeCell ref="BN3:BO3"/>
    <mergeCell ref="BN4:BO5"/>
    <mergeCell ref="BN6:BO6"/>
    <mergeCell ref="BN7:BO7"/>
    <mergeCell ref="BN8:BO8"/>
    <mergeCell ref="BN9:BO9"/>
  </mergeCells>
  <pageMargins left="0.7" right="0.7" top="0.75" bottom="0.75" header="0.3" footer="0.3"/>
  <pageSetup paperSize="8" scale="62" orientation="portrait" verticalDpi="598" r:id="rId1"/>
  <customProperties>
    <customPr name="_pios_id" r:id="rId2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708A-F5FD-48C9-9297-1EFFEADAE96F}">
  <sheetPr>
    <pageSetUpPr fitToPage="1"/>
  </sheetPr>
  <dimension ref="A1:CC178"/>
  <sheetViews>
    <sheetView showGridLines="0" zoomScale="95" zoomScaleNormal="70" zoomScaleSheetLayoutView="80" workbookViewId="0">
      <pane xSplit="5" ySplit="6" topLeftCell="BP110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4" outlineLevelCol="1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23" width="12.86328125" hidden="1" customWidth="1" outlineLevel="1"/>
    <col min="24" max="24" width="12.86328125" hidden="1" customWidth="1" outlineLevel="1" collapsed="1"/>
    <col min="25" max="41" width="12.86328125" hidden="1" customWidth="1" outlineLevel="1"/>
    <col min="42" max="42" width="12.86328125" hidden="1" customWidth="1" outlineLevel="1" collapsed="1"/>
    <col min="43" max="45" width="12.86328125" hidden="1" customWidth="1" outlineLevel="1"/>
    <col min="46" max="46" width="12.86328125" hidden="1" customWidth="1" collapsed="1"/>
    <col min="47" max="49" width="12.86328125" hidden="1" customWidth="1"/>
    <col min="50" max="51" width="12.59765625" customWidth="1"/>
    <col min="52" max="55" width="12.59765625" hidden="1" customWidth="1"/>
    <col min="56" max="73" width="12.59765625" customWidth="1"/>
    <col min="74" max="75" width="12.59765625" hidden="1" customWidth="1"/>
    <col min="76" max="79" width="12.59765625" customWidth="1"/>
  </cols>
  <sheetData>
    <row r="1" spans="1:79" x14ac:dyDescent="0.45">
      <c r="AX1" s="1262"/>
      <c r="AY1" s="1262"/>
      <c r="AZ1" s="1262"/>
      <c r="BA1" s="1262"/>
      <c r="BB1" s="1262"/>
      <c r="BC1" s="1262"/>
      <c r="BD1" s="1262"/>
      <c r="BE1" s="1262"/>
      <c r="BF1" s="1262"/>
      <c r="BG1" s="1262"/>
      <c r="BH1" s="1262"/>
      <c r="BI1" s="1262"/>
      <c r="BJ1" s="1262"/>
      <c r="BK1" s="1262"/>
      <c r="BL1" s="1262"/>
      <c r="BM1" s="1262"/>
      <c r="BN1" s="1262"/>
      <c r="BO1" s="1262"/>
      <c r="BP1" s="1262"/>
      <c r="BQ1" s="1262"/>
      <c r="BR1" s="1262"/>
      <c r="BS1" s="1262"/>
      <c r="BT1" s="1262"/>
      <c r="BU1" s="1262"/>
      <c r="BV1" s="1262"/>
      <c r="BW1" s="1262"/>
      <c r="BX1" s="545"/>
      <c r="BY1" s="545"/>
      <c r="BZ1" s="545"/>
      <c r="CA1" s="545"/>
    </row>
    <row r="2" spans="1:79" ht="14.65" thickBot="1" x14ac:dyDescent="0.5">
      <c r="F2" s="1273" t="str">
        <f>F4</f>
        <v>PMAD LOKAL 12</v>
      </c>
      <c r="G2" s="1273"/>
      <c r="H2" s="1231" t="str">
        <f>H4</f>
        <v>PMAD LOKAL 12</v>
      </c>
      <c r="I2" s="1231"/>
      <c r="J2" s="1231" t="str">
        <f>J4</f>
        <v>PMAD LOKAL 12</v>
      </c>
      <c r="K2" s="1231"/>
      <c r="L2" s="1231" t="str">
        <f>L4</f>
        <v>PMAD LOKAL 12</v>
      </c>
      <c r="M2" s="1231"/>
      <c r="N2" s="1231" t="str">
        <f>N4</f>
        <v>PMAD LOKAL 12</v>
      </c>
      <c r="O2" s="1231"/>
      <c r="P2" s="1231" t="str">
        <f>P4</f>
        <v>PMAD LOKAL 12</v>
      </c>
      <c r="Q2" s="1231"/>
      <c r="R2" s="1231" t="str">
        <f>R4</f>
        <v>PMAD LOKAL 12</v>
      </c>
      <c r="S2" s="1231"/>
      <c r="T2" s="1231" t="str">
        <f>T4</f>
        <v>PMAD LOKAL 12</v>
      </c>
      <c r="U2" s="1231"/>
      <c r="V2" s="1231" t="str">
        <f>V4</f>
        <v>PMAD LOKAL 12</v>
      </c>
      <c r="W2" s="1231"/>
      <c r="X2" s="1231" t="str">
        <f>X4</f>
        <v>PMAD LOKAL 12</v>
      </c>
      <c r="Y2" s="1231"/>
      <c r="Z2" s="1231" t="str">
        <f>Z4</f>
        <v>PMAD LOKAL 12</v>
      </c>
      <c r="AA2" s="1231"/>
      <c r="AB2" s="1231" t="str">
        <f>AB4</f>
        <v>PMAD LOKAL 12</v>
      </c>
      <c r="AC2" s="1231"/>
      <c r="AD2" s="1231" t="str">
        <f t="shared" ref="AD2" si="0">AD4</f>
        <v>PMAD LOKAL 12</v>
      </c>
      <c r="AE2" s="1231"/>
      <c r="AF2" s="1231" t="str">
        <f t="shared" ref="AF2" si="1">AF4</f>
        <v>PMAD LOKAL 12</v>
      </c>
      <c r="AG2" s="1231"/>
      <c r="AH2" s="1231" t="str">
        <f t="shared" ref="AH2" si="2">AH4</f>
        <v>PMAD LOKAL 12</v>
      </c>
      <c r="AI2" s="1231"/>
      <c r="AJ2" s="1231" t="str">
        <f t="shared" ref="AJ2" si="3">AJ4</f>
        <v>PMAD LOKAL 12</v>
      </c>
      <c r="AK2" s="1231"/>
      <c r="AL2" s="1231" t="str">
        <f t="shared" ref="AL2" si="4">AL4</f>
        <v>PMAD LOKAL 12</v>
      </c>
      <c r="AM2" s="1231"/>
      <c r="AN2" s="1231" t="str">
        <f t="shared" ref="AN2:AP2" si="5">AN4</f>
        <v>PMAD LOKAL 12</v>
      </c>
      <c r="AO2" s="1231"/>
      <c r="AP2" s="1231" t="str">
        <f t="shared" si="5"/>
        <v>PMAD LOKAL 12</v>
      </c>
      <c r="AQ2" s="1231"/>
      <c r="AR2" s="1231" t="str">
        <f t="shared" ref="AR2" si="6">AR4</f>
        <v>PMAD LOKAL 12</v>
      </c>
      <c r="AS2" s="1231"/>
      <c r="AT2" s="1231" t="str">
        <f t="shared" ref="AT2:AV2" si="7">AT4</f>
        <v>PMAD LOKAL 12</v>
      </c>
      <c r="AU2" s="1231"/>
      <c r="AV2" s="1231" t="str">
        <f t="shared" si="7"/>
        <v>PMAD LOKAL 12</v>
      </c>
      <c r="AW2" s="1231"/>
      <c r="AX2" s="1273" t="str">
        <f>AX4</f>
        <v>PA 230814 - PGAG LOKAL 12</v>
      </c>
      <c r="AY2" s="1273"/>
      <c r="AZ2" s="1273" t="str">
        <f>AZ4</f>
        <v>PA 230814 - PGAG LOKAL 12</v>
      </c>
      <c r="BA2" s="1273"/>
      <c r="BB2" s="1273" t="str">
        <f>BB4</f>
        <v>PA 230814 - PGAG LOKAL 12</v>
      </c>
      <c r="BC2" s="1273"/>
      <c r="BD2" s="1273" t="str">
        <f>BD4</f>
        <v>PA 230814 - PGAG LOKAL 12</v>
      </c>
      <c r="BE2" s="1273"/>
      <c r="BF2" s="1273" t="str">
        <f>BF4</f>
        <v>PA 230814 - PGAG LOKAL 12</v>
      </c>
      <c r="BG2" s="1273"/>
      <c r="BH2" s="1273" t="str">
        <f>BH4</f>
        <v>PA 230814 - PGAG LOKAL 12</v>
      </c>
      <c r="BI2" s="1273"/>
      <c r="BJ2" s="1273" t="str">
        <f>BJ4</f>
        <v>PA 230814 - PGAG LOKAL 12</v>
      </c>
      <c r="BK2" s="1273"/>
      <c r="BL2" s="1273" t="str">
        <f>BL4</f>
        <v>PA 230814 - PGAG LOKAL 12</v>
      </c>
      <c r="BM2" s="1273"/>
      <c r="BN2" s="1273" t="str">
        <f>BN4</f>
        <v>PA 230814 - PGAG LOKAL 12</v>
      </c>
      <c r="BO2" s="1273"/>
      <c r="BP2" s="1273" t="str">
        <f>BP4</f>
        <v>PA 230814 - PGAG LOKAL 12</v>
      </c>
      <c r="BQ2" s="1273"/>
      <c r="BR2" s="1273" t="str">
        <f>BR4</f>
        <v>PA 230814 - PGAG LOKAL 12</v>
      </c>
      <c r="BS2" s="1273"/>
      <c r="BT2" s="1273" t="str">
        <f>BT4</f>
        <v>PA 230814 - PGAG LOKAL 12</v>
      </c>
      <c r="BU2" s="1273"/>
      <c r="BV2" s="1273" t="str">
        <f>BV4</f>
        <v>PA 230814 - PGAG LOKAL 12</v>
      </c>
      <c r="BW2" s="1273"/>
      <c r="BX2" s="620"/>
      <c r="BY2" s="620"/>
      <c r="BZ2" s="620"/>
      <c r="CA2" s="620"/>
    </row>
    <row r="3" spans="1:79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340</v>
      </c>
      <c r="AS3" s="1257"/>
      <c r="AT3" s="1256" t="s">
        <v>341</v>
      </c>
      <c r="AU3" s="1257"/>
      <c r="AV3" s="1256" t="s">
        <v>342</v>
      </c>
      <c r="AW3" s="1257"/>
      <c r="AX3" s="1263" t="s">
        <v>399</v>
      </c>
      <c r="AY3" s="1264"/>
      <c r="AZ3" s="1263" t="s">
        <v>451</v>
      </c>
      <c r="BA3" s="1264"/>
      <c r="BB3" s="1263" t="s">
        <v>401</v>
      </c>
      <c r="BC3" s="1264"/>
      <c r="BD3" s="1263" t="s">
        <v>402</v>
      </c>
      <c r="BE3" s="1264"/>
      <c r="BF3" s="1263" t="s">
        <v>347</v>
      </c>
      <c r="BG3" s="1264"/>
      <c r="BH3" s="1263" t="s">
        <v>403</v>
      </c>
      <c r="BI3" s="1264"/>
      <c r="BJ3" s="1263" t="s">
        <v>705</v>
      </c>
      <c r="BK3" s="1264"/>
      <c r="BL3" s="1263" t="s">
        <v>711</v>
      </c>
      <c r="BM3" s="1264"/>
      <c r="BN3" s="1263" t="s">
        <v>724</v>
      </c>
      <c r="BO3" s="1264"/>
      <c r="BP3" s="1263" t="s">
        <v>726</v>
      </c>
      <c r="BQ3" s="1264"/>
      <c r="BR3" s="1263" t="s">
        <v>727</v>
      </c>
      <c r="BS3" s="1264"/>
      <c r="BT3" s="1263" t="s">
        <v>514</v>
      </c>
      <c r="BU3" s="1264"/>
      <c r="BV3" s="1263" t="s">
        <v>713</v>
      </c>
      <c r="BW3" s="1264"/>
      <c r="BX3" s="545"/>
      <c r="BY3" s="545"/>
      <c r="BZ3" s="545"/>
      <c r="CA3" s="545"/>
    </row>
    <row r="4" spans="1:79" s="4" customFormat="1" ht="21.75" thickTop="1" thickBot="1" x14ac:dyDescent="0.5">
      <c r="A4" s="561"/>
      <c r="B4" s="2"/>
      <c r="C4" s="3"/>
      <c r="D4" s="6"/>
      <c r="E4" s="245"/>
      <c r="F4" s="1274" t="s">
        <v>137</v>
      </c>
      <c r="G4" s="1274"/>
      <c r="H4" s="1275" t="str">
        <f>F4</f>
        <v>PMAD LOKAL 12</v>
      </c>
      <c r="I4" s="1276"/>
      <c r="J4" s="1275" t="str">
        <f>H4</f>
        <v>PMAD LOKAL 12</v>
      </c>
      <c r="K4" s="1276"/>
      <c r="L4" s="1275" t="str">
        <f>J4</f>
        <v>PMAD LOKAL 12</v>
      </c>
      <c r="M4" s="1276"/>
      <c r="N4" s="1275" t="str">
        <f>L4</f>
        <v>PMAD LOKAL 12</v>
      </c>
      <c r="O4" s="1276"/>
      <c r="P4" s="1275" t="str">
        <f>N4</f>
        <v>PMAD LOKAL 12</v>
      </c>
      <c r="Q4" s="1276"/>
      <c r="R4" s="1275" t="str">
        <f>P4</f>
        <v>PMAD LOKAL 12</v>
      </c>
      <c r="S4" s="1276"/>
      <c r="T4" s="1275" t="str">
        <f>R4</f>
        <v>PMAD LOKAL 12</v>
      </c>
      <c r="U4" s="1276"/>
      <c r="V4" s="1275" t="str">
        <f>T4</f>
        <v>PMAD LOKAL 12</v>
      </c>
      <c r="W4" s="1276"/>
      <c r="X4" s="1275" t="str">
        <f>V4</f>
        <v>PMAD LOKAL 12</v>
      </c>
      <c r="Y4" s="1276"/>
      <c r="Z4" s="1275" t="str">
        <f>X4</f>
        <v>PMAD LOKAL 12</v>
      </c>
      <c r="AA4" s="1276"/>
      <c r="AB4" s="1275" t="str">
        <f>Z4</f>
        <v>PMAD LOKAL 12</v>
      </c>
      <c r="AC4" s="1276"/>
      <c r="AD4" s="1275" t="str">
        <f t="shared" ref="AD4" si="8">AB4</f>
        <v>PMAD LOKAL 12</v>
      </c>
      <c r="AE4" s="1276"/>
      <c r="AF4" s="1275" t="str">
        <f t="shared" ref="AF4" si="9">AD4</f>
        <v>PMAD LOKAL 12</v>
      </c>
      <c r="AG4" s="1276"/>
      <c r="AH4" s="1275" t="str">
        <f t="shared" ref="AH4" si="10">AF4</f>
        <v>PMAD LOKAL 12</v>
      </c>
      <c r="AI4" s="1276"/>
      <c r="AJ4" s="1275" t="str">
        <f t="shared" ref="AJ4" si="11">AH4</f>
        <v>PMAD LOKAL 12</v>
      </c>
      <c r="AK4" s="1276"/>
      <c r="AL4" s="1275" t="str">
        <f t="shared" ref="AL4" si="12">AJ4</f>
        <v>PMAD LOKAL 12</v>
      </c>
      <c r="AM4" s="1276"/>
      <c r="AN4" s="1275" t="str">
        <f t="shared" ref="AN4" si="13">AL4</f>
        <v>PMAD LOKAL 12</v>
      </c>
      <c r="AO4" s="1276"/>
      <c r="AP4" s="1275" t="str">
        <f t="shared" ref="AP4" si="14">AN4</f>
        <v>PMAD LOKAL 12</v>
      </c>
      <c r="AQ4" s="1276"/>
      <c r="AR4" s="1275" t="str">
        <f t="shared" ref="AR4" si="15">AN4</f>
        <v>PMAD LOKAL 12</v>
      </c>
      <c r="AS4" s="1276"/>
      <c r="AT4" s="1275" t="str">
        <f t="shared" ref="AT4" si="16">AP4</f>
        <v>PMAD LOKAL 12</v>
      </c>
      <c r="AU4" s="1276"/>
      <c r="AV4" s="1275" t="str">
        <f t="shared" ref="AV4" si="17">AR4</f>
        <v>PMAD LOKAL 12</v>
      </c>
      <c r="AW4" s="1276"/>
      <c r="AX4" s="1301" t="s">
        <v>353</v>
      </c>
      <c r="AY4" s="1302"/>
      <c r="AZ4" s="1301" t="s">
        <v>353</v>
      </c>
      <c r="BA4" s="1302"/>
      <c r="BB4" s="1301" t="s">
        <v>353</v>
      </c>
      <c r="BC4" s="1302"/>
      <c r="BD4" s="1301" t="s">
        <v>353</v>
      </c>
      <c r="BE4" s="1302"/>
      <c r="BF4" s="1301" t="s">
        <v>353</v>
      </c>
      <c r="BG4" s="1302"/>
      <c r="BH4" s="1301" t="s">
        <v>353</v>
      </c>
      <c r="BI4" s="1302"/>
      <c r="BJ4" s="1301" t="s">
        <v>353</v>
      </c>
      <c r="BK4" s="1302"/>
      <c r="BL4" s="1301" t="s">
        <v>353</v>
      </c>
      <c r="BM4" s="1302"/>
      <c r="BN4" s="1301" t="s">
        <v>353</v>
      </c>
      <c r="BO4" s="1302"/>
      <c r="BP4" s="1301" t="s">
        <v>353</v>
      </c>
      <c r="BQ4" s="1302"/>
      <c r="BR4" s="1301" t="s">
        <v>353</v>
      </c>
      <c r="BS4" s="1302"/>
      <c r="BT4" s="1301" t="s">
        <v>353</v>
      </c>
      <c r="BU4" s="1302"/>
      <c r="BV4" s="1301" t="s">
        <v>353</v>
      </c>
      <c r="BW4" s="1302"/>
      <c r="BX4" s="545"/>
      <c r="BY4" s="545"/>
      <c r="BZ4" s="545"/>
      <c r="CA4" s="545"/>
    </row>
    <row r="5" spans="1:79" s="4" customFormat="1" ht="15" thickTop="1" thickBot="1" x14ac:dyDescent="0.5">
      <c r="A5" s="561"/>
      <c r="B5" s="7"/>
      <c r="E5" s="245"/>
      <c r="F5" s="1274"/>
      <c r="G5" s="1274"/>
      <c r="H5" s="1238"/>
      <c r="I5" s="1239"/>
      <c r="J5" s="1238"/>
      <c r="K5" s="1239"/>
      <c r="L5" s="1238"/>
      <c r="M5" s="1239"/>
      <c r="N5" s="1238"/>
      <c r="O5" s="1239"/>
      <c r="P5" s="1238"/>
      <c r="Q5" s="1239"/>
      <c r="R5" s="1238"/>
      <c r="S5" s="1239"/>
      <c r="T5" s="1238"/>
      <c r="U5" s="1239"/>
      <c r="V5" s="1238"/>
      <c r="W5" s="1239"/>
      <c r="X5" s="1238"/>
      <c r="Y5" s="1239"/>
      <c r="Z5" s="1238"/>
      <c r="AA5" s="1239"/>
      <c r="AB5" s="1238"/>
      <c r="AC5" s="1239"/>
      <c r="AD5" s="1238"/>
      <c r="AE5" s="1239"/>
      <c r="AF5" s="1238"/>
      <c r="AG5" s="1239"/>
      <c r="AH5" s="1238"/>
      <c r="AI5" s="1239"/>
      <c r="AJ5" s="1238"/>
      <c r="AK5" s="1239"/>
      <c r="AL5" s="1238"/>
      <c r="AM5" s="1239"/>
      <c r="AN5" s="1238"/>
      <c r="AO5" s="1239"/>
      <c r="AP5" s="1238"/>
      <c r="AQ5" s="1239"/>
      <c r="AR5" s="1238"/>
      <c r="AS5" s="1239"/>
      <c r="AT5" s="1238"/>
      <c r="AU5" s="1239"/>
      <c r="AV5" s="1238"/>
      <c r="AW5" s="1239"/>
      <c r="AX5" s="1303"/>
      <c r="AY5" s="1304"/>
      <c r="AZ5" s="1303"/>
      <c r="BA5" s="1304"/>
      <c r="BB5" s="1303"/>
      <c r="BC5" s="1304"/>
      <c r="BD5" s="1303"/>
      <c r="BE5" s="1304"/>
      <c r="BF5" s="1303"/>
      <c r="BG5" s="1304"/>
      <c r="BH5" s="1303"/>
      <c r="BI5" s="1304"/>
      <c r="BJ5" s="1303"/>
      <c r="BK5" s="1304"/>
      <c r="BL5" s="1303"/>
      <c r="BM5" s="1304"/>
      <c r="BN5" s="1303"/>
      <c r="BO5" s="1304"/>
      <c r="BP5" s="1303"/>
      <c r="BQ5" s="1304"/>
      <c r="BR5" s="1303"/>
      <c r="BS5" s="1304"/>
      <c r="BT5" s="1303"/>
      <c r="BU5" s="1304"/>
      <c r="BV5" s="1303"/>
      <c r="BW5" s="1304"/>
      <c r="BX5" s="545"/>
      <c r="BY5" s="545"/>
      <c r="BZ5" s="545"/>
      <c r="CA5" s="545"/>
    </row>
    <row r="6" spans="1:79" s="7" customFormat="1" ht="14.65" thickTop="1" x14ac:dyDescent="0.45">
      <c r="A6" s="561"/>
      <c r="B6" s="1202" t="s">
        <v>5</v>
      </c>
      <c r="C6" s="8" t="s">
        <v>6</v>
      </c>
      <c r="D6" s="9"/>
      <c r="E6" s="246"/>
      <c r="F6" s="1234"/>
      <c r="G6" s="1206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65"/>
      <c r="AY6" s="1266"/>
      <c r="AZ6" s="1265"/>
      <c r="BA6" s="1266"/>
      <c r="BB6" s="1265"/>
      <c r="BC6" s="1266"/>
      <c r="BD6" s="1265"/>
      <c r="BE6" s="1266"/>
      <c r="BF6" s="1265"/>
      <c r="BG6" s="1266"/>
      <c r="BH6" s="1265"/>
      <c r="BI6" s="1266"/>
      <c r="BJ6" s="1265"/>
      <c r="BK6" s="1266"/>
      <c r="BL6" s="1265"/>
      <c r="BM6" s="1266"/>
      <c r="BN6" s="1265"/>
      <c r="BO6" s="1266"/>
      <c r="BP6" s="1265"/>
      <c r="BQ6" s="1266"/>
      <c r="BR6" s="1265"/>
      <c r="BS6" s="1266"/>
      <c r="BT6" s="1265"/>
      <c r="BU6" s="1266"/>
      <c r="BV6" s="1265"/>
      <c r="BW6" s="1266"/>
      <c r="BX6" s="545"/>
      <c r="BY6" s="545"/>
      <c r="BZ6" s="545"/>
      <c r="CA6" s="545"/>
    </row>
    <row r="7" spans="1:79" s="7" customFormat="1" ht="28.5" x14ac:dyDescent="0.45">
      <c r="A7" s="561"/>
      <c r="B7" s="1203"/>
      <c r="C7" s="10" t="s">
        <v>11</v>
      </c>
      <c r="D7" s="11"/>
      <c r="E7" s="247"/>
      <c r="F7" s="1200">
        <v>184763</v>
      </c>
      <c r="G7" s="1201"/>
      <c r="H7" s="1200">
        <v>184763</v>
      </c>
      <c r="I7" s="1201"/>
      <c r="J7" s="1200">
        <v>184763</v>
      </c>
      <c r="K7" s="1201"/>
      <c r="L7" s="1200">
        <v>184763</v>
      </c>
      <c r="M7" s="1201"/>
      <c r="N7" s="1200">
        <v>184763</v>
      </c>
      <c r="O7" s="1201"/>
      <c r="P7" s="1200">
        <v>184763</v>
      </c>
      <c r="Q7" s="1201"/>
      <c r="R7" s="1200">
        <v>184763</v>
      </c>
      <c r="S7" s="1201"/>
      <c r="T7" s="1200">
        <v>184763</v>
      </c>
      <c r="U7" s="1201"/>
      <c r="V7" s="1200">
        <v>184763</v>
      </c>
      <c r="W7" s="1201"/>
      <c r="X7" s="1200">
        <v>184763</v>
      </c>
      <c r="Y7" s="1201"/>
      <c r="Z7" s="1200">
        <v>184763</v>
      </c>
      <c r="AA7" s="1201"/>
      <c r="AB7" s="1200">
        <v>184763</v>
      </c>
      <c r="AC7" s="1201"/>
      <c r="AD7" s="1200">
        <v>184763</v>
      </c>
      <c r="AE7" s="1201"/>
      <c r="AF7" s="1200">
        <v>184763</v>
      </c>
      <c r="AG7" s="1201"/>
      <c r="AH7" s="1200">
        <v>184763</v>
      </c>
      <c r="AI7" s="1201"/>
      <c r="AJ7" s="1200">
        <v>184763</v>
      </c>
      <c r="AK7" s="1201"/>
      <c r="AL7" s="1200">
        <v>184763</v>
      </c>
      <c r="AM7" s="1201"/>
      <c r="AN7" s="1200">
        <v>184763</v>
      </c>
      <c r="AO7" s="1201"/>
      <c r="AP7" s="1200">
        <v>184763</v>
      </c>
      <c r="AQ7" s="1201"/>
      <c r="AR7" s="1200">
        <v>184763</v>
      </c>
      <c r="AS7" s="1201"/>
      <c r="AT7" s="1200">
        <v>184763</v>
      </c>
      <c r="AU7" s="1201"/>
      <c r="AV7" s="1200">
        <v>184763</v>
      </c>
      <c r="AW7" s="1201"/>
      <c r="AX7" s="1267">
        <v>184763</v>
      </c>
      <c r="AY7" s="1268"/>
      <c r="AZ7" s="1267">
        <v>184763</v>
      </c>
      <c r="BA7" s="1268"/>
      <c r="BB7" s="1267">
        <v>184763</v>
      </c>
      <c r="BC7" s="1268"/>
      <c r="BD7" s="1267">
        <v>184763</v>
      </c>
      <c r="BE7" s="1268"/>
      <c r="BF7" s="1267">
        <v>184763</v>
      </c>
      <c r="BG7" s="1268"/>
      <c r="BH7" s="1267">
        <v>184763</v>
      </c>
      <c r="BI7" s="1268"/>
      <c r="BJ7" s="1267">
        <v>184763</v>
      </c>
      <c r="BK7" s="1268"/>
      <c r="BL7" s="1267">
        <v>184763</v>
      </c>
      <c r="BM7" s="1268"/>
      <c r="BN7" s="1267">
        <v>184763</v>
      </c>
      <c r="BO7" s="1268"/>
      <c r="BP7" s="1267">
        <v>184763</v>
      </c>
      <c r="BQ7" s="1268"/>
      <c r="BR7" s="1267">
        <v>184763</v>
      </c>
      <c r="BS7" s="1268"/>
      <c r="BT7" s="1267">
        <v>184763</v>
      </c>
      <c r="BU7" s="1268"/>
      <c r="BV7" s="1267">
        <v>184763</v>
      </c>
      <c r="BW7" s="1268"/>
      <c r="BX7" s="545"/>
      <c r="BY7" s="545"/>
      <c r="BZ7" s="545"/>
      <c r="CA7" s="545"/>
    </row>
    <row r="8" spans="1:79" s="7" customFormat="1" x14ac:dyDescent="0.45">
      <c r="A8" s="561"/>
      <c r="B8" s="1203"/>
      <c r="C8" s="12" t="s">
        <v>12</v>
      </c>
      <c r="D8" s="11"/>
      <c r="E8" s="11"/>
      <c r="F8" s="1232">
        <f>G60</f>
        <v>4.38</v>
      </c>
      <c r="G8" s="1233"/>
      <c r="H8" s="1232">
        <f t="shared" ref="H8" si="18">I60</f>
        <v>4.38</v>
      </c>
      <c r="I8" s="1233"/>
      <c r="J8" s="1232">
        <f t="shared" ref="J8" si="19">K60</f>
        <v>4.38</v>
      </c>
      <c r="K8" s="1233"/>
      <c r="L8" s="1232">
        <f t="shared" ref="L8" si="20">M60</f>
        <v>4.38</v>
      </c>
      <c r="M8" s="1233"/>
      <c r="N8" s="1232">
        <f t="shared" ref="N8" si="21">O60</f>
        <v>4.38</v>
      </c>
      <c r="O8" s="1233"/>
      <c r="P8" s="1232">
        <f t="shared" ref="P8" si="22">Q60</f>
        <v>4.38</v>
      </c>
      <c r="Q8" s="1233"/>
      <c r="R8" s="1232">
        <f t="shared" ref="R8" si="23">S60</f>
        <v>4.38</v>
      </c>
      <c r="S8" s="1233"/>
      <c r="T8" s="1232">
        <f t="shared" ref="T8" si="24">U60</f>
        <v>4.38</v>
      </c>
      <c r="U8" s="1233"/>
      <c r="V8" s="1232">
        <f t="shared" ref="V8" si="25">W60</f>
        <v>4.38</v>
      </c>
      <c r="W8" s="1233"/>
      <c r="X8" s="1232">
        <f t="shared" ref="X8" si="26">Y60</f>
        <v>4.38</v>
      </c>
      <c r="Y8" s="1233"/>
      <c r="Z8" s="1232">
        <f t="shared" ref="Z8" si="27">AA60</f>
        <v>4.38</v>
      </c>
      <c r="AA8" s="1233"/>
      <c r="AB8" s="1232">
        <f t="shared" ref="AB8" si="28">AC60</f>
        <v>4.38</v>
      </c>
      <c r="AC8" s="1233"/>
      <c r="AD8" s="1232">
        <f t="shared" ref="AD8" si="29">AE60</f>
        <v>4.38</v>
      </c>
      <c r="AE8" s="1233"/>
      <c r="AF8" s="1232">
        <f t="shared" ref="AF8" si="30">AG60</f>
        <v>4.38</v>
      </c>
      <c r="AG8" s="1233"/>
      <c r="AH8" s="1232">
        <f t="shared" ref="AH8" si="31">AI60</f>
        <v>4.38</v>
      </c>
      <c r="AI8" s="1233"/>
      <c r="AJ8" s="1232">
        <f t="shared" ref="AJ8" si="32">AK60</f>
        <v>4.38</v>
      </c>
      <c r="AK8" s="1233"/>
      <c r="AL8" s="1232">
        <f t="shared" ref="AL8" si="33">AM60</f>
        <v>4.38</v>
      </c>
      <c r="AM8" s="1233"/>
      <c r="AN8" s="1232">
        <f t="shared" ref="AN8" si="34">AO60</f>
        <v>4.38</v>
      </c>
      <c r="AO8" s="1233"/>
      <c r="AP8" s="1232">
        <f t="shared" ref="AP8" si="35">AQ60</f>
        <v>4.38</v>
      </c>
      <c r="AQ8" s="1233"/>
      <c r="AR8" s="1232">
        <f t="shared" ref="AR8" si="36">AS60</f>
        <v>4.38</v>
      </c>
      <c r="AS8" s="1233"/>
      <c r="AT8" s="1232">
        <f t="shared" ref="AT8" si="37">AU60</f>
        <v>4.38</v>
      </c>
      <c r="AU8" s="1233"/>
      <c r="AV8" s="1232">
        <f t="shared" ref="AV8" si="38">AW60</f>
        <v>4.38</v>
      </c>
      <c r="AW8" s="1233"/>
      <c r="AX8" s="1269">
        <f>AY60</f>
        <v>4.3514364999999993</v>
      </c>
      <c r="AY8" s="1270"/>
      <c r="AZ8" s="1269">
        <f>BA60</f>
        <v>4.3476864999999991</v>
      </c>
      <c r="BA8" s="1270"/>
      <c r="BB8" s="1269">
        <f>BC60</f>
        <v>4.3476864999999991</v>
      </c>
      <c r="BC8" s="1270"/>
      <c r="BD8" s="1269">
        <f>BE60</f>
        <v>4.4001062500000003</v>
      </c>
      <c r="BE8" s="1270"/>
      <c r="BF8" s="1269">
        <f>BG60</f>
        <v>4.4001062500000003</v>
      </c>
      <c r="BG8" s="1270"/>
      <c r="BH8" s="1269">
        <f>BI60</f>
        <v>4.4001062500000003</v>
      </c>
      <c r="BI8" s="1270"/>
      <c r="BJ8" s="1269">
        <f>BK60</f>
        <v>4.4001062500000003</v>
      </c>
      <c r="BK8" s="1270"/>
      <c r="BL8" s="1269">
        <f>BM60</f>
        <v>4.4001062500000003</v>
      </c>
      <c r="BM8" s="1270"/>
      <c r="BN8" s="1269">
        <f>BO60</f>
        <v>4.3971587819194982</v>
      </c>
      <c r="BO8" s="1270"/>
      <c r="BP8" s="1269">
        <f>BQ60</f>
        <v>4.3971587819194982</v>
      </c>
      <c r="BQ8" s="1270"/>
      <c r="BR8" s="1269">
        <f>BS60</f>
        <v>4.3971587819194982</v>
      </c>
      <c r="BS8" s="1270"/>
      <c r="BT8" s="1269">
        <f>BU60</f>
        <v>4.4001062500000003</v>
      </c>
      <c r="BU8" s="1270"/>
      <c r="BV8" s="1269">
        <f>BW60</f>
        <v>4.4037177819194984</v>
      </c>
      <c r="BW8" s="1270"/>
      <c r="BX8" s="545"/>
      <c r="BY8" s="545"/>
      <c r="BZ8" s="545"/>
      <c r="CA8" s="545"/>
    </row>
    <row r="9" spans="1:79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$1.03/ctn</v>
      </c>
      <c r="G9" s="1191"/>
      <c r="H9" s="1190" t="str">
        <f t="shared" ref="H9" si="39">CONCATENATE("TP $",TEXT(I57,"#,##0.00"),"/ctn")</f>
        <v>TP $1.03/ctn</v>
      </c>
      <c r="I9" s="1191"/>
      <c r="J9" s="1190" t="str">
        <f t="shared" ref="J9" si="40">CONCATENATE("TP $",TEXT(K57,"#,##0.00"),"/ctn")</f>
        <v>TP $1.03/ctn</v>
      </c>
      <c r="K9" s="1191"/>
      <c r="L9" s="1190" t="str">
        <f t="shared" ref="L9" si="41">CONCATENATE("TP $",TEXT(M57,"#,##0.00"),"/ctn")</f>
        <v>TP $1.03/ctn</v>
      </c>
      <c r="M9" s="1191"/>
      <c r="N9" s="1190" t="str">
        <f t="shared" ref="N9" si="42">CONCATENATE("TP $",TEXT(O57,"#,##0.00"),"/ctn")</f>
        <v>TP $1.03/ctn</v>
      </c>
      <c r="O9" s="1191"/>
      <c r="P9" s="1190" t="str">
        <f t="shared" ref="P9" si="43">CONCATENATE("TP $",TEXT(Q57,"#,##0.00"),"/ctn")</f>
        <v>TP $1.03/ctn</v>
      </c>
      <c r="Q9" s="1191"/>
      <c r="R9" s="1190" t="str">
        <f t="shared" ref="R9" si="44">CONCATENATE("TP $",TEXT(S57,"#,##0.00"),"/ctn")</f>
        <v>TP $1.03/ctn</v>
      </c>
      <c r="S9" s="1191"/>
      <c r="T9" s="1190" t="str">
        <f t="shared" ref="T9" si="45">CONCATENATE("TP $",TEXT(U57,"#,##0.00"),"/ctn")</f>
        <v>TP $1.03/ctn</v>
      </c>
      <c r="U9" s="1191"/>
      <c r="V9" s="1190" t="str">
        <f t="shared" ref="V9" si="46">CONCATENATE("TP $",TEXT(W57,"#,##0.00"),"/ctn")</f>
        <v>TP $1.03/ctn</v>
      </c>
      <c r="W9" s="1191"/>
      <c r="X9" s="1190" t="str">
        <f t="shared" ref="X9" si="47">CONCATENATE("TP $",TEXT(Y57,"#,##0.00"),"/ctn")</f>
        <v>TP $1.03/ctn</v>
      </c>
      <c r="Y9" s="1191"/>
      <c r="Z9" s="1190" t="str">
        <f t="shared" ref="Z9" si="48">CONCATENATE("TP $",TEXT(AA57,"#,##0.00"),"/ctn")</f>
        <v>TP $1.03/ctn</v>
      </c>
      <c r="AA9" s="1191"/>
      <c r="AB9" s="1190" t="str">
        <f t="shared" ref="AB9" si="49">CONCATENATE("TP $",TEXT(AC57,"#,##0.00"),"/ctn")</f>
        <v>TP $0.89/ctn</v>
      </c>
      <c r="AC9" s="1191"/>
      <c r="AD9" s="1190" t="str">
        <f t="shared" ref="AD9" si="50">CONCATENATE("TP $",TEXT(AE57,"#,##0.00"),"/ctn")</f>
        <v>TP $1.03/ctn</v>
      </c>
      <c r="AE9" s="1191"/>
      <c r="AF9" s="1190" t="str">
        <f t="shared" ref="AF9" si="51">CONCATENATE("TP $",TEXT(AG57,"#,##0.00"),"/ctn")</f>
        <v>TP $1.03/ctn</v>
      </c>
      <c r="AG9" s="1191"/>
      <c r="AH9" s="1190" t="str">
        <f t="shared" ref="AH9" si="52">CONCATENATE("TP $",TEXT(AI57,"#,##0.00"),"/ctn")</f>
        <v>TP $1.03/ctn</v>
      </c>
      <c r="AI9" s="1191"/>
      <c r="AJ9" s="1190" t="str">
        <f t="shared" ref="AJ9" si="53">CONCATENATE("TP $",TEXT(AK57,"#,##0.00"),"/ctn")</f>
        <v>TP $1.03/ctn</v>
      </c>
      <c r="AK9" s="1191"/>
      <c r="AL9" s="1190" t="str">
        <f t="shared" ref="AL9" si="54">CONCATENATE("TP $",TEXT(AM57,"#,##0.00"),"/ctn")</f>
        <v>TP $1.03/ctn</v>
      </c>
      <c r="AM9" s="1191"/>
      <c r="AN9" s="1190" t="str">
        <f t="shared" ref="AN9" si="55">CONCATENATE("TP $",TEXT(AO57,"#,##0.00"),"/ctn")</f>
        <v>TP $1.03/ctn</v>
      </c>
      <c r="AO9" s="1191"/>
      <c r="AP9" s="1190" t="str">
        <f t="shared" ref="AP9" si="56">CONCATENATE("TP $",TEXT(AQ57,"#,##0.00"),"/ctn")</f>
        <v>TP $1.03/ctn</v>
      </c>
      <c r="AQ9" s="1191"/>
      <c r="AR9" s="1190" t="str">
        <f t="shared" ref="AR9" si="57">CONCATENATE("TP $",TEXT(AS57,"#,##0.00"),"/ctn")</f>
        <v>TP $1.03/ctn</v>
      </c>
      <c r="AS9" s="1191"/>
      <c r="AT9" s="1190" t="str">
        <f t="shared" ref="AT9" si="58">CONCATENATE("TP $",TEXT(AU57,"#,##0.00"),"/ctn")</f>
        <v>TP $1.33/ctn</v>
      </c>
      <c r="AU9" s="1191"/>
      <c r="AV9" s="1190" t="str">
        <f t="shared" ref="AV9" si="59">CONCATENATE("TP $",TEXT(AW57,"#,##0.00"),"/ctn")</f>
        <v>TP $1.33/ctn</v>
      </c>
      <c r="AW9" s="1191"/>
      <c r="AX9" s="1271" t="str">
        <f>CONCATENATE("TP $",TEXT(AY57,"#,##0.00"),"/ctn")</f>
        <v>TP $1.00/ctn</v>
      </c>
      <c r="AY9" s="1272"/>
      <c r="AZ9" s="1271" t="str">
        <f>CONCATENATE("TP $",TEXT(BA57,"#,##0.00"),"/ctn")</f>
        <v>TP $1.00/ctn</v>
      </c>
      <c r="BA9" s="1272"/>
      <c r="BB9" s="1271" t="str">
        <f>CONCATENATE("TP $",TEXT(BC57,"#,##0.00"),"/ctn")</f>
        <v>TP $1.00/ctn</v>
      </c>
      <c r="BC9" s="1272"/>
      <c r="BD9" s="1271" t="str">
        <f>CONCATENATE("TP $",TEXT(BE57,"#,##0.00"),"/ctn")</f>
        <v>TP $1.05/ctn</v>
      </c>
      <c r="BE9" s="1272"/>
      <c r="BF9" s="1271" t="str">
        <f>CONCATENATE("TP $",TEXT(BG57,"#,##0.00"),"/ctn")</f>
        <v>TP $1.05/ctn</v>
      </c>
      <c r="BG9" s="1272"/>
      <c r="BH9" s="1271" t="str">
        <f>CONCATENATE("TP $",TEXT(BI57,"#,##0.00"),"/ctn")</f>
        <v>TP $1.05/ctn</v>
      </c>
      <c r="BI9" s="1272"/>
      <c r="BJ9" s="1271" t="str">
        <f>CONCATENATE("TP $",TEXT(BK57,"#,##0.00"),"/ctn")</f>
        <v>TP $1.05/ctn</v>
      </c>
      <c r="BK9" s="1272"/>
      <c r="BL9" s="1271" t="str">
        <f>CONCATENATE("TP $",TEXT(BM57,"#,##0.00"),"/ctn")</f>
        <v>TP $1.05/ctn</v>
      </c>
      <c r="BM9" s="1272"/>
      <c r="BN9" s="1271" t="str">
        <f>CONCATENATE("TP $",TEXT(BO57,"#,##0.00"),"/ctn")</f>
        <v>TP $1.05/ctn</v>
      </c>
      <c r="BO9" s="1272"/>
      <c r="BP9" s="1271" t="str">
        <f>CONCATENATE("TP $",TEXT(BQ57,"#,##0.00"),"/ctn")</f>
        <v>TP $1.05/ctn</v>
      </c>
      <c r="BQ9" s="1272"/>
      <c r="BR9" s="1271" t="str">
        <f>CONCATENATE("TP $",TEXT(BS57,"#,##0.00"),"/ctn")</f>
        <v>TP $1.05/ctn</v>
      </c>
      <c r="BS9" s="1272"/>
      <c r="BT9" s="1271" t="str">
        <f>CONCATENATE("TP $",TEXT(BU57,"#,##0.00"),"/ctn")</f>
        <v>TP $1.05/ctn</v>
      </c>
      <c r="BU9" s="1272"/>
      <c r="BV9" s="1271" t="str">
        <f>CONCATENATE("TP $",TEXT(BW57,"#,##0.00"),"/ctn")</f>
        <v>TP $1.05/ctn</v>
      </c>
      <c r="BW9" s="1272"/>
      <c r="BX9" s="545"/>
      <c r="BY9" s="545"/>
      <c r="BZ9" s="545"/>
      <c r="CA9" s="545"/>
    </row>
    <row r="10" spans="1:79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12</v>
      </c>
      <c r="G10" s="253" t="str">
        <f>+F10</f>
        <v>12</v>
      </c>
      <c r="H10" s="252" t="str">
        <f t="shared" ref="H10" si="60">RIGHT(H2,2)</f>
        <v>12</v>
      </c>
      <c r="I10" s="253" t="str">
        <f t="shared" ref="I10" si="61">+H10</f>
        <v>12</v>
      </c>
      <c r="J10" s="252" t="str">
        <f t="shared" ref="J10" si="62">RIGHT(J2,2)</f>
        <v>12</v>
      </c>
      <c r="K10" s="253" t="str">
        <f t="shared" ref="K10" si="63">+J10</f>
        <v>12</v>
      </c>
      <c r="L10" s="252" t="str">
        <f t="shared" ref="L10" si="64">RIGHT(L2,2)</f>
        <v>12</v>
      </c>
      <c r="M10" s="253" t="str">
        <f t="shared" ref="M10" si="65">+L10</f>
        <v>12</v>
      </c>
      <c r="N10" s="252" t="str">
        <f t="shared" ref="N10" si="66">RIGHT(N2,2)</f>
        <v>12</v>
      </c>
      <c r="O10" s="253" t="str">
        <f t="shared" ref="O10" si="67">+N10</f>
        <v>12</v>
      </c>
      <c r="P10" s="252" t="str">
        <f t="shared" ref="P10" si="68">RIGHT(P2,2)</f>
        <v>12</v>
      </c>
      <c r="Q10" s="253" t="str">
        <f t="shared" ref="Q10" si="69">+P10</f>
        <v>12</v>
      </c>
      <c r="R10" s="252" t="str">
        <f t="shared" ref="R10" si="70">RIGHT(R2,2)</f>
        <v>12</v>
      </c>
      <c r="S10" s="253" t="str">
        <f t="shared" ref="S10" si="71">+R10</f>
        <v>12</v>
      </c>
      <c r="T10" s="252" t="str">
        <f t="shared" ref="T10" si="72">RIGHT(T2,2)</f>
        <v>12</v>
      </c>
      <c r="U10" s="253" t="str">
        <f t="shared" ref="U10" si="73">+T10</f>
        <v>12</v>
      </c>
      <c r="V10" s="252" t="str">
        <f t="shared" ref="V10" si="74">RIGHT(V2,2)</f>
        <v>12</v>
      </c>
      <c r="W10" s="253" t="str">
        <f t="shared" ref="W10" si="75">+V10</f>
        <v>12</v>
      </c>
      <c r="X10" s="252" t="str">
        <f t="shared" ref="X10" si="76">RIGHT(X2,2)</f>
        <v>12</v>
      </c>
      <c r="Y10" s="253" t="str">
        <f t="shared" ref="Y10" si="77">+X10</f>
        <v>12</v>
      </c>
      <c r="Z10" s="252" t="str">
        <f t="shared" ref="Z10" si="78">RIGHT(Z2,2)</f>
        <v>12</v>
      </c>
      <c r="AA10" s="253" t="str">
        <f t="shared" ref="AA10" si="79">+Z10</f>
        <v>12</v>
      </c>
      <c r="AB10" s="252" t="str">
        <f t="shared" ref="AB10" si="80">RIGHT(AB2,2)</f>
        <v>12</v>
      </c>
      <c r="AC10" s="253" t="str">
        <f t="shared" ref="AC10:AI10" si="81">+AB10</f>
        <v>12</v>
      </c>
      <c r="AD10" s="252" t="str">
        <f t="shared" ref="AD10" si="82">RIGHT(AD2,2)</f>
        <v>12</v>
      </c>
      <c r="AE10" s="253" t="str">
        <f t="shared" si="81"/>
        <v>12</v>
      </c>
      <c r="AF10" s="252" t="str">
        <f t="shared" ref="AF10" si="83">RIGHT(AF2,2)</f>
        <v>12</v>
      </c>
      <c r="AG10" s="253" t="str">
        <f t="shared" si="81"/>
        <v>12</v>
      </c>
      <c r="AH10" s="252" t="str">
        <f t="shared" ref="AH10" si="84">RIGHT(AH2,2)</f>
        <v>12</v>
      </c>
      <c r="AI10" s="253" t="str">
        <f t="shared" si="81"/>
        <v>12</v>
      </c>
      <c r="AJ10" s="252" t="str">
        <f t="shared" ref="AJ10" si="85">RIGHT(AJ2,2)</f>
        <v>12</v>
      </c>
      <c r="AK10" s="253" t="str">
        <f t="shared" ref="AK10" si="86">+AJ10</f>
        <v>12</v>
      </c>
      <c r="AL10" s="252" t="str">
        <f t="shared" ref="AL10" si="87">RIGHT(AL2,2)</f>
        <v>12</v>
      </c>
      <c r="AM10" s="253" t="str">
        <f t="shared" ref="AM10" si="88">+AL10</f>
        <v>12</v>
      </c>
      <c r="AN10" s="252" t="str">
        <f t="shared" ref="AN10:AP10" si="89">RIGHT(AN2,2)</f>
        <v>12</v>
      </c>
      <c r="AO10" s="253" t="str">
        <f t="shared" ref="AO10" si="90">+AN10</f>
        <v>12</v>
      </c>
      <c r="AP10" s="252" t="str">
        <f t="shared" si="89"/>
        <v>12</v>
      </c>
      <c r="AQ10" s="253" t="str">
        <f t="shared" ref="AQ10" si="91">+AP10</f>
        <v>12</v>
      </c>
      <c r="AR10" s="252" t="str">
        <f t="shared" ref="AR10" si="92">RIGHT(AR2,2)</f>
        <v>12</v>
      </c>
      <c r="AS10" s="253" t="str">
        <f t="shared" ref="AS10" si="93">+AR10</f>
        <v>12</v>
      </c>
      <c r="AT10" s="252" t="str">
        <f t="shared" ref="AT10:AV10" si="94">RIGHT(AT2,2)</f>
        <v>12</v>
      </c>
      <c r="AU10" s="253" t="str">
        <f t="shared" ref="AU10" si="95">+AT10</f>
        <v>12</v>
      </c>
      <c r="AV10" s="252" t="str">
        <f t="shared" si="94"/>
        <v>12</v>
      </c>
      <c r="AW10" s="253" t="str">
        <f t="shared" ref="AW10" si="96">+AV10</f>
        <v>12</v>
      </c>
      <c r="AX10" s="348" t="str">
        <f>RIGHT(AX2,2)</f>
        <v>12</v>
      </c>
      <c r="AY10" s="349" t="str">
        <f>+AX10</f>
        <v>12</v>
      </c>
      <c r="AZ10" s="348" t="str">
        <f>RIGHT(AZ2,2)</f>
        <v>12</v>
      </c>
      <c r="BA10" s="349" t="str">
        <f>+AZ10</f>
        <v>12</v>
      </c>
      <c r="BB10" s="348" t="str">
        <f>RIGHT(BB2,2)</f>
        <v>12</v>
      </c>
      <c r="BC10" s="349" t="str">
        <f>+BB10</f>
        <v>12</v>
      </c>
      <c r="BD10" s="348" t="str">
        <f>RIGHT(BD2,2)</f>
        <v>12</v>
      </c>
      <c r="BE10" s="349" t="str">
        <f>+BD10</f>
        <v>12</v>
      </c>
      <c r="BF10" s="348" t="str">
        <f>RIGHT(BF2,2)</f>
        <v>12</v>
      </c>
      <c r="BG10" s="349" t="str">
        <f>+BF10</f>
        <v>12</v>
      </c>
      <c r="BH10" s="348" t="str">
        <f>RIGHT(BH2,2)</f>
        <v>12</v>
      </c>
      <c r="BI10" s="349" t="str">
        <f>+BH10</f>
        <v>12</v>
      </c>
      <c r="BJ10" s="348" t="str">
        <f>RIGHT(BJ2,2)</f>
        <v>12</v>
      </c>
      <c r="BK10" s="349" t="str">
        <f>+BJ10</f>
        <v>12</v>
      </c>
      <c r="BL10" s="348" t="str">
        <f>RIGHT(BL2,2)</f>
        <v>12</v>
      </c>
      <c r="BM10" s="349" t="str">
        <f>+BL10</f>
        <v>12</v>
      </c>
      <c r="BN10" s="348" t="str">
        <f>RIGHT(BN2,2)</f>
        <v>12</v>
      </c>
      <c r="BO10" s="349" t="str">
        <f>+BN10</f>
        <v>12</v>
      </c>
      <c r="BP10" s="348" t="str">
        <f>RIGHT(BP2,2)</f>
        <v>12</v>
      </c>
      <c r="BQ10" s="349" t="str">
        <f>+BP10</f>
        <v>12</v>
      </c>
      <c r="BR10" s="348" t="str">
        <f>RIGHT(BR2,2)</f>
        <v>12</v>
      </c>
      <c r="BS10" s="349" t="str">
        <f>+BR10</f>
        <v>12</v>
      </c>
      <c r="BT10" s="348" t="str">
        <f>RIGHT(BT2,2)</f>
        <v>12</v>
      </c>
      <c r="BU10" s="349" t="str">
        <f>+BT10</f>
        <v>12</v>
      </c>
      <c r="BV10" s="348" t="str">
        <f>RIGHT(BV2,2)</f>
        <v>12</v>
      </c>
      <c r="BW10" s="349" t="str">
        <f>+BV10</f>
        <v>12</v>
      </c>
      <c r="BX10" s="545"/>
      <c r="BY10" s="545"/>
      <c r="BZ10" s="545"/>
      <c r="CA10" s="545"/>
    </row>
    <row r="11" spans="1:79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21" t="s">
        <v>25</v>
      </c>
      <c r="BS11" s="22" t="s">
        <v>26</v>
      </c>
      <c r="BT11" s="21" t="s">
        <v>25</v>
      </c>
      <c r="BU11" s="22" t="s">
        <v>26</v>
      </c>
      <c r="BV11" s="21" t="s">
        <v>25</v>
      </c>
      <c r="BW11" s="22" t="s">
        <v>26</v>
      </c>
      <c r="BX11" s="545"/>
      <c r="BY11" s="545"/>
      <c r="BZ11" s="545"/>
      <c r="CA11" s="545"/>
    </row>
    <row r="12" spans="1:79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23">
        <v>4068.66</v>
      </c>
      <c r="O12" s="24"/>
      <c r="P12" s="23">
        <v>4068.66</v>
      </c>
      <c r="Q12" s="24"/>
      <c r="R12" s="23">
        <v>4068.66</v>
      </c>
      <c r="S12" s="24"/>
      <c r="T12" s="23">
        <v>4068.66</v>
      </c>
      <c r="U12" s="24"/>
      <c r="V12" s="23">
        <v>4068.66</v>
      </c>
      <c r="W12" s="24"/>
      <c r="X12" s="23">
        <v>4068.66</v>
      </c>
      <c r="Y12" s="24"/>
      <c r="Z12" s="23">
        <v>4068.66</v>
      </c>
      <c r="AA12" s="24"/>
      <c r="AB12" s="23">
        <v>4068.66</v>
      </c>
      <c r="AC12" s="24"/>
      <c r="AD12" s="23">
        <v>4068.66</v>
      </c>
      <c r="AE12" s="24"/>
      <c r="AF12" s="23">
        <v>4068.66</v>
      </c>
      <c r="AG12" s="24"/>
      <c r="AH12" s="23">
        <v>4068.66</v>
      </c>
      <c r="AI12" s="24"/>
      <c r="AJ12" s="23">
        <v>4068.66</v>
      </c>
      <c r="AK12" s="24"/>
      <c r="AL12" s="23">
        <v>4068.66</v>
      </c>
      <c r="AM12" s="24"/>
      <c r="AN12" s="23">
        <v>4068.66</v>
      </c>
      <c r="AO12" s="24"/>
      <c r="AP12" s="23">
        <v>4068.66</v>
      </c>
      <c r="AQ12" s="24"/>
      <c r="AR12" s="23">
        <v>4068.66</v>
      </c>
      <c r="AS12" s="24"/>
      <c r="AT12" s="23">
        <v>4068.66</v>
      </c>
      <c r="AU12" s="24"/>
      <c r="AV12" s="23">
        <v>4068.66</v>
      </c>
      <c r="AW12" s="24"/>
      <c r="AX12" s="350">
        <v>4068.66</v>
      </c>
      <c r="AY12" s="351"/>
      <c r="AZ12" s="350">
        <v>4068.66</v>
      </c>
      <c r="BA12" s="351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350">
        <v>4068.66</v>
      </c>
      <c r="BI12" s="351"/>
      <c r="BJ12" s="350">
        <v>4068.66</v>
      </c>
      <c r="BK12" s="351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350">
        <v>4068.66</v>
      </c>
      <c r="BS12" s="351"/>
      <c r="BT12" s="350">
        <v>4068.66</v>
      </c>
      <c r="BU12" s="351"/>
      <c r="BV12" s="350">
        <v>4068.66</v>
      </c>
      <c r="BW12" s="351"/>
      <c r="BX12" s="545"/>
      <c r="BY12" s="545"/>
      <c r="BZ12" s="545"/>
      <c r="CA12" s="545"/>
    </row>
    <row r="13" spans="1:79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27"/>
      <c r="O13" s="28"/>
      <c r="P13" s="27"/>
      <c r="Q13" s="28"/>
      <c r="R13" s="27"/>
      <c r="S13" s="28"/>
      <c r="T13" s="27"/>
      <c r="U13" s="28"/>
      <c r="V13" s="27"/>
      <c r="W13" s="28"/>
      <c r="X13" s="27"/>
      <c r="Y13" s="28"/>
      <c r="Z13" s="27"/>
      <c r="AA13" s="28"/>
      <c r="AB13" s="27"/>
      <c r="AC13" s="28"/>
      <c r="AD13" s="27"/>
      <c r="AE13" s="28"/>
      <c r="AF13" s="27"/>
      <c r="AG13" s="28"/>
      <c r="AH13" s="27"/>
      <c r="AI13" s="28"/>
      <c r="AJ13" s="27"/>
      <c r="AK13" s="28"/>
      <c r="AL13" s="27"/>
      <c r="AM13" s="28"/>
      <c r="AN13" s="27"/>
      <c r="AO13" s="28"/>
      <c r="AP13" s="27"/>
      <c r="AQ13" s="28"/>
      <c r="AR13" s="27"/>
      <c r="AS13" s="28"/>
      <c r="AT13" s="27"/>
      <c r="AU13" s="28"/>
      <c r="AV13" s="27"/>
      <c r="AW13" s="28"/>
      <c r="AX13" s="352"/>
      <c r="AY13" s="353"/>
      <c r="AZ13" s="352"/>
      <c r="BA13" s="353"/>
      <c r="BB13" s="352"/>
      <c r="BC13" s="353"/>
      <c r="BD13" s="352"/>
      <c r="BE13" s="353"/>
      <c r="BF13" s="352"/>
      <c r="BG13" s="353"/>
      <c r="BH13" s="352"/>
      <c r="BI13" s="353"/>
      <c r="BJ13" s="352"/>
      <c r="BK13" s="353"/>
      <c r="BL13" s="352"/>
      <c r="BM13" s="353"/>
      <c r="BN13" s="352"/>
      <c r="BO13" s="353"/>
      <c r="BP13" s="352"/>
      <c r="BQ13" s="353"/>
      <c r="BR13" s="352"/>
      <c r="BS13" s="353"/>
      <c r="BT13" s="352"/>
      <c r="BU13" s="353"/>
      <c r="BV13" s="352"/>
      <c r="BW13" s="353"/>
      <c r="BX13" s="545"/>
      <c r="BY13" s="545"/>
      <c r="BZ13" s="545"/>
      <c r="CA13" s="545"/>
    </row>
    <row r="14" spans="1:79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8"/>
      <c r="AJ14" s="17"/>
      <c r="AK14" s="18"/>
      <c r="AL14" s="17"/>
      <c r="AM14" s="18"/>
      <c r="AN14" s="17"/>
      <c r="AO14" s="18"/>
      <c r="AP14" s="17"/>
      <c r="AQ14" s="18"/>
      <c r="AR14" s="17"/>
      <c r="AS14" s="18"/>
      <c r="AT14" s="17"/>
      <c r="AU14" s="18"/>
      <c r="AV14" s="17"/>
      <c r="AW14" s="18"/>
      <c r="AX14" s="354"/>
      <c r="AY14" s="355"/>
      <c r="AZ14" s="354"/>
      <c r="BA14" s="355"/>
      <c r="BB14" s="354"/>
      <c r="BC14" s="355"/>
      <c r="BD14" s="354"/>
      <c r="BE14" s="355"/>
      <c r="BF14" s="354"/>
      <c r="BG14" s="355"/>
      <c r="BH14" s="354"/>
      <c r="BI14" s="355"/>
      <c r="BJ14" s="354"/>
      <c r="BK14" s="355"/>
      <c r="BL14" s="354"/>
      <c r="BM14" s="355"/>
      <c r="BN14" s="354"/>
      <c r="BO14" s="355"/>
      <c r="BP14" s="354"/>
      <c r="BQ14" s="355"/>
      <c r="BR14" s="354"/>
      <c r="BS14" s="355"/>
      <c r="BT14" s="354"/>
      <c r="BU14" s="355"/>
      <c r="BV14" s="354"/>
      <c r="BW14" s="355"/>
      <c r="BX14" s="545"/>
      <c r="BY14" s="545"/>
      <c r="BZ14" s="545"/>
      <c r="CA14" s="545"/>
    </row>
    <row r="15" spans="1:79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2400</v>
      </c>
      <c r="G15" s="32">
        <f>+F15/F12</f>
        <v>0.58987479907389662</v>
      </c>
      <c r="H15" s="31">
        <v>2400</v>
      </c>
      <c r="I15" s="32">
        <f t="shared" ref="I15" si="97">+H15/H12</f>
        <v>0.58987479907389662</v>
      </c>
      <c r="J15" s="31">
        <v>2400</v>
      </c>
      <c r="K15" s="32">
        <f t="shared" ref="K15" si="98">+J15/J12</f>
        <v>0.58987479907389662</v>
      </c>
      <c r="L15" s="31">
        <v>2400</v>
      </c>
      <c r="M15" s="32">
        <f t="shared" ref="M15" si="99">+L15/L12</f>
        <v>0.58987479907389662</v>
      </c>
      <c r="N15" s="31">
        <v>2400</v>
      </c>
      <c r="O15" s="32">
        <f t="shared" ref="O15" si="100">+N15/N12</f>
        <v>0.58987479907389662</v>
      </c>
      <c r="P15" s="31">
        <v>2400</v>
      </c>
      <c r="Q15" s="32">
        <f t="shared" ref="Q15" si="101">+P15/P12</f>
        <v>0.58987479907389662</v>
      </c>
      <c r="R15" s="31">
        <v>2400</v>
      </c>
      <c r="S15" s="32">
        <f t="shared" ref="S15" si="102">+R15/R12</f>
        <v>0.58987479907389662</v>
      </c>
      <c r="T15" s="31">
        <v>2400</v>
      </c>
      <c r="U15" s="32">
        <f t="shared" ref="U15" si="103">+T15/T12</f>
        <v>0.58987479907389662</v>
      </c>
      <c r="V15" s="31">
        <v>2400</v>
      </c>
      <c r="W15" s="32">
        <f t="shared" ref="W15" si="104">+V15/V12</f>
        <v>0.58987479907389662</v>
      </c>
      <c r="X15" s="31">
        <v>2400</v>
      </c>
      <c r="Y15" s="32">
        <f t="shared" ref="Y15" si="105">+X15/X12</f>
        <v>0.58987479907389662</v>
      </c>
      <c r="Z15" s="31">
        <v>2400</v>
      </c>
      <c r="AA15" s="32">
        <f t="shared" ref="AA15" si="106">+Z15/Z12</f>
        <v>0.58987479907389662</v>
      </c>
      <c r="AB15" s="31">
        <v>2400</v>
      </c>
      <c r="AC15" s="32">
        <f t="shared" ref="AC15:AI15" si="107">+AB15/AB12</f>
        <v>0.58987479907389662</v>
      </c>
      <c r="AD15" s="31">
        <v>2400</v>
      </c>
      <c r="AE15" s="32">
        <f t="shared" si="107"/>
        <v>0.58987479907389662</v>
      </c>
      <c r="AF15" s="31">
        <v>2400</v>
      </c>
      <c r="AG15" s="32">
        <f t="shared" si="107"/>
        <v>0.58987479907389662</v>
      </c>
      <c r="AH15" s="31">
        <v>2500</v>
      </c>
      <c r="AI15" s="32">
        <f t="shared" si="107"/>
        <v>0.61445291570197558</v>
      </c>
      <c r="AJ15" s="31">
        <v>2400</v>
      </c>
      <c r="AK15" s="32">
        <f t="shared" ref="AK15" si="108">+AJ15/AJ12</f>
        <v>0.58987479907389662</v>
      </c>
      <c r="AL15" s="31">
        <v>2400</v>
      </c>
      <c r="AM15" s="32">
        <f t="shared" ref="AM15" si="109">+AL15/AL12</f>
        <v>0.58987479907389662</v>
      </c>
      <c r="AN15" s="31">
        <v>2400</v>
      </c>
      <c r="AO15" s="32">
        <f t="shared" ref="AO15" si="110">+AN15/AN12</f>
        <v>0.58987479907389662</v>
      </c>
      <c r="AP15" s="31">
        <v>2400</v>
      </c>
      <c r="AQ15" s="32">
        <f t="shared" ref="AQ15" si="111">+AP15/AP12</f>
        <v>0.58987479907389662</v>
      </c>
      <c r="AR15" s="31">
        <v>2000</v>
      </c>
      <c r="AS15" s="32">
        <f t="shared" ref="AS15" si="112">+AR15/AR12</f>
        <v>0.4915623325615805</v>
      </c>
      <c r="AT15" s="31">
        <v>2000</v>
      </c>
      <c r="AU15" s="32">
        <f t="shared" ref="AU15" si="113">+AT15/AT12</f>
        <v>0.4915623325615805</v>
      </c>
      <c r="AV15" s="31">
        <v>2000</v>
      </c>
      <c r="AW15" s="32">
        <f t="shared" ref="AW15" si="114">+AV15/AV12</f>
        <v>0.4915623325615805</v>
      </c>
      <c r="AX15" s="31">
        <v>2500</v>
      </c>
      <c r="AY15" s="32">
        <f>+AX15/AX12</f>
        <v>0.61445291570197558</v>
      </c>
      <c r="AZ15" s="31">
        <v>2500</v>
      </c>
      <c r="BA15" s="32">
        <f>+AZ15/AZ12</f>
        <v>0.61445291570197558</v>
      </c>
      <c r="BB15" s="31">
        <v>2500</v>
      </c>
      <c r="BC15" s="32">
        <f>+BB15/BB12</f>
        <v>0.61445291570197558</v>
      </c>
      <c r="BD15" s="31">
        <v>2500</v>
      </c>
      <c r="BE15" s="32">
        <f>+BD15/BD12</f>
        <v>0.61445291570197558</v>
      </c>
      <c r="BF15" s="31">
        <v>2500</v>
      </c>
      <c r="BG15" s="32">
        <f>+BF15/BF12</f>
        <v>0.61445291570197558</v>
      </c>
      <c r="BH15" s="31">
        <v>2500</v>
      </c>
      <c r="BI15" s="32">
        <f>+BH15/BH12</f>
        <v>0.61445291570197558</v>
      </c>
      <c r="BJ15" s="31">
        <v>2500</v>
      </c>
      <c r="BK15" s="32">
        <f>+BJ15/BJ12</f>
        <v>0.61445291570197558</v>
      </c>
      <c r="BL15" s="31">
        <v>2500</v>
      </c>
      <c r="BM15" s="32">
        <f>+BL15/BL12</f>
        <v>0.61445291570197558</v>
      </c>
      <c r="BN15" s="31">
        <v>2500</v>
      </c>
      <c r="BO15" s="32">
        <f>+BN15/BN12</f>
        <v>0.61445291570197558</v>
      </c>
      <c r="BP15" s="31">
        <v>2500</v>
      </c>
      <c r="BQ15" s="32">
        <f>+BP15/BP12</f>
        <v>0.61445291570197558</v>
      </c>
      <c r="BR15" s="31">
        <v>2500</v>
      </c>
      <c r="BS15" s="32">
        <f>+BR15/BR12</f>
        <v>0.61445291570197558</v>
      </c>
      <c r="BT15" s="31">
        <v>2500</v>
      </c>
      <c r="BU15" s="32">
        <f>+BT15/BT12</f>
        <v>0.61445291570197558</v>
      </c>
      <c r="BV15" s="31">
        <v>2000</v>
      </c>
      <c r="BW15" s="32">
        <f>+BV15/BV12</f>
        <v>0.4915623325615805</v>
      </c>
      <c r="BX15" s="545"/>
      <c r="BY15" s="545"/>
      <c r="BZ15" s="545"/>
      <c r="CA15" s="545"/>
    </row>
    <row r="16" spans="1:79" s="4" customFormat="1" ht="18" customHeight="1" x14ac:dyDescent="0.45">
      <c r="A16" s="561"/>
      <c r="B16" s="1194"/>
      <c r="C16" s="33" t="s">
        <v>30</v>
      </c>
      <c r="D16" s="20"/>
      <c r="E16" s="30"/>
      <c r="F16" s="31">
        <f>+F15*F10</f>
        <v>28800</v>
      </c>
      <c r="G16" s="32">
        <f>+G15*G10</f>
        <v>7.0784975888867594</v>
      </c>
      <c r="H16" s="31">
        <f t="shared" ref="H16:BA16" si="115">+H15*H10</f>
        <v>28800</v>
      </c>
      <c r="I16" s="32">
        <f t="shared" si="115"/>
        <v>7.0784975888867594</v>
      </c>
      <c r="J16" s="31">
        <f t="shared" si="115"/>
        <v>28800</v>
      </c>
      <c r="K16" s="32">
        <f t="shared" si="115"/>
        <v>7.0784975888867594</v>
      </c>
      <c r="L16" s="31">
        <f t="shared" si="115"/>
        <v>28800</v>
      </c>
      <c r="M16" s="32">
        <f t="shared" si="115"/>
        <v>7.0784975888867594</v>
      </c>
      <c r="N16" s="31">
        <f t="shared" si="115"/>
        <v>28800</v>
      </c>
      <c r="O16" s="32">
        <f t="shared" si="115"/>
        <v>7.0784975888867594</v>
      </c>
      <c r="P16" s="31">
        <f t="shared" si="115"/>
        <v>28800</v>
      </c>
      <c r="Q16" s="32">
        <f t="shared" si="115"/>
        <v>7.0784975888867594</v>
      </c>
      <c r="R16" s="31">
        <f t="shared" si="115"/>
        <v>28800</v>
      </c>
      <c r="S16" s="32">
        <f t="shared" si="115"/>
        <v>7.0784975888867594</v>
      </c>
      <c r="T16" s="31">
        <f t="shared" si="115"/>
        <v>28800</v>
      </c>
      <c r="U16" s="32">
        <f t="shared" si="115"/>
        <v>7.0784975888867594</v>
      </c>
      <c r="V16" s="31">
        <f t="shared" si="115"/>
        <v>28800</v>
      </c>
      <c r="W16" s="32">
        <f t="shared" si="115"/>
        <v>7.0784975888867594</v>
      </c>
      <c r="X16" s="31">
        <f t="shared" si="115"/>
        <v>28800</v>
      </c>
      <c r="Y16" s="32">
        <f t="shared" si="115"/>
        <v>7.0784975888867594</v>
      </c>
      <c r="Z16" s="31">
        <f t="shared" si="115"/>
        <v>28800</v>
      </c>
      <c r="AA16" s="32">
        <f t="shared" si="115"/>
        <v>7.0784975888867594</v>
      </c>
      <c r="AB16" s="31">
        <f t="shared" si="115"/>
        <v>28800</v>
      </c>
      <c r="AC16" s="32">
        <f t="shared" si="115"/>
        <v>7.0784975888867594</v>
      </c>
      <c r="AD16" s="31">
        <f t="shared" si="115"/>
        <v>28800</v>
      </c>
      <c r="AE16" s="32">
        <f t="shared" si="115"/>
        <v>7.0784975888867594</v>
      </c>
      <c r="AF16" s="31">
        <f t="shared" si="115"/>
        <v>28800</v>
      </c>
      <c r="AG16" s="32">
        <f t="shared" si="115"/>
        <v>7.0784975888867594</v>
      </c>
      <c r="AH16" s="31">
        <f t="shared" si="115"/>
        <v>30000</v>
      </c>
      <c r="AI16" s="32">
        <f t="shared" si="115"/>
        <v>7.3734349884237069</v>
      </c>
      <c r="AJ16" s="31">
        <f t="shared" si="115"/>
        <v>28800</v>
      </c>
      <c r="AK16" s="32">
        <f t="shared" si="115"/>
        <v>7.0784975888867594</v>
      </c>
      <c r="AL16" s="31">
        <f t="shared" si="115"/>
        <v>28800</v>
      </c>
      <c r="AM16" s="32">
        <f t="shared" si="115"/>
        <v>7.0784975888867594</v>
      </c>
      <c r="AN16" s="31">
        <f t="shared" si="115"/>
        <v>28800</v>
      </c>
      <c r="AO16" s="32">
        <f t="shared" si="115"/>
        <v>7.0784975888867594</v>
      </c>
      <c r="AP16" s="31">
        <f t="shared" si="115"/>
        <v>28800</v>
      </c>
      <c r="AQ16" s="32">
        <f t="shared" si="115"/>
        <v>7.0784975888867594</v>
      </c>
      <c r="AR16" s="31">
        <f t="shared" si="115"/>
        <v>24000</v>
      </c>
      <c r="AS16" s="32">
        <f t="shared" si="115"/>
        <v>5.8987479907389657</v>
      </c>
      <c r="AT16" s="31">
        <f t="shared" si="115"/>
        <v>24000</v>
      </c>
      <c r="AU16" s="32">
        <f t="shared" si="115"/>
        <v>5.8987479907389657</v>
      </c>
      <c r="AV16" s="31">
        <f t="shared" si="115"/>
        <v>24000</v>
      </c>
      <c r="AW16" s="32">
        <f t="shared" si="115"/>
        <v>5.8987479907389657</v>
      </c>
      <c r="AX16" s="31">
        <f t="shared" si="115"/>
        <v>30000</v>
      </c>
      <c r="AY16" s="32">
        <f t="shared" si="115"/>
        <v>7.3734349884237069</v>
      </c>
      <c r="AZ16" s="31">
        <f t="shared" si="115"/>
        <v>30000</v>
      </c>
      <c r="BA16" s="32">
        <f t="shared" si="115"/>
        <v>7.3734349884237069</v>
      </c>
      <c r="BB16" s="31">
        <f t="shared" ref="BB16:BC16" si="116">+BB15*BB10</f>
        <v>30000</v>
      </c>
      <c r="BC16" s="32">
        <f t="shared" si="116"/>
        <v>7.3734349884237069</v>
      </c>
      <c r="BD16" s="31">
        <f t="shared" ref="BD16:BE16" si="117">+BD15*BD10</f>
        <v>30000</v>
      </c>
      <c r="BE16" s="32">
        <f t="shared" si="117"/>
        <v>7.3734349884237069</v>
      </c>
      <c r="BF16" s="31">
        <f t="shared" ref="BF16:BG16" si="118">+BF15*BF10</f>
        <v>30000</v>
      </c>
      <c r="BG16" s="32">
        <f t="shared" si="118"/>
        <v>7.3734349884237069</v>
      </c>
      <c r="BH16" s="31">
        <f t="shared" ref="BH16:BI16" si="119">+BH15*BH10</f>
        <v>30000</v>
      </c>
      <c r="BI16" s="32">
        <f t="shared" si="119"/>
        <v>7.3734349884237069</v>
      </c>
      <c r="BJ16" s="31">
        <f t="shared" ref="BJ16:BK16" si="120">+BJ15*BJ10</f>
        <v>30000</v>
      </c>
      <c r="BK16" s="32">
        <f t="shared" si="120"/>
        <v>7.3734349884237069</v>
      </c>
      <c r="BL16" s="31">
        <f t="shared" ref="BL16:BM16" si="121">+BL15*BL10</f>
        <v>30000</v>
      </c>
      <c r="BM16" s="32">
        <f t="shared" si="121"/>
        <v>7.3734349884237069</v>
      </c>
      <c r="BN16" s="31">
        <f t="shared" ref="BN16:BO16" si="122">+BN15*BN10</f>
        <v>30000</v>
      </c>
      <c r="BO16" s="32">
        <f t="shared" si="122"/>
        <v>7.3734349884237069</v>
      </c>
      <c r="BP16" s="31">
        <f t="shared" ref="BP16:BS16" si="123">+BP15*BP10</f>
        <v>30000</v>
      </c>
      <c r="BQ16" s="32">
        <f t="shared" si="123"/>
        <v>7.3734349884237069</v>
      </c>
      <c r="BR16" s="31">
        <f t="shared" si="123"/>
        <v>30000</v>
      </c>
      <c r="BS16" s="32">
        <f t="shared" si="123"/>
        <v>7.3734349884237069</v>
      </c>
      <c r="BT16" s="31">
        <f t="shared" ref="BT16:BW16" si="124">+BT15*BT10</f>
        <v>30000</v>
      </c>
      <c r="BU16" s="32">
        <f t="shared" si="124"/>
        <v>7.3734349884237069</v>
      </c>
      <c r="BV16" s="31">
        <f t="shared" si="124"/>
        <v>24000</v>
      </c>
      <c r="BW16" s="32">
        <f t="shared" si="124"/>
        <v>5.8987479907389657</v>
      </c>
      <c r="BX16" s="545"/>
      <c r="BY16" s="545"/>
      <c r="BZ16" s="545"/>
      <c r="CA16" s="545"/>
    </row>
    <row r="17" spans="1:79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23">
        <v>0</v>
      </c>
      <c r="O17" s="24">
        <v>0</v>
      </c>
      <c r="P17" s="23">
        <v>0</v>
      </c>
      <c r="Q17" s="24">
        <v>0</v>
      </c>
      <c r="R17" s="23">
        <v>0</v>
      </c>
      <c r="S17" s="24">
        <v>0</v>
      </c>
      <c r="T17" s="23">
        <v>0</v>
      </c>
      <c r="U17" s="24">
        <v>0</v>
      </c>
      <c r="V17" s="23">
        <v>0</v>
      </c>
      <c r="W17" s="24">
        <v>0</v>
      </c>
      <c r="X17" s="23">
        <v>0</v>
      </c>
      <c r="Y17" s="24">
        <v>0</v>
      </c>
      <c r="Z17" s="23">
        <v>0</v>
      </c>
      <c r="AA17" s="24">
        <v>0</v>
      </c>
      <c r="AB17" s="23">
        <v>0</v>
      </c>
      <c r="AC17" s="24">
        <v>0</v>
      </c>
      <c r="AD17" s="23">
        <v>0</v>
      </c>
      <c r="AE17" s="24">
        <v>0</v>
      </c>
      <c r="AF17" s="23">
        <v>0</v>
      </c>
      <c r="AG17" s="24">
        <v>0</v>
      </c>
      <c r="AH17" s="23">
        <v>0</v>
      </c>
      <c r="AI17" s="24">
        <v>0</v>
      </c>
      <c r="AJ17" s="23">
        <v>0</v>
      </c>
      <c r="AK17" s="24">
        <v>0</v>
      </c>
      <c r="AL17" s="23">
        <v>0</v>
      </c>
      <c r="AM17" s="24">
        <v>0</v>
      </c>
      <c r="AN17" s="23">
        <v>0</v>
      </c>
      <c r="AO17" s="24">
        <v>0</v>
      </c>
      <c r="AP17" s="23">
        <v>0</v>
      </c>
      <c r="AQ17" s="24">
        <v>0</v>
      </c>
      <c r="AR17" s="23">
        <v>0</v>
      </c>
      <c r="AS17" s="24">
        <v>0</v>
      </c>
      <c r="AT17" s="23">
        <v>0</v>
      </c>
      <c r="AU17" s="24">
        <v>0</v>
      </c>
      <c r="AV17" s="23">
        <v>0</v>
      </c>
      <c r="AW17" s="24">
        <v>0</v>
      </c>
      <c r="AX17" s="350">
        <v>0</v>
      </c>
      <c r="AY17" s="351">
        <v>0</v>
      </c>
      <c r="AZ17" s="350">
        <v>0</v>
      </c>
      <c r="BA17" s="351">
        <v>0</v>
      </c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350">
        <v>0</v>
      </c>
      <c r="BI17" s="351">
        <v>0</v>
      </c>
      <c r="BJ17" s="350">
        <v>0</v>
      </c>
      <c r="BK17" s="351">
        <v>0</v>
      </c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350">
        <v>0</v>
      </c>
      <c r="BS17" s="351">
        <v>0</v>
      </c>
      <c r="BT17" s="350">
        <v>0</v>
      </c>
      <c r="BU17" s="351">
        <v>0</v>
      </c>
      <c r="BV17" s="350">
        <v>0</v>
      </c>
      <c r="BW17" s="351">
        <v>0</v>
      </c>
      <c r="BX17" s="545"/>
      <c r="BY17" s="545"/>
      <c r="BZ17" s="545"/>
      <c r="CA17" s="545"/>
    </row>
    <row r="18" spans="1:79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6">
        <v>0</v>
      </c>
      <c r="O18" s="37">
        <v>0</v>
      </c>
      <c r="P18" s="36">
        <v>0</v>
      </c>
      <c r="Q18" s="37">
        <v>0</v>
      </c>
      <c r="R18" s="36">
        <v>0</v>
      </c>
      <c r="S18" s="37">
        <v>0</v>
      </c>
      <c r="T18" s="36">
        <v>0</v>
      </c>
      <c r="U18" s="37">
        <v>0</v>
      </c>
      <c r="V18" s="36">
        <v>0</v>
      </c>
      <c r="W18" s="37">
        <v>0</v>
      </c>
      <c r="X18" s="36">
        <v>0</v>
      </c>
      <c r="Y18" s="37">
        <v>0</v>
      </c>
      <c r="Z18" s="36">
        <v>0</v>
      </c>
      <c r="AA18" s="37">
        <v>0</v>
      </c>
      <c r="AB18" s="36">
        <v>0</v>
      </c>
      <c r="AC18" s="37">
        <v>0</v>
      </c>
      <c r="AD18" s="36">
        <v>0</v>
      </c>
      <c r="AE18" s="37">
        <v>0</v>
      </c>
      <c r="AF18" s="36">
        <v>0</v>
      </c>
      <c r="AG18" s="37">
        <v>0</v>
      </c>
      <c r="AH18" s="36">
        <v>0</v>
      </c>
      <c r="AI18" s="37">
        <v>0</v>
      </c>
      <c r="AJ18" s="36">
        <v>0</v>
      </c>
      <c r="AK18" s="37">
        <v>0</v>
      </c>
      <c r="AL18" s="36">
        <v>0</v>
      </c>
      <c r="AM18" s="37">
        <v>0</v>
      </c>
      <c r="AN18" s="36">
        <v>0</v>
      </c>
      <c r="AO18" s="37">
        <v>0</v>
      </c>
      <c r="AP18" s="36">
        <v>0</v>
      </c>
      <c r="AQ18" s="37">
        <v>0</v>
      </c>
      <c r="AR18" s="36">
        <v>0</v>
      </c>
      <c r="AS18" s="37">
        <v>0</v>
      </c>
      <c r="AT18" s="36">
        <v>0</v>
      </c>
      <c r="AU18" s="37">
        <v>0</v>
      </c>
      <c r="AV18" s="36">
        <v>0</v>
      </c>
      <c r="AW18" s="37">
        <v>0</v>
      </c>
      <c r="AX18" s="356">
        <v>0</v>
      </c>
      <c r="AY18" s="357">
        <v>0</v>
      </c>
      <c r="AZ18" s="356">
        <v>0</v>
      </c>
      <c r="BA18" s="357">
        <v>0</v>
      </c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356">
        <v>0</v>
      </c>
      <c r="BI18" s="357">
        <v>0</v>
      </c>
      <c r="BJ18" s="356">
        <v>0</v>
      </c>
      <c r="BK18" s="357">
        <v>0</v>
      </c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356">
        <v>0</v>
      </c>
      <c r="BS18" s="357">
        <v>0</v>
      </c>
      <c r="BT18" s="356">
        <v>0</v>
      </c>
      <c r="BU18" s="357">
        <v>0</v>
      </c>
      <c r="BV18" s="356">
        <v>0</v>
      </c>
      <c r="BW18" s="357">
        <v>0</v>
      </c>
      <c r="BX18" s="545"/>
      <c r="BY18" s="545"/>
      <c r="BZ18" s="545"/>
      <c r="CA18" s="545"/>
    </row>
    <row r="19" spans="1:79" s="4" customFormat="1" ht="18" customHeight="1" x14ac:dyDescent="0.45">
      <c r="A19" s="561"/>
      <c r="B19" s="1194"/>
      <c r="C19" s="19" t="s">
        <v>34</v>
      </c>
      <c r="D19" s="20"/>
      <c r="E19" s="30"/>
      <c r="F19" s="38">
        <f>F15-F17</f>
        <v>2400</v>
      </c>
      <c r="G19" s="32">
        <f>G15-G17</f>
        <v>0.58987479907389662</v>
      </c>
      <c r="H19" s="38">
        <f t="shared" ref="H19:BA19" si="125">H15-H17</f>
        <v>2400</v>
      </c>
      <c r="I19" s="32">
        <f t="shared" si="125"/>
        <v>0.58987479907389662</v>
      </c>
      <c r="J19" s="38">
        <f t="shared" si="125"/>
        <v>2400</v>
      </c>
      <c r="K19" s="32">
        <f t="shared" si="125"/>
        <v>0.58987479907389662</v>
      </c>
      <c r="L19" s="38">
        <f t="shared" si="125"/>
        <v>2400</v>
      </c>
      <c r="M19" s="32">
        <f t="shared" si="125"/>
        <v>0.58987479907389662</v>
      </c>
      <c r="N19" s="38">
        <f t="shared" si="125"/>
        <v>2400</v>
      </c>
      <c r="O19" s="32">
        <f t="shared" si="125"/>
        <v>0.58987479907389662</v>
      </c>
      <c r="P19" s="38">
        <f t="shared" si="125"/>
        <v>2400</v>
      </c>
      <c r="Q19" s="32">
        <f t="shared" si="125"/>
        <v>0.58987479907389662</v>
      </c>
      <c r="R19" s="38">
        <f t="shared" si="125"/>
        <v>2400</v>
      </c>
      <c r="S19" s="32">
        <f t="shared" si="125"/>
        <v>0.58987479907389662</v>
      </c>
      <c r="T19" s="38">
        <f t="shared" si="125"/>
        <v>2400</v>
      </c>
      <c r="U19" s="32">
        <f t="shared" si="125"/>
        <v>0.58987479907389662</v>
      </c>
      <c r="V19" s="38">
        <f t="shared" si="125"/>
        <v>2400</v>
      </c>
      <c r="W19" s="32">
        <f t="shared" si="125"/>
        <v>0.58987479907389662</v>
      </c>
      <c r="X19" s="38">
        <f t="shared" si="125"/>
        <v>2400</v>
      </c>
      <c r="Y19" s="32">
        <f t="shared" si="125"/>
        <v>0.58987479907389662</v>
      </c>
      <c r="Z19" s="38">
        <f t="shared" si="125"/>
        <v>2400</v>
      </c>
      <c r="AA19" s="32">
        <f t="shared" si="125"/>
        <v>0.58987479907389662</v>
      </c>
      <c r="AB19" s="38">
        <f t="shared" si="125"/>
        <v>2400</v>
      </c>
      <c r="AC19" s="32">
        <f t="shared" si="125"/>
        <v>0.58987479907389662</v>
      </c>
      <c r="AD19" s="38">
        <f t="shared" si="125"/>
        <v>2400</v>
      </c>
      <c r="AE19" s="32">
        <f t="shared" si="125"/>
        <v>0.58987479907389662</v>
      </c>
      <c r="AF19" s="38">
        <f t="shared" si="125"/>
        <v>2400</v>
      </c>
      <c r="AG19" s="32">
        <f t="shared" si="125"/>
        <v>0.58987479907389662</v>
      </c>
      <c r="AH19" s="38">
        <v>2400</v>
      </c>
      <c r="AI19" s="32">
        <f t="shared" si="125"/>
        <v>0.61445291570197558</v>
      </c>
      <c r="AJ19" s="38">
        <f t="shared" si="125"/>
        <v>2400</v>
      </c>
      <c r="AK19" s="32">
        <f t="shared" si="125"/>
        <v>0.58987479907389662</v>
      </c>
      <c r="AL19" s="38">
        <f t="shared" si="125"/>
        <v>2400</v>
      </c>
      <c r="AM19" s="32">
        <f t="shared" si="125"/>
        <v>0.58987479907389662</v>
      </c>
      <c r="AN19" s="38">
        <f t="shared" si="125"/>
        <v>2400</v>
      </c>
      <c r="AO19" s="32">
        <f t="shared" si="125"/>
        <v>0.58987479907389662</v>
      </c>
      <c r="AP19" s="38">
        <f t="shared" si="125"/>
        <v>2400</v>
      </c>
      <c r="AQ19" s="32">
        <f t="shared" si="125"/>
        <v>0.58987479907389662</v>
      </c>
      <c r="AR19" s="38">
        <f t="shared" si="125"/>
        <v>2000</v>
      </c>
      <c r="AS19" s="32">
        <f t="shared" si="125"/>
        <v>0.4915623325615805</v>
      </c>
      <c r="AT19" s="38">
        <f t="shared" si="125"/>
        <v>2000</v>
      </c>
      <c r="AU19" s="32">
        <f t="shared" si="125"/>
        <v>0.4915623325615805</v>
      </c>
      <c r="AV19" s="38">
        <f t="shared" si="125"/>
        <v>2000</v>
      </c>
      <c r="AW19" s="32">
        <f t="shared" si="125"/>
        <v>0.4915623325615805</v>
      </c>
      <c r="AX19" s="38">
        <f t="shared" si="125"/>
        <v>2500</v>
      </c>
      <c r="AY19" s="32">
        <f t="shared" si="125"/>
        <v>0.61445291570197558</v>
      </c>
      <c r="AZ19" s="38">
        <f t="shared" si="125"/>
        <v>2500</v>
      </c>
      <c r="BA19" s="32">
        <f t="shared" si="125"/>
        <v>0.61445291570197558</v>
      </c>
      <c r="BB19" s="38">
        <f t="shared" ref="BB19:BC19" si="126">BB15-BB17</f>
        <v>2500</v>
      </c>
      <c r="BC19" s="32">
        <f t="shared" si="126"/>
        <v>0.61445291570197558</v>
      </c>
      <c r="BD19" s="38">
        <f t="shared" ref="BD19:BE19" si="127">BD15-BD17</f>
        <v>2500</v>
      </c>
      <c r="BE19" s="32">
        <f t="shared" si="127"/>
        <v>0.61445291570197558</v>
      </c>
      <c r="BF19" s="38">
        <f t="shared" ref="BF19:BG19" si="128">BF15-BF17</f>
        <v>2500</v>
      </c>
      <c r="BG19" s="32">
        <f t="shared" si="128"/>
        <v>0.61445291570197558</v>
      </c>
      <c r="BH19" s="38">
        <f t="shared" ref="BH19:BI19" si="129">BH15-BH17</f>
        <v>2500</v>
      </c>
      <c r="BI19" s="32">
        <f t="shared" si="129"/>
        <v>0.61445291570197558</v>
      </c>
      <c r="BJ19" s="38">
        <f t="shared" ref="BJ19:BK19" si="130">BJ15-BJ17</f>
        <v>2500</v>
      </c>
      <c r="BK19" s="32">
        <f t="shared" si="130"/>
        <v>0.61445291570197558</v>
      </c>
      <c r="BL19" s="38">
        <f t="shared" ref="BL19:BM19" si="131">BL15-BL17</f>
        <v>2500</v>
      </c>
      <c r="BM19" s="32">
        <f t="shared" si="131"/>
        <v>0.61445291570197558</v>
      </c>
      <c r="BN19" s="38">
        <f t="shared" ref="BN19:BO19" si="132">BN15-BN17</f>
        <v>2500</v>
      </c>
      <c r="BO19" s="32">
        <f t="shared" si="132"/>
        <v>0.61445291570197558</v>
      </c>
      <c r="BP19" s="38">
        <f t="shared" ref="BP19:BS19" si="133">BP15-BP17</f>
        <v>2500</v>
      </c>
      <c r="BQ19" s="32">
        <f t="shared" si="133"/>
        <v>0.61445291570197558</v>
      </c>
      <c r="BR19" s="38">
        <f t="shared" si="133"/>
        <v>2500</v>
      </c>
      <c r="BS19" s="32">
        <f t="shared" si="133"/>
        <v>0.61445291570197558</v>
      </c>
      <c r="BT19" s="38">
        <f t="shared" ref="BT19:BW19" si="134">BT15-BT17</f>
        <v>2500</v>
      </c>
      <c r="BU19" s="32">
        <f t="shared" si="134"/>
        <v>0.61445291570197558</v>
      </c>
      <c r="BV19" s="38">
        <f t="shared" si="134"/>
        <v>2000</v>
      </c>
      <c r="BW19" s="32">
        <f t="shared" si="134"/>
        <v>0.4915623325615805</v>
      </c>
      <c r="BX19" s="545"/>
      <c r="BY19" s="545"/>
      <c r="BZ19" s="545"/>
      <c r="CA19" s="545"/>
    </row>
    <row r="20" spans="1:79" s="4" customFormat="1" ht="18" customHeight="1" x14ac:dyDescent="0.45">
      <c r="A20" s="561"/>
      <c r="B20" s="1194"/>
      <c r="C20" s="19" t="s">
        <v>35</v>
      </c>
      <c r="D20" s="20"/>
      <c r="E20" s="30"/>
      <c r="F20" s="39">
        <f>1/(1+F18)*F16</f>
        <v>28800</v>
      </c>
      <c r="G20" s="40">
        <f>1/(1+G18)*G16</f>
        <v>7.0784975888867594</v>
      </c>
      <c r="H20" s="39">
        <f t="shared" ref="H20:BA20" si="135">1/(1+H18)*H16</f>
        <v>28800</v>
      </c>
      <c r="I20" s="40">
        <f t="shared" si="135"/>
        <v>7.0784975888867594</v>
      </c>
      <c r="J20" s="39">
        <f t="shared" si="135"/>
        <v>28800</v>
      </c>
      <c r="K20" s="40">
        <f t="shared" si="135"/>
        <v>7.0784975888867594</v>
      </c>
      <c r="L20" s="39">
        <f t="shared" si="135"/>
        <v>28800</v>
      </c>
      <c r="M20" s="40">
        <f t="shared" si="135"/>
        <v>7.0784975888867594</v>
      </c>
      <c r="N20" s="39">
        <f t="shared" si="135"/>
        <v>28800</v>
      </c>
      <c r="O20" s="40">
        <f t="shared" si="135"/>
        <v>7.0784975888867594</v>
      </c>
      <c r="P20" s="39">
        <f t="shared" si="135"/>
        <v>28800</v>
      </c>
      <c r="Q20" s="40">
        <f t="shared" si="135"/>
        <v>7.0784975888867594</v>
      </c>
      <c r="R20" s="39">
        <f t="shared" si="135"/>
        <v>28800</v>
      </c>
      <c r="S20" s="40">
        <f t="shared" si="135"/>
        <v>7.0784975888867594</v>
      </c>
      <c r="T20" s="39">
        <f t="shared" si="135"/>
        <v>28800</v>
      </c>
      <c r="U20" s="40">
        <f t="shared" si="135"/>
        <v>7.0784975888867594</v>
      </c>
      <c r="V20" s="39">
        <f t="shared" si="135"/>
        <v>28800</v>
      </c>
      <c r="W20" s="40">
        <f t="shared" si="135"/>
        <v>7.0784975888867594</v>
      </c>
      <c r="X20" s="39">
        <f t="shared" si="135"/>
        <v>28800</v>
      </c>
      <c r="Y20" s="40">
        <f t="shared" si="135"/>
        <v>7.0784975888867594</v>
      </c>
      <c r="Z20" s="39">
        <f t="shared" si="135"/>
        <v>28800</v>
      </c>
      <c r="AA20" s="40">
        <f t="shared" si="135"/>
        <v>7.0784975888867594</v>
      </c>
      <c r="AB20" s="39">
        <f t="shared" si="135"/>
        <v>28800</v>
      </c>
      <c r="AC20" s="40">
        <f t="shared" si="135"/>
        <v>7.0784975888867594</v>
      </c>
      <c r="AD20" s="39">
        <f t="shared" si="135"/>
        <v>28800</v>
      </c>
      <c r="AE20" s="40">
        <f t="shared" si="135"/>
        <v>7.0784975888867594</v>
      </c>
      <c r="AF20" s="39">
        <f t="shared" si="135"/>
        <v>28800</v>
      </c>
      <c r="AG20" s="40">
        <f t="shared" si="135"/>
        <v>7.0784975888867594</v>
      </c>
      <c r="AH20" s="39">
        <f t="shared" si="135"/>
        <v>30000</v>
      </c>
      <c r="AI20" s="40">
        <f t="shared" si="135"/>
        <v>7.3734349884237069</v>
      </c>
      <c r="AJ20" s="39">
        <f t="shared" si="135"/>
        <v>28800</v>
      </c>
      <c r="AK20" s="40">
        <f t="shared" si="135"/>
        <v>7.0784975888867594</v>
      </c>
      <c r="AL20" s="39">
        <f t="shared" si="135"/>
        <v>28800</v>
      </c>
      <c r="AM20" s="40">
        <f t="shared" si="135"/>
        <v>7.0784975888867594</v>
      </c>
      <c r="AN20" s="39">
        <f t="shared" si="135"/>
        <v>28800</v>
      </c>
      <c r="AO20" s="40">
        <f t="shared" si="135"/>
        <v>7.0784975888867594</v>
      </c>
      <c r="AP20" s="39">
        <f t="shared" si="135"/>
        <v>28800</v>
      </c>
      <c r="AQ20" s="40">
        <f t="shared" si="135"/>
        <v>7.0784975888867594</v>
      </c>
      <c r="AR20" s="39">
        <f t="shared" si="135"/>
        <v>24000</v>
      </c>
      <c r="AS20" s="40">
        <f t="shared" si="135"/>
        <v>5.8987479907389657</v>
      </c>
      <c r="AT20" s="39">
        <f t="shared" si="135"/>
        <v>24000</v>
      </c>
      <c r="AU20" s="40">
        <f t="shared" si="135"/>
        <v>5.8987479907389657</v>
      </c>
      <c r="AV20" s="39">
        <f t="shared" si="135"/>
        <v>24000</v>
      </c>
      <c r="AW20" s="40">
        <f t="shared" si="135"/>
        <v>5.8987479907389657</v>
      </c>
      <c r="AX20" s="39">
        <f t="shared" si="135"/>
        <v>30000</v>
      </c>
      <c r="AY20" s="40">
        <f t="shared" si="135"/>
        <v>7.3734349884237069</v>
      </c>
      <c r="AZ20" s="39">
        <f t="shared" si="135"/>
        <v>30000</v>
      </c>
      <c r="BA20" s="40">
        <f t="shared" si="135"/>
        <v>7.3734349884237069</v>
      </c>
      <c r="BB20" s="39">
        <f t="shared" ref="BB20:BC20" si="136">1/(1+BB18)*BB16</f>
        <v>30000</v>
      </c>
      <c r="BC20" s="40">
        <f t="shared" si="136"/>
        <v>7.3734349884237069</v>
      </c>
      <c r="BD20" s="39">
        <f t="shared" ref="BD20:BE20" si="137">1/(1+BD18)*BD16</f>
        <v>30000</v>
      </c>
      <c r="BE20" s="40">
        <f t="shared" si="137"/>
        <v>7.3734349884237069</v>
      </c>
      <c r="BF20" s="39">
        <f t="shared" ref="BF20:BG20" si="138">1/(1+BF18)*BF16</f>
        <v>30000</v>
      </c>
      <c r="BG20" s="40">
        <f t="shared" si="138"/>
        <v>7.3734349884237069</v>
      </c>
      <c r="BH20" s="39">
        <f t="shared" ref="BH20:BI20" si="139">1/(1+BH18)*BH16</f>
        <v>30000</v>
      </c>
      <c r="BI20" s="40">
        <f t="shared" si="139"/>
        <v>7.3734349884237069</v>
      </c>
      <c r="BJ20" s="39">
        <f t="shared" ref="BJ20:BK20" si="140">1/(1+BJ18)*BJ16</f>
        <v>30000</v>
      </c>
      <c r="BK20" s="40">
        <f t="shared" si="140"/>
        <v>7.3734349884237069</v>
      </c>
      <c r="BL20" s="39">
        <f t="shared" ref="BL20:BM20" si="141">1/(1+BL18)*BL16</f>
        <v>30000</v>
      </c>
      <c r="BM20" s="40">
        <f t="shared" si="141"/>
        <v>7.3734349884237069</v>
      </c>
      <c r="BN20" s="39">
        <f t="shared" ref="BN20:BO20" si="142">1/(1+BN18)*BN16</f>
        <v>30000</v>
      </c>
      <c r="BO20" s="40">
        <f t="shared" si="142"/>
        <v>7.3734349884237069</v>
      </c>
      <c r="BP20" s="39">
        <f t="shared" ref="BP20:BS20" si="143">1/(1+BP18)*BP16</f>
        <v>30000</v>
      </c>
      <c r="BQ20" s="40">
        <f t="shared" si="143"/>
        <v>7.3734349884237069</v>
      </c>
      <c r="BR20" s="39">
        <f t="shared" si="143"/>
        <v>30000</v>
      </c>
      <c r="BS20" s="40">
        <f t="shared" si="143"/>
        <v>7.3734349884237069</v>
      </c>
      <c r="BT20" s="39">
        <f t="shared" ref="BT20:BW20" si="144">1/(1+BT18)*BT16</f>
        <v>30000</v>
      </c>
      <c r="BU20" s="40">
        <f t="shared" si="144"/>
        <v>7.3734349884237069</v>
      </c>
      <c r="BV20" s="39">
        <f t="shared" si="144"/>
        <v>24000</v>
      </c>
      <c r="BW20" s="40">
        <f t="shared" si="144"/>
        <v>5.8987479907389657</v>
      </c>
      <c r="BX20" s="545"/>
      <c r="BY20" s="545"/>
      <c r="BZ20" s="545"/>
      <c r="CA20" s="545"/>
    </row>
    <row r="21" spans="1:79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27"/>
      <c r="O21" s="41"/>
      <c r="P21" s="27"/>
      <c r="Q21" s="41"/>
      <c r="R21" s="27"/>
      <c r="S21" s="41"/>
      <c r="T21" s="27"/>
      <c r="U21" s="41"/>
      <c r="V21" s="27"/>
      <c r="W21" s="41"/>
      <c r="X21" s="27"/>
      <c r="Y21" s="41"/>
      <c r="Z21" s="27"/>
      <c r="AA21" s="41"/>
      <c r="AB21" s="27"/>
      <c r="AC21" s="41"/>
      <c r="AD21" s="27"/>
      <c r="AE21" s="41"/>
      <c r="AF21" s="27"/>
      <c r="AG21" s="41"/>
      <c r="AH21" s="27"/>
      <c r="AI21" s="41"/>
      <c r="AJ21" s="27"/>
      <c r="AK21" s="41"/>
      <c r="AL21" s="27"/>
      <c r="AM21" s="41"/>
      <c r="AN21" s="27"/>
      <c r="AO21" s="41"/>
      <c r="AP21" s="27"/>
      <c r="AQ21" s="41"/>
      <c r="AR21" s="27"/>
      <c r="AS21" s="41"/>
      <c r="AT21" s="27"/>
      <c r="AU21" s="41"/>
      <c r="AV21" s="27"/>
      <c r="AW21" s="41"/>
      <c r="AX21" s="352"/>
      <c r="AY21" s="358"/>
      <c r="AZ21" s="352"/>
      <c r="BA21" s="358"/>
      <c r="BB21" s="352"/>
      <c r="BC21" s="358"/>
      <c r="BD21" s="352"/>
      <c r="BE21" s="358"/>
      <c r="BF21" s="352"/>
      <c r="BG21" s="358"/>
      <c r="BH21" s="352"/>
      <c r="BI21" s="358"/>
      <c r="BJ21" s="352"/>
      <c r="BK21" s="358"/>
      <c r="BL21" s="352"/>
      <c r="BM21" s="358"/>
      <c r="BN21" s="352"/>
      <c r="BO21" s="358"/>
      <c r="BP21" s="352"/>
      <c r="BQ21" s="358"/>
      <c r="BR21" s="352"/>
      <c r="BS21" s="358"/>
      <c r="BT21" s="352"/>
      <c r="BU21" s="358"/>
      <c r="BV21" s="352"/>
      <c r="BW21" s="358"/>
      <c r="BX21" s="545"/>
      <c r="BY21" s="545"/>
      <c r="BZ21" s="545"/>
      <c r="CA21" s="545"/>
    </row>
    <row r="22" spans="1:79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42"/>
      <c r="O22" s="43"/>
      <c r="P22" s="42"/>
      <c r="Q22" s="43"/>
      <c r="R22" s="42"/>
      <c r="S22" s="43"/>
      <c r="T22" s="42"/>
      <c r="U22" s="43"/>
      <c r="V22" s="42"/>
      <c r="W22" s="43"/>
      <c r="X22" s="42"/>
      <c r="Y22" s="43"/>
      <c r="Z22" s="42"/>
      <c r="AA22" s="43"/>
      <c r="AB22" s="42"/>
      <c r="AC22" s="43"/>
      <c r="AD22" s="42"/>
      <c r="AE22" s="43"/>
      <c r="AF22" s="42"/>
      <c r="AG22" s="43"/>
      <c r="AH22" s="42"/>
      <c r="AI22" s="43"/>
      <c r="AJ22" s="42"/>
      <c r="AK22" s="43"/>
      <c r="AL22" s="42"/>
      <c r="AM22" s="43"/>
      <c r="AN22" s="42"/>
      <c r="AO22" s="43"/>
      <c r="AP22" s="42"/>
      <c r="AQ22" s="43"/>
      <c r="AR22" s="42"/>
      <c r="AS22" s="43"/>
      <c r="AT22" s="42"/>
      <c r="AU22" s="43"/>
      <c r="AV22" s="42"/>
      <c r="AW22" s="43"/>
      <c r="AX22" s="359"/>
      <c r="AY22" s="360"/>
      <c r="AZ22" s="359"/>
      <c r="BA22" s="360"/>
      <c r="BB22" s="359"/>
      <c r="BC22" s="360"/>
      <c r="BD22" s="359"/>
      <c r="BE22" s="360"/>
      <c r="BF22" s="359"/>
      <c r="BG22" s="360"/>
      <c r="BH22" s="359"/>
      <c r="BI22" s="360"/>
      <c r="BJ22" s="359"/>
      <c r="BK22" s="360"/>
      <c r="BL22" s="359"/>
      <c r="BM22" s="360"/>
      <c r="BN22" s="359"/>
      <c r="BO22" s="360"/>
      <c r="BP22" s="359"/>
      <c r="BQ22" s="360"/>
      <c r="BR22" s="359"/>
      <c r="BS22" s="360"/>
      <c r="BT22" s="359"/>
      <c r="BU22" s="360"/>
      <c r="BV22" s="359"/>
      <c r="BW22" s="360"/>
      <c r="BX22" s="545"/>
      <c r="BY22" s="545"/>
      <c r="BZ22" s="545"/>
      <c r="CA22" s="545"/>
    </row>
    <row r="23" spans="1:79" s="49" customFormat="1" ht="18" customHeight="1" x14ac:dyDescent="0.45">
      <c r="A23" s="561"/>
      <c r="B23" s="1187"/>
      <c r="C23" s="44" t="s">
        <v>37</v>
      </c>
      <c r="D23" s="45"/>
      <c r="E23" s="46"/>
      <c r="F23" s="47">
        <f>F24/F20</f>
        <v>0.29166666666666702</v>
      </c>
      <c r="G23" s="48">
        <f>G24/G20</f>
        <v>0.29166666666666702</v>
      </c>
      <c r="H23" s="47">
        <f t="shared" ref="H23:BA23" si="145">H24/H20</f>
        <v>0.29166666666666702</v>
      </c>
      <c r="I23" s="48">
        <f t="shared" si="145"/>
        <v>0.29166666666666702</v>
      </c>
      <c r="J23" s="47">
        <f t="shared" si="145"/>
        <v>0.29166666666666702</v>
      </c>
      <c r="K23" s="48">
        <f t="shared" si="145"/>
        <v>0.29166666666666702</v>
      </c>
      <c r="L23" s="47">
        <f t="shared" si="145"/>
        <v>0.29166666666666702</v>
      </c>
      <c r="M23" s="48">
        <f t="shared" si="145"/>
        <v>0.29166666666666702</v>
      </c>
      <c r="N23" s="47">
        <f t="shared" si="145"/>
        <v>0.29166666666666702</v>
      </c>
      <c r="O23" s="48">
        <f t="shared" si="145"/>
        <v>0.29166666666666702</v>
      </c>
      <c r="P23" s="47">
        <f t="shared" si="145"/>
        <v>0.29166666666666702</v>
      </c>
      <c r="Q23" s="48">
        <f t="shared" si="145"/>
        <v>0.29166666666666702</v>
      </c>
      <c r="R23" s="47">
        <f t="shared" si="145"/>
        <v>0.29166666666666702</v>
      </c>
      <c r="S23" s="48">
        <f t="shared" si="145"/>
        <v>0.29166666666666702</v>
      </c>
      <c r="T23" s="47">
        <f t="shared" si="145"/>
        <v>0.29166666666666702</v>
      </c>
      <c r="U23" s="48">
        <f t="shared" si="145"/>
        <v>0.29166666666666702</v>
      </c>
      <c r="V23" s="47">
        <f t="shared" si="145"/>
        <v>0.29166666666666702</v>
      </c>
      <c r="W23" s="48">
        <f t="shared" si="145"/>
        <v>0.29166666666666702</v>
      </c>
      <c r="X23" s="47">
        <f t="shared" si="145"/>
        <v>0.29166666666666702</v>
      </c>
      <c r="Y23" s="48">
        <f t="shared" si="145"/>
        <v>0.29166666666666702</v>
      </c>
      <c r="Z23" s="47">
        <f t="shared" si="145"/>
        <v>0.29166666666666702</v>
      </c>
      <c r="AA23" s="48">
        <f t="shared" si="145"/>
        <v>0.29166666666666702</v>
      </c>
      <c r="AB23" s="47">
        <f t="shared" si="145"/>
        <v>0.29166666666666702</v>
      </c>
      <c r="AC23" s="48">
        <f t="shared" si="145"/>
        <v>0.29166666666666702</v>
      </c>
      <c r="AD23" s="47">
        <f t="shared" si="145"/>
        <v>0.29166666666666702</v>
      </c>
      <c r="AE23" s="48">
        <f t="shared" si="145"/>
        <v>0.29166666666666702</v>
      </c>
      <c r="AF23" s="47">
        <f t="shared" si="145"/>
        <v>0.29166666666666702</v>
      </c>
      <c r="AG23" s="48">
        <f t="shared" si="145"/>
        <v>0.29166666666666702</v>
      </c>
      <c r="AH23" s="47">
        <f t="shared" si="145"/>
        <v>0.41435954545454551</v>
      </c>
      <c r="AI23" s="48">
        <f t="shared" si="145"/>
        <v>0.41435954545454556</v>
      </c>
      <c r="AJ23" s="47">
        <f t="shared" si="145"/>
        <v>0.29166666666666702</v>
      </c>
      <c r="AK23" s="48">
        <f t="shared" si="145"/>
        <v>0.29166666666666702</v>
      </c>
      <c r="AL23" s="47">
        <f t="shared" si="145"/>
        <v>0.29166666666666702</v>
      </c>
      <c r="AM23" s="48">
        <f t="shared" si="145"/>
        <v>0.29166666666666702</v>
      </c>
      <c r="AN23" s="47">
        <f t="shared" si="145"/>
        <v>0.29166666666666702</v>
      </c>
      <c r="AO23" s="48">
        <f t="shared" si="145"/>
        <v>0.29166666666666702</v>
      </c>
      <c r="AP23" s="47">
        <f t="shared" si="145"/>
        <v>0.29166666666666702</v>
      </c>
      <c r="AQ23" s="48">
        <f t="shared" si="145"/>
        <v>0.29166666666666702</v>
      </c>
      <c r="AR23" s="47">
        <f t="shared" si="145"/>
        <v>0.25</v>
      </c>
      <c r="AS23" s="48">
        <f t="shared" si="145"/>
        <v>0.24999999999999997</v>
      </c>
      <c r="AT23" s="47">
        <f t="shared" si="145"/>
        <v>0.25</v>
      </c>
      <c r="AU23" s="48">
        <f t="shared" si="145"/>
        <v>0.24999999999999997</v>
      </c>
      <c r="AV23" s="47">
        <f t="shared" si="145"/>
        <v>0.25</v>
      </c>
      <c r="AW23" s="48">
        <f t="shared" si="145"/>
        <v>0.24999999999999997</v>
      </c>
      <c r="AX23" s="361">
        <f t="shared" ref="AX23:AY23" si="146">AX24/AX20</f>
        <v>0.35579550000000004</v>
      </c>
      <c r="AY23" s="362">
        <f t="shared" si="146"/>
        <v>0.35579549999999999</v>
      </c>
      <c r="AZ23" s="361">
        <f t="shared" si="145"/>
        <v>0.35579550000000004</v>
      </c>
      <c r="BA23" s="362">
        <f t="shared" si="145"/>
        <v>0.35579549999999999</v>
      </c>
      <c r="BB23" s="361">
        <f t="shared" ref="BB23:BC23" si="147">BB24/BB20</f>
        <v>0.35579550000000004</v>
      </c>
      <c r="BC23" s="362">
        <f t="shared" si="147"/>
        <v>0.35579549999999999</v>
      </c>
      <c r="BD23" s="361">
        <f t="shared" ref="BD23:BE23" si="148">BD24/BD20</f>
        <v>0.35579550000000004</v>
      </c>
      <c r="BE23" s="362">
        <f t="shared" si="148"/>
        <v>0.35579549999999999</v>
      </c>
      <c r="BF23" s="361">
        <f t="shared" ref="BF23:BG23" si="149">BF24/BF20</f>
        <v>0.35579550000000004</v>
      </c>
      <c r="BG23" s="362">
        <f t="shared" si="149"/>
        <v>0.35579549999999999</v>
      </c>
      <c r="BH23" s="361">
        <f t="shared" ref="BH23:BI23" si="150">BH24/BH20</f>
        <v>0.35579550000000004</v>
      </c>
      <c r="BI23" s="362">
        <f t="shared" si="150"/>
        <v>0.35579549999999999</v>
      </c>
      <c r="BJ23" s="361">
        <f t="shared" ref="BJ23:BK23" si="151">BJ24/BJ20</f>
        <v>0.35579550000000004</v>
      </c>
      <c r="BK23" s="362">
        <f t="shared" si="151"/>
        <v>0.35579549999999999</v>
      </c>
      <c r="BL23" s="361">
        <f t="shared" ref="BL23:BM23" si="152">BL24/BL20</f>
        <v>0.35579550000000004</v>
      </c>
      <c r="BM23" s="362">
        <f t="shared" si="152"/>
        <v>0.35579549999999999</v>
      </c>
      <c r="BN23" s="361">
        <f t="shared" ref="BN23:BO23" si="153">BN24/BN20</f>
        <v>0.35579550000000004</v>
      </c>
      <c r="BO23" s="362">
        <f t="shared" si="153"/>
        <v>0.35579549999999999</v>
      </c>
      <c r="BP23" s="361">
        <f t="shared" ref="BP23:BS23" si="154">BP24/BP20</f>
        <v>0.35579550000000004</v>
      </c>
      <c r="BQ23" s="362">
        <f t="shared" si="154"/>
        <v>0.35579549999999999</v>
      </c>
      <c r="BR23" s="361">
        <f t="shared" si="154"/>
        <v>0.35579550000000004</v>
      </c>
      <c r="BS23" s="362">
        <f t="shared" si="154"/>
        <v>0.35579549999999999</v>
      </c>
      <c r="BT23" s="361">
        <f t="shared" ref="BT23:BW23" si="155">BT24/BT20</f>
        <v>0.43192875909090905</v>
      </c>
      <c r="BU23" s="362">
        <f t="shared" si="155"/>
        <v>0.43192875909090911</v>
      </c>
      <c r="BV23" s="361">
        <f t="shared" si="155"/>
        <v>0.13540975000000011</v>
      </c>
      <c r="BW23" s="362">
        <f t="shared" si="155"/>
        <v>0.13540975000000008</v>
      </c>
      <c r="BX23" s="545"/>
      <c r="BY23" s="545"/>
      <c r="BZ23" s="545"/>
      <c r="CA23" s="545"/>
    </row>
    <row r="24" spans="1:79" s="4" customFormat="1" ht="18" customHeight="1" x14ac:dyDescent="0.45">
      <c r="A24" s="561"/>
      <c r="B24" s="1187"/>
      <c r="C24" s="15" t="s">
        <v>38</v>
      </c>
      <c r="D24" s="16"/>
      <c r="E24" s="35"/>
      <c r="F24" s="50">
        <f>F20-F26</f>
        <v>8400.0000000000109</v>
      </c>
      <c r="G24" s="24">
        <f>G20-G26</f>
        <v>2.0645617967586407</v>
      </c>
      <c r="H24" s="50">
        <f t="shared" ref="H24:BA24" si="156">H20-H26</f>
        <v>8400.0000000000109</v>
      </c>
      <c r="I24" s="24">
        <f t="shared" si="156"/>
        <v>2.0645617967586407</v>
      </c>
      <c r="J24" s="50">
        <f t="shared" si="156"/>
        <v>8400.0000000000109</v>
      </c>
      <c r="K24" s="24">
        <f t="shared" si="156"/>
        <v>2.0645617967586407</v>
      </c>
      <c r="L24" s="50">
        <f t="shared" si="156"/>
        <v>8400.0000000000109</v>
      </c>
      <c r="M24" s="24">
        <f t="shared" si="156"/>
        <v>2.0645617967586407</v>
      </c>
      <c r="N24" s="50">
        <f t="shared" si="156"/>
        <v>8400.0000000000109</v>
      </c>
      <c r="O24" s="24">
        <f t="shared" si="156"/>
        <v>2.0645617967586407</v>
      </c>
      <c r="P24" s="50">
        <f t="shared" si="156"/>
        <v>8400.0000000000109</v>
      </c>
      <c r="Q24" s="24">
        <f t="shared" si="156"/>
        <v>2.0645617967586407</v>
      </c>
      <c r="R24" s="50">
        <f t="shared" si="156"/>
        <v>8400.0000000000109</v>
      </c>
      <c r="S24" s="24">
        <f t="shared" si="156"/>
        <v>2.0645617967586407</v>
      </c>
      <c r="T24" s="50">
        <f t="shared" si="156"/>
        <v>8400.0000000000109</v>
      </c>
      <c r="U24" s="24">
        <f t="shared" si="156"/>
        <v>2.0645617967586407</v>
      </c>
      <c r="V24" s="50">
        <f t="shared" si="156"/>
        <v>8400.0000000000109</v>
      </c>
      <c r="W24" s="24">
        <f t="shared" si="156"/>
        <v>2.0645617967586407</v>
      </c>
      <c r="X24" s="50">
        <f t="shared" si="156"/>
        <v>8400.0000000000109</v>
      </c>
      <c r="Y24" s="24">
        <f t="shared" si="156"/>
        <v>2.0645617967586407</v>
      </c>
      <c r="Z24" s="50">
        <f t="shared" si="156"/>
        <v>8400.0000000000109</v>
      </c>
      <c r="AA24" s="24">
        <f t="shared" si="156"/>
        <v>2.0645617967586407</v>
      </c>
      <c r="AB24" s="50">
        <f t="shared" si="156"/>
        <v>8400.0000000000109</v>
      </c>
      <c r="AC24" s="24">
        <f t="shared" si="156"/>
        <v>2.0645617967586407</v>
      </c>
      <c r="AD24" s="50">
        <f t="shared" si="156"/>
        <v>8400.0000000000109</v>
      </c>
      <c r="AE24" s="24">
        <f t="shared" si="156"/>
        <v>2.0645617967586407</v>
      </c>
      <c r="AF24" s="50">
        <f t="shared" si="156"/>
        <v>8400.0000000000109</v>
      </c>
      <c r="AG24" s="24">
        <f t="shared" si="156"/>
        <v>2.0645617967586407</v>
      </c>
      <c r="AH24" s="50">
        <f t="shared" si="156"/>
        <v>12430.786363636365</v>
      </c>
      <c r="AI24" s="24">
        <f t="shared" si="156"/>
        <v>3.0552531702418895</v>
      </c>
      <c r="AJ24" s="50">
        <f t="shared" si="156"/>
        <v>8400.0000000000109</v>
      </c>
      <c r="AK24" s="24">
        <f t="shared" si="156"/>
        <v>2.0645617967586407</v>
      </c>
      <c r="AL24" s="50">
        <f t="shared" si="156"/>
        <v>8400.0000000000109</v>
      </c>
      <c r="AM24" s="24">
        <f t="shared" si="156"/>
        <v>2.0645617967586407</v>
      </c>
      <c r="AN24" s="50">
        <f t="shared" si="156"/>
        <v>8400.0000000000109</v>
      </c>
      <c r="AO24" s="24">
        <f t="shared" si="156"/>
        <v>2.0645617967586407</v>
      </c>
      <c r="AP24" s="50">
        <f t="shared" si="156"/>
        <v>8400.0000000000109</v>
      </c>
      <c r="AQ24" s="24">
        <f t="shared" si="156"/>
        <v>2.0645617967586407</v>
      </c>
      <c r="AR24" s="50">
        <f t="shared" si="156"/>
        <v>6000</v>
      </c>
      <c r="AS24" s="24">
        <f t="shared" si="156"/>
        <v>1.4746869976847412</v>
      </c>
      <c r="AT24" s="50">
        <f t="shared" si="156"/>
        <v>6000</v>
      </c>
      <c r="AU24" s="24">
        <f t="shared" si="156"/>
        <v>1.4746869976847412</v>
      </c>
      <c r="AV24" s="50">
        <f t="shared" si="156"/>
        <v>6000</v>
      </c>
      <c r="AW24" s="24">
        <f t="shared" si="156"/>
        <v>1.4746869976847412</v>
      </c>
      <c r="AX24" s="363">
        <f t="shared" ref="AX24:AY24" si="157">AX20-AX26</f>
        <v>10673.865000000002</v>
      </c>
      <c r="AY24" s="351">
        <f t="shared" si="157"/>
        <v>2.6234349884237069</v>
      </c>
      <c r="AZ24" s="363">
        <f t="shared" si="156"/>
        <v>10673.865000000002</v>
      </c>
      <c r="BA24" s="351">
        <f t="shared" si="156"/>
        <v>2.6234349884237069</v>
      </c>
      <c r="BB24" s="363">
        <f t="shared" ref="BB24:BC24" si="158">BB20-BB26</f>
        <v>10673.865000000002</v>
      </c>
      <c r="BC24" s="351">
        <f t="shared" si="158"/>
        <v>2.6234349884237069</v>
      </c>
      <c r="BD24" s="363">
        <f t="shared" ref="BD24:BE24" si="159">BD20-BD26</f>
        <v>10673.865000000002</v>
      </c>
      <c r="BE24" s="351">
        <f t="shared" si="159"/>
        <v>2.6234349884237069</v>
      </c>
      <c r="BF24" s="363">
        <f t="shared" ref="BF24:BG24" si="160">BF20-BF26</f>
        <v>10673.865000000002</v>
      </c>
      <c r="BG24" s="351">
        <f t="shared" si="160"/>
        <v>2.6234349884237069</v>
      </c>
      <c r="BH24" s="363">
        <f t="shared" ref="BH24:BI24" si="161">BH20-BH26</f>
        <v>10673.865000000002</v>
      </c>
      <c r="BI24" s="351">
        <f t="shared" si="161"/>
        <v>2.6234349884237069</v>
      </c>
      <c r="BJ24" s="363">
        <f t="shared" ref="BJ24:BK24" si="162">BJ20-BJ26</f>
        <v>10673.865000000002</v>
      </c>
      <c r="BK24" s="351">
        <f t="shared" si="162"/>
        <v>2.6234349884237069</v>
      </c>
      <c r="BL24" s="363">
        <f t="shared" ref="BL24:BM24" si="163">BL20-BL26</f>
        <v>10673.865000000002</v>
      </c>
      <c r="BM24" s="351">
        <f t="shared" si="163"/>
        <v>2.6234349884237069</v>
      </c>
      <c r="BN24" s="363">
        <f t="shared" ref="BN24:BO24" si="164">BN20-BN26</f>
        <v>10673.865000000002</v>
      </c>
      <c r="BO24" s="351">
        <f t="shared" si="164"/>
        <v>2.6234349884237069</v>
      </c>
      <c r="BP24" s="363">
        <f t="shared" ref="BP24:BS24" si="165">BP20-BP26</f>
        <v>10673.865000000002</v>
      </c>
      <c r="BQ24" s="351">
        <f t="shared" si="165"/>
        <v>2.6234349884237069</v>
      </c>
      <c r="BR24" s="363">
        <f t="shared" si="165"/>
        <v>10673.865000000002</v>
      </c>
      <c r="BS24" s="351">
        <f t="shared" si="165"/>
        <v>2.6234349884237069</v>
      </c>
      <c r="BT24" s="363">
        <f t="shared" ref="BT24:BW24" si="166">BT20-BT26</f>
        <v>12957.862772727272</v>
      </c>
      <c r="BU24" s="351">
        <f t="shared" si="166"/>
        <v>3.1847986247873434</v>
      </c>
      <c r="BV24" s="363">
        <f t="shared" si="166"/>
        <v>3249.8340000000026</v>
      </c>
      <c r="BW24" s="351">
        <f t="shared" si="166"/>
        <v>0.79874799073896607</v>
      </c>
      <c r="BX24" s="545"/>
      <c r="BY24" s="545"/>
      <c r="BZ24" s="545"/>
      <c r="CA24" s="545"/>
    </row>
    <row r="25" spans="1:79" s="4" customFormat="1" ht="18" customHeight="1" x14ac:dyDescent="0.45">
      <c r="A25" s="561"/>
      <c r="B25" s="1187"/>
      <c r="C25" s="51" t="s">
        <v>39</v>
      </c>
      <c r="D25" s="52"/>
      <c r="E25" s="53"/>
      <c r="F25" s="54">
        <f>F26</f>
        <v>20399.999999999989</v>
      </c>
      <c r="G25" s="55">
        <f>G26</f>
        <v>5.0139357921281187</v>
      </c>
      <c r="H25" s="54">
        <f t="shared" ref="H25:BW25" si="167">H26</f>
        <v>20399.999999999989</v>
      </c>
      <c r="I25" s="55">
        <f t="shared" si="167"/>
        <v>5.0139357921281187</v>
      </c>
      <c r="J25" s="54">
        <f t="shared" si="167"/>
        <v>20399.999999999989</v>
      </c>
      <c r="K25" s="55">
        <f t="shared" si="167"/>
        <v>5.0139357921281187</v>
      </c>
      <c r="L25" s="54">
        <f t="shared" si="167"/>
        <v>20399.999999999989</v>
      </c>
      <c r="M25" s="55">
        <f t="shared" si="167"/>
        <v>5.0139357921281187</v>
      </c>
      <c r="N25" s="54">
        <f t="shared" si="167"/>
        <v>20399.999999999989</v>
      </c>
      <c r="O25" s="55">
        <f t="shared" si="167"/>
        <v>5.0139357921281187</v>
      </c>
      <c r="P25" s="54">
        <f t="shared" si="167"/>
        <v>20399.999999999989</v>
      </c>
      <c r="Q25" s="55">
        <f t="shared" si="167"/>
        <v>5.0139357921281187</v>
      </c>
      <c r="R25" s="54">
        <f t="shared" si="167"/>
        <v>20399.999999999989</v>
      </c>
      <c r="S25" s="55">
        <f t="shared" si="167"/>
        <v>5.0139357921281187</v>
      </c>
      <c r="T25" s="54">
        <f t="shared" si="167"/>
        <v>20399.999999999989</v>
      </c>
      <c r="U25" s="55">
        <f t="shared" si="167"/>
        <v>5.0139357921281187</v>
      </c>
      <c r="V25" s="54">
        <f t="shared" si="167"/>
        <v>20399.999999999989</v>
      </c>
      <c r="W25" s="55">
        <f t="shared" si="167"/>
        <v>5.0139357921281187</v>
      </c>
      <c r="X25" s="54">
        <f t="shared" si="167"/>
        <v>20399.999999999989</v>
      </c>
      <c r="Y25" s="55">
        <f t="shared" si="167"/>
        <v>5.0139357921281187</v>
      </c>
      <c r="Z25" s="54">
        <f t="shared" si="167"/>
        <v>20399.999999999989</v>
      </c>
      <c r="AA25" s="55">
        <f t="shared" si="167"/>
        <v>5.0139357921281187</v>
      </c>
      <c r="AB25" s="54">
        <f t="shared" si="167"/>
        <v>20399.999999999989</v>
      </c>
      <c r="AC25" s="55">
        <f t="shared" si="167"/>
        <v>5.0139357921281187</v>
      </c>
      <c r="AD25" s="54">
        <f t="shared" si="167"/>
        <v>20399.999999999989</v>
      </c>
      <c r="AE25" s="55">
        <f t="shared" si="167"/>
        <v>5.0139357921281187</v>
      </c>
      <c r="AF25" s="54">
        <f t="shared" si="167"/>
        <v>20399.999999999989</v>
      </c>
      <c r="AG25" s="55">
        <f t="shared" si="167"/>
        <v>5.0139357921281187</v>
      </c>
      <c r="AH25" s="54">
        <f t="shared" si="167"/>
        <v>17569.213636363635</v>
      </c>
      <c r="AI25" s="55">
        <f t="shared" si="167"/>
        <v>4.3181818181818175</v>
      </c>
      <c r="AJ25" s="54">
        <f t="shared" si="167"/>
        <v>20399.999999999989</v>
      </c>
      <c r="AK25" s="55">
        <f t="shared" si="167"/>
        <v>5.0139357921281187</v>
      </c>
      <c r="AL25" s="54">
        <f t="shared" si="167"/>
        <v>20399.999999999989</v>
      </c>
      <c r="AM25" s="55">
        <f t="shared" si="167"/>
        <v>5.0139357921281187</v>
      </c>
      <c r="AN25" s="54">
        <f t="shared" si="167"/>
        <v>20399.999999999989</v>
      </c>
      <c r="AO25" s="55">
        <f t="shared" si="167"/>
        <v>5.0139357921281187</v>
      </c>
      <c r="AP25" s="54">
        <f t="shared" si="167"/>
        <v>20399.999999999989</v>
      </c>
      <c r="AQ25" s="55">
        <f t="shared" si="167"/>
        <v>5.0139357921281187</v>
      </c>
      <c r="AR25" s="54">
        <f t="shared" si="167"/>
        <v>18000</v>
      </c>
      <c r="AS25" s="55">
        <f t="shared" si="167"/>
        <v>4.4240609930542245</v>
      </c>
      <c r="AT25" s="54">
        <f t="shared" si="167"/>
        <v>18000</v>
      </c>
      <c r="AU25" s="55">
        <f t="shared" si="167"/>
        <v>4.4240609930542245</v>
      </c>
      <c r="AV25" s="54">
        <f t="shared" si="167"/>
        <v>18000</v>
      </c>
      <c r="AW25" s="55">
        <f t="shared" si="167"/>
        <v>4.4240609930542245</v>
      </c>
      <c r="AX25" s="54">
        <f t="shared" si="167"/>
        <v>19326.134999999998</v>
      </c>
      <c r="AY25" s="55">
        <f t="shared" si="167"/>
        <v>4.75</v>
      </c>
      <c r="AZ25" s="54">
        <f t="shared" si="167"/>
        <v>19326.134999999998</v>
      </c>
      <c r="BA25" s="55">
        <f t="shared" si="167"/>
        <v>4.75</v>
      </c>
      <c r="BB25" s="54">
        <f t="shared" si="167"/>
        <v>19326.134999999998</v>
      </c>
      <c r="BC25" s="55">
        <f t="shared" si="167"/>
        <v>4.75</v>
      </c>
      <c r="BD25" s="54">
        <f t="shared" si="167"/>
        <v>19326.134999999998</v>
      </c>
      <c r="BE25" s="55">
        <f t="shared" si="167"/>
        <v>4.75</v>
      </c>
      <c r="BF25" s="54">
        <f t="shared" si="167"/>
        <v>19326.134999999998</v>
      </c>
      <c r="BG25" s="55">
        <f t="shared" si="167"/>
        <v>4.75</v>
      </c>
      <c r="BH25" s="54">
        <f t="shared" si="167"/>
        <v>19326.134999999998</v>
      </c>
      <c r="BI25" s="55">
        <f t="shared" si="167"/>
        <v>4.75</v>
      </c>
      <c r="BJ25" s="54">
        <f t="shared" si="167"/>
        <v>19326.134999999998</v>
      </c>
      <c r="BK25" s="55">
        <f t="shared" si="167"/>
        <v>4.75</v>
      </c>
      <c r="BL25" s="54">
        <f t="shared" si="167"/>
        <v>19326.134999999998</v>
      </c>
      <c r="BM25" s="55">
        <f t="shared" si="167"/>
        <v>4.75</v>
      </c>
      <c r="BN25" s="54">
        <f t="shared" si="167"/>
        <v>19326.134999999998</v>
      </c>
      <c r="BO25" s="55">
        <f t="shared" si="167"/>
        <v>4.75</v>
      </c>
      <c r="BP25" s="54">
        <f t="shared" si="167"/>
        <v>19326.134999999998</v>
      </c>
      <c r="BQ25" s="55">
        <f t="shared" si="167"/>
        <v>4.75</v>
      </c>
      <c r="BR25" s="54">
        <f t="shared" si="167"/>
        <v>19326.134999999998</v>
      </c>
      <c r="BS25" s="55">
        <f t="shared" si="167"/>
        <v>4.75</v>
      </c>
      <c r="BT25" s="54">
        <f t="shared" si="167"/>
        <v>17042.137227272728</v>
      </c>
      <c r="BU25" s="55">
        <f t="shared" si="167"/>
        <v>4.1886363636363635</v>
      </c>
      <c r="BV25" s="54">
        <f t="shared" si="167"/>
        <v>20750.165999999997</v>
      </c>
      <c r="BW25" s="55">
        <f t="shared" si="167"/>
        <v>5.0999999999999996</v>
      </c>
      <c r="BX25" s="545"/>
      <c r="BY25" s="545"/>
      <c r="BZ25" s="545"/>
      <c r="CA25" s="545"/>
    </row>
    <row r="26" spans="1:79" s="4" customFormat="1" ht="18" customHeight="1" x14ac:dyDescent="0.45">
      <c r="A26" s="561"/>
      <c r="B26" s="1187"/>
      <c r="C26" s="56" t="s">
        <v>40</v>
      </c>
      <c r="D26" s="52"/>
      <c r="E26" s="53"/>
      <c r="F26" s="54">
        <v>20399.999999999989</v>
      </c>
      <c r="G26" s="57">
        <f>+F26/F12</f>
        <v>5.0139357921281187</v>
      </c>
      <c r="H26" s="54">
        <v>20399.999999999989</v>
      </c>
      <c r="I26" s="57">
        <f t="shared" ref="I26" si="168">+H26/H12</f>
        <v>5.0139357921281187</v>
      </c>
      <c r="J26" s="54">
        <v>20399.999999999989</v>
      </c>
      <c r="K26" s="57">
        <f t="shared" ref="K26" si="169">+J26/J12</f>
        <v>5.0139357921281187</v>
      </c>
      <c r="L26" s="54">
        <v>20399.999999999989</v>
      </c>
      <c r="M26" s="57">
        <f t="shared" ref="M26" si="170">+L26/L12</f>
        <v>5.0139357921281187</v>
      </c>
      <c r="N26" s="54">
        <v>20399.999999999989</v>
      </c>
      <c r="O26" s="57">
        <f t="shared" ref="O26" si="171">+N26/N12</f>
        <v>5.0139357921281187</v>
      </c>
      <c r="P26" s="54">
        <v>20399.999999999989</v>
      </c>
      <c r="Q26" s="57">
        <f t="shared" ref="Q26" si="172">+P26/P12</f>
        <v>5.0139357921281187</v>
      </c>
      <c r="R26" s="54">
        <v>20399.999999999989</v>
      </c>
      <c r="S26" s="57">
        <f t="shared" ref="S26" si="173">+R26/R12</f>
        <v>5.0139357921281187</v>
      </c>
      <c r="T26" s="54">
        <v>20399.999999999989</v>
      </c>
      <c r="U26" s="57">
        <f t="shared" ref="U26" si="174">+T26/T12</f>
        <v>5.0139357921281187</v>
      </c>
      <c r="V26" s="54">
        <v>20399.999999999989</v>
      </c>
      <c r="W26" s="57">
        <f t="shared" ref="W26" si="175">+V26/V12</f>
        <v>5.0139357921281187</v>
      </c>
      <c r="X26" s="54">
        <v>20399.999999999989</v>
      </c>
      <c r="Y26" s="57">
        <f t="shared" ref="Y26" si="176">+X26/X12</f>
        <v>5.0139357921281187</v>
      </c>
      <c r="Z26" s="54">
        <v>20399.999999999989</v>
      </c>
      <c r="AA26" s="57">
        <f t="shared" ref="AA26" si="177">+Z26/Z12</f>
        <v>5.0139357921281187</v>
      </c>
      <c r="AB26" s="54">
        <v>20399.999999999989</v>
      </c>
      <c r="AC26" s="57">
        <f t="shared" ref="AC26:AI26" si="178">+AB26/AB12</f>
        <v>5.0139357921281187</v>
      </c>
      <c r="AD26" s="54">
        <v>20399.999999999989</v>
      </c>
      <c r="AE26" s="57">
        <f t="shared" si="178"/>
        <v>5.0139357921281187</v>
      </c>
      <c r="AF26" s="54">
        <v>20399.999999999989</v>
      </c>
      <c r="AG26" s="57">
        <f t="shared" si="178"/>
        <v>5.0139357921281187</v>
      </c>
      <c r="AH26" s="54">
        <f>4.75*AH12*10/11</f>
        <v>17569.213636363635</v>
      </c>
      <c r="AI26" s="57">
        <f t="shared" si="178"/>
        <v>4.3181818181818175</v>
      </c>
      <c r="AJ26" s="54">
        <v>20399.999999999989</v>
      </c>
      <c r="AK26" s="57">
        <f t="shared" ref="AK26" si="179">+AJ26/AJ12</f>
        <v>5.0139357921281187</v>
      </c>
      <c r="AL26" s="54">
        <v>20399.999999999989</v>
      </c>
      <c r="AM26" s="57">
        <f t="shared" ref="AM26" si="180">+AL26/AL12</f>
        <v>5.0139357921281187</v>
      </c>
      <c r="AN26" s="54">
        <v>20399.999999999989</v>
      </c>
      <c r="AO26" s="57">
        <f t="shared" ref="AO26" si="181">+AN26/AN12</f>
        <v>5.0139357921281187</v>
      </c>
      <c r="AP26" s="54">
        <v>20399.999999999989</v>
      </c>
      <c r="AQ26" s="57">
        <f t="shared" ref="AQ26" si="182">+AP26/AP12</f>
        <v>5.0139357921281187</v>
      </c>
      <c r="AR26" s="54">
        <f>1500*12</f>
        <v>18000</v>
      </c>
      <c r="AS26" s="57">
        <f t="shared" ref="AS26" si="183">+AR26/AR12</f>
        <v>4.4240609930542245</v>
      </c>
      <c r="AT26" s="54">
        <f>1500*12</f>
        <v>18000</v>
      </c>
      <c r="AU26" s="57">
        <f t="shared" ref="AU26" si="184">+AT26/AT12</f>
        <v>4.4240609930542245</v>
      </c>
      <c r="AV26" s="54">
        <f>1500*12</f>
        <v>18000</v>
      </c>
      <c r="AW26" s="57">
        <f t="shared" ref="AW26" si="185">+AV26/AV12</f>
        <v>4.4240609930542245</v>
      </c>
      <c r="AX26" s="54">
        <f>AY26*AX12</f>
        <v>19326.134999999998</v>
      </c>
      <c r="AY26" s="57">
        <v>4.75</v>
      </c>
      <c r="AZ26" s="54">
        <f>BA26*AZ12</f>
        <v>19326.134999999998</v>
      </c>
      <c r="BA26" s="57">
        <v>4.75</v>
      </c>
      <c r="BB26" s="54">
        <f>BC26*BB12</f>
        <v>19326.134999999998</v>
      </c>
      <c r="BC26" s="57">
        <v>4.75</v>
      </c>
      <c r="BD26" s="54">
        <f>BE26*BD12</f>
        <v>19326.134999999998</v>
      </c>
      <c r="BE26" s="57">
        <v>4.75</v>
      </c>
      <c r="BF26" s="54">
        <f>BG26*BF12</f>
        <v>19326.134999999998</v>
      </c>
      <c r="BG26" s="57">
        <v>4.75</v>
      </c>
      <c r="BH26" s="54">
        <f>BI26*BH12</f>
        <v>19326.134999999998</v>
      </c>
      <c r="BI26" s="57">
        <v>4.75</v>
      </c>
      <c r="BJ26" s="54">
        <f>BK26*BJ12</f>
        <v>19326.134999999998</v>
      </c>
      <c r="BK26" s="57">
        <v>4.75</v>
      </c>
      <c r="BL26" s="54">
        <f>BM26*BL12</f>
        <v>19326.134999999998</v>
      </c>
      <c r="BM26" s="57">
        <v>4.75</v>
      </c>
      <c r="BN26" s="54">
        <f>BO26*BN12</f>
        <v>19326.134999999998</v>
      </c>
      <c r="BO26" s="57">
        <v>4.75</v>
      </c>
      <c r="BP26" s="54">
        <f>BQ26*BP12</f>
        <v>19326.134999999998</v>
      </c>
      <c r="BQ26" s="57">
        <v>4.75</v>
      </c>
      <c r="BR26" s="54">
        <f>BS26*BR12</f>
        <v>19326.134999999998</v>
      </c>
      <c r="BS26" s="57">
        <v>4.75</v>
      </c>
      <c r="BT26" s="54">
        <f>BU26*BT12</f>
        <v>17042.137227272728</v>
      </c>
      <c r="BU26" s="57">
        <f>BU32</f>
        <v>4.1886363636363635</v>
      </c>
      <c r="BV26" s="54">
        <f>BW26*BV12</f>
        <v>20750.165999999997</v>
      </c>
      <c r="BW26" s="57">
        <v>5.0999999999999996</v>
      </c>
      <c r="BX26" s="545"/>
      <c r="BY26" s="545"/>
      <c r="BZ26" s="545"/>
      <c r="CA26" s="545"/>
    </row>
    <row r="27" spans="1:79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42"/>
      <c r="O27" s="18"/>
      <c r="P27" s="42"/>
      <c r="Q27" s="18"/>
      <c r="R27" s="42"/>
      <c r="S27" s="18"/>
      <c r="T27" s="42"/>
      <c r="U27" s="18"/>
      <c r="V27" s="42"/>
      <c r="W27" s="18"/>
      <c r="X27" s="42"/>
      <c r="Y27" s="18"/>
      <c r="Z27" s="42"/>
      <c r="AA27" s="18"/>
      <c r="AB27" s="42"/>
      <c r="AC27" s="18"/>
      <c r="AD27" s="42"/>
      <c r="AE27" s="18"/>
      <c r="AF27" s="42"/>
      <c r="AG27" s="18"/>
      <c r="AH27" s="42"/>
      <c r="AI27" s="18"/>
      <c r="AJ27" s="42"/>
      <c r="AK27" s="18"/>
      <c r="AL27" s="42"/>
      <c r="AM27" s="18"/>
      <c r="AN27" s="42"/>
      <c r="AO27" s="18"/>
      <c r="AP27" s="42"/>
      <c r="AQ27" s="18"/>
      <c r="AR27" s="42"/>
      <c r="AS27" s="18"/>
      <c r="AT27" s="42"/>
      <c r="AU27" s="18"/>
      <c r="AV27" s="42"/>
      <c r="AW27" s="18"/>
      <c r="AX27" s="359"/>
      <c r="AY27" s="355"/>
      <c r="AZ27" s="359"/>
      <c r="BA27" s="355"/>
      <c r="BB27" s="359"/>
      <c r="BC27" s="355"/>
      <c r="BD27" s="359"/>
      <c r="BE27" s="355"/>
      <c r="BF27" s="359"/>
      <c r="BG27" s="355"/>
      <c r="BH27" s="359"/>
      <c r="BI27" s="355"/>
      <c r="BJ27" s="359"/>
      <c r="BK27" s="355"/>
      <c r="BL27" s="359"/>
      <c r="BM27" s="355"/>
      <c r="BN27" s="359"/>
      <c r="BO27" s="355"/>
      <c r="BP27" s="359"/>
      <c r="BQ27" s="355"/>
      <c r="BR27" s="359"/>
      <c r="BS27" s="355"/>
      <c r="BT27" s="359"/>
      <c r="BU27" s="355"/>
      <c r="BV27" s="359"/>
      <c r="BW27" s="355"/>
      <c r="BX27" s="545"/>
      <c r="BY27" s="545"/>
      <c r="BZ27" s="545"/>
      <c r="CA27" s="545"/>
    </row>
    <row r="28" spans="1:79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60"/>
      <c r="O28" s="43"/>
      <c r="P28" s="60"/>
      <c r="Q28" s="43"/>
      <c r="R28" s="60"/>
      <c r="S28" s="43"/>
      <c r="T28" s="60"/>
      <c r="U28" s="43"/>
      <c r="V28" s="60"/>
      <c r="W28" s="43"/>
      <c r="X28" s="60"/>
      <c r="Y28" s="43"/>
      <c r="Z28" s="60"/>
      <c r="AA28" s="43"/>
      <c r="AB28" s="60"/>
      <c r="AC28" s="43"/>
      <c r="AD28" s="60"/>
      <c r="AE28" s="43"/>
      <c r="AF28" s="60"/>
      <c r="AG28" s="43"/>
      <c r="AH28" s="60"/>
      <c r="AI28" s="43"/>
      <c r="AJ28" s="60"/>
      <c r="AK28" s="43"/>
      <c r="AL28" s="60"/>
      <c r="AM28" s="43"/>
      <c r="AN28" s="60"/>
      <c r="AO28" s="43"/>
      <c r="AP28" s="60"/>
      <c r="AQ28" s="43"/>
      <c r="AR28" s="60"/>
      <c r="AS28" s="43"/>
      <c r="AT28" s="60"/>
      <c r="AU28" s="43"/>
      <c r="AV28" s="60"/>
      <c r="AW28" s="43"/>
      <c r="AX28" s="364"/>
      <c r="AY28" s="360"/>
      <c r="AZ28" s="364"/>
      <c r="BA28" s="360"/>
      <c r="BB28" s="364"/>
      <c r="BC28" s="360"/>
      <c r="BD28" s="364"/>
      <c r="BE28" s="360"/>
      <c r="BF28" s="364"/>
      <c r="BG28" s="360"/>
      <c r="BH28" s="364"/>
      <c r="BI28" s="360"/>
      <c r="BJ28" s="364"/>
      <c r="BK28" s="360"/>
      <c r="BL28" s="364"/>
      <c r="BM28" s="360"/>
      <c r="BN28" s="364"/>
      <c r="BO28" s="360"/>
      <c r="BP28" s="364"/>
      <c r="BQ28" s="360"/>
      <c r="BR28" s="364"/>
      <c r="BS28" s="360"/>
      <c r="BT28" s="364"/>
      <c r="BU28" s="360"/>
      <c r="BV28" s="364"/>
      <c r="BW28" s="360"/>
      <c r="BX28" s="545"/>
      <c r="BY28" s="545"/>
      <c r="BZ28" s="545"/>
      <c r="CA28" s="545"/>
    </row>
    <row r="29" spans="1:79" s="49" customFormat="1" ht="18" customHeight="1" x14ac:dyDescent="0.45">
      <c r="A29" s="561"/>
      <c r="B29" s="1194"/>
      <c r="C29" s="44" t="s">
        <v>42</v>
      </c>
      <c r="D29" s="45"/>
      <c r="E29" s="46"/>
      <c r="F29" s="47">
        <f>F30/F26</f>
        <v>0.13876403743315471</v>
      </c>
      <c r="G29" s="48">
        <f>G30/G26</f>
        <v>0.13876403743315469</v>
      </c>
      <c r="H29" s="47">
        <f t="shared" ref="H29:BA29" si="186">H30/H26</f>
        <v>0.13876403743315471</v>
      </c>
      <c r="I29" s="48">
        <f t="shared" si="186"/>
        <v>0.13876403743315469</v>
      </c>
      <c r="J29" s="47">
        <f t="shared" si="186"/>
        <v>0.13876403743315471</v>
      </c>
      <c r="K29" s="48">
        <f t="shared" si="186"/>
        <v>0.13876403743315469</v>
      </c>
      <c r="L29" s="47">
        <f t="shared" si="186"/>
        <v>0.13876403743315471</v>
      </c>
      <c r="M29" s="48">
        <f t="shared" si="186"/>
        <v>0.13876403743315469</v>
      </c>
      <c r="N29" s="47">
        <f t="shared" si="186"/>
        <v>0.13876403743315471</v>
      </c>
      <c r="O29" s="48">
        <f t="shared" si="186"/>
        <v>0.13876403743315469</v>
      </c>
      <c r="P29" s="47">
        <f t="shared" si="186"/>
        <v>0.13876403743315471</v>
      </c>
      <c r="Q29" s="48">
        <f t="shared" si="186"/>
        <v>0.13876403743315469</v>
      </c>
      <c r="R29" s="47">
        <f t="shared" si="186"/>
        <v>0.13876403743315471</v>
      </c>
      <c r="S29" s="48">
        <f t="shared" si="186"/>
        <v>0.13876403743315469</v>
      </c>
      <c r="T29" s="47">
        <f t="shared" si="186"/>
        <v>0.13876403743315471</v>
      </c>
      <c r="U29" s="48">
        <f t="shared" si="186"/>
        <v>0.13876403743315469</v>
      </c>
      <c r="V29" s="47">
        <f t="shared" si="186"/>
        <v>0.13876403743315471</v>
      </c>
      <c r="W29" s="48">
        <f t="shared" si="186"/>
        <v>0.13876403743315469</v>
      </c>
      <c r="X29" s="47">
        <f t="shared" si="186"/>
        <v>0.13876403743315471</v>
      </c>
      <c r="Y29" s="48">
        <f t="shared" si="186"/>
        <v>0.13876403743315469</v>
      </c>
      <c r="Z29" s="47">
        <f t="shared" si="186"/>
        <v>0.13876403743315471</v>
      </c>
      <c r="AA29" s="48">
        <f t="shared" si="186"/>
        <v>0.13876403743315469</v>
      </c>
      <c r="AB29" s="47">
        <f t="shared" si="186"/>
        <v>0.13876403743315471</v>
      </c>
      <c r="AC29" s="48">
        <f t="shared" si="186"/>
        <v>0.13876403743315469</v>
      </c>
      <c r="AD29" s="47">
        <f t="shared" si="186"/>
        <v>0.13876403743315471</v>
      </c>
      <c r="AE29" s="48">
        <f t="shared" si="186"/>
        <v>0.13876403743315469</v>
      </c>
      <c r="AF29" s="47">
        <f t="shared" si="186"/>
        <v>0.13876403743315471</v>
      </c>
      <c r="AG29" s="48">
        <f t="shared" si="186"/>
        <v>0.13876403743315469</v>
      </c>
      <c r="AH29" s="47">
        <f t="shared" si="186"/>
        <v>0</v>
      </c>
      <c r="AI29" s="48">
        <f t="shared" si="186"/>
        <v>0</v>
      </c>
      <c r="AJ29" s="47">
        <f t="shared" si="186"/>
        <v>0.13876403743315471</v>
      </c>
      <c r="AK29" s="48">
        <f t="shared" si="186"/>
        <v>0.13876403743315469</v>
      </c>
      <c r="AL29" s="47">
        <f t="shared" si="186"/>
        <v>0.13876403743315471</v>
      </c>
      <c r="AM29" s="48">
        <f t="shared" si="186"/>
        <v>0.13876403743315469</v>
      </c>
      <c r="AN29" s="47">
        <f t="shared" si="186"/>
        <v>0.13876403743315471</v>
      </c>
      <c r="AO29" s="48">
        <f t="shared" si="186"/>
        <v>0.13876403743315469</v>
      </c>
      <c r="AP29" s="47">
        <f t="shared" si="186"/>
        <v>0.13876403743315471</v>
      </c>
      <c r="AQ29" s="48">
        <f t="shared" si="186"/>
        <v>0.13876403743315469</v>
      </c>
      <c r="AR29" s="47">
        <f t="shared" si="186"/>
        <v>2.3932575757575857E-2</v>
      </c>
      <c r="AS29" s="48">
        <f t="shared" si="186"/>
        <v>2.3932575757575781E-2</v>
      </c>
      <c r="AT29" s="47">
        <f t="shared" si="186"/>
        <v>0.10527152777777782</v>
      </c>
      <c r="AU29" s="48">
        <f t="shared" si="186"/>
        <v>0.1052715277777778</v>
      </c>
      <c r="AV29" s="47">
        <f t="shared" si="186"/>
        <v>0.10527152777777782</v>
      </c>
      <c r="AW29" s="48">
        <f t="shared" si="186"/>
        <v>0.1052715277777778</v>
      </c>
      <c r="AX29" s="361">
        <f t="shared" ref="AX29:AY29" si="187">AX30/AX26</f>
        <v>0</v>
      </c>
      <c r="AY29" s="362">
        <f t="shared" si="187"/>
        <v>0</v>
      </c>
      <c r="AZ29" s="361">
        <f t="shared" si="186"/>
        <v>0</v>
      </c>
      <c r="BA29" s="362">
        <f t="shared" si="186"/>
        <v>0</v>
      </c>
      <c r="BB29" s="361">
        <f t="shared" ref="BB29:BC29" si="188">BB30/BB26</f>
        <v>0</v>
      </c>
      <c r="BC29" s="362">
        <f t="shared" si="188"/>
        <v>0</v>
      </c>
      <c r="BD29" s="361">
        <f t="shared" ref="BD29:BE29" si="189">BD30/BD26</f>
        <v>0</v>
      </c>
      <c r="BE29" s="362">
        <f t="shared" si="189"/>
        <v>0</v>
      </c>
      <c r="BF29" s="361">
        <f t="shared" ref="BF29:BG29" si="190">BF30/BF26</f>
        <v>0</v>
      </c>
      <c r="BG29" s="362">
        <f t="shared" si="190"/>
        <v>0</v>
      </c>
      <c r="BH29" s="361">
        <f t="shared" ref="BH29:BI29" si="191">BH30/BH26</f>
        <v>0</v>
      </c>
      <c r="BI29" s="362">
        <f t="shared" si="191"/>
        <v>0</v>
      </c>
      <c r="BJ29" s="361">
        <f t="shared" ref="BJ29:BK29" si="192">BJ30/BJ26</f>
        <v>0</v>
      </c>
      <c r="BK29" s="362">
        <f t="shared" si="192"/>
        <v>0</v>
      </c>
      <c r="BL29" s="361">
        <f t="shared" ref="BL29:BM29" si="193">BL30/BL26</f>
        <v>0</v>
      </c>
      <c r="BM29" s="362">
        <f t="shared" si="193"/>
        <v>0</v>
      </c>
      <c r="BN29" s="361">
        <f t="shared" ref="BN29:BO29" si="194">BN30/BN26</f>
        <v>0</v>
      </c>
      <c r="BO29" s="362">
        <f t="shared" si="194"/>
        <v>0</v>
      </c>
      <c r="BP29" s="361">
        <f t="shared" ref="BP29:BS29" si="195">BP30/BP26</f>
        <v>0</v>
      </c>
      <c r="BQ29" s="362">
        <f t="shared" si="195"/>
        <v>0</v>
      </c>
      <c r="BR29" s="361">
        <f t="shared" si="195"/>
        <v>0</v>
      </c>
      <c r="BS29" s="362">
        <f t="shared" si="195"/>
        <v>0</v>
      </c>
      <c r="BT29" s="361">
        <f t="shared" ref="BT29:BW29" si="196">BT30/BT26</f>
        <v>0</v>
      </c>
      <c r="BU29" s="362">
        <f t="shared" si="196"/>
        <v>0</v>
      </c>
      <c r="BV29" s="361">
        <f t="shared" si="196"/>
        <v>6.8627450980392121E-2</v>
      </c>
      <c r="BW29" s="362">
        <f t="shared" si="196"/>
        <v>6.8627450980392093E-2</v>
      </c>
      <c r="BX29" s="545"/>
      <c r="BY29" s="545"/>
      <c r="BZ29" s="545"/>
      <c r="CA29" s="545"/>
    </row>
    <row r="30" spans="1:79" s="4" customFormat="1" ht="18" customHeight="1" x14ac:dyDescent="0.45">
      <c r="A30" s="561"/>
      <c r="B30" s="1194"/>
      <c r="C30" s="15" t="s">
        <v>43</v>
      </c>
      <c r="D30" s="16"/>
      <c r="E30" s="35"/>
      <c r="F30" s="50">
        <f>F26-F32</f>
        <v>2830.7863636363545</v>
      </c>
      <c r="G30" s="24">
        <f>G26-G32</f>
        <v>0.69575397394630034</v>
      </c>
      <c r="H30" s="50">
        <f t="shared" ref="H30:BA30" si="197">H26-H32</f>
        <v>2830.7863636363545</v>
      </c>
      <c r="I30" s="24">
        <f t="shared" si="197"/>
        <v>0.69575397394630034</v>
      </c>
      <c r="J30" s="50">
        <f t="shared" si="197"/>
        <v>2830.7863636363545</v>
      </c>
      <c r="K30" s="24">
        <f t="shared" si="197"/>
        <v>0.69575397394630034</v>
      </c>
      <c r="L30" s="50">
        <f t="shared" si="197"/>
        <v>2830.7863636363545</v>
      </c>
      <c r="M30" s="24">
        <f t="shared" si="197"/>
        <v>0.69575397394630034</v>
      </c>
      <c r="N30" s="50">
        <f t="shared" si="197"/>
        <v>2830.7863636363545</v>
      </c>
      <c r="O30" s="24">
        <f t="shared" si="197"/>
        <v>0.69575397394630034</v>
      </c>
      <c r="P30" s="50">
        <f t="shared" si="197"/>
        <v>2830.7863636363545</v>
      </c>
      <c r="Q30" s="24">
        <f t="shared" si="197"/>
        <v>0.69575397394630034</v>
      </c>
      <c r="R30" s="50">
        <f t="shared" si="197"/>
        <v>2830.7863636363545</v>
      </c>
      <c r="S30" s="24">
        <f t="shared" si="197"/>
        <v>0.69575397394630034</v>
      </c>
      <c r="T30" s="50">
        <f t="shared" si="197"/>
        <v>2830.7863636363545</v>
      </c>
      <c r="U30" s="24">
        <f t="shared" si="197"/>
        <v>0.69575397394630034</v>
      </c>
      <c r="V30" s="50">
        <f t="shared" si="197"/>
        <v>2830.7863636363545</v>
      </c>
      <c r="W30" s="24">
        <f t="shared" si="197"/>
        <v>0.69575397394630034</v>
      </c>
      <c r="X30" s="50">
        <f t="shared" si="197"/>
        <v>2830.7863636363545</v>
      </c>
      <c r="Y30" s="24">
        <f t="shared" si="197"/>
        <v>0.69575397394630034</v>
      </c>
      <c r="Z30" s="50">
        <f t="shared" si="197"/>
        <v>2830.7863636363545</v>
      </c>
      <c r="AA30" s="24">
        <f t="shared" si="197"/>
        <v>0.69575397394630034</v>
      </c>
      <c r="AB30" s="50">
        <f t="shared" si="197"/>
        <v>2830.7863636363545</v>
      </c>
      <c r="AC30" s="24">
        <f t="shared" si="197"/>
        <v>0.69575397394630034</v>
      </c>
      <c r="AD30" s="50">
        <f t="shared" si="197"/>
        <v>2830.7863636363545</v>
      </c>
      <c r="AE30" s="24">
        <f t="shared" si="197"/>
        <v>0.69575397394630034</v>
      </c>
      <c r="AF30" s="50">
        <f t="shared" si="197"/>
        <v>2830.7863636363545</v>
      </c>
      <c r="AG30" s="24">
        <f t="shared" si="197"/>
        <v>0.69575397394630034</v>
      </c>
      <c r="AH30" s="50">
        <f t="shared" si="197"/>
        <v>0</v>
      </c>
      <c r="AI30" s="24">
        <f t="shared" si="197"/>
        <v>0</v>
      </c>
      <c r="AJ30" s="50">
        <f t="shared" si="197"/>
        <v>2830.7863636363545</v>
      </c>
      <c r="AK30" s="24">
        <f t="shared" si="197"/>
        <v>0.69575397394630034</v>
      </c>
      <c r="AL30" s="50">
        <f t="shared" si="197"/>
        <v>2830.7863636363545</v>
      </c>
      <c r="AM30" s="24">
        <f t="shared" si="197"/>
        <v>0.69575397394630034</v>
      </c>
      <c r="AN30" s="50">
        <f t="shared" si="197"/>
        <v>2830.7863636363545</v>
      </c>
      <c r="AO30" s="24">
        <f t="shared" si="197"/>
        <v>0.69575397394630034</v>
      </c>
      <c r="AP30" s="50">
        <f t="shared" si="197"/>
        <v>2830.7863636363545</v>
      </c>
      <c r="AQ30" s="24">
        <f t="shared" si="197"/>
        <v>0.69575397394630034</v>
      </c>
      <c r="AR30" s="50">
        <f t="shared" si="197"/>
        <v>430.78636363636542</v>
      </c>
      <c r="AS30" s="24">
        <f t="shared" si="197"/>
        <v>0.10587917487240617</v>
      </c>
      <c r="AT30" s="50">
        <f t="shared" si="197"/>
        <v>1894.8875000000007</v>
      </c>
      <c r="AU30" s="24">
        <f t="shared" si="197"/>
        <v>0.46572765972089103</v>
      </c>
      <c r="AV30" s="50">
        <f t="shared" si="197"/>
        <v>1894.8875000000007</v>
      </c>
      <c r="AW30" s="24">
        <f t="shared" si="197"/>
        <v>0.46572765972089103</v>
      </c>
      <c r="AX30" s="363">
        <f t="shared" ref="AX30:AY30" si="198">AX26-AX32</f>
        <v>0</v>
      </c>
      <c r="AY30" s="351">
        <f t="shared" si="198"/>
        <v>0</v>
      </c>
      <c r="AZ30" s="363">
        <f t="shared" si="197"/>
        <v>0</v>
      </c>
      <c r="BA30" s="351">
        <f t="shared" si="197"/>
        <v>0</v>
      </c>
      <c r="BB30" s="363">
        <f t="shared" ref="BB30:BC30" si="199">BB26-BB32</f>
        <v>0</v>
      </c>
      <c r="BC30" s="351">
        <f t="shared" si="199"/>
        <v>0</v>
      </c>
      <c r="BD30" s="363">
        <f t="shared" ref="BD30:BE30" si="200">BD26-BD32</f>
        <v>0</v>
      </c>
      <c r="BE30" s="351">
        <f t="shared" si="200"/>
        <v>0</v>
      </c>
      <c r="BF30" s="363">
        <f t="shared" ref="BF30:BG30" si="201">BF26-BF32</f>
        <v>0</v>
      </c>
      <c r="BG30" s="351">
        <f t="shared" si="201"/>
        <v>0</v>
      </c>
      <c r="BH30" s="363">
        <f t="shared" ref="BH30:BI30" si="202">BH26-BH32</f>
        <v>0</v>
      </c>
      <c r="BI30" s="351">
        <f t="shared" si="202"/>
        <v>0</v>
      </c>
      <c r="BJ30" s="363">
        <f t="shared" ref="BJ30:BK30" si="203">BJ26-BJ32</f>
        <v>0</v>
      </c>
      <c r="BK30" s="351">
        <f t="shared" si="203"/>
        <v>0</v>
      </c>
      <c r="BL30" s="363">
        <f t="shared" ref="BL30:BM30" si="204">BL26-BL32</f>
        <v>0</v>
      </c>
      <c r="BM30" s="351">
        <f t="shared" si="204"/>
        <v>0</v>
      </c>
      <c r="BN30" s="363">
        <f t="shared" ref="BN30:BO30" si="205">BN26-BN32</f>
        <v>0</v>
      </c>
      <c r="BO30" s="351">
        <f t="shared" si="205"/>
        <v>0</v>
      </c>
      <c r="BP30" s="363">
        <f t="shared" ref="BP30:BS30" si="206">BP26-BP32</f>
        <v>0</v>
      </c>
      <c r="BQ30" s="351">
        <f t="shared" si="206"/>
        <v>0</v>
      </c>
      <c r="BR30" s="363">
        <f t="shared" si="206"/>
        <v>0</v>
      </c>
      <c r="BS30" s="351">
        <f t="shared" si="206"/>
        <v>0</v>
      </c>
      <c r="BT30" s="363">
        <f t="shared" ref="BT30:BW30" si="207">BT26-BT32</f>
        <v>0</v>
      </c>
      <c r="BU30" s="351">
        <f t="shared" si="207"/>
        <v>0</v>
      </c>
      <c r="BV30" s="363">
        <f t="shared" si="207"/>
        <v>1424.030999999999</v>
      </c>
      <c r="BW30" s="351">
        <f t="shared" si="207"/>
        <v>0.34999999999999964</v>
      </c>
      <c r="BX30" s="545"/>
      <c r="BY30" s="545"/>
      <c r="BZ30" s="545"/>
      <c r="CA30" s="545"/>
    </row>
    <row r="31" spans="1:79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17569.213636363635</v>
      </c>
      <c r="G31" s="55">
        <f>G32</f>
        <v>4.3181818181818183</v>
      </c>
      <c r="H31" s="54">
        <f t="shared" ref="H31" si="208">+H32</f>
        <v>17569.213636363635</v>
      </c>
      <c r="I31" s="55">
        <f t="shared" ref="I31" si="209">I32</f>
        <v>4.3181818181818183</v>
      </c>
      <c r="J31" s="54">
        <f t="shared" ref="J31" si="210">+J32</f>
        <v>17569.213636363635</v>
      </c>
      <c r="K31" s="55">
        <f t="shared" ref="K31" si="211">K32</f>
        <v>4.3181818181818183</v>
      </c>
      <c r="L31" s="54">
        <f t="shared" ref="L31" si="212">+L32</f>
        <v>17569.213636363635</v>
      </c>
      <c r="M31" s="55">
        <f t="shared" ref="M31" si="213">M32</f>
        <v>4.3181818181818183</v>
      </c>
      <c r="N31" s="54">
        <f t="shared" ref="N31" si="214">+N32</f>
        <v>17569.213636363635</v>
      </c>
      <c r="O31" s="55">
        <f t="shared" ref="O31" si="215">O32</f>
        <v>4.3181818181818183</v>
      </c>
      <c r="P31" s="54">
        <f t="shared" ref="P31" si="216">+P32</f>
        <v>17569.213636363635</v>
      </c>
      <c r="Q31" s="55">
        <f t="shared" ref="Q31" si="217">Q32</f>
        <v>4.3181818181818183</v>
      </c>
      <c r="R31" s="54">
        <f t="shared" ref="R31" si="218">+R32</f>
        <v>17569.213636363635</v>
      </c>
      <c r="S31" s="55">
        <f t="shared" ref="S31" si="219">S32</f>
        <v>4.3181818181818183</v>
      </c>
      <c r="T31" s="54">
        <f t="shared" ref="T31" si="220">+T32</f>
        <v>17569.213636363635</v>
      </c>
      <c r="U31" s="55">
        <f t="shared" ref="U31" si="221">U32</f>
        <v>4.3181818181818183</v>
      </c>
      <c r="V31" s="54">
        <f t="shared" ref="V31" si="222">+V32</f>
        <v>17569.213636363635</v>
      </c>
      <c r="W31" s="55">
        <f t="shared" ref="W31" si="223">W32</f>
        <v>4.3181818181818183</v>
      </c>
      <c r="X31" s="54">
        <f t="shared" ref="X31" si="224">+X32</f>
        <v>17569.213636363635</v>
      </c>
      <c r="Y31" s="55">
        <f t="shared" ref="Y31" si="225">Y32</f>
        <v>4.3181818181818183</v>
      </c>
      <c r="Z31" s="54">
        <f t="shared" ref="Z31" si="226">+Z32</f>
        <v>17569.213636363635</v>
      </c>
      <c r="AA31" s="55">
        <f t="shared" ref="AA31" si="227">AA32</f>
        <v>4.3181818181818183</v>
      </c>
      <c r="AB31" s="54">
        <f t="shared" ref="AB31" si="228">+AB32</f>
        <v>17569.213636363635</v>
      </c>
      <c r="AC31" s="55">
        <f t="shared" ref="AC31" si="229">AC32</f>
        <v>4.3181818181818183</v>
      </c>
      <c r="AD31" s="54">
        <f t="shared" ref="AD31" si="230">+AD32</f>
        <v>17569.213636363635</v>
      </c>
      <c r="AE31" s="55">
        <f t="shared" ref="AE31" si="231">AE32</f>
        <v>4.3181818181818183</v>
      </c>
      <c r="AF31" s="54">
        <f t="shared" ref="AF31" si="232">+AF32</f>
        <v>17569.213636363635</v>
      </c>
      <c r="AG31" s="55">
        <f t="shared" ref="AG31" si="233">AG32</f>
        <v>4.3181818181818183</v>
      </c>
      <c r="AH31" s="54">
        <f t="shared" ref="AH31" si="234">+AH32</f>
        <v>17569.213636363635</v>
      </c>
      <c r="AI31" s="55">
        <f t="shared" ref="AI31" si="235">AI32</f>
        <v>4.3181818181818183</v>
      </c>
      <c r="AJ31" s="54">
        <f t="shared" ref="AJ31" si="236">+AJ32</f>
        <v>17569.213636363635</v>
      </c>
      <c r="AK31" s="55">
        <f t="shared" ref="AK31" si="237">AK32</f>
        <v>4.3181818181818183</v>
      </c>
      <c r="AL31" s="54">
        <f t="shared" ref="AL31" si="238">+AL32</f>
        <v>17569.213636363635</v>
      </c>
      <c r="AM31" s="55">
        <f t="shared" ref="AM31" si="239">AM32</f>
        <v>4.3181818181818183</v>
      </c>
      <c r="AN31" s="54">
        <f t="shared" ref="AN31:AV31" si="240">+AN32</f>
        <v>17569.213636363635</v>
      </c>
      <c r="AO31" s="55">
        <f t="shared" ref="AO31:AW31" si="241">AO32</f>
        <v>4.3181818181818183</v>
      </c>
      <c r="AP31" s="54">
        <f t="shared" si="240"/>
        <v>17569.213636363635</v>
      </c>
      <c r="AQ31" s="55">
        <f t="shared" si="241"/>
        <v>4.3181818181818183</v>
      </c>
      <c r="AR31" s="54">
        <f t="shared" si="240"/>
        <v>17569.213636363635</v>
      </c>
      <c r="AS31" s="55">
        <f t="shared" si="241"/>
        <v>4.3181818181818183</v>
      </c>
      <c r="AT31" s="54">
        <f t="shared" si="240"/>
        <v>16105.112499999999</v>
      </c>
      <c r="AU31" s="55">
        <f t="shared" si="241"/>
        <v>3.9583333333333335</v>
      </c>
      <c r="AV31" s="54">
        <f t="shared" si="240"/>
        <v>16105.112499999999</v>
      </c>
      <c r="AW31" s="55">
        <f t="shared" si="241"/>
        <v>3.9583333333333335</v>
      </c>
      <c r="AX31" s="54">
        <f>+AX32</f>
        <v>19326.134999999998</v>
      </c>
      <c r="AY31" s="55">
        <f>AY32</f>
        <v>4.75</v>
      </c>
      <c r="AZ31" s="54">
        <f>+AZ32</f>
        <v>19326.134999999998</v>
      </c>
      <c r="BA31" s="55">
        <f>BA32</f>
        <v>4.75</v>
      </c>
      <c r="BB31" s="54">
        <f>+BB32</f>
        <v>19326.134999999998</v>
      </c>
      <c r="BC31" s="55">
        <f>BC32</f>
        <v>4.75</v>
      </c>
      <c r="BD31" s="54">
        <f>+BD32</f>
        <v>19326.134999999998</v>
      </c>
      <c r="BE31" s="55">
        <f>BE32</f>
        <v>4.75</v>
      </c>
      <c r="BF31" s="54">
        <f>+BF32</f>
        <v>19326.134999999998</v>
      </c>
      <c r="BG31" s="55">
        <f>BG32</f>
        <v>4.75</v>
      </c>
      <c r="BH31" s="54">
        <f>+BH32</f>
        <v>19326.134999999998</v>
      </c>
      <c r="BI31" s="55">
        <f>BI32</f>
        <v>4.75</v>
      </c>
      <c r="BJ31" s="54">
        <f>+BJ32</f>
        <v>19326.134999999998</v>
      </c>
      <c r="BK31" s="55">
        <f>BK32</f>
        <v>4.75</v>
      </c>
      <c r="BL31" s="54">
        <f>+BL32</f>
        <v>19326.134999999998</v>
      </c>
      <c r="BM31" s="55">
        <f>BM32</f>
        <v>4.75</v>
      </c>
      <c r="BN31" s="54">
        <f>+BN32</f>
        <v>19326.134999999998</v>
      </c>
      <c r="BO31" s="55">
        <f>BO32</f>
        <v>4.75</v>
      </c>
      <c r="BP31" s="54">
        <f>+BP32</f>
        <v>19326.134999999998</v>
      </c>
      <c r="BQ31" s="55">
        <f>BQ32</f>
        <v>4.75</v>
      </c>
      <c r="BR31" s="54">
        <f>+BR32</f>
        <v>19326.134999999998</v>
      </c>
      <c r="BS31" s="55">
        <f>BS32</f>
        <v>4.75</v>
      </c>
      <c r="BT31" s="54">
        <f>+BT32</f>
        <v>17042.137227272728</v>
      </c>
      <c r="BU31" s="55">
        <f>BU32</f>
        <v>4.1886363636363635</v>
      </c>
      <c r="BV31" s="54">
        <f>+BV32</f>
        <v>19326.134999999998</v>
      </c>
      <c r="BW31" s="55">
        <f>BW32</f>
        <v>4.75</v>
      </c>
      <c r="BX31" s="545"/>
      <c r="BY31" s="545"/>
      <c r="BZ31" s="545"/>
      <c r="CA31" s="545"/>
    </row>
    <row r="32" spans="1:79" s="4" customFormat="1" ht="18" customHeight="1" x14ac:dyDescent="0.45">
      <c r="A32" s="561"/>
      <c r="B32" s="1194"/>
      <c r="C32" s="56" t="s">
        <v>45</v>
      </c>
      <c r="D32" s="52"/>
      <c r="E32" s="53"/>
      <c r="F32" s="54">
        <f>G32*F12</f>
        <v>17569.213636363635</v>
      </c>
      <c r="G32" s="55">
        <f>4.75*10/11</f>
        <v>4.3181818181818183</v>
      </c>
      <c r="H32" s="54">
        <f t="shared" ref="H32" si="242">I32*H12</f>
        <v>17569.213636363635</v>
      </c>
      <c r="I32" s="55">
        <f t="shared" ref="I32" si="243">4.75*10/11</f>
        <v>4.3181818181818183</v>
      </c>
      <c r="J32" s="54">
        <f t="shared" ref="J32" si="244">K32*J12</f>
        <v>17569.213636363635</v>
      </c>
      <c r="K32" s="55">
        <f t="shared" ref="K32" si="245">4.75*10/11</f>
        <v>4.3181818181818183</v>
      </c>
      <c r="L32" s="54">
        <f t="shared" ref="L32" si="246">M32*L12</f>
        <v>17569.213636363635</v>
      </c>
      <c r="M32" s="55">
        <f t="shared" ref="M32" si="247">4.75*10/11</f>
        <v>4.3181818181818183</v>
      </c>
      <c r="N32" s="54">
        <f t="shared" ref="N32" si="248">O32*N12</f>
        <v>17569.213636363635</v>
      </c>
      <c r="O32" s="55">
        <f t="shared" ref="O32" si="249">4.75*10/11</f>
        <v>4.3181818181818183</v>
      </c>
      <c r="P32" s="54">
        <f t="shared" ref="P32" si="250">Q32*P12</f>
        <v>17569.213636363635</v>
      </c>
      <c r="Q32" s="55">
        <f t="shared" ref="Q32" si="251">4.75*10/11</f>
        <v>4.3181818181818183</v>
      </c>
      <c r="R32" s="54">
        <f t="shared" ref="R32" si="252">S32*R12</f>
        <v>17569.213636363635</v>
      </c>
      <c r="S32" s="55">
        <f t="shared" ref="S32" si="253">4.75*10/11</f>
        <v>4.3181818181818183</v>
      </c>
      <c r="T32" s="54">
        <f t="shared" ref="T32" si="254">U32*T12</f>
        <v>17569.213636363635</v>
      </c>
      <c r="U32" s="55">
        <f t="shared" ref="U32" si="255">4.75*10/11</f>
        <v>4.3181818181818183</v>
      </c>
      <c r="V32" s="54">
        <f t="shared" ref="V32" si="256">W32*V12</f>
        <v>17569.213636363635</v>
      </c>
      <c r="W32" s="55">
        <f t="shared" ref="W32" si="257">4.75*10/11</f>
        <v>4.3181818181818183</v>
      </c>
      <c r="X32" s="54">
        <f t="shared" ref="X32" si="258">Y32*X12</f>
        <v>17569.213636363635</v>
      </c>
      <c r="Y32" s="55">
        <f t="shared" ref="Y32" si="259">4.75*10/11</f>
        <v>4.3181818181818183</v>
      </c>
      <c r="Z32" s="54">
        <f t="shared" ref="Z32" si="260">AA32*Z12</f>
        <v>17569.213636363635</v>
      </c>
      <c r="AA32" s="55">
        <f t="shared" ref="AA32" si="261">4.75*10/11</f>
        <v>4.3181818181818183</v>
      </c>
      <c r="AB32" s="54">
        <f t="shared" ref="AB32" si="262">AC32*AB12</f>
        <v>17569.213636363635</v>
      </c>
      <c r="AC32" s="55">
        <f t="shared" ref="AC32:AS32" si="263">4.75*10/11</f>
        <v>4.3181818181818183</v>
      </c>
      <c r="AD32" s="54">
        <f t="shared" ref="AD32" si="264">AE32*AD12</f>
        <v>17569.213636363635</v>
      </c>
      <c r="AE32" s="55">
        <f t="shared" si="263"/>
        <v>4.3181818181818183</v>
      </c>
      <c r="AF32" s="54">
        <f t="shared" ref="AF32" si="265">AG32*AF12</f>
        <v>17569.213636363635</v>
      </c>
      <c r="AG32" s="55">
        <f t="shared" si="263"/>
        <v>4.3181818181818183</v>
      </c>
      <c r="AH32" s="54">
        <f t="shared" ref="AH32" si="266">AI32*AH12</f>
        <v>17569.213636363635</v>
      </c>
      <c r="AI32" s="55">
        <f t="shared" si="263"/>
        <v>4.3181818181818183</v>
      </c>
      <c r="AJ32" s="54">
        <f t="shared" ref="AJ32" si="267">AK32*AJ12</f>
        <v>17569.213636363635</v>
      </c>
      <c r="AK32" s="55">
        <f t="shared" si="263"/>
        <v>4.3181818181818183</v>
      </c>
      <c r="AL32" s="54">
        <f t="shared" ref="AL32" si="268">AM32*AL12</f>
        <v>17569.213636363635</v>
      </c>
      <c r="AM32" s="55">
        <f t="shared" si="263"/>
        <v>4.3181818181818183</v>
      </c>
      <c r="AN32" s="54">
        <f t="shared" ref="AN32" si="269">AO32*AN12</f>
        <v>17569.213636363635</v>
      </c>
      <c r="AO32" s="55">
        <f t="shared" si="263"/>
        <v>4.3181818181818183</v>
      </c>
      <c r="AP32" s="54">
        <f t="shared" ref="AP32" si="270">AQ32*AP12</f>
        <v>17569.213636363635</v>
      </c>
      <c r="AQ32" s="55">
        <f t="shared" si="263"/>
        <v>4.3181818181818183</v>
      </c>
      <c r="AR32" s="54">
        <f t="shared" ref="AR32" si="271">AS32*AR12</f>
        <v>17569.213636363635</v>
      </c>
      <c r="AS32" s="55">
        <f t="shared" si="263"/>
        <v>4.3181818181818183</v>
      </c>
      <c r="AT32" s="54">
        <f t="shared" ref="AT32" si="272">AU32*AT12</f>
        <v>16105.112499999999</v>
      </c>
      <c r="AU32" s="55">
        <f>4.75*5/6</f>
        <v>3.9583333333333335</v>
      </c>
      <c r="AV32" s="54">
        <f t="shared" ref="AV32" si="273">AW32*AV12</f>
        <v>16105.112499999999</v>
      </c>
      <c r="AW32" s="55">
        <f>4.75*5/6</f>
        <v>3.9583333333333335</v>
      </c>
      <c r="AX32" s="54">
        <f>AY32*AX12</f>
        <v>19326.134999999998</v>
      </c>
      <c r="AY32" s="55">
        <v>4.75</v>
      </c>
      <c r="AZ32" s="54">
        <f>BA32*AZ12</f>
        <v>19326.134999999998</v>
      </c>
      <c r="BA32" s="55">
        <v>4.75</v>
      </c>
      <c r="BB32" s="54">
        <f>BC32*BB12</f>
        <v>19326.134999999998</v>
      </c>
      <c r="BC32" s="55">
        <v>4.75</v>
      </c>
      <c r="BD32" s="54">
        <f>BE32*BD12</f>
        <v>19326.134999999998</v>
      </c>
      <c r="BE32" s="55">
        <v>4.75</v>
      </c>
      <c r="BF32" s="54">
        <f>BG32*BF12</f>
        <v>19326.134999999998</v>
      </c>
      <c r="BG32" s="55">
        <v>4.75</v>
      </c>
      <c r="BH32" s="54">
        <f>BI32*BH12</f>
        <v>19326.134999999998</v>
      </c>
      <c r="BI32" s="55">
        <v>4.75</v>
      </c>
      <c r="BJ32" s="54">
        <f>BK32*BJ12</f>
        <v>19326.134999999998</v>
      </c>
      <c r="BK32" s="55">
        <v>4.75</v>
      </c>
      <c r="BL32" s="54">
        <f>BM32*BL12</f>
        <v>19326.134999999998</v>
      </c>
      <c r="BM32" s="55">
        <v>4.75</v>
      </c>
      <c r="BN32" s="54">
        <f>BO32*BN12</f>
        <v>19326.134999999998</v>
      </c>
      <c r="BO32" s="55">
        <v>4.75</v>
      </c>
      <c r="BP32" s="54">
        <f>BQ32*BP12</f>
        <v>19326.134999999998</v>
      </c>
      <c r="BQ32" s="55">
        <v>4.75</v>
      </c>
      <c r="BR32" s="54">
        <f>BS32*BR12</f>
        <v>19326.134999999998</v>
      </c>
      <c r="BS32" s="55">
        <v>4.75</v>
      </c>
      <c r="BT32" s="54">
        <f>BU32*BT12</f>
        <v>17042.137227272728</v>
      </c>
      <c r="BU32" s="55">
        <f>4.75*10/11*97%</f>
        <v>4.1886363636363635</v>
      </c>
      <c r="BV32" s="54">
        <f>BW32*BV12</f>
        <v>19326.134999999998</v>
      </c>
      <c r="BW32" s="55">
        <v>4.75</v>
      </c>
      <c r="BX32" s="545"/>
      <c r="BY32" s="545"/>
      <c r="BZ32" s="545"/>
      <c r="CA32" s="545"/>
    </row>
    <row r="33" spans="1:79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61"/>
      <c r="O33" s="41"/>
      <c r="P33" s="61"/>
      <c r="Q33" s="41"/>
      <c r="R33" s="61"/>
      <c r="S33" s="41"/>
      <c r="T33" s="61"/>
      <c r="U33" s="41"/>
      <c r="V33" s="61"/>
      <c r="W33" s="41"/>
      <c r="X33" s="61"/>
      <c r="Y33" s="41"/>
      <c r="Z33" s="61"/>
      <c r="AA33" s="41"/>
      <c r="AB33" s="61"/>
      <c r="AC33" s="41"/>
      <c r="AD33" s="61"/>
      <c r="AE33" s="41"/>
      <c r="AF33" s="61"/>
      <c r="AG33" s="41"/>
      <c r="AH33" s="61"/>
      <c r="AI33" s="41"/>
      <c r="AJ33" s="61"/>
      <c r="AK33" s="41"/>
      <c r="AL33" s="61"/>
      <c r="AM33" s="41"/>
      <c r="AN33" s="61"/>
      <c r="AO33" s="41"/>
      <c r="AP33" s="61"/>
      <c r="AQ33" s="41"/>
      <c r="AR33" s="61"/>
      <c r="AS33" s="41"/>
      <c r="AT33" s="61"/>
      <c r="AU33" s="41"/>
      <c r="AV33" s="61"/>
      <c r="AW33" s="41"/>
      <c r="AX33" s="365"/>
      <c r="AY33" s="358"/>
      <c r="AZ33" s="365"/>
      <c r="BA33" s="358"/>
      <c r="BB33" s="365"/>
      <c r="BC33" s="358"/>
      <c r="BD33" s="365"/>
      <c r="BE33" s="358"/>
      <c r="BF33" s="365"/>
      <c r="BG33" s="358"/>
      <c r="BH33" s="365"/>
      <c r="BI33" s="358"/>
      <c r="BJ33" s="365"/>
      <c r="BK33" s="358"/>
      <c r="BL33" s="365"/>
      <c r="BM33" s="358"/>
      <c r="BN33" s="365"/>
      <c r="BO33" s="358"/>
      <c r="BP33" s="365"/>
      <c r="BQ33" s="358"/>
      <c r="BR33" s="365"/>
      <c r="BS33" s="358"/>
      <c r="BT33" s="365"/>
      <c r="BU33" s="358"/>
      <c r="BV33" s="365"/>
      <c r="BW33" s="358"/>
      <c r="BX33" s="545"/>
      <c r="BY33" s="545"/>
      <c r="BZ33" s="545"/>
      <c r="CA33" s="545"/>
    </row>
    <row r="34" spans="1:79" s="4" customFormat="1" ht="18" hidden="1" customHeight="1" outlineLevel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60"/>
      <c r="O34" s="43"/>
      <c r="P34" s="60"/>
      <c r="Q34" s="43"/>
      <c r="R34" s="60"/>
      <c r="S34" s="43"/>
      <c r="T34" s="60"/>
      <c r="U34" s="43"/>
      <c r="V34" s="60"/>
      <c r="W34" s="43"/>
      <c r="X34" s="60"/>
      <c r="Y34" s="43"/>
      <c r="Z34" s="60"/>
      <c r="AA34" s="43"/>
      <c r="AB34" s="60"/>
      <c r="AC34" s="43"/>
      <c r="AD34" s="60"/>
      <c r="AE34" s="43"/>
      <c r="AF34" s="60"/>
      <c r="AG34" s="43"/>
      <c r="AH34" s="60"/>
      <c r="AI34" s="43"/>
      <c r="AJ34" s="60"/>
      <c r="AK34" s="43"/>
      <c r="AL34" s="60"/>
      <c r="AM34" s="43"/>
      <c r="AN34" s="60"/>
      <c r="AO34" s="43"/>
      <c r="AP34" s="60"/>
      <c r="AQ34" s="43"/>
      <c r="AR34" s="60"/>
      <c r="AS34" s="43"/>
      <c r="AT34" s="60"/>
      <c r="AU34" s="43"/>
      <c r="AV34" s="60"/>
      <c r="AW34" s="43"/>
      <c r="AX34" s="364"/>
      <c r="AY34" s="360"/>
      <c r="AZ34" s="364"/>
      <c r="BA34" s="360"/>
      <c r="BB34" s="364"/>
      <c r="BC34" s="360"/>
      <c r="BD34" s="364"/>
      <c r="BE34" s="360"/>
      <c r="BF34" s="364"/>
      <c r="BG34" s="360"/>
      <c r="BH34" s="364"/>
      <c r="BI34" s="360"/>
      <c r="BJ34" s="364"/>
      <c r="BK34" s="360"/>
      <c r="BL34" s="364"/>
      <c r="BM34" s="360"/>
      <c r="BN34" s="364"/>
      <c r="BO34" s="360"/>
      <c r="BP34" s="364"/>
      <c r="BQ34" s="360"/>
      <c r="BR34" s="364"/>
      <c r="BS34" s="360"/>
      <c r="BT34" s="364"/>
      <c r="BU34" s="360"/>
      <c r="BV34" s="364"/>
      <c r="BW34" s="360"/>
      <c r="BX34" s="545"/>
      <c r="BY34" s="545"/>
      <c r="BZ34" s="545"/>
      <c r="CA34" s="545"/>
    </row>
    <row r="35" spans="1:79" s="49" customFormat="1" ht="18" hidden="1" customHeight="1" outlineLevel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47"/>
      <c r="M35" s="48"/>
      <c r="N35" s="47"/>
      <c r="O35" s="48"/>
      <c r="P35" s="47"/>
      <c r="Q35" s="48"/>
      <c r="R35" s="47"/>
      <c r="S35" s="48"/>
      <c r="T35" s="47"/>
      <c r="U35" s="48"/>
      <c r="V35" s="47"/>
      <c r="W35" s="48"/>
      <c r="X35" s="47"/>
      <c r="Y35" s="48"/>
      <c r="Z35" s="47"/>
      <c r="AA35" s="48"/>
      <c r="AB35" s="47"/>
      <c r="AC35" s="48"/>
      <c r="AD35" s="47"/>
      <c r="AE35" s="48"/>
      <c r="AF35" s="47"/>
      <c r="AG35" s="48"/>
      <c r="AH35" s="47"/>
      <c r="AI35" s="48"/>
      <c r="AJ35" s="47"/>
      <c r="AK35" s="48"/>
      <c r="AL35" s="47"/>
      <c r="AM35" s="48"/>
      <c r="AN35" s="47"/>
      <c r="AO35" s="48"/>
      <c r="AP35" s="47"/>
      <c r="AQ35" s="1144">
        <f>4.75*9/11</f>
        <v>3.8863636363636362</v>
      </c>
      <c r="AR35" s="47"/>
      <c r="AS35" s="1144"/>
      <c r="AT35" s="47"/>
      <c r="AU35" s="1144"/>
      <c r="AV35" s="47"/>
      <c r="AW35" s="1144"/>
      <c r="AX35" s="361"/>
      <c r="AY35" s="362"/>
      <c r="AZ35" s="361"/>
      <c r="BA35" s="362"/>
      <c r="BB35" s="361"/>
      <c r="BC35" s="362"/>
      <c r="BD35" s="361"/>
      <c r="BE35" s="362"/>
      <c r="BF35" s="361"/>
      <c r="BG35" s="362"/>
      <c r="BH35" s="361"/>
      <c r="BI35" s="362"/>
      <c r="BJ35" s="361"/>
      <c r="BK35" s="362"/>
      <c r="BL35" s="361"/>
      <c r="BM35" s="362"/>
      <c r="BN35" s="361"/>
      <c r="BO35" s="362"/>
      <c r="BP35" s="361"/>
      <c r="BQ35" s="362"/>
      <c r="BR35" s="361"/>
      <c r="BS35" s="362"/>
      <c r="BT35" s="361"/>
      <c r="BU35" s="362"/>
      <c r="BV35" s="361"/>
      <c r="BW35" s="362"/>
      <c r="BX35" s="545"/>
      <c r="BY35" s="545"/>
      <c r="BZ35" s="545"/>
      <c r="CA35" s="545"/>
    </row>
    <row r="36" spans="1:79" s="4" customFormat="1" ht="18" hidden="1" customHeight="1" outlineLevel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50"/>
      <c r="M36" s="24"/>
      <c r="N36" s="50"/>
      <c r="O36" s="24"/>
      <c r="P36" s="50"/>
      <c r="Q36" s="24"/>
      <c r="R36" s="50"/>
      <c r="S36" s="24"/>
      <c r="T36" s="50"/>
      <c r="U36" s="24"/>
      <c r="V36" s="50"/>
      <c r="W36" s="24"/>
      <c r="X36" s="50"/>
      <c r="Y36" s="24"/>
      <c r="Z36" s="50"/>
      <c r="AA36" s="24"/>
      <c r="AB36" s="50"/>
      <c r="AC36" s="24"/>
      <c r="AD36" s="50"/>
      <c r="AE36" s="24"/>
      <c r="AF36" s="50"/>
      <c r="AG36" s="24"/>
      <c r="AH36" s="50"/>
      <c r="AI36" s="24"/>
      <c r="AJ36" s="50"/>
      <c r="AK36" s="24"/>
      <c r="AL36" s="50"/>
      <c r="AM36" s="24"/>
      <c r="AN36" s="50"/>
      <c r="AO36" s="24"/>
      <c r="AP36" s="50"/>
      <c r="AQ36" s="24"/>
      <c r="AR36" s="50"/>
      <c r="AS36" s="24"/>
      <c r="AT36" s="50"/>
      <c r="AU36" s="24"/>
      <c r="AV36" s="50"/>
      <c r="AW36" s="24"/>
      <c r="AX36" s="363"/>
      <c r="AY36" s="351"/>
      <c r="AZ36" s="363"/>
      <c r="BA36" s="351"/>
      <c r="BB36" s="363"/>
      <c r="BC36" s="351"/>
      <c r="BD36" s="363"/>
      <c r="BE36" s="351"/>
      <c r="BF36" s="363"/>
      <c r="BG36" s="351"/>
      <c r="BH36" s="363"/>
      <c r="BI36" s="351"/>
      <c r="BJ36" s="363"/>
      <c r="BK36" s="351"/>
      <c r="BL36" s="363"/>
      <c r="BM36" s="351"/>
      <c r="BN36" s="363"/>
      <c r="BO36" s="351"/>
      <c r="BP36" s="363"/>
      <c r="BQ36" s="351"/>
      <c r="BR36" s="363"/>
      <c r="BS36" s="351"/>
      <c r="BT36" s="363"/>
      <c r="BU36" s="351"/>
      <c r="BV36" s="363"/>
      <c r="BW36" s="351"/>
      <c r="BX36" s="545"/>
      <c r="BY36" s="545"/>
      <c r="BZ36" s="545"/>
      <c r="CA36" s="545"/>
    </row>
    <row r="37" spans="1:79" s="4" customFormat="1" ht="18" hidden="1" customHeight="1" outlineLevel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  <c r="BP37" s="54"/>
      <c r="BQ37" s="55"/>
      <c r="BR37" s="54"/>
      <c r="BS37" s="55"/>
      <c r="BT37" s="54"/>
      <c r="BU37" s="55"/>
      <c r="BV37" s="54"/>
      <c r="BW37" s="55"/>
      <c r="BX37" s="545"/>
      <c r="BY37" s="545"/>
      <c r="BZ37" s="545"/>
      <c r="CA37" s="545"/>
    </row>
    <row r="38" spans="1:79" s="4" customFormat="1" ht="18" hidden="1" customHeight="1" outlineLevel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  <c r="BP38" s="54"/>
      <c r="BQ38" s="55"/>
      <c r="BR38" s="54"/>
      <c r="BS38" s="55"/>
      <c r="BT38" s="54"/>
      <c r="BU38" s="55"/>
      <c r="BV38" s="54"/>
      <c r="BW38" s="55"/>
      <c r="BX38" s="545"/>
      <c r="BY38" s="545"/>
      <c r="BZ38" s="545"/>
      <c r="CA38" s="545"/>
    </row>
    <row r="39" spans="1:79" s="4" customFormat="1" ht="18" hidden="1" customHeight="1" outlineLevel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61"/>
      <c r="O39" s="41"/>
      <c r="P39" s="61"/>
      <c r="Q39" s="41"/>
      <c r="R39" s="61"/>
      <c r="S39" s="41"/>
      <c r="T39" s="61"/>
      <c r="U39" s="41"/>
      <c r="V39" s="61"/>
      <c r="W39" s="41"/>
      <c r="X39" s="61"/>
      <c r="Y39" s="41"/>
      <c r="Z39" s="61"/>
      <c r="AA39" s="41"/>
      <c r="AB39" s="61"/>
      <c r="AC39" s="41"/>
      <c r="AD39" s="61"/>
      <c r="AE39" s="41"/>
      <c r="AF39" s="61"/>
      <c r="AG39" s="41"/>
      <c r="AH39" s="61"/>
      <c r="AI39" s="41"/>
      <c r="AJ39" s="61"/>
      <c r="AK39" s="41"/>
      <c r="AL39" s="61"/>
      <c r="AM39" s="41"/>
      <c r="AN39" s="61"/>
      <c r="AO39" s="41"/>
      <c r="AP39" s="61"/>
      <c r="AQ39" s="41"/>
      <c r="AR39" s="61"/>
      <c r="AS39" s="41"/>
      <c r="AT39" s="61"/>
      <c r="AU39" s="41"/>
      <c r="AV39" s="61"/>
      <c r="AW39" s="41"/>
      <c r="AX39" s="365"/>
      <c r="AY39" s="358"/>
      <c r="AZ39" s="365"/>
      <c r="BA39" s="358"/>
      <c r="BB39" s="365"/>
      <c r="BC39" s="358"/>
      <c r="BD39" s="365"/>
      <c r="BE39" s="358"/>
      <c r="BF39" s="365"/>
      <c r="BG39" s="358"/>
      <c r="BH39" s="365"/>
      <c r="BI39" s="358"/>
      <c r="BJ39" s="365"/>
      <c r="BK39" s="358"/>
      <c r="BL39" s="365"/>
      <c r="BM39" s="358"/>
      <c r="BN39" s="365"/>
      <c r="BO39" s="358"/>
      <c r="BP39" s="365"/>
      <c r="BQ39" s="358"/>
      <c r="BR39" s="365"/>
      <c r="BS39" s="358"/>
      <c r="BT39" s="365"/>
      <c r="BU39" s="358"/>
      <c r="BV39" s="365"/>
      <c r="BW39" s="358"/>
      <c r="BX39" s="545"/>
      <c r="BY39" s="545"/>
      <c r="BZ39" s="545"/>
      <c r="CA39" s="545"/>
    </row>
    <row r="40" spans="1:79" s="4" customFormat="1" ht="18" customHeight="1" outlineLevel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60"/>
      <c r="O40" s="43"/>
      <c r="P40" s="60"/>
      <c r="Q40" s="43"/>
      <c r="R40" s="60"/>
      <c r="S40" s="43"/>
      <c r="T40" s="60"/>
      <c r="U40" s="43"/>
      <c r="V40" s="60"/>
      <c r="W40" s="43"/>
      <c r="X40" s="60"/>
      <c r="Y40" s="43"/>
      <c r="Z40" s="60"/>
      <c r="AA40" s="43"/>
      <c r="AB40" s="60"/>
      <c r="AC40" s="43"/>
      <c r="AD40" s="60"/>
      <c r="AE40" s="43"/>
      <c r="AF40" s="60"/>
      <c r="AG40" s="43"/>
      <c r="AH40" s="60"/>
      <c r="AI40" s="43"/>
      <c r="AJ40" s="60"/>
      <c r="AK40" s="43"/>
      <c r="AL40" s="60"/>
      <c r="AM40" s="43"/>
      <c r="AN40" s="60"/>
      <c r="AO40" s="43"/>
      <c r="AP40" s="60"/>
      <c r="AQ40" s="43"/>
      <c r="AR40" s="60"/>
      <c r="AS40" s="43"/>
      <c r="AT40" s="60"/>
      <c r="AU40" s="43"/>
      <c r="AV40" s="60"/>
      <c r="AW40" s="43"/>
      <c r="AX40" s="364"/>
      <c r="AY40" s="360"/>
      <c r="AZ40" s="364"/>
      <c r="BA40" s="360"/>
      <c r="BB40" s="364"/>
      <c r="BC40" s="360"/>
      <c r="BD40" s="364"/>
      <c r="BE40" s="360"/>
      <c r="BF40" s="364"/>
      <c r="BG40" s="360"/>
      <c r="BH40" s="364"/>
      <c r="BI40" s="360"/>
      <c r="BJ40" s="364"/>
      <c r="BK40" s="360"/>
      <c r="BL40" s="364"/>
      <c r="BM40" s="360"/>
      <c r="BN40" s="364"/>
      <c r="BO40" s="360"/>
      <c r="BP40" s="364"/>
      <c r="BQ40" s="360"/>
      <c r="BR40" s="364"/>
      <c r="BS40" s="360"/>
      <c r="BT40" s="364"/>
      <c r="BU40" s="360"/>
      <c r="BV40" s="364"/>
      <c r="BW40" s="360"/>
      <c r="BX40" s="545"/>
      <c r="BY40" s="545"/>
      <c r="BZ40" s="545"/>
      <c r="CA40" s="545"/>
    </row>
    <row r="41" spans="1:79" s="4" customFormat="1" ht="18" customHeight="1" outlineLevel="1" x14ac:dyDescent="0.45">
      <c r="A41" s="561"/>
      <c r="B41" s="1194"/>
      <c r="C41" s="71" t="s">
        <v>177</v>
      </c>
      <c r="D41" s="16"/>
      <c r="E41" s="16"/>
      <c r="F41" s="430">
        <f>F42-G54*F12</f>
        <v>166.05008466942263</v>
      </c>
      <c r="G41" s="24">
        <f>G42-G54</f>
        <v>4.0811983471074509E-2</v>
      </c>
      <c r="H41" s="430">
        <f t="shared" ref="H41" si="274">H42-I54*H12</f>
        <v>166.05008466942263</v>
      </c>
      <c r="I41" s="24">
        <f t="shared" ref="I41" si="275">I42-I54</f>
        <v>4.0811983471074509E-2</v>
      </c>
      <c r="J41" s="430">
        <f t="shared" ref="J41" si="276">J42-K54*J12</f>
        <v>166.05008466942263</v>
      </c>
      <c r="K41" s="24">
        <f t="shared" ref="K41" si="277">K42-K54</f>
        <v>4.0811983471074509E-2</v>
      </c>
      <c r="L41" s="430">
        <f t="shared" ref="L41" si="278">L42-M54*L12</f>
        <v>166.05008466942263</v>
      </c>
      <c r="M41" s="24">
        <f t="shared" ref="M41" si="279">M42-M54</f>
        <v>4.0811983471074509E-2</v>
      </c>
      <c r="N41" s="430">
        <f t="shared" ref="N41" si="280">N42-O54*N12</f>
        <v>166.05008466942263</v>
      </c>
      <c r="O41" s="24">
        <f t="shared" ref="O41" si="281">O42-O54</f>
        <v>4.0811983471074509E-2</v>
      </c>
      <c r="P41" s="430">
        <f t="shared" ref="P41" si="282">P42-Q54*P12</f>
        <v>166.05008466942263</v>
      </c>
      <c r="Q41" s="24">
        <f t="shared" ref="Q41" si="283">Q42-Q54</f>
        <v>4.0811983471074509E-2</v>
      </c>
      <c r="R41" s="430">
        <f t="shared" ref="R41" si="284">R42-S54*R12</f>
        <v>166.05008466942263</v>
      </c>
      <c r="S41" s="24">
        <f t="shared" ref="S41" si="285">S42-S54</f>
        <v>4.0811983471074509E-2</v>
      </c>
      <c r="T41" s="430">
        <f t="shared" ref="T41" si="286">T42-U54*T12</f>
        <v>166.05008466942263</v>
      </c>
      <c r="U41" s="24">
        <f t="shared" ref="U41" si="287">U42-U54</f>
        <v>4.0811983471074509E-2</v>
      </c>
      <c r="V41" s="430">
        <f t="shared" ref="V41" si="288">V42-W54*V12</f>
        <v>166.05008466942263</v>
      </c>
      <c r="W41" s="24">
        <f t="shared" ref="W41" si="289">W42-W54</f>
        <v>4.0811983471074509E-2</v>
      </c>
      <c r="X41" s="430">
        <f t="shared" ref="X41" si="290">X42-Y54*X12</f>
        <v>166.05008466942263</v>
      </c>
      <c r="Y41" s="24">
        <f t="shared" ref="Y41" si="291">Y42-Y54</f>
        <v>4.0811983471074509E-2</v>
      </c>
      <c r="Z41" s="430">
        <f t="shared" ref="Z41" si="292">Z42-AA54*Z12</f>
        <v>166.05008466942263</v>
      </c>
      <c r="AA41" s="24">
        <f t="shared" ref="AA41" si="293">AA42-AA54</f>
        <v>4.0811983471074509E-2</v>
      </c>
      <c r="AB41" s="430">
        <f t="shared" ref="AB41" si="294">AB42-AC54*AB12</f>
        <v>104.76117485778423</v>
      </c>
      <c r="AC41" s="24">
        <f t="shared" ref="AC41" si="295">AC42-AC54</f>
        <v>2.5748323737491863E-2</v>
      </c>
      <c r="AD41" s="430">
        <f t="shared" ref="AD41" si="296">AD42-AE54*AD12</f>
        <v>166.05008466942263</v>
      </c>
      <c r="AE41" s="24">
        <f t="shared" ref="AE41" si="297">AE42-AE54</f>
        <v>4.0811983471074509E-2</v>
      </c>
      <c r="AF41" s="430">
        <f t="shared" ref="AF41" si="298">AF42-AG54*AF12</f>
        <v>166.05008466942263</v>
      </c>
      <c r="AG41" s="24">
        <f t="shared" ref="AG41" si="299">AG42-AG54</f>
        <v>4.0811983471074509E-2</v>
      </c>
      <c r="AH41" s="430">
        <f t="shared" ref="AH41" si="300">AH42-AI54*AH12</f>
        <v>166.05008466942263</v>
      </c>
      <c r="AI41" s="24">
        <f t="shared" ref="AI41" si="301">AI42-AI54</f>
        <v>4.0811983471074509E-2</v>
      </c>
      <c r="AJ41" s="430">
        <f t="shared" ref="AJ41" si="302">AJ42-AK54*AJ12</f>
        <v>166.05008466942263</v>
      </c>
      <c r="AK41" s="24">
        <f t="shared" ref="AK41" si="303">AK42-AK54</f>
        <v>4.0811983471074509E-2</v>
      </c>
      <c r="AL41" s="430">
        <f t="shared" ref="AL41" si="304">AL42-AM54*AL12</f>
        <v>166.05008466942263</v>
      </c>
      <c r="AM41" s="24">
        <f t="shared" ref="AM41" si="305">AM42-AM54</f>
        <v>4.0811983471074509E-2</v>
      </c>
      <c r="AN41" s="430">
        <f t="shared" ref="AN41" si="306">AN42-AO54*AN12</f>
        <v>166.05008466942263</v>
      </c>
      <c r="AO41" s="24">
        <f t="shared" ref="AO41:AQ41" si="307">AO42-AO54</f>
        <v>4.0811983471074509E-2</v>
      </c>
      <c r="AP41" s="430">
        <f t="shared" ref="AP41" si="308">AP42-AQ54*AP12</f>
        <v>166.05008466942263</v>
      </c>
      <c r="AQ41" s="24">
        <f t="shared" si="307"/>
        <v>4.0811983471074509E-2</v>
      </c>
      <c r="AR41" s="430">
        <f t="shared" ref="AR41" si="309">AR42-AS54*AR12</f>
        <v>166.05008466942263</v>
      </c>
      <c r="AS41" s="24">
        <f t="shared" ref="AS41:AU41" si="310">AS42-AS54</f>
        <v>4.0811983471074509E-2</v>
      </c>
      <c r="AT41" s="430">
        <f t="shared" ref="AT41" si="311">AT42-AU54*AT12</f>
        <v>161.11277136363719</v>
      </c>
      <c r="AU41" s="24">
        <f t="shared" si="310"/>
        <v>3.9598484848485327E-2</v>
      </c>
      <c r="AV41" s="430">
        <f t="shared" ref="AV41" si="312">AV42-AW54*AV12</f>
        <v>161.11277136363719</v>
      </c>
      <c r="AW41" s="24">
        <f t="shared" ref="AW41" si="313">AW42-AW54</f>
        <v>3.9598484848485327E-2</v>
      </c>
      <c r="AX41" s="430">
        <f>AX42-AY54*AX12</f>
        <v>325.15652247691423</v>
      </c>
      <c r="AY41" s="24">
        <f>AY42-AY54</f>
        <v>7.9917349318182618E-2</v>
      </c>
      <c r="AZ41" s="430">
        <f>AZ42-BA54*AZ12</f>
        <v>326.75855735191408</v>
      </c>
      <c r="BA41" s="24">
        <f>BA42-BA54</f>
        <v>8.0311099318182588E-2</v>
      </c>
      <c r="BB41" s="430">
        <f>BB42-BC54*BB12</f>
        <v>326.75855735191408</v>
      </c>
      <c r="BC41" s="24">
        <f>BC42-BC54</f>
        <v>8.0311099318182588E-2</v>
      </c>
      <c r="BD41" s="430">
        <f>BD42-BE54*BD12</f>
        <v>325.72481764823874</v>
      </c>
      <c r="BE41" s="24">
        <f>BE42-BE54</f>
        <v>8.0057025568182505E-2</v>
      </c>
      <c r="BF41" s="430">
        <f>BF42-BG54*BF12</f>
        <v>325.72481764823874</v>
      </c>
      <c r="BG41" s="24">
        <f>BG42-BG54</f>
        <v>8.0057025568182505E-2</v>
      </c>
      <c r="BH41" s="430">
        <f>BH42-BI54*BH12</f>
        <v>325.72481764823874</v>
      </c>
      <c r="BI41" s="24">
        <f>BI42-BI54</f>
        <v>8.0057025568182505E-2</v>
      </c>
      <c r="BJ41" s="430">
        <f>BJ42-BK54*BJ12</f>
        <v>325.72481764823874</v>
      </c>
      <c r="BK41" s="24">
        <f>BK42-BK54</f>
        <v>8.0057025568182505E-2</v>
      </c>
      <c r="BL41" s="430">
        <f>BL42-BM54*BL12</f>
        <v>325.72481764823874</v>
      </c>
      <c r="BM41" s="24">
        <f>BM42-BM54</f>
        <v>8.0057025568182505E-2</v>
      </c>
      <c r="BN41" s="430">
        <f>BN42-BO54*BN12</f>
        <v>326.98400342368245</v>
      </c>
      <c r="BO41" s="24">
        <f>BO42-BO54</f>
        <v>8.0366509716635226E-2</v>
      </c>
      <c r="BP41" s="430">
        <f>BP42-BQ54*BP12</f>
        <v>326.98400342368245</v>
      </c>
      <c r="BQ41" s="24">
        <f>BQ42-BQ54</f>
        <v>8.0366509716635226E-2</v>
      </c>
      <c r="BR41" s="430">
        <f>BR42-BS54*BR12</f>
        <v>326.98400342368245</v>
      </c>
      <c r="BS41" s="24">
        <f>BS42-BS54</f>
        <v>8.0366509716635226E-2</v>
      </c>
      <c r="BT41" s="430">
        <f>BT42-BU54*BT12</f>
        <v>118.08865649121594</v>
      </c>
      <c r="BU41" s="24">
        <f>BU42-BU54</f>
        <v>2.9023967716942378E-2</v>
      </c>
      <c r="BV41" s="430">
        <f>BV42-BW54*BV12</f>
        <v>324.18193762498208</v>
      </c>
      <c r="BW41" s="24">
        <f>BW42-BW54</f>
        <v>7.9677814716635154E-2</v>
      </c>
      <c r="BX41" s="545"/>
      <c r="BY41" s="545"/>
      <c r="BZ41" s="545"/>
      <c r="CA41" s="545"/>
    </row>
    <row r="42" spans="1:79" s="4" customFormat="1" ht="18" customHeight="1" outlineLevel="1" x14ac:dyDescent="0.45">
      <c r="A42" s="561"/>
      <c r="B42" s="1194"/>
      <c r="C42" s="71" t="s">
        <v>378</v>
      </c>
      <c r="D42" s="16"/>
      <c r="E42" s="16"/>
      <c r="F42" s="42">
        <f>F32-F32/1.1</f>
        <v>1597.2012396694226</v>
      </c>
      <c r="G42" s="24">
        <f>G32-G32/1.1</f>
        <v>0.39256198347107452</v>
      </c>
      <c r="H42" s="42">
        <f t="shared" ref="H42:BA42" si="314">H32-H32/1.1</f>
        <v>1597.2012396694226</v>
      </c>
      <c r="I42" s="24">
        <f t="shared" si="314"/>
        <v>0.39256198347107452</v>
      </c>
      <c r="J42" s="42">
        <f t="shared" si="314"/>
        <v>1597.2012396694226</v>
      </c>
      <c r="K42" s="24">
        <f t="shared" si="314"/>
        <v>0.39256198347107452</v>
      </c>
      <c r="L42" s="42">
        <f t="shared" si="314"/>
        <v>1597.2012396694226</v>
      </c>
      <c r="M42" s="24">
        <f t="shared" si="314"/>
        <v>0.39256198347107452</v>
      </c>
      <c r="N42" s="42">
        <f t="shared" si="314"/>
        <v>1597.2012396694226</v>
      </c>
      <c r="O42" s="24">
        <f t="shared" si="314"/>
        <v>0.39256198347107452</v>
      </c>
      <c r="P42" s="42">
        <f t="shared" si="314"/>
        <v>1597.2012396694226</v>
      </c>
      <c r="Q42" s="24">
        <f t="shared" si="314"/>
        <v>0.39256198347107452</v>
      </c>
      <c r="R42" s="42">
        <f t="shared" si="314"/>
        <v>1597.2012396694226</v>
      </c>
      <c r="S42" s="24">
        <f t="shared" si="314"/>
        <v>0.39256198347107452</v>
      </c>
      <c r="T42" s="42">
        <f t="shared" si="314"/>
        <v>1597.2012396694226</v>
      </c>
      <c r="U42" s="24">
        <f t="shared" si="314"/>
        <v>0.39256198347107452</v>
      </c>
      <c r="V42" s="42">
        <f t="shared" si="314"/>
        <v>1597.2012396694226</v>
      </c>
      <c r="W42" s="24">
        <f t="shared" si="314"/>
        <v>0.39256198347107452</v>
      </c>
      <c r="X42" s="42">
        <f t="shared" si="314"/>
        <v>1597.2012396694226</v>
      </c>
      <c r="Y42" s="24">
        <f t="shared" si="314"/>
        <v>0.39256198347107452</v>
      </c>
      <c r="Z42" s="42">
        <f t="shared" si="314"/>
        <v>1597.2012396694226</v>
      </c>
      <c r="AA42" s="24">
        <f t="shared" si="314"/>
        <v>0.39256198347107452</v>
      </c>
      <c r="AB42" s="42">
        <f t="shared" si="314"/>
        <v>1597.2012396694226</v>
      </c>
      <c r="AC42" s="24">
        <f t="shared" si="314"/>
        <v>0.39256198347107452</v>
      </c>
      <c r="AD42" s="42">
        <f t="shared" si="314"/>
        <v>1597.2012396694226</v>
      </c>
      <c r="AE42" s="24">
        <f t="shared" si="314"/>
        <v>0.39256198347107452</v>
      </c>
      <c r="AF42" s="42">
        <f t="shared" si="314"/>
        <v>1597.2012396694226</v>
      </c>
      <c r="AG42" s="24">
        <f t="shared" si="314"/>
        <v>0.39256198347107452</v>
      </c>
      <c r="AH42" s="42">
        <f t="shared" si="314"/>
        <v>1597.2012396694226</v>
      </c>
      <c r="AI42" s="24">
        <f t="shared" si="314"/>
        <v>0.39256198347107452</v>
      </c>
      <c r="AJ42" s="42">
        <f t="shared" si="314"/>
        <v>1597.2012396694226</v>
      </c>
      <c r="AK42" s="24">
        <f t="shared" si="314"/>
        <v>0.39256198347107452</v>
      </c>
      <c r="AL42" s="42">
        <f t="shared" si="314"/>
        <v>1597.2012396694226</v>
      </c>
      <c r="AM42" s="24">
        <f t="shared" si="314"/>
        <v>0.39256198347107452</v>
      </c>
      <c r="AN42" s="42">
        <f t="shared" si="314"/>
        <v>1597.2012396694226</v>
      </c>
      <c r="AO42" s="24">
        <f t="shared" si="314"/>
        <v>0.39256198347107452</v>
      </c>
      <c r="AP42" s="42">
        <f t="shared" si="314"/>
        <v>1597.2012396694226</v>
      </c>
      <c r="AQ42" s="24">
        <f t="shared" si="314"/>
        <v>0.39256198347107452</v>
      </c>
      <c r="AR42" s="42">
        <f t="shared" si="314"/>
        <v>1597.2012396694226</v>
      </c>
      <c r="AS42" s="24">
        <f t="shared" si="314"/>
        <v>0.39256198347107452</v>
      </c>
      <c r="AT42" s="42">
        <f t="shared" si="314"/>
        <v>1464.1011363636371</v>
      </c>
      <c r="AU42" s="24">
        <f t="shared" si="314"/>
        <v>0.35984848484848531</v>
      </c>
      <c r="AV42" s="42">
        <f t="shared" si="314"/>
        <v>1464.1011363636371</v>
      </c>
      <c r="AW42" s="24">
        <f t="shared" si="314"/>
        <v>0.35984848484848531</v>
      </c>
      <c r="AX42" s="42">
        <f t="shared" si="314"/>
        <v>1756.9213636363638</v>
      </c>
      <c r="AY42" s="24">
        <f t="shared" si="314"/>
        <v>0.43181818181818254</v>
      </c>
      <c r="AZ42" s="42">
        <f t="shared" si="314"/>
        <v>1756.9213636363638</v>
      </c>
      <c r="BA42" s="24">
        <f t="shared" si="314"/>
        <v>0.43181818181818254</v>
      </c>
      <c r="BB42" s="42">
        <f t="shared" ref="BB42:BC42" si="315">BB32-BB32/1.1</f>
        <v>1756.9213636363638</v>
      </c>
      <c r="BC42" s="24">
        <f t="shared" si="315"/>
        <v>0.43181818181818254</v>
      </c>
      <c r="BD42" s="42">
        <f t="shared" ref="BD42:BE42" si="316">BD32-BD32/1.1</f>
        <v>1756.9213636363638</v>
      </c>
      <c r="BE42" s="24">
        <f t="shared" si="316"/>
        <v>0.43181818181818254</v>
      </c>
      <c r="BF42" s="42">
        <f t="shared" ref="BF42:BG42" si="317">BF32-BF32/1.1</f>
        <v>1756.9213636363638</v>
      </c>
      <c r="BG42" s="24">
        <f t="shared" si="317"/>
        <v>0.43181818181818254</v>
      </c>
      <c r="BH42" s="42">
        <f t="shared" ref="BH42:BI42" si="318">BH32-BH32/1.1</f>
        <v>1756.9213636363638</v>
      </c>
      <c r="BI42" s="24">
        <f t="shared" si="318"/>
        <v>0.43181818181818254</v>
      </c>
      <c r="BJ42" s="42">
        <f t="shared" ref="BJ42:BK42" si="319">BJ32-BJ32/1.1</f>
        <v>1756.9213636363638</v>
      </c>
      <c r="BK42" s="24">
        <f t="shared" si="319"/>
        <v>0.43181818181818254</v>
      </c>
      <c r="BL42" s="42">
        <f t="shared" ref="BL42:BM42" si="320">BL32-BL32/1.1</f>
        <v>1756.9213636363638</v>
      </c>
      <c r="BM42" s="24">
        <f t="shared" si="320"/>
        <v>0.43181818181818254</v>
      </c>
      <c r="BN42" s="42">
        <f t="shared" ref="BN42:BO42" si="321">BN32-BN32/1.1</f>
        <v>1756.9213636363638</v>
      </c>
      <c r="BO42" s="24">
        <f t="shared" si="321"/>
        <v>0.43181818181818254</v>
      </c>
      <c r="BP42" s="42">
        <f t="shared" ref="BP42:BS42" si="322">BP32-BP32/1.1</f>
        <v>1756.9213636363638</v>
      </c>
      <c r="BQ42" s="24">
        <f t="shared" si="322"/>
        <v>0.43181818181818254</v>
      </c>
      <c r="BR42" s="42">
        <f t="shared" si="322"/>
        <v>1756.9213636363638</v>
      </c>
      <c r="BS42" s="24">
        <f t="shared" si="322"/>
        <v>0.43181818181818254</v>
      </c>
      <c r="BT42" s="42">
        <f t="shared" ref="BT42:BW42" si="323">BT32-BT32/1.1</f>
        <v>1549.285202479341</v>
      </c>
      <c r="BU42" s="24">
        <f t="shared" si="323"/>
        <v>0.38078512396694242</v>
      </c>
      <c r="BV42" s="42">
        <f t="shared" si="323"/>
        <v>1756.9213636363638</v>
      </c>
      <c r="BW42" s="24">
        <f t="shared" si="323"/>
        <v>0.43181818181818254</v>
      </c>
      <c r="BX42" s="545"/>
      <c r="BY42" s="545"/>
      <c r="BZ42" s="545"/>
      <c r="CA42" s="545"/>
    </row>
    <row r="43" spans="1:79" s="65" customFormat="1" ht="18" customHeight="1" outlineLevel="1" x14ac:dyDescent="0.45">
      <c r="A43" s="561"/>
      <c r="B43" s="1194"/>
      <c r="C43" s="62" t="s">
        <v>47</v>
      </c>
      <c r="D43" s="63"/>
      <c r="E43" s="64"/>
      <c r="F43" s="47">
        <f>+F44/F32</f>
        <v>7.6698564593301773E-3</v>
      </c>
      <c r="G43" s="48">
        <f>+G44/G32</f>
        <v>7.6698564593303386E-3</v>
      </c>
      <c r="H43" s="47">
        <f t="shared" ref="H43:BA43" si="324">+H44/H32</f>
        <v>7.6698564593301773E-3</v>
      </c>
      <c r="I43" s="48">
        <f t="shared" si="324"/>
        <v>7.6698564593303386E-3</v>
      </c>
      <c r="J43" s="47">
        <f t="shared" si="324"/>
        <v>7.6698564593301773E-3</v>
      </c>
      <c r="K43" s="48">
        <f t="shared" si="324"/>
        <v>7.6698564593303386E-3</v>
      </c>
      <c r="L43" s="47">
        <f t="shared" si="324"/>
        <v>7.6698564593301773E-3</v>
      </c>
      <c r="M43" s="48">
        <f t="shared" si="324"/>
        <v>7.6698564593303386E-3</v>
      </c>
      <c r="N43" s="47">
        <f t="shared" si="324"/>
        <v>7.6698564593301773E-3</v>
      </c>
      <c r="O43" s="48">
        <f t="shared" si="324"/>
        <v>7.6698564593303386E-3</v>
      </c>
      <c r="P43" s="47">
        <f t="shared" si="324"/>
        <v>7.6698564593301773E-3</v>
      </c>
      <c r="Q43" s="48">
        <f t="shared" si="324"/>
        <v>7.6698564593303386E-3</v>
      </c>
      <c r="R43" s="47">
        <f t="shared" si="324"/>
        <v>7.6698564593301773E-3</v>
      </c>
      <c r="S43" s="48">
        <f t="shared" si="324"/>
        <v>7.6698564593303386E-3</v>
      </c>
      <c r="T43" s="47">
        <f t="shared" si="324"/>
        <v>7.6698564593301773E-3</v>
      </c>
      <c r="U43" s="48">
        <f t="shared" si="324"/>
        <v>7.6698564593303386E-3</v>
      </c>
      <c r="V43" s="47">
        <f t="shared" si="324"/>
        <v>7.6698564593301773E-3</v>
      </c>
      <c r="W43" s="48">
        <f t="shared" si="324"/>
        <v>7.6698564593303386E-3</v>
      </c>
      <c r="X43" s="47">
        <f t="shared" si="324"/>
        <v>7.6698564593301773E-3</v>
      </c>
      <c r="Y43" s="48">
        <f t="shared" si="324"/>
        <v>7.6698564593303386E-3</v>
      </c>
      <c r="Z43" s="47">
        <f t="shared" si="324"/>
        <v>7.6698564593301773E-3</v>
      </c>
      <c r="AA43" s="48">
        <f t="shared" si="324"/>
        <v>7.6698564593303386E-3</v>
      </c>
      <c r="AB43" s="47">
        <f t="shared" si="324"/>
        <v>-2.7214408186861185E-2</v>
      </c>
      <c r="AC43" s="48">
        <f t="shared" si="324"/>
        <v>-2.721440818686114E-2</v>
      </c>
      <c r="AD43" s="47">
        <f t="shared" si="324"/>
        <v>7.6698564593301773E-3</v>
      </c>
      <c r="AE43" s="48">
        <f t="shared" si="324"/>
        <v>7.6698564593303386E-3</v>
      </c>
      <c r="AF43" s="47">
        <f t="shared" si="324"/>
        <v>7.6698564593301773E-3</v>
      </c>
      <c r="AG43" s="48">
        <f t="shared" si="324"/>
        <v>7.6698564593303386E-3</v>
      </c>
      <c r="AH43" s="47">
        <f t="shared" si="324"/>
        <v>7.6698564593301773E-3</v>
      </c>
      <c r="AI43" s="48">
        <f t="shared" si="324"/>
        <v>7.6698564593303386E-3</v>
      </c>
      <c r="AJ43" s="47">
        <f t="shared" si="324"/>
        <v>7.6698564593301773E-3</v>
      </c>
      <c r="AK43" s="48">
        <f t="shared" si="324"/>
        <v>7.6698564593303386E-3</v>
      </c>
      <c r="AL43" s="47">
        <f t="shared" si="324"/>
        <v>7.6698564593301773E-3</v>
      </c>
      <c r="AM43" s="48">
        <f t="shared" si="324"/>
        <v>7.6698564593303386E-3</v>
      </c>
      <c r="AN43" s="47">
        <f t="shared" si="324"/>
        <v>7.6698564593301773E-3</v>
      </c>
      <c r="AO43" s="48">
        <f t="shared" si="324"/>
        <v>7.6698564593303386E-3</v>
      </c>
      <c r="AP43" s="47">
        <f t="shared" si="324"/>
        <v>7.6698564593301773E-3</v>
      </c>
      <c r="AQ43" s="48">
        <f t="shared" si="324"/>
        <v>7.6698564593303386E-3</v>
      </c>
      <c r="AR43" s="47">
        <f t="shared" si="324"/>
        <v>7.6698564593301773E-3</v>
      </c>
      <c r="AS43" s="48">
        <f t="shared" si="324"/>
        <v>7.6698564593303386E-3</v>
      </c>
      <c r="AT43" s="47">
        <f t="shared" si="324"/>
        <v>5.3014354066985613E-3</v>
      </c>
      <c r="AU43" s="48">
        <f t="shared" si="324"/>
        <v>5.3014354066985249E-3</v>
      </c>
      <c r="AV43" s="47">
        <f t="shared" si="324"/>
        <v>5.3014354066985613E-3</v>
      </c>
      <c r="AW43" s="48">
        <f t="shared" si="324"/>
        <v>5.3014354066985249E-3</v>
      </c>
      <c r="AX43" s="361">
        <f t="shared" si="324"/>
        <v>8.9299682775119751E-2</v>
      </c>
      <c r="AY43" s="362">
        <f t="shared" si="324"/>
        <v>8.9299682775119668E-2</v>
      </c>
      <c r="AZ43" s="361">
        <f t="shared" si="324"/>
        <v>9.0128630143540764E-2</v>
      </c>
      <c r="BA43" s="362">
        <f t="shared" si="324"/>
        <v>9.0128630143540708E-2</v>
      </c>
      <c r="BB43" s="361">
        <f t="shared" ref="BB43:BC43" si="325">+BB44/BB32</f>
        <v>9.0128630143540764E-2</v>
      </c>
      <c r="BC43" s="362">
        <f t="shared" si="325"/>
        <v>9.0128630143540708E-2</v>
      </c>
      <c r="BD43" s="361">
        <f t="shared" ref="BD43:BE43" si="326">+BD44/BD32</f>
        <v>8.9593738038277443E-2</v>
      </c>
      <c r="BE43" s="362">
        <f t="shared" si="326"/>
        <v>8.9593738038277318E-2</v>
      </c>
      <c r="BF43" s="361">
        <f t="shared" ref="BF43:BG43" si="327">+BF44/BF32</f>
        <v>8.9593738038277443E-2</v>
      </c>
      <c r="BG43" s="362">
        <f t="shared" si="327"/>
        <v>8.9593738038277318E-2</v>
      </c>
      <c r="BH43" s="361">
        <f t="shared" ref="BH43:BI43" si="328">+BH44/BH32</f>
        <v>8.9593738038277443E-2</v>
      </c>
      <c r="BI43" s="362">
        <f t="shared" si="328"/>
        <v>8.9593738038277318E-2</v>
      </c>
      <c r="BJ43" s="361">
        <f t="shared" ref="BJ43:BK43" si="329">+BJ44/BJ32</f>
        <v>8.9593738038277443E-2</v>
      </c>
      <c r="BK43" s="362">
        <f t="shared" si="329"/>
        <v>8.9593738038277318E-2</v>
      </c>
      <c r="BL43" s="361">
        <f t="shared" ref="BL43:BM43" si="330">+BL44/BL32</f>
        <v>8.9593738038277443E-2</v>
      </c>
      <c r="BM43" s="362">
        <f t="shared" si="330"/>
        <v>8.9593738038277318E-2</v>
      </c>
      <c r="BN43" s="361">
        <f t="shared" ref="BN43:BO43" si="331">+BN44/BN32</f>
        <v>8.7187162223062983E-2</v>
      </c>
      <c r="BO43" s="362">
        <f t="shared" si="331"/>
        <v>8.7187162223062914E-2</v>
      </c>
      <c r="BP43" s="361">
        <f t="shared" ref="BP43:BS43" si="332">+BP44/BP32</f>
        <v>8.7187162223062983E-2</v>
      </c>
      <c r="BQ43" s="362">
        <f t="shared" si="332"/>
        <v>8.7187162223062914E-2</v>
      </c>
      <c r="BR43" s="361">
        <f t="shared" si="332"/>
        <v>8.7187162223062983E-2</v>
      </c>
      <c r="BS43" s="362">
        <f t="shared" si="332"/>
        <v>8.7187162223062914E-2</v>
      </c>
      <c r="BT43" s="361">
        <f t="shared" ref="BT43:BW43" si="333">+BT44/BT32</f>
        <v>-2.0235779731662889E-2</v>
      </c>
      <c r="BU43" s="362">
        <f t="shared" si="333"/>
        <v>-2.0235779731662944E-2</v>
      </c>
      <c r="BV43" s="361">
        <f t="shared" si="333"/>
        <v>8.5737278012536736E-2</v>
      </c>
      <c r="BW43" s="362">
        <f t="shared" si="333"/>
        <v>8.5737278012536569E-2</v>
      </c>
      <c r="BX43" s="545"/>
      <c r="BY43" s="545"/>
      <c r="BZ43" s="545"/>
      <c r="CA43" s="545"/>
    </row>
    <row r="44" spans="1:79" s="4" customFormat="1" ht="18" customHeight="1" outlineLevel="1" x14ac:dyDescent="0.45">
      <c r="A44" s="561" t="s">
        <v>379</v>
      </c>
      <c r="B44" s="1194"/>
      <c r="C44" s="15" t="s">
        <v>48</v>
      </c>
      <c r="D44" s="16"/>
      <c r="E44" s="35"/>
      <c r="F44" s="42">
        <f>+F32-F45-F41</f>
        <v>134.75334669421545</v>
      </c>
      <c r="G44" s="24">
        <f>+G32-G45-G41</f>
        <v>3.3119834710744644E-2</v>
      </c>
      <c r="H44" s="42">
        <f t="shared" ref="H44:BA44" si="334">+H32-H45-H41</f>
        <v>134.75334669421545</v>
      </c>
      <c r="I44" s="24">
        <f t="shared" si="334"/>
        <v>3.3119834710744644E-2</v>
      </c>
      <c r="J44" s="42">
        <f t="shared" si="334"/>
        <v>134.75334669421545</v>
      </c>
      <c r="K44" s="24">
        <f t="shared" si="334"/>
        <v>3.3119834710744644E-2</v>
      </c>
      <c r="L44" s="42">
        <f t="shared" si="334"/>
        <v>134.75334669421545</v>
      </c>
      <c r="M44" s="24">
        <f t="shared" si="334"/>
        <v>3.3119834710744644E-2</v>
      </c>
      <c r="N44" s="42">
        <f t="shared" si="334"/>
        <v>134.75334669421545</v>
      </c>
      <c r="O44" s="24">
        <f t="shared" si="334"/>
        <v>3.3119834710744644E-2</v>
      </c>
      <c r="P44" s="42">
        <f t="shared" si="334"/>
        <v>134.75334669421545</v>
      </c>
      <c r="Q44" s="24">
        <f t="shared" si="334"/>
        <v>3.3119834710744644E-2</v>
      </c>
      <c r="R44" s="42">
        <f t="shared" si="334"/>
        <v>134.75334669421545</v>
      </c>
      <c r="S44" s="24">
        <f t="shared" si="334"/>
        <v>3.3119834710744644E-2</v>
      </c>
      <c r="T44" s="42">
        <f t="shared" si="334"/>
        <v>134.75334669421545</v>
      </c>
      <c r="U44" s="24">
        <f t="shared" si="334"/>
        <v>3.3119834710744644E-2</v>
      </c>
      <c r="V44" s="42">
        <f t="shared" si="334"/>
        <v>134.75334669421545</v>
      </c>
      <c r="W44" s="24">
        <f t="shared" si="334"/>
        <v>3.3119834710744644E-2</v>
      </c>
      <c r="X44" s="42">
        <f t="shared" si="334"/>
        <v>134.75334669421545</v>
      </c>
      <c r="Y44" s="24">
        <f t="shared" si="334"/>
        <v>3.3119834710744644E-2</v>
      </c>
      <c r="Z44" s="42">
        <f t="shared" si="334"/>
        <v>134.75334669421545</v>
      </c>
      <c r="AA44" s="24">
        <f t="shared" si="334"/>
        <v>3.3119834710744644E-2</v>
      </c>
      <c r="AB44" s="42">
        <f t="shared" si="334"/>
        <v>-478.13575142216769</v>
      </c>
      <c r="AC44" s="24">
        <f t="shared" si="334"/>
        <v>-0.11751676262508221</v>
      </c>
      <c r="AD44" s="42">
        <f t="shared" si="334"/>
        <v>134.75334669421545</v>
      </c>
      <c r="AE44" s="24">
        <f t="shared" si="334"/>
        <v>3.3119834710744644E-2</v>
      </c>
      <c r="AF44" s="42">
        <f t="shared" si="334"/>
        <v>134.75334669421545</v>
      </c>
      <c r="AG44" s="24">
        <f t="shared" si="334"/>
        <v>3.3119834710744644E-2</v>
      </c>
      <c r="AH44" s="42">
        <f t="shared" si="334"/>
        <v>134.75334669421545</v>
      </c>
      <c r="AI44" s="24">
        <f t="shared" si="334"/>
        <v>3.3119834710744644E-2</v>
      </c>
      <c r="AJ44" s="42">
        <f t="shared" si="334"/>
        <v>134.75334669421545</v>
      </c>
      <c r="AK44" s="24">
        <f t="shared" si="334"/>
        <v>3.3119834710744644E-2</v>
      </c>
      <c r="AL44" s="42">
        <f t="shared" si="334"/>
        <v>134.75334669421545</v>
      </c>
      <c r="AM44" s="24">
        <f t="shared" si="334"/>
        <v>3.3119834710744644E-2</v>
      </c>
      <c r="AN44" s="42">
        <f t="shared" si="334"/>
        <v>134.75334669421545</v>
      </c>
      <c r="AO44" s="24">
        <f t="shared" si="334"/>
        <v>3.3119834710744644E-2</v>
      </c>
      <c r="AP44" s="42">
        <f t="shared" si="334"/>
        <v>134.75334669421545</v>
      </c>
      <c r="AQ44" s="24">
        <f t="shared" si="334"/>
        <v>3.3119834710744644E-2</v>
      </c>
      <c r="AR44" s="42">
        <f t="shared" si="334"/>
        <v>134.75334669421545</v>
      </c>
      <c r="AS44" s="24">
        <f t="shared" si="334"/>
        <v>3.3119834710744644E-2</v>
      </c>
      <c r="AT44" s="42">
        <f t="shared" si="334"/>
        <v>85.380213636363578</v>
      </c>
      <c r="AU44" s="24">
        <f t="shared" si="334"/>
        <v>2.0984848484848329E-2</v>
      </c>
      <c r="AV44" s="42">
        <f t="shared" si="334"/>
        <v>85.380213636363578</v>
      </c>
      <c r="AW44" s="24">
        <f t="shared" si="334"/>
        <v>2.0984848484848329E-2</v>
      </c>
      <c r="AX44" s="42">
        <f t="shared" si="334"/>
        <v>1725.8177247691387</v>
      </c>
      <c r="AY44" s="24">
        <f t="shared" si="334"/>
        <v>0.42417349318181841</v>
      </c>
      <c r="AZ44" s="42">
        <f t="shared" si="334"/>
        <v>1741.8380735191381</v>
      </c>
      <c r="BA44" s="24">
        <f t="shared" si="334"/>
        <v>0.42811099318181833</v>
      </c>
      <c r="BB44" s="42">
        <f t="shared" ref="BB44:BC44" si="335">+BB32-BB45-BB41</f>
        <v>1741.8380735191381</v>
      </c>
      <c r="BC44" s="24">
        <f t="shared" si="335"/>
        <v>0.42811099318181833</v>
      </c>
      <c r="BD44" s="42">
        <f t="shared" ref="BD44:BE44" si="336">+BD32-BD45-BD41</f>
        <v>1731.500676482385</v>
      </c>
      <c r="BE44" s="24">
        <f t="shared" si="336"/>
        <v>0.42557025568181728</v>
      </c>
      <c r="BF44" s="42">
        <f t="shared" ref="BF44:BG44" si="337">+BF32-BF45-BF41</f>
        <v>1731.500676482385</v>
      </c>
      <c r="BG44" s="24">
        <f t="shared" si="337"/>
        <v>0.42557025568181728</v>
      </c>
      <c r="BH44" s="42">
        <f t="shared" ref="BH44:BI44" si="338">+BH32-BH45-BH41</f>
        <v>1731.500676482385</v>
      </c>
      <c r="BI44" s="24">
        <f t="shared" si="338"/>
        <v>0.42557025568181728</v>
      </c>
      <c r="BJ44" s="42">
        <f t="shared" ref="BJ44:BK44" si="339">+BJ32-BJ45-BJ41</f>
        <v>1731.500676482385</v>
      </c>
      <c r="BK44" s="24">
        <f t="shared" si="339"/>
        <v>0.42557025568181728</v>
      </c>
      <c r="BL44" s="42">
        <f t="shared" ref="BL44:BM44" si="340">+BL32-BL45-BL41</f>
        <v>1731.500676482385</v>
      </c>
      <c r="BM44" s="24">
        <f t="shared" si="340"/>
        <v>0.42557025568181728</v>
      </c>
      <c r="BN44" s="42">
        <f t="shared" ref="BN44:BO44" si="341">+BN32-BN45-BN41</f>
        <v>1684.9908673898151</v>
      </c>
      <c r="BO44" s="24">
        <f t="shared" si="341"/>
        <v>0.41413902055954882</v>
      </c>
      <c r="BP44" s="42">
        <f t="shared" ref="BP44:BS44" si="342">+BP32-BP45-BP41</f>
        <v>1684.9908673898151</v>
      </c>
      <c r="BQ44" s="24">
        <f t="shared" si="342"/>
        <v>0.41413902055954882</v>
      </c>
      <c r="BR44" s="42">
        <f t="shared" si="342"/>
        <v>1684.9908673898151</v>
      </c>
      <c r="BS44" s="24">
        <f t="shared" si="342"/>
        <v>0.41413902055954882</v>
      </c>
      <c r="BT44" s="42">
        <f t="shared" ref="BT44:BW44" si="343">+BT32-BT45-BT41</f>
        <v>-344.86093508786303</v>
      </c>
      <c r="BU44" s="24">
        <f t="shared" si="343"/>
        <v>-8.4760322830579105E-2</v>
      </c>
      <c r="BV44" s="42">
        <f t="shared" si="343"/>
        <v>1656.9702094028164</v>
      </c>
      <c r="BW44" s="24">
        <f t="shared" si="343"/>
        <v>0.40725207055954871</v>
      </c>
      <c r="BX44" s="545"/>
      <c r="BY44" s="545"/>
      <c r="BZ44" s="545"/>
      <c r="CA44" s="545"/>
    </row>
    <row r="45" spans="1:79" s="4" customFormat="1" ht="18" customHeight="1" outlineLevel="1" x14ac:dyDescent="0.45">
      <c r="A45" s="561"/>
      <c r="B45" s="1194"/>
      <c r="C45" s="19" t="s">
        <v>49</v>
      </c>
      <c r="D45" s="20"/>
      <c r="E45" s="30"/>
      <c r="F45" s="66">
        <f>+G49*F12</f>
        <v>17268.410204999996</v>
      </c>
      <c r="G45" s="32">
        <f>+G49</f>
        <v>4.2442499999999992</v>
      </c>
      <c r="H45" s="66">
        <f t="shared" ref="H45" si="344">+I49*H12</f>
        <v>17268.410204999996</v>
      </c>
      <c r="I45" s="32">
        <f t="shared" ref="I45" si="345">+I49</f>
        <v>4.2442499999999992</v>
      </c>
      <c r="J45" s="66">
        <f t="shared" ref="J45" si="346">+K49*J12</f>
        <v>17268.410204999996</v>
      </c>
      <c r="K45" s="32">
        <f t="shared" ref="K45" si="347">+K49</f>
        <v>4.2442499999999992</v>
      </c>
      <c r="L45" s="66">
        <f t="shared" ref="L45" si="348">+M49*L12</f>
        <v>17268.410204999996</v>
      </c>
      <c r="M45" s="32">
        <f t="shared" ref="M45" si="349">+M49</f>
        <v>4.2442499999999992</v>
      </c>
      <c r="N45" s="66">
        <f t="shared" ref="N45" si="350">+O49*N12</f>
        <v>17268.410204999996</v>
      </c>
      <c r="O45" s="32">
        <f t="shared" ref="O45" si="351">+O49</f>
        <v>4.2442499999999992</v>
      </c>
      <c r="P45" s="66">
        <f t="shared" ref="P45" si="352">+Q49*P12</f>
        <v>17268.410204999996</v>
      </c>
      <c r="Q45" s="32">
        <f t="shared" ref="Q45" si="353">+Q49</f>
        <v>4.2442499999999992</v>
      </c>
      <c r="R45" s="66">
        <f t="shared" ref="R45" si="354">+S49*R12</f>
        <v>17268.410204999996</v>
      </c>
      <c r="S45" s="32">
        <f t="shared" ref="S45" si="355">+S49</f>
        <v>4.2442499999999992</v>
      </c>
      <c r="T45" s="66">
        <f t="shared" ref="T45" si="356">+U49*T12</f>
        <v>17268.410204999996</v>
      </c>
      <c r="U45" s="32">
        <f t="shared" ref="U45" si="357">+U49</f>
        <v>4.2442499999999992</v>
      </c>
      <c r="V45" s="66">
        <f t="shared" ref="V45" si="358">+W49*V12</f>
        <v>17268.410204999996</v>
      </c>
      <c r="W45" s="32">
        <f t="shared" ref="W45" si="359">+W49</f>
        <v>4.2442499999999992</v>
      </c>
      <c r="X45" s="66">
        <f t="shared" ref="X45" si="360">+Y49*X12</f>
        <v>17268.410204999996</v>
      </c>
      <c r="Y45" s="32">
        <f t="shared" ref="Y45" si="361">+Y49</f>
        <v>4.2442499999999992</v>
      </c>
      <c r="Z45" s="66">
        <f t="shared" ref="Z45" si="362">+AA49*Z12</f>
        <v>17268.410204999996</v>
      </c>
      <c r="AA45" s="32">
        <f t="shared" ref="AA45" si="363">+AA49</f>
        <v>4.2442499999999992</v>
      </c>
      <c r="AB45" s="66">
        <f t="shared" ref="AB45" si="364">+AC49*AB12</f>
        <v>17942.588212928018</v>
      </c>
      <c r="AC45" s="32">
        <f t="shared" ref="AC45:AI45" si="365">+AC49</f>
        <v>4.4099502570694087</v>
      </c>
      <c r="AD45" s="66">
        <f t="shared" ref="AD45" si="366">+AE49*AD12</f>
        <v>17268.410204999996</v>
      </c>
      <c r="AE45" s="32">
        <f t="shared" si="365"/>
        <v>4.2442499999999992</v>
      </c>
      <c r="AF45" s="66">
        <f t="shared" ref="AF45" si="367">+AG49*AF12</f>
        <v>17268.410204999996</v>
      </c>
      <c r="AG45" s="32">
        <f t="shared" si="365"/>
        <v>4.2442499999999992</v>
      </c>
      <c r="AH45" s="66">
        <f t="shared" ref="AH45" si="368">+AI49*AH12</f>
        <v>17268.410204999996</v>
      </c>
      <c r="AI45" s="32">
        <f t="shared" si="365"/>
        <v>4.2442499999999992</v>
      </c>
      <c r="AJ45" s="66">
        <f t="shared" ref="AJ45" si="369">+AK49*AJ12</f>
        <v>17268.410204999996</v>
      </c>
      <c r="AK45" s="32">
        <f t="shared" ref="AK45" si="370">+AK49</f>
        <v>4.2442499999999992</v>
      </c>
      <c r="AL45" s="66">
        <f t="shared" ref="AL45" si="371">+AM49*AL12</f>
        <v>17268.410204999996</v>
      </c>
      <c r="AM45" s="32">
        <f t="shared" ref="AM45" si="372">+AM49</f>
        <v>4.2442499999999992</v>
      </c>
      <c r="AN45" s="66">
        <f t="shared" ref="AN45" si="373">+AO49*AN12</f>
        <v>17268.410204999996</v>
      </c>
      <c r="AO45" s="32">
        <f t="shared" ref="AO45:AQ45" si="374">+AO49</f>
        <v>4.2442499999999992</v>
      </c>
      <c r="AP45" s="66">
        <f t="shared" ref="AP45" si="375">+AQ49*AP12</f>
        <v>17268.410204999996</v>
      </c>
      <c r="AQ45" s="32">
        <f t="shared" si="374"/>
        <v>4.2442499999999992</v>
      </c>
      <c r="AR45" s="66">
        <f t="shared" ref="AR45" si="376">+AS49*AR12</f>
        <v>17268.410204999996</v>
      </c>
      <c r="AS45" s="32">
        <f t="shared" ref="AS45:AU45" si="377">+AS49</f>
        <v>4.2442499999999992</v>
      </c>
      <c r="AT45" s="66">
        <f t="shared" ref="AT45" si="378">+AU49*AT12</f>
        <v>15858.619514999999</v>
      </c>
      <c r="AU45" s="32">
        <f t="shared" si="377"/>
        <v>3.8977499999999998</v>
      </c>
      <c r="AV45" s="66">
        <f t="shared" ref="AV45" si="379">+AW49*AV12</f>
        <v>15858.619514999999</v>
      </c>
      <c r="AW45" s="32">
        <f t="shared" ref="AW45" si="380">+AW49</f>
        <v>3.8977499999999998</v>
      </c>
      <c r="AX45" s="66">
        <f>+AY49*AX12</f>
        <v>17275.160752753945</v>
      </c>
      <c r="AY45" s="32">
        <f>+AY49</f>
        <v>4.245909157499999</v>
      </c>
      <c r="AZ45" s="66">
        <f>+BA49*AZ12</f>
        <v>17257.538369128946</v>
      </c>
      <c r="BA45" s="32">
        <f>+BA49</f>
        <v>4.2415779074999991</v>
      </c>
      <c r="BB45" s="66">
        <f>+BC49*BB12</f>
        <v>17257.538369128946</v>
      </c>
      <c r="BC45" s="32">
        <f>+BC49</f>
        <v>4.2415779074999991</v>
      </c>
      <c r="BD45" s="66">
        <f>+BE49*BD12</f>
        <v>17268.909505869375</v>
      </c>
      <c r="BE45" s="32">
        <f>+BE49</f>
        <v>4.2443727187500002</v>
      </c>
      <c r="BF45" s="66">
        <f>+BG49*BF12</f>
        <v>17268.909505869375</v>
      </c>
      <c r="BG45" s="32">
        <f>+BG49</f>
        <v>4.2443727187500002</v>
      </c>
      <c r="BH45" s="66">
        <f>+BI49*BH12</f>
        <v>17268.909505869375</v>
      </c>
      <c r="BI45" s="32">
        <f>+BI49</f>
        <v>4.2443727187500002</v>
      </c>
      <c r="BJ45" s="66">
        <f>+BK49*BJ12</f>
        <v>17268.909505869375</v>
      </c>
      <c r="BK45" s="32">
        <f>+BK49</f>
        <v>4.2443727187500002</v>
      </c>
      <c r="BL45" s="66">
        <f>+BM49*BL12</f>
        <v>17268.909505869375</v>
      </c>
      <c r="BM45" s="32">
        <f>+BM49</f>
        <v>4.2443727187500002</v>
      </c>
      <c r="BN45" s="66">
        <f>+BO49*BN12</f>
        <v>17314.160129186501</v>
      </c>
      <c r="BO45" s="32">
        <f>+BO49</f>
        <v>4.255494469723816</v>
      </c>
      <c r="BP45" s="66">
        <f>+BQ49*BP12</f>
        <v>17314.160129186501</v>
      </c>
      <c r="BQ45" s="32">
        <f>+BQ49</f>
        <v>4.255494469723816</v>
      </c>
      <c r="BR45" s="66">
        <f>+BS49*BR12</f>
        <v>17314.160129186501</v>
      </c>
      <c r="BS45" s="32">
        <f>+BS49</f>
        <v>4.255494469723816</v>
      </c>
      <c r="BT45" s="66">
        <f>+BU49*BT12</f>
        <v>17268.909505869375</v>
      </c>
      <c r="BU45" s="32">
        <f>+BU49</f>
        <v>4.2443727187500002</v>
      </c>
      <c r="BV45" s="66">
        <f>+BW49*BV12</f>
        <v>17344.9828529722</v>
      </c>
      <c r="BW45" s="32">
        <f>+BW49</f>
        <v>4.2630701147238161</v>
      </c>
      <c r="BX45" s="545"/>
      <c r="BY45" s="545"/>
      <c r="BZ45" s="545"/>
      <c r="CA45" s="545"/>
    </row>
    <row r="46" spans="1:79" s="4" customFormat="1" ht="18" customHeight="1" outlineLevel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27">
        <v>0</v>
      </c>
      <c r="O46" s="41"/>
      <c r="P46" s="27">
        <v>0</v>
      </c>
      <c r="Q46" s="41"/>
      <c r="R46" s="27">
        <v>0</v>
      </c>
      <c r="S46" s="41"/>
      <c r="T46" s="27">
        <v>0</v>
      </c>
      <c r="U46" s="41"/>
      <c r="V46" s="27">
        <v>0</v>
      </c>
      <c r="W46" s="41"/>
      <c r="X46" s="27">
        <v>0</v>
      </c>
      <c r="Y46" s="41"/>
      <c r="Z46" s="27">
        <v>0</v>
      </c>
      <c r="AA46" s="41"/>
      <c r="AB46" s="27">
        <v>0</v>
      </c>
      <c r="AC46" s="41"/>
      <c r="AD46" s="27">
        <v>0</v>
      </c>
      <c r="AE46" s="41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27">
        <v>0</v>
      </c>
      <c r="AO46" s="41"/>
      <c r="AP46" s="27">
        <v>0</v>
      </c>
      <c r="AQ46" s="41"/>
      <c r="AR46" s="27">
        <v>0</v>
      </c>
      <c r="AS46" s="41"/>
      <c r="AT46" s="27">
        <v>0</v>
      </c>
      <c r="AU46" s="41"/>
      <c r="AV46" s="27">
        <v>0</v>
      </c>
      <c r="AW46" s="41"/>
      <c r="AX46" s="352">
        <v>0</v>
      </c>
      <c r="AY46" s="358"/>
      <c r="AZ46" s="352">
        <v>0</v>
      </c>
      <c r="BA46" s="358"/>
      <c r="BB46" s="352">
        <v>0</v>
      </c>
      <c r="BC46" s="358"/>
      <c r="BD46" s="352">
        <v>0</v>
      </c>
      <c r="BE46" s="358"/>
      <c r="BF46" s="352">
        <v>0</v>
      </c>
      <c r="BG46" s="358"/>
      <c r="BH46" s="352">
        <v>0</v>
      </c>
      <c r="BI46" s="358"/>
      <c r="BJ46" s="352">
        <v>0</v>
      </c>
      <c r="BK46" s="358"/>
      <c r="BL46" s="352">
        <v>0</v>
      </c>
      <c r="BM46" s="358"/>
      <c r="BN46" s="352">
        <v>0</v>
      </c>
      <c r="BO46" s="358"/>
      <c r="BP46" s="352">
        <v>0</v>
      </c>
      <c r="BQ46" s="358"/>
      <c r="BR46" s="352">
        <v>0</v>
      </c>
      <c r="BS46" s="358"/>
      <c r="BT46" s="352">
        <v>0</v>
      </c>
      <c r="BU46" s="358"/>
      <c r="BV46" s="352">
        <v>0</v>
      </c>
      <c r="BW46" s="358"/>
      <c r="BX46" s="545"/>
      <c r="BY46" s="545"/>
      <c r="BZ46" s="545"/>
      <c r="CA46" s="545"/>
    </row>
    <row r="47" spans="1:79" s="4" customFormat="1" ht="18" customHeight="1" outlineLevel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60"/>
      <c r="O47" s="68"/>
      <c r="P47" s="60"/>
      <c r="Q47" s="68"/>
      <c r="R47" s="60"/>
      <c r="S47" s="68"/>
      <c r="T47" s="60"/>
      <c r="U47" s="68"/>
      <c r="V47" s="60"/>
      <c r="W47" s="68"/>
      <c r="X47" s="60"/>
      <c r="Y47" s="68"/>
      <c r="Z47" s="60"/>
      <c r="AA47" s="68"/>
      <c r="AB47" s="60"/>
      <c r="AC47" s="68"/>
      <c r="AD47" s="60"/>
      <c r="AE47" s="68"/>
      <c r="AF47" s="60"/>
      <c r="AG47" s="68"/>
      <c r="AH47" s="60"/>
      <c r="AI47" s="68"/>
      <c r="AJ47" s="60"/>
      <c r="AK47" s="68"/>
      <c r="AL47" s="60"/>
      <c r="AM47" s="68"/>
      <c r="AN47" s="60"/>
      <c r="AO47" s="68"/>
      <c r="AP47" s="60"/>
      <c r="AQ47" s="68"/>
      <c r="AR47" s="60"/>
      <c r="AS47" s="68"/>
      <c r="AT47" s="60"/>
      <c r="AU47" s="68"/>
      <c r="AV47" s="60"/>
      <c r="AW47" s="68"/>
      <c r="AX47" s="364"/>
      <c r="AY47" s="366"/>
      <c r="AZ47" s="364"/>
      <c r="BA47" s="366"/>
      <c r="BB47" s="364"/>
      <c r="BC47" s="366"/>
      <c r="BD47" s="364"/>
      <c r="BE47" s="366"/>
      <c r="BF47" s="364"/>
      <c r="BG47" s="366"/>
      <c r="BH47" s="364"/>
      <c r="BI47" s="366"/>
      <c r="BJ47" s="364"/>
      <c r="BK47" s="366"/>
      <c r="BL47" s="364"/>
      <c r="BM47" s="366"/>
      <c r="BN47" s="364"/>
      <c r="BO47" s="366"/>
      <c r="BP47" s="364"/>
      <c r="BQ47" s="366"/>
      <c r="BR47" s="364"/>
      <c r="BS47" s="366"/>
      <c r="BT47" s="364"/>
      <c r="BU47" s="366"/>
      <c r="BV47" s="364"/>
      <c r="BW47" s="366"/>
      <c r="BX47" s="545"/>
      <c r="BY47" s="545"/>
      <c r="BZ47" s="545"/>
      <c r="CA47" s="545"/>
    </row>
    <row r="48" spans="1:79" s="4" customFormat="1" ht="18" customHeight="1" outlineLevel="1" x14ac:dyDescent="0.45">
      <c r="A48" s="561"/>
      <c r="B48" s="1184"/>
      <c r="C48" s="19" t="s">
        <v>52</v>
      </c>
      <c r="D48" s="20"/>
      <c r="E48" s="30" t="s">
        <v>53</v>
      </c>
      <c r="F48" s="69">
        <f>+F49/F10</f>
        <v>1439.0341837499998</v>
      </c>
      <c r="G48" s="70">
        <f>+G49/G10</f>
        <v>0.35368749999999993</v>
      </c>
      <c r="H48" s="69">
        <f t="shared" ref="H48:BA48" si="381">+H49/H10</f>
        <v>1439.0341837499998</v>
      </c>
      <c r="I48" s="70">
        <f t="shared" si="381"/>
        <v>0.35368749999999993</v>
      </c>
      <c r="J48" s="69">
        <f t="shared" si="381"/>
        <v>1439.0341837499998</v>
      </c>
      <c r="K48" s="70">
        <f t="shared" si="381"/>
        <v>0.35368749999999993</v>
      </c>
      <c r="L48" s="69">
        <f t="shared" si="381"/>
        <v>1439.0341837499998</v>
      </c>
      <c r="M48" s="70">
        <f t="shared" si="381"/>
        <v>0.35368749999999993</v>
      </c>
      <c r="N48" s="69">
        <f t="shared" si="381"/>
        <v>1439.0341837499998</v>
      </c>
      <c r="O48" s="70">
        <f t="shared" si="381"/>
        <v>0.35368749999999993</v>
      </c>
      <c r="P48" s="69">
        <f t="shared" si="381"/>
        <v>1439.0341837499998</v>
      </c>
      <c r="Q48" s="70">
        <f t="shared" si="381"/>
        <v>0.35368749999999993</v>
      </c>
      <c r="R48" s="69">
        <f t="shared" si="381"/>
        <v>1439.0341837499998</v>
      </c>
      <c r="S48" s="70">
        <f t="shared" si="381"/>
        <v>0.35368749999999993</v>
      </c>
      <c r="T48" s="69">
        <f t="shared" si="381"/>
        <v>1439.0341837499998</v>
      </c>
      <c r="U48" s="70">
        <f t="shared" si="381"/>
        <v>0.35368749999999993</v>
      </c>
      <c r="V48" s="69">
        <f t="shared" si="381"/>
        <v>1439.0341837499998</v>
      </c>
      <c r="W48" s="70">
        <f t="shared" si="381"/>
        <v>0.35368749999999993</v>
      </c>
      <c r="X48" s="69">
        <f t="shared" si="381"/>
        <v>1439.0341837499998</v>
      </c>
      <c r="Y48" s="70">
        <f t="shared" si="381"/>
        <v>0.35368749999999993</v>
      </c>
      <c r="Z48" s="69">
        <f t="shared" si="381"/>
        <v>1439.0341837499998</v>
      </c>
      <c r="AA48" s="70">
        <f t="shared" si="381"/>
        <v>0.35368749999999993</v>
      </c>
      <c r="AB48" s="69">
        <f t="shared" si="381"/>
        <v>1495.2156844106682</v>
      </c>
      <c r="AC48" s="70">
        <f t="shared" si="381"/>
        <v>0.36749585475578406</v>
      </c>
      <c r="AD48" s="69">
        <f t="shared" si="381"/>
        <v>1439.0341837499998</v>
      </c>
      <c r="AE48" s="70">
        <f t="shared" si="381"/>
        <v>0.35368749999999993</v>
      </c>
      <c r="AF48" s="69">
        <f t="shared" si="381"/>
        <v>1439.0341837499998</v>
      </c>
      <c r="AG48" s="70">
        <f t="shared" si="381"/>
        <v>0.35368749999999993</v>
      </c>
      <c r="AH48" s="69">
        <f t="shared" si="381"/>
        <v>1439.0341837499998</v>
      </c>
      <c r="AI48" s="70">
        <f t="shared" si="381"/>
        <v>0.35368749999999993</v>
      </c>
      <c r="AJ48" s="69">
        <f t="shared" si="381"/>
        <v>1439.0341837499998</v>
      </c>
      <c r="AK48" s="70">
        <f t="shared" si="381"/>
        <v>0.35368749999999993</v>
      </c>
      <c r="AL48" s="69">
        <f t="shared" si="381"/>
        <v>1439.0341837499998</v>
      </c>
      <c r="AM48" s="70">
        <f t="shared" si="381"/>
        <v>0.35368749999999993</v>
      </c>
      <c r="AN48" s="69">
        <f t="shared" si="381"/>
        <v>1439.0341837499998</v>
      </c>
      <c r="AO48" s="70">
        <f t="shared" si="381"/>
        <v>0.35368749999999993</v>
      </c>
      <c r="AP48" s="69">
        <f t="shared" si="381"/>
        <v>1439.0341837499998</v>
      </c>
      <c r="AQ48" s="70">
        <f t="shared" si="381"/>
        <v>0.35368749999999993</v>
      </c>
      <c r="AR48" s="69">
        <f t="shared" si="381"/>
        <v>1439.0341837499998</v>
      </c>
      <c r="AS48" s="70">
        <f t="shared" si="381"/>
        <v>0.35368749999999993</v>
      </c>
      <c r="AT48" s="69">
        <f t="shared" si="381"/>
        <v>1321.5516262499998</v>
      </c>
      <c r="AU48" s="70">
        <f t="shared" si="381"/>
        <v>0.3248125</v>
      </c>
      <c r="AV48" s="69">
        <f t="shared" si="381"/>
        <v>1321.5516262499998</v>
      </c>
      <c r="AW48" s="70">
        <f t="shared" si="381"/>
        <v>0.3248125</v>
      </c>
      <c r="AX48" s="69">
        <f t="shared" si="381"/>
        <v>1439.5967293961621</v>
      </c>
      <c r="AY48" s="70">
        <f t="shared" si="381"/>
        <v>0.35382576312499991</v>
      </c>
      <c r="AZ48" s="69">
        <f t="shared" si="381"/>
        <v>1438.1281974274123</v>
      </c>
      <c r="BA48" s="70">
        <f t="shared" si="381"/>
        <v>0.35346482562499992</v>
      </c>
      <c r="BB48" s="69">
        <f t="shared" ref="BB48:BC48" si="382">+BB49/BB10</f>
        <v>1438.1281974274123</v>
      </c>
      <c r="BC48" s="70">
        <f t="shared" si="382"/>
        <v>0.35346482562499992</v>
      </c>
      <c r="BD48" s="69">
        <f t="shared" ref="BD48:BE48" si="383">+BD49/BD10</f>
        <v>1439.0757921557813</v>
      </c>
      <c r="BE48" s="70">
        <f t="shared" si="383"/>
        <v>0.35369772656250004</v>
      </c>
      <c r="BF48" s="69">
        <f t="shared" ref="BF48:BG48" si="384">+BF49/BF10</f>
        <v>1439.0757921557813</v>
      </c>
      <c r="BG48" s="70">
        <f t="shared" si="384"/>
        <v>0.35369772656250004</v>
      </c>
      <c r="BH48" s="69">
        <f t="shared" ref="BH48:BI48" si="385">+BH49/BH10</f>
        <v>1439.0757921557813</v>
      </c>
      <c r="BI48" s="70">
        <f t="shared" si="385"/>
        <v>0.35369772656250004</v>
      </c>
      <c r="BJ48" s="69">
        <f t="shared" ref="BJ48:BK48" si="386">+BJ49/BJ10</f>
        <v>1439.0757921557813</v>
      </c>
      <c r="BK48" s="70">
        <f t="shared" si="386"/>
        <v>0.35369772656250004</v>
      </c>
      <c r="BL48" s="69">
        <f t="shared" ref="BL48:BM48" si="387">+BL49/BL10</f>
        <v>1439.0757921557813</v>
      </c>
      <c r="BM48" s="70">
        <f t="shared" si="387"/>
        <v>0.35369772656250004</v>
      </c>
      <c r="BN48" s="69">
        <f t="shared" ref="BN48:BO48" si="388">+BN49/BN10</f>
        <v>1442.8466774322085</v>
      </c>
      <c r="BO48" s="70">
        <f t="shared" si="388"/>
        <v>0.35462453914365133</v>
      </c>
      <c r="BP48" s="69">
        <f t="shared" ref="BP48:BS48" si="389">+BP49/BP10</f>
        <v>1442.8466774322085</v>
      </c>
      <c r="BQ48" s="70">
        <f t="shared" si="389"/>
        <v>0.35462453914365133</v>
      </c>
      <c r="BR48" s="69">
        <f t="shared" si="389"/>
        <v>1442.8466774322085</v>
      </c>
      <c r="BS48" s="70">
        <f t="shared" si="389"/>
        <v>0.35462453914365133</v>
      </c>
      <c r="BT48" s="69">
        <f t="shared" ref="BT48:BW48" si="390">+BT49/BT10</f>
        <v>1439.0757921557813</v>
      </c>
      <c r="BU48" s="70">
        <f t="shared" si="390"/>
        <v>0.35369772656250004</v>
      </c>
      <c r="BV48" s="69">
        <f t="shared" si="390"/>
        <v>1445.4152377476832</v>
      </c>
      <c r="BW48" s="70">
        <f t="shared" si="390"/>
        <v>0.35525584289365136</v>
      </c>
      <c r="BX48" s="545"/>
      <c r="BY48" s="545"/>
      <c r="BZ48" s="545"/>
      <c r="CA48" s="545"/>
    </row>
    <row r="49" spans="1:81" s="4" customFormat="1" ht="18" customHeight="1" outlineLevel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17268.410204999996</v>
      </c>
      <c r="G49" s="70">
        <f>+G50+G52+G56+G54</f>
        <v>4.2442499999999992</v>
      </c>
      <c r="H49" s="69">
        <f t="shared" ref="H49" si="391">+I49*H12</f>
        <v>17268.410204999996</v>
      </c>
      <c r="I49" s="70">
        <f t="shared" ref="I49" si="392">+I50+I52+I56+I54</f>
        <v>4.2442499999999992</v>
      </c>
      <c r="J49" s="69">
        <f t="shared" ref="J49" si="393">+K49*J12</f>
        <v>17268.410204999996</v>
      </c>
      <c r="K49" s="70">
        <f t="shared" ref="K49" si="394">+K50+K52+K56+K54</f>
        <v>4.2442499999999992</v>
      </c>
      <c r="L49" s="69">
        <f t="shared" ref="L49" si="395">+M49*L12</f>
        <v>17268.410204999996</v>
      </c>
      <c r="M49" s="70">
        <f t="shared" ref="M49" si="396">+M50+M52+M56+M54</f>
        <v>4.2442499999999992</v>
      </c>
      <c r="N49" s="69">
        <f t="shared" ref="N49" si="397">+O49*N12</f>
        <v>17268.410204999996</v>
      </c>
      <c r="O49" s="70">
        <f t="shared" ref="O49" si="398">+O50+O52+O56+O54</f>
        <v>4.2442499999999992</v>
      </c>
      <c r="P49" s="69">
        <f t="shared" ref="P49" si="399">+Q49*P12</f>
        <v>17268.410204999996</v>
      </c>
      <c r="Q49" s="70">
        <f t="shared" ref="Q49" si="400">+Q50+Q52+Q56+Q54</f>
        <v>4.2442499999999992</v>
      </c>
      <c r="R49" s="69">
        <f t="shared" ref="R49" si="401">+S49*R12</f>
        <v>17268.410204999996</v>
      </c>
      <c r="S49" s="70">
        <f t="shared" ref="S49" si="402">+S50+S52+S56+S54</f>
        <v>4.2442499999999992</v>
      </c>
      <c r="T49" s="69">
        <f t="shared" ref="T49" si="403">+U49*T12</f>
        <v>17268.410204999996</v>
      </c>
      <c r="U49" s="70">
        <f t="shared" ref="U49" si="404">+U50+U52+U56+U54</f>
        <v>4.2442499999999992</v>
      </c>
      <c r="V49" s="69">
        <f t="shared" ref="V49" si="405">+W49*V12</f>
        <v>17268.410204999996</v>
      </c>
      <c r="W49" s="70">
        <f t="shared" ref="W49" si="406">+W50+W52+W56+W54</f>
        <v>4.2442499999999992</v>
      </c>
      <c r="X49" s="69">
        <f t="shared" ref="X49" si="407">+Y49*X12</f>
        <v>17268.410204999996</v>
      </c>
      <c r="Y49" s="70">
        <f t="shared" ref="Y49" si="408">+Y50+Y52+Y56+Y54</f>
        <v>4.2442499999999992</v>
      </c>
      <c r="Z49" s="69">
        <f t="shared" ref="Z49" si="409">+AA49*Z12</f>
        <v>17268.410204999996</v>
      </c>
      <c r="AA49" s="70">
        <f t="shared" ref="AA49" si="410">+AA50+AA52+AA56+AA54</f>
        <v>4.2442499999999992</v>
      </c>
      <c r="AB49" s="69">
        <f t="shared" ref="AB49" si="411">+AC49*AB12</f>
        <v>17942.588212928018</v>
      </c>
      <c r="AC49" s="70">
        <f t="shared" ref="AC49" si="412">+AC50+AC52+AC56+AC54</f>
        <v>4.4099502570694087</v>
      </c>
      <c r="AD49" s="69">
        <f t="shared" ref="AD49" si="413">+AE49*AD12</f>
        <v>17268.410204999996</v>
      </c>
      <c r="AE49" s="70">
        <f t="shared" ref="AE49" si="414">+AE50+AE52+AE56+AE54</f>
        <v>4.2442499999999992</v>
      </c>
      <c r="AF49" s="69">
        <f t="shared" ref="AF49" si="415">+AG49*AF12</f>
        <v>17268.410204999996</v>
      </c>
      <c r="AG49" s="70">
        <f t="shared" ref="AG49" si="416">+AG50+AG52+AG56+AG54</f>
        <v>4.2442499999999992</v>
      </c>
      <c r="AH49" s="69">
        <f t="shared" ref="AH49" si="417">+AI49*AH12</f>
        <v>17268.410204999996</v>
      </c>
      <c r="AI49" s="70">
        <f t="shared" ref="AI49" si="418">+AI50+AI52+AI56+AI54</f>
        <v>4.2442499999999992</v>
      </c>
      <c r="AJ49" s="69">
        <f t="shared" ref="AJ49" si="419">+AK49*AJ12</f>
        <v>17268.410204999996</v>
      </c>
      <c r="AK49" s="70">
        <f t="shared" ref="AK49" si="420">+AK50+AK52+AK56+AK54</f>
        <v>4.2442499999999992</v>
      </c>
      <c r="AL49" s="69">
        <f t="shared" ref="AL49" si="421">+AM49*AL12</f>
        <v>17268.410204999996</v>
      </c>
      <c r="AM49" s="70">
        <f t="shared" ref="AM49" si="422">+AM50+AM52+AM56+AM54</f>
        <v>4.2442499999999992</v>
      </c>
      <c r="AN49" s="69">
        <f t="shared" ref="AN49" si="423">+AO49*AN12</f>
        <v>17268.410204999996</v>
      </c>
      <c r="AO49" s="70">
        <f t="shared" ref="AO49:AQ49" si="424">+AO50+AO52+AO56+AO54</f>
        <v>4.2442499999999992</v>
      </c>
      <c r="AP49" s="69">
        <f t="shared" ref="AP49" si="425">+AQ49*AP12</f>
        <v>17268.410204999996</v>
      </c>
      <c r="AQ49" s="70">
        <f t="shared" si="424"/>
        <v>4.2442499999999992</v>
      </c>
      <c r="AR49" s="69">
        <f t="shared" ref="AR49" si="426">+AS49*AR12</f>
        <v>17268.410204999996</v>
      </c>
      <c r="AS49" s="70">
        <f t="shared" ref="AS49:AU49" si="427">+AS50+AS52+AS56+AS54</f>
        <v>4.2442499999999992</v>
      </c>
      <c r="AT49" s="69">
        <f t="shared" ref="AT49" si="428">+AU49*AT12</f>
        <v>15858.619514999999</v>
      </c>
      <c r="AU49" s="70">
        <f t="shared" si="427"/>
        <v>3.8977499999999998</v>
      </c>
      <c r="AV49" s="69">
        <f t="shared" ref="AV49" si="429">+AW49*AV12</f>
        <v>15858.619514999999</v>
      </c>
      <c r="AW49" s="70">
        <f t="shared" ref="AW49" si="430">+AW50+AW52+AW56+AW54</f>
        <v>3.8977499999999998</v>
      </c>
      <c r="AX49" s="69">
        <f>+AY49*AX12</f>
        <v>17275.160752753945</v>
      </c>
      <c r="AY49" s="70">
        <f>+AY50+AY52+AY56+AY54</f>
        <v>4.245909157499999</v>
      </c>
      <c r="AZ49" s="69">
        <f>+BA49*AZ12</f>
        <v>17257.538369128946</v>
      </c>
      <c r="BA49" s="70">
        <f>+BA50+BA52+BA56+BA54</f>
        <v>4.2415779074999991</v>
      </c>
      <c r="BB49" s="69">
        <f>+BC49*BB12</f>
        <v>17257.538369128946</v>
      </c>
      <c r="BC49" s="70">
        <f>+BC50+BC52+BC56+BC54</f>
        <v>4.2415779074999991</v>
      </c>
      <c r="BD49" s="69">
        <f>+BE49*BD12</f>
        <v>17268.909505869375</v>
      </c>
      <c r="BE49" s="70">
        <f>+BE50+BE52+BE56+BE54</f>
        <v>4.2443727187500002</v>
      </c>
      <c r="BF49" s="69">
        <f>+BG49*BF12</f>
        <v>17268.909505869375</v>
      </c>
      <c r="BG49" s="70">
        <f>+BG50+BG52+BG56+BG54</f>
        <v>4.2443727187500002</v>
      </c>
      <c r="BH49" s="69">
        <f>+BI49*BH12</f>
        <v>17268.909505869375</v>
      </c>
      <c r="BI49" s="70">
        <f>+BI50+BI52+BI56+BI54</f>
        <v>4.2443727187500002</v>
      </c>
      <c r="BJ49" s="69">
        <f>+BK49*BJ12</f>
        <v>17268.909505869375</v>
      </c>
      <c r="BK49" s="70">
        <f>+BK50+BK52+BK56+BK54</f>
        <v>4.2443727187500002</v>
      </c>
      <c r="BL49" s="69">
        <f>+BM49*BL12</f>
        <v>17268.909505869375</v>
      </c>
      <c r="BM49" s="70">
        <f>+BM50+BM52+BM56+BM54</f>
        <v>4.2443727187500002</v>
      </c>
      <c r="BN49" s="69">
        <f>+BO49*BN12</f>
        <v>17314.160129186501</v>
      </c>
      <c r="BO49" s="70">
        <f>+BO50+BO52+BO56+BO54</f>
        <v>4.255494469723816</v>
      </c>
      <c r="BP49" s="69">
        <f>+BQ49*BP12</f>
        <v>17314.160129186501</v>
      </c>
      <c r="BQ49" s="70">
        <f>+BQ50+BQ52+BQ56+BQ54</f>
        <v>4.255494469723816</v>
      </c>
      <c r="BR49" s="69">
        <f>+BS49*BR12</f>
        <v>17314.160129186501</v>
      </c>
      <c r="BS49" s="70">
        <f>+BS50+BS52+BS56+BS54</f>
        <v>4.255494469723816</v>
      </c>
      <c r="BT49" s="69">
        <f>+BU49*BT12</f>
        <v>17268.909505869375</v>
      </c>
      <c r="BU49" s="70">
        <f>+BU50+BU52+BU56+BU54</f>
        <v>4.2443727187500002</v>
      </c>
      <c r="BV49" s="69">
        <f>+BW49*BV12</f>
        <v>17344.9828529722</v>
      </c>
      <c r="BW49" s="70">
        <f>+BW50+BW52+BW56+BW54</f>
        <v>4.2630701147238161</v>
      </c>
      <c r="BX49" s="545"/>
      <c r="BY49" s="545"/>
      <c r="BZ49" s="545"/>
      <c r="CA49" s="545"/>
    </row>
    <row r="50" spans="1:81" s="4" customFormat="1" ht="18" customHeight="1" outlineLevel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0.16749999999999998</v>
      </c>
      <c r="H50" s="50"/>
      <c r="I50" s="72">
        <f t="shared" ref="I50" si="431">+I51*I56</f>
        <v>0.16749999999999998</v>
      </c>
      <c r="J50" s="50"/>
      <c r="K50" s="72">
        <f t="shared" ref="K50" si="432">+K51*K56</f>
        <v>0.16749999999999998</v>
      </c>
      <c r="L50" s="50"/>
      <c r="M50" s="72">
        <f t="shared" ref="M50" si="433">+M51*M56</f>
        <v>0.16749999999999998</v>
      </c>
      <c r="N50" s="50"/>
      <c r="O50" s="72">
        <f t="shared" ref="O50" si="434">+O51*O56</f>
        <v>0.16749999999999998</v>
      </c>
      <c r="P50" s="50"/>
      <c r="Q50" s="72">
        <f t="shared" ref="Q50" si="435">+Q51*Q56</f>
        <v>0.16749999999999998</v>
      </c>
      <c r="R50" s="50"/>
      <c r="S50" s="72">
        <f t="shared" ref="S50" si="436">+S51*S56</f>
        <v>0.16749999999999998</v>
      </c>
      <c r="T50" s="50"/>
      <c r="U50" s="72">
        <f t="shared" ref="U50" si="437">+U51*U56</f>
        <v>0.16749999999999998</v>
      </c>
      <c r="V50" s="50"/>
      <c r="W50" s="72">
        <f t="shared" ref="W50" si="438">+W51*W56</f>
        <v>0.16749999999999998</v>
      </c>
      <c r="X50" s="50"/>
      <c r="Y50" s="72">
        <f t="shared" ref="Y50" si="439">+Y51*Y56</f>
        <v>0.16749999999999998</v>
      </c>
      <c r="Z50" s="50"/>
      <c r="AA50" s="72">
        <f t="shared" ref="AA50" si="440">+AA51*AA56</f>
        <v>0.16749999999999998</v>
      </c>
      <c r="AB50" s="50"/>
      <c r="AC50" s="72">
        <f t="shared" ref="AC50" si="441">+AC51*AC56</f>
        <v>0.17467317130170601</v>
      </c>
      <c r="AD50" s="50"/>
      <c r="AE50" s="72">
        <f t="shared" ref="AE50" si="442">+AE51*AE56</f>
        <v>0.16749999999999998</v>
      </c>
      <c r="AF50" s="50"/>
      <c r="AG50" s="72">
        <f t="shared" ref="AG50" si="443">+AG51*AG56</f>
        <v>0.16749999999999998</v>
      </c>
      <c r="AH50" s="50"/>
      <c r="AI50" s="72">
        <f t="shared" ref="AI50" si="444">+AI51*AI56</f>
        <v>0.16749999999999998</v>
      </c>
      <c r="AJ50" s="50"/>
      <c r="AK50" s="72">
        <f t="shared" ref="AK50" si="445">+AK51*AK56</f>
        <v>0.16749999999999998</v>
      </c>
      <c r="AL50" s="50"/>
      <c r="AM50" s="72">
        <f t="shared" ref="AM50" si="446">+AM51*AM56</f>
        <v>0.16749999999999998</v>
      </c>
      <c r="AN50" s="50"/>
      <c r="AO50" s="72">
        <f t="shared" ref="AO50:AQ50" si="447">+AO51*AO56</f>
        <v>0.16749999999999998</v>
      </c>
      <c r="AP50" s="50"/>
      <c r="AQ50" s="72">
        <f t="shared" si="447"/>
        <v>0.16749999999999998</v>
      </c>
      <c r="AR50" s="50"/>
      <c r="AS50" s="72">
        <f t="shared" ref="AS50:AU50" si="448">+AS51*AS56</f>
        <v>0.16749999999999998</v>
      </c>
      <c r="AT50" s="50"/>
      <c r="AU50" s="72">
        <f t="shared" si="448"/>
        <v>0.1525</v>
      </c>
      <c r="AV50" s="50"/>
      <c r="AW50" s="72">
        <f t="shared" ref="AW50" si="449">+AW51*AW56</f>
        <v>0.1525</v>
      </c>
      <c r="AX50" s="367"/>
      <c r="AY50" s="368">
        <f>+AY51*AY56</f>
        <v>0.16757182499999998</v>
      </c>
      <c r="AZ50" s="367"/>
      <c r="BA50" s="368">
        <f>+BA51*BA56</f>
        <v>0.16738432499999997</v>
      </c>
      <c r="BB50" s="367"/>
      <c r="BC50" s="368">
        <f>+BC51*BC56</f>
        <v>0.16738432499999997</v>
      </c>
      <c r="BD50" s="367"/>
      <c r="BE50" s="368">
        <f>+BE51*BE56</f>
        <v>0.16750531250000003</v>
      </c>
      <c r="BF50" s="367"/>
      <c r="BG50" s="368">
        <f>+BG51*BG56</f>
        <v>0.16750531250000003</v>
      </c>
      <c r="BH50" s="367"/>
      <c r="BI50" s="368">
        <f>+BI51*BI56</f>
        <v>0.16750531250000003</v>
      </c>
      <c r="BJ50" s="367"/>
      <c r="BK50" s="368">
        <f>+BK51*BK56</f>
        <v>0.16750531250000003</v>
      </c>
      <c r="BL50" s="367"/>
      <c r="BM50" s="368">
        <f>+BM51*BM56</f>
        <v>0.16750531250000003</v>
      </c>
      <c r="BN50" s="367"/>
      <c r="BO50" s="368">
        <f>+BO51*BO56</f>
        <v>0.16735793909597493</v>
      </c>
      <c r="BP50" s="367"/>
      <c r="BQ50" s="368">
        <f>+BQ51*BQ56</f>
        <v>0.16735793909597493</v>
      </c>
      <c r="BR50" s="367"/>
      <c r="BS50" s="368">
        <f>+BS51*BS56</f>
        <v>0.16735793909597493</v>
      </c>
      <c r="BT50" s="367"/>
      <c r="BU50" s="368">
        <f>+BU51*BU56</f>
        <v>0.16750531250000003</v>
      </c>
      <c r="BV50" s="367"/>
      <c r="BW50" s="368">
        <f>+BW51*BW56</f>
        <v>0.16768588909597493</v>
      </c>
      <c r="BX50" s="545"/>
      <c r="BY50" s="545"/>
      <c r="BZ50" s="545"/>
      <c r="CA50" s="545"/>
    </row>
    <row r="51" spans="1:81" s="4" customFormat="1" ht="18" customHeight="1" outlineLevel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47"/>
      <c r="I51" s="1082">
        <v>0.05</v>
      </c>
      <c r="J51" s="47"/>
      <c r="K51" s="1082">
        <v>0.05</v>
      </c>
      <c r="L51" s="47"/>
      <c r="M51" s="1082">
        <v>0.05</v>
      </c>
      <c r="N51" s="47"/>
      <c r="O51" s="1082">
        <v>0.05</v>
      </c>
      <c r="P51" s="47"/>
      <c r="Q51" s="1082">
        <v>0.05</v>
      </c>
      <c r="R51" s="47"/>
      <c r="S51" s="1082">
        <v>0.05</v>
      </c>
      <c r="T51" s="47"/>
      <c r="U51" s="1082">
        <v>0.05</v>
      </c>
      <c r="V51" s="47"/>
      <c r="W51" s="1082">
        <v>0.05</v>
      </c>
      <c r="X51" s="47"/>
      <c r="Y51" s="1082">
        <v>0.05</v>
      </c>
      <c r="Z51" s="47"/>
      <c r="AA51" s="1082">
        <v>0.05</v>
      </c>
      <c r="AB51" s="47"/>
      <c r="AC51" s="1082">
        <v>0.05</v>
      </c>
      <c r="AD51" s="47"/>
      <c r="AE51" s="1082">
        <v>0.05</v>
      </c>
      <c r="AF51" s="47"/>
      <c r="AG51" s="1082">
        <v>0.05</v>
      </c>
      <c r="AH51" s="47"/>
      <c r="AI51" s="1082">
        <v>0.05</v>
      </c>
      <c r="AJ51" s="47"/>
      <c r="AK51" s="1082">
        <v>0.05</v>
      </c>
      <c r="AL51" s="47"/>
      <c r="AM51" s="1082">
        <v>0.05</v>
      </c>
      <c r="AN51" s="47"/>
      <c r="AO51" s="1082">
        <v>0.05</v>
      </c>
      <c r="AP51" s="47"/>
      <c r="AQ51" s="1082">
        <v>0.05</v>
      </c>
      <c r="AR51" s="47"/>
      <c r="AS51" s="1082">
        <v>0.05</v>
      </c>
      <c r="AT51" s="47"/>
      <c r="AU51" s="1082">
        <v>0.05</v>
      </c>
      <c r="AV51" s="47"/>
      <c r="AW51" s="1082">
        <v>0.05</v>
      </c>
      <c r="AX51" s="369"/>
      <c r="AY51" s="370">
        <v>0.05</v>
      </c>
      <c r="AZ51" s="369"/>
      <c r="BA51" s="370">
        <v>0.05</v>
      </c>
      <c r="BB51" s="369"/>
      <c r="BC51" s="370">
        <v>0.05</v>
      </c>
      <c r="BD51" s="369"/>
      <c r="BE51" s="370">
        <v>0.05</v>
      </c>
      <c r="BF51" s="369"/>
      <c r="BG51" s="370">
        <v>0.05</v>
      </c>
      <c r="BH51" s="369"/>
      <c r="BI51" s="370">
        <v>0.05</v>
      </c>
      <c r="BJ51" s="369"/>
      <c r="BK51" s="370">
        <v>0.05</v>
      </c>
      <c r="BL51" s="369"/>
      <c r="BM51" s="370">
        <v>0.05</v>
      </c>
      <c r="BN51" s="369"/>
      <c r="BO51" s="370">
        <v>0.05</v>
      </c>
      <c r="BP51" s="369"/>
      <c r="BQ51" s="370">
        <v>0.05</v>
      </c>
      <c r="BR51" s="369"/>
      <c r="BS51" s="370">
        <v>0.05</v>
      </c>
      <c r="BT51" s="369"/>
      <c r="BU51" s="370">
        <v>0.05</v>
      </c>
      <c r="BV51" s="369"/>
      <c r="BW51" s="370">
        <v>0.05</v>
      </c>
      <c r="BX51" s="545"/>
      <c r="BY51" s="545"/>
      <c r="BZ51" s="545"/>
      <c r="CA51" s="545"/>
    </row>
    <row r="52" spans="1:81" s="4" customFormat="1" ht="18" customHeight="1" outlineLevel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0.375</v>
      </c>
      <c r="H52" s="50"/>
      <c r="I52" s="72">
        <f t="shared" ref="I52" si="450">$D$53/I66</f>
        <v>0.375</v>
      </c>
      <c r="J52" s="50"/>
      <c r="K52" s="72">
        <f t="shared" ref="K52" si="451">$D$53/K66</f>
        <v>0.375</v>
      </c>
      <c r="L52" s="50"/>
      <c r="M52" s="72">
        <f t="shared" ref="M52" si="452">$D$53/M66</f>
        <v>0.375</v>
      </c>
      <c r="N52" s="50"/>
      <c r="O52" s="72">
        <f t="shared" ref="O52" si="453">$D$53/O66</f>
        <v>0.375</v>
      </c>
      <c r="P52" s="50"/>
      <c r="Q52" s="72">
        <f t="shared" ref="Q52" si="454">$D$53/Q66</f>
        <v>0.375</v>
      </c>
      <c r="R52" s="50"/>
      <c r="S52" s="72">
        <f t="shared" ref="S52" si="455">$D$53/S66</f>
        <v>0.375</v>
      </c>
      <c r="T52" s="50"/>
      <c r="U52" s="72">
        <f t="shared" ref="U52" si="456">$D$53/U66</f>
        <v>0.375</v>
      </c>
      <c r="V52" s="50"/>
      <c r="W52" s="72">
        <f t="shared" ref="W52" si="457">$D$53/W66</f>
        <v>0.375</v>
      </c>
      <c r="X52" s="50"/>
      <c r="Y52" s="72">
        <f t="shared" ref="Y52" si="458">$D$53/Y66</f>
        <v>0.375</v>
      </c>
      <c r="Z52" s="50"/>
      <c r="AA52" s="72">
        <f t="shared" ref="AA52" si="459">$D$53/AA66</f>
        <v>0.375</v>
      </c>
      <c r="AB52" s="50"/>
      <c r="AC52" s="72">
        <f t="shared" ref="AC52:AI52" si="460">$D$53/AC66</f>
        <v>0.375</v>
      </c>
      <c r="AD52" s="50"/>
      <c r="AE52" s="72">
        <f t="shared" si="460"/>
        <v>0.375</v>
      </c>
      <c r="AF52" s="50"/>
      <c r="AG52" s="72">
        <f t="shared" si="460"/>
        <v>0.375</v>
      </c>
      <c r="AH52" s="50"/>
      <c r="AI52" s="72">
        <f t="shared" si="460"/>
        <v>0.375</v>
      </c>
      <c r="AJ52" s="50"/>
      <c r="AK52" s="72">
        <f t="shared" ref="AK52" si="461">$D$53/AK66</f>
        <v>0.375</v>
      </c>
      <c r="AL52" s="50"/>
      <c r="AM52" s="72">
        <f t="shared" ref="AM52" si="462">$D$53/AM66</f>
        <v>0.375</v>
      </c>
      <c r="AN52" s="50"/>
      <c r="AO52" s="72">
        <f t="shared" ref="AO52:AQ52" si="463">$D$53/AO66</f>
        <v>0.375</v>
      </c>
      <c r="AP52" s="50"/>
      <c r="AQ52" s="72">
        <f t="shared" si="463"/>
        <v>0.375</v>
      </c>
      <c r="AR52" s="50"/>
      <c r="AS52" s="72">
        <f t="shared" ref="AS52:AU52" si="464">$D$53/AS66</f>
        <v>0.375</v>
      </c>
      <c r="AT52" s="50"/>
      <c r="AU52" s="72">
        <f t="shared" si="464"/>
        <v>0.375</v>
      </c>
      <c r="AV52" s="50"/>
      <c r="AW52" s="72">
        <f t="shared" ref="AW52" si="465">$D$53/AW66</f>
        <v>0.375</v>
      </c>
      <c r="AX52" s="367"/>
      <c r="AY52" s="368">
        <f>$D$53/AY66</f>
        <v>0.375</v>
      </c>
      <c r="AZ52" s="367"/>
      <c r="BA52" s="368">
        <f>$D$53/BA66</f>
        <v>0.375</v>
      </c>
      <c r="BB52" s="367"/>
      <c r="BC52" s="368">
        <f>$D$53/BC66</f>
        <v>0.375</v>
      </c>
      <c r="BD52" s="367"/>
      <c r="BE52" s="368">
        <f>$D$53/BE66</f>
        <v>0.375</v>
      </c>
      <c r="BF52" s="367"/>
      <c r="BG52" s="368">
        <f>$D$53/BG66</f>
        <v>0.375</v>
      </c>
      <c r="BH52" s="367"/>
      <c r="BI52" s="368">
        <f>$D$53/BI66</f>
        <v>0.375</v>
      </c>
      <c r="BJ52" s="367"/>
      <c r="BK52" s="368">
        <f>$D$53/BK66</f>
        <v>0.375</v>
      </c>
      <c r="BL52" s="367"/>
      <c r="BM52" s="368">
        <f>$D$53/BM66</f>
        <v>0.375</v>
      </c>
      <c r="BN52" s="367"/>
      <c r="BO52" s="368">
        <f>$D$53/BO66</f>
        <v>0.38952607660679506</v>
      </c>
      <c r="BP52" s="367"/>
      <c r="BQ52" s="368">
        <f>$D$53/BQ66</f>
        <v>0.38952607660679506</v>
      </c>
      <c r="BR52" s="367"/>
      <c r="BS52" s="368">
        <f>$D$53/BS66</f>
        <v>0.38952607660679506</v>
      </c>
      <c r="BT52" s="367"/>
      <c r="BU52" s="368">
        <f>$D$53/BU66</f>
        <v>0.375</v>
      </c>
      <c r="BV52" s="367"/>
      <c r="BW52" s="368">
        <f>$D$53/BW66</f>
        <v>0.38952607660679506</v>
      </c>
      <c r="BX52" s="545"/>
      <c r="BY52" s="545"/>
      <c r="BZ52" s="545"/>
      <c r="CA52" s="545"/>
    </row>
    <row r="53" spans="1:81" s="4" customFormat="1" ht="18" customHeight="1" outlineLevel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0.1119402985074627</v>
      </c>
      <c r="H53" s="47"/>
      <c r="I53" s="1082">
        <f t="shared" ref="I53" si="466">I52/I56</f>
        <v>0.1119402985074627</v>
      </c>
      <c r="J53" s="47"/>
      <c r="K53" s="1082">
        <f t="shared" ref="K53" si="467">K52/K56</f>
        <v>0.1119402985074627</v>
      </c>
      <c r="L53" s="47"/>
      <c r="M53" s="1082">
        <f t="shared" ref="M53" si="468">M52/M56</f>
        <v>0.1119402985074627</v>
      </c>
      <c r="N53" s="47"/>
      <c r="O53" s="1082">
        <f t="shared" ref="O53" si="469">O52/O56</f>
        <v>0.1119402985074627</v>
      </c>
      <c r="P53" s="47"/>
      <c r="Q53" s="1082">
        <f t="shared" ref="Q53" si="470">Q52/Q56</f>
        <v>0.1119402985074627</v>
      </c>
      <c r="R53" s="47"/>
      <c r="S53" s="1082">
        <f t="shared" ref="S53" si="471">S52/S56</f>
        <v>0.1119402985074627</v>
      </c>
      <c r="T53" s="47"/>
      <c r="U53" s="1082">
        <f t="shared" ref="U53" si="472">U52/U56</f>
        <v>0.1119402985074627</v>
      </c>
      <c r="V53" s="47"/>
      <c r="W53" s="1082">
        <f t="shared" ref="W53" si="473">W52/W56</f>
        <v>0.1119402985074627</v>
      </c>
      <c r="X53" s="47"/>
      <c r="Y53" s="1082">
        <f t="shared" ref="Y53" si="474">Y52/Y56</f>
        <v>0.1119402985074627</v>
      </c>
      <c r="Z53" s="47"/>
      <c r="AA53" s="1082">
        <f t="shared" ref="AA53" si="475">AA52/AA56</f>
        <v>0.1119402985074627</v>
      </c>
      <c r="AB53" s="47"/>
      <c r="AC53" s="1082">
        <f t="shared" ref="AC53" si="476">AC52/AC56</f>
        <v>0.10734333074890975</v>
      </c>
      <c r="AD53" s="47"/>
      <c r="AE53" s="1082">
        <f t="shared" ref="AE53" si="477">AE52/AE56</f>
        <v>0.1119402985074627</v>
      </c>
      <c r="AF53" s="47"/>
      <c r="AG53" s="1082">
        <f t="shared" ref="AG53" si="478">AG52/AG56</f>
        <v>0.1119402985074627</v>
      </c>
      <c r="AH53" s="47"/>
      <c r="AI53" s="1082">
        <f t="shared" ref="AI53" si="479">AI52/AI56</f>
        <v>0.1119402985074627</v>
      </c>
      <c r="AJ53" s="47"/>
      <c r="AK53" s="1082">
        <f t="shared" ref="AK53" si="480">AK52/AK56</f>
        <v>0.1119402985074627</v>
      </c>
      <c r="AL53" s="47"/>
      <c r="AM53" s="1082">
        <f t="shared" ref="AM53" si="481">AM52/AM56</f>
        <v>0.1119402985074627</v>
      </c>
      <c r="AN53" s="47"/>
      <c r="AO53" s="1082">
        <f t="shared" ref="AO53:AQ53" si="482">AO52/AO56</f>
        <v>0.1119402985074627</v>
      </c>
      <c r="AP53" s="47"/>
      <c r="AQ53" s="1082">
        <f t="shared" si="482"/>
        <v>0.1119402985074627</v>
      </c>
      <c r="AR53" s="47"/>
      <c r="AS53" s="1082">
        <f t="shared" ref="AS53:AU53" si="483">AS52/AS56</f>
        <v>0.1119402985074627</v>
      </c>
      <c r="AT53" s="47"/>
      <c r="AU53" s="1082">
        <f t="shared" si="483"/>
        <v>0.12295081967213116</v>
      </c>
      <c r="AV53" s="47"/>
      <c r="AW53" s="1082">
        <f t="shared" ref="AW53" si="484">AW52/AW56</f>
        <v>0.12295081967213116</v>
      </c>
      <c r="AX53" s="369"/>
      <c r="AY53" s="370">
        <f>AY52/AY56</f>
        <v>0.11189231841331324</v>
      </c>
      <c r="AZ53" s="369"/>
      <c r="BA53" s="370">
        <f>BA52/BA56</f>
        <v>0.11201765756739769</v>
      </c>
      <c r="BB53" s="369"/>
      <c r="BC53" s="370">
        <f>BC52/BC56</f>
        <v>0.11201765756739769</v>
      </c>
      <c r="BD53" s="369"/>
      <c r="BE53" s="370">
        <f>BE52/BE56</f>
        <v>0.11193674827477484</v>
      </c>
      <c r="BF53" s="369"/>
      <c r="BG53" s="370">
        <f>BG52/BG56</f>
        <v>0.11193674827477484</v>
      </c>
      <c r="BH53" s="369"/>
      <c r="BI53" s="370">
        <f>BI52/BI56</f>
        <v>0.11193674827477484</v>
      </c>
      <c r="BJ53" s="369"/>
      <c r="BK53" s="370">
        <f>BK52/BK56</f>
        <v>0.11193674827477484</v>
      </c>
      <c r="BL53" s="369"/>
      <c r="BM53" s="370">
        <f>BM52/BM56</f>
        <v>0.11193674827477484</v>
      </c>
      <c r="BN53" s="369"/>
      <c r="BO53" s="370">
        <f>BO52/BO56</f>
        <v>0.11637514142170846</v>
      </c>
      <c r="BP53" s="369"/>
      <c r="BQ53" s="370">
        <f>BQ52/BQ56</f>
        <v>0.11637514142170846</v>
      </c>
      <c r="BR53" s="369"/>
      <c r="BS53" s="370">
        <f>BS52/BS56</f>
        <v>0.11637514142170846</v>
      </c>
      <c r="BT53" s="369"/>
      <c r="BU53" s="370">
        <f>BU52/BU56</f>
        <v>0.11193674827477484</v>
      </c>
      <c r="BV53" s="369"/>
      <c r="BW53" s="370">
        <f>BW52/BW56</f>
        <v>0.11614754190313832</v>
      </c>
      <c r="BX53" s="545"/>
      <c r="BY53" s="545"/>
      <c r="BZ53" s="545"/>
      <c r="CA53" s="545"/>
    </row>
    <row r="54" spans="1:81" s="4" customFormat="1" ht="18" customHeight="1" outlineLevel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0.35175000000000001</v>
      </c>
      <c r="H54" s="73"/>
      <c r="I54" s="72">
        <f t="shared" ref="I54" si="485">(I55*(I56+I50))</f>
        <v>0.35175000000000001</v>
      </c>
      <c r="J54" s="73"/>
      <c r="K54" s="72">
        <f t="shared" ref="K54" si="486">(K55*(K56+K50))</f>
        <v>0.35175000000000001</v>
      </c>
      <c r="L54" s="73"/>
      <c r="M54" s="72">
        <f t="shared" ref="M54" si="487">(M55*(M56+M50))</f>
        <v>0.35175000000000001</v>
      </c>
      <c r="N54" s="73"/>
      <c r="O54" s="72">
        <f t="shared" ref="O54" si="488">(O55*(O56+O50))</f>
        <v>0.35175000000000001</v>
      </c>
      <c r="P54" s="73"/>
      <c r="Q54" s="72">
        <f t="shared" ref="Q54" si="489">(Q55*(Q56+Q50))</f>
        <v>0.35175000000000001</v>
      </c>
      <c r="R54" s="73"/>
      <c r="S54" s="72">
        <f t="shared" ref="S54" si="490">(S55*(S56+S50))</f>
        <v>0.35175000000000001</v>
      </c>
      <c r="T54" s="73"/>
      <c r="U54" s="72">
        <f t="shared" ref="U54" si="491">(U55*(U56+U50))</f>
        <v>0.35175000000000001</v>
      </c>
      <c r="V54" s="73"/>
      <c r="W54" s="72">
        <f t="shared" ref="W54" si="492">(W55*(W56+W50))</f>
        <v>0.35175000000000001</v>
      </c>
      <c r="X54" s="73"/>
      <c r="Y54" s="72">
        <f t="shared" ref="Y54" si="493">(Y55*(Y56+Y50))</f>
        <v>0.35175000000000001</v>
      </c>
      <c r="Z54" s="73"/>
      <c r="AA54" s="72">
        <f t="shared" ref="AA54" si="494">(AA55*(AA56+AA50))</f>
        <v>0.35175000000000001</v>
      </c>
      <c r="AB54" s="73"/>
      <c r="AC54" s="72">
        <f t="shared" ref="AC54" si="495">(AC55*(AC56+AC50))</f>
        <v>0.36681365973358265</v>
      </c>
      <c r="AD54" s="73"/>
      <c r="AE54" s="72">
        <f t="shared" ref="AE54" si="496">(AE55*(AE56+AE50))</f>
        <v>0.35175000000000001</v>
      </c>
      <c r="AF54" s="73"/>
      <c r="AG54" s="72">
        <f t="shared" ref="AG54" si="497">(AG55*(AG56+AG50))</f>
        <v>0.35175000000000001</v>
      </c>
      <c r="AH54" s="73"/>
      <c r="AI54" s="72">
        <f t="shared" ref="AI54" si="498">(AI55*(AI56+AI50))</f>
        <v>0.35175000000000001</v>
      </c>
      <c r="AJ54" s="73"/>
      <c r="AK54" s="72">
        <f t="shared" ref="AK54" si="499">(AK55*(AK56+AK50))</f>
        <v>0.35175000000000001</v>
      </c>
      <c r="AL54" s="73"/>
      <c r="AM54" s="72">
        <f t="shared" ref="AM54" si="500">(AM55*(AM56+AM50))</f>
        <v>0.35175000000000001</v>
      </c>
      <c r="AN54" s="73"/>
      <c r="AO54" s="72">
        <f t="shared" ref="AO54:AQ54" si="501">(AO55*(AO56+AO50))</f>
        <v>0.35175000000000001</v>
      </c>
      <c r="AP54" s="73"/>
      <c r="AQ54" s="72">
        <f t="shared" si="501"/>
        <v>0.35175000000000001</v>
      </c>
      <c r="AR54" s="73"/>
      <c r="AS54" s="72">
        <f t="shared" ref="AS54:AU54" si="502">(AS55*(AS56+AS50))</f>
        <v>0.35175000000000001</v>
      </c>
      <c r="AT54" s="73"/>
      <c r="AU54" s="72">
        <f t="shared" si="502"/>
        <v>0.32024999999999998</v>
      </c>
      <c r="AV54" s="73"/>
      <c r="AW54" s="72">
        <f t="shared" ref="AW54" si="503">(AW55*(AW56+AW50))</f>
        <v>0.32024999999999998</v>
      </c>
      <c r="AX54" s="371"/>
      <c r="AY54" s="368">
        <f>(AY55*(AY56+AY50))</f>
        <v>0.35190083249999993</v>
      </c>
      <c r="AZ54" s="371"/>
      <c r="BA54" s="368">
        <f>(BA55*(BA56+BA50))</f>
        <v>0.35150708249999996</v>
      </c>
      <c r="BB54" s="371"/>
      <c r="BC54" s="368">
        <f>(BC55*(BC56+BC50))</f>
        <v>0.35150708249999996</v>
      </c>
      <c r="BD54" s="371"/>
      <c r="BE54" s="368">
        <f>(BE55*(BE56+BE50))</f>
        <v>0.35176115625000004</v>
      </c>
      <c r="BF54" s="371"/>
      <c r="BG54" s="368">
        <f>(BG55*(BG56+BG50))</f>
        <v>0.35176115625000004</v>
      </c>
      <c r="BH54" s="371"/>
      <c r="BI54" s="368">
        <f>(BI55*(BI56+BI50))</f>
        <v>0.35176115625000004</v>
      </c>
      <c r="BJ54" s="371"/>
      <c r="BK54" s="368">
        <f>(BK55*(BK56+BK50))</f>
        <v>0.35176115625000004</v>
      </c>
      <c r="BL54" s="371"/>
      <c r="BM54" s="368">
        <f>(BM55*(BM56+BM50))</f>
        <v>0.35176115625000004</v>
      </c>
      <c r="BN54" s="371"/>
      <c r="BO54" s="368">
        <f>(BO55*(BO56+BO50))</f>
        <v>0.35145167210154732</v>
      </c>
      <c r="BP54" s="371"/>
      <c r="BQ54" s="368">
        <f>(BQ55*(BQ56+BQ50))</f>
        <v>0.35145167210154732</v>
      </c>
      <c r="BR54" s="371"/>
      <c r="BS54" s="368">
        <f>(BS55*(BS56+BS50))</f>
        <v>0.35145167210154732</v>
      </c>
      <c r="BT54" s="371"/>
      <c r="BU54" s="368">
        <f>(BU55*(BU56+BU50))</f>
        <v>0.35176115625000004</v>
      </c>
      <c r="BV54" s="371"/>
      <c r="BW54" s="368">
        <f>(BW55*(BW56+BW50))</f>
        <v>0.35214036710154739</v>
      </c>
      <c r="BX54" s="545"/>
      <c r="BY54" s="545"/>
      <c r="BZ54" s="545"/>
      <c r="CA54" s="545"/>
    </row>
    <row r="55" spans="1:81" s="4" customFormat="1" ht="18" customHeight="1" outlineLevel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47"/>
      <c r="I55" s="1082">
        <v>0.1</v>
      </c>
      <c r="J55" s="47"/>
      <c r="K55" s="1082">
        <v>0.1</v>
      </c>
      <c r="L55" s="47"/>
      <c r="M55" s="1082">
        <v>0.1</v>
      </c>
      <c r="N55" s="47"/>
      <c r="O55" s="1082">
        <v>0.1</v>
      </c>
      <c r="P55" s="47"/>
      <c r="Q55" s="1082">
        <v>0.1</v>
      </c>
      <c r="R55" s="47"/>
      <c r="S55" s="1082">
        <v>0.1</v>
      </c>
      <c r="T55" s="47"/>
      <c r="U55" s="1082">
        <v>0.1</v>
      </c>
      <c r="V55" s="47"/>
      <c r="W55" s="1082">
        <v>0.1</v>
      </c>
      <c r="X55" s="47"/>
      <c r="Y55" s="1082">
        <v>0.1</v>
      </c>
      <c r="Z55" s="47"/>
      <c r="AA55" s="1082">
        <v>0.1</v>
      </c>
      <c r="AB55" s="47"/>
      <c r="AC55" s="1082">
        <v>0.1</v>
      </c>
      <c r="AD55" s="47"/>
      <c r="AE55" s="1082">
        <v>0.1</v>
      </c>
      <c r="AF55" s="47"/>
      <c r="AG55" s="1082">
        <v>0.1</v>
      </c>
      <c r="AH55" s="47"/>
      <c r="AI55" s="1082">
        <v>0.1</v>
      </c>
      <c r="AJ55" s="47"/>
      <c r="AK55" s="1082">
        <v>0.1</v>
      </c>
      <c r="AL55" s="47"/>
      <c r="AM55" s="1082">
        <v>0.1</v>
      </c>
      <c r="AN55" s="47"/>
      <c r="AO55" s="1082">
        <v>0.1</v>
      </c>
      <c r="AP55" s="47"/>
      <c r="AQ55" s="1082">
        <v>0.1</v>
      </c>
      <c r="AR55" s="47"/>
      <c r="AS55" s="1082">
        <v>0.1</v>
      </c>
      <c r="AT55" s="47"/>
      <c r="AU55" s="1082">
        <v>0.1</v>
      </c>
      <c r="AV55" s="47"/>
      <c r="AW55" s="1082">
        <v>0.1</v>
      </c>
      <c r="AX55" s="369"/>
      <c r="AY55" s="370">
        <v>0.1</v>
      </c>
      <c r="AZ55" s="369"/>
      <c r="BA55" s="370">
        <v>0.1</v>
      </c>
      <c r="BB55" s="369"/>
      <c r="BC55" s="370">
        <v>0.1</v>
      </c>
      <c r="BD55" s="369"/>
      <c r="BE55" s="370">
        <v>0.1</v>
      </c>
      <c r="BF55" s="369"/>
      <c r="BG55" s="370">
        <v>0.1</v>
      </c>
      <c r="BH55" s="369"/>
      <c r="BI55" s="370">
        <v>0.1</v>
      </c>
      <c r="BJ55" s="369"/>
      <c r="BK55" s="370">
        <v>0.1</v>
      </c>
      <c r="BL55" s="369"/>
      <c r="BM55" s="370">
        <v>0.1</v>
      </c>
      <c r="BN55" s="369"/>
      <c r="BO55" s="370">
        <v>0.1</v>
      </c>
      <c r="BP55" s="369"/>
      <c r="BQ55" s="370">
        <v>0.1</v>
      </c>
      <c r="BR55" s="369"/>
      <c r="BS55" s="370">
        <v>0.1</v>
      </c>
      <c r="BT55" s="369"/>
      <c r="BU55" s="370">
        <v>0.1</v>
      </c>
      <c r="BV55" s="369"/>
      <c r="BW55" s="370">
        <v>0.1</v>
      </c>
      <c r="BX55" s="545"/>
      <c r="BY55" s="545"/>
      <c r="BZ55" s="545"/>
      <c r="CA55" s="545"/>
    </row>
    <row r="56" spans="1:81" s="4" customFormat="1" ht="18" customHeight="1" outlineLevel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3.3499999999999996</v>
      </c>
      <c r="H56" s="81"/>
      <c r="I56" s="82">
        <f t="shared" ref="I56" si="504">I60-I57+I58</f>
        <v>3.3499999999999996</v>
      </c>
      <c r="J56" s="81"/>
      <c r="K56" s="82">
        <f t="shared" ref="K56" si="505">K60-K57+K58</f>
        <v>3.3499999999999996</v>
      </c>
      <c r="L56" s="81"/>
      <c r="M56" s="82">
        <f t="shared" ref="M56" si="506">M60-M57+M58</f>
        <v>3.3499999999999996</v>
      </c>
      <c r="N56" s="81"/>
      <c r="O56" s="82">
        <f t="shared" ref="O56" si="507">O60-O57+O58</f>
        <v>3.3499999999999996</v>
      </c>
      <c r="P56" s="81"/>
      <c r="Q56" s="82">
        <f t="shared" ref="Q56" si="508">Q60-Q57+Q58</f>
        <v>3.3499999999999996</v>
      </c>
      <c r="R56" s="81"/>
      <c r="S56" s="82">
        <f t="shared" ref="S56" si="509">S60-S57+S58</f>
        <v>3.3499999999999996</v>
      </c>
      <c r="T56" s="81"/>
      <c r="U56" s="82">
        <f t="shared" ref="U56" si="510">U60-U57+U58</f>
        <v>3.3499999999999996</v>
      </c>
      <c r="V56" s="81"/>
      <c r="W56" s="82">
        <f t="shared" ref="W56" si="511">W60-W57+W58</f>
        <v>3.3499999999999996</v>
      </c>
      <c r="X56" s="81"/>
      <c r="Y56" s="82">
        <f t="shared" ref="Y56" si="512">Y60-Y57+Y58</f>
        <v>3.3499999999999996</v>
      </c>
      <c r="Z56" s="81"/>
      <c r="AA56" s="82">
        <f t="shared" ref="AA56" si="513">AA60-AA57+AA58</f>
        <v>3.3499999999999996</v>
      </c>
      <c r="AB56" s="81"/>
      <c r="AC56" s="82">
        <f t="shared" ref="AC56" si="514">AC60-AC57+AC58</f>
        <v>3.4934634260341202</v>
      </c>
      <c r="AD56" s="81"/>
      <c r="AE56" s="82">
        <f t="shared" ref="AE56" si="515">AE60-AE57+AE58</f>
        <v>3.3499999999999996</v>
      </c>
      <c r="AF56" s="81"/>
      <c r="AG56" s="82">
        <f t="shared" ref="AG56" si="516">AG60-AG57+AG58</f>
        <v>3.3499999999999996</v>
      </c>
      <c r="AH56" s="81"/>
      <c r="AI56" s="82">
        <f t="shared" ref="AI56" si="517">AI60-AI57+AI58</f>
        <v>3.3499999999999996</v>
      </c>
      <c r="AJ56" s="81"/>
      <c r="AK56" s="82">
        <f t="shared" ref="AK56" si="518">AK60-AK57+AK58</f>
        <v>3.3499999999999996</v>
      </c>
      <c r="AL56" s="81"/>
      <c r="AM56" s="82">
        <f t="shared" ref="AM56" si="519">AM60-AM57+AM58</f>
        <v>3.3499999999999996</v>
      </c>
      <c r="AN56" s="81"/>
      <c r="AO56" s="82">
        <f t="shared" ref="AO56:AQ56" si="520">AO60-AO57+AO58</f>
        <v>3.3499999999999996</v>
      </c>
      <c r="AP56" s="81"/>
      <c r="AQ56" s="82">
        <f t="shared" si="520"/>
        <v>3.3499999999999996</v>
      </c>
      <c r="AR56" s="81"/>
      <c r="AS56" s="82">
        <f t="shared" ref="AS56:AU56" si="521">AS60-AS57+AS58</f>
        <v>3.3499999999999996</v>
      </c>
      <c r="AT56" s="81"/>
      <c r="AU56" s="82">
        <f t="shared" si="521"/>
        <v>3.05</v>
      </c>
      <c r="AV56" s="81"/>
      <c r="AW56" s="82">
        <f t="shared" ref="AW56" si="522">AW60-AW57+AW58</f>
        <v>3.05</v>
      </c>
      <c r="AX56" s="81"/>
      <c r="AY56" s="82">
        <f>AY60-AY57+AY58</f>
        <v>3.3514364999999993</v>
      </c>
      <c r="AZ56" s="81"/>
      <c r="BA56" s="82">
        <f>BA60-BA57+BA58</f>
        <v>3.3476864999999991</v>
      </c>
      <c r="BB56" s="81"/>
      <c r="BC56" s="82">
        <f>BC60-BC57+BC58</f>
        <v>3.3476864999999991</v>
      </c>
      <c r="BD56" s="81"/>
      <c r="BE56" s="82">
        <f>BE60-BE57+BE58</f>
        <v>3.3501062500000005</v>
      </c>
      <c r="BF56" s="81"/>
      <c r="BG56" s="82">
        <f>BG60-BG57+BG58</f>
        <v>3.3501062500000005</v>
      </c>
      <c r="BH56" s="81"/>
      <c r="BI56" s="82">
        <f>BI60-BI57+BI58</f>
        <v>3.3501062500000005</v>
      </c>
      <c r="BJ56" s="81"/>
      <c r="BK56" s="82">
        <f>BK60-BK57+BK58</f>
        <v>3.3501062500000005</v>
      </c>
      <c r="BL56" s="81"/>
      <c r="BM56" s="82">
        <f>BM60-BM57+BM58</f>
        <v>3.3501062500000005</v>
      </c>
      <c r="BN56" s="81"/>
      <c r="BO56" s="82">
        <f>BO60-BO57+BO58</f>
        <v>3.3471587819194983</v>
      </c>
      <c r="BP56" s="81"/>
      <c r="BQ56" s="82">
        <f>BQ60-BQ57+BQ58</f>
        <v>3.3471587819194983</v>
      </c>
      <c r="BR56" s="81"/>
      <c r="BS56" s="82">
        <f>BS60-BS57+BS58</f>
        <v>3.3471587819194983</v>
      </c>
      <c r="BT56" s="81"/>
      <c r="BU56" s="82">
        <f>BU60-BU57+BU58</f>
        <v>3.3501062500000005</v>
      </c>
      <c r="BV56" s="81"/>
      <c r="BW56" s="82">
        <f>BW60-BW57+BW58</f>
        <v>3.3537177819194985</v>
      </c>
      <c r="BX56" s="545"/>
      <c r="BY56" s="545"/>
      <c r="BZ56" s="545"/>
      <c r="CA56" s="545"/>
    </row>
    <row r="57" spans="1:81" s="4" customFormat="1" ht="18" customHeight="1" outlineLevel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1.03</v>
      </c>
      <c r="H57" s="85"/>
      <c r="I57" s="86">
        <v>1.03</v>
      </c>
      <c r="J57" s="85"/>
      <c r="K57" s="86">
        <v>1.03</v>
      </c>
      <c r="L57" s="85"/>
      <c r="M57" s="86">
        <v>1.03</v>
      </c>
      <c r="N57" s="85"/>
      <c r="O57" s="86">
        <v>1.03</v>
      </c>
      <c r="P57" s="85"/>
      <c r="Q57" s="86">
        <v>1.03</v>
      </c>
      <c r="R57" s="85"/>
      <c r="S57" s="86">
        <v>1.03</v>
      </c>
      <c r="T57" s="85"/>
      <c r="U57" s="86">
        <v>1.03</v>
      </c>
      <c r="V57" s="85"/>
      <c r="W57" s="86">
        <v>1.03</v>
      </c>
      <c r="X57" s="85"/>
      <c r="Y57" s="86">
        <v>1.03</v>
      </c>
      <c r="Z57" s="85"/>
      <c r="AA57" s="86">
        <v>1.03</v>
      </c>
      <c r="AB57" s="85"/>
      <c r="AC57" s="86">
        <v>0.88653657396587981</v>
      </c>
      <c r="AD57" s="85"/>
      <c r="AE57" s="86">
        <v>1.03</v>
      </c>
      <c r="AF57" s="85"/>
      <c r="AG57" s="86">
        <v>1.03</v>
      </c>
      <c r="AH57" s="85"/>
      <c r="AI57" s="86">
        <v>1.03</v>
      </c>
      <c r="AJ57" s="85"/>
      <c r="AK57" s="86">
        <v>1.03</v>
      </c>
      <c r="AL57" s="85"/>
      <c r="AM57" s="86">
        <v>1.03</v>
      </c>
      <c r="AN57" s="85"/>
      <c r="AO57" s="86">
        <v>1.03</v>
      </c>
      <c r="AP57" s="85"/>
      <c r="AQ57" s="86">
        <v>1.03</v>
      </c>
      <c r="AR57" s="85"/>
      <c r="AS57" s="86">
        <v>1.03</v>
      </c>
      <c r="AT57" s="85"/>
      <c r="AU57" s="86">
        <v>1.33</v>
      </c>
      <c r="AV57" s="85"/>
      <c r="AW57" s="86">
        <v>1.33</v>
      </c>
      <c r="AX57" s="85"/>
      <c r="AY57" s="86">
        <v>1</v>
      </c>
      <c r="AZ57" s="85"/>
      <c r="BA57" s="86">
        <v>1</v>
      </c>
      <c r="BB57" s="85"/>
      <c r="BC57" s="86">
        <v>1</v>
      </c>
      <c r="BD57" s="85"/>
      <c r="BE57" s="86">
        <v>1.05</v>
      </c>
      <c r="BF57" s="85"/>
      <c r="BG57" s="86">
        <v>1.05</v>
      </c>
      <c r="BH57" s="85"/>
      <c r="BI57" s="86">
        <v>1.05</v>
      </c>
      <c r="BJ57" s="85"/>
      <c r="BK57" s="86">
        <v>1.05</v>
      </c>
      <c r="BL57" s="85"/>
      <c r="BM57" s="86">
        <v>1.05</v>
      </c>
      <c r="BN57" s="85"/>
      <c r="BO57" s="86">
        <v>1.05</v>
      </c>
      <c r="BP57" s="85"/>
      <c r="BQ57" s="86">
        <v>1.05</v>
      </c>
      <c r="BR57" s="85"/>
      <c r="BS57" s="86">
        <v>1.05</v>
      </c>
      <c r="BT57" s="85"/>
      <c r="BU57" s="86">
        <v>1.05</v>
      </c>
      <c r="BV57" s="85"/>
      <c r="BW57" s="86">
        <v>1.05</v>
      </c>
      <c r="BX57" s="545"/>
      <c r="BY57" s="545"/>
      <c r="BZ57" s="545"/>
      <c r="CA57" s="545"/>
      <c r="CB57" s="4" t="s">
        <v>381</v>
      </c>
    </row>
    <row r="58" spans="1:81" s="4" customFormat="1" ht="18" customHeight="1" outlineLevel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  <c r="BP58" s="85"/>
      <c r="BQ58" s="86">
        <v>0</v>
      </c>
      <c r="BR58" s="85"/>
      <c r="BS58" s="86">
        <v>0</v>
      </c>
      <c r="BT58" s="85"/>
      <c r="BU58" s="86">
        <v>0</v>
      </c>
      <c r="BV58" s="85"/>
      <c r="BW58" s="86">
        <v>0</v>
      </c>
      <c r="BX58" s="545"/>
      <c r="BY58" s="545"/>
      <c r="BZ58" s="545"/>
      <c r="CA58" s="545"/>
      <c r="CB58" s="4" t="s">
        <v>382</v>
      </c>
    </row>
    <row r="59" spans="1:81" s="4" customFormat="1" ht="18" customHeight="1" outlineLevel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4.38</v>
      </c>
      <c r="H59" s="85"/>
      <c r="I59" s="86">
        <f t="shared" ref="I59" si="523">+I62+I65+I67</f>
        <v>4.38</v>
      </c>
      <c r="J59" s="85"/>
      <c r="K59" s="86">
        <f t="shared" ref="K59" si="524">+K62+K65+K67</f>
        <v>4.38</v>
      </c>
      <c r="L59" s="85"/>
      <c r="M59" s="86">
        <f t="shared" ref="M59" si="525">+M62+M65+M67</f>
        <v>4.38</v>
      </c>
      <c r="N59" s="85"/>
      <c r="O59" s="86">
        <f t="shared" ref="O59" si="526">+O62+O65+O67</f>
        <v>4.38</v>
      </c>
      <c r="P59" s="85"/>
      <c r="Q59" s="86">
        <f t="shared" ref="Q59" si="527">+Q62+Q65+Q67</f>
        <v>4.38</v>
      </c>
      <c r="R59" s="85"/>
      <c r="S59" s="86">
        <f t="shared" ref="S59" si="528">+S62+S65+S67</f>
        <v>4.38</v>
      </c>
      <c r="T59" s="85"/>
      <c r="U59" s="86">
        <f t="shared" ref="U59" si="529">+U62+U65+U67</f>
        <v>4.38</v>
      </c>
      <c r="V59" s="85"/>
      <c r="W59" s="86">
        <f t="shared" ref="W59" si="530">+W62+W65+W67</f>
        <v>4.38</v>
      </c>
      <c r="X59" s="85"/>
      <c r="Y59" s="86">
        <f t="shared" ref="Y59" si="531">+Y62+Y65+Y67</f>
        <v>4.38</v>
      </c>
      <c r="Z59" s="85"/>
      <c r="AA59" s="86">
        <f t="shared" ref="AA59" si="532">+AA62+AA65+AA67</f>
        <v>4.38</v>
      </c>
      <c r="AB59" s="85"/>
      <c r="AC59" s="86">
        <f t="shared" ref="AC59:AI59" si="533">+AC62+AC65+AC67</f>
        <v>4.38</v>
      </c>
      <c r="AD59" s="85"/>
      <c r="AE59" s="86">
        <f t="shared" si="533"/>
        <v>4.38</v>
      </c>
      <c r="AF59" s="85"/>
      <c r="AG59" s="86">
        <f t="shared" si="533"/>
        <v>4.38</v>
      </c>
      <c r="AH59" s="85"/>
      <c r="AI59" s="86">
        <f t="shared" si="533"/>
        <v>4.38</v>
      </c>
      <c r="AJ59" s="85"/>
      <c r="AK59" s="86">
        <f t="shared" ref="AK59" si="534">+AK62+AK65+AK67</f>
        <v>4.38</v>
      </c>
      <c r="AL59" s="85"/>
      <c r="AM59" s="86">
        <f t="shared" ref="AM59" si="535">+AM62+AM65+AM67</f>
        <v>4.38</v>
      </c>
      <c r="AN59" s="85"/>
      <c r="AO59" s="86">
        <f t="shared" ref="AO59:AQ59" si="536">+AO62+AO65+AO67</f>
        <v>4.38</v>
      </c>
      <c r="AP59" s="85"/>
      <c r="AQ59" s="86">
        <f t="shared" si="536"/>
        <v>4.38</v>
      </c>
      <c r="AR59" s="85"/>
      <c r="AS59" s="86">
        <f t="shared" ref="AS59:AU59" si="537">+AS62+AS65+AS67</f>
        <v>4.38</v>
      </c>
      <c r="AT59" s="85"/>
      <c r="AU59" s="86">
        <f t="shared" si="537"/>
        <v>4.38</v>
      </c>
      <c r="AV59" s="85"/>
      <c r="AW59" s="86">
        <f t="shared" ref="AW59" si="538">+AW62+AW65+AW67</f>
        <v>4.38</v>
      </c>
      <c r="AX59" s="85"/>
      <c r="AY59" s="86">
        <f>+AY62+AY65+AY67</f>
        <v>4.3499999999999996</v>
      </c>
      <c r="AZ59" s="85"/>
      <c r="BA59" s="86">
        <f>+BA62+BA65+BA67</f>
        <v>4.3462499999999995</v>
      </c>
      <c r="BB59" s="85"/>
      <c r="BC59" s="86">
        <f>+BC62+BC65+BC67</f>
        <v>4.3462499999999995</v>
      </c>
      <c r="BD59" s="85"/>
      <c r="BE59" s="86">
        <f>+BE62+BE65+BE67</f>
        <v>4.3986910000000004</v>
      </c>
      <c r="BF59" s="85"/>
      <c r="BG59" s="86">
        <f>+BG62+BG65+BG67</f>
        <v>4.3986910000000004</v>
      </c>
      <c r="BH59" s="85"/>
      <c r="BI59" s="86">
        <f>+BI62+BI65+BI67</f>
        <v>4.3986910000000004</v>
      </c>
      <c r="BJ59" s="85"/>
      <c r="BK59" s="86">
        <f>+BK62+BK65+BK67</f>
        <v>4.3986910000000004</v>
      </c>
      <c r="BL59" s="85"/>
      <c r="BM59" s="86">
        <f>+BM62+BM65+BM67</f>
        <v>4.3986910000000004</v>
      </c>
      <c r="BN59" s="85"/>
      <c r="BO59" s="86">
        <f>+BO62+BO65+BO67</f>
        <v>4.3957435319194982</v>
      </c>
      <c r="BP59" s="85"/>
      <c r="BQ59" s="86">
        <f>+BQ62+BQ65+BQ67</f>
        <v>4.3957435319194982</v>
      </c>
      <c r="BR59" s="85"/>
      <c r="BS59" s="86">
        <f>+BS62+BS65+BS67</f>
        <v>4.3957435319194982</v>
      </c>
      <c r="BT59" s="85"/>
      <c r="BU59" s="86">
        <f>+BU62+BU65+BU67</f>
        <v>4.3986910000000004</v>
      </c>
      <c r="BV59" s="85"/>
      <c r="BW59" s="86">
        <f>+BW62+BW65+BW67</f>
        <v>4.4023025319194975</v>
      </c>
      <c r="BX59" s="545"/>
      <c r="BY59" s="545"/>
      <c r="BZ59" s="545"/>
      <c r="CA59" s="545"/>
      <c r="CB59" s="4" t="s">
        <v>383</v>
      </c>
    </row>
    <row r="60" spans="1:81" s="4" customFormat="1" ht="18" customHeight="1" outlineLevel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4.38</v>
      </c>
      <c r="H60" s="81"/>
      <c r="I60" s="82">
        <f t="shared" ref="I60" si="539">I65+I67</f>
        <v>4.38</v>
      </c>
      <c r="J60" s="81"/>
      <c r="K60" s="82">
        <f t="shared" ref="K60" si="540">K65+K67</f>
        <v>4.38</v>
      </c>
      <c r="L60" s="81"/>
      <c r="M60" s="82">
        <f t="shared" ref="M60" si="541">M65+M67</f>
        <v>4.38</v>
      </c>
      <c r="N60" s="81"/>
      <c r="O60" s="82">
        <f t="shared" ref="O60" si="542">O65+O67</f>
        <v>4.38</v>
      </c>
      <c r="P60" s="81"/>
      <c r="Q60" s="82">
        <f t="shared" ref="Q60" si="543">Q65+Q67</f>
        <v>4.38</v>
      </c>
      <c r="R60" s="81"/>
      <c r="S60" s="82">
        <f t="shared" ref="S60" si="544">S65+S67</f>
        <v>4.38</v>
      </c>
      <c r="T60" s="81"/>
      <c r="U60" s="82">
        <f t="shared" ref="U60" si="545">U65+U67</f>
        <v>4.38</v>
      </c>
      <c r="V60" s="81"/>
      <c r="W60" s="82">
        <f t="shared" ref="W60" si="546">W65+W67</f>
        <v>4.38</v>
      </c>
      <c r="X60" s="81"/>
      <c r="Y60" s="82">
        <f t="shared" ref="Y60" si="547">Y65+Y67</f>
        <v>4.38</v>
      </c>
      <c r="Z60" s="81"/>
      <c r="AA60" s="82">
        <f t="shared" ref="AA60" si="548">AA65+AA67</f>
        <v>4.38</v>
      </c>
      <c r="AB60" s="81"/>
      <c r="AC60" s="82">
        <f t="shared" ref="AC60:AI60" si="549">AC65+AC67</f>
        <v>4.38</v>
      </c>
      <c r="AD60" s="81"/>
      <c r="AE60" s="82">
        <f t="shared" si="549"/>
        <v>4.38</v>
      </c>
      <c r="AF60" s="81"/>
      <c r="AG60" s="82">
        <f t="shared" si="549"/>
        <v>4.38</v>
      </c>
      <c r="AH60" s="81"/>
      <c r="AI60" s="82">
        <f t="shared" si="549"/>
        <v>4.38</v>
      </c>
      <c r="AJ60" s="81"/>
      <c r="AK60" s="82">
        <f t="shared" ref="AK60" si="550">AK65+AK67</f>
        <v>4.38</v>
      </c>
      <c r="AL60" s="81"/>
      <c r="AM60" s="82">
        <f t="shared" ref="AM60" si="551">AM65+AM67</f>
        <v>4.38</v>
      </c>
      <c r="AN60" s="81"/>
      <c r="AO60" s="82">
        <f t="shared" ref="AO60:AQ60" si="552">AO65+AO67</f>
        <v>4.38</v>
      </c>
      <c r="AP60" s="81"/>
      <c r="AQ60" s="82">
        <f t="shared" si="552"/>
        <v>4.38</v>
      </c>
      <c r="AR60" s="81"/>
      <c r="AS60" s="82">
        <f t="shared" ref="AS60:AU60" si="553">AS65+AS67</f>
        <v>4.38</v>
      </c>
      <c r="AT60" s="81"/>
      <c r="AU60" s="82">
        <f t="shared" si="553"/>
        <v>4.38</v>
      </c>
      <c r="AV60" s="81"/>
      <c r="AW60" s="82">
        <f t="shared" ref="AW60" si="554">AW65+AW67</f>
        <v>4.38</v>
      </c>
      <c r="AX60" s="81"/>
      <c r="AY60" s="82">
        <f>AY65+AY67+AY63+AY62</f>
        <v>4.3514364999999993</v>
      </c>
      <c r="AZ60" s="81"/>
      <c r="BA60" s="82">
        <f>BA65+BA67+BA63+BA62</f>
        <v>4.3476864999999991</v>
      </c>
      <c r="BB60" s="81"/>
      <c r="BC60" s="82">
        <f>BC65+BC67+BC63+BC62</f>
        <v>4.3476864999999991</v>
      </c>
      <c r="BD60" s="81"/>
      <c r="BE60" s="82">
        <f>BE65+BE67+BE63+BE62</f>
        <v>4.4001062500000003</v>
      </c>
      <c r="BF60" s="81"/>
      <c r="BG60" s="82">
        <f>BG65+BG67+BG63+BG62</f>
        <v>4.4001062500000003</v>
      </c>
      <c r="BH60" s="81"/>
      <c r="BI60" s="82">
        <f>BI65+BI67+BI63+BI62</f>
        <v>4.4001062500000003</v>
      </c>
      <c r="BJ60" s="81"/>
      <c r="BK60" s="82">
        <f>BK65+BK67+BK63+BK62</f>
        <v>4.4001062500000003</v>
      </c>
      <c r="BL60" s="81"/>
      <c r="BM60" s="82">
        <f>BM65+BM67+BM63+BM62</f>
        <v>4.4001062500000003</v>
      </c>
      <c r="BN60" s="81"/>
      <c r="BO60" s="82">
        <f>BO65+BO67+BO63+BO62</f>
        <v>4.3971587819194982</v>
      </c>
      <c r="BP60" s="81"/>
      <c r="BQ60" s="82">
        <f>BQ65+BQ67+BQ63+BQ62</f>
        <v>4.3971587819194982</v>
      </c>
      <c r="BR60" s="81"/>
      <c r="BS60" s="82">
        <f>BS65+BS67+BS63+BS62</f>
        <v>4.3971587819194982</v>
      </c>
      <c r="BT60" s="81"/>
      <c r="BU60" s="82">
        <f>BU65+BU67+BU63+BU62</f>
        <v>4.4001062500000003</v>
      </c>
      <c r="BV60" s="81"/>
      <c r="BW60" s="82">
        <f>BW65+BW67+BW63+BW62</f>
        <v>4.4037177819194984</v>
      </c>
      <c r="BX60" s="545"/>
      <c r="BY60" s="545"/>
      <c r="BZ60" s="545"/>
      <c r="CA60" s="545"/>
      <c r="CB60" s="1361" t="s">
        <v>384</v>
      </c>
      <c r="CC60" s="1362"/>
    </row>
    <row r="61" spans="1:81" s="4" customFormat="1" ht="18" customHeight="1" outlineLevel="2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42"/>
      <c r="O61" s="88"/>
      <c r="P61" s="42"/>
      <c r="Q61" s="88"/>
      <c r="R61" s="42"/>
      <c r="S61" s="88"/>
      <c r="T61" s="42"/>
      <c r="U61" s="88"/>
      <c r="V61" s="42"/>
      <c r="W61" s="88"/>
      <c r="X61" s="42"/>
      <c r="Y61" s="88"/>
      <c r="Z61" s="42"/>
      <c r="AA61" s="88"/>
      <c r="AB61" s="42"/>
      <c r="AC61" s="88"/>
      <c r="AD61" s="42"/>
      <c r="AE61" s="88"/>
      <c r="AF61" s="42"/>
      <c r="AG61" s="88"/>
      <c r="AH61" s="42"/>
      <c r="AI61" s="88"/>
      <c r="AJ61" s="42"/>
      <c r="AK61" s="88"/>
      <c r="AL61" s="42"/>
      <c r="AM61" s="88"/>
      <c r="AN61" s="42"/>
      <c r="AO61" s="88"/>
      <c r="AP61" s="42"/>
      <c r="AQ61" s="88"/>
      <c r="AR61" s="42"/>
      <c r="AS61" s="88"/>
      <c r="AT61" s="42"/>
      <c r="AU61" s="88"/>
      <c r="AV61" s="42"/>
      <c r="AW61" s="88"/>
      <c r="AX61" s="359"/>
      <c r="AY61" s="372"/>
      <c r="AZ61" s="359"/>
      <c r="BA61" s="372"/>
      <c r="BB61" s="359"/>
      <c r="BC61" s="372"/>
      <c r="BD61" s="359"/>
      <c r="BE61" s="372"/>
      <c r="BF61" s="359"/>
      <c r="BG61" s="372"/>
      <c r="BH61" s="359"/>
      <c r="BI61" s="372"/>
      <c r="BJ61" s="359"/>
      <c r="BK61" s="372"/>
      <c r="BL61" s="359"/>
      <c r="BM61" s="372"/>
      <c r="BN61" s="359"/>
      <c r="BO61" s="372"/>
      <c r="BP61" s="359"/>
      <c r="BQ61" s="372"/>
      <c r="BR61" s="359"/>
      <c r="BS61" s="372"/>
      <c r="BT61" s="359"/>
      <c r="BU61" s="372"/>
      <c r="BV61" s="359"/>
      <c r="BW61" s="372"/>
      <c r="BX61" s="545"/>
      <c r="BY61" s="545"/>
      <c r="BZ61" s="545"/>
      <c r="CA61" s="545"/>
      <c r="CB61" s="1363"/>
      <c r="CC61" s="1364"/>
    </row>
    <row r="62" spans="1:81" s="4" customFormat="1" ht="18" customHeight="1" outlineLevel="2" x14ac:dyDescent="0.45">
      <c r="A62" s="561"/>
      <c r="B62" s="1184"/>
      <c r="C62" s="71" t="s">
        <v>385</v>
      </c>
      <c r="D62" s="16"/>
      <c r="E62" s="35" t="s">
        <v>68</v>
      </c>
      <c r="F62" s="89"/>
      <c r="G62" s="374">
        <v>0</v>
      </c>
      <c r="H62" s="89"/>
      <c r="I62" s="374">
        <v>0</v>
      </c>
      <c r="J62" s="89"/>
      <c r="K62" s="374">
        <v>0</v>
      </c>
      <c r="L62" s="89"/>
      <c r="M62" s="374">
        <v>0</v>
      </c>
      <c r="N62" s="89"/>
      <c r="O62" s="374">
        <v>0</v>
      </c>
      <c r="P62" s="89"/>
      <c r="Q62" s="374">
        <v>0</v>
      </c>
      <c r="R62" s="89"/>
      <c r="S62" s="374">
        <v>0</v>
      </c>
      <c r="T62" s="89"/>
      <c r="U62" s="374">
        <v>0</v>
      </c>
      <c r="V62" s="89"/>
      <c r="W62" s="374">
        <v>0</v>
      </c>
      <c r="X62" s="89"/>
      <c r="Y62" s="374">
        <v>0</v>
      </c>
      <c r="Z62" s="89"/>
      <c r="AA62" s="374">
        <v>0</v>
      </c>
      <c r="AB62" s="89"/>
      <c r="AC62" s="374">
        <v>0</v>
      </c>
      <c r="AD62" s="89"/>
      <c r="AE62" s="374">
        <v>0</v>
      </c>
      <c r="AF62" s="89"/>
      <c r="AG62" s="374">
        <v>0</v>
      </c>
      <c r="AH62" s="89"/>
      <c r="AI62" s="374">
        <v>0</v>
      </c>
      <c r="AJ62" s="89"/>
      <c r="AK62" s="374">
        <v>0</v>
      </c>
      <c r="AL62" s="89"/>
      <c r="AM62" s="374">
        <v>0</v>
      </c>
      <c r="AN62" s="89"/>
      <c r="AO62" s="374">
        <v>0</v>
      </c>
      <c r="AP62" s="89"/>
      <c r="AQ62" s="374">
        <v>0</v>
      </c>
      <c r="AR62" s="89"/>
      <c r="AS62" s="374">
        <v>0</v>
      </c>
      <c r="AT62" s="89"/>
      <c r="AU62" s="374">
        <v>0</v>
      </c>
      <c r="AV62" s="89"/>
      <c r="AW62" s="374">
        <v>0</v>
      </c>
      <c r="AX62" s="373">
        <f>AY60-4.4</f>
        <v>-4.8563500000001092E-2</v>
      </c>
      <c r="AY62" s="607">
        <v>0</v>
      </c>
      <c r="AZ62" s="1145">
        <f>4.4-BA60</f>
        <v>5.2313500000001234E-2</v>
      </c>
      <c r="BA62" s="607">
        <f>0.1-0.01</f>
        <v>9.0000000000000011E-2</v>
      </c>
      <c r="BB62" s="1145">
        <f>4.4-BC60</f>
        <v>5.2313500000001234E-2</v>
      </c>
      <c r="BC62" s="607">
        <f>0.1-0.01</f>
        <v>9.0000000000000011E-2</v>
      </c>
      <c r="BD62" s="1145">
        <f>4.4-BE60</f>
        <v>-1.0624999999997442E-4</v>
      </c>
      <c r="BE62" s="607">
        <v>-7.5589999999996493E-3</v>
      </c>
      <c r="BF62" s="1145">
        <f>4.4-BG60</f>
        <v>-1.0624999999997442E-4</v>
      </c>
      <c r="BG62" s="607">
        <v>-7.5589999999996493E-3</v>
      </c>
      <c r="BH62" s="1145">
        <f>4.4-BI60</f>
        <v>-1.0624999999997442E-4</v>
      </c>
      <c r="BI62" s="607">
        <v>-7.5589999999996493E-3</v>
      </c>
      <c r="BJ62" s="1145">
        <f>4.4-BK60</f>
        <v>-1.0624999999997442E-4</v>
      </c>
      <c r="BK62" s="607">
        <v>-7.5589999999996493E-3</v>
      </c>
      <c r="BL62" s="1145">
        <f>4.4-BM60</f>
        <v>-1.0624999999997442E-4</v>
      </c>
      <c r="BM62" s="607">
        <v>-7.5589999999996493E-3</v>
      </c>
      <c r="BN62" s="1145">
        <f>4.4-BO60</f>
        <v>2.8412180805021947E-3</v>
      </c>
      <c r="BO62" s="607">
        <v>-1.6558999999999598E-2</v>
      </c>
      <c r="BP62" s="1145">
        <f>4.4-BQ60</f>
        <v>2.8412180805021947E-3</v>
      </c>
      <c r="BQ62" s="607">
        <v>-1.6558999999999598E-2</v>
      </c>
      <c r="BR62" s="1145">
        <f>4.4-BS60</f>
        <v>2.8412180805021947E-3</v>
      </c>
      <c r="BS62" s="607">
        <v>-1.6558999999999598E-2</v>
      </c>
      <c r="BT62" s="1145">
        <f>4.4-BU60</f>
        <v>-1.0624999999997442E-4</v>
      </c>
      <c r="BU62" s="607">
        <v>-7.5589999999996493E-3</v>
      </c>
      <c r="BV62" s="1145"/>
      <c r="BW62" s="607">
        <v>-0.01</v>
      </c>
      <c r="BX62" s="545"/>
      <c r="BY62" s="545"/>
      <c r="BZ62" s="545"/>
      <c r="CA62" s="545"/>
      <c r="CB62" s="1363"/>
      <c r="CC62" s="1364"/>
    </row>
    <row r="63" spans="1:81" s="4" customFormat="1" ht="18" customHeight="1" outlineLevel="2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2.19725E-3</v>
      </c>
      <c r="H63" s="89"/>
      <c r="I63" s="90">
        <f t="shared" ref="I63" si="555">0.0425/100*(6.2-I57)</f>
        <v>2.19725E-3</v>
      </c>
      <c r="J63" s="89"/>
      <c r="K63" s="90">
        <f t="shared" ref="K63" si="556">0.0425/100*(6.2-K57)</f>
        <v>2.19725E-3</v>
      </c>
      <c r="L63" s="89"/>
      <c r="M63" s="90">
        <f t="shared" ref="M63" si="557">0.0425/100*(6.2-M57)</f>
        <v>2.19725E-3</v>
      </c>
      <c r="N63" s="89"/>
      <c r="O63" s="90">
        <f t="shared" ref="O63" si="558">0.0425/100*(6.2-O57)</f>
        <v>2.19725E-3</v>
      </c>
      <c r="P63" s="89"/>
      <c r="Q63" s="90">
        <f t="shared" ref="Q63" si="559">0.0425/100*(6.2-Q57)</f>
        <v>2.19725E-3</v>
      </c>
      <c r="R63" s="89"/>
      <c r="S63" s="90">
        <f t="shared" ref="S63" si="560">0.0425/100*(6.2-S57)</f>
        <v>2.19725E-3</v>
      </c>
      <c r="T63" s="89"/>
      <c r="U63" s="90">
        <f t="shared" ref="U63" si="561">0.0425/100*(6.2-U57)</f>
        <v>2.19725E-3</v>
      </c>
      <c r="V63" s="89"/>
      <c r="W63" s="90">
        <f t="shared" ref="W63" si="562">0.0425/100*(6.2-W57)</f>
        <v>2.19725E-3</v>
      </c>
      <c r="X63" s="89"/>
      <c r="Y63" s="90">
        <f t="shared" ref="Y63" si="563">0.0425/100*(6.2-Y57)</f>
        <v>2.19725E-3</v>
      </c>
      <c r="Z63" s="89"/>
      <c r="AA63" s="90">
        <f t="shared" ref="AA63" si="564">0.0425/100*(6.2-AA57)</f>
        <v>2.19725E-3</v>
      </c>
      <c r="AB63" s="89"/>
      <c r="AC63" s="90">
        <f t="shared" ref="AC63:AI63" si="565">0.0425/100*(6.2-AC57)</f>
        <v>2.2582219560645014E-3</v>
      </c>
      <c r="AD63" s="89"/>
      <c r="AE63" s="90">
        <f t="shared" si="565"/>
        <v>2.19725E-3</v>
      </c>
      <c r="AF63" s="89"/>
      <c r="AG63" s="90">
        <f t="shared" si="565"/>
        <v>2.19725E-3</v>
      </c>
      <c r="AH63" s="89"/>
      <c r="AI63" s="90">
        <f t="shared" si="565"/>
        <v>2.19725E-3</v>
      </c>
      <c r="AJ63" s="89"/>
      <c r="AK63" s="90">
        <f t="shared" ref="AK63" si="566">0.0425/100*(6.2-AK57)</f>
        <v>2.19725E-3</v>
      </c>
      <c r="AL63" s="89"/>
      <c r="AM63" s="90">
        <f t="shared" ref="AM63" si="567">0.0425/100*(6.2-AM57)</f>
        <v>2.19725E-3</v>
      </c>
      <c r="AN63" s="89"/>
      <c r="AO63" s="90">
        <f t="shared" ref="AO63:AQ63" si="568">0.0425/100*(6.2-AO57)</f>
        <v>2.19725E-3</v>
      </c>
      <c r="AP63" s="89"/>
      <c r="AQ63" s="90">
        <f t="shared" si="568"/>
        <v>2.19725E-3</v>
      </c>
      <c r="AR63" s="89"/>
      <c r="AS63" s="90">
        <f t="shared" ref="AS63:AU63" si="569">0.0425/100*(6.2-AS57)</f>
        <v>2.19725E-3</v>
      </c>
      <c r="AT63" s="89"/>
      <c r="AU63" s="90">
        <f t="shared" si="569"/>
        <v>2.0697500000000004E-3</v>
      </c>
      <c r="AV63" s="89"/>
      <c r="AW63" s="90">
        <f t="shared" ref="AW63" si="570">0.0425/100*(6.2-AW57)</f>
        <v>2.0697500000000004E-3</v>
      </c>
      <c r="AX63" s="373"/>
      <c r="AY63" s="607">
        <f>0.0425%*(4.38-AY57)</f>
        <v>1.4365000000000001E-3</v>
      </c>
      <c r="AZ63" s="373"/>
      <c r="BA63" s="607">
        <f>0.0425%*(4.38-BA57)</f>
        <v>1.4365000000000001E-3</v>
      </c>
      <c r="BB63" s="373"/>
      <c r="BC63" s="607">
        <f>0.0425%*(4.38-BC57)</f>
        <v>1.4365000000000001E-3</v>
      </c>
      <c r="BD63" s="373"/>
      <c r="BE63" s="607">
        <f>0.0425%*(4.38-BE57)</f>
        <v>1.4152500000000001E-3</v>
      </c>
      <c r="BF63" s="373"/>
      <c r="BG63" s="607">
        <f>0.0425%*(4.38-BG57)</f>
        <v>1.4152500000000001E-3</v>
      </c>
      <c r="BH63" s="373"/>
      <c r="BI63" s="607">
        <f>0.0425%*(4.38-BI57)</f>
        <v>1.4152500000000001E-3</v>
      </c>
      <c r="BJ63" s="373"/>
      <c r="BK63" s="607">
        <f>0.0425%*(4.38-BK57)</f>
        <v>1.4152500000000001E-3</v>
      </c>
      <c r="BL63" s="373"/>
      <c r="BM63" s="607">
        <f>0.0425%*(4.38-BM57)</f>
        <v>1.4152500000000001E-3</v>
      </c>
      <c r="BN63" s="373"/>
      <c r="BO63" s="607">
        <f>0.0425%*(4.38-BO57)</f>
        <v>1.4152500000000001E-3</v>
      </c>
      <c r="BP63" s="373"/>
      <c r="BQ63" s="607">
        <f>0.0425%*(4.38-BQ57)</f>
        <v>1.4152500000000001E-3</v>
      </c>
      <c r="BR63" s="373"/>
      <c r="BS63" s="607">
        <f>0.0425%*(4.38-BS57)</f>
        <v>1.4152500000000001E-3</v>
      </c>
      <c r="BT63" s="373"/>
      <c r="BU63" s="607">
        <f>0.0425%*(4.38-BU57)</f>
        <v>1.4152500000000001E-3</v>
      </c>
      <c r="BV63" s="373"/>
      <c r="BW63" s="607">
        <f>0.0425%*(4.38-BW57)</f>
        <v>1.4152500000000001E-3</v>
      </c>
      <c r="BX63" s="545"/>
      <c r="BY63" s="545"/>
      <c r="BZ63" s="545"/>
      <c r="CA63" s="545"/>
      <c r="CB63" s="1365"/>
      <c r="CC63" s="1366"/>
    </row>
    <row r="64" spans="1:81" s="4" customFormat="1" ht="18" customHeight="1" outlineLevel="2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42"/>
      <c r="I64" s="91">
        <v>1200</v>
      </c>
      <c r="J64" s="42"/>
      <c r="K64" s="91">
        <v>1200</v>
      </c>
      <c r="L64" s="42"/>
      <c r="M64" s="91">
        <v>1200</v>
      </c>
      <c r="N64" s="42"/>
      <c r="O64" s="91">
        <v>1200</v>
      </c>
      <c r="P64" s="42"/>
      <c r="Q64" s="91">
        <v>1200</v>
      </c>
      <c r="R64" s="42"/>
      <c r="S64" s="91">
        <v>1200</v>
      </c>
      <c r="T64" s="42"/>
      <c r="U64" s="91">
        <v>1200</v>
      </c>
      <c r="V64" s="42"/>
      <c r="W64" s="91">
        <v>1200</v>
      </c>
      <c r="X64" s="42"/>
      <c r="Y64" s="91">
        <v>1200</v>
      </c>
      <c r="Z64" s="42"/>
      <c r="AA64" s="91">
        <v>1200</v>
      </c>
      <c r="AB64" s="42"/>
      <c r="AC64" s="91">
        <v>1200</v>
      </c>
      <c r="AD64" s="42"/>
      <c r="AE64" s="91">
        <v>1200</v>
      </c>
      <c r="AF64" s="42"/>
      <c r="AG64" s="91">
        <v>1200</v>
      </c>
      <c r="AH64" s="42"/>
      <c r="AI64" s="91">
        <v>1200</v>
      </c>
      <c r="AJ64" s="42"/>
      <c r="AK64" s="91">
        <v>1200</v>
      </c>
      <c r="AL64" s="42"/>
      <c r="AM64" s="91">
        <v>1200</v>
      </c>
      <c r="AN64" s="42"/>
      <c r="AO64" s="91">
        <v>1200</v>
      </c>
      <c r="AP64" s="42"/>
      <c r="AQ64" s="91">
        <v>1200</v>
      </c>
      <c r="AR64" s="42"/>
      <c r="AS64" s="91">
        <v>1200</v>
      </c>
      <c r="AT64" s="42"/>
      <c r="AU64" s="91">
        <v>1200</v>
      </c>
      <c r="AV64" s="42"/>
      <c r="AW64" s="91">
        <v>1200</v>
      </c>
      <c r="AX64" s="359"/>
      <c r="AY64" s="91">
        <v>1200</v>
      </c>
      <c r="AZ64" s="359"/>
      <c r="BA64" s="91">
        <v>750</v>
      </c>
      <c r="BB64" s="359"/>
      <c r="BC64" s="91">
        <v>750</v>
      </c>
      <c r="BD64" s="359"/>
      <c r="BE64" s="91">
        <v>750</v>
      </c>
      <c r="BF64" s="359"/>
      <c r="BG64" s="91">
        <v>750</v>
      </c>
      <c r="BH64" s="359"/>
      <c r="BI64" s="91">
        <v>750</v>
      </c>
      <c r="BJ64" s="359"/>
      <c r="BK64" s="91">
        <v>750</v>
      </c>
      <c r="BL64" s="359"/>
      <c r="BM64" s="91">
        <v>750</v>
      </c>
      <c r="BN64" s="359"/>
      <c r="BO64" s="91">
        <v>750</v>
      </c>
      <c r="BP64" s="359"/>
      <c r="BQ64" s="91">
        <v>750</v>
      </c>
      <c r="BR64" s="359"/>
      <c r="BS64" s="91">
        <v>750</v>
      </c>
      <c r="BT64" s="359"/>
      <c r="BU64" s="91">
        <v>750</v>
      </c>
      <c r="BV64" s="359"/>
      <c r="BW64" s="91">
        <v>750</v>
      </c>
      <c r="BX64" s="545"/>
      <c r="BY64" s="545"/>
      <c r="BZ64" s="545"/>
      <c r="CA64" s="545"/>
      <c r="CB64" s="1361" t="s">
        <v>386</v>
      </c>
      <c r="CC64" s="1362"/>
    </row>
    <row r="65" spans="1:81" s="97" customFormat="1" ht="18" customHeight="1" outlineLevel="2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0.25</v>
      </c>
      <c r="H65" s="95"/>
      <c r="I65" s="96">
        <f t="shared" ref="I65" si="571">+I64/I66</f>
        <v>0.25</v>
      </c>
      <c r="J65" s="95"/>
      <c r="K65" s="96">
        <f t="shared" ref="K65" si="572">+K64/K66</f>
        <v>0.25</v>
      </c>
      <c r="L65" s="95"/>
      <c r="M65" s="96">
        <f t="shared" ref="M65" si="573">+M64/M66</f>
        <v>0.25</v>
      </c>
      <c r="N65" s="95"/>
      <c r="O65" s="96">
        <f t="shared" ref="O65" si="574">+O64/O66</f>
        <v>0.25</v>
      </c>
      <c r="P65" s="95"/>
      <c r="Q65" s="96">
        <f t="shared" ref="Q65" si="575">+Q64/Q66</f>
        <v>0.25</v>
      </c>
      <c r="R65" s="95"/>
      <c r="S65" s="96">
        <f t="shared" ref="S65" si="576">+S64/S66</f>
        <v>0.25</v>
      </c>
      <c r="T65" s="95"/>
      <c r="U65" s="96">
        <f t="shared" ref="U65" si="577">+U64/U66</f>
        <v>0.25</v>
      </c>
      <c r="V65" s="95"/>
      <c r="W65" s="96">
        <f t="shared" ref="W65" si="578">+W64/W66</f>
        <v>0.25</v>
      </c>
      <c r="X65" s="95"/>
      <c r="Y65" s="96">
        <f t="shared" ref="Y65" si="579">+Y64/Y66</f>
        <v>0.25</v>
      </c>
      <c r="Z65" s="95"/>
      <c r="AA65" s="96">
        <f t="shared" ref="AA65" si="580">+AA64/AA66</f>
        <v>0.25</v>
      </c>
      <c r="AB65" s="95"/>
      <c r="AC65" s="96">
        <f t="shared" ref="AC65" si="581">+AC64/AC66</f>
        <v>0.25</v>
      </c>
      <c r="AD65" s="95"/>
      <c r="AE65" s="96">
        <f t="shared" ref="AE65" si="582">+AE64/AE66</f>
        <v>0.25</v>
      </c>
      <c r="AF65" s="95"/>
      <c r="AG65" s="96">
        <f t="shared" ref="AG65" si="583">+AG64/AG66</f>
        <v>0.25</v>
      </c>
      <c r="AH65" s="95"/>
      <c r="AI65" s="96">
        <f t="shared" ref="AI65" si="584">+AI64/AI66</f>
        <v>0.25</v>
      </c>
      <c r="AJ65" s="95"/>
      <c r="AK65" s="96">
        <f t="shared" ref="AK65" si="585">+AK64/AK66</f>
        <v>0.25</v>
      </c>
      <c r="AL65" s="95"/>
      <c r="AM65" s="96">
        <f t="shared" ref="AM65" si="586">+AM64/AM66</f>
        <v>0.25</v>
      </c>
      <c r="AN65" s="95"/>
      <c r="AO65" s="96">
        <f t="shared" ref="AO65:AQ65" si="587">+AO64/AO66</f>
        <v>0.25</v>
      </c>
      <c r="AP65" s="95"/>
      <c r="AQ65" s="96">
        <f t="shared" si="587"/>
        <v>0.25</v>
      </c>
      <c r="AR65" s="95"/>
      <c r="AS65" s="96">
        <f t="shared" ref="AS65:AU65" si="588">+AS64/AS66</f>
        <v>0.25</v>
      </c>
      <c r="AT65" s="95"/>
      <c r="AU65" s="96">
        <f t="shared" si="588"/>
        <v>0.25</v>
      </c>
      <c r="AV65" s="95"/>
      <c r="AW65" s="96">
        <f t="shared" ref="AW65" si="589">+AW64/AW66</f>
        <v>0.25</v>
      </c>
      <c r="AX65" s="375"/>
      <c r="AY65" s="376">
        <f>+AY64/AY66</f>
        <v>0.25</v>
      </c>
      <c r="AZ65" s="375"/>
      <c r="BA65" s="376">
        <f>+BA64/BA66</f>
        <v>0.15625</v>
      </c>
      <c r="BB65" s="375"/>
      <c r="BC65" s="376">
        <f>+BC64/BC66</f>
        <v>0.15625</v>
      </c>
      <c r="BD65" s="375"/>
      <c r="BE65" s="376">
        <f>+BE64/BE66</f>
        <v>0.15625</v>
      </c>
      <c r="BF65" s="375"/>
      <c r="BG65" s="376">
        <f>+BG64/BG66</f>
        <v>0.15625</v>
      </c>
      <c r="BH65" s="375"/>
      <c r="BI65" s="376">
        <f>+BI64/BI66</f>
        <v>0.15625</v>
      </c>
      <c r="BJ65" s="375"/>
      <c r="BK65" s="376">
        <f>+BK64/BK66</f>
        <v>0.15625</v>
      </c>
      <c r="BL65" s="375"/>
      <c r="BM65" s="376">
        <f>+BM64/BM66</f>
        <v>0.15625</v>
      </c>
      <c r="BN65" s="375"/>
      <c r="BO65" s="376">
        <f>+BO64/BO66</f>
        <v>0.16230253191949795</v>
      </c>
      <c r="BP65" s="375"/>
      <c r="BQ65" s="376">
        <f>+BQ64/BQ66</f>
        <v>0.16230253191949795</v>
      </c>
      <c r="BR65" s="375"/>
      <c r="BS65" s="376">
        <f>+BS64/BS66</f>
        <v>0.16230253191949795</v>
      </c>
      <c r="BT65" s="375"/>
      <c r="BU65" s="376">
        <f>+BU64/BU66</f>
        <v>0.15625</v>
      </c>
      <c r="BV65" s="375"/>
      <c r="BW65" s="376">
        <f>+BW64/BW66</f>
        <v>0.16230253191949795</v>
      </c>
      <c r="BX65" s="545"/>
      <c r="BY65" s="545"/>
      <c r="BZ65" s="545"/>
      <c r="CA65" s="545"/>
      <c r="CB65" s="1363"/>
      <c r="CC65" s="1364"/>
    </row>
    <row r="66" spans="1:81" s="4" customFormat="1" ht="18" customHeight="1" outlineLevel="2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4800</v>
      </c>
      <c r="H66" s="42"/>
      <c r="I66" s="88">
        <v>4800</v>
      </c>
      <c r="J66" s="42"/>
      <c r="K66" s="88">
        <v>4800</v>
      </c>
      <c r="L66" s="42"/>
      <c r="M66" s="88">
        <v>4800</v>
      </c>
      <c r="N66" s="42"/>
      <c r="O66" s="88">
        <v>4800</v>
      </c>
      <c r="P66" s="42"/>
      <c r="Q66" s="88">
        <v>4800</v>
      </c>
      <c r="R66" s="42"/>
      <c r="S66" s="88">
        <v>4800</v>
      </c>
      <c r="T66" s="42"/>
      <c r="U66" s="88">
        <v>4800</v>
      </c>
      <c r="V66" s="42"/>
      <c r="W66" s="88">
        <v>4800</v>
      </c>
      <c r="X66" s="42"/>
      <c r="Y66" s="88">
        <v>4800</v>
      </c>
      <c r="Z66" s="42"/>
      <c r="AA66" s="88">
        <v>4800</v>
      </c>
      <c r="AB66" s="42"/>
      <c r="AC66" s="88">
        <v>4800</v>
      </c>
      <c r="AD66" s="42"/>
      <c r="AE66" s="88">
        <v>4800</v>
      </c>
      <c r="AF66" s="42"/>
      <c r="AG66" s="88">
        <v>4800</v>
      </c>
      <c r="AH66" s="42"/>
      <c r="AI66" s="88">
        <v>4800</v>
      </c>
      <c r="AJ66" s="42"/>
      <c r="AK66" s="88">
        <v>4800</v>
      </c>
      <c r="AL66" s="42"/>
      <c r="AM66" s="88">
        <v>4800</v>
      </c>
      <c r="AN66" s="42"/>
      <c r="AO66" s="88">
        <v>4800</v>
      </c>
      <c r="AP66" s="42"/>
      <c r="AQ66" s="88">
        <v>4800</v>
      </c>
      <c r="AR66" s="42"/>
      <c r="AS66" s="88">
        <v>4800</v>
      </c>
      <c r="AT66" s="42"/>
      <c r="AU66" s="88">
        <v>4800</v>
      </c>
      <c r="AV66" s="42"/>
      <c r="AW66" s="88">
        <v>4800</v>
      </c>
      <c r="AX66" s="359"/>
      <c r="AY66" s="372">
        <v>4800</v>
      </c>
      <c r="AZ66" s="359"/>
      <c r="BA66" s="372">
        <v>4800</v>
      </c>
      <c r="BB66" s="359"/>
      <c r="BC66" s="372">
        <v>4800</v>
      </c>
      <c r="BD66" s="359"/>
      <c r="BE66" s="372">
        <v>4800</v>
      </c>
      <c r="BF66" s="359"/>
      <c r="BG66" s="372">
        <v>4800</v>
      </c>
      <c r="BH66" s="359"/>
      <c r="BI66" s="372">
        <v>4800</v>
      </c>
      <c r="BJ66" s="359"/>
      <c r="BK66" s="372">
        <v>4800</v>
      </c>
      <c r="BL66" s="359"/>
      <c r="BM66" s="372">
        <v>4800</v>
      </c>
      <c r="BN66" s="359"/>
      <c r="BO66" s="372">
        <v>4621</v>
      </c>
      <c r="BP66" s="359"/>
      <c r="BQ66" s="372">
        <v>4621</v>
      </c>
      <c r="BR66" s="359"/>
      <c r="BS66" s="372">
        <v>4621</v>
      </c>
      <c r="BT66" s="359"/>
      <c r="BU66" s="372">
        <v>4800</v>
      </c>
      <c r="BV66" s="359"/>
      <c r="BW66" s="372">
        <v>4621</v>
      </c>
      <c r="BX66" s="545"/>
      <c r="BY66" s="545"/>
      <c r="BZ66" s="545"/>
      <c r="CA66" s="545"/>
      <c r="CB66" s="1363"/>
      <c r="CC66" s="1364"/>
    </row>
    <row r="67" spans="1:81" s="7" customFormat="1" ht="18" customHeight="1" outlineLevel="2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4.13</v>
      </c>
      <c r="H67" s="81"/>
      <c r="I67" s="82">
        <v>4.13</v>
      </c>
      <c r="J67" s="81"/>
      <c r="K67" s="82">
        <v>4.13</v>
      </c>
      <c r="L67" s="81"/>
      <c r="M67" s="82">
        <v>4.13</v>
      </c>
      <c r="N67" s="81"/>
      <c r="O67" s="82">
        <v>4.13</v>
      </c>
      <c r="P67" s="81"/>
      <c r="Q67" s="82">
        <v>4.13</v>
      </c>
      <c r="R67" s="81"/>
      <c r="S67" s="82">
        <v>4.13</v>
      </c>
      <c r="T67" s="81"/>
      <c r="U67" s="82">
        <v>4.13</v>
      </c>
      <c r="V67" s="81"/>
      <c r="W67" s="82">
        <v>4.13</v>
      </c>
      <c r="X67" s="81"/>
      <c r="Y67" s="82">
        <v>4.13</v>
      </c>
      <c r="Z67" s="81"/>
      <c r="AA67" s="82">
        <v>4.13</v>
      </c>
      <c r="AB67" s="81"/>
      <c r="AC67" s="82">
        <v>4.13</v>
      </c>
      <c r="AD67" s="81"/>
      <c r="AE67" s="82">
        <v>4.13</v>
      </c>
      <c r="AF67" s="81"/>
      <c r="AG67" s="82">
        <v>4.13</v>
      </c>
      <c r="AH67" s="81"/>
      <c r="AI67" s="82">
        <v>4.13</v>
      </c>
      <c r="AJ67" s="81"/>
      <c r="AK67" s="82">
        <v>4.13</v>
      </c>
      <c r="AL67" s="81"/>
      <c r="AM67" s="82">
        <v>4.13</v>
      </c>
      <c r="AN67" s="81"/>
      <c r="AO67" s="82">
        <v>4.13</v>
      </c>
      <c r="AP67" s="81"/>
      <c r="AQ67" s="82">
        <v>4.13</v>
      </c>
      <c r="AR67" s="81"/>
      <c r="AS67" s="82">
        <v>4.13</v>
      </c>
      <c r="AT67" s="81"/>
      <c r="AU67" s="82">
        <v>4.13</v>
      </c>
      <c r="AV67" s="81"/>
      <c r="AW67" s="82">
        <v>4.13</v>
      </c>
      <c r="AX67" s="81"/>
      <c r="AY67" s="82">
        <v>4.0999999999999996</v>
      </c>
      <c r="AZ67" s="81"/>
      <c r="BA67" s="82">
        <v>4.0999999999999996</v>
      </c>
      <c r="BB67" s="81"/>
      <c r="BC67" s="82">
        <v>4.0999999999999996</v>
      </c>
      <c r="BD67" s="81"/>
      <c r="BE67" s="82">
        <f>4.1+0.15</f>
        <v>4.25</v>
      </c>
      <c r="BF67" s="81"/>
      <c r="BG67" s="82">
        <f>4.1+0.15</f>
        <v>4.25</v>
      </c>
      <c r="BH67" s="81"/>
      <c r="BI67" s="82">
        <f>4.1+0.15</f>
        <v>4.25</v>
      </c>
      <c r="BJ67" s="81"/>
      <c r="BK67" s="82">
        <f>4.1+0.15</f>
        <v>4.25</v>
      </c>
      <c r="BL67" s="81"/>
      <c r="BM67" s="82">
        <f>4.1+0.15</f>
        <v>4.25</v>
      </c>
      <c r="BN67" s="81"/>
      <c r="BO67" s="82">
        <f>4.1+0.15</f>
        <v>4.25</v>
      </c>
      <c r="BP67" s="81"/>
      <c r="BQ67" s="82">
        <f>4.1+0.15</f>
        <v>4.25</v>
      </c>
      <c r="BR67" s="81"/>
      <c r="BS67" s="82">
        <f>4.1+0.15</f>
        <v>4.25</v>
      </c>
      <c r="BT67" s="81"/>
      <c r="BU67" s="82">
        <f>4.1+0.15</f>
        <v>4.25</v>
      </c>
      <c r="BV67" s="81"/>
      <c r="BW67" s="82">
        <f>4.1+0.15</f>
        <v>4.25</v>
      </c>
      <c r="BX67" s="545"/>
      <c r="BY67" s="545"/>
      <c r="BZ67" s="545"/>
      <c r="CA67" s="545"/>
      <c r="CB67" s="1365"/>
      <c r="CC67" s="1366"/>
    </row>
    <row r="68" spans="1:81" s="7" customFormat="1" ht="18" customHeight="1" outlineLevel="2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3.0999999999999996</v>
      </c>
      <c r="H68" s="81"/>
      <c r="I68" s="82">
        <f t="shared" ref="I68" si="590">I56-I65</f>
        <v>3.0999999999999996</v>
      </c>
      <c r="J68" s="81"/>
      <c r="K68" s="82">
        <f t="shared" ref="K68" si="591">K56-K65</f>
        <v>3.0999999999999996</v>
      </c>
      <c r="L68" s="81"/>
      <c r="M68" s="82">
        <f t="shared" ref="M68" si="592">M56-M65</f>
        <v>3.0999999999999996</v>
      </c>
      <c r="N68" s="81"/>
      <c r="O68" s="82">
        <f t="shared" ref="O68" si="593">O56-O65</f>
        <v>3.0999999999999996</v>
      </c>
      <c r="P68" s="81"/>
      <c r="Q68" s="82">
        <f t="shared" ref="Q68" si="594">Q56-Q65</f>
        <v>3.0999999999999996</v>
      </c>
      <c r="R68" s="81"/>
      <c r="S68" s="82">
        <f t="shared" ref="S68" si="595">S56-S65</f>
        <v>3.0999999999999996</v>
      </c>
      <c r="T68" s="81"/>
      <c r="U68" s="82">
        <f t="shared" ref="U68" si="596">U56-U65</f>
        <v>3.0999999999999996</v>
      </c>
      <c r="V68" s="81"/>
      <c r="W68" s="82">
        <f t="shared" ref="W68" si="597">W56-W65</f>
        <v>3.0999999999999996</v>
      </c>
      <c r="X68" s="81"/>
      <c r="Y68" s="82">
        <f t="shared" ref="Y68" si="598">Y56-Y65</f>
        <v>3.0999999999999996</v>
      </c>
      <c r="Z68" s="81"/>
      <c r="AA68" s="82">
        <f t="shared" ref="AA68" si="599">AA56-AA65</f>
        <v>3.0999999999999996</v>
      </c>
      <c r="AB68" s="81"/>
      <c r="AC68" s="82">
        <f t="shared" ref="AC68:AI68" si="600">AC56-AC65</f>
        <v>3.2434634260341202</v>
      </c>
      <c r="AD68" s="81"/>
      <c r="AE68" s="82">
        <f t="shared" si="600"/>
        <v>3.0999999999999996</v>
      </c>
      <c r="AF68" s="81"/>
      <c r="AG68" s="82">
        <f t="shared" si="600"/>
        <v>3.0999999999999996</v>
      </c>
      <c r="AH68" s="81"/>
      <c r="AI68" s="82">
        <f t="shared" si="600"/>
        <v>3.0999999999999996</v>
      </c>
      <c r="AJ68" s="81"/>
      <c r="AK68" s="82">
        <f t="shared" ref="AK68" si="601">AK56-AK65</f>
        <v>3.0999999999999996</v>
      </c>
      <c r="AL68" s="81"/>
      <c r="AM68" s="82">
        <f t="shared" ref="AM68" si="602">AM56-AM65</f>
        <v>3.0999999999999996</v>
      </c>
      <c r="AN68" s="81"/>
      <c r="AO68" s="82">
        <f t="shared" ref="AO68:AQ68" si="603">AO56-AO65</f>
        <v>3.0999999999999996</v>
      </c>
      <c r="AP68" s="81"/>
      <c r="AQ68" s="82">
        <f t="shared" si="603"/>
        <v>3.0999999999999996</v>
      </c>
      <c r="AR68" s="81"/>
      <c r="AS68" s="82">
        <f t="shared" ref="AS68:AU68" si="604">AS56-AS65</f>
        <v>3.0999999999999996</v>
      </c>
      <c r="AT68" s="81"/>
      <c r="AU68" s="82">
        <f t="shared" si="604"/>
        <v>2.8</v>
      </c>
      <c r="AV68" s="81"/>
      <c r="AW68" s="82">
        <f t="shared" ref="AW68" si="605">AW56-AW65</f>
        <v>2.8</v>
      </c>
      <c r="AX68" s="81"/>
      <c r="AY68" s="82">
        <f>AY60-AY57</f>
        <v>3.3514364999999993</v>
      </c>
      <c r="AZ68" s="81"/>
      <c r="BA68" s="82">
        <f>BA60-BA57</f>
        <v>3.3476864999999991</v>
      </c>
      <c r="BB68" s="81"/>
      <c r="BC68" s="82">
        <f>BC60-BC57</f>
        <v>3.3476864999999991</v>
      </c>
      <c r="BD68" s="81"/>
      <c r="BE68" s="82">
        <f>BE60-BE57</f>
        <v>3.3501062500000005</v>
      </c>
      <c r="BF68" s="81"/>
      <c r="BG68" s="82">
        <f>BG60-BG57</f>
        <v>3.3501062500000005</v>
      </c>
      <c r="BH68" s="81"/>
      <c r="BI68" s="82">
        <f>BI60-BI57</f>
        <v>3.3501062500000005</v>
      </c>
      <c r="BJ68" s="81"/>
      <c r="BK68" s="82">
        <f>BK60-BK57</f>
        <v>3.3501062500000005</v>
      </c>
      <c r="BL68" s="81"/>
      <c r="BM68" s="82">
        <f>BM60-BM57</f>
        <v>3.3501062500000005</v>
      </c>
      <c r="BN68" s="81"/>
      <c r="BO68" s="82">
        <f>BO60-BO57</f>
        <v>3.3471587819194983</v>
      </c>
      <c r="BP68" s="81"/>
      <c r="BQ68" s="82">
        <f>BQ60-BQ57</f>
        <v>3.3471587819194983</v>
      </c>
      <c r="BR68" s="81"/>
      <c r="BS68" s="82">
        <f>BS60-BS57</f>
        <v>3.3471587819194983</v>
      </c>
      <c r="BT68" s="81"/>
      <c r="BU68" s="82">
        <f>BU60-BU57</f>
        <v>3.3501062500000005</v>
      </c>
      <c r="BV68" s="81"/>
      <c r="BW68" s="82">
        <f>BW60-BW57</f>
        <v>3.3537177819194985</v>
      </c>
      <c r="BX68" s="545"/>
      <c r="BY68" s="545"/>
      <c r="BZ68" s="545"/>
      <c r="CA68" s="545"/>
    </row>
    <row r="69" spans="1:81" s="103" customFormat="1" ht="18" customHeight="1" outlineLevel="2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0.34416666666666668</v>
      </c>
      <c r="H69" s="101"/>
      <c r="I69" s="102">
        <f t="shared" ref="I69" si="606">+I67/I10</f>
        <v>0.34416666666666668</v>
      </c>
      <c r="J69" s="101"/>
      <c r="K69" s="102">
        <f t="shared" ref="K69" si="607">+K67/K10</f>
        <v>0.34416666666666668</v>
      </c>
      <c r="L69" s="101"/>
      <c r="M69" s="102">
        <f t="shared" ref="M69" si="608">+M67/M10</f>
        <v>0.34416666666666668</v>
      </c>
      <c r="N69" s="101"/>
      <c r="O69" s="102">
        <f t="shared" ref="O69" si="609">+O67/O10</f>
        <v>0.34416666666666668</v>
      </c>
      <c r="P69" s="101"/>
      <c r="Q69" s="102">
        <f t="shared" ref="Q69" si="610">+Q67/Q10</f>
        <v>0.34416666666666668</v>
      </c>
      <c r="R69" s="101"/>
      <c r="S69" s="102">
        <f t="shared" ref="S69" si="611">+S67/S10</f>
        <v>0.34416666666666668</v>
      </c>
      <c r="T69" s="101"/>
      <c r="U69" s="102">
        <f t="shared" ref="U69" si="612">+U67/U10</f>
        <v>0.34416666666666668</v>
      </c>
      <c r="V69" s="101"/>
      <c r="W69" s="102">
        <f t="shared" ref="W69" si="613">+W67/W10</f>
        <v>0.34416666666666668</v>
      </c>
      <c r="X69" s="101"/>
      <c r="Y69" s="102">
        <f t="shared" ref="Y69" si="614">+Y67/Y10</f>
        <v>0.34416666666666668</v>
      </c>
      <c r="Z69" s="101"/>
      <c r="AA69" s="102">
        <f t="shared" ref="AA69" si="615">+AA67/AA10</f>
        <v>0.34416666666666668</v>
      </c>
      <c r="AB69" s="101"/>
      <c r="AC69" s="102">
        <f t="shared" ref="AC69:AI69" si="616">+AC67/AC10</f>
        <v>0.34416666666666668</v>
      </c>
      <c r="AD69" s="101"/>
      <c r="AE69" s="102">
        <f t="shared" si="616"/>
        <v>0.34416666666666668</v>
      </c>
      <c r="AF69" s="101"/>
      <c r="AG69" s="102">
        <f t="shared" si="616"/>
        <v>0.34416666666666668</v>
      </c>
      <c r="AH69" s="101"/>
      <c r="AI69" s="102">
        <f t="shared" si="616"/>
        <v>0.34416666666666668</v>
      </c>
      <c r="AJ69" s="101"/>
      <c r="AK69" s="102">
        <f t="shared" ref="AK69" si="617">+AK67/AK10</f>
        <v>0.34416666666666668</v>
      </c>
      <c r="AL69" s="101"/>
      <c r="AM69" s="102">
        <f t="shared" ref="AM69" si="618">+AM67/AM10</f>
        <v>0.34416666666666668</v>
      </c>
      <c r="AN69" s="101"/>
      <c r="AO69" s="102">
        <f t="shared" ref="AO69:AQ69" si="619">+AO67/AO10</f>
        <v>0.34416666666666668</v>
      </c>
      <c r="AP69" s="101"/>
      <c r="AQ69" s="102">
        <f t="shared" si="619"/>
        <v>0.34416666666666668</v>
      </c>
      <c r="AR69" s="101"/>
      <c r="AS69" s="102">
        <f t="shared" ref="AS69:AU69" si="620">+AS67/AS10</f>
        <v>0.34416666666666668</v>
      </c>
      <c r="AT69" s="101"/>
      <c r="AU69" s="102">
        <f t="shared" si="620"/>
        <v>0.34416666666666668</v>
      </c>
      <c r="AV69" s="101"/>
      <c r="AW69" s="102">
        <f t="shared" ref="AW69" si="621">+AW67/AW10</f>
        <v>0.34416666666666668</v>
      </c>
      <c r="AX69" s="101"/>
      <c r="AY69" s="102">
        <f>+AY67/AY10</f>
        <v>0.34166666666666662</v>
      </c>
      <c r="AZ69" s="101"/>
      <c r="BA69" s="102">
        <f>+BA67/BA10</f>
        <v>0.34166666666666662</v>
      </c>
      <c r="BB69" s="101"/>
      <c r="BC69" s="102">
        <f>+BC67/BC10</f>
        <v>0.34166666666666662</v>
      </c>
      <c r="BD69" s="101"/>
      <c r="BE69" s="102">
        <f>+BE67/BE10</f>
        <v>0.35416666666666669</v>
      </c>
      <c r="BF69" s="101"/>
      <c r="BG69" s="102">
        <f>+BG67/BG10</f>
        <v>0.35416666666666669</v>
      </c>
      <c r="BH69" s="101"/>
      <c r="BI69" s="102">
        <f>+BI67/BI10</f>
        <v>0.35416666666666669</v>
      </c>
      <c r="BJ69" s="101"/>
      <c r="BK69" s="102">
        <f>+BK67/BK10</f>
        <v>0.35416666666666669</v>
      </c>
      <c r="BL69" s="101"/>
      <c r="BM69" s="102">
        <f>+BM67/BM10</f>
        <v>0.35416666666666669</v>
      </c>
      <c r="BN69" s="101"/>
      <c r="BO69" s="102">
        <f>+BO67/BO10</f>
        <v>0.35416666666666669</v>
      </c>
      <c r="BP69" s="101"/>
      <c r="BQ69" s="102">
        <f>+BQ67/BQ10</f>
        <v>0.35416666666666669</v>
      </c>
      <c r="BR69" s="101"/>
      <c r="BS69" s="102">
        <f>+BS67/BS10</f>
        <v>0.35416666666666669</v>
      </c>
      <c r="BT69" s="101"/>
      <c r="BU69" s="102">
        <f>+BU67/BU10</f>
        <v>0.35416666666666669</v>
      </c>
      <c r="BV69" s="101"/>
      <c r="BW69" s="102">
        <f>+BW67/BW10</f>
        <v>0.35416666666666669</v>
      </c>
      <c r="BX69" s="545"/>
      <c r="BY69" s="545"/>
      <c r="BZ69" s="545"/>
      <c r="CA69" s="545"/>
    </row>
    <row r="70" spans="1:81" s="4" customFormat="1" ht="18" customHeight="1" outlineLevel="2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106"/>
      <c r="O70" s="107"/>
      <c r="P70" s="106"/>
      <c r="Q70" s="107"/>
      <c r="R70" s="106"/>
      <c r="S70" s="107"/>
      <c r="T70" s="106"/>
      <c r="U70" s="107"/>
      <c r="V70" s="106"/>
      <c r="W70" s="107"/>
      <c r="X70" s="106"/>
      <c r="Y70" s="107"/>
      <c r="Z70" s="106"/>
      <c r="AA70" s="107"/>
      <c r="AB70" s="106"/>
      <c r="AC70" s="107"/>
      <c r="AD70" s="106"/>
      <c r="AE70" s="107"/>
      <c r="AF70" s="106"/>
      <c r="AG70" s="107"/>
      <c r="AH70" s="106"/>
      <c r="AI70" s="107"/>
      <c r="AJ70" s="106"/>
      <c r="AK70" s="107"/>
      <c r="AL70" s="106"/>
      <c r="AM70" s="107"/>
      <c r="AN70" s="106"/>
      <c r="AO70" s="107"/>
      <c r="AP70" s="106"/>
      <c r="AQ70" s="107"/>
      <c r="AR70" s="106"/>
      <c r="AS70" s="107"/>
      <c r="AT70" s="106"/>
      <c r="AU70" s="107"/>
      <c r="AV70" s="106"/>
      <c r="AW70" s="107"/>
      <c r="AX70" s="377"/>
      <c r="AY70" s="378"/>
      <c r="AZ70" s="377"/>
      <c r="BA70" s="378"/>
      <c r="BB70" s="377"/>
      <c r="BC70" s="378"/>
      <c r="BD70" s="377"/>
      <c r="BE70" s="378"/>
      <c r="BF70" s="377"/>
      <c r="BG70" s="378"/>
      <c r="BH70" s="377"/>
      <c r="BI70" s="378"/>
      <c r="BJ70" s="377"/>
      <c r="BK70" s="378"/>
      <c r="BL70" s="377"/>
      <c r="BM70" s="378"/>
      <c r="BN70" s="377"/>
      <c r="BO70" s="378"/>
      <c r="BP70" s="377"/>
      <c r="BQ70" s="378"/>
      <c r="BR70" s="377"/>
      <c r="BS70" s="378"/>
      <c r="BT70" s="377"/>
      <c r="BU70" s="378"/>
      <c r="BV70" s="377"/>
      <c r="BW70" s="378"/>
      <c r="BX70" s="545"/>
      <c r="BY70" s="545"/>
      <c r="BZ70" s="545"/>
      <c r="CA70" s="545"/>
    </row>
    <row r="71" spans="1:81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2.6321636936412749</v>
      </c>
      <c r="H71" s="111"/>
      <c r="I71" s="112">
        <f t="shared" ref="I71" si="622">I74+I72</f>
        <v>2.7731379431141159</v>
      </c>
      <c r="J71" s="111"/>
      <c r="K71" s="112">
        <f t="shared" ref="K71" si="623">K74+K72</f>
        <v>2.7888729696645194</v>
      </c>
      <c r="L71" s="111"/>
      <c r="M71" s="112">
        <f t="shared" ref="M71" si="624">M74+M72</f>
        <v>2.7832685224048026</v>
      </c>
      <c r="N71" s="111"/>
      <c r="O71" s="112">
        <f t="shared" ref="O71" si="625">O74+O72</f>
        <v>3.0626421242258033</v>
      </c>
      <c r="P71" s="111"/>
      <c r="Q71" s="112">
        <f t="shared" ref="Q71" si="626">Q74+Q72</f>
        <v>2.8483807139658475</v>
      </c>
      <c r="R71" s="111"/>
      <c r="S71" s="112">
        <f t="shared" ref="S71" si="627">S74+S72</f>
        <v>2.9499839530282932</v>
      </c>
      <c r="T71" s="111"/>
      <c r="U71" s="112">
        <f t="shared" ref="U71" si="628">U74+U72</f>
        <v>2.841120156500335</v>
      </c>
      <c r="V71" s="111"/>
      <c r="W71" s="112">
        <f t="shared" ref="W71" si="629">W74+W72</f>
        <v>2.6814020034459154</v>
      </c>
      <c r="X71" s="111"/>
      <c r="Y71" s="112">
        <f t="shared" ref="Y71" si="630">Y74+Y72</f>
        <v>2.6639262637453816</v>
      </c>
      <c r="Z71" s="111"/>
      <c r="AA71" s="112">
        <f t="shared" ref="AA71" si="631">AA74+AA72</f>
        <v>2.6365944774294792</v>
      </c>
      <c r="AB71" s="111"/>
      <c r="AC71" s="112">
        <f t="shared" ref="AC71" si="632">AC74+AC72</f>
        <v>2.4731286226689022</v>
      </c>
      <c r="AD71" s="111"/>
      <c r="AE71" s="112">
        <f t="shared" ref="AE71" si="633">AE74+AE72</f>
        <v>2.4692732458435036</v>
      </c>
      <c r="AF71" s="111"/>
      <c r="AG71" s="112">
        <f t="shared" ref="AG71" si="634">AG74+AG72</f>
        <v>2.6807325290912183</v>
      </c>
      <c r="AH71" s="111"/>
      <c r="AI71" s="112">
        <f t="shared" ref="AI71" si="635">AI74+AI72</f>
        <v>2.4368727957320435</v>
      </c>
      <c r="AJ71" s="111"/>
      <c r="AK71" s="112">
        <f t="shared" ref="AK71" si="636">AK74+AK72</f>
        <v>2.9285253047884545</v>
      </c>
      <c r="AL71" s="111"/>
      <c r="AM71" s="112">
        <f t="shared" ref="AM71" si="637">AM74+AM72</f>
        <v>2.6130343614573626</v>
      </c>
      <c r="AN71" s="111"/>
      <c r="AO71" s="112">
        <f t="shared" ref="AO71:AQ71" si="638">AO74+AO72</f>
        <v>2.4329129006518428</v>
      </c>
      <c r="AP71" s="111"/>
      <c r="AQ71" s="112">
        <f t="shared" si="638"/>
        <v>2.4034701155880058</v>
      </c>
      <c r="AR71" s="111"/>
      <c r="AS71" s="112">
        <f t="shared" ref="AS71:AU71" si="639">AS74+AS72</f>
        <v>2.3473017575888764</v>
      </c>
      <c r="AT71" s="111"/>
      <c r="AU71" s="112">
        <f t="shared" si="639"/>
        <v>2.3488174222993954</v>
      </c>
      <c r="AV71" s="111"/>
      <c r="AW71" s="112">
        <f t="shared" ref="AW71" si="640">AW74+AW72</f>
        <v>2.2418293820590685</v>
      </c>
      <c r="AX71" s="111"/>
      <c r="AY71" s="112">
        <f>AY74+AY72</f>
        <v>2.2458090445262586</v>
      </c>
      <c r="AZ71" s="111"/>
      <c r="BA71" s="112">
        <f>BA74+BA72</f>
        <v>2.2360052699300361</v>
      </c>
      <c r="BB71" s="111"/>
      <c r="BC71" s="112">
        <f>BC74+BC72</f>
        <v>2.1530127201704579</v>
      </c>
      <c r="BD71" s="111"/>
      <c r="BE71" s="112">
        <f>BE74+BE72</f>
        <v>2.2498835154845933</v>
      </c>
      <c r="BF71" s="111"/>
      <c r="BG71" s="112">
        <f>BG74+BG72</f>
        <v>2.37461858042303</v>
      </c>
      <c r="BH71" s="111"/>
      <c r="BI71" s="112">
        <f>BI74+BI72</f>
        <v>2.4135050757255647</v>
      </c>
      <c r="BJ71" s="111"/>
      <c r="BK71" s="112">
        <f>BK74+BK72</f>
        <v>2.3246498976484311</v>
      </c>
      <c r="BL71" s="111"/>
      <c r="BM71" s="112">
        <f>BM74+BM72</f>
        <v>2.4838110684990635</v>
      </c>
      <c r="BN71" s="111"/>
      <c r="BO71" s="112">
        <f>BO74+BO72</f>
        <v>2.366146597450534</v>
      </c>
      <c r="BP71" s="111"/>
      <c r="BQ71" s="112">
        <f>BQ74+BQ72</f>
        <v>2.2846298741768747</v>
      </c>
      <c r="BR71" s="111"/>
      <c r="BS71" s="112">
        <f>BS74+BS72</f>
        <v>2.2575519055769644</v>
      </c>
      <c r="BT71" s="111"/>
      <c r="BU71" s="112">
        <f>BU74+BU72</f>
        <v>2.3615434478703476</v>
      </c>
      <c r="BV71" s="111"/>
      <c r="BW71" s="112">
        <f>BW74+BW72</f>
        <v>2.4653333941497086</v>
      </c>
      <c r="BX71" s="545"/>
      <c r="BY71" s="545"/>
      <c r="BZ71" s="545"/>
      <c r="CA71" s="545"/>
    </row>
    <row r="72" spans="1:81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3.2174117587233694E-2</v>
      </c>
      <c r="H72" s="116"/>
      <c r="I72" s="117">
        <v>4.2385511597152363E-2</v>
      </c>
      <c r="J72" s="116"/>
      <c r="K72" s="117">
        <v>4.7008795934724318E-2</v>
      </c>
      <c r="L72" s="116"/>
      <c r="M72" s="117">
        <v>3.27102564144914E-2</v>
      </c>
      <c r="N72" s="116"/>
      <c r="O72" s="117">
        <v>3.9379634930487628E-2</v>
      </c>
      <c r="P72" s="116"/>
      <c r="Q72" s="117">
        <v>5.5289409910073459E-2</v>
      </c>
      <c r="R72" s="116"/>
      <c r="S72" s="117">
        <v>3.7026555104111576E-2</v>
      </c>
      <c r="T72" s="116"/>
      <c r="U72" s="117">
        <v>4.6053911221776087E-2</v>
      </c>
      <c r="V72" s="116"/>
      <c r="W72" s="117">
        <v>3.6437002896041883E-2</v>
      </c>
      <c r="X72" s="116"/>
      <c r="Y72" s="117">
        <v>3.6232045313884506E-2</v>
      </c>
      <c r="Z72" s="116"/>
      <c r="AA72" s="117">
        <v>3.762920411638352E-2</v>
      </c>
      <c r="AB72" s="116"/>
      <c r="AC72" s="117">
        <v>3.7290225820679868E-2</v>
      </c>
      <c r="AD72" s="116"/>
      <c r="AE72" s="117">
        <v>3.7674571848760982E-2</v>
      </c>
      <c r="AF72" s="116"/>
      <c r="AG72" s="117">
        <v>3.5916699060394838E-2</v>
      </c>
      <c r="AH72" s="116"/>
      <c r="AI72" s="117">
        <v>3.4515512472343586E-2</v>
      </c>
      <c r="AJ72" s="116"/>
      <c r="AK72" s="117">
        <v>3.8525334961093421E-2</v>
      </c>
      <c r="AL72" s="116"/>
      <c r="AM72" s="117">
        <v>3.4823995077044194E-2</v>
      </c>
      <c r="AN72" s="116"/>
      <c r="AO72" s="117">
        <v>3.9421599686285703E-2</v>
      </c>
      <c r="AP72" s="116"/>
      <c r="AQ72" s="117">
        <v>3.4949016182977286E-2</v>
      </c>
      <c r="AR72" s="116"/>
      <c r="AS72" s="117">
        <v>3.4515512472343586E-2</v>
      </c>
      <c r="AT72" s="116"/>
      <c r="AU72" s="117">
        <v>3.6031177182862521E-2</v>
      </c>
      <c r="AV72" s="116"/>
      <c r="AW72" s="117">
        <v>3.8316601674487173E-2</v>
      </c>
      <c r="AX72" s="116"/>
      <c r="AY72" s="117">
        <v>3.5809044526258701E-2</v>
      </c>
      <c r="AZ72" s="116"/>
      <c r="BA72" s="117">
        <v>3.6005269930035902E-2</v>
      </c>
      <c r="BB72" s="116"/>
      <c r="BC72" s="117">
        <v>3.7697373382267897E-2</v>
      </c>
      <c r="BD72" s="116"/>
      <c r="BE72" s="117">
        <v>3.3479972935498398E-2</v>
      </c>
      <c r="BF72" s="116"/>
      <c r="BG72" s="117">
        <v>3.5914039310999103E-2</v>
      </c>
      <c r="BH72" s="116"/>
      <c r="BI72" s="117">
        <v>3.5914039310999103E-2</v>
      </c>
      <c r="BJ72" s="116"/>
      <c r="BK72" s="117">
        <v>3.5914039310999103E-2</v>
      </c>
      <c r="BL72" s="116"/>
      <c r="BM72" s="117">
        <v>3.5914039310999103E-2</v>
      </c>
      <c r="BN72" s="116"/>
      <c r="BO72" s="117">
        <v>3.5914039310999103E-2</v>
      </c>
      <c r="BP72" s="116"/>
      <c r="BQ72" s="117">
        <v>3.5914039310999103E-2</v>
      </c>
      <c r="BR72" s="116"/>
      <c r="BS72" s="117">
        <v>3.5914039310999103E-2</v>
      </c>
      <c r="BT72" s="116"/>
      <c r="BU72" s="117">
        <v>3.5914039310999103E-2</v>
      </c>
      <c r="BV72" s="116"/>
      <c r="BW72" s="117">
        <v>3.5914039310999103E-2</v>
      </c>
      <c r="BX72" s="545"/>
      <c r="BY72" s="545"/>
      <c r="BZ72" s="545"/>
      <c r="CA72" s="545"/>
    </row>
    <row r="73" spans="1:81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42"/>
      <c r="K73" s="118"/>
      <c r="L73" s="42"/>
      <c r="M73" s="118"/>
      <c r="N73" s="42"/>
      <c r="O73" s="118"/>
      <c r="P73" s="42"/>
      <c r="Q73" s="118"/>
      <c r="R73" s="42"/>
      <c r="S73" s="118"/>
      <c r="T73" s="42"/>
      <c r="U73" s="118"/>
      <c r="V73" s="42"/>
      <c r="W73" s="118"/>
      <c r="X73" s="42"/>
      <c r="Y73" s="118"/>
      <c r="Z73" s="42"/>
      <c r="AA73" s="118"/>
      <c r="AB73" s="42"/>
      <c r="AC73" s="118"/>
      <c r="AD73" s="42"/>
      <c r="AE73" s="118"/>
      <c r="AF73" s="42"/>
      <c r="AG73" s="118"/>
      <c r="AH73" s="42"/>
      <c r="AI73" s="118"/>
      <c r="AJ73" s="42"/>
      <c r="AK73" s="118"/>
      <c r="AL73" s="42"/>
      <c r="AM73" s="118"/>
      <c r="AN73" s="42"/>
      <c r="AO73" s="118"/>
      <c r="AP73" s="42"/>
      <c r="AQ73" s="118"/>
      <c r="AR73" s="42"/>
      <c r="AS73" s="118"/>
      <c r="AT73" s="42"/>
      <c r="AU73" s="118"/>
      <c r="AV73" s="42"/>
      <c r="AW73" s="118"/>
      <c r="AX73" s="359"/>
      <c r="AY73" s="379"/>
      <c r="AZ73" s="359"/>
      <c r="BA73" s="379"/>
      <c r="BB73" s="359"/>
      <c r="BC73" s="379"/>
      <c r="BD73" s="359"/>
      <c r="BE73" s="379"/>
      <c r="BF73" s="359"/>
      <c r="BG73" s="379"/>
      <c r="BH73" s="359"/>
      <c r="BI73" s="379"/>
      <c r="BJ73" s="359"/>
      <c r="BK73" s="379"/>
      <c r="BL73" s="359"/>
      <c r="BM73" s="379"/>
      <c r="BN73" s="359"/>
      <c r="BO73" s="379"/>
      <c r="BP73" s="359"/>
      <c r="BQ73" s="379"/>
      <c r="BR73" s="359"/>
      <c r="BS73" s="379"/>
      <c r="BT73" s="359"/>
      <c r="BU73" s="379"/>
      <c r="BV73" s="359"/>
      <c r="BW73" s="379"/>
      <c r="BX73" s="545"/>
      <c r="BY73" s="545"/>
      <c r="BZ73" s="545"/>
      <c r="CA73" s="545"/>
    </row>
    <row r="74" spans="1:81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2.5999895760540412</v>
      </c>
      <c r="H74" s="66"/>
      <c r="I74" s="70">
        <v>2.7307524315169633</v>
      </c>
      <c r="J74" s="66"/>
      <c r="K74" s="70">
        <v>2.7418641737297951</v>
      </c>
      <c r="L74" s="66"/>
      <c r="M74" s="70">
        <v>2.7505582659903114</v>
      </c>
      <c r="N74" s="66"/>
      <c r="O74" s="70">
        <v>3.0232624892953157</v>
      </c>
      <c r="P74" s="66"/>
      <c r="Q74" s="70">
        <v>2.7930913040557739</v>
      </c>
      <c r="R74" s="66"/>
      <c r="S74" s="70">
        <v>2.9129573979241816</v>
      </c>
      <c r="T74" s="66"/>
      <c r="U74" s="70">
        <v>2.7950662452785591</v>
      </c>
      <c r="V74" s="66"/>
      <c r="W74" s="70">
        <v>2.6449650005498735</v>
      </c>
      <c r="X74" s="66"/>
      <c r="Y74" s="70">
        <v>2.6276942184314969</v>
      </c>
      <c r="Z74" s="66"/>
      <c r="AA74" s="70">
        <v>2.5989652733130955</v>
      </c>
      <c r="AB74" s="66"/>
      <c r="AC74" s="70">
        <v>2.4358383968482222</v>
      </c>
      <c r="AD74" s="66"/>
      <c r="AE74" s="70">
        <v>2.4315986739947428</v>
      </c>
      <c r="AF74" s="66"/>
      <c r="AG74" s="70">
        <v>2.6448158300308235</v>
      </c>
      <c r="AH74" s="66"/>
      <c r="AI74" s="70">
        <v>2.4023572832597</v>
      </c>
      <c r="AJ74" s="66"/>
      <c r="AK74" s="70">
        <v>2.8899999698273611</v>
      </c>
      <c r="AL74" s="66"/>
      <c r="AM74" s="70">
        <v>2.5782103663803184</v>
      </c>
      <c r="AN74" s="66"/>
      <c r="AO74" s="70">
        <v>2.393491300965557</v>
      </c>
      <c r="AP74" s="66"/>
      <c r="AQ74" s="70">
        <v>2.3685210994050285</v>
      </c>
      <c r="AR74" s="66"/>
      <c r="AS74" s="70">
        <v>2.3127862451165329</v>
      </c>
      <c r="AT74" s="66"/>
      <c r="AU74" s="70">
        <v>2.3127862451165329</v>
      </c>
      <c r="AV74" s="66"/>
      <c r="AW74" s="70">
        <v>2.2035127803845813</v>
      </c>
      <c r="AX74" s="66"/>
      <c r="AY74" s="70">
        <v>2.21</v>
      </c>
      <c r="AZ74" s="66"/>
      <c r="BA74" s="70">
        <v>2.2000000000000002</v>
      </c>
      <c r="BB74" s="66"/>
      <c r="BC74" s="70">
        <v>2.11531534678819</v>
      </c>
      <c r="BD74" s="66"/>
      <c r="BE74" s="70">
        <f>BE77/BE79*BE10</f>
        <v>2.2164035425490951</v>
      </c>
      <c r="BF74" s="66"/>
      <c r="BG74" s="70">
        <f>BG77/BG79*BG10</f>
        <v>2.3387045411120311</v>
      </c>
      <c r="BH74" s="66"/>
      <c r="BI74" s="70">
        <f>BI77/BI79*BI10</f>
        <v>2.3775910364145658</v>
      </c>
      <c r="BJ74" s="66"/>
      <c r="BK74" s="70">
        <f>BK77/BK79*BK10</f>
        <v>2.2887358583374322</v>
      </c>
      <c r="BL74" s="66"/>
      <c r="BM74" s="70">
        <f>BM77/BM79*BM10</f>
        <v>2.4478970291880646</v>
      </c>
      <c r="BN74" s="66"/>
      <c r="BO74" s="70">
        <f>BO77/BO79*BO10</f>
        <v>2.3302325581395351</v>
      </c>
      <c r="BP74" s="66"/>
      <c r="BQ74" s="70">
        <f>BQ77/BQ79*BQ10</f>
        <v>2.2487158348658758</v>
      </c>
      <c r="BR74" s="66"/>
      <c r="BS74" s="70">
        <f>BS77/BS79*BS10</f>
        <v>2.2216378662659655</v>
      </c>
      <c r="BT74" s="66"/>
      <c r="BU74" s="70">
        <v>2.3256294085593487</v>
      </c>
      <c r="BV74" s="66"/>
      <c r="BW74" s="70">
        <f>BW77/BW79*BW10</f>
        <v>2.4294193548387097</v>
      </c>
      <c r="BX74" s="545"/>
      <c r="BY74" s="545"/>
      <c r="BZ74" s="545"/>
      <c r="CA74" s="545"/>
    </row>
    <row r="75" spans="1:81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0.21666579800450345</v>
      </c>
      <c r="H75" s="124"/>
      <c r="I75" s="125">
        <f t="shared" ref="I75" si="641">+I74/I10</f>
        <v>0.22756270262641362</v>
      </c>
      <c r="J75" s="124"/>
      <c r="K75" s="125">
        <f t="shared" ref="K75" si="642">+K74/K10</f>
        <v>0.22848868114414958</v>
      </c>
      <c r="L75" s="124"/>
      <c r="M75" s="125">
        <f t="shared" ref="M75" si="643">+M74/M10</f>
        <v>0.22921318883252595</v>
      </c>
      <c r="N75" s="124"/>
      <c r="O75" s="125">
        <f t="shared" ref="O75" si="644">+O74/O10</f>
        <v>0.25193854077460964</v>
      </c>
      <c r="P75" s="124"/>
      <c r="Q75" s="125">
        <f t="shared" ref="Q75" si="645">+Q74/Q10</f>
        <v>0.23275760867131448</v>
      </c>
      <c r="R75" s="124"/>
      <c r="S75" s="125">
        <f t="shared" ref="S75" si="646">+S74/S10</f>
        <v>0.24274644982701513</v>
      </c>
      <c r="T75" s="124"/>
      <c r="U75" s="125">
        <f t="shared" ref="U75" si="647">+U74/U10</f>
        <v>0.23292218710654658</v>
      </c>
      <c r="V75" s="124"/>
      <c r="W75" s="125">
        <f t="shared" ref="W75" si="648">+W74/W10</f>
        <v>0.22041375004582278</v>
      </c>
      <c r="X75" s="124"/>
      <c r="Y75" s="125">
        <f t="shared" ref="Y75" si="649">+Y74/Y10</f>
        <v>0.21897451820262473</v>
      </c>
      <c r="Z75" s="124"/>
      <c r="AA75" s="125">
        <f t="shared" ref="AA75" si="650">+AA74/AA10</f>
        <v>0.21658043944275795</v>
      </c>
      <c r="AB75" s="124"/>
      <c r="AC75" s="125">
        <f t="shared" ref="AC75" si="651">+AC74/AC10</f>
        <v>0.20298653307068518</v>
      </c>
      <c r="AD75" s="124"/>
      <c r="AE75" s="125">
        <f t="shared" ref="AE75" si="652">+AE74/AE10</f>
        <v>0.20263322283289523</v>
      </c>
      <c r="AF75" s="124"/>
      <c r="AG75" s="125">
        <f t="shared" ref="AG75" si="653">+AG74/AG10</f>
        <v>0.2204013191692353</v>
      </c>
      <c r="AH75" s="124"/>
      <c r="AI75" s="125">
        <f t="shared" ref="AI75" si="654">+AI74/AI10</f>
        <v>0.20019644027164166</v>
      </c>
      <c r="AJ75" s="124"/>
      <c r="AK75" s="125">
        <f t="shared" ref="AK75" si="655">+AK74/AK10</f>
        <v>0.24083333081894676</v>
      </c>
      <c r="AL75" s="124"/>
      <c r="AM75" s="125">
        <f t="shared" ref="AM75" si="656">+AM74/AM10</f>
        <v>0.21485086386502653</v>
      </c>
      <c r="AN75" s="124"/>
      <c r="AO75" s="125">
        <f t="shared" ref="AO75:AQ75" si="657">+AO74/AO10</f>
        <v>0.19945760841379642</v>
      </c>
      <c r="AP75" s="124"/>
      <c r="AQ75" s="125">
        <f t="shared" si="657"/>
        <v>0.19737675828375237</v>
      </c>
      <c r="AR75" s="124"/>
      <c r="AS75" s="125">
        <f t="shared" ref="AS75:AU75" si="658">+AS74/AS10</f>
        <v>0.1927321870930444</v>
      </c>
      <c r="AT75" s="124"/>
      <c r="AU75" s="125">
        <f t="shared" si="658"/>
        <v>0.1927321870930444</v>
      </c>
      <c r="AV75" s="124"/>
      <c r="AW75" s="125">
        <f t="shared" ref="AW75" si="659">+AW74/AW10</f>
        <v>0.18362606503204845</v>
      </c>
      <c r="AX75" s="124"/>
      <c r="AY75" s="125">
        <f>+AY74/AY10</f>
        <v>0.18416666666666667</v>
      </c>
      <c r="AZ75" s="124"/>
      <c r="BA75" s="125">
        <f>+BA74/BA10</f>
        <v>0.18333333333333335</v>
      </c>
      <c r="BB75" s="124"/>
      <c r="BC75" s="125">
        <f>+BC74/BC10</f>
        <v>0.17627627889901584</v>
      </c>
      <c r="BD75" s="124"/>
      <c r="BE75" s="125">
        <f>+BE74/BE10</f>
        <v>0.18470029521242459</v>
      </c>
      <c r="BF75" s="124"/>
      <c r="BG75" s="125">
        <f>+BG74/BG10</f>
        <v>0.19489204509266925</v>
      </c>
      <c r="BH75" s="124"/>
      <c r="BI75" s="125">
        <f>+BI74/BI10</f>
        <v>0.19813258636788048</v>
      </c>
      <c r="BJ75" s="124"/>
      <c r="BK75" s="125">
        <f>+BK74/BK10</f>
        <v>0.19072798819478601</v>
      </c>
      <c r="BL75" s="124"/>
      <c r="BM75" s="125">
        <f>+BM74/BM10</f>
        <v>0.20399141909900539</v>
      </c>
      <c r="BN75" s="124"/>
      <c r="BO75" s="125">
        <f>+BO74/BO10</f>
        <v>0.19418604651162794</v>
      </c>
      <c r="BP75" s="124"/>
      <c r="BQ75" s="125">
        <f>+BQ74/BQ10</f>
        <v>0.18739298623882297</v>
      </c>
      <c r="BR75" s="124"/>
      <c r="BS75" s="125">
        <f>+BS74/BS10</f>
        <v>0.18513648885549713</v>
      </c>
      <c r="BT75" s="124"/>
      <c r="BU75" s="125">
        <f>+BU74/BU10</f>
        <v>0.19380245071327906</v>
      </c>
      <c r="BV75" s="124"/>
      <c r="BW75" s="125">
        <f>+BW74/BW10</f>
        <v>0.2024516129032258</v>
      </c>
      <c r="BX75" s="545"/>
      <c r="BY75" s="545"/>
      <c r="BZ75" s="545"/>
      <c r="CA75" s="545"/>
    </row>
    <row r="76" spans="1:81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37255.25063527836</v>
      </c>
      <c r="H76" s="127"/>
      <c r="I76" s="374">
        <f t="shared" ref="I76" si="660">I77*I10</f>
        <v>39194.489649562973</v>
      </c>
      <c r="J76" s="127"/>
      <c r="K76" s="374">
        <f t="shared" ref="K76" si="661">K77*K10</f>
        <v>39337.525300501373</v>
      </c>
      <c r="L76" s="127"/>
      <c r="M76" s="374">
        <f t="shared" ref="M76" si="662">M77*M10</f>
        <v>39517.270607482802</v>
      </c>
      <c r="N76" s="127"/>
      <c r="O76" s="374">
        <f t="shared" ref="O76" si="663">O77*O10</f>
        <v>44191.027806029633</v>
      </c>
      <c r="P76" s="127"/>
      <c r="Q76" s="374">
        <f t="shared" ref="Q76" si="664">Q77*Q10</f>
        <v>40983.028704410368</v>
      </c>
      <c r="R76" s="127"/>
      <c r="S76" s="374">
        <f t="shared" ref="S76" si="665">S77*S10</f>
        <v>43633.188863506315</v>
      </c>
      <c r="T76" s="127"/>
      <c r="U76" s="374">
        <f t="shared" ref="U76" si="666">U77*U10</f>
        <v>41515.11894112244</v>
      </c>
      <c r="V76" s="127"/>
      <c r="W76" s="374">
        <f t="shared" ref="W76" si="667">W77*W10</f>
        <v>39772.338713268451</v>
      </c>
      <c r="X76" s="127"/>
      <c r="Y76" s="374">
        <f t="shared" ref="Y76" si="668">Y77*Y10</f>
        <v>40513.789459776817</v>
      </c>
      <c r="Z76" s="127"/>
      <c r="AA76" s="374">
        <f t="shared" ref="AA76" si="669">AA77*AA10</f>
        <v>40660.81170098338</v>
      </c>
      <c r="AB76" s="127"/>
      <c r="AC76" s="374">
        <f t="shared" ref="AC76" si="670">AC77*AC10</f>
        <v>38055.103273959779</v>
      </c>
      <c r="AD76" s="127"/>
      <c r="AE76" s="374">
        <f t="shared" ref="AE76" si="671">AE77*AE10</f>
        <v>37278.839271013399</v>
      </c>
      <c r="AF76" s="127"/>
      <c r="AG76" s="374">
        <f t="shared" ref="AG76" si="672">AG77*AG10</f>
        <v>39912.915690995156</v>
      </c>
      <c r="AH76" s="127"/>
      <c r="AI76" s="374">
        <f t="shared" ref="AI76" si="673">AI77*AI10</f>
        <v>36696.007501791915</v>
      </c>
      <c r="AJ76" s="127"/>
      <c r="AK76" s="374">
        <f t="shared" ref="AK76" si="674">AK77*AK10</f>
        <v>42936.729551725104</v>
      </c>
      <c r="AL76" s="127"/>
      <c r="AM76" s="374">
        <f t="shared" ref="AM76" si="675">AM77*AM10</f>
        <v>38108.527425467488</v>
      </c>
      <c r="AN76" s="127"/>
      <c r="AO76" s="374">
        <f t="shared" ref="AO76:AQ76" si="676">AO77*AO10</f>
        <v>35737.21861471673</v>
      </c>
      <c r="AP76" s="127"/>
      <c r="AQ76" s="374">
        <f t="shared" si="676"/>
        <v>35584.660997461149</v>
      </c>
      <c r="AR76" s="127"/>
      <c r="AS76" s="374">
        <f t="shared" ref="AS76:AU76" si="677">AS77*AS10</f>
        <v>35237.611230595496</v>
      </c>
      <c r="AT76" s="127"/>
      <c r="AU76" s="374">
        <f t="shared" si="677"/>
        <v>35237.611230595496</v>
      </c>
      <c r="AV76" s="127"/>
      <c r="AW76" s="374">
        <f t="shared" ref="AW76" si="678">AW77*AW10</f>
        <v>33790.868487197557</v>
      </c>
      <c r="AX76" s="380"/>
      <c r="AY76" s="374">
        <f>AY77*AY10</f>
        <v>34725.730000000003</v>
      </c>
      <c r="AZ76" s="380"/>
      <c r="BA76" s="374">
        <f>BA77*BA10</f>
        <v>34515.800000000003</v>
      </c>
      <c r="BB76" s="380"/>
      <c r="BC76" s="374">
        <f>BC77*BC10</f>
        <v>32829.694182152707</v>
      </c>
      <c r="BD76" s="380"/>
      <c r="BE76" s="374">
        <f>BE77*BE10</f>
        <v>34536</v>
      </c>
      <c r="BF76" s="380"/>
      <c r="BG76" s="374">
        <f>BG77*BG10</f>
        <v>36720</v>
      </c>
      <c r="BH76" s="380"/>
      <c r="BI76" s="374">
        <f>BI77*BI10</f>
        <v>38196</v>
      </c>
      <c r="BJ76" s="380"/>
      <c r="BK76" s="374">
        <f>BK77*BK10</f>
        <v>37224</v>
      </c>
      <c r="BL76" s="380"/>
      <c r="BM76" s="374">
        <f>BM77*BM10</f>
        <v>37656</v>
      </c>
      <c r="BN76" s="380"/>
      <c r="BO76" s="374">
        <f>BO77*BO10</f>
        <v>36072</v>
      </c>
      <c r="BP76" s="380"/>
      <c r="BQ76" s="374">
        <f>BQ77*BQ10</f>
        <v>35460</v>
      </c>
      <c r="BR76" s="380"/>
      <c r="BS76" s="374">
        <f>BS77*BS10</f>
        <v>35484</v>
      </c>
      <c r="BT76" s="380"/>
      <c r="BU76" s="374">
        <f>BU77*BU10</f>
        <v>37361.236448505937</v>
      </c>
      <c r="BV76" s="380"/>
      <c r="BW76" s="374">
        <f>BW77*BW10</f>
        <v>37656</v>
      </c>
      <c r="BX76" s="545"/>
      <c r="BY76" s="545"/>
      <c r="BZ76" s="545"/>
      <c r="CA76" s="545"/>
    </row>
    <row r="77" spans="1:81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G74*G79/G10</f>
        <v>3104.60421960653</v>
      </c>
      <c r="H77" s="127"/>
      <c r="I77" s="90">
        <f t="shared" ref="I77" si="679">I74*I79/I10</f>
        <v>3266.2074707969145</v>
      </c>
      <c r="J77" s="127"/>
      <c r="K77" s="90">
        <f t="shared" ref="K77" si="680">K74*K79/K10</f>
        <v>3278.1271083751144</v>
      </c>
      <c r="L77" s="127"/>
      <c r="M77" s="90">
        <f t="shared" ref="M77" si="681">M74*M79/M10</f>
        <v>3293.1058839569</v>
      </c>
      <c r="N77" s="127"/>
      <c r="O77" s="90">
        <f t="shared" ref="O77" si="682">O74*O79/O10</f>
        <v>3682.5856505024694</v>
      </c>
      <c r="P77" s="127"/>
      <c r="Q77" s="90">
        <f t="shared" ref="Q77" si="683">Q74*Q79/Q10</f>
        <v>3415.2523920341973</v>
      </c>
      <c r="R77" s="127"/>
      <c r="S77" s="90">
        <f t="shared" ref="S77" si="684">S74*S79/S10</f>
        <v>3636.0990719588594</v>
      </c>
      <c r="T77" s="127"/>
      <c r="U77" s="90">
        <f t="shared" ref="U77" si="685">U74*U79/U10</f>
        <v>3459.5932450935366</v>
      </c>
      <c r="V77" s="127"/>
      <c r="W77" s="90">
        <f t="shared" ref="W77" si="686">W74*W79/W10</f>
        <v>3314.3615594390376</v>
      </c>
      <c r="X77" s="127"/>
      <c r="Y77" s="90">
        <f t="shared" ref="Y77" si="687">Y74*Y79/Y10</f>
        <v>3376.1491216480681</v>
      </c>
      <c r="Z77" s="127"/>
      <c r="AA77" s="90">
        <f t="shared" ref="AA77" si="688">AA74*AA79/AA10</f>
        <v>3388.4009750819482</v>
      </c>
      <c r="AB77" s="127"/>
      <c r="AC77" s="90">
        <f t="shared" ref="AC77:AI77" si="689">AC74*AC79/AC10</f>
        <v>3171.2586061633151</v>
      </c>
      <c r="AD77" s="127"/>
      <c r="AE77" s="90">
        <f t="shared" si="689"/>
        <v>3106.5699392511165</v>
      </c>
      <c r="AF77" s="127"/>
      <c r="AG77" s="90">
        <f t="shared" si="689"/>
        <v>3326.0763075829295</v>
      </c>
      <c r="AH77" s="127"/>
      <c r="AI77" s="90">
        <f t="shared" si="689"/>
        <v>3058.0006251493264</v>
      </c>
      <c r="AJ77" s="127"/>
      <c r="AK77" s="90">
        <f t="shared" ref="AK77" si="690">AK74*AK79/AK10</f>
        <v>3578.0607959770919</v>
      </c>
      <c r="AL77" s="127"/>
      <c r="AM77" s="90">
        <f t="shared" ref="AM77" si="691">AM74*AM79/AM10</f>
        <v>3175.7106187889572</v>
      </c>
      <c r="AN77" s="127"/>
      <c r="AO77" s="90">
        <f t="shared" ref="AO77:AQ77" si="692">AO74*AO79/AO10</f>
        <v>2978.1015512263943</v>
      </c>
      <c r="AP77" s="127"/>
      <c r="AQ77" s="90">
        <f t="shared" si="692"/>
        <v>2965.3884164550959</v>
      </c>
      <c r="AR77" s="127"/>
      <c r="AS77" s="90">
        <f t="shared" ref="AS77:AU77" si="693">AS74*AS79/AS10</f>
        <v>2936.4676025496246</v>
      </c>
      <c r="AT77" s="127"/>
      <c r="AU77" s="90">
        <f t="shared" si="693"/>
        <v>2936.4676025496246</v>
      </c>
      <c r="AV77" s="127"/>
      <c r="AW77" s="90">
        <f t="shared" ref="AW77" si="694">AW74*AW79/AW10</f>
        <v>2815.9057072664632</v>
      </c>
      <c r="AX77" s="380"/>
      <c r="AY77" s="622">
        <f>AY75*AY79</f>
        <v>2893.8108333333334</v>
      </c>
      <c r="AZ77" s="380"/>
      <c r="BA77" s="622">
        <f>BA75*BA79</f>
        <v>2876.3166666666671</v>
      </c>
      <c r="BB77" s="380"/>
      <c r="BC77" s="622">
        <f>BC75*BC79</f>
        <v>2735.8078485127257</v>
      </c>
      <c r="BD77" s="380"/>
      <c r="BE77" s="622">
        <v>2878</v>
      </c>
      <c r="BF77" s="380"/>
      <c r="BG77" s="622">
        <v>3060</v>
      </c>
      <c r="BH77" s="380"/>
      <c r="BI77" s="622">
        <v>3183</v>
      </c>
      <c r="BJ77" s="380"/>
      <c r="BK77" s="622">
        <v>3102</v>
      </c>
      <c r="BL77" s="380"/>
      <c r="BM77" s="622">
        <v>3138</v>
      </c>
      <c r="BN77" s="380"/>
      <c r="BO77" s="622">
        <v>3006</v>
      </c>
      <c r="BP77" s="380"/>
      <c r="BQ77" s="622">
        <v>2955</v>
      </c>
      <c r="BR77" s="380"/>
      <c r="BS77" s="622">
        <v>2957</v>
      </c>
      <c r="BT77" s="380"/>
      <c r="BU77" s="622">
        <f>BU75*BU79</f>
        <v>3113.4363707088282</v>
      </c>
      <c r="BV77" s="380"/>
      <c r="BW77" s="622">
        <v>3138</v>
      </c>
      <c r="BX77" s="545"/>
      <c r="BY77" s="545"/>
      <c r="BZ77" s="545"/>
      <c r="CA77" s="545"/>
    </row>
    <row r="78" spans="1:81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127"/>
      <c r="O78" s="90"/>
      <c r="P78" s="127"/>
      <c r="Q78" s="90"/>
      <c r="R78" s="127"/>
      <c r="S78" s="90"/>
      <c r="T78" s="127"/>
      <c r="U78" s="90"/>
      <c r="V78" s="127"/>
      <c r="W78" s="90"/>
      <c r="X78" s="127"/>
      <c r="Y78" s="90"/>
      <c r="Z78" s="127"/>
      <c r="AA78" s="90"/>
      <c r="AB78" s="127"/>
      <c r="AC78" s="90"/>
      <c r="AD78" s="127"/>
      <c r="AE78" s="90"/>
      <c r="AF78" s="127"/>
      <c r="AG78" s="90"/>
      <c r="AH78" s="127"/>
      <c r="AI78" s="90"/>
      <c r="AJ78" s="127"/>
      <c r="AK78" s="90"/>
      <c r="AL78" s="127"/>
      <c r="AM78" s="90"/>
      <c r="AN78" s="127"/>
      <c r="AO78" s="90"/>
      <c r="AP78" s="127"/>
      <c r="AQ78" s="90"/>
      <c r="AR78" s="127"/>
      <c r="AS78" s="90"/>
      <c r="AT78" s="127"/>
      <c r="AU78" s="90"/>
      <c r="AV78" s="127"/>
      <c r="AW78" s="90"/>
      <c r="AX78" s="380"/>
      <c r="AY78" s="374"/>
      <c r="AZ78" s="380"/>
      <c r="BA78" s="374"/>
      <c r="BB78" s="380"/>
      <c r="BC78" s="374"/>
      <c r="BD78" s="380"/>
      <c r="BE78" s="374"/>
      <c r="BF78" s="380"/>
      <c r="BG78" s="374"/>
      <c r="BH78" s="380"/>
      <c r="BI78" s="374"/>
      <c r="BJ78" s="380"/>
      <c r="BK78" s="374"/>
      <c r="BL78" s="380"/>
      <c r="BM78" s="374"/>
      <c r="BN78" s="380"/>
      <c r="BO78" s="374"/>
      <c r="BP78" s="380"/>
      <c r="BQ78" s="374"/>
      <c r="BR78" s="380"/>
      <c r="BS78" s="374"/>
      <c r="BT78" s="380"/>
      <c r="BU78" s="374"/>
      <c r="BV78" s="380"/>
      <c r="BW78" s="374"/>
      <c r="BX78" s="545"/>
      <c r="BY78" s="545"/>
      <c r="BZ78" s="545"/>
      <c r="CA78" s="545"/>
    </row>
    <row r="79" spans="1:81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'Pricing Structure - CGSS'!G79</f>
        <v>14329</v>
      </c>
      <c r="H79" s="42"/>
      <c r="I79" s="88">
        <f>'Pricing Structure - CGSS'!I79</f>
        <v>14353</v>
      </c>
      <c r="J79" s="42"/>
      <c r="K79" s="88">
        <f>'Pricing Structure - CGSS'!K79</f>
        <v>14347</v>
      </c>
      <c r="L79" s="42"/>
      <c r="M79" s="88">
        <f>'Pricing Structure - CGSS'!M79</f>
        <v>14367</v>
      </c>
      <c r="N79" s="42"/>
      <c r="O79" s="88">
        <f>'Pricing Structure - CGSS'!O79</f>
        <v>14617</v>
      </c>
      <c r="P79" s="42"/>
      <c r="Q79" s="88">
        <f>'Pricing Structure - CGSS'!Q79</f>
        <v>14673</v>
      </c>
      <c r="R79" s="42"/>
      <c r="S79" s="88">
        <f>'Pricing Structure - CGSS'!S79</f>
        <v>14979</v>
      </c>
      <c r="T79" s="42"/>
      <c r="U79" s="88">
        <f>'Pricing Structure - CGSS'!U79</f>
        <v>14853</v>
      </c>
      <c r="V79" s="42"/>
      <c r="W79" s="88">
        <f>'Pricing Structure - CGSS'!W79</f>
        <v>15037</v>
      </c>
      <c r="X79" s="42"/>
      <c r="Y79" s="88">
        <f>'Pricing Structure - CGSS'!Y79</f>
        <v>15418</v>
      </c>
      <c r="Z79" s="42"/>
      <c r="AA79" s="88">
        <f>'Pricing Structure - CGSS'!AA79</f>
        <v>15645</v>
      </c>
      <c r="AB79" s="42"/>
      <c r="AC79" s="88">
        <f>'Pricing Structure - CGSS'!AC79</f>
        <v>15623</v>
      </c>
      <c r="AD79" s="42"/>
      <c r="AE79" s="88">
        <f>'Pricing Structure - CGSS'!AE79</f>
        <v>15331</v>
      </c>
      <c r="AF79" s="42"/>
      <c r="AG79" s="88">
        <f>'Pricing Structure - CGSS'!AG79</f>
        <v>15091</v>
      </c>
      <c r="AH79" s="42"/>
      <c r="AI79" s="88">
        <f>'Pricing Structure - CGSS'!AI79</f>
        <v>15275</v>
      </c>
      <c r="AJ79" s="42"/>
      <c r="AK79" s="88">
        <f>'Pricing Structure - GSS'!AW79</f>
        <v>14857</v>
      </c>
      <c r="AL79" s="42"/>
      <c r="AM79" s="88">
        <f>'Pricing Structure - GSS'!AY79</f>
        <v>14781</v>
      </c>
      <c r="AN79" s="42"/>
      <c r="AO79" s="88">
        <f>'Pricing Structure - GSS'!BA79</f>
        <v>14931</v>
      </c>
      <c r="AP79" s="42"/>
      <c r="AQ79" s="88">
        <f>'Pricing Structure - GSS'!BC79</f>
        <v>15024</v>
      </c>
      <c r="AR79" s="42"/>
      <c r="AS79" s="88">
        <f>'Pricing Structure - GSS'!BE79</f>
        <v>15236</v>
      </c>
      <c r="AT79" s="42"/>
      <c r="AU79" s="88">
        <f>'Pricing Structure - GSS'!BE79</f>
        <v>15236</v>
      </c>
      <c r="AV79" s="42"/>
      <c r="AW79" s="88">
        <f>'Pricing Structure - GSS'!BG79</f>
        <v>15335</v>
      </c>
      <c r="AX79" s="359"/>
      <c r="AY79" s="372">
        <v>15713</v>
      </c>
      <c r="AZ79" s="359"/>
      <c r="BA79" s="372">
        <v>15689</v>
      </c>
      <c r="BB79" s="359"/>
      <c r="BC79" s="372">
        <v>15520</v>
      </c>
      <c r="BD79" s="359"/>
      <c r="BE79" s="372">
        <v>15582</v>
      </c>
      <c r="BF79" s="359"/>
      <c r="BG79" s="372">
        <v>15701</v>
      </c>
      <c r="BH79" s="359"/>
      <c r="BI79" s="372">
        <v>16065</v>
      </c>
      <c r="BJ79" s="359"/>
      <c r="BK79" s="372">
        <v>16264</v>
      </c>
      <c r="BL79" s="359"/>
      <c r="BM79" s="372">
        <v>15383</v>
      </c>
      <c r="BN79" s="359"/>
      <c r="BO79" s="372">
        <v>15480</v>
      </c>
      <c r="BP79" s="359"/>
      <c r="BQ79" s="372">
        <v>15769</v>
      </c>
      <c r="BR79" s="359"/>
      <c r="BS79" s="372">
        <v>15972</v>
      </c>
      <c r="BT79" s="359"/>
      <c r="BU79" s="372">
        <v>16065</v>
      </c>
      <c r="BV79" s="359"/>
      <c r="BW79" s="372">
        <v>15500</v>
      </c>
      <c r="BX79" s="545"/>
      <c r="BY79" s="545"/>
      <c r="BZ79" s="545"/>
      <c r="CA79" s="545"/>
    </row>
    <row r="80" spans="1:81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1.5300104239459587</v>
      </c>
      <c r="H80" s="50"/>
      <c r="I80" s="72">
        <f t="shared" ref="I80" si="695">+I67-I74</f>
        <v>1.3992475684830366</v>
      </c>
      <c r="J80" s="50"/>
      <c r="K80" s="72">
        <f t="shared" ref="K80" si="696">+K67-K74</f>
        <v>1.3881358262702048</v>
      </c>
      <c r="L80" s="50"/>
      <c r="M80" s="72">
        <f t="shared" ref="M80" si="697">+M67-M74</f>
        <v>1.3794417340096885</v>
      </c>
      <c r="N80" s="50"/>
      <c r="O80" s="72">
        <f t="shared" ref="O80" si="698">+O67-O74</f>
        <v>1.1067375107046842</v>
      </c>
      <c r="P80" s="50"/>
      <c r="Q80" s="72">
        <f t="shared" ref="Q80" si="699">+Q67-Q74</f>
        <v>1.336908695944226</v>
      </c>
      <c r="R80" s="50"/>
      <c r="S80" s="72">
        <f t="shared" ref="S80" si="700">+S67-S74</f>
        <v>1.2170426020758183</v>
      </c>
      <c r="T80" s="50"/>
      <c r="U80" s="72">
        <f t="shared" ref="U80" si="701">+U67-U74</f>
        <v>1.3349337547214408</v>
      </c>
      <c r="V80" s="50"/>
      <c r="W80" s="72">
        <f t="shared" ref="W80" si="702">+W67-W74</f>
        <v>1.4850349994501264</v>
      </c>
      <c r="X80" s="50"/>
      <c r="Y80" s="72">
        <f t="shared" ref="Y80" si="703">+Y67-Y74</f>
        <v>1.502305781568503</v>
      </c>
      <c r="Z80" s="50"/>
      <c r="AA80" s="72">
        <f t="shared" ref="AA80" si="704">+AA67-AA74</f>
        <v>1.5310347266869044</v>
      </c>
      <c r="AB80" s="50"/>
      <c r="AC80" s="72">
        <f t="shared" ref="AC80:AI80" si="705">+AC67-AC74</f>
        <v>1.6941616031517777</v>
      </c>
      <c r="AD80" s="50"/>
      <c r="AE80" s="72">
        <f t="shared" si="705"/>
        <v>1.6984013260052571</v>
      </c>
      <c r="AF80" s="50"/>
      <c r="AG80" s="72">
        <f t="shared" si="705"/>
        <v>1.4851841699691763</v>
      </c>
      <c r="AH80" s="50"/>
      <c r="AI80" s="72">
        <f t="shared" si="705"/>
        <v>1.7276427167402999</v>
      </c>
      <c r="AJ80" s="50"/>
      <c r="AK80" s="72">
        <f t="shared" ref="AK80" si="706">+AK67-AK74</f>
        <v>1.2400000301726388</v>
      </c>
      <c r="AL80" s="50"/>
      <c r="AM80" s="72">
        <f t="shared" ref="AM80" si="707">+AM67-AM74</f>
        <v>1.5517896336196815</v>
      </c>
      <c r="AN80" s="50"/>
      <c r="AO80" s="72">
        <f t="shared" ref="AO80:AQ80" si="708">+AO67-AO74</f>
        <v>1.7365086990344429</v>
      </c>
      <c r="AP80" s="50"/>
      <c r="AQ80" s="72">
        <f t="shared" si="708"/>
        <v>1.7614789005949714</v>
      </c>
      <c r="AR80" s="50"/>
      <c r="AS80" s="72">
        <f t="shared" ref="AS80:AU80" si="709">+AS67-AS74</f>
        <v>1.817213754883467</v>
      </c>
      <c r="AT80" s="50"/>
      <c r="AU80" s="72">
        <f t="shared" si="709"/>
        <v>1.817213754883467</v>
      </c>
      <c r="AV80" s="50"/>
      <c r="AW80" s="72">
        <f t="shared" ref="AW80" si="710">+AW67-AW74</f>
        <v>1.9264872196154186</v>
      </c>
      <c r="AX80" s="363"/>
      <c r="AY80" s="368">
        <f>+AY67-AY74</f>
        <v>1.8899999999999997</v>
      </c>
      <c r="AZ80" s="363"/>
      <c r="BA80" s="368">
        <f>+BA67-BA74</f>
        <v>1.8999999999999995</v>
      </c>
      <c r="BB80" s="363"/>
      <c r="BC80" s="368">
        <f>+BC67-BC74</f>
        <v>1.9846846532118096</v>
      </c>
      <c r="BD80" s="363"/>
      <c r="BE80" s="368">
        <f>+BE67-BE74</f>
        <v>2.0335964574509049</v>
      </c>
      <c r="BF80" s="363"/>
      <c r="BG80" s="368">
        <f>+BG67-BG74</f>
        <v>1.9112954588879689</v>
      </c>
      <c r="BH80" s="363"/>
      <c r="BI80" s="368">
        <f>+BI67-BI74</f>
        <v>1.8724089635854342</v>
      </c>
      <c r="BJ80" s="363"/>
      <c r="BK80" s="368">
        <f>+BK67-BK74</f>
        <v>1.9612641416625678</v>
      </c>
      <c r="BL80" s="363"/>
      <c r="BM80" s="368">
        <f>+BM67-BM74</f>
        <v>1.8021029708119354</v>
      </c>
      <c r="BN80" s="363"/>
      <c r="BO80" s="368">
        <f>+BO67-BO74</f>
        <v>1.9197674418604649</v>
      </c>
      <c r="BP80" s="363"/>
      <c r="BQ80" s="368">
        <f>+BQ67-BQ74</f>
        <v>2.0012841651341242</v>
      </c>
      <c r="BR80" s="363"/>
      <c r="BS80" s="368">
        <f>+BS67-BS74</f>
        <v>2.0283621337340345</v>
      </c>
      <c r="BT80" s="363"/>
      <c r="BU80" s="368">
        <f>+BU67-BU74</f>
        <v>1.9243705914406513</v>
      </c>
      <c r="BV80" s="363"/>
      <c r="BW80" s="368">
        <f>+BW67-BW74</f>
        <v>1.8205806451612903</v>
      </c>
      <c r="BX80" s="545"/>
      <c r="BY80" s="545"/>
      <c r="BZ80" s="545"/>
      <c r="CA80" s="545"/>
    </row>
    <row r="81" spans="1:79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0.12750086866216323</v>
      </c>
      <c r="H81" s="50"/>
      <c r="I81" s="72">
        <f t="shared" ref="I81" si="711">+I80/I10</f>
        <v>0.11660396404025304</v>
      </c>
      <c r="J81" s="50"/>
      <c r="K81" s="72">
        <f t="shared" ref="K81" si="712">+K80/K10</f>
        <v>0.11567798552251707</v>
      </c>
      <c r="L81" s="50"/>
      <c r="M81" s="72">
        <f t="shared" ref="M81" si="713">+M80/M10</f>
        <v>0.11495347783414071</v>
      </c>
      <c r="N81" s="50"/>
      <c r="O81" s="72">
        <f t="shared" ref="O81" si="714">+O80/O10</f>
        <v>9.222812589205702E-2</v>
      </c>
      <c r="P81" s="50"/>
      <c r="Q81" s="72">
        <f t="shared" ref="Q81" si="715">+Q80/Q10</f>
        <v>0.11140905799535217</v>
      </c>
      <c r="R81" s="50"/>
      <c r="S81" s="72">
        <f t="shared" ref="S81" si="716">+S80/S10</f>
        <v>0.10142021683965152</v>
      </c>
      <c r="T81" s="50"/>
      <c r="U81" s="72">
        <f t="shared" ref="U81" si="717">+U80/U10</f>
        <v>0.11124447956012007</v>
      </c>
      <c r="V81" s="50"/>
      <c r="W81" s="72">
        <f t="shared" ref="W81" si="718">+W80/W10</f>
        <v>0.12375291662084387</v>
      </c>
      <c r="X81" s="50"/>
      <c r="Y81" s="72">
        <f t="shared" ref="Y81" si="719">+Y80/Y10</f>
        <v>0.12519214846404192</v>
      </c>
      <c r="Z81" s="50"/>
      <c r="AA81" s="72">
        <f t="shared" ref="AA81" si="720">+AA80/AA10</f>
        <v>0.12758622722390869</v>
      </c>
      <c r="AB81" s="50"/>
      <c r="AC81" s="72">
        <f t="shared" ref="AC81" si="721">+AC80/AC10</f>
        <v>0.14118013359598147</v>
      </c>
      <c r="AD81" s="50"/>
      <c r="AE81" s="72">
        <f t="shared" ref="AE81" si="722">+AE80/AE10</f>
        <v>0.14153344383377142</v>
      </c>
      <c r="AF81" s="50"/>
      <c r="AG81" s="72">
        <f t="shared" ref="AG81" si="723">+AG80/AG10</f>
        <v>0.12376534749743136</v>
      </c>
      <c r="AH81" s="50"/>
      <c r="AI81" s="72">
        <f t="shared" ref="AI81" si="724">+AI80/AI10</f>
        <v>0.14397022639502499</v>
      </c>
      <c r="AJ81" s="50"/>
      <c r="AK81" s="72">
        <f t="shared" ref="AK81" si="725">+AK80/AK10</f>
        <v>0.10333333584771991</v>
      </c>
      <c r="AL81" s="50"/>
      <c r="AM81" s="72">
        <f t="shared" ref="AM81" si="726">+AM80/AM10</f>
        <v>0.12931580280164012</v>
      </c>
      <c r="AN81" s="50"/>
      <c r="AO81" s="72">
        <f t="shared" ref="AO81:AQ81" si="727">+AO80/AO10</f>
        <v>0.14470905825287025</v>
      </c>
      <c r="AP81" s="50"/>
      <c r="AQ81" s="72">
        <f t="shared" si="727"/>
        <v>0.14678990838291428</v>
      </c>
      <c r="AR81" s="50"/>
      <c r="AS81" s="72">
        <f t="shared" ref="AS81:AU81" si="728">+AS80/AS10</f>
        <v>0.15143447957362224</v>
      </c>
      <c r="AT81" s="50"/>
      <c r="AU81" s="72">
        <f t="shared" si="728"/>
        <v>0.15143447957362224</v>
      </c>
      <c r="AV81" s="50"/>
      <c r="AW81" s="72">
        <f t="shared" ref="AW81" si="729">+AW80/AW10</f>
        <v>0.16054060163461822</v>
      </c>
      <c r="AX81" s="363"/>
      <c r="AY81" s="368">
        <f>+AY80/AY10</f>
        <v>0.15749999999999997</v>
      </c>
      <c r="AZ81" s="363"/>
      <c r="BA81" s="368">
        <f>+BA80/BA10</f>
        <v>0.1583333333333333</v>
      </c>
      <c r="BB81" s="363"/>
      <c r="BC81" s="368">
        <f>+BC80/BC10</f>
        <v>0.1653903877676508</v>
      </c>
      <c r="BD81" s="363"/>
      <c r="BE81" s="368">
        <f>+BE80/BE10</f>
        <v>0.16946637145424207</v>
      </c>
      <c r="BF81" s="363"/>
      <c r="BG81" s="368">
        <f>+BG80/BG10</f>
        <v>0.15927462157399741</v>
      </c>
      <c r="BH81" s="363"/>
      <c r="BI81" s="368">
        <f>+BI80/BI10</f>
        <v>0.15603408029878618</v>
      </c>
      <c r="BJ81" s="363"/>
      <c r="BK81" s="368">
        <f>+BK80/BK10</f>
        <v>0.16343867847188065</v>
      </c>
      <c r="BL81" s="363"/>
      <c r="BM81" s="368">
        <f>+BM80/BM10</f>
        <v>0.15017524756766129</v>
      </c>
      <c r="BN81" s="363"/>
      <c r="BO81" s="368">
        <f>+BO80/BO10</f>
        <v>0.15998062015503875</v>
      </c>
      <c r="BP81" s="363"/>
      <c r="BQ81" s="368">
        <f>+BQ80/BQ10</f>
        <v>0.16677368042784368</v>
      </c>
      <c r="BR81" s="363"/>
      <c r="BS81" s="368">
        <f>+BS80/BS10</f>
        <v>0.16903017781116955</v>
      </c>
      <c r="BT81" s="363"/>
      <c r="BU81" s="368">
        <f>+BU80/BU10</f>
        <v>0.1603642159533876</v>
      </c>
      <c r="BV81" s="363"/>
      <c r="BW81" s="368">
        <f>+BW80/BW10</f>
        <v>0.15171505376344085</v>
      </c>
      <c r="BX81" s="545"/>
      <c r="BY81" s="545"/>
      <c r="BZ81" s="545"/>
      <c r="CA81" s="545"/>
    </row>
    <row r="82" spans="1:79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0.37046257238400937</v>
      </c>
      <c r="H82" s="132"/>
      <c r="I82" s="133">
        <f t="shared" ref="I82" si="730">+I80/I67</f>
        <v>0.33880086403947618</v>
      </c>
      <c r="J82" s="132"/>
      <c r="K82" s="133">
        <f t="shared" ref="K82" si="731">+K80/K67</f>
        <v>0.33611036955695034</v>
      </c>
      <c r="L82" s="132"/>
      <c r="M82" s="133">
        <f t="shared" ref="M82" si="732">+M80/M67</f>
        <v>0.33400526247207957</v>
      </c>
      <c r="N82" s="132"/>
      <c r="O82" s="133">
        <f t="shared" ref="O82" si="733">+O80/O67</f>
        <v>0.26797518418999616</v>
      </c>
      <c r="P82" s="132"/>
      <c r="Q82" s="133">
        <f t="shared" ref="Q82" si="734">+Q80/Q67</f>
        <v>0.3237067060397642</v>
      </c>
      <c r="R82" s="132"/>
      <c r="S82" s="133">
        <f t="shared" ref="S82" si="735">+S80/S67</f>
        <v>0.29468343875927805</v>
      </c>
      <c r="T82" s="132"/>
      <c r="U82" s="133">
        <f t="shared" ref="U82" si="736">+U80/U67</f>
        <v>0.32322851203908981</v>
      </c>
      <c r="V82" s="132"/>
      <c r="W82" s="133">
        <f t="shared" ref="W82" si="737">+W80/W67</f>
        <v>0.35957263909204029</v>
      </c>
      <c r="X82" s="132"/>
      <c r="Y82" s="133">
        <f t="shared" ref="Y82" si="738">+Y80/Y67</f>
        <v>0.36375442652990392</v>
      </c>
      <c r="Z82" s="132"/>
      <c r="AA82" s="133">
        <f t="shared" ref="AA82" si="739">+AA80/AA67</f>
        <v>0.37071058757552167</v>
      </c>
      <c r="AB82" s="132"/>
      <c r="AC82" s="133">
        <f t="shared" ref="AC82:AI82" si="740">+AC80/AC67</f>
        <v>0.41020862061786384</v>
      </c>
      <c r="AD82" s="132"/>
      <c r="AE82" s="1143">
        <f t="shared" si="740"/>
        <v>0.4112351878947354</v>
      </c>
      <c r="AF82" s="132"/>
      <c r="AG82" s="1143">
        <f t="shared" si="740"/>
        <v>0.35960875786178603</v>
      </c>
      <c r="AH82" s="132"/>
      <c r="AI82" s="1143">
        <f t="shared" si="740"/>
        <v>0.41831542778215497</v>
      </c>
      <c r="AJ82" s="132"/>
      <c r="AK82" s="1143">
        <f t="shared" ref="AK82" si="741">+AK80/AK67</f>
        <v>0.30024213805632904</v>
      </c>
      <c r="AL82" s="132"/>
      <c r="AM82" s="1143">
        <f t="shared" ref="AM82" si="742">+AM80/AM67</f>
        <v>0.37573598876989867</v>
      </c>
      <c r="AN82" s="132"/>
      <c r="AO82" s="1143">
        <f t="shared" ref="AO82:AQ82" si="743">+AO80/AO67</f>
        <v>0.42046215472988935</v>
      </c>
      <c r="AP82" s="132"/>
      <c r="AQ82" s="133">
        <f t="shared" si="743"/>
        <v>0.42650820837650638</v>
      </c>
      <c r="AR82" s="132"/>
      <c r="AS82" s="133">
        <f t="shared" ref="AS82:AU82" si="744">+AS80/AS67</f>
        <v>0.44000333048025836</v>
      </c>
      <c r="AT82" s="132"/>
      <c r="AU82" s="133">
        <f t="shared" si="744"/>
        <v>0.44000333048025836</v>
      </c>
      <c r="AV82" s="132"/>
      <c r="AW82" s="133">
        <f t="shared" ref="AW82" si="745">+AW80/AW67</f>
        <v>0.4664617965170505</v>
      </c>
      <c r="AX82" s="381"/>
      <c r="AY82" s="611">
        <f>+AY80/AY67</f>
        <v>0.46097560975609753</v>
      </c>
      <c r="AZ82" s="381"/>
      <c r="BA82" s="611">
        <f>+BA80/BA67</f>
        <v>0.46341463414634138</v>
      </c>
      <c r="BB82" s="381"/>
      <c r="BC82" s="611">
        <f>+BC80/BC67</f>
        <v>0.48406942761263655</v>
      </c>
      <c r="BD82" s="381"/>
      <c r="BE82" s="611">
        <f>+BE80/BE67</f>
        <v>0.47849328410609526</v>
      </c>
      <c r="BF82" s="381"/>
      <c r="BG82" s="611">
        <f>+BG80/BG67</f>
        <v>0.44971657856187502</v>
      </c>
      <c r="BH82" s="381"/>
      <c r="BI82" s="611">
        <f>+BI80/BI67</f>
        <v>0.44056681496127864</v>
      </c>
      <c r="BJ82" s="381"/>
      <c r="BK82" s="611">
        <f>+BK80/BK67</f>
        <v>0.46147391568531004</v>
      </c>
      <c r="BL82" s="381"/>
      <c r="BM82" s="611">
        <f>+BM80/BM67</f>
        <v>0.42402422842633775</v>
      </c>
      <c r="BN82" s="381"/>
      <c r="BO82" s="611">
        <f>+BO80/BO67</f>
        <v>0.45170998632010939</v>
      </c>
      <c r="BP82" s="381"/>
      <c r="BQ82" s="611">
        <f>+BQ80/BQ67</f>
        <v>0.47089039179626452</v>
      </c>
      <c r="BR82" s="381"/>
      <c r="BS82" s="611">
        <f>+BS80/BS67</f>
        <v>0.47726167852565515</v>
      </c>
      <c r="BT82" s="381"/>
      <c r="BU82" s="611">
        <f>+BU80/BU67</f>
        <v>0.45279308033897675</v>
      </c>
      <c r="BV82" s="381"/>
      <c r="BW82" s="611">
        <f>+BW80/BW67</f>
        <v>0.4283719165085389</v>
      </c>
      <c r="BX82" s="545"/>
      <c r="BY82" s="545"/>
      <c r="BZ82" s="545"/>
      <c r="CA82" s="545"/>
    </row>
    <row r="83" spans="1:79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0.50001042394595863</v>
      </c>
      <c r="H83" s="137"/>
      <c r="I83" s="138">
        <f t="shared" ref="I83" si="746">I80-I57</f>
        <v>0.36924756848303653</v>
      </c>
      <c r="J83" s="137"/>
      <c r="K83" s="138">
        <f t="shared" ref="K83" si="747">K80-K57</f>
        <v>0.35813582627020479</v>
      </c>
      <c r="L83" s="137"/>
      <c r="M83" s="138">
        <f t="shared" ref="M83" si="748">M80-M57</f>
        <v>0.34944173400968848</v>
      </c>
      <c r="N83" s="137"/>
      <c r="O83" s="138">
        <f t="shared" ref="O83" si="749">O80-O57</f>
        <v>7.6737510704684153E-2</v>
      </c>
      <c r="P83" s="137"/>
      <c r="Q83" s="138">
        <f t="shared" ref="Q83" si="750">Q80-Q57</f>
        <v>0.30690869594422598</v>
      </c>
      <c r="R83" s="137"/>
      <c r="S83" s="138">
        <f t="shared" ref="S83" si="751">S80-S57</f>
        <v>0.18704260207581824</v>
      </c>
      <c r="T83" s="137"/>
      <c r="U83" s="138">
        <f t="shared" ref="U83" si="752">U80-U57</f>
        <v>0.3049337547214408</v>
      </c>
      <c r="V83" s="137"/>
      <c r="W83" s="138">
        <f t="shared" ref="W83" si="753">W80-W57</f>
        <v>0.45503499945012638</v>
      </c>
      <c r="X83" s="137"/>
      <c r="Y83" s="138">
        <f t="shared" ref="Y83" si="754">Y80-Y57</f>
        <v>0.472305781568503</v>
      </c>
      <c r="Z83" s="137"/>
      <c r="AA83" s="138">
        <f t="shared" ref="AA83" si="755">AA80-AA57</f>
        <v>0.50103472668690441</v>
      </c>
      <c r="AB83" s="137"/>
      <c r="AC83" s="138">
        <f t="shared" ref="AC83:AI83" si="756">AC80-AC57</f>
        <v>0.80762502918589785</v>
      </c>
      <c r="AD83" s="137"/>
      <c r="AE83" s="138">
        <f t="shared" si="756"/>
        <v>0.66840132600525703</v>
      </c>
      <c r="AF83" s="137"/>
      <c r="AG83" s="138">
        <f t="shared" si="756"/>
        <v>0.45518416996917632</v>
      </c>
      <c r="AH83" s="137"/>
      <c r="AI83" s="138">
        <f t="shared" si="756"/>
        <v>0.69764271674029987</v>
      </c>
      <c r="AJ83" s="137"/>
      <c r="AK83" s="138">
        <f t="shared" ref="AK83" si="757">AK80-AK57</f>
        <v>0.2100000301726388</v>
      </c>
      <c r="AL83" s="137"/>
      <c r="AM83" s="138">
        <f t="shared" ref="AM83" si="758">AM80-AM57</f>
        <v>0.52178963361968145</v>
      </c>
      <c r="AN83" s="137"/>
      <c r="AO83" s="138">
        <f t="shared" ref="AO83:AQ83" si="759">AO80-AO57</f>
        <v>0.70650869903444291</v>
      </c>
      <c r="AP83" s="137"/>
      <c r="AQ83" s="138">
        <f t="shared" si="759"/>
        <v>0.73147890059497134</v>
      </c>
      <c r="AR83" s="137"/>
      <c r="AS83" s="138">
        <f t="shared" ref="AS83:AU83" si="760">AS80-AS57</f>
        <v>0.78721375488346701</v>
      </c>
      <c r="AT83" s="137"/>
      <c r="AU83" s="138">
        <f t="shared" si="760"/>
        <v>0.48721375488346697</v>
      </c>
      <c r="AV83" s="137"/>
      <c r="AW83" s="138">
        <f t="shared" ref="AW83" si="761">AW80-AW57</f>
        <v>0.59648721961541851</v>
      </c>
      <c r="AX83" s="137"/>
      <c r="AY83" s="138">
        <f>AY80-AY57</f>
        <v>0.88999999999999968</v>
      </c>
      <c r="AZ83" s="137"/>
      <c r="BA83" s="138">
        <f>BA80-BA57</f>
        <v>0.89999999999999947</v>
      </c>
      <c r="BB83" s="137"/>
      <c r="BC83" s="138">
        <f>BC80-BC57</f>
        <v>0.98468465321180965</v>
      </c>
      <c r="BD83" s="137"/>
      <c r="BE83" s="138">
        <f>BE80-BE57</f>
        <v>0.98359645745090485</v>
      </c>
      <c r="BF83" s="137"/>
      <c r="BG83" s="138">
        <f>BG80-BG57</f>
        <v>0.86129545888796888</v>
      </c>
      <c r="BH83" s="137"/>
      <c r="BI83" s="138">
        <f>BI80-BI57</f>
        <v>0.82240896358543414</v>
      </c>
      <c r="BJ83" s="137"/>
      <c r="BK83" s="138">
        <f>BK80-BK57</f>
        <v>0.91126414166256775</v>
      </c>
      <c r="BL83" s="137"/>
      <c r="BM83" s="138">
        <f>BM80-BM57</f>
        <v>0.75210297081193533</v>
      </c>
      <c r="BN83" s="137"/>
      <c r="BO83" s="138">
        <f>BO80-BO57</f>
        <v>0.86976744186046484</v>
      </c>
      <c r="BP83" s="137"/>
      <c r="BQ83" s="138">
        <f>BQ80-BQ57</f>
        <v>0.95128416513412417</v>
      </c>
      <c r="BR83" s="137"/>
      <c r="BS83" s="138">
        <f>BS80-BS57</f>
        <v>0.97836213373403447</v>
      </c>
      <c r="BT83" s="137"/>
      <c r="BU83" s="138">
        <f>BU80-BU57</f>
        <v>0.87437059144065121</v>
      </c>
      <c r="BV83" s="137"/>
      <c r="BW83" s="138">
        <f>BW80-BW57</f>
        <v>0.77058064516129021</v>
      </c>
      <c r="BX83" s="545"/>
      <c r="BY83" s="545"/>
      <c r="BZ83" s="545"/>
      <c r="CA83" s="545"/>
    </row>
    <row r="84" spans="1:79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0.12106789926052268</v>
      </c>
      <c r="H84" s="132"/>
      <c r="I84" s="133">
        <f t="shared" ref="I84" si="762">I83/I67</f>
        <v>8.9406190915989475E-2</v>
      </c>
      <c r="J84" s="132"/>
      <c r="K84" s="133">
        <f t="shared" ref="K84" si="763">K83/K67</f>
        <v>8.6715696433463635E-2</v>
      </c>
      <c r="L84" s="132"/>
      <c r="M84" s="133">
        <f t="shared" ref="M84" si="764">M83/M67</f>
        <v>8.4610589348592849E-2</v>
      </c>
      <c r="N84" s="132"/>
      <c r="O84" s="133">
        <f t="shared" ref="O84" si="765">O83/O67</f>
        <v>1.8580511066509479E-2</v>
      </c>
      <c r="P84" s="132"/>
      <c r="Q84" s="133">
        <f t="shared" ref="Q84" si="766">Q83/Q67</f>
        <v>7.4312032916277485E-2</v>
      </c>
      <c r="R84" s="132"/>
      <c r="S84" s="133">
        <f t="shared" ref="S84" si="767">S83/S67</f>
        <v>4.5288765635791345E-2</v>
      </c>
      <c r="T84" s="132"/>
      <c r="U84" s="133">
        <f t="shared" ref="U84" si="768">U83/U67</f>
        <v>7.3833838915603106E-2</v>
      </c>
      <c r="V84" s="132"/>
      <c r="W84" s="133">
        <f t="shared" ref="W84" si="769">W83/W67</f>
        <v>0.1101779659685536</v>
      </c>
      <c r="X84" s="132"/>
      <c r="Y84" s="133">
        <f t="shared" ref="Y84" si="770">Y83/Y67</f>
        <v>0.1143597534064172</v>
      </c>
      <c r="Z84" s="132"/>
      <c r="AA84" s="133">
        <f t="shared" ref="AA84" si="771">AA83/AA67</f>
        <v>0.12131591445203496</v>
      </c>
      <c r="AB84" s="132"/>
      <c r="AC84" s="133">
        <f t="shared" ref="AC84" si="772">AC83/AC67</f>
        <v>0.19555085452443047</v>
      </c>
      <c r="AD84" s="132"/>
      <c r="AE84" s="1143">
        <f t="shared" ref="AE84" si="773">AE83/AE67</f>
        <v>0.16184051477124869</v>
      </c>
      <c r="AF84" s="132"/>
      <c r="AG84" s="1143">
        <f t="shared" ref="AG84" si="774">AG83/AG67</f>
        <v>0.11021408473829936</v>
      </c>
      <c r="AH84" s="132"/>
      <c r="AI84" s="1143">
        <f t="shared" ref="AI84" si="775">AI83/AI67</f>
        <v>0.16892075465866827</v>
      </c>
      <c r="AJ84" s="132"/>
      <c r="AK84" s="1143">
        <f t="shared" ref="AK84" si="776">AK83/AK67</f>
        <v>5.0847464932842326E-2</v>
      </c>
      <c r="AL84" s="132"/>
      <c r="AM84" s="1143">
        <f t="shared" ref="AM84" si="777">AM83/AM67</f>
        <v>0.12634131564641199</v>
      </c>
      <c r="AN84" s="132"/>
      <c r="AO84" s="1143">
        <f t="shared" ref="AO84:AQ84" si="778">AO83/AO67</f>
        <v>0.17106748160640264</v>
      </c>
      <c r="AP84" s="132"/>
      <c r="AQ84" s="133">
        <f t="shared" si="778"/>
        <v>0.1771135352530197</v>
      </c>
      <c r="AR84" s="132"/>
      <c r="AS84" s="133">
        <f t="shared" ref="AS84:AU84" si="779">AS83/AS67</f>
        <v>0.19060865735677168</v>
      </c>
      <c r="AT84" s="132"/>
      <c r="AU84" s="133">
        <f t="shared" si="779"/>
        <v>0.1179694321751736</v>
      </c>
      <c r="AV84" s="132"/>
      <c r="AW84" s="133">
        <f t="shared" ref="AW84" si="780">AW83/AW67</f>
        <v>0.14442789821196575</v>
      </c>
      <c r="AX84" s="381"/>
      <c r="AY84" s="611">
        <f>AY83/AY67</f>
        <v>0.21707317073170726</v>
      </c>
      <c r="AZ84" s="381"/>
      <c r="BA84" s="611">
        <f>BA83/BA67</f>
        <v>0.21951219512195111</v>
      </c>
      <c r="BB84" s="381"/>
      <c r="BC84" s="611">
        <f>BC83/BC67</f>
        <v>0.24016698858824628</v>
      </c>
      <c r="BD84" s="381"/>
      <c r="BE84" s="611">
        <f>BE83/BE67</f>
        <v>0.23143446057668349</v>
      </c>
      <c r="BF84" s="381"/>
      <c r="BG84" s="611">
        <f>BG83/BG67</f>
        <v>0.20265775503246328</v>
      </c>
      <c r="BH84" s="381"/>
      <c r="BI84" s="611">
        <f>BI83/BI67</f>
        <v>0.19350799143186687</v>
      </c>
      <c r="BJ84" s="381"/>
      <c r="BK84" s="611">
        <f>BK83/BK67</f>
        <v>0.2144150921558983</v>
      </c>
      <c r="BL84" s="381"/>
      <c r="BM84" s="611">
        <f>BM83/BM67</f>
        <v>0.17696540489692597</v>
      </c>
      <c r="BN84" s="381"/>
      <c r="BO84" s="611">
        <f>BO83/BO67</f>
        <v>0.20465116279069762</v>
      </c>
      <c r="BP84" s="381"/>
      <c r="BQ84" s="611">
        <f>BQ83/BQ67</f>
        <v>0.22383156826685274</v>
      </c>
      <c r="BR84" s="381"/>
      <c r="BS84" s="611">
        <f>BS83/BS67</f>
        <v>0.23020285499624341</v>
      </c>
      <c r="BT84" s="381"/>
      <c r="BU84" s="611">
        <f>BU83/BU67</f>
        <v>0.205734256809565</v>
      </c>
      <c r="BV84" s="381"/>
      <c r="BW84" s="611">
        <f>BW83/BW67</f>
        <v>0.18131309297912712</v>
      </c>
      <c r="BX84" s="545"/>
      <c r="BY84" s="545"/>
      <c r="BZ84" s="545"/>
      <c r="CA84" s="545"/>
    </row>
    <row r="85" spans="1:79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  <c r="T85" s="132"/>
      <c r="U85" s="133"/>
      <c r="V85" s="132"/>
      <c r="W85" s="133"/>
      <c r="X85" s="132"/>
      <c r="Y85" s="133"/>
      <c r="Z85" s="132"/>
      <c r="AA85" s="133"/>
      <c r="AB85" s="132"/>
      <c r="AC85" s="133"/>
      <c r="AD85" s="132"/>
      <c r="AE85" s="133"/>
      <c r="AF85" s="132"/>
      <c r="AG85" s="133"/>
      <c r="AH85" s="132"/>
      <c r="AI85" s="133"/>
      <c r="AJ85" s="132"/>
      <c r="AK85" s="133"/>
      <c r="AL85" s="132"/>
      <c r="AM85" s="133"/>
      <c r="AN85" s="132"/>
      <c r="AO85" s="133"/>
      <c r="AP85" s="132"/>
      <c r="AQ85" s="133"/>
      <c r="AR85" s="132"/>
      <c r="AS85" s="133"/>
      <c r="AT85" s="132"/>
      <c r="AU85" s="133"/>
      <c r="AV85" s="132"/>
      <c r="AW85" s="133"/>
      <c r="AX85" s="381"/>
      <c r="AY85" s="613"/>
      <c r="AZ85" s="381"/>
      <c r="BA85" s="613"/>
      <c r="BB85" s="381"/>
      <c r="BC85" s="613"/>
      <c r="BD85" s="381"/>
      <c r="BE85" s="613"/>
      <c r="BF85" s="381"/>
      <c r="BG85" s="613"/>
      <c r="BH85" s="381"/>
      <c r="BI85" s="613"/>
      <c r="BJ85" s="381"/>
      <c r="BK85" s="613"/>
      <c r="BL85" s="381"/>
      <c r="BM85" s="613"/>
      <c r="BN85" s="381"/>
      <c r="BO85" s="613"/>
      <c r="BP85" s="381"/>
      <c r="BQ85" s="613"/>
      <c r="BR85" s="381"/>
      <c r="BS85" s="613"/>
      <c r="BT85" s="381"/>
      <c r="BU85" s="613"/>
      <c r="BV85" s="381"/>
      <c r="BW85" s="613"/>
      <c r="BX85" s="545"/>
      <c r="BY85" s="545"/>
      <c r="BZ85" s="545"/>
      <c r="CA85" s="545"/>
    </row>
    <row r="86" spans="1:79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0.46783630635872492</v>
      </c>
      <c r="H86" s="141"/>
      <c r="I86" s="142">
        <f t="shared" ref="I86" si="781">I83-I72</f>
        <v>0.32686205688588416</v>
      </c>
      <c r="J86" s="141"/>
      <c r="K86" s="142">
        <f t="shared" ref="K86" si="782">K83-K72</f>
        <v>0.3111270303354805</v>
      </c>
      <c r="L86" s="141"/>
      <c r="M86" s="142">
        <f t="shared" ref="M86" si="783">M83-M72</f>
        <v>0.3167314775951971</v>
      </c>
      <c r="N86" s="141"/>
      <c r="O86" s="142">
        <f t="shared" ref="O86" si="784">O83-O72</f>
        <v>3.7357875774196525E-2</v>
      </c>
      <c r="P86" s="141"/>
      <c r="Q86" s="142">
        <f t="shared" ref="Q86" si="785">Q83-Q72</f>
        <v>0.25161928603415251</v>
      </c>
      <c r="R86" s="141"/>
      <c r="S86" s="142">
        <f t="shared" ref="S86" si="786">S83-S72</f>
        <v>0.15001604697170667</v>
      </c>
      <c r="T86" s="141"/>
      <c r="U86" s="142">
        <f t="shared" ref="U86" si="787">U83-U72</f>
        <v>0.2588798434996647</v>
      </c>
      <c r="V86" s="141"/>
      <c r="W86" s="142">
        <f t="shared" ref="W86" si="788">W83-W72</f>
        <v>0.41859799655408447</v>
      </c>
      <c r="X86" s="141"/>
      <c r="Y86" s="142">
        <f t="shared" ref="Y86" si="789">Y83-Y72</f>
        <v>0.43607373625461848</v>
      </c>
      <c r="Z86" s="141"/>
      <c r="AA86" s="142">
        <f t="shared" ref="AA86" si="790">AA83-AA72</f>
        <v>0.46340552257052087</v>
      </c>
      <c r="AB86" s="141"/>
      <c r="AC86" s="142">
        <f t="shared" ref="AC86:AI86" si="791">AC83-AC72</f>
        <v>0.77033480336521798</v>
      </c>
      <c r="AD86" s="141"/>
      <c r="AE86" s="142">
        <f t="shared" si="791"/>
        <v>0.63072675415649604</v>
      </c>
      <c r="AF86" s="141"/>
      <c r="AG86" s="142">
        <f t="shared" si="791"/>
        <v>0.41926747090878147</v>
      </c>
      <c r="AH86" s="141"/>
      <c r="AI86" s="142">
        <f t="shared" si="791"/>
        <v>0.66312720426795624</v>
      </c>
      <c r="AJ86" s="141"/>
      <c r="AK86" s="142">
        <f t="shared" ref="AK86" si="792">AK83-AK72</f>
        <v>0.17147469521154537</v>
      </c>
      <c r="AL86" s="141"/>
      <c r="AM86" s="142">
        <f t="shared" ref="AM86" si="793">AM83-AM72</f>
        <v>0.48696563854263725</v>
      </c>
      <c r="AN86" s="141"/>
      <c r="AO86" s="142">
        <f t="shared" ref="AO86:AQ86" si="794">AO83-AO72</f>
        <v>0.66708709934815724</v>
      </c>
      <c r="AP86" s="141"/>
      <c r="AQ86" s="142">
        <f t="shared" si="794"/>
        <v>0.69652988441199404</v>
      </c>
      <c r="AR86" s="141"/>
      <c r="AS86" s="142">
        <f t="shared" ref="AS86:AU86" si="795">AS83-AS72</f>
        <v>0.75269824241112337</v>
      </c>
      <c r="AT86" s="141"/>
      <c r="AU86" s="142">
        <f t="shared" si="795"/>
        <v>0.45118257770060444</v>
      </c>
      <c r="AV86" s="141"/>
      <c r="AW86" s="142">
        <f t="shared" ref="AW86" si="796">AW83-AW72</f>
        <v>0.55817061794093137</v>
      </c>
      <c r="AX86" s="141"/>
      <c r="AY86" s="599">
        <f>AY83-AY72</f>
        <v>0.85419095547374102</v>
      </c>
      <c r="AZ86" s="141"/>
      <c r="BA86" s="599">
        <f>BA83-BA72</f>
        <v>0.86399473006996352</v>
      </c>
      <c r="BB86" s="141"/>
      <c r="BC86" s="599">
        <f>BC83-BC72</f>
        <v>0.94698727982954178</v>
      </c>
      <c r="BD86" s="141"/>
      <c r="BE86" s="599">
        <f>BE83-BE72</f>
        <v>0.95011648451540642</v>
      </c>
      <c r="BF86" s="141"/>
      <c r="BG86" s="599">
        <f>BG83-BG72</f>
        <v>0.82538141957696975</v>
      </c>
      <c r="BH86" s="141"/>
      <c r="BI86" s="599">
        <f>BI83-BI72</f>
        <v>0.78649492427443501</v>
      </c>
      <c r="BJ86" s="141"/>
      <c r="BK86" s="599">
        <f>BK83-BK72</f>
        <v>0.87535010235156863</v>
      </c>
      <c r="BL86" s="141"/>
      <c r="BM86" s="599">
        <f>BM83-BM72</f>
        <v>0.71618893150093621</v>
      </c>
      <c r="BN86" s="141"/>
      <c r="BO86" s="599">
        <f>BO83-BO72</f>
        <v>0.83385340254946572</v>
      </c>
      <c r="BP86" s="141"/>
      <c r="BQ86" s="599">
        <f>BQ83-BQ72</f>
        <v>0.91537012582312505</v>
      </c>
      <c r="BR86" s="141"/>
      <c r="BS86" s="599">
        <f>BS83-BS72</f>
        <v>0.94244809442303534</v>
      </c>
      <c r="BT86" s="141"/>
      <c r="BU86" s="599">
        <f>BU83-BU72</f>
        <v>0.83845655212965209</v>
      </c>
      <c r="BV86" s="141"/>
      <c r="BW86" s="599">
        <f>BW83-BW72</f>
        <v>0.73466660585029109</v>
      </c>
      <c r="BX86" s="545"/>
      <c r="BY86" s="545"/>
      <c r="BZ86" s="545"/>
      <c r="CA86" s="545"/>
    </row>
    <row r="87" spans="1:79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0.11327755601906173</v>
      </c>
      <c r="H87" s="132"/>
      <c r="I87" s="133">
        <f t="shared" ref="I87" si="797">I86/I67</f>
        <v>7.9143355178180191E-2</v>
      </c>
      <c r="J87" s="132"/>
      <c r="K87" s="133">
        <f t="shared" ref="K87" si="798">K86/K67</f>
        <v>7.5333421388736208E-2</v>
      </c>
      <c r="L87" s="132"/>
      <c r="M87" s="133">
        <f t="shared" ref="M87" si="799">M86/M67</f>
        <v>7.6690430410459351E-2</v>
      </c>
      <c r="N87" s="132"/>
      <c r="O87" s="133">
        <f t="shared" ref="O87" si="800">O86/O67</f>
        <v>9.0454905022267617E-3</v>
      </c>
      <c r="P87" s="132"/>
      <c r="Q87" s="133">
        <f t="shared" ref="Q87" si="801">Q86/Q67</f>
        <v>6.0924766594225792E-2</v>
      </c>
      <c r="R87" s="132"/>
      <c r="S87" s="133">
        <f t="shared" ref="S87" si="802">S86/S67</f>
        <v>3.6323498056103312E-2</v>
      </c>
      <c r="T87" s="132"/>
      <c r="U87" s="133">
        <f t="shared" ref="U87" si="803">U86/U67</f>
        <v>6.268277082316337E-2</v>
      </c>
      <c r="V87" s="132"/>
      <c r="W87" s="133">
        <f t="shared" ref="W87" si="804">W86/W67</f>
        <v>0.1013554471075265</v>
      </c>
      <c r="X87" s="132"/>
      <c r="Y87" s="133">
        <f t="shared" ref="Y87" si="805">Y86/Y67</f>
        <v>0.10558686107860012</v>
      </c>
      <c r="Z87" s="132"/>
      <c r="AA87" s="133">
        <f t="shared" ref="AA87" si="806">AA86/AA67</f>
        <v>0.11220472701465396</v>
      </c>
      <c r="AB87" s="132"/>
      <c r="AC87" s="133">
        <f t="shared" ref="AC87" si="807">AC86/AC67</f>
        <v>0.18652174415622713</v>
      </c>
      <c r="AD87" s="132"/>
      <c r="AE87" s="1143">
        <f t="shared" ref="AE87" si="808">AE86/AE67</f>
        <v>0.15271834241077387</v>
      </c>
      <c r="AF87" s="132"/>
      <c r="AG87" s="1143">
        <f t="shared" ref="AG87" si="809">AG86/AG67</f>
        <v>0.10151754743554031</v>
      </c>
      <c r="AH87" s="132"/>
      <c r="AI87" s="1143">
        <f t="shared" ref="AI87" si="810">AI86/AI67</f>
        <v>0.16056348771621218</v>
      </c>
      <c r="AJ87" s="132"/>
      <c r="AK87" s="1143">
        <f t="shared" ref="AK87" si="811">AK86/AK67</f>
        <v>4.1519296661391134E-2</v>
      </c>
      <c r="AL87" s="132"/>
      <c r="AM87" s="1143">
        <f t="shared" ref="AM87" si="812">AM86/AM67</f>
        <v>0.11790935557933105</v>
      </c>
      <c r="AN87" s="132"/>
      <c r="AO87" s="1143">
        <f t="shared" ref="AO87:AQ87" si="813">AO86/AO67</f>
        <v>0.16152230008429957</v>
      </c>
      <c r="AP87" s="132"/>
      <c r="AQ87" s="133">
        <f t="shared" si="813"/>
        <v>0.16865130373171769</v>
      </c>
      <c r="AR87" s="132"/>
      <c r="AS87" s="133">
        <f t="shared" ref="AS87:AU87" si="814">AS86/AS67</f>
        <v>0.18225139041431559</v>
      </c>
      <c r="AT87" s="132"/>
      <c r="AU87" s="133">
        <f t="shared" si="814"/>
        <v>0.10924517619869357</v>
      </c>
      <c r="AV87" s="132"/>
      <c r="AW87" s="133">
        <f t="shared" ref="AW87" si="815">AW86/AW67</f>
        <v>0.13515027068787686</v>
      </c>
      <c r="AX87" s="381"/>
      <c r="AY87" s="611">
        <f>AY86/AY67</f>
        <v>0.20833925743261977</v>
      </c>
      <c r="AZ87" s="381"/>
      <c r="BA87" s="611">
        <f>BA86/BA67</f>
        <v>0.21073042196828382</v>
      </c>
      <c r="BB87" s="381"/>
      <c r="BC87" s="611">
        <f>BC86/BC67</f>
        <v>0.23097250727549801</v>
      </c>
      <c r="BD87" s="381"/>
      <c r="BE87" s="611">
        <f>BE86/BE67</f>
        <v>0.22355681988597798</v>
      </c>
      <c r="BF87" s="381"/>
      <c r="BG87" s="611">
        <f>BG86/BG67</f>
        <v>0.19420739284163993</v>
      </c>
      <c r="BH87" s="381"/>
      <c r="BI87" s="611">
        <f>BI86/BI67</f>
        <v>0.18505762924104352</v>
      </c>
      <c r="BJ87" s="381"/>
      <c r="BK87" s="611">
        <f>BK86/BK67</f>
        <v>0.20596472996507498</v>
      </c>
      <c r="BL87" s="381"/>
      <c r="BM87" s="611">
        <f>BM86/BM67</f>
        <v>0.16851504270610262</v>
      </c>
      <c r="BN87" s="381"/>
      <c r="BO87" s="611">
        <f>BO86/BO67</f>
        <v>0.1962008005998743</v>
      </c>
      <c r="BP87" s="381"/>
      <c r="BQ87" s="611">
        <f>BQ86/BQ67</f>
        <v>0.21538120607602942</v>
      </c>
      <c r="BR87" s="381"/>
      <c r="BS87" s="611">
        <f>BS86/BS67</f>
        <v>0.22175249280542009</v>
      </c>
      <c r="BT87" s="381"/>
      <c r="BU87" s="611">
        <f>BU86/BU67</f>
        <v>0.19728389461874166</v>
      </c>
      <c r="BV87" s="381"/>
      <c r="BW87" s="611">
        <f>BW86/BW67</f>
        <v>0.17286273078830378</v>
      </c>
      <c r="BX87" s="545"/>
      <c r="BY87" s="545"/>
      <c r="BZ87" s="545"/>
      <c r="CA87" s="545"/>
    </row>
    <row r="88" spans="1:79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132"/>
      <c r="O88" s="133"/>
      <c r="P88" s="132"/>
      <c r="Q88" s="133"/>
      <c r="R88" s="132"/>
      <c r="S88" s="133"/>
      <c r="T88" s="132"/>
      <c r="U88" s="133"/>
      <c r="V88" s="132"/>
      <c r="W88" s="133"/>
      <c r="X88" s="132"/>
      <c r="Y88" s="133"/>
      <c r="Z88" s="132"/>
      <c r="AA88" s="133"/>
      <c r="AB88" s="132"/>
      <c r="AC88" s="133"/>
      <c r="AD88" s="132"/>
      <c r="AE88" s="133"/>
      <c r="AF88" s="132"/>
      <c r="AG88" s="133"/>
      <c r="AH88" s="132"/>
      <c r="AI88" s="133"/>
      <c r="AJ88" s="132"/>
      <c r="AK88" s="133"/>
      <c r="AL88" s="132"/>
      <c r="AM88" s="133"/>
      <c r="AN88" s="132"/>
      <c r="AO88" s="133"/>
      <c r="AP88" s="132"/>
      <c r="AQ88" s="133"/>
      <c r="AR88" s="132"/>
      <c r="AS88" s="133"/>
      <c r="AT88" s="132"/>
      <c r="AU88" s="133"/>
      <c r="AV88" s="132"/>
      <c r="AW88" s="133"/>
      <c r="AX88" s="381"/>
      <c r="AY88" s="613"/>
      <c r="AZ88" s="381"/>
      <c r="BA88" s="613"/>
      <c r="BB88" s="381"/>
      <c r="BC88" s="613"/>
      <c r="BD88" s="381"/>
      <c r="BE88" s="613"/>
      <c r="BF88" s="381"/>
      <c r="BG88" s="613"/>
      <c r="BH88" s="381"/>
      <c r="BI88" s="613"/>
      <c r="BJ88" s="381"/>
      <c r="BK88" s="613"/>
      <c r="BL88" s="381"/>
      <c r="BM88" s="613"/>
      <c r="BN88" s="381"/>
      <c r="BO88" s="613"/>
      <c r="BP88" s="381"/>
      <c r="BQ88" s="613"/>
      <c r="BR88" s="381"/>
      <c r="BS88" s="613"/>
      <c r="BT88" s="381"/>
      <c r="BU88" s="613"/>
      <c r="BV88" s="381"/>
      <c r="BW88" s="613"/>
      <c r="BX88" s="545"/>
      <c r="BY88" s="545"/>
      <c r="BZ88" s="545"/>
      <c r="CA88" s="545"/>
    </row>
    <row r="89" spans="1:79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0.46783630635872492</v>
      </c>
      <c r="H89" s="146"/>
      <c r="I89" s="147">
        <f t="shared" ref="I89" si="816">I86</f>
        <v>0.32686205688588416</v>
      </c>
      <c r="J89" s="146"/>
      <c r="K89" s="147">
        <f t="shared" ref="K89" si="817">K86</f>
        <v>0.3111270303354805</v>
      </c>
      <c r="L89" s="146"/>
      <c r="M89" s="147">
        <f t="shared" ref="M89" si="818">M86</f>
        <v>0.3167314775951971</v>
      </c>
      <c r="N89" s="146"/>
      <c r="O89" s="147">
        <f t="shared" ref="O89" si="819">O86</f>
        <v>3.7357875774196525E-2</v>
      </c>
      <c r="P89" s="146"/>
      <c r="Q89" s="147">
        <f t="shared" ref="Q89" si="820">Q86</f>
        <v>0.25161928603415251</v>
      </c>
      <c r="R89" s="146"/>
      <c r="S89" s="147">
        <f t="shared" ref="S89" si="821">S86</f>
        <v>0.15001604697170667</v>
      </c>
      <c r="T89" s="146"/>
      <c r="U89" s="147">
        <f t="shared" ref="U89" si="822">U86</f>
        <v>0.2588798434996647</v>
      </c>
      <c r="V89" s="146"/>
      <c r="W89" s="147">
        <f t="shared" ref="W89" si="823">W86</f>
        <v>0.41859799655408447</v>
      </c>
      <c r="X89" s="146"/>
      <c r="Y89" s="147">
        <f t="shared" ref="Y89" si="824">Y86</f>
        <v>0.43607373625461848</v>
      </c>
      <c r="Z89" s="146"/>
      <c r="AA89" s="147">
        <f t="shared" ref="AA89" si="825">AA86</f>
        <v>0.46340552257052087</v>
      </c>
      <c r="AB89" s="146"/>
      <c r="AC89" s="147">
        <f t="shared" ref="AC89:AI89" si="826">AC86</f>
        <v>0.77033480336521798</v>
      </c>
      <c r="AD89" s="146"/>
      <c r="AE89" s="147">
        <f t="shared" si="826"/>
        <v>0.63072675415649604</v>
      </c>
      <c r="AF89" s="146"/>
      <c r="AG89" s="147">
        <f t="shared" si="826"/>
        <v>0.41926747090878147</v>
      </c>
      <c r="AH89" s="146"/>
      <c r="AI89" s="147">
        <f t="shared" si="826"/>
        <v>0.66312720426795624</v>
      </c>
      <c r="AJ89" s="146"/>
      <c r="AK89" s="147">
        <f t="shared" ref="AK89" si="827">AK86</f>
        <v>0.17147469521154537</v>
      </c>
      <c r="AL89" s="146"/>
      <c r="AM89" s="147">
        <f t="shared" ref="AM89" si="828">AM86</f>
        <v>0.48696563854263725</v>
      </c>
      <c r="AN89" s="146"/>
      <c r="AO89" s="147">
        <f t="shared" ref="AO89:AQ89" si="829">AO86</f>
        <v>0.66708709934815724</v>
      </c>
      <c r="AP89" s="146"/>
      <c r="AQ89" s="147">
        <f t="shared" si="829"/>
        <v>0.69652988441199404</v>
      </c>
      <c r="AR89" s="146"/>
      <c r="AS89" s="147">
        <f t="shared" ref="AS89:AU89" si="830">AS86</f>
        <v>0.75269824241112337</v>
      </c>
      <c r="AT89" s="146"/>
      <c r="AU89" s="147">
        <f t="shared" si="830"/>
        <v>0.45118257770060444</v>
      </c>
      <c r="AV89" s="146"/>
      <c r="AW89" s="147">
        <f t="shared" ref="AW89" si="831">AW86</f>
        <v>0.55817061794093137</v>
      </c>
      <c r="AX89" s="146"/>
      <c r="AY89" s="601">
        <f>AY86</f>
        <v>0.85419095547374102</v>
      </c>
      <c r="AZ89" s="146"/>
      <c r="BA89" s="601">
        <f>BA86</f>
        <v>0.86399473006996352</v>
      </c>
      <c r="BB89" s="146"/>
      <c r="BC89" s="601">
        <f>BC86</f>
        <v>0.94698727982954178</v>
      </c>
      <c r="BD89" s="146"/>
      <c r="BE89" s="601">
        <f>BE86</f>
        <v>0.95011648451540642</v>
      </c>
      <c r="BF89" s="146"/>
      <c r="BG89" s="601">
        <f>BG86</f>
        <v>0.82538141957696975</v>
      </c>
      <c r="BH89" s="146"/>
      <c r="BI89" s="601">
        <f>BI86</f>
        <v>0.78649492427443501</v>
      </c>
      <c r="BJ89" s="146"/>
      <c r="BK89" s="601">
        <f>BK86</f>
        <v>0.87535010235156863</v>
      </c>
      <c r="BL89" s="146"/>
      <c r="BM89" s="601">
        <f>BM86</f>
        <v>0.71618893150093621</v>
      </c>
      <c r="BN89" s="146"/>
      <c r="BO89" s="601">
        <f>BO86</f>
        <v>0.83385340254946572</v>
      </c>
      <c r="BP89" s="146"/>
      <c r="BQ89" s="601">
        <f>BQ86</f>
        <v>0.91537012582312505</v>
      </c>
      <c r="BR89" s="146"/>
      <c r="BS89" s="601">
        <f>BS86</f>
        <v>0.94244809442303534</v>
      </c>
      <c r="BT89" s="146"/>
      <c r="BU89" s="601">
        <f>BU86</f>
        <v>0.83845655212965209</v>
      </c>
      <c r="BV89" s="146"/>
      <c r="BW89" s="601">
        <f>BW86</f>
        <v>0.73466660585029109</v>
      </c>
      <c r="BX89" s="545"/>
      <c r="BY89" s="545"/>
      <c r="BZ89" s="545"/>
      <c r="CA89" s="545"/>
    </row>
    <row r="90" spans="1:79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0.11327755601906173</v>
      </c>
      <c r="H90" s="132"/>
      <c r="I90" s="133">
        <f t="shared" ref="I90" si="832">I89/I67</f>
        <v>7.9143355178180191E-2</v>
      </c>
      <c r="J90" s="132"/>
      <c r="K90" s="133">
        <f t="shared" ref="K90" si="833">K89/K67</f>
        <v>7.5333421388736208E-2</v>
      </c>
      <c r="L90" s="132"/>
      <c r="M90" s="133">
        <f t="shared" ref="M90" si="834">M89/M67</f>
        <v>7.6690430410459351E-2</v>
      </c>
      <c r="N90" s="132"/>
      <c r="O90" s="133">
        <f t="shared" ref="O90" si="835">O89/O67</f>
        <v>9.0454905022267617E-3</v>
      </c>
      <c r="P90" s="132"/>
      <c r="Q90" s="133">
        <f t="shared" ref="Q90" si="836">Q89/Q67</f>
        <v>6.0924766594225792E-2</v>
      </c>
      <c r="R90" s="132"/>
      <c r="S90" s="133">
        <f t="shared" ref="S90" si="837">S89/S67</f>
        <v>3.6323498056103312E-2</v>
      </c>
      <c r="T90" s="132"/>
      <c r="U90" s="133">
        <f t="shared" ref="U90" si="838">U89/U67</f>
        <v>6.268277082316337E-2</v>
      </c>
      <c r="V90" s="132"/>
      <c r="W90" s="133">
        <f t="shared" ref="W90" si="839">W89/W67</f>
        <v>0.1013554471075265</v>
      </c>
      <c r="X90" s="132"/>
      <c r="Y90" s="133">
        <f t="shared" ref="Y90" si="840">Y89/Y67</f>
        <v>0.10558686107860012</v>
      </c>
      <c r="Z90" s="132"/>
      <c r="AA90" s="133">
        <f t="shared" ref="AA90" si="841">AA89/AA67</f>
        <v>0.11220472701465396</v>
      </c>
      <c r="AB90" s="132"/>
      <c r="AC90" s="133">
        <f t="shared" ref="AC90" si="842">AC89/AC67</f>
        <v>0.18652174415622713</v>
      </c>
      <c r="AD90" s="132"/>
      <c r="AE90" s="1143">
        <f t="shared" ref="AE90" si="843">AE89/AE67</f>
        <v>0.15271834241077387</v>
      </c>
      <c r="AF90" s="132"/>
      <c r="AG90" s="1143">
        <f t="shared" ref="AG90" si="844">AG89/AG67</f>
        <v>0.10151754743554031</v>
      </c>
      <c r="AH90" s="132"/>
      <c r="AI90" s="1143">
        <f t="shared" ref="AI90" si="845">AI89/AI67</f>
        <v>0.16056348771621218</v>
      </c>
      <c r="AJ90" s="132"/>
      <c r="AK90" s="1143">
        <f t="shared" ref="AK90" si="846">AK89/AK67</f>
        <v>4.1519296661391134E-2</v>
      </c>
      <c r="AL90" s="132"/>
      <c r="AM90" s="1143">
        <f t="shared" ref="AM90" si="847">AM89/AM67</f>
        <v>0.11790935557933105</v>
      </c>
      <c r="AN90" s="132"/>
      <c r="AO90" s="1143">
        <f t="shared" ref="AO90:AQ90" si="848">AO89/AO67</f>
        <v>0.16152230008429957</v>
      </c>
      <c r="AP90" s="132"/>
      <c r="AQ90" s="133">
        <f t="shared" si="848"/>
        <v>0.16865130373171769</v>
      </c>
      <c r="AR90" s="132"/>
      <c r="AS90" s="133">
        <f t="shared" ref="AS90:AU90" si="849">AS89/AS67</f>
        <v>0.18225139041431559</v>
      </c>
      <c r="AT90" s="132"/>
      <c r="AU90" s="133">
        <f t="shared" si="849"/>
        <v>0.10924517619869357</v>
      </c>
      <c r="AV90" s="132"/>
      <c r="AW90" s="133">
        <f t="shared" ref="AW90" si="850">AW89/AW67</f>
        <v>0.13515027068787686</v>
      </c>
      <c r="AX90" s="381"/>
      <c r="AY90" s="611">
        <f>AY89/AY67</f>
        <v>0.20833925743261977</v>
      </c>
      <c r="AZ90" s="381"/>
      <c r="BA90" s="611">
        <f>BA89/BA67</f>
        <v>0.21073042196828382</v>
      </c>
      <c r="BB90" s="381"/>
      <c r="BC90" s="611">
        <f>BC89/BC67</f>
        <v>0.23097250727549801</v>
      </c>
      <c r="BD90" s="381"/>
      <c r="BE90" s="611">
        <f>BE89/BE67</f>
        <v>0.22355681988597798</v>
      </c>
      <c r="BF90" s="381"/>
      <c r="BG90" s="611">
        <f>BG89/BG67</f>
        <v>0.19420739284163993</v>
      </c>
      <c r="BH90" s="381"/>
      <c r="BI90" s="611">
        <f>BI89/BI67</f>
        <v>0.18505762924104352</v>
      </c>
      <c r="BJ90" s="381"/>
      <c r="BK90" s="611">
        <f>BK89/BK67</f>
        <v>0.20596472996507498</v>
      </c>
      <c r="BL90" s="381"/>
      <c r="BM90" s="611">
        <f>BM89/BM67</f>
        <v>0.16851504270610262</v>
      </c>
      <c r="BN90" s="381"/>
      <c r="BO90" s="611">
        <f>BO89/BO67</f>
        <v>0.1962008005998743</v>
      </c>
      <c r="BP90" s="381"/>
      <c r="BQ90" s="611">
        <f>BQ89/BQ67</f>
        <v>0.21538120607602942</v>
      </c>
      <c r="BR90" s="381"/>
      <c r="BS90" s="611">
        <f>BS89/BS67</f>
        <v>0.22175249280542009</v>
      </c>
      <c r="BT90" s="381"/>
      <c r="BU90" s="611">
        <f>BU89/BU67</f>
        <v>0.19728389461874166</v>
      </c>
      <c r="BV90" s="381"/>
      <c r="BW90" s="611">
        <f>BW89/BW67</f>
        <v>0.17286273078830378</v>
      </c>
      <c r="BX90" s="545"/>
      <c r="BY90" s="545"/>
      <c r="BZ90" s="545"/>
      <c r="CA90" s="545"/>
    </row>
    <row r="91" spans="1:79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132"/>
      <c r="O91" s="133"/>
      <c r="P91" s="132"/>
      <c r="Q91" s="133"/>
      <c r="R91" s="132"/>
      <c r="S91" s="133"/>
      <c r="T91" s="132"/>
      <c r="U91" s="133"/>
      <c r="V91" s="132"/>
      <c r="W91" s="133"/>
      <c r="X91" s="132"/>
      <c r="Y91" s="133"/>
      <c r="Z91" s="132"/>
      <c r="AA91" s="133"/>
      <c r="AB91" s="132"/>
      <c r="AC91" s="133"/>
      <c r="AD91" s="132"/>
      <c r="AE91" s="133"/>
      <c r="AF91" s="132"/>
      <c r="AG91" s="133"/>
      <c r="AH91" s="132"/>
      <c r="AI91" s="133"/>
      <c r="AJ91" s="132"/>
      <c r="AK91" s="133"/>
      <c r="AL91" s="132"/>
      <c r="AM91" s="133"/>
      <c r="AN91" s="132"/>
      <c r="AO91" s="133"/>
      <c r="AP91" s="132"/>
      <c r="AQ91" s="133"/>
      <c r="AR91" s="132"/>
      <c r="AS91" s="133"/>
      <c r="AT91" s="132"/>
      <c r="AU91" s="133"/>
      <c r="AV91" s="132"/>
      <c r="AW91" s="133"/>
      <c r="AX91" s="381"/>
      <c r="AY91" s="613"/>
      <c r="AZ91" s="381"/>
      <c r="BA91" s="613"/>
      <c r="BB91" s="381"/>
      <c r="BC91" s="613"/>
      <c r="BD91" s="381"/>
      <c r="BE91" s="613"/>
      <c r="BF91" s="381"/>
      <c r="BG91" s="613"/>
      <c r="BH91" s="381"/>
      <c r="BI91" s="613"/>
      <c r="BJ91" s="381"/>
      <c r="BK91" s="613"/>
      <c r="BL91" s="381"/>
      <c r="BM91" s="613"/>
      <c r="BN91" s="381"/>
      <c r="BO91" s="613"/>
      <c r="BP91" s="381"/>
      <c r="BQ91" s="613"/>
      <c r="BR91" s="381"/>
      <c r="BS91" s="613"/>
      <c r="BT91" s="381"/>
      <c r="BU91" s="613"/>
      <c r="BV91" s="381"/>
      <c r="BW91" s="613"/>
      <c r="BX91" s="545"/>
      <c r="BY91" s="545"/>
      <c r="BZ91" s="545"/>
      <c r="CA91" s="545"/>
    </row>
    <row r="92" spans="1:79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604">
        <v>0.3</v>
      </c>
      <c r="AZ92" s="256"/>
      <c r="BA92" s="604">
        <v>0.3</v>
      </c>
      <c r="BB92" s="256"/>
      <c r="BC92" s="604">
        <v>0.3</v>
      </c>
      <c r="BD92" s="256"/>
      <c r="BE92" s="604">
        <v>0.3</v>
      </c>
      <c r="BF92" s="256"/>
      <c r="BG92" s="604">
        <v>0.3</v>
      </c>
      <c r="BH92" s="256"/>
      <c r="BI92" s="604">
        <v>0.3</v>
      </c>
      <c r="BJ92" s="256"/>
      <c r="BK92" s="604">
        <v>0.3</v>
      </c>
      <c r="BL92" s="256"/>
      <c r="BM92" s="604">
        <v>0.3</v>
      </c>
      <c r="BN92" s="256"/>
      <c r="BO92" s="604">
        <v>0.85</v>
      </c>
      <c r="BP92" s="256"/>
      <c r="BQ92" s="604">
        <v>0.85</v>
      </c>
      <c r="BR92" s="256"/>
      <c r="BS92" s="604">
        <v>0.85</v>
      </c>
      <c r="BT92" s="256"/>
      <c r="BU92" s="604">
        <v>0.3</v>
      </c>
      <c r="BV92" s="256"/>
      <c r="BW92" s="604">
        <v>0.85</v>
      </c>
      <c r="BX92" s="545"/>
      <c r="BY92" s="545"/>
      <c r="BZ92" s="545"/>
      <c r="CA92" s="545"/>
    </row>
    <row r="93" spans="1:79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0.46783630635872492</v>
      </c>
      <c r="H93" s="146"/>
      <c r="I93" s="147">
        <f t="shared" ref="I93" si="851">I89-I92</f>
        <v>0.32686205688588416</v>
      </c>
      <c r="J93" s="146"/>
      <c r="K93" s="147">
        <f t="shared" ref="K93" si="852">K89-K92</f>
        <v>0.3111270303354805</v>
      </c>
      <c r="L93" s="146"/>
      <c r="M93" s="147">
        <f t="shared" ref="M93" si="853">M89-M92</f>
        <v>0.3167314775951971</v>
      </c>
      <c r="N93" s="146"/>
      <c r="O93" s="147">
        <f t="shared" ref="O93" si="854">O89-O92</f>
        <v>3.7357875774196525E-2</v>
      </c>
      <c r="P93" s="146"/>
      <c r="Q93" s="147">
        <f t="shared" ref="Q93" si="855">Q89-Q92</f>
        <v>0.25161928603415251</v>
      </c>
      <c r="R93" s="146"/>
      <c r="S93" s="147">
        <f t="shared" ref="S93" si="856">S89-S92</f>
        <v>0.15001604697170667</v>
      </c>
      <c r="T93" s="146"/>
      <c r="U93" s="147">
        <f t="shared" ref="U93" si="857">U89-U92</f>
        <v>0.2588798434996647</v>
      </c>
      <c r="V93" s="146"/>
      <c r="W93" s="147">
        <f t="shared" ref="W93" si="858">W89-W92</f>
        <v>0.41859799655408447</v>
      </c>
      <c r="X93" s="146"/>
      <c r="Y93" s="147">
        <f t="shared" ref="Y93" si="859">Y89-Y92</f>
        <v>0.43607373625461848</v>
      </c>
      <c r="Z93" s="146"/>
      <c r="AA93" s="147">
        <f t="shared" ref="AA93" si="860">AA89-AA92</f>
        <v>0.46340552257052087</v>
      </c>
      <c r="AB93" s="146"/>
      <c r="AC93" s="147">
        <f t="shared" ref="AC93" si="861">AC89-AC92</f>
        <v>0.77033480336521798</v>
      </c>
      <c r="AD93" s="146"/>
      <c r="AE93" s="147">
        <f t="shared" ref="AE93" si="862">AE89-AE92</f>
        <v>0.63072675415649604</v>
      </c>
      <c r="AF93" s="146"/>
      <c r="AG93" s="147">
        <f t="shared" ref="AG93" si="863">AG89-AG92</f>
        <v>0.41926747090878147</v>
      </c>
      <c r="AH93" s="146"/>
      <c r="AI93" s="147">
        <f t="shared" ref="AI93" si="864">AI89-AI92</f>
        <v>0.66312720426795624</v>
      </c>
      <c r="AJ93" s="146"/>
      <c r="AK93" s="147">
        <f t="shared" ref="AK93" si="865">AK89-AK92</f>
        <v>0.17147469521154537</v>
      </c>
      <c r="AL93" s="146"/>
      <c r="AM93" s="147">
        <f t="shared" ref="AM93" si="866">AM89-AM92</f>
        <v>0.48696563854263725</v>
      </c>
      <c r="AN93" s="146"/>
      <c r="AO93" s="147">
        <f t="shared" ref="AO93:AQ93" si="867">AO89-AO92</f>
        <v>0.66708709934815724</v>
      </c>
      <c r="AP93" s="146"/>
      <c r="AQ93" s="147">
        <f t="shared" si="867"/>
        <v>0.69652988441199404</v>
      </c>
      <c r="AR93" s="146"/>
      <c r="AS93" s="147">
        <f t="shared" ref="AS93:AU93" si="868">AS89-AS92</f>
        <v>0.75269824241112337</v>
      </c>
      <c r="AT93" s="146"/>
      <c r="AU93" s="147">
        <f t="shared" si="868"/>
        <v>0.45118257770060444</v>
      </c>
      <c r="AV93" s="146"/>
      <c r="AW93" s="147">
        <f t="shared" ref="AW93" si="869">AW89-AW92</f>
        <v>0.55817061794093137</v>
      </c>
      <c r="AX93" s="146"/>
      <c r="AY93" s="601">
        <f>AY89-AY92</f>
        <v>0.55419095547374098</v>
      </c>
      <c r="AZ93" s="146"/>
      <c r="BA93" s="601">
        <f>BA89-BA92</f>
        <v>0.56399473006996348</v>
      </c>
      <c r="BB93" s="146"/>
      <c r="BC93" s="601">
        <f>BC89-BC92</f>
        <v>0.64698727982954174</v>
      </c>
      <c r="BD93" s="146"/>
      <c r="BE93" s="601">
        <f>BE89-BE92</f>
        <v>0.65011648451540638</v>
      </c>
      <c r="BF93" s="146"/>
      <c r="BG93" s="601">
        <f>BG89-BG92</f>
        <v>0.52538141957696971</v>
      </c>
      <c r="BH93" s="146"/>
      <c r="BI93" s="601">
        <f>BI89-BI92</f>
        <v>0.48649492427443503</v>
      </c>
      <c r="BJ93" s="146"/>
      <c r="BK93" s="601">
        <f>BK89-BK92</f>
        <v>0.57535010235156858</v>
      </c>
      <c r="BL93" s="146"/>
      <c r="BM93" s="601">
        <f>BM89-BM92</f>
        <v>0.41618893150093622</v>
      </c>
      <c r="BN93" s="146"/>
      <c r="BO93" s="601">
        <f>BO89-BO92</f>
        <v>-1.6146597450534261E-2</v>
      </c>
      <c r="BP93" s="146"/>
      <c r="BQ93" s="601">
        <f>BQ89-BQ92</f>
        <v>6.5370125823125069E-2</v>
      </c>
      <c r="BR93" s="146"/>
      <c r="BS93" s="601">
        <f>BS89-BS92</f>
        <v>9.2448094423035365E-2</v>
      </c>
      <c r="BT93" s="146"/>
      <c r="BU93" s="601">
        <f>BU89-BU92</f>
        <v>0.53845655212965204</v>
      </c>
      <c r="BV93" s="146"/>
      <c r="BW93" s="601">
        <f>BW89-BW92</f>
        <v>-0.11533339414970889</v>
      </c>
      <c r="BX93" s="545"/>
      <c r="BY93" s="545"/>
      <c r="BZ93" s="545"/>
      <c r="CA93" s="545"/>
    </row>
    <row r="94" spans="1:79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0.11327755601906173</v>
      </c>
      <c r="H94" s="132"/>
      <c r="I94" s="133">
        <f t="shared" ref="I94" si="870">I93/I67</f>
        <v>7.9143355178180191E-2</v>
      </c>
      <c r="J94" s="132"/>
      <c r="K94" s="133">
        <f t="shared" ref="K94" si="871">K93/K67</f>
        <v>7.5333421388736208E-2</v>
      </c>
      <c r="L94" s="132"/>
      <c r="M94" s="133">
        <f t="shared" ref="M94" si="872">M93/M67</f>
        <v>7.6690430410459351E-2</v>
      </c>
      <c r="N94" s="132"/>
      <c r="O94" s="133">
        <f t="shared" ref="O94" si="873">O93/O67</f>
        <v>9.0454905022267617E-3</v>
      </c>
      <c r="P94" s="132"/>
      <c r="Q94" s="133">
        <f t="shared" ref="Q94" si="874">Q93/Q67</f>
        <v>6.0924766594225792E-2</v>
      </c>
      <c r="R94" s="132"/>
      <c r="S94" s="133">
        <f t="shared" ref="S94" si="875">S93/S67</f>
        <v>3.6323498056103312E-2</v>
      </c>
      <c r="T94" s="132"/>
      <c r="U94" s="133">
        <f t="shared" ref="U94" si="876">U93/U67</f>
        <v>6.268277082316337E-2</v>
      </c>
      <c r="V94" s="132"/>
      <c r="W94" s="133">
        <f t="shared" ref="W94" si="877">W93/W67</f>
        <v>0.1013554471075265</v>
      </c>
      <c r="X94" s="132"/>
      <c r="Y94" s="133">
        <f t="shared" ref="Y94" si="878">Y93/Y67</f>
        <v>0.10558686107860012</v>
      </c>
      <c r="Z94" s="132"/>
      <c r="AA94" s="133">
        <f t="shared" ref="AA94" si="879">AA93/AA67</f>
        <v>0.11220472701465396</v>
      </c>
      <c r="AB94" s="132"/>
      <c r="AC94" s="133">
        <f t="shared" ref="AC94" si="880">AC93/AC67</f>
        <v>0.18652174415622713</v>
      </c>
      <c r="AD94" s="132"/>
      <c r="AE94" s="1143">
        <f t="shared" ref="AE94" si="881">AE93/AE67</f>
        <v>0.15271834241077387</v>
      </c>
      <c r="AF94" s="132"/>
      <c r="AG94" s="1143">
        <f t="shared" ref="AG94" si="882">AG93/AG67</f>
        <v>0.10151754743554031</v>
      </c>
      <c r="AH94" s="132"/>
      <c r="AI94" s="1143">
        <f t="shared" ref="AI94" si="883">AI93/AI67</f>
        <v>0.16056348771621218</v>
      </c>
      <c r="AJ94" s="132"/>
      <c r="AK94" s="1143">
        <f t="shared" ref="AK94" si="884">AK93/AK67</f>
        <v>4.1519296661391134E-2</v>
      </c>
      <c r="AL94" s="132"/>
      <c r="AM94" s="1143">
        <f t="shared" ref="AM94" si="885">AM93/AM67</f>
        <v>0.11790935557933105</v>
      </c>
      <c r="AN94" s="132"/>
      <c r="AO94" s="1143">
        <f t="shared" ref="AO94:AQ94" si="886">AO93/AO67</f>
        <v>0.16152230008429957</v>
      </c>
      <c r="AP94" s="132"/>
      <c r="AQ94" s="133">
        <f t="shared" si="886"/>
        <v>0.16865130373171769</v>
      </c>
      <c r="AR94" s="132"/>
      <c r="AS94" s="133">
        <f t="shared" ref="AS94:AU94" si="887">AS93/AS67</f>
        <v>0.18225139041431559</v>
      </c>
      <c r="AT94" s="132"/>
      <c r="AU94" s="133">
        <f t="shared" si="887"/>
        <v>0.10924517619869357</v>
      </c>
      <c r="AV94" s="132"/>
      <c r="AW94" s="133">
        <f t="shared" ref="AW94" si="888">AW93/AW67</f>
        <v>0.13515027068787686</v>
      </c>
      <c r="AX94" s="381"/>
      <c r="AY94" s="611">
        <f>AY93/AY67</f>
        <v>0.13516852572530269</v>
      </c>
      <c r="AZ94" s="381"/>
      <c r="BA94" s="611">
        <f>BA93/BA67</f>
        <v>0.1375596902609667</v>
      </c>
      <c r="BB94" s="381"/>
      <c r="BC94" s="611">
        <f>BC93/BC67</f>
        <v>0.15780177556818092</v>
      </c>
      <c r="BD94" s="381"/>
      <c r="BE94" s="611">
        <f>BE93/BE67</f>
        <v>0.15296858459186033</v>
      </c>
      <c r="BF94" s="381"/>
      <c r="BG94" s="611">
        <f>BG93/BG67</f>
        <v>0.12361915754752228</v>
      </c>
      <c r="BH94" s="381"/>
      <c r="BI94" s="611">
        <f>BI93/BI67</f>
        <v>0.11446939394692589</v>
      </c>
      <c r="BJ94" s="381"/>
      <c r="BK94" s="611">
        <f>BK93/BK67</f>
        <v>0.1353764946709573</v>
      </c>
      <c r="BL94" s="381"/>
      <c r="BM94" s="611">
        <f>BM93/BM67</f>
        <v>9.7926807411984992E-2</v>
      </c>
      <c r="BN94" s="381"/>
      <c r="BO94" s="611">
        <f>BO93/BO67</f>
        <v>-3.7991994001257087E-3</v>
      </c>
      <c r="BP94" s="381"/>
      <c r="BQ94" s="611">
        <f>BQ93/BQ67</f>
        <v>1.5381206076029427E-2</v>
      </c>
      <c r="BR94" s="381"/>
      <c r="BS94" s="611">
        <f>BS93/BS67</f>
        <v>2.1752492805420087E-2</v>
      </c>
      <c r="BT94" s="381"/>
      <c r="BU94" s="611">
        <f>BU93/BU67</f>
        <v>0.12669565932462401</v>
      </c>
      <c r="BV94" s="381"/>
      <c r="BW94" s="611">
        <f>BW93/BW67</f>
        <v>-2.7137269211696208E-2</v>
      </c>
      <c r="BX94" s="545"/>
      <c r="BY94" s="545"/>
      <c r="BZ94" s="545"/>
      <c r="CA94" s="545"/>
    </row>
    <row r="95" spans="1:79" s="65" customFormat="1" ht="6.6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132"/>
      <c r="O95" s="133"/>
      <c r="P95" s="132"/>
      <c r="Q95" s="133"/>
      <c r="R95" s="132"/>
      <c r="S95" s="133"/>
      <c r="T95" s="132"/>
      <c r="U95" s="133"/>
      <c r="V95" s="132"/>
      <c r="W95" s="133"/>
      <c r="X95" s="132"/>
      <c r="Y95" s="133"/>
      <c r="Z95" s="132"/>
      <c r="AA95" s="133"/>
      <c r="AB95" s="132"/>
      <c r="AC95" s="133"/>
      <c r="AD95" s="132"/>
      <c r="AE95" s="133"/>
      <c r="AF95" s="132"/>
      <c r="AG95" s="133"/>
      <c r="AH95" s="132"/>
      <c r="AI95" s="133"/>
      <c r="AJ95" s="132"/>
      <c r="AK95" s="133"/>
      <c r="AL95" s="132"/>
      <c r="AM95" s="133"/>
      <c r="AN95" s="132"/>
      <c r="AO95" s="133"/>
      <c r="AP95" s="132"/>
      <c r="AQ95" s="133"/>
      <c r="AR95" s="132"/>
      <c r="AS95" s="133"/>
      <c r="AT95" s="132"/>
      <c r="AU95" s="133"/>
      <c r="AV95" s="132"/>
      <c r="AW95" s="133"/>
      <c r="AX95" s="381"/>
      <c r="AY95" s="613"/>
      <c r="AZ95" s="381"/>
      <c r="BA95" s="613"/>
      <c r="BB95" s="381"/>
      <c r="BC95" s="613"/>
      <c r="BD95" s="381"/>
      <c r="BE95" s="613"/>
      <c r="BF95" s="381"/>
      <c r="BG95" s="613"/>
      <c r="BH95" s="381"/>
      <c r="BI95" s="613"/>
      <c r="BJ95" s="381"/>
      <c r="BK95" s="613"/>
      <c r="BL95" s="381"/>
      <c r="BM95" s="613"/>
      <c r="BN95" s="381"/>
      <c r="BO95" s="613"/>
      <c r="BP95" s="381"/>
      <c r="BQ95" s="613"/>
      <c r="BR95" s="381"/>
      <c r="BS95" s="613"/>
      <c r="BT95" s="381"/>
      <c r="BU95" s="613"/>
      <c r="BV95" s="381"/>
      <c r="BW95" s="613"/>
      <c r="BX95" s="545"/>
      <c r="BY95" s="545"/>
      <c r="BZ95" s="545"/>
      <c r="CA95" s="545"/>
    </row>
    <row r="96" spans="1:79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1.6780493010351116E-2</v>
      </c>
      <c r="H96" s="132"/>
      <c r="I96" s="383">
        <f t="shared" ref="I96" si="889">(I136-I135)/I66</f>
        <v>0.12166034741204479</v>
      </c>
      <c r="J96" s="132"/>
      <c r="K96" s="383">
        <f t="shared" ref="K96" si="890">(K136-K135)/K66</f>
        <v>5.782438067206281E-2</v>
      </c>
      <c r="L96" s="132"/>
      <c r="M96" s="383">
        <f t="shared" ref="M96" si="891">(M136-M135)/M66</f>
        <v>-1.416110273530047E-2</v>
      </c>
      <c r="N96" s="132"/>
      <c r="O96" s="383">
        <f t="shared" ref="O96" si="892">(O136-O135)/O66</f>
        <v>7.9012961116650099E-2</v>
      </c>
      <c r="P96" s="132"/>
      <c r="Q96" s="383">
        <f t="shared" ref="Q96" si="893">(Q136-Q135)/Q66</f>
        <v>1.9753438034014199E-2</v>
      </c>
      <c r="R96" s="132"/>
      <c r="S96" s="383">
        <f t="shared" ref="S96" si="894">(S136-S135)/S66</f>
        <v>2.0579328615456329E-2</v>
      </c>
      <c r="T96" s="132"/>
      <c r="U96" s="383">
        <f t="shared" ref="U96" si="895">(U136-U135)/U66</f>
        <v>6.5365329512893783E-3</v>
      </c>
      <c r="V96" s="132"/>
      <c r="W96" s="383">
        <f t="shared" ref="W96" si="896">(W136-W135)/W66</f>
        <v>-3.9708584930427948E-2</v>
      </c>
      <c r="X96" s="132"/>
      <c r="Y96" s="383">
        <f t="shared" ref="Y96" si="897">(Y136-Y135)/Y66</f>
        <v>-0.10063736641057557</v>
      </c>
      <c r="Z96" s="132"/>
      <c r="AA96" s="383">
        <f t="shared" ref="AA96" si="898">(AA136-AA135)/AA66</f>
        <v>-0.12500256553109124</v>
      </c>
      <c r="AB96" s="132"/>
      <c r="AC96" s="383">
        <f t="shared" ref="AC96:AI96" si="899">(AC136-AC135)/AC66</f>
        <v>-0.13071303643763227</v>
      </c>
      <c r="AD96" s="132"/>
      <c r="AE96" s="383">
        <f t="shared" si="899"/>
        <v>-0.16616921530115975</v>
      </c>
      <c r="AF96" s="132"/>
      <c r="AG96" s="383">
        <f t="shared" si="899"/>
        <v>-0.2171711292200233</v>
      </c>
      <c r="AH96" s="132"/>
      <c r="AI96" s="383">
        <f t="shared" si="899"/>
        <v>-0.11009587966923297</v>
      </c>
      <c r="AJ96" s="132"/>
      <c r="AK96" s="383">
        <f t="shared" ref="AK96" si="900">(AK136-AK135)/AK66</f>
        <v>-0.24513752052545157</v>
      </c>
      <c r="AL96" s="132"/>
      <c r="AM96" s="383">
        <f t="shared" ref="AM96" si="901">(AM136-AM135)/AM66</f>
        <v>-0.15416666666666667</v>
      </c>
      <c r="AN96" s="132"/>
      <c r="AO96" s="383">
        <f t="shared" ref="AO96:AQ96" si="902">(AO136-AO135)/AO66</f>
        <v>-0.21875</v>
      </c>
      <c r="AP96" s="132"/>
      <c r="AQ96" s="383">
        <f t="shared" si="902"/>
        <v>-0.22812499999999999</v>
      </c>
      <c r="AR96" s="132"/>
      <c r="AS96" s="383">
        <f t="shared" ref="AS96:AU96" si="903">(AS136-AS135)/AS66</f>
        <v>-0.22812499999999999</v>
      </c>
      <c r="AT96" s="132"/>
      <c r="AU96" s="383">
        <f t="shared" si="903"/>
        <v>-0.22812499999999999</v>
      </c>
      <c r="AV96" s="132"/>
      <c r="AW96" s="383">
        <f t="shared" ref="AW96" si="904">(AW136-AW135)/AW66</f>
        <v>-0.22812499999999999</v>
      </c>
      <c r="AX96" s="381"/>
      <c r="AY96" s="383">
        <f>(AY136-AY135)/AY66</f>
        <v>-0.23749999999999999</v>
      </c>
      <c r="AZ96" s="381"/>
      <c r="BA96" s="383">
        <f>(BA136-BA135)/BA66</f>
        <v>-0.23749999999999999</v>
      </c>
      <c r="BB96" s="381"/>
      <c r="BC96" s="383">
        <f>(BC136-BC135)/BC66</f>
        <v>-0.23854166666666668</v>
      </c>
      <c r="BD96" s="381"/>
      <c r="BE96" s="383">
        <f>(BE136-BE135)/BE66</f>
        <v>-0.23416666666666666</v>
      </c>
      <c r="BF96" s="381"/>
      <c r="BG96" s="383">
        <f>(BG136-BG135)/BG66</f>
        <v>-0.23979166666666665</v>
      </c>
      <c r="BH96" s="381"/>
      <c r="BI96" s="383">
        <f>(BI136-BI135)/BI66</f>
        <v>-0.23749999999999999</v>
      </c>
      <c r="BJ96" s="381"/>
      <c r="BK96" s="383">
        <f>(BK136-BK135)/BK66</f>
        <v>-9.4728183118741066E-2</v>
      </c>
      <c r="BL96" s="381"/>
      <c r="BM96" s="383">
        <f>(BM136-BM135)/BM66</f>
        <v>-0.14604166666666665</v>
      </c>
      <c r="BN96" s="381"/>
      <c r="BO96" s="383">
        <f>(BO136-BO135)/BO66</f>
        <v>-0.14893816127315371</v>
      </c>
      <c r="BP96" s="381"/>
      <c r="BQ96" s="383">
        <f>(BQ136-BQ135)/BQ66</f>
        <v>-0.159056481281108</v>
      </c>
      <c r="BR96" s="381"/>
      <c r="BS96" s="383">
        <f>(BS136-BS135)/BS66</f>
        <v>-0.16078770828824929</v>
      </c>
      <c r="BT96" s="381"/>
      <c r="BU96" s="383">
        <f>(BU136-BU135)/BU66</f>
        <v>-0.14374999999999999</v>
      </c>
      <c r="BV96" s="381"/>
      <c r="BW96" s="383">
        <f>(BW136-BW135)/BW66</f>
        <v>-0.11902185674096516</v>
      </c>
      <c r="BX96" s="545"/>
      <c r="BY96" s="545"/>
      <c r="BZ96" s="545"/>
      <c r="CA96" s="545"/>
    </row>
    <row r="97" spans="1:79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132"/>
      <c r="O97" s="133"/>
      <c r="P97" s="132"/>
      <c r="Q97" s="133"/>
      <c r="R97" s="132"/>
      <c r="S97" s="133"/>
      <c r="T97" s="132"/>
      <c r="U97" s="133"/>
      <c r="V97" s="132"/>
      <c r="W97" s="133"/>
      <c r="X97" s="132"/>
      <c r="Y97" s="133"/>
      <c r="Z97" s="132"/>
      <c r="AA97" s="133"/>
      <c r="AB97" s="132"/>
      <c r="AC97" s="133"/>
      <c r="AD97" s="132"/>
      <c r="AE97" s="133"/>
      <c r="AF97" s="132"/>
      <c r="AG97" s="133"/>
      <c r="AH97" s="132"/>
      <c r="AI97" s="133"/>
      <c r="AJ97" s="132"/>
      <c r="AK97" s="133"/>
      <c r="AL97" s="132"/>
      <c r="AM97" s="133"/>
      <c r="AN97" s="132"/>
      <c r="AO97" s="133"/>
      <c r="AP97" s="132"/>
      <c r="AQ97" s="133"/>
      <c r="AR97" s="132"/>
      <c r="AS97" s="133"/>
      <c r="AT97" s="132"/>
      <c r="AU97" s="133"/>
      <c r="AV97" s="132"/>
      <c r="AW97" s="133"/>
      <c r="AX97" s="381"/>
      <c r="AY97" s="383"/>
      <c r="AZ97" s="381"/>
      <c r="BA97" s="383"/>
      <c r="BB97" s="381"/>
      <c r="BC97" s="383"/>
      <c r="BD97" s="381"/>
      <c r="BE97" s="383"/>
      <c r="BF97" s="381"/>
      <c r="BG97" s="383"/>
      <c r="BH97" s="381"/>
      <c r="BI97" s="383"/>
      <c r="BJ97" s="381"/>
      <c r="BK97" s="383"/>
      <c r="BL97" s="381"/>
      <c r="BM97" s="383"/>
      <c r="BN97" s="381"/>
      <c r="BO97" s="383"/>
      <c r="BP97" s="381"/>
      <c r="BQ97" s="383"/>
      <c r="BR97" s="381"/>
      <c r="BS97" s="383"/>
      <c r="BT97" s="381"/>
      <c r="BU97" s="383"/>
      <c r="BV97" s="381"/>
      <c r="BW97" s="383"/>
      <c r="BX97" s="545"/>
      <c r="BY97" s="545"/>
      <c r="BZ97" s="545"/>
      <c r="CA97" s="545"/>
    </row>
    <row r="98" spans="1:79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0.4510558133483738</v>
      </c>
      <c r="H98" s="591"/>
      <c r="I98" s="590">
        <f t="shared" ref="I98" si="905">I93-I96</f>
        <v>0.20520170947383937</v>
      </c>
      <c r="J98" s="591"/>
      <c r="K98" s="590">
        <f t="shared" ref="K98" si="906">K93-K96</f>
        <v>0.2533026496634177</v>
      </c>
      <c r="L98" s="591"/>
      <c r="M98" s="590">
        <f t="shared" ref="M98" si="907">M93-M96</f>
        <v>0.33089258033049757</v>
      </c>
      <c r="N98" s="591"/>
      <c r="O98" s="590">
        <f t="shared" ref="O98" si="908">O93-O96</f>
        <v>-4.1655085342453574E-2</v>
      </c>
      <c r="P98" s="591"/>
      <c r="Q98" s="590">
        <f t="shared" ref="Q98" si="909">Q93-Q96</f>
        <v>0.23186584800013832</v>
      </c>
      <c r="R98" s="591"/>
      <c r="S98" s="590">
        <f t="shared" ref="S98" si="910">S93-S96</f>
        <v>0.12943671835625034</v>
      </c>
      <c r="T98" s="591"/>
      <c r="U98" s="590">
        <f t="shared" ref="U98" si="911">U93-U96</f>
        <v>0.25234331054837533</v>
      </c>
      <c r="V98" s="591"/>
      <c r="W98" s="590">
        <f t="shared" ref="W98" si="912">W93-W96</f>
        <v>0.45830658148451242</v>
      </c>
      <c r="X98" s="591"/>
      <c r="Y98" s="590">
        <f t="shared" ref="Y98" si="913">Y93-Y96</f>
        <v>0.53671110266519406</v>
      </c>
      <c r="Z98" s="591"/>
      <c r="AA98" s="590">
        <f t="shared" ref="AA98" si="914">AA93-AA96</f>
        <v>0.58840808810161205</v>
      </c>
      <c r="AB98" s="591"/>
      <c r="AC98" s="590">
        <f t="shared" ref="AC98:AI98" si="915">AC93-AC96</f>
        <v>0.9010478398028503</v>
      </c>
      <c r="AD98" s="591"/>
      <c r="AE98" s="590">
        <f t="shared" si="915"/>
        <v>0.79689596945765584</v>
      </c>
      <c r="AF98" s="591"/>
      <c r="AG98" s="590">
        <f t="shared" si="915"/>
        <v>0.63643860012880471</v>
      </c>
      <c r="AH98" s="591"/>
      <c r="AI98" s="590">
        <f t="shared" si="915"/>
        <v>0.77322308393718919</v>
      </c>
      <c r="AJ98" s="591"/>
      <c r="AK98" s="590">
        <f t="shared" ref="AK98" si="916">AK93-AK96</f>
        <v>0.41661221573699692</v>
      </c>
      <c r="AL98" s="591"/>
      <c r="AM98" s="590">
        <f t="shared" ref="AM98" si="917">AM93-AM96</f>
        <v>0.64113230520930387</v>
      </c>
      <c r="AN98" s="591"/>
      <c r="AO98" s="590">
        <f t="shared" ref="AO98" si="918">AO93-AO96</f>
        <v>0.88583709934815724</v>
      </c>
      <c r="AP98" s="591"/>
      <c r="AQ98" s="590">
        <f>AQ93-AQ96</f>
        <v>0.92465488441199406</v>
      </c>
      <c r="AR98" s="591"/>
      <c r="AS98" s="590">
        <f t="shared" ref="AS98:AU98" si="919">AS93-AS96</f>
        <v>0.9808232424111234</v>
      </c>
      <c r="AT98" s="591"/>
      <c r="AU98" s="590">
        <f t="shared" si="919"/>
        <v>0.67930757770060446</v>
      </c>
      <c r="AV98" s="591"/>
      <c r="AW98" s="590">
        <f t="shared" ref="AW98" si="920">AW93-AW96</f>
        <v>0.78629561794093139</v>
      </c>
      <c r="AX98" s="155"/>
      <c r="AY98" s="590">
        <f>AY93-AY96</f>
        <v>0.79169095547374102</v>
      </c>
      <c r="AZ98" s="155"/>
      <c r="BA98" s="590">
        <f>BA93-BA96</f>
        <v>0.80149473006996352</v>
      </c>
      <c r="BB98" s="155"/>
      <c r="BC98" s="590">
        <f>BC93-BC96</f>
        <v>0.88552894649620839</v>
      </c>
      <c r="BD98" s="155"/>
      <c r="BE98" s="590">
        <f>BE93-BE96</f>
        <v>0.88428315118207301</v>
      </c>
      <c r="BF98" s="155"/>
      <c r="BG98" s="590">
        <f>BG93-BG96</f>
        <v>0.76517308624363634</v>
      </c>
      <c r="BH98" s="155"/>
      <c r="BI98" s="590">
        <f>BI93-BI96</f>
        <v>0.72399492427443501</v>
      </c>
      <c r="BJ98" s="155"/>
      <c r="BK98" s="590">
        <f>BK93-BK96</f>
        <v>0.67007828547030968</v>
      </c>
      <c r="BL98" s="155"/>
      <c r="BM98" s="590">
        <f>BM93-BM96</f>
        <v>0.5622305981676029</v>
      </c>
      <c r="BN98" s="155"/>
      <c r="BO98" s="590">
        <f>BO93-BO96</f>
        <v>0.13279156382261945</v>
      </c>
      <c r="BP98" s="155"/>
      <c r="BQ98" s="590">
        <f>BQ93-BQ96</f>
        <v>0.22442660710423307</v>
      </c>
      <c r="BR98" s="155"/>
      <c r="BS98" s="590">
        <f>BS93-BS96</f>
        <v>0.25323580271128465</v>
      </c>
      <c r="BT98" s="155"/>
      <c r="BU98" s="590">
        <f>BU93-BU96</f>
        <v>0.68220655212965209</v>
      </c>
      <c r="BV98" s="155"/>
      <c r="BW98" s="590">
        <f>BW93-BW96</f>
        <v>3.6884625912562696E-3</v>
      </c>
      <c r="BX98" s="545"/>
      <c r="BY98" s="545"/>
      <c r="BZ98" s="545"/>
      <c r="CA98" s="545"/>
    </row>
    <row r="99" spans="1:79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0.10921448265093797</v>
      </c>
      <c r="H99" s="159"/>
      <c r="I99" s="1097">
        <f t="shared" ref="I99" si="921">I98/I67</f>
        <v>4.9685643940396942E-2</v>
      </c>
      <c r="J99" s="159"/>
      <c r="K99" s="1097">
        <f t="shared" ref="K99" si="922">K98/K67</f>
        <v>6.1332360693321479E-2</v>
      </c>
      <c r="L99" s="159"/>
      <c r="M99" s="1097">
        <f t="shared" ref="M99" si="923">M98/M67</f>
        <v>8.0119268845156799E-2</v>
      </c>
      <c r="N99" s="159"/>
      <c r="O99" s="1097">
        <f t="shared" ref="O99" si="924">O98/O67</f>
        <v>-1.0085977080497233E-2</v>
      </c>
      <c r="P99" s="159"/>
      <c r="Q99" s="1097">
        <f t="shared" ref="Q99" si="925">Q98/Q67</f>
        <v>5.6141851816014124E-2</v>
      </c>
      <c r="R99" s="159"/>
      <c r="S99" s="1097">
        <f t="shared" ref="S99" si="926">S98/S67</f>
        <v>3.134060977148919E-2</v>
      </c>
      <c r="T99" s="159"/>
      <c r="U99" s="1097">
        <f t="shared" ref="U99" si="927">U98/U67</f>
        <v>6.1100075193311218E-2</v>
      </c>
      <c r="V99" s="159"/>
      <c r="W99" s="1097">
        <f t="shared" ref="W99" si="928">W98/W67</f>
        <v>0.1109701165822064</v>
      </c>
      <c r="X99" s="159"/>
      <c r="Y99" s="1097">
        <f t="shared" ref="Y99" si="929">Y98/Y67</f>
        <v>0.1299542621465361</v>
      </c>
      <c r="Z99" s="159"/>
      <c r="AA99" s="1097">
        <f t="shared" ref="AA99" si="930">AA98/AA67</f>
        <v>0.14247169203428864</v>
      </c>
      <c r="AB99" s="159"/>
      <c r="AC99" s="1097">
        <f>AC98/AC67</f>
        <v>0.21817138978277248</v>
      </c>
      <c r="AD99" s="159"/>
      <c r="AE99" s="1097">
        <f t="shared" ref="AE99" si="931">AE98/AE67</f>
        <v>0.19295301923914185</v>
      </c>
      <c r="AF99" s="159"/>
      <c r="AG99" s="1097">
        <f t="shared" ref="AG99" si="932">AG98/AG67</f>
        <v>0.15410135596339097</v>
      </c>
      <c r="AH99" s="159"/>
      <c r="AI99" s="1097">
        <f t="shared" ref="AI99" si="933">AI98/AI67</f>
        <v>0.18722108569907728</v>
      </c>
      <c r="AJ99" s="159"/>
      <c r="AK99" s="1097">
        <f t="shared" ref="AK99" si="934">AK98/AK67</f>
        <v>0.10087462850774744</v>
      </c>
      <c r="AL99" s="159"/>
      <c r="AM99" s="1097">
        <f t="shared" ref="AM99" si="935">AM98/AM67</f>
        <v>0.15523784629765228</v>
      </c>
      <c r="AN99" s="159"/>
      <c r="AO99" s="1097">
        <f t="shared" ref="AO99:AQ99" si="936">AO98/AO67</f>
        <v>0.21448840177921483</v>
      </c>
      <c r="AP99" s="159"/>
      <c r="AQ99" s="1097">
        <f t="shared" si="936"/>
        <v>0.22388738121355789</v>
      </c>
      <c r="AR99" s="159"/>
      <c r="AS99" s="1097">
        <f t="shared" ref="AS99:AU99" si="937">AS98/AS67</f>
        <v>0.2374874678961558</v>
      </c>
      <c r="AT99" s="159"/>
      <c r="AU99" s="1097">
        <f t="shared" si="937"/>
        <v>0.16448125368053376</v>
      </c>
      <c r="AV99" s="159"/>
      <c r="AW99" s="1097">
        <f t="shared" ref="AW99" si="938">AW98/AW67</f>
        <v>0.19038634816971706</v>
      </c>
      <c r="AX99" s="159"/>
      <c r="AY99" s="609">
        <f>AY98/AY67</f>
        <v>0.1930953549935954</v>
      </c>
      <c r="AZ99" s="159"/>
      <c r="BA99" s="609">
        <f>BA98/BA67</f>
        <v>0.19548651952925941</v>
      </c>
      <c r="BB99" s="159"/>
      <c r="BC99" s="609">
        <f>BC98/BC67</f>
        <v>0.21598266987712403</v>
      </c>
      <c r="BD99" s="159"/>
      <c r="BE99" s="609">
        <f>BE98/BE67</f>
        <v>0.20806662380754659</v>
      </c>
      <c r="BF99" s="159"/>
      <c r="BG99" s="609">
        <f>BG98/BG67</f>
        <v>0.18004072617497324</v>
      </c>
      <c r="BH99" s="159"/>
      <c r="BI99" s="609">
        <f>BI98/BI67</f>
        <v>0.17035174688810237</v>
      </c>
      <c r="BJ99" s="159"/>
      <c r="BK99" s="609">
        <f>BK98/BK67</f>
        <v>0.1576654789341905</v>
      </c>
      <c r="BL99" s="159"/>
      <c r="BM99" s="609">
        <f>BM98/BM67</f>
        <v>0.13228955251002422</v>
      </c>
      <c r="BN99" s="159"/>
      <c r="BO99" s="609">
        <f>BO98/BO67</f>
        <v>3.1245073840616339E-2</v>
      </c>
      <c r="BP99" s="159"/>
      <c r="BQ99" s="609">
        <f>BQ98/BQ67</f>
        <v>5.2806260495113666E-2</v>
      </c>
      <c r="BR99" s="159"/>
      <c r="BS99" s="609">
        <f>BS98/BS67</f>
        <v>5.958489475559639E-2</v>
      </c>
      <c r="BT99" s="159"/>
      <c r="BU99" s="609">
        <f>BU98/BU67</f>
        <v>0.16051918873638873</v>
      </c>
      <c r="BV99" s="159"/>
      <c r="BW99" s="609">
        <f>BW98/BW67</f>
        <v>8.6787355088382815E-4</v>
      </c>
      <c r="BX99" s="545"/>
      <c r="BY99" s="545"/>
      <c r="BZ99" s="545"/>
      <c r="CA99" s="545"/>
    </row>
    <row r="100" spans="1:79" s="4" customFormat="1" ht="18" customHeight="1" outlineLevel="2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1200</v>
      </c>
      <c r="AZ100" s="251"/>
      <c r="BA100" s="167">
        <v>1200</v>
      </c>
      <c r="BB100" s="251"/>
      <c r="BC100" s="167">
        <v>1200</v>
      </c>
      <c r="BD100" s="251"/>
      <c r="BE100" s="167">
        <v>1200</v>
      </c>
      <c r="BF100" s="251"/>
      <c r="BG100" s="167">
        <v>1200</v>
      </c>
      <c r="BH100" s="251"/>
      <c r="BI100" s="167">
        <v>1200</v>
      </c>
      <c r="BJ100" s="251"/>
      <c r="BK100" s="167">
        <v>1200</v>
      </c>
      <c r="BL100" s="251"/>
      <c r="BM100" s="167">
        <v>1200</v>
      </c>
      <c r="BN100" s="251"/>
      <c r="BO100" s="167">
        <v>1200</v>
      </c>
      <c r="BP100" s="251"/>
      <c r="BQ100" s="167">
        <v>1200</v>
      </c>
      <c r="BR100" s="251"/>
      <c r="BS100" s="167">
        <v>1200</v>
      </c>
      <c r="BT100" s="251"/>
      <c r="BU100" s="167">
        <v>1200</v>
      </c>
      <c r="BV100" s="251"/>
      <c r="BW100" s="167">
        <v>1200</v>
      </c>
      <c r="BX100" s="545"/>
      <c r="BY100" s="545"/>
      <c r="BZ100" s="545"/>
      <c r="CA100" s="545"/>
    </row>
    <row r="101" spans="1:79" s="4" customFormat="1" ht="18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  <c r="BP101" s="164"/>
      <c r="BQ101" s="168">
        <v>1150</v>
      </c>
      <c r="BR101" s="164"/>
      <c r="BS101" s="168">
        <v>1150</v>
      </c>
      <c r="BT101" s="164"/>
      <c r="BU101" s="168">
        <v>1150</v>
      </c>
      <c r="BV101" s="164"/>
      <c r="BW101" s="168">
        <v>1150</v>
      </c>
      <c r="BX101" s="545"/>
      <c r="BY101" s="545"/>
      <c r="BZ101" s="545"/>
      <c r="CA101" s="545"/>
    </row>
    <row r="102" spans="1:79" s="4" customFormat="1" ht="18" customHeight="1" outlineLevel="2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  <c r="BP102" s="164"/>
      <c r="BQ102" s="168">
        <v>750</v>
      </c>
      <c r="BR102" s="164"/>
      <c r="BS102" s="168">
        <v>750</v>
      </c>
      <c r="BT102" s="164"/>
      <c r="BU102" s="168">
        <v>750</v>
      </c>
      <c r="BV102" s="164"/>
      <c r="BW102" s="168">
        <v>750</v>
      </c>
      <c r="BX102" s="545"/>
      <c r="BY102" s="545"/>
      <c r="BZ102" s="545"/>
      <c r="CA102" s="545"/>
    </row>
    <row r="103" spans="1:79" s="4" customFormat="1" ht="18" customHeight="1" outlineLevel="2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  <c r="BP103" s="164"/>
      <c r="BQ103" s="171"/>
      <c r="BR103" s="164"/>
      <c r="BS103" s="171"/>
      <c r="BT103" s="164"/>
      <c r="BU103" s="171"/>
      <c r="BV103" s="164"/>
      <c r="BW103" s="171"/>
      <c r="BX103" s="545"/>
      <c r="BY103" s="545"/>
      <c r="BZ103" s="545"/>
      <c r="CA103" s="545"/>
    </row>
    <row r="104" spans="1:79" s="4" customFormat="1" ht="18" customHeight="1" outlineLevel="2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 t="shared" ref="I104" si="939">I101-I100</f>
        <v>530</v>
      </c>
      <c r="J104" s="173"/>
      <c r="K104" s="165">
        <f t="shared" ref="K104" si="940">K101-K100</f>
        <v>530</v>
      </c>
      <c r="L104" s="173"/>
      <c r="M104" s="165">
        <f t="shared" ref="M104" si="941">M101-M100</f>
        <v>530</v>
      </c>
      <c r="N104" s="173"/>
      <c r="O104" s="165">
        <f t="shared" ref="O104" si="942">O101-O100</f>
        <v>530</v>
      </c>
      <c r="P104" s="173"/>
      <c r="Q104" s="165">
        <f t="shared" ref="Q104" si="943">Q101-Q100</f>
        <v>530</v>
      </c>
      <c r="R104" s="173"/>
      <c r="S104" s="165">
        <f t="shared" ref="S104" si="944">S101-S100</f>
        <v>530</v>
      </c>
      <c r="T104" s="173"/>
      <c r="U104" s="165">
        <f t="shared" ref="U104" si="945">U101-U100</f>
        <v>530</v>
      </c>
      <c r="V104" s="173"/>
      <c r="W104" s="165">
        <f t="shared" ref="W104" si="946">W101-W100</f>
        <v>530</v>
      </c>
      <c r="X104" s="173"/>
      <c r="Y104" s="165">
        <f t="shared" ref="Y104" si="947">Y101-Y100</f>
        <v>530</v>
      </c>
      <c r="Z104" s="173"/>
      <c r="AA104" s="165">
        <f t="shared" ref="AA104" si="948">AA101-AA100</f>
        <v>530</v>
      </c>
      <c r="AB104" s="173"/>
      <c r="AC104" s="165">
        <f t="shared" ref="AC104:AI104" si="949">AC101-AC100</f>
        <v>530</v>
      </c>
      <c r="AD104" s="173"/>
      <c r="AE104" s="165">
        <f t="shared" si="949"/>
        <v>530</v>
      </c>
      <c r="AF104" s="173"/>
      <c r="AG104" s="165">
        <f t="shared" si="949"/>
        <v>530</v>
      </c>
      <c r="AH104" s="173"/>
      <c r="AI104" s="165">
        <f t="shared" si="949"/>
        <v>530</v>
      </c>
      <c r="AJ104" s="173"/>
      <c r="AK104" s="165">
        <f t="shared" ref="AK104" si="950">AK101-AK100</f>
        <v>530</v>
      </c>
      <c r="AL104" s="173"/>
      <c r="AM104" s="165">
        <f t="shared" ref="AM104" si="951">AM101-AM100</f>
        <v>530</v>
      </c>
      <c r="AN104" s="173"/>
      <c r="AO104" s="165">
        <f t="shared" ref="AO104:AQ104" si="952">AO101-AO100</f>
        <v>530</v>
      </c>
      <c r="AP104" s="173"/>
      <c r="AQ104" s="165">
        <f t="shared" si="952"/>
        <v>530</v>
      </c>
      <c r="AR104" s="173"/>
      <c r="AS104" s="165">
        <f t="shared" ref="AS104:AU104" si="953">AS101-AS100</f>
        <v>530</v>
      </c>
      <c r="AT104" s="173"/>
      <c r="AU104" s="165">
        <f t="shared" si="953"/>
        <v>530</v>
      </c>
      <c r="AV104" s="173"/>
      <c r="AW104" s="165">
        <f t="shared" ref="AW104" si="954">AW101-AW100</f>
        <v>530</v>
      </c>
      <c r="AX104" s="173"/>
      <c r="AY104" s="165">
        <f>AY101-AY100</f>
        <v>-50</v>
      </c>
      <c r="AZ104" s="173"/>
      <c r="BA104" s="165">
        <f>BA101-BA100</f>
        <v>-50</v>
      </c>
      <c r="BB104" s="173"/>
      <c r="BC104" s="165">
        <f>BC101-BC100</f>
        <v>-50</v>
      </c>
      <c r="BD104" s="173"/>
      <c r="BE104" s="165">
        <f>BE101-BE100</f>
        <v>-50</v>
      </c>
      <c r="BF104" s="173"/>
      <c r="BG104" s="165">
        <f>BG101-BG100</f>
        <v>-50</v>
      </c>
      <c r="BH104" s="173"/>
      <c r="BI104" s="165">
        <f>BI101-BI100</f>
        <v>-50</v>
      </c>
      <c r="BJ104" s="173"/>
      <c r="BK104" s="165">
        <f>BK101-BK100</f>
        <v>-50</v>
      </c>
      <c r="BL104" s="173"/>
      <c r="BM104" s="165">
        <f>BM101-BM100</f>
        <v>-50</v>
      </c>
      <c r="BN104" s="173"/>
      <c r="BO104" s="165">
        <f>BO101-BO100</f>
        <v>-50</v>
      </c>
      <c r="BP104" s="173"/>
      <c r="BQ104" s="165">
        <f>BQ101-BQ100</f>
        <v>-50</v>
      </c>
      <c r="BR104" s="173"/>
      <c r="BS104" s="165">
        <f>BS101-BS100</f>
        <v>-50</v>
      </c>
      <c r="BT104" s="173"/>
      <c r="BU104" s="165">
        <f>BU101-BU100</f>
        <v>-50</v>
      </c>
      <c r="BV104" s="173"/>
      <c r="BW104" s="165">
        <f>BW101-BW100</f>
        <v>-50</v>
      </c>
      <c r="BX104" s="545"/>
      <c r="BY104" s="545"/>
      <c r="BZ104" s="545"/>
      <c r="CA104" s="545"/>
    </row>
    <row r="105" spans="1:79" s="97" customFormat="1" ht="18" customHeight="1" outlineLevel="2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0.11041666666666666</v>
      </c>
      <c r="H105" s="177"/>
      <c r="I105" s="178">
        <f t="shared" ref="I105" si="955">I104/I66</f>
        <v>0.11041666666666666</v>
      </c>
      <c r="J105" s="177"/>
      <c r="K105" s="178">
        <f t="shared" ref="K105" si="956">K104/K66</f>
        <v>0.11041666666666666</v>
      </c>
      <c r="L105" s="177"/>
      <c r="M105" s="178">
        <f t="shared" ref="M105" si="957">M104/M66</f>
        <v>0.11041666666666666</v>
      </c>
      <c r="N105" s="177"/>
      <c r="O105" s="178">
        <f t="shared" ref="O105" si="958">O104/O66</f>
        <v>0.11041666666666666</v>
      </c>
      <c r="P105" s="177"/>
      <c r="Q105" s="178">
        <f t="shared" ref="Q105" si="959">Q104/Q66</f>
        <v>0.11041666666666666</v>
      </c>
      <c r="R105" s="177"/>
      <c r="S105" s="178">
        <f t="shared" ref="S105" si="960">S104/S66</f>
        <v>0.11041666666666666</v>
      </c>
      <c r="T105" s="177"/>
      <c r="U105" s="178">
        <f t="shared" ref="U105" si="961">U104/U66</f>
        <v>0.11041666666666666</v>
      </c>
      <c r="V105" s="177"/>
      <c r="W105" s="178">
        <f t="shared" ref="W105" si="962">W104/W66</f>
        <v>0.11041666666666666</v>
      </c>
      <c r="X105" s="177"/>
      <c r="Y105" s="178">
        <f t="shared" ref="Y105" si="963">Y104/Y66</f>
        <v>0.11041666666666666</v>
      </c>
      <c r="Z105" s="177"/>
      <c r="AA105" s="178">
        <f t="shared" ref="AA105" si="964">AA104/AA66</f>
        <v>0.11041666666666666</v>
      </c>
      <c r="AB105" s="177"/>
      <c r="AC105" s="178">
        <f t="shared" ref="AC105" si="965">AC104/AC66</f>
        <v>0.11041666666666666</v>
      </c>
      <c r="AD105" s="177"/>
      <c r="AE105" s="178">
        <f t="shared" ref="AE105" si="966">AE104/AE66</f>
        <v>0.11041666666666666</v>
      </c>
      <c r="AF105" s="177"/>
      <c r="AG105" s="178">
        <f t="shared" ref="AG105" si="967">AG104/AG66</f>
        <v>0.11041666666666666</v>
      </c>
      <c r="AH105" s="177"/>
      <c r="AI105" s="178">
        <f t="shared" ref="AI105" si="968">AI104/AI66</f>
        <v>0.11041666666666666</v>
      </c>
      <c r="AJ105" s="177"/>
      <c r="AK105" s="178">
        <f t="shared" ref="AK105" si="969">AK104/AK66</f>
        <v>0.11041666666666666</v>
      </c>
      <c r="AL105" s="177"/>
      <c r="AM105" s="178">
        <f t="shared" ref="AM105" si="970">AM104/AM66</f>
        <v>0.11041666666666666</v>
      </c>
      <c r="AN105" s="177"/>
      <c r="AO105" s="178">
        <f t="shared" ref="AO105:AQ105" si="971">AO104/AO66</f>
        <v>0.11041666666666666</v>
      </c>
      <c r="AP105" s="177"/>
      <c r="AQ105" s="178">
        <f t="shared" si="971"/>
        <v>0.11041666666666666</v>
      </c>
      <c r="AR105" s="177"/>
      <c r="AS105" s="178">
        <f t="shared" ref="AS105:AU105" si="972">AS104/AS66</f>
        <v>0.11041666666666666</v>
      </c>
      <c r="AT105" s="177"/>
      <c r="AU105" s="178">
        <f t="shared" si="972"/>
        <v>0.11041666666666666</v>
      </c>
      <c r="AV105" s="177"/>
      <c r="AW105" s="178">
        <f t="shared" ref="AW105" si="973">AW104/AW66</f>
        <v>0.11041666666666666</v>
      </c>
      <c r="AX105" s="177"/>
      <c r="AY105" s="178">
        <f>AY104/AY66</f>
        <v>-1.0416666666666666E-2</v>
      </c>
      <c r="AZ105" s="177"/>
      <c r="BA105" s="178">
        <f>BA104/BA66</f>
        <v>-1.0416666666666666E-2</v>
      </c>
      <c r="BB105" s="177"/>
      <c r="BC105" s="178">
        <f>BC104/BC66</f>
        <v>-1.0416666666666666E-2</v>
      </c>
      <c r="BD105" s="177"/>
      <c r="BE105" s="178">
        <f>BE104/BE66</f>
        <v>-1.0416666666666666E-2</v>
      </c>
      <c r="BF105" s="177"/>
      <c r="BG105" s="178">
        <f>BG104/BG66</f>
        <v>-1.0416666666666666E-2</v>
      </c>
      <c r="BH105" s="177"/>
      <c r="BI105" s="178">
        <f>BI104/BI66</f>
        <v>-1.0416666666666666E-2</v>
      </c>
      <c r="BJ105" s="177"/>
      <c r="BK105" s="178">
        <f>BK104/BK66</f>
        <v>-1.0416666666666666E-2</v>
      </c>
      <c r="BL105" s="177"/>
      <c r="BM105" s="178">
        <f>BM104/BM66</f>
        <v>-1.0416666666666666E-2</v>
      </c>
      <c r="BN105" s="177"/>
      <c r="BO105" s="178">
        <f>BO104/BO66</f>
        <v>-1.0820168794633196E-2</v>
      </c>
      <c r="BP105" s="177"/>
      <c r="BQ105" s="178">
        <f>BQ104/BQ66</f>
        <v>-1.0820168794633196E-2</v>
      </c>
      <c r="BR105" s="177"/>
      <c r="BS105" s="178">
        <f>BS104/BS66</f>
        <v>-1.0820168794633196E-2</v>
      </c>
      <c r="BT105" s="177"/>
      <c r="BU105" s="178">
        <f>BU104/BU66</f>
        <v>-1.0416666666666666E-2</v>
      </c>
      <c r="BV105" s="177"/>
      <c r="BW105" s="178">
        <f>BW104/BW66</f>
        <v>-1.0820168794633196E-2</v>
      </c>
      <c r="BX105" s="545"/>
      <c r="BY105" s="545"/>
      <c r="BZ105" s="545"/>
      <c r="CA105" s="545"/>
    </row>
    <row r="106" spans="1:79" s="97" customFormat="1" ht="18" customHeight="1" outlineLevel="2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8.3333333333333329E-2</v>
      </c>
      <c r="H106" s="177"/>
      <c r="I106" s="178">
        <f t="shared" ref="I106" si="974">(I101-I102)/I66</f>
        <v>8.3333333333333329E-2</v>
      </c>
      <c r="J106" s="177"/>
      <c r="K106" s="178">
        <f t="shared" ref="K106" si="975">(K101-K102)/K66</f>
        <v>8.3333333333333329E-2</v>
      </c>
      <c r="L106" s="177"/>
      <c r="M106" s="178">
        <f t="shared" ref="M106" si="976">(M101-M102)/M66</f>
        <v>8.3333333333333329E-2</v>
      </c>
      <c r="N106" s="177"/>
      <c r="O106" s="178">
        <f t="shared" ref="O106" si="977">(O101-O102)/O66</f>
        <v>8.3333333333333329E-2</v>
      </c>
      <c r="P106" s="177"/>
      <c r="Q106" s="178">
        <f t="shared" ref="Q106" si="978">(Q101-Q102)/Q66</f>
        <v>8.3333333333333329E-2</v>
      </c>
      <c r="R106" s="177"/>
      <c r="S106" s="178">
        <f t="shared" ref="S106" si="979">(S101-S102)/S66</f>
        <v>8.3333333333333329E-2</v>
      </c>
      <c r="T106" s="177"/>
      <c r="U106" s="178">
        <f t="shared" ref="U106" si="980">(U101-U102)/U66</f>
        <v>8.3333333333333329E-2</v>
      </c>
      <c r="V106" s="177"/>
      <c r="W106" s="178">
        <f t="shared" ref="W106" si="981">(W101-W102)/W66</f>
        <v>8.3333333333333329E-2</v>
      </c>
      <c r="X106" s="177"/>
      <c r="Y106" s="178">
        <f t="shared" ref="Y106" si="982">(Y101-Y102)/Y66</f>
        <v>8.3333333333333329E-2</v>
      </c>
      <c r="Z106" s="177"/>
      <c r="AA106" s="178">
        <f t="shared" ref="AA106" si="983">(AA101-AA102)/AA66</f>
        <v>8.3333333333333329E-2</v>
      </c>
      <c r="AB106" s="177"/>
      <c r="AC106" s="178">
        <f t="shared" ref="AC106:AI106" si="984">(AC101-AC102)/AC66</f>
        <v>8.3333333333333329E-2</v>
      </c>
      <c r="AD106" s="177"/>
      <c r="AE106" s="178">
        <f t="shared" si="984"/>
        <v>8.3333333333333329E-2</v>
      </c>
      <c r="AF106" s="177"/>
      <c r="AG106" s="178">
        <f t="shared" si="984"/>
        <v>8.3333333333333329E-2</v>
      </c>
      <c r="AH106" s="177"/>
      <c r="AI106" s="178">
        <f t="shared" si="984"/>
        <v>8.3333333333333329E-2</v>
      </c>
      <c r="AJ106" s="177"/>
      <c r="AK106" s="178">
        <f t="shared" ref="AK106" si="985">(AK101-AK102)/AK66</f>
        <v>8.3333333333333329E-2</v>
      </c>
      <c r="AL106" s="177"/>
      <c r="AM106" s="178">
        <f t="shared" ref="AM106" si="986">(AM101-AM102)/AM66</f>
        <v>8.3333333333333329E-2</v>
      </c>
      <c r="AN106" s="177"/>
      <c r="AO106" s="178">
        <f t="shared" ref="AO106:AQ106" si="987">(AO101-AO102)/AO66</f>
        <v>8.3333333333333329E-2</v>
      </c>
      <c r="AP106" s="177"/>
      <c r="AQ106" s="178">
        <f t="shared" si="987"/>
        <v>8.3333333333333329E-2</v>
      </c>
      <c r="AR106" s="177"/>
      <c r="AS106" s="178">
        <f t="shared" ref="AS106:AU106" si="988">(AS101-AS102)/AS66</f>
        <v>8.3333333333333329E-2</v>
      </c>
      <c r="AT106" s="177"/>
      <c r="AU106" s="178">
        <f t="shared" si="988"/>
        <v>8.3333333333333329E-2</v>
      </c>
      <c r="AV106" s="177"/>
      <c r="AW106" s="178">
        <f t="shared" ref="AW106" si="989">(AW101-AW102)/AW66</f>
        <v>8.3333333333333329E-2</v>
      </c>
      <c r="AX106" s="177"/>
      <c r="AY106" s="178">
        <f>(AY101-AY102)/AY66</f>
        <v>8.3333333333333329E-2</v>
      </c>
      <c r="AZ106" s="177"/>
      <c r="BA106" s="178">
        <f>(BA101-BA102)/BA66</f>
        <v>8.3333333333333329E-2</v>
      </c>
      <c r="BB106" s="177"/>
      <c r="BC106" s="178">
        <f>(BC101-BC102)/BC66</f>
        <v>8.3333333333333329E-2</v>
      </c>
      <c r="BD106" s="177"/>
      <c r="BE106" s="178">
        <f>(BE101-BE102)/BE66</f>
        <v>8.3333333333333329E-2</v>
      </c>
      <c r="BF106" s="177"/>
      <c r="BG106" s="178">
        <f>(BG101-BG102)/BG66</f>
        <v>8.3333333333333329E-2</v>
      </c>
      <c r="BH106" s="177"/>
      <c r="BI106" s="178">
        <f>(BI101-BI102)/BI66</f>
        <v>8.3333333333333329E-2</v>
      </c>
      <c r="BJ106" s="177"/>
      <c r="BK106" s="178">
        <f>(BK101-BK102)/BK66</f>
        <v>8.3333333333333329E-2</v>
      </c>
      <c r="BL106" s="177"/>
      <c r="BM106" s="178">
        <f>(BM101-BM102)/BM66</f>
        <v>8.3333333333333329E-2</v>
      </c>
      <c r="BN106" s="177"/>
      <c r="BO106" s="178">
        <f>(BO101-BO102)/BO66</f>
        <v>8.6561350357065567E-2</v>
      </c>
      <c r="BP106" s="177"/>
      <c r="BQ106" s="178">
        <f>(BQ101-BQ102)/BQ66</f>
        <v>8.6561350357065567E-2</v>
      </c>
      <c r="BR106" s="177"/>
      <c r="BS106" s="178">
        <f>(BS101-BS102)/BS66</f>
        <v>8.6561350357065567E-2</v>
      </c>
      <c r="BT106" s="177"/>
      <c r="BU106" s="178">
        <f>(BU101-BU102)/BU66</f>
        <v>8.3333333333333329E-2</v>
      </c>
      <c r="BV106" s="177"/>
      <c r="BW106" s="178">
        <f>(BW101-BW102)/BW66</f>
        <v>8.6561350357065567E-2</v>
      </c>
      <c r="BX106" s="545"/>
      <c r="BY106" s="545"/>
      <c r="BZ106" s="545"/>
      <c r="CA106" s="545"/>
    </row>
    <row r="107" spans="1:79" s="4" customFormat="1" ht="18" customHeight="1" outlineLevel="2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  <c r="BP107" s="180"/>
      <c r="BQ107" s="181"/>
      <c r="BR107" s="180"/>
      <c r="BS107" s="181"/>
      <c r="BT107" s="180"/>
      <c r="BU107" s="181"/>
      <c r="BV107" s="180"/>
      <c r="BW107" s="181"/>
      <c r="BX107" s="545"/>
      <c r="BY107" s="545"/>
      <c r="BZ107" s="545"/>
      <c r="CA107" s="545"/>
    </row>
    <row r="108" spans="1:79" s="4" customFormat="1" ht="18" customHeight="1" outlineLevel="2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1.5404270906126256</v>
      </c>
      <c r="H108" s="186"/>
      <c r="I108" s="187">
        <f t="shared" ref="I108" si="990">I60-(I101/I66)-I74</f>
        <v>1.4096642351497035</v>
      </c>
      <c r="J108" s="186"/>
      <c r="K108" s="187">
        <f t="shared" ref="K108" si="991">K60-(K101/K66)-K74</f>
        <v>1.3985524929368718</v>
      </c>
      <c r="L108" s="186"/>
      <c r="M108" s="187">
        <f t="shared" ref="M108" si="992">M60-(M101/M66)-M74</f>
        <v>1.3898584006763555</v>
      </c>
      <c r="N108" s="186"/>
      <c r="O108" s="187">
        <f t="shared" ref="O108" si="993">O60-(O101/O66)-O74</f>
        <v>1.1171541773713511</v>
      </c>
      <c r="P108" s="186"/>
      <c r="Q108" s="187">
        <f t="shared" ref="Q108" si="994">Q60-(Q101/Q66)-Q74</f>
        <v>1.347325362610893</v>
      </c>
      <c r="R108" s="186"/>
      <c r="S108" s="187">
        <f t="shared" ref="S108" si="995">S60-(S101/S66)-S74</f>
        <v>1.2274592687424852</v>
      </c>
      <c r="T108" s="186"/>
      <c r="U108" s="187">
        <f t="shared" ref="U108" si="996">U60-(U101/U66)-U74</f>
        <v>1.3453504213881078</v>
      </c>
      <c r="V108" s="186"/>
      <c r="W108" s="187">
        <f t="shared" ref="W108" si="997">W60-(W101/W66)-W74</f>
        <v>1.4954516661167934</v>
      </c>
      <c r="X108" s="186"/>
      <c r="Y108" s="187">
        <f t="shared" ref="Y108" si="998">Y60-(Y101/Y66)-Y74</f>
        <v>1.51272244823517</v>
      </c>
      <c r="Z108" s="186"/>
      <c r="AA108" s="187">
        <f t="shared" ref="AA108" si="999">AA60-(AA101/AA66)-AA74</f>
        <v>1.5414513933535714</v>
      </c>
      <c r="AB108" s="186"/>
      <c r="AC108" s="187">
        <f t="shared" ref="AC108:AI108" si="1000">AC60-(AC101/AC66)-AC74</f>
        <v>1.7045782698184446</v>
      </c>
      <c r="AD108" s="186"/>
      <c r="AE108" s="187">
        <f t="shared" si="1000"/>
        <v>1.708817992671924</v>
      </c>
      <c r="AF108" s="186"/>
      <c r="AG108" s="187">
        <f t="shared" si="1000"/>
        <v>1.4956008366358433</v>
      </c>
      <c r="AH108" s="186"/>
      <c r="AI108" s="187">
        <f t="shared" si="1000"/>
        <v>1.7380593834069669</v>
      </c>
      <c r="AJ108" s="186"/>
      <c r="AK108" s="187">
        <f t="shared" ref="AK108" si="1001">AK60-(AK101/AK66)-AK74</f>
        <v>1.2504166968393058</v>
      </c>
      <c r="AL108" s="186"/>
      <c r="AM108" s="187">
        <f t="shared" ref="AM108" si="1002">AM60-(AM101/AM66)-AM74</f>
        <v>1.5622063002863484</v>
      </c>
      <c r="AN108" s="186"/>
      <c r="AO108" s="187">
        <f t="shared" ref="AO108:AQ108" si="1003">AO60-(AO101/AO66)-AO74</f>
        <v>1.7469253657011099</v>
      </c>
      <c r="AP108" s="186"/>
      <c r="AQ108" s="187">
        <f t="shared" si="1003"/>
        <v>1.7718955672616383</v>
      </c>
      <c r="AR108" s="186"/>
      <c r="AS108" s="187">
        <f t="shared" ref="AS108:AU108" si="1004">AS60-(AS101/AS66)-AS74</f>
        <v>1.827630421550134</v>
      </c>
      <c r="AT108" s="186"/>
      <c r="AU108" s="187">
        <f t="shared" si="1004"/>
        <v>1.827630421550134</v>
      </c>
      <c r="AV108" s="186"/>
      <c r="AW108" s="187">
        <f t="shared" ref="AW108" si="1005">AW60-(AW101/AW66)-AW74</f>
        <v>1.9369038862820855</v>
      </c>
      <c r="AX108" s="186"/>
      <c r="AY108" s="187">
        <f>AY60-(AY101/AY66)-AY74</f>
        <v>1.9018531666666663</v>
      </c>
      <c r="AZ108" s="186"/>
      <c r="BA108" s="187">
        <f>BA60-(BA101/BA66)-BA74</f>
        <v>1.9081031666666659</v>
      </c>
      <c r="BB108" s="186"/>
      <c r="BC108" s="187">
        <f>BC60-(BC101/BC66)-BC74</f>
        <v>1.9927878198784761</v>
      </c>
      <c r="BD108" s="186"/>
      <c r="BE108" s="187">
        <f>BE60-(BE101/BE66)-BE74</f>
        <v>1.9441193741175722</v>
      </c>
      <c r="BF108" s="186"/>
      <c r="BG108" s="187">
        <f>BG60-(BG101/BG66)-BG74</f>
        <v>1.8218183755546362</v>
      </c>
      <c r="BH108" s="186"/>
      <c r="BI108" s="187">
        <f>BI60-(BI101/BI66)-BI74</f>
        <v>1.7829318802521015</v>
      </c>
      <c r="BJ108" s="186"/>
      <c r="BK108" s="187">
        <f>BK60-(BK101/BK66)-BK74</f>
        <v>1.8717870583292351</v>
      </c>
      <c r="BL108" s="186"/>
      <c r="BM108" s="187">
        <f>BM60-(BM101/BM66)-BM74</f>
        <v>1.7126258874786027</v>
      </c>
      <c r="BN108" s="186"/>
      <c r="BO108" s="187">
        <f>BO60-(BO101/BO66)-BO74</f>
        <v>1.8180623415033992</v>
      </c>
      <c r="BP108" s="186"/>
      <c r="BQ108" s="187">
        <f>BQ60-(BQ101/BQ66)-BQ74</f>
        <v>1.8995790647770585</v>
      </c>
      <c r="BR108" s="186"/>
      <c r="BS108" s="187">
        <f>BS60-(BS101/BS66)-BS74</f>
        <v>1.9266570333769688</v>
      </c>
      <c r="BT108" s="186"/>
      <c r="BU108" s="187">
        <f>BU60-(BU101/BU66)-BU74</f>
        <v>1.8348935081073185</v>
      </c>
      <c r="BV108" s="186"/>
      <c r="BW108" s="187">
        <f>BW60-(BW101/BW66)-BW74</f>
        <v>1.7254345448042248</v>
      </c>
      <c r="BX108" s="545"/>
      <c r="BY108" s="545"/>
      <c r="BZ108" s="545"/>
      <c r="CA108" s="545"/>
    </row>
    <row r="109" spans="1:79" s="4" customFormat="1" ht="18" customHeight="1" outlineLevel="2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0.37298476770281491</v>
      </c>
      <c r="H109" s="192"/>
      <c r="I109" s="193">
        <f t="shared" ref="I109" si="1006">I108/I67</f>
        <v>0.34132305935828172</v>
      </c>
      <c r="J109" s="192"/>
      <c r="K109" s="193">
        <f t="shared" ref="K109" si="1007">K108/K67</f>
        <v>0.33863256487575588</v>
      </c>
      <c r="L109" s="192"/>
      <c r="M109" s="193">
        <f t="shared" ref="M109" si="1008">M108/M67</f>
        <v>0.33652745779088511</v>
      </c>
      <c r="N109" s="192"/>
      <c r="O109" s="193">
        <f t="shared" ref="O109" si="1009">O108/O67</f>
        <v>0.27049737950880176</v>
      </c>
      <c r="P109" s="192"/>
      <c r="Q109" s="193">
        <f t="shared" ref="Q109" si="1010">Q108/Q67</f>
        <v>0.32622890135856975</v>
      </c>
      <c r="R109" s="192"/>
      <c r="S109" s="193">
        <f t="shared" ref="S109" si="1011">S108/S67</f>
        <v>0.29720563407808359</v>
      </c>
      <c r="T109" s="192"/>
      <c r="U109" s="193">
        <f t="shared" ref="U109" si="1012">U108/U67</f>
        <v>0.32575070735789535</v>
      </c>
      <c r="V109" s="192"/>
      <c r="W109" s="193">
        <f t="shared" ref="W109" si="1013">W108/W67</f>
        <v>0.36209483441084583</v>
      </c>
      <c r="X109" s="192"/>
      <c r="Y109" s="193">
        <f t="shared" ref="Y109" si="1014">Y108/Y67</f>
        <v>0.36627662184870946</v>
      </c>
      <c r="Z109" s="192"/>
      <c r="AA109" s="193">
        <f t="shared" ref="AA109" si="1015">AA108/AA67</f>
        <v>0.37323278289432721</v>
      </c>
      <c r="AB109" s="192"/>
      <c r="AC109" s="193">
        <f t="shared" ref="AC109" si="1016">AC108/AC67</f>
        <v>0.41273081593666944</v>
      </c>
      <c r="AD109" s="192"/>
      <c r="AE109" s="193">
        <f t="shared" ref="AE109" si="1017">AE108/AE67</f>
        <v>0.41375738321354094</v>
      </c>
      <c r="AF109" s="192"/>
      <c r="AG109" s="193">
        <f t="shared" ref="AG109" si="1018">AG108/AG67</f>
        <v>0.36213095318059163</v>
      </c>
      <c r="AH109" s="192"/>
      <c r="AI109" s="193">
        <f t="shared" ref="AI109" si="1019">AI108/AI67</f>
        <v>0.42083762310096051</v>
      </c>
      <c r="AJ109" s="192"/>
      <c r="AK109" s="193">
        <f t="shared" ref="AK109" si="1020">AK108/AK67</f>
        <v>0.30276433337513459</v>
      </c>
      <c r="AL109" s="192"/>
      <c r="AM109" s="193">
        <f t="shared" ref="AM109" si="1021">AM108/AM67</f>
        <v>0.37825818408870421</v>
      </c>
      <c r="AN109" s="192"/>
      <c r="AO109" s="193">
        <f t="shared" ref="AO109:AQ109" si="1022">AO108/AO67</f>
        <v>0.42298435004869489</v>
      </c>
      <c r="AP109" s="192"/>
      <c r="AQ109" s="193">
        <f t="shared" si="1022"/>
        <v>0.42903040369531198</v>
      </c>
      <c r="AR109" s="192"/>
      <c r="AS109" s="193">
        <f t="shared" ref="AS109:AU109" si="1023">AS108/AS67</f>
        <v>0.44252552579906396</v>
      </c>
      <c r="AT109" s="192"/>
      <c r="AU109" s="193">
        <f t="shared" si="1023"/>
        <v>0.44252552579906396</v>
      </c>
      <c r="AV109" s="192"/>
      <c r="AW109" s="193">
        <f t="shared" ref="AW109" si="1024">AW108/AW67</f>
        <v>0.4689839918358561</v>
      </c>
      <c r="AX109" s="192"/>
      <c r="AY109" s="193">
        <f>AY108/AY67</f>
        <v>0.46386662601626011</v>
      </c>
      <c r="AZ109" s="192"/>
      <c r="BA109" s="193">
        <f>BA108/BA67</f>
        <v>0.46539101626016244</v>
      </c>
      <c r="BB109" s="192"/>
      <c r="BC109" s="193">
        <f>BC108/BC67</f>
        <v>0.48604580972645761</v>
      </c>
      <c r="BD109" s="192"/>
      <c r="BE109" s="193">
        <f>BE108/BE67</f>
        <v>0.45743985273354637</v>
      </c>
      <c r="BF109" s="192"/>
      <c r="BG109" s="193">
        <f>BG108/BG67</f>
        <v>0.42866314718932619</v>
      </c>
      <c r="BH109" s="192"/>
      <c r="BI109" s="193">
        <f>BI108/BI67</f>
        <v>0.41951338358872975</v>
      </c>
      <c r="BJ109" s="192"/>
      <c r="BK109" s="193">
        <f>BK108/BK67</f>
        <v>0.44042048431276121</v>
      </c>
      <c r="BL109" s="192"/>
      <c r="BM109" s="193">
        <f>BM108/BM67</f>
        <v>0.40297079705378885</v>
      </c>
      <c r="BN109" s="192"/>
      <c r="BO109" s="193">
        <f>BO108/BO67</f>
        <v>0.42777937447138803</v>
      </c>
      <c r="BP109" s="192"/>
      <c r="BQ109" s="193">
        <f>BQ108/BQ67</f>
        <v>0.44695977994754316</v>
      </c>
      <c r="BR109" s="192"/>
      <c r="BS109" s="193">
        <f>BS108/BS67</f>
        <v>0.45333106667693385</v>
      </c>
      <c r="BT109" s="192"/>
      <c r="BU109" s="193">
        <f>BU108/BU67</f>
        <v>0.43173964896642791</v>
      </c>
      <c r="BV109" s="192"/>
      <c r="BW109" s="193">
        <f>BW108/BW67</f>
        <v>0.40598459877746462</v>
      </c>
      <c r="BX109" s="545"/>
      <c r="BY109" s="545"/>
      <c r="BZ109" s="545"/>
      <c r="CA109" s="545"/>
    </row>
    <row r="110" spans="1:79" s="162" customFormat="1" ht="18" customHeight="1" outlineLevel="2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  <c r="BP110" s="164"/>
      <c r="BQ110" s="198"/>
      <c r="BR110" s="164"/>
      <c r="BS110" s="198"/>
      <c r="BT110" s="164"/>
      <c r="BU110" s="198"/>
      <c r="BV110" s="164"/>
      <c r="BW110" s="198"/>
      <c r="BX110" s="545"/>
      <c r="BY110" s="545"/>
      <c r="BZ110" s="545"/>
      <c r="CA110" s="545"/>
    </row>
    <row r="111" spans="1:79" s="4" customFormat="1" ht="18" customHeight="1" outlineLevel="2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1.6237604239459587</v>
      </c>
      <c r="H111" s="186"/>
      <c r="I111" s="187">
        <f t="shared" ref="I111" si="1025">I60-(I102/I66)-I74</f>
        <v>1.4929975684830366</v>
      </c>
      <c r="J111" s="186"/>
      <c r="K111" s="187">
        <f t="shared" ref="K111" si="1026">K60-(K102/K66)-K74</f>
        <v>1.4818858262702048</v>
      </c>
      <c r="L111" s="186"/>
      <c r="M111" s="187">
        <f t="shared" ref="M111" si="1027">M60-(M102/M66)-M74</f>
        <v>1.4731917340096885</v>
      </c>
      <c r="N111" s="186"/>
      <c r="O111" s="187">
        <f t="shared" ref="O111" si="1028">O60-(O102/O66)-O74</f>
        <v>1.2004875107046842</v>
      </c>
      <c r="P111" s="186"/>
      <c r="Q111" s="187">
        <f t="shared" ref="Q111" si="1029">Q60-(Q102/Q66)-Q74</f>
        <v>1.430658695944226</v>
      </c>
      <c r="R111" s="186"/>
      <c r="S111" s="187">
        <f t="shared" ref="S111" si="1030">S60-(S102/S66)-S74</f>
        <v>1.3107926020758183</v>
      </c>
      <c r="T111" s="186"/>
      <c r="U111" s="187">
        <f t="shared" ref="U111" si="1031">U60-(U102/U66)-U74</f>
        <v>1.4286837547214408</v>
      </c>
      <c r="V111" s="186"/>
      <c r="W111" s="187">
        <f t="shared" ref="W111" si="1032">W60-(W102/W66)-W74</f>
        <v>1.5787849994501264</v>
      </c>
      <c r="X111" s="186"/>
      <c r="Y111" s="187">
        <f t="shared" ref="Y111" si="1033">Y60-(Y102/Y66)-Y74</f>
        <v>1.596055781568503</v>
      </c>
      <c r="Z111" s="186"/>
      <c r="AA111" s="187">
        <f t="shared" ref="AA111" si="1034">AA60-(AA102/AA66)-AA74</f>
        <v>1.6247847266869044</v>
      </c>
      <c r="AB111" s="186"/>
      <c r="AC111" s="187">
        <f t="shared" ref="AC111:AI111" si="1035">AC60-(AC102/AC66)-AC74</f>
        <v>1.7879116031517777</v>
      </c>
      <c r="AD111" s="186"/>
      <c r="AE111" s="187">
        <f t="shared" si="1035"/>
        <v>1.7921513260052571</v>
      </c>
      <c r="AF111" s="186"/>
      <c r="AG111" s="187">
        <f t="shared" si="1035"/>
        <v>1.5789341699691763</v>
      </c>
      <c r="AH111" s="186"/>
      <c r="AI111" s="187">
        <f t="shared" si="1035"/>
        <v>1.8213927167402999</v>
      </c>
      <c r="AJ111" s="186"/>
      <c r="AK111" s="187">
        <f t="shared" ref="AK111" si="1036">AK60-(AK102/AK66)-AK74</f>
        <v>1.3337500301726388</v>
      </c>
      <c r="AL111" s="186"/>
      <c r="AM111" s="187">
        <f t="shared" ref="AM111" si="1037">AM60-(AM102/AM66)-AM74</f>
        <v>1.6455396336196815</v>
      </c>
      <c r="AN111" s="186"/>
      <c r="AO111" s="187">
        <f t="shared" ref="AO111:AQ111" si="1038">AO60-(AO102/AO66)-AO74</f>
        <v>1.8302586990344429</v>
      </c>
      <c r="AP111" s="186"/>
      <c r="AQ111" s="187">
        <f t="shared" si="1038"/>
        <v>1.8552289005949714</v>
      </c>
      <c r="AR111" s="186"/>
      <c r="AS111" s="187">
        <f t="shared" ref="AS111:AU111" si="1039">AS60-(AS102/AS66)-AS74</f>
        <v>1.910963754883467</v>
      </c>
      <c r="AT111" s="186"/>
      <c r="AU111" s="187">
        <f t="shared" si="1039"/>
        <v>1.910963754883467</v>
      </c>
      <c r="AV111" s="186"/>
      <c r="AW111" s="187">
        <f t="shared" ref="AW111" si="1040">AW60-(AW102/AW66)-AW74</f>
        <v>2.0202372196154186</v>
      </c>
      <c r="AX111" s="186"/>
      <c r="AY111" s="187">
        <f>AY60-(AY102/AY66)-AY74</f>
        <v>1.9851864999999993</v>
      </c>
      <c r="AZ111" s="186"/>
      <c r="BA111" s="187">
        <f>BA60-(BA102/BA66)-BA74</f>
        <v>1.9914364999999989</v>
      </c>
      <c r="BB111" s="186"/>
      <c r="BC111" s="187">
        <f>BC60-(BC102/BC66)-BC74</f>
        <v>2.0761211532118091</v>
      </c>
      <c r="BD111" s="186"/>
      <c r="BE111" s="187">
        <f>BE60-(BE102/BE66)-BE74</f>
        <v>2.0274527074509052</v>
      </c>
      <c r="BF111" s="186"/>
      <c r="BG111" s="187">
        <f>BG60-(BG102/BG66)-BG74</f>
        <v>1.9051517088879693</v>
      </c>
      <c r="BH111" s="186"/>
      <c r="BI111" s="187">
        <f>BI60-(BI102/BI66)-BI74</f>
        <v>1.8662652135854345</v>
      </c>
      <c r="BJ111" s="186"/>
      <c r="BK111" s="187">
        <f>BK60-(BK102/BK66)-BK74</f>
        <v>1.9551203916625681</v>
      </c>
      <c r="BL111" s="186"/>
      <c r="BM111" s="187">
        <f>BM60-(BM102/BM66)-BM74</f>
        <v>1.7959592208119357</v>
      </c>
      <c r="BN111" s="186"/>
      <c r="BO111" s="187">
        <f>BO60-(BO102/BO66)-BO74</f>
        <v>1.9046236918604649</v>
      </c>
      <c r="BP111" s="186"/>
      <c r="BQ111" s="187">
        <f>BQ60-(BQ102/BQ66)-BQ74</f>
        <v>1.9861404151341242</v>
      </c>
      <c r="BR111" s="186"/>
      <c r="BS111" s="187">
        <f>BS60-(BS102/BS66)-BS74</f>
        <v>2.0132183837340345</v>
      </c>
      <c r="BT111" s="186"/>
      <c r="BU111" s="187">
        <f>BU60-(BU102/BU66)-BU74</f>
        <v>1.9182268414406516</v>
      </c>
      <c r="BV111" s="186"/>
      <c r="BW111" s="187">
        <f>BW60-(BW102/BW66)-BW74</f>
        <v>1.8119958951612904</v>
      </c>
      <c r="BX111" s="545"/>
      <c r="BY111" s="545"/>
      <c r="BZ111" s="545"/>
      <c r="CA111" s="545"/>
    </row>
    <row r="112" spans="1:79" s="4" customFormat="1" ht="18" customHeight="1" outlineLevel="2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0.39316233025325875</v>
      </c>
      <c r="H112" s="192"/>
      <c r="I112" s="193">
        <f t="shared" ref="I112" si="1041">I111/I67</f>
        <v>0.36150062190872556</v>
      </c>
      <c r="J112" s="192"/>
      <c r="K112" s="193">
        <f t="shared" ref="K112" si="1042">K111/K67</f>
        <v>0.35881012742619972</v>
      </c>
      <c r="L112" s="192"/>
      <c r="M112" s="193">
        <f t="shared" ref="M112" si="1043">M111/M67</f>
        <v>0.35670502034132895</v>
      </c>
      <c r="N112" s="192"/>
      <c r="O112" s="193">
        <f t="shared" ref="O112" si="1044">O111/O67</f>
        <v>0.29067494205924554</v>
      </c>
      <c r="P112" s="192"/>
      <c r="Q112" s="193">
        <f t="shared" ref="Q112" si="1045">Q111/Q67</f>
        <v>0.34640646390901358</v>
      </c>
      <c r="R112" s="192"/>
      <c r="S112" s="193">
        <f t="shared" ref="S112" si="1046">S111/S67</f>
        <v>0.31738319662852743</v>
      </c>
      <c r="T112" s="192"/>
      <c r="U112" s="193">
        <f t="shared" ref="U112" si="1047">U111/U67</f>
        <v>0.34592826990833919</v>
      </c>
      <c r="V112" s="192"/>
      <c r="W112" s="193">
        <f t="shared" ref="W112" si="1048">W111/W67</f>
        <v>0.38227239696128967</v>
      </c>
      <c r="X112" s="192"/>
      <c r="Y112" s="193">
        <f t="shared" ref="Y112" si="1049">Y111/Y67</f>
        <v>0.3864541843991533</v>
      </c>
      <c r="Z112" s="192"/>
      <c r="AA112" s="193">
        <f t="shared" ref="AA112" si="1050">AA111/AA67</f>
        <v>0.39341034544477105</v>
      </c>
      <c r="AB112" s="192"/>
      <c r="AC112" s="193">
        <f t="shared" ref="AC112" si="1051">AC111/AC67</f>
        <v>0.43290837848711322</v>
      </c>
      <c r="AD112" s="192"/>
      <c r="AE112" s="193">
        <f t="shared" ref="AE112" si="1052">AE111/AE67</f>
        <v>0.43393494576398478</v>
      </c>
      <c r="AF112" s="192"/>
      <c r="AG112" s="193">
        <f t="shared" ref="AG112" si="1053">AG111/AG67</f>
        <v>0.38230851573103547</v>
      </c>
      <c r="AH112" s="192"/>
      <c r="AI112" s="193">
        <f t="shared" ref="AI112" si="1054">AI111/AI67</f>
        <v>0.44101518565140435</v>
      </c>
      <c r="AJ112" s="192"/>
      <c r="AK112" s="193">
        <f t="shared" ref="AK112" si="1055">AK111/AK67</f>
        <v>0.32294189592557843</v>
      </c>
      <c r="AL112" s="192"/>
      <c r="AM112" s="193">
        <f t="shared" ref="AM112" si="1056">AM111/AM67</f>
        <v>0.39843574663914805</v>
      </c>
      <c r="AN112" s="192"/>
      <c r="AO112" s="193">
        <f t="shared" ref="AO112:AQ112" si="1057">AO111/AO67</f>
        <v>0.44316191259913873</v>
      </c>
      <c r="AP112" s="192"/>
      <c r="AQ112" s="193">
        <f t="shared" si="1057"/>
        <v>0.44920796624575576</v>
      </c>
      <c r="AR112" s="192"/>
      <c r="AS112" s="193">
        <f t="shared" ref="AS112:AU112" si="1058">AS111/AS67</f>
        <v>0.4627030883495078</v>
      </c>
      <c r="AT112" s="192"/>
      <c r="AU112" s="193">
        <f t="shared" si="1058"/>
        <v>0.4627030883495078</v>
      </c>
      <c r="AV112" s="192"/>
      <c r="AW112" s="193">
        <f t="shared" ref="AW112" si="1059">AW111/AW67</f>
        <v>0.48916155438629993</v>
      </c>
      <c r="AX112" s="192"/>
      <c r="AY112" s="193">
        <f>AY111/AY67</f>
        <v>0.48419182926829257</v>
      </c>
      <c r="AZ112" s="192"/>
      <c r="BA112" s="193">
        <f>BA111/BA67</f>
        <v>0.4857162195121949</v>
      </c>
      <c r="BB112" s="192"/>
      <c r="BC112" s="193">
        <f>BC111/BC67</f>
        <v>0.50637101297849008</v>
      </c>
      <c r="BD112" s="192"/>
      <c r="BE112" s="193">
        <f>BE111/BE67</f>
        <v>0.4770476958708012</v>
      </c>
      <c r="BF112" s="192"/>
      <c r="BG112" s="193">
        <f>BG111/BG67</f>
        <v>0.44827099032658102</v>
      </c>
      <c r="BH112" s="192"/>
      <c r="BI112" s="193">
        <f>BI111/BI67</f>
        <v>0.43912122672598458</v>
      </c>
      <c r="BJ112" s="192"/>
      <c r="BK112" s="193">
        <f>BK111/BK67</f>
        <v>0.46002832745001604</v>
      </c>
      <c r="BL112" s="192"/>
      <c r="BM112" s="193">
        <f>BM111/BM67</f>
        <v>0.42257864019104369</v>
      </c>
      <c r="BN112" s="192"/>
      <c r="BO112" s="193">
        <f>BO111/BO67</f>
        <v>0.44814675102599172</v>
      </c>
      <c r="BP112" s="192"/>
      <c r="BQ112" s="193">
        <f>BQ111/BQ67</f>
        <v>0.46732715650214685</v>
      </c>
      <c r="BR112" s="192"/>
      <c r="BS112" s="193">
        <f>BS111/BS67</f>
        <v>0.47369844323153754</v>
      </c>
      <c r="BT112" s="192"/>
      <c r="BU112" s="193">
        <f>BU111/BU67</f>
        <v>0.45134749210368275</v>
      </c>
      <c r="BV112" s="192"/>
      <c r="BW112" s="193">
        <f>BW111/BW67</f>
        <v>0.42635197533206837</v>
      </c>
      <c r="BX112" s="545"/>
      <c r="BY112" s="545"/>
      <c r="BZ112" s="545"/>
      <c r="CA112" s="545"/>
    </row>
    <row r="113" spans="1:79" s="4" customFormat="1" ht="18" customHeight="1" outlineLevel="2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  <c r="BP113" s="173"/>
      <c r="BQ113" s="165"/>
      <c r="BR113" s="173"/>
      <c r="BS113" s="165"/>
      <c r="BT113" s="173"/>
      <c r="BU113" s="165"/>
      <c r="BV113" s="173"/>
      <c r="BW113" s="165"/>
      <c r="BX113" s="545"/>
      <c r="BY113" s="545"/>
      <c r="BZ113" s="545"/>
      <c r="CA113" s="545"/>
    </row>
    <row r="114" spans="1:79" s="65" customFormat="1" ht="18" hidden="1" customHeight="1" outlineLevel="3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459.73724614418319</v>
      </c>
      <c r="H114" s="202" t="s">
        <v>111</v>
      </c>
      <c r="I114" s="203">
        <f t="shared" ref="I114" si="1060">I116/I79</f>
        <v>459.26113007733579</v>
      </c>
      <c r="J114" s="202" t="s">
        <v>111</v>
      </c>
      <c r="K114" s="203">
        <f t="shared" ref="K114" si="1061">K116/K79</f>
        <v>459.38000975813765</v>
      </c>
      <c r="L114" s="202" t="s">
        <v>111</v>
      </c>
      <c r="M114" s="203">
        <f t="shared" ref="M114" si="1062">M116/M79</f>
        <v>458.98413029860097</v>
      </c>
      <c r="N114" s="202" t="s">
        <v>111</v>
      </c>
      <c r="O114" s="203">
        <f t="shared" ref="O114" si="1063">O116/O79</f>
        <v>454.12704385304789</v>
      </c>
      <c r="P114" s="202" t="s">
        <v>111</v>
      </c>
      <c r="Q114" s="203">
        <f t="shared" ref="Q114" si="1064">Q116/Q79</f>
        <v>453.06174606419955</v>
      </c>
      <c r="R114" s="202" t="s">
        <v>111</v>
      </c>
      <c r="S114" s="203">
        <f t="shared" ref="S114" si="1065">S116/S79</f>
        <v>447.38133386741436</v>
      </c>
      <c r="T114" s="202" t="s">
        <v>111</v>
      </c>
      <c r="U114" s="203">
        <f t="shared" ref="U114" si="1066">U116/U79</f>
        <v>449.69198141789536</v>
      </c>
      <c r="V114" s="202" t="s">
        <v>111</v>
      </c>
      <c r="W114" s="203">
        <f t="shared" ref="W114" si="1067">W116/W79</f>
        <v>446.3307175633438</v>
      </c>
      <c r="X114" s="202" t="s">
        <v>111</v>
      </c>
      <c r="Y114" s="203">
        <f t="shared" ref="Y114" si="1068">Y116/Y79</f>
        <v>439.62576209625121</v>
      </c>
      <c r="Z114" s="202" t="s">
        <v>111</v>
      </c>
      <c r="AA114" s="203">
        <f t="shared" ref="AA114" si="1069">AA116/AA79</f>
        <v>435.78619367209973</v>
      </c>
      <c r="AB114" s="202" t="s">
        <v>111</v>
      </c>
      <c r="AC114" s="203">
        <f t="shared" ref="AC114:AI114" si="1070">AC116/AC79</f>
        <v>436.1534276387377</v>
      </c>
      <c r="AD114" s="202" t="s">
        <v>111</v>
      </c>
      <c r="AE114" s="203">
        <f t="shared" si="1070"/>
        <v>441.12745417780974</v>
      </c>
      <c r="AF114" s="202" t="s">
        <v>111</v>
      </c>
      <c r="AG114" s="203">
        <f t="shared" si="1070"/>
        <v>445.35981710953553</v>
      </c>
      <c r="AH114" s="202" t="s">
        <v>111</v>
      </c>
      <c r="AI114" s="203">
        <f t="shared" si="1070"/>
        <v>442.10310965630106</v>
      </c>
      <c r="AJ114" s="202" t="s">
        <v>111</v>
      </c>
      <c r="AK114" s="203">
        <f t="shared" ref="AK114" si="1071">AK116/AK79</f>
        <v>449.61802517331904</v>
      </c>
      <c r="AL114" s="202" t="s">
        <v>111</v>
      </c>
      <c r="AM114" s="203">
        <f t="shared" ref="AM114" si="1072">AM116/AM79</f>
        <v>451.03003856302007</v>
      </c>
      <c r="AN114" s="202" t="s">
        <v>111</v>
      </c>
      <c r="AO114" s="203">
        <f t="shared" ref="AO114:AQ114" si="1073">AO116/AO79</f>
        <v>448.25698211774159</v>
      </c>
      <c r="AP114" s="202" t="s">
        <v>111</v>
      </c>
      <c r="AQ114" s="203">
        <f t="shared" si="1073"/>
        <v>446.56549520766771</v>
      </c>
      <c r="AR114" s="202" t="s">
        <v>111</v>
      </c>
      <c r="AS114" s="203">
        <f t="shared" ref="AS114:AU114" si="1074">AS116/AS79</f>
        <v>442.78682068784451</v>
      </c>
      <c r="AT114" s="202" t="s">
        <v>111</v>
      </c>
      <c r="AU114" s="203">
        <f t="shared" si="1074"/>
        <v>442.78682068784451</v>
      </c>
      <c r="AV114" s="202" t="s">
        <v>111</v>
      </c>
      <c r="AW114" s="203">
        <f t="shared" ref="AW114" si="1075">AW116/AW79</f>
        <v>441.05803716987276</v>
      </c>
      <c r="AX114" s="202" t="s">
        <v>111</v>
      </c>
      <c r="AY114" s="203">
        <f>AY116/AY79</f>
        <v>434.65760834977402</v>
      </c>
      <c r="AZ114" s="202" t="s">
        <v>111</v>
      </c>
      <c r="BA114" s="203">
        <f>BA116/BA79</f>
        <v>435.05481547581104</v>
      </c>
      <c r="BB114" s="202" t="s">
        <v>111</v>
      </c>
      <c r="BC114" s="203">
        <f>BC116/BC79</f>
        <v>437.8865979381444</v>
      </c>
      <c r="BD114" s="202" t="s">
        <v>111</v>
      </c>
      <c r="BE114" s="203">
        <f>BE116/BE79</f>
        <v>436.84058529072007</v>
      </c>
      <c r="BF114" s="202" t="s">
        <v>111</v>
      </c>
      <c r="BG114" s="203">
        <f>BG116/BG79</f>
        <v>434.85606012355896</v>
      </c>
      <c r="BH114" s="202" t="s">
        <v>111</v>
      </c>
      <c r="BI114" s="203">
        <f>BI116/BI79</f>
        <v>428.96825396825398</v>
      </c>
      <c r="BJ114" s="202" t="s">
        <v>111</v>
      </c>
      <c r="BK114" s="203">
        <f>BK116/BK79</f>
        <v>425.86079685194301</v>
      </c>
      <c r="BL114" s="202" t="s">
        <v>111</v>
      </c>
      <c r="BM114" s="203">
        <f>BM116/BM79</f>
        <v>440.22784892413699</v>
      </c>
      <c r="BN114" s="202" t="s">
        <v>111</v>
      </c>
      <c r="BO114" s="203">
        <f>BO116/BO79</f>
        <v>437.69864341085275</v>
      </c>
      <c r="BP114" s="202" t="s">
        <v>111</v>
      </c>
      <c r="BQ114" s="203">
        <f>BQ116/BQ79</f>
        <v>432.88413976789911</v>
      </c>
      <c r="BR114" s="202" t="s">
        <v>111</v>
      </c>
      <c r="BS114" s="203">
        <f>BS116/BS79</f>
        <v>429.60649887302782</v>
      </c>
      <c r="BT114" s="202" t="s">
        <v>111</v>
      </c>
      <c r="BU114" s="203">
        <f>BU116/BU79</f>
        <v>428.96825396825398</v>
      </c>
      <c r="BV114" s="202" t="s">
        <v>111</v>
      </c>
      <c r="BW114" s="203">
        <f>BW116/BW79</f>
        <v>437.35967741935485</v>
      </c>
      <c r="BX114" s="545"/>
      <c r="BY114" s="545"/>
      <c r="BZ114" s="545"/>
      <c r="CA114" s="545"/>
    </row>
    <row r="115" spans="1:79" s="65" customFormat="1" ht="18" hidden="1" customHeight="1" outlineLevel="3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9.5778592946704835E-2</v>
      </c>
      <c r="H115" s="202" t="s">
        <v>111</v>
      </c>
      <c r="I115" s="203">
        <f t="shared" ref="I115" si="1076">I114/I66</f>
        <v>9.5679402099444963E-2</v>
      </c>
      <c r="J115" s="202" t="s">
        <v>111</v>
      </c>
      <c r="K115" s="203">
        <f t="shared" ref="K115" si="1077">K114/K66</f>
        <v>9.5704168699612013E-2</v>
      </c>
      <c r="L115" s="202" t="s">
        <v>111</v>
      </c>
      <c r="M115" s="203">
        <f t="shared" ref="M115" si="1078">M114/M66</f>
        <v>9.562169381220853E-2</v>
      </c>
      <c r="N115" s="202" t="s">
        <v>111</v>
      </c>
      <c r="O115" s="203">
        <f t="shared" ref="O115" si="1079">O114/O66</f>
        <v>9.4609800802718316E-2</v>
      </c>
      <c r="P115" s="202" t="s">
        <v>111</v>
      </c>
      <c r="Q115" s="203">
        <f t="shared" ref="Q115" si="1080">Q114/Q66</f>
        <v>9.4387863763374907E-2</v>
      </c>
      <c r="R115" s="202" t="s">
        <v>111</v>
      </c>
      <c r="S115" s="203">
        <f t="shared" ref="S115" si="1081">S114/S66</f>
        <v>9.3204444555711322E-2</v>
      </c>
      <c r="T115" s="202" t="s">
        <v>111</v>
      </c>
      <c r="U115" s="203">
        <f t="shared" ref="U115" si="1082">U114/U66</f>
        <v>9.368582946206154E-2</v>
      </c>
      <c r="V115" s="202" t="s">
        <v>111</v>
      </c>
      <c r="W115" s="203">
        <f t="shared" ref="W115" si="1083">W114/W66</f>
        <v>9.2985566159029961E-2</v>
      </c>
      <c r="X115" s="202" t="s">
        <v>111</v>
      </c>
      <c r="Y115" s="203">
        <f t="shared" ref="Y115" si="1084">Y114/Y66</f>
        <v>9.1588700436719003E-2</v>
      </c>
      <c r="Z115" s="202" t="s">
        <v>111</v>
      </c>
      <c r="AA115" s="203">
        <f t="shared" ref="AA115" si="1085">AA114/AA66</f>
        <v>9.0788790348354104E-2</v>
      </c>
      <c r="AB115" s="202" t="s">
        <v>111</v>
      </c>
      <c r="AC115" s="203">
        <f t="shared" ref="AC115" si="1086">AC114/AC66</f>
        <v>9.0865297424737021E-2</v>
      </c>
      <c r="AD115" s="202" t="s">
        <v>111</v>
      </c>
      <c r="AE115" s="203">
        <f t="shared" ref="AE115" si="1087">AE114/AE66</f>
        <v>9.1901552953710358E-2</v>
      </c>
      <c r="AF115" s="202" t="s">
        <v>111</v>
      </c>
      <c r="AG115" s="203">
        <f t="shared" ref="AG115" si="1088">AG114/AG66</f>
        <v>9.2783295231153237E-2</v>
      </c>
      <c r="AH115" s="202" t="s">
        <v>111</v>
      </c>
      <c r="AI115" s="203">
        <f t="shared" ref="AI115" si="1089">AI114/AI66</f>
        <v>9.2104814511729388E-2</v>
      </c>
      <c r="AJ115" s="202" t="s">
        <v>111</v>
      </c>
      <c r="AK115" s="203">
        <f t="shared" ref="AK115" si="1090">AK114/AK66</f>
        <v>9.3670421911108137E-2</v>
      </c>
      <c r="AL115" s="202" t="s">
        <v>111</v>
      </c>
      <c r="AM115" s="203">
        <f t="shared" ref="AM115" si="1091">AM114/AM66</f>
        <v>9.3964591367295847E-2</v>
      </c>
      <c r="AN115" s="202" t="s">
        <v>111</v>
      </c>
      <c r="AO115" s="203">
        <f t="shared" ref="AO115:AQ115" si="1092">AO114/AO66</f>
        <v>9.3386871274529493E-2</v>
      </c>
      <c r="AP115" s="202" t="s">
        <v>111</v>
      </c>
      <c r="AQ115" s="203">
        <f t="shared" si="1092"/>
        <v>9.3034478168264101E-2</v>
      </c>
      <c r="AR115" s="202" t="s">
        <v>111</v>
      </c>
      <c r="AS115" s="203">
        <f t="shared" ref="AS115:AU115" si="1093">AS114/AS66</f>
        <v>9.2247254309967608E-2</v>
      </c>
      <c r="AT115" s="202" t="s">
        <v>111</v>
      </c>
      <c r="AU115" s="203">
        <f t="shared" si="1093"/>
        <v>9.2247254309967608E-2</v>
      </c>
      <c r="AV115" s="202" t="s">
        <v>111</v>
      </c>
      <c r="AW115" s="203">
        <f t="shared" ref="AW115" si="1094">AW114/AW66</f>
        <v>9.1887091077056823E-2</v>
      </c>
      <c r="AX115" s="202" t="s">
        <v>111</v>
      </c>
      <c r="AY115" s="203">
        <f>AY114/AY66</f>
        <v>9.0553668406202922E-2</v>
      </c>
      <c r="AZ115" s="202" t="s">
        <v>111</v>
      </c>
      <c r="BA115" s="203">
        <f>BA114/BA66</f>
        <v>9.0636419890793962E-2</v>
      </c>
      <c r="BB115" s="202" t="s">
        <v>111</v>
      </c>
      <c r="BC115" s="203">
        <f>BC114/BC66</f>
        <v>9.1226374570446744E-2</v>
      </c>
      <c r="BD115" s="202" t="s">
        <v>111</v>
      </c>
      <c r="BE115" s="203">
        <f>BE114/BE66</f>
        <v>9.1008455268900015E-2</v>
      </c>
      <c r="BF115" s="202" t="s">
        <v>111</v>
      </c>
      <c r="BG115" s="203">
        <f>BG114/BG66</f>
        <v>9.0595012525741453E-2</v>
      </c>
      <c r="BH115" s="202" t="s">
        <v>111</v>
      </c>
      <c r="BI115" s="203">
        <f>BI114/BI66</f>
        <v>8.936838624338625E-2</v>
      </c>
      <c r="BJ115" s="202" t="s">
        <v>111</v>
      </c>
      <c r="BK115" s="203">
        <f>BK114/BK66</f>
        <v>8.8720999344154797E-2</v>
      </c>
      <c r="BL115" s="202" t="s">
        <v>111</v>
      </c>
      <c r="BM115" s="203">
        <f>BM114/BM66</f>
        <v>9.1714135192528537E-2</v>
      </c>
      <c r="BN115" s="202" t="s">
        <v>111</v>
      </c>
      <c r="BO115" s="203">
        <f>BO114/BO66</f>
        <v>9.4719464057747838E-2</v>
      </c>
      <c r="BP115" s="202" t="s">
        <v>111</v>
      </c>
      <c r="BQ115" s="203">
        <f>BQ114/BQ66</f>
        <v>9.3677589216165147E-2</v>
      </c>
      <c r="BR115" s="202" t="s">
        <v>111</v>
      </c>
      <c r="BS115" s="203">
        <f>BS114/BS66</f>
        <v>9.2968296661551139E-2</v>
      </c>
      <c r="BT115" s="202" t="s">
        <v>111</v>
      </c>
      <c r="BU115" s="203">
        <f>BU114/BU66</f>
        <v>8.936838624338625E-2</v>
      </c>
      <c r="BV115" s="202" t="s">
        <v>111</v>
      </c>
      <c r="BW115" s="203">
        <f>BW114/BW66</f>
        <v>9.4646110672874886E-2</v>
      </c>
      <c r="BX115" s="545"/>
      <c r="BY115" s="545"/>
      <c r="BZ115" s="545"/>
      <c r="CA115" s="545"/>
    </row>
    <row r="116" spans="1:79" s="65" customFormat="1" ht="18" hidden="1" customHeight="1" outlineLevel="3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6587575.0000000009</v>
      </c>
      <c r="H116" s="202" t="s">
        <v>114</v>
      </c>
      <c r="I116" s="204">
        <f t="shared" ref="I116" si="1095">I117*I66</f>
        <v>6591775.0000000009</v>
      </c>
      <c r="J116" s="202" t="s">
        <v>114</v>
      </c>
      <c r="K116" s="204">
        <f t="shared" ref="K116" si="1096">K117*K66</f>
        <v>6590725.0000000009</v>
      </c>
      <c r="L116" s="202" t="s">
        <v>114</v>
      </c>
      <c r="M116" s="204">
        <f t="shared" ref="M116" si="1097">M117*M66</f>
        <v>6594225</v>
      </c>
      <c r="N116" s="202" t="s">
        <v>114</v>
      </c>
      <c r="O116" s="204">
        <f t="shared" ref="O116" si="1098">O117*O66</f>
        <v>6637975.0000000009</v>
      </c>
      <c r="P116" s="202" t="s">
        <v>114</v>
      </c>
      <c r="Q116" s="204">
        <f t="shared" ref="Q116" si="1099">Q117*Q66</f>
        <v>6647775</v>
      </c>
      <c r="R116" s="202" t="s">
        <v>114</v>
      </c>
      <c r="S116" s="204">
        <f t="shared" ref="S116" si="1100">S117*S66</f>
        <v>6701325</v>
      </c>
      <c r="T116" s="202" t="s">
        <v>114</v>
      </c>
      <c r="U116" s="204">
        <f t="shared" ref="U116" si="1101">U117*U66</f>
        <v>6679275</v>
      </c>
      <c r="V116" s="202" t="s">
        <v>114</v>
      </c>
      <c r="W116" s="204">
        <f t="shared" ref="W116" si="1102">W117*W66</f>
        <v>6711475.0000000009</v>
      </c>
      <c r="X116" s="202" t="s">
        <v>114</v>
      </c>
      <c r="Y116" s="204">
        <f t="shared" ref="Y116" si="1103">Y117*Y66</f>
        <v>6778150.0000000009</v>
      </c>
      <c r="Z116" s="202" t="s">
        <v>114</v>
      </c>
      <c r="AA116" s="204">
        <f t="shared" ref="AA116" si="1104">AA117*AA66</f>
        <v>6817875</v>
      </c>
      <c r="AB116" s="202" t="s">
        <v>114</v>
      </c>
      <c r="AC116" s="204">
        <f t="shared" ref="AC116" si="1105">AC117*AC66</f>
        <v>6814024.9999999991</v>
      </c>
      <c r="AD116" s="202" t="s">
        <v>114</v>
      </c>
      <c r="AE116" s="204">
        <f t="shared" ref="AE116" si="1106">AE117*AE66</f>
        <v>6762925.0000000009</v>
      </c>
      <c r="AF116" s="202" t="s">
        <v>114</v>
      </c>
      <c r="AG116" s="204">
        <f t="shared" ref="AG116" si="1107">AG117*AG66</f>
        <v>6720925.0000000009</v>
      </c>
      <c r="AH116" s="202" t="s">
        <v>114</v>
      </c>
      <c r="AI116" s="204">
        <f t="shared" ref="AI116" si="1108">AI117*AI66</f>
        <v>6753124.9999999991</v>
      </c>
      <c r="AJ116" s="202" t="s">
        <v>114</v>
      </c>
      <c r="AK116" s="204">
        <f t="shared" ref="AK116" si="1109">AK117*AK66</f>
        <v>6679975.0000000009</v>
      </c>
      <c r="AL116" s="202" t="s">
        <v>114</v>
      </c>
      <c r="AM116" s="204">
        <f t="shared" ref="AM116" si="1110">AM117*AM66</f>
        <v>6666675</v>
      </c>
      <c r="AN116" s="202" t="s">
        <v>114</v>
      </c>
      <c r="AO116" s="204">
        <f t="shared" ref="AO116:AQ116" si="1111">AO117*AO66</f>
        <v>6692925</v>
      </c>
      <c r="AP116" s="202" t="s">
        <v>114</v>
      </c>
      <c r="AQ116" s="204">
        <f t="shared" si="1111"/>
        <v>6709200</v>
      </c>
      <c r="AR116" s="202" t="s">
        <v>114</v>
      </c>
      <c r="AS116" s="204">
        <f t="shared" ref="AS116:AU116" si="1112">AS117*AS66</f>
        <v>6746299.9999999991</v>
      </c>
      <c r="AT116" s="202" t="s">
        <v>114</v>
      </c>
      <c r="AU116" s="204">
        <f t="shared" si="1112"/>
        <v>6746299.9999999991</v>
      </c>
      <c r="AV116" s="202" t="s">
        <v>114</v>
      </c>
      <c r="AW116" s="204">
        <f t="shared" ref="AW116" si="1113">AW117*AW66</f>
        <v>6763624.9999999991</v>
      </c>
      <c r="AX116" s="202" t="s">
        <v>114</v>
      </c>
      <c r="AY116" s="204">
        <f>AY117*AY66</f>
        <v>6829774.9999999991</v>
      </c>
      <c r="AZ116" s="202" t="s">
        <v>114</v>
      </c>
      <c r="BA116" s="204">
        <f>BA117*BA66</f>
        <v>6825574.9999999991</v>
      </c>
      <c r="BB116" s="202" t="s">
        <v>114</v>
      </c>
      <c r="BC116" s="204">
        <f>BC117*BC66</f>
        <v>6796000.0000000009</v>
      </c>
      <c r="BD116" s="202" t="s">
        <v>114</v>
      </c>
      <c r="BE116" s="204">
        <f>BE117*BE66</f>
        <v>6806850</v>
      </c>
      <c r="BF116" s="202" t="s">
        <v>114</v>
      </c>
      <c r="BG116" s="204">
        <f>BG117*BG66</f>
        <v>6827674.9999999991</v>
      </c>
      <c r="BH116" s="202" t="s">
        <v>114</v>
      </c>
      <c r="BI116" s="204">
        <f>BI117*BI66</f>
        <v>6891375</v>
      </c>
      <c r="BJ116" s="202" t="s">
        <v>114</v>
      </c>
      <c r="BK116" s="204">
        <f>BK117*BK66</f>
        <v>6926200.0000000009</v>
      </c>
      <c r="BL116" s="202" t="s">
        <v>114</v>
      </c>
      <c r="BM116" s="204">
        <f>BM117*BM66</f>
        <v>6772024.9999999991</v>
      </c>
      <c r="BN116" s="202" t="s">
        <v>114</v>
      </c>
      <c r="BO116" s="204">
        <f>BO117*BO66</f>
        <v>6775575.0000000009</v>
      </c>
      <c r="BP116" s="202" t="s">
        <v>114</v>
      </c>
      <c r="BQ116" s="204">
        <f>BQ117*BQ66</f>
        <v>6826150.0000000009</v>
      </c>
      <c r="BR116" s="202" t="s">
        <v>114</v>
      </c>
      <c r="BS116" s="204">
        <f>BS117*BS66</f>
        <v>6861675</v>
      </c>
      <c r="BT116" s="202" t="s">
        <v>114</v>
      </c>
      <c r="BU116" s="204">
        <f>BU117*BU66</f>
        <v>6891375</v>
      </c>
      <c r="BV116" s="202" t="s">
        <v>114</v>
      </c>
      <c r="BW116" s="204">
        <f>BW117*BW66</f>
        <v>6779075</v>
      </c>
      <c r="BX116" s="545"/>
      <c r="BY116" s="545"/>
      <c r="BZ116" s="545"/>
      <c r="CA116" s="545"/>
    </row>
    <row r="117" spans="1:79" s="65" customFormat="1" ht="18" hidden="1" customHeight="1" outlineLevel="3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1372.4114583333335</v>
      </c>
      <c r="H117" s="202" t="s">
        <v>114</v>
      </c>
      <c r="I117" s="204">
        <f t="shared" ref="I117" si="1114">SUM(I118:I123)</f>
        <v>1373.2864583333335</v>
      </c>
      <c r="J117" s="202" t="s">
        <v>114</v>
      </c>
      <c r="K117" s="204">
        <f t="shared" ref="K117" si="1115">SUM(K118:K123)</f>
        <v>1373.0677083333335</v>
      </c>
      <c r="L117" s="202" t="s">
        <v>114</v>
      </c>
      <c r="M117" s="204">
        <f t="shared" ref="M117" si="1116">SUM(M118:M123)</f>
        <v>1373.796875</v>
      </c>
      <c r="N117" s="202" t="s">
        <v>114</v>
      </c>
      <c r="O117" s="204">
        <f t="shared" ref="O117" si="1117">SUM(O118:O123)</f>
        <v>1382.9114583333335</v>
      </c>
      <c r="P117" s="202" t="s">
        <v>114</v>
      </c>
      <c r="Q117" s="204">
        <f t="shared" ref="Q117" si="1118">SUM(Q118:Q123)</f>
        <v>1384.953125</v>
      </c>
      <c r="R117" s="202" t="s">
        <v>114</v>
      </c>
      <c r="S117" s="204">
        <f t="shared" ref="S117" si="1119">SUM(S118:S123)</f>
        <v>1396.109375</v>
      </c>
      <c r="T117" s="202" t="s">
        <v>114</v>
      </c>
      <c r="U117" s="204">
        <f t="shared" ref="U117" si="1120">SUM(U118:U123)</f>
        <v>1391.515625</v>
      </c>
      <c r="V117" s="202" t="s">
        <v>114</v>
      </c>
      <c r="W117" s="204">
        <f t="shared" ref="W117" si="1121">SUM(W118:W123)</f>
        <v>1398.2239583333335</v>
      </c>
      <c r="X117" s="202" t="s">
        <v>114</v>
      </c>
      <c r="Y117" s="204">
        <f t="shared" ref="Y117" si="1122">SUM(Y118:Y123)</f>
        <v>1412.1145833333335</v>
      </c>
      <c r="Z117" s="202" t="s">
        <v>114</v>
      </c>
      <c r="AA117" s="204">
        <f t="shared" ref="AA117" si="1123">SUM(AA118:AA123)</f>
        <v>1420.390625</v>
      </c>
      <c r="AB117" s="202" t="s">
        <v>114</v>
      </c>
      <c r="AC117" s="204">
        <f t="shared" ref="AC117" si="1124">SUM(AC118:AC123)</f>
        <v>1419.5885416666665</v>
      </c>
      <c r="AD117" s="202" t="s">
        <v>114</v>
      </c>
      <c r="AE117" s="204">
        <f t="shared" ref="AE117" si="1125">SUM(AE118:AE123)</f>
        <v>1408.9427083333335</v>
      </c>
      <c r="AF117" s="202" t="s">
        <v>114</v>
      </c>
      <c r="AG117" s="204">
        <f t="shared" ref="AG117" si="1126">SUM(AG118:AG123)</f>
        <v>1400.1927083333335</v>
      </c>
      <c r="AH117" s="202" t="s">
        <v>114</v>
      </c>
      <c r="AI117" s="204">
        <f t="shared" ref="AI117" si="1127">SUM(AI118:AI123)</f>
        <v>1406.9010416666665</v>
      </c>
      <c r="AJ117" s="202" t="s">
        <v>114</v>
      </c>
      <c r="AK117" s="204">
        <f t="shared" ref="AK117" si="1128">SUM(AK118:AK123)</f>
        <v>1391.6614583333335</v>
      </c>
      <c r="AL117" s="202" t="s">
        <v>114</v>
      </c>
      <c r="AM117" s="204">
        <f t="shared" ref="AM117" si="1129">SUM(AM118:AM123)</f>
        <v>1388.890625</v>
      </c>
      <c r="AN117" s="202" t="s">
        <v>114</v>
      </c>
      <c r="AO117" s="204">
        <f t="shared" ref="AO117:AQ117" si="1130">SUM(AO118:AO123)</f>
        <v>1394.359375</v>
      </c>
      <c r="AP117" s="202" t="s">
        <v>114</v>
      </c>
      <c r="AQ117" s="204">
        <f t="shared" si="1130"/>
        <v>1397.75</v>
      </c>
      <c r="AR117" s="202" t="s">
        <v>114</v>
      </c>
      <c r="AS117" s="204">
        <f t="shared" ref="AS117:AU117" si="1131">SUM(AS118:AS123)</f>
        <v>1405.4791666666665</v>
      </c>
      <c r="AT117" s="202" t="s">
        <v>114</v>
      </c>
      <c r="AU117" s="204">
        <f t="shared" si="1131"/>
        <v>1405.4791666666665</v>
      </c>
      <c r="AV117" s="202" t="s">
        <v>114</v>
      </c>
      <c r="AW117" s="204">
        <f t="shared" ref="AW117" si="1132">SUM(AW118:AW123)</f>
        <v>1409.0885416666665</v>
      </c>
      <c r="AX117" s="202" t="s">
        <v>114</v>
      </c>
      <c r="AY117" s="204">
        <f>SUM(AY118:AY123)</f>
        <v>1422.8697916666665</v>
      </c>
      <c r="AZ117" s="202" t="s">
        <v>114</v>
      </c>
      <c r="BA117" s="204">
        <f>SUM(BA118:BA123)</f>
        <v>1421.9947916666665</v>
      </c>
      <c r="BB117" s="202" t="s">
        <v>114</v>
      </c>
      <c r="BC117" s="204">
        <f>SUM(BC118:BC123)</f>
        <v>1415.8333333333335</v>
      </c>
      <c r="BD117" s="202" t="s">
        <v>114</v>
      </c>
      <c r="BE117" s="204">
        <f>SUM(BE118:BE123)</f>
        <v>1418.09375</v>
      </c>
      <c r="BF117" s="202" t="s">
        <v>114</v>
      </c>
      <c r="BG117" s="204">
        <f>SUM(BG118:BG123)</f>
        <v>1422.4322916666665</v>
      </c>
      <c r="BH117" s="202" t="s">
        <v>114</v>
      </c>
      <c r="BI117" s="204">
        <f>SUM(BI118:BI123)</f>
        <v>1435.703125</v>
      </c>
      <c r="BJ117" s="202" t="s">
        <v>114</v>
      </c>
      <c r="BK117" s="204">
        <f>SUM(BK118:BK123)</f>
        <v>1442.9583333333335</v>
      </c>
      <c r="BL117" s="202" t="s">
        <v>114</v>
      </c>
      <c r="BM117" s="204">
        <f>SUM(BM118:BM123)</f>
        <v>1410.8385416666665</v>
      </c>
      <c r="BN117" s="202" t="s">
        <v>114</v>
      </c>
      <c r="BO117" s="204">
        <f>SUM(BO118:BO123)</f>
        <v>1466.2573036139365</v>
      </c>
      <c r="BP117" s="202" t="s">
        <v>114</v>
      </c>
      <c r="BQ117" s="204">
        <f>SUM(BQ118:BQ123)</f>
        <v>1477.201904349708</v>
      </c>
      <c r="BR117" s="202" t="s">
        <v>114</v>
      </c>
      <c r="BS117" s="204">
        <f>SUM(BS118:BS123)</f>
        <v>1484.8896342782948</v>
      </c>
      <c r="BT117" s="202" t="s">
        <v>114</v>
      </c>
      <c r="BU117" s="204">
        <f>SUM(BU118:BU123)</f>
        <v>1435.703125</v>
      </c>
      <c r="BV117" s="202" t="s">
        <v>114</v>
      </c>
      <c r="BW117" s="204">
        <f>SUM(BW118:BW123)</f>
        <v>1467.0147154295607</v>
      </c>
      <c r="BX117" s="545"/>
      <c r="BY117" s="545"/>
      <c r="BZ117" s="545"/>
      <c r="CA117" s="545"/>
    </row>
    <row r="118" spans="1:79" s="65" customFormat="1" ht="18" hidden="1" customHeight="1" outlineLevel="3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  <c r="BP118" s="202" t="s">
        <v>114</v>
      </c>
      <c r="BQ118" s="204">
        <v>75</v>
      </c>
      <c r="BR118" s="202" t="s">
        <v>114</v>
      </c>
      <c r="BS118" s="204">
        <v>75</v>
      </c>
      <c r="BT118" s="202" t="s">
        <v>114</v>
      </c>
      <c r="BU118" s="204">
        <v>75</v>
      </c>
      <c r="BV118" s="202" t="s">
        <v>114</v>
      </c>
      <c r="BW118" s="204">
        <v>75</v>
      </c>
      <c r="BX118" s="545"/>
      <c r="BY118" s="545"/>
      <c r="BZ118" s="545"/>
      <c r="CA118" s="545"/>
    </row>
    <row r="119" spans="1:79" s="65" customFormat="1" ht="18" hidden="1" customHeight="1" outlineLevel="3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404.16666666666669</v>
      </c>
      <c r="H119" s="202" t="s">
        <v>114</v>
      </c>
      <c r="I119" s="204">
        <f t="shared" ref="I119" si="1133">1940000/I66</f>
        <v>404.16666666666669</v>
      </c>
      <c r="J119" s="202" t="s">
        <v>114</v>
      </c>
      <c r="K119" s="204">
        <f t="shared" ref="K119" si="1134">1940000/K66</f>
        <v>404.16666666666669</v>
      </c>
      <c r="L119" s="202" t="s">
        <v>114</v>
      </c>
      <c r="M119" s="204">
        <f t="shared" ref="M119" si="1135">1940000/M66</f>
        <v>404.16666666666669</v>
      </c>
      <c r="N119" s="202" t="s">
        <v>114</v>
      </c>
      <c r="O119" s="204">
        <f t="shared" ref="O119" si="1136">1940000/O66</f>
        <v>404.16666666666669</v>
      </c>
      <c r="P119" s="202" t="s">
        <v>114</v>
      </c>
      <c r="Q119" s="204">
        <f t="shared" ref="Q119" si="1137">1940000/Q66</f>
        <v>404.16666666666669</v>
      </c>
      <c r="R119" s="202" t="s">
        <v>114</v>
      </c>
      <c r="S119" s="204">
        <f t="shared" ref="S119" si="1138">1940000/S66</f>
        <v>404.16666666666669</v>
      </c>
      <c r="T119" s="202" t="s">
        <v>114</v>
      </c>
      <c r="U119" s="204">
        <f t="shared" ref="U119" si="1139">1940000/U66</f>
        <v>404.16666666666669</v>
      </c>
      <c r="V119" s="202" t="s">
        <v>114</v>
      </c>
      <c r="W119" s="204">
        <f t="shared" ref="W119" si="1140">1940000/W66</f>
        <v>404.16666666666669</v>
      </c>
      <c r="X119" s="202" t="s">
        <v>114</v>
      </c>
      <c r="Y119" s="204">
        <f t="shared" ref="Y119" si="1141">1940000/Y66</f>
        <v>404.16666666666669</v>
      </c>
      <c r="Z119" s="202" t="s">
        <v>114</v>
      </c>
      <c r="AA119" s="204">
        <f t="shared" ref="AA119" si="1142">1940000/AA66</f>
        <v>404.16666666666669</v>
      </c>
      <c r="AB119" s="202" t="s">
        <v>114</v>
      </c>
      <c r="AC119" s="204">
        <f t="shared" ref="AC119:AI119" si="1143">1940000/AC66</f>
        <v>404.16666666666669</v>
      </c>
      <c r="AD119" s="202" t="s">
        <v>114</v>
      </c>
      <c r="AE119" s="204">
        <f t="shared" si="1143"/>
        <v>404.16666666666669</v>
      </c>
      <c r="AF119" s="202" t="s">
        <v>114</v>
      </c>
      <c r="AG119" s="204">
        <f t="shared" si="1143"/>
        <v>404.16666666666669</v>
      </c>
      <c r="AH119" s="202" t="s">
        <v>114</v>
      </c>
      <c r="AI119" s="204">
        <f t="shared" si="1143"/>
        <v>404.16666666666669</v>
      </c>
      <c r="AJ119" s="202" t="s">
        <v>114</v>
      </c>
      <c r="AK119" s="204">
        <f t="shared" ref="AK119" si="1144">1940000/AK66</f>
        <v>404.16666666666669</v>
      </c>
      <c r="AL119" s="202" t="s">
        <v>114</v>
      </c>
      <c r="AM119" s="204">
        <f t="shared" ref="AM119" si="1145">1940000/AM66</f>
        <v>404.16666666666669</v>
      </c>
      <c r="AN119" s="202" t="s">
        <v>114</v>
      </c>
      <c r="AO119" s="204">
        <f t="shared" ref="AO119:AQ119" si="1146">1940000/AO66</f>
        <v>404.16666666666669</v>
      </c>
      <c r="AP119" s="202" t="s">
        <v>114</v>
      </c>
      <c r="AQ119" s="204">
        <f t="shared" si="1146"/>
        <v>404.16666666666669</v>
      </c>
      <c r="AR119" s="202" t="s">
        <v>114</v>
      </c>
      <c r="AS119" s="204">
        <f t="shared" ref="AS119:AU119" si="1147">1940000/AS66</f>
        <v>404.16666666666669</v>
      </c>
      <c r="AT119" s="202" t="s">
        <v>114</v>
      </c>
      <c r="AU119" s="204">
        <f t="shared" si="1147"/>
        <v>404.16666666666669</v>
      </c>
      <c r="AV119" s="202" t="s">
        <v>114</v>
      </c>
      <c r="AW119" s="204">
        <f t="shared" ref="AW119" si="1148">1940000/AW66</f>
        <v>404.16666666666669</v>
      </c>
      <c r="AX119" s="202" t="s">
        <v>114</v>
      </c>
      <c r="AY119" s="204">
        <f>1940000/AY66</f>
        <v>404.16666666666669</v>
      </c>
      <c r="AZ119" s="202" t="s">
        <v>114</v>
      </c>
      <c r="BA119" s="204">
        <f>1940000/BA66</f>
        <v>404.16666666666669</v>
      </c>
      <c r="BB119" s="202" t="s">
        <v>114</v>
      </c>
      <c r="BC119" s="204">
        <f>1940000/BC66</f>
        <v>404.16666666666669</v>
      </c>
      <c r="BD119" s="202" t="s">
        <v>114</v>
      </c>
      <c r="BE119" s="204">
        <f>1940000/BE66</f>
        <v>404.16666666666669</v>
      </c>
      <c r="BF119" s="202" t="s">
        <v>114</v>
      </c>
      <c r="BG119" s="204">
        <f>1940000/BG66</f>
        <v>404.16666666666669</v>
      </c>
      <c r="BH119" s="202" t="s">
        <v>114</v>
      </c>
      <c r="BI119" s="204">
        <f>1940000/BI66</f>
        <v>404.16666666666669</v>
      </c>
      <c r="BJ119" s="202" t="s">
        <v>114</v>
      </c>
      <c r="BK119" s="204">
        <f>1940000/BK66</f>
        <v>404.16666666666669</v>
      </c>
      <c r="BL119" s="202" t="s">
        <v>114</v>
      </c>
      <c r="BM119" s="204">
        <f>1940000/BM66</f>
        <v>404.16666666666669</v>
      </c>
      <c r="BN119" s="202" t="s">
        <v>114</v>
      </c>
      <c r="BO119" s="204">
        <f>1940000/BO66</f>
        <v>419.82254923176799</v>
      </c>
      <c r="BP119" s="202" t="s">
        <v>114</v>
      </c>
      <c r="BQ119" s="204">
        <f>1940000/BQ66</f>
        <v>419.82254923176799</v>
      </c>
      <c r="BR119" s="202" t="s">
        <v>114</v>
      </c>
      <c r="BS119" s="204">
        <f>1940000/BS66</f>
        <v>419.82254923176799</v>
      </c>
      <c r="BT119" s="202" t="s">
        <v>114</v>
      </c>
      <c r="BU119" s="204">
        <f>1940000/BU66</f>
        <v>404.16666666666669</v>
      </c>
      <c r="BV119" s="202" t="s">
        <v>114</v>
      </c>
      <c r="BW119" s="204">
        <f>1940000/BW66</f>
        <v>419.82254923176799</v>
      </c>
      <c r="BX119" s="545"/>
      <c r="BY119" s="545"/>
      <c r="BZ119" s="545"/>
      <c r="CA119" s="545"/>
    </row>
    <row r="120" spans="1:79" s="65" customFormat="1" ht="18" hidden="1" customHeight="1" outlineLevel="3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57.291666666666664</v>
      </c>
      <c r="H120" s="202" t="s">
        <v>114</v>
      </c>
      <c r="I120" s="204">
        <f t="shared" ref="I120" si="1149">275000/I66</f>
        <v>57.291666666666664</v>
      </c>
      <c r="J120" s="202" t="s">
        <v>114</v>
      </c>
      <c r="K120" s="204">
        <f t="shared" ref="K120" si="1150">275000/K66</f>
        <v>57.291666666666664</v>
      </c>
      <c r="L120" s="202" t="s">
        <v>114</v>
      </c>
      <c r="M120" s="204">
        <f t="shared" ref="M120" si="1151">275000/M66</f>
        <v>57.291666666666664</v>
      </c>
      <c r="N120" s="202" t="s">
        <v>114</v>
      </c>
      <c r="O120" s="204">
        <f t="shared" ref="O120" si="1152">275000/O66</f>
        <v>57.291666666666664</v>
      </c>
      <c r="P120" s="202" t="s">
        <v>114</v>
      </c>
      <c r="Q120" s="204">
        <f t="shared" ref="Q120" si="1153">275000/Q66</f>
        <v>57.291666666666664</v>
      </c>
      <c r="R120" s="202" t="s">
        <v>114</v>
      </c>
      <c r="S120" s="204">
        <f t="shared" ref="S120" si="1154">275000/S66</f>
        <v>57.291666666666664</v>
      </c>
      <c r="T120" s="202" t="s">
        <v>114</v>
      </c>
      <c r="U120" s="204">
        <f t="shared" ref="U120" si="1155">275000/U66</f>
        <v>57.291666666666664</v>
      </c>
      <c r="V120" s="202" t="s">
        <v>114</v>
      </c>
      <c r="W120" s="204">
        <f t="shared" ref="W120" si="1156">275000/W66</f>
        <v>57.291666666666664</v>
      </c>
      <c r="X120" s="202" t="s">
        <v>114</v>
      </c>
      <c r="Y120" s="204">
        <f t="shared" ref="Y120" si="1157">275000/Y66</f>
        <v>57.291666666666664</v>
      </c>
      <c r="Z120" s="202" t="s">
        <v>114</v>
      </c>
      <c r="AA120" s="204">
        <f t="shared" ref="AA120" si="1158">275000/AA66</f>
        <v>57.291666666666664</v>
      </c>
      <c r="AB120" s="202" t="s">
        <v>114</v>
      </c>
      <c r="AC120" s="204">
        <f t="shared" ref="AC120:AI120" si="1159">275000/AC66</f>
        <v>57.291666666666664</v>
      </c>
      <c r="AD120" s="202" t="s">
        <v>114</v>
      </c>
      <c r="AE120" s="204">
        <f t="shared" si="1159"/>
        <v>57.291666666666664</v>
      </c>
      <c r="AF120" s="202" t="s">
        <v>114</v>
      </c>
      <c r="AG120" s="204">
        <f t="shared" si="1159"/>
        <v>57.291666666666664</v>
      </c>
      <c r="AH120" s="202" t="s">
        <v>114</v>
      </c>
      <c r="AI120" s="204">
        <f t="shared" si="1159"/>
        <v>57.291666666666664</v>
      </c>
      <c r="AJ120" s="202" t="s">
        <v>114</v>
      </c>
      <c r="AK120" s="204">
        <f t="shared" ref="AK120" si="1160">275000/AK66</f>
        <v>57.291666666666664</v>
      </c>
      <c r="AL120" s="202" t="s">
        <v>114</v>
      </c>
      <c r="AM120" s="204">
        <f t="shared" ref="AM120" si="1161">275000/AM66</f>
        <v>57.291666666666664</v>
      </c>
      <c r="AN120" s="202" t="s">
        <v>114</v>
      </c>
      <c r="AO120" s="204">
        <f t="shared" ref="AO120:AQ120" si="1162">275000/AO66</f>
        <v>57.291666666666664</v>
      </c>
      <c r="AP120" s="202" t="s">
        <v>114</v>
      </c>
      <c r="AQ120" s="204">
        <f t="shared" si="1162"/>
        <v>57.291666666666664</v>
      </c>
      <c r="AR120" s="202" t="s">
        <v>114</v>
      </c>
      <c r="AS120" s="204">
        <f t="shared" ref="AS120:AU120" si="1163">275000/AS66</f>
        <v>57.291666666666664</v>
      </c>
      <c r="AT120" s="202" t="s">
        <v>114</v>
      </c>
      <c r="AU120" s="204">
        <f t="shared" si="1163"/>
        <v>57.291666666666664</v>
      </c>
      <c r="AV120" s="202" t="s">
        <v>114</v>
      </c>
      <c r="AW120" s="204">
        <f t="shared" ref="AW120" si="1164">275000/AW66</f>
        <v>57.291666666666664</v>
      </c>
      <c r="AX120" s="202" t="s">
        <v>114</v>
      </c>
      <c r="AY120" s="204">
        <f>275000/AY66</f>
        <v>57.291666666666664</v>
      </c>
      <c r="AZ120" s="202" t="s">
        <v>114</v>
      </c>
      <c r="BA120" s="204">
        <f>275000/BA66</f>
        <v>57.291666666666664</v>
      </c>
      <c r="BB120" s="202" t="s">
        <v>114</v>
      </c>
      <c r="BC120" s="204">
        <f>275000/BC66</f>
        <v>57.291666666666664</v>
      </c>
      <c r="BD120" s="202" t="s">
        <v>114</v>
      </c>
      <c r="BE120" s="204">
        <f>275000/BE66</f>
        <v>57.291666666666664</v>
      </c>
      <c r="BF120" s="202" t="s">
        <v>114</v>
      </c>
      <c r="BG120" s="204">
        <f>275000/BG66</f>
        <v>57.291666666666664</v>
      </c>
      <c r="BH120" s="202" t="s">
        <v>114</v>
      </c>
      <c r="BI120" s="204">
        <f>275000/BI66</f>
        <v>57.291666666666664</v>
      </c>
      <c r="BJ120" s="202" t="s">
        <v>114</v>
      </c>
      <c r="BK120" s="204">
        <f>275000/BK66</f>
        <v>57.291666666666664</v>
      </c>
      <c r="BL120" s="202" t="s">
        <v>114</v>
      </c>
      <c r="BM120" s="204">
        <f>275000/BM66</f>
        <v>57.291666666666664</v>
      </c>
      <c r="BN120" s="202" t="s">
        <v>114</v>
      </c>
      <c r="BO120" s="204">
        <f>275000/BO66</f>
        <v>59.510928370482581</v>
      </c>
      <c r="BP120" s="202" t="s">
        <v>114</v>
      </c>
      <c r="BQ120" s="204">
        <f>275000/BQ66</f>
        <v>59.510928370482581</v>
      </c>
      <c r="BR120" s="202" t="s">
        <v>114</v>
      </c>
      <c r="BS120" s="204">
        <f>275000/BS66</f>
        <v>59.510928370482581</v>
      </c>
      <c r="BT120" s="202" t="s">
        <v>114</v>
      </c>
      <c r="BU120" s="204">
        <f>275000/BU66</f>
        <v>57.291666666666664</v>
      </c>
      <c r="BV120" s="202" t="s">
        <v>114</v>
      </c>
      <c r="BW120" s="204">
        <f>275000/BW66</f>
        <v>59.510928370482581</v>
      </c>
      <c r="BX120" s="545"/>
      <c r="BY120" s="545"/>
      <c r="BZ120" s="545"/>
      <c r="CA120" s="545"/>
    </row>
    <row r="121" spans="1:79" s="65" customFormat="1" ht="18" hidden="1" customHeight="1" outlineLevel="3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266.66666666666669</v>
      </c>
      <c r="H121" s="202" t="s">
        <v>114</v>
      </c>
      <c r="I121" s="204">
        <f t="shared" ref="I121" si="1165">1280000/I66</f>
        <v>266.66666666666669</v>
      </c>
      <c r="J121" s="202" t="s">
        <v>114</v>
      </c>
      <c r="K121" s="204">
        <f t="shared" ref="K121" si="1166">1280000/K66</f>
        <v>266.66666666666669</v>
      </c>
      <c r="L121" s="202" t="s">
        <v>114</v>
      </c>
      <c r="M121" s="204">
        <f t="shared" ref="M121" si="1167">1280000/M66</f>
        <v>266.66666666666669</v>
      </c>
      <c r="N121" s="202" t="s">
        <v>114</v>
      </c>
      <c r="O121" s="204">
        <f t="shared" ref="O121" si="1168">1280000/O66</f>
        <v>266.66666666666669</v>
      </c>
      <c r="P121" s="202" t="s">
        <v>114</v>
      </c>
      <c r="Q121" s="204">
        <f t="shared" ref="Q121" si="1169">1280000/Q66</f>
        <v>266.66666666666669</v>
      </c>
      <c r="R121" s="202" t="s">
        <v>114</v>
      </c>
      <c r="S121" s="204">
        <f t="shared" ref="S121" si="1170">1280000/S66</f>
        <v>266.66666666666669</v>
      </c>
      <c r="T121" s="202" t="s">
        <v>114</v>
      </c>
      <c r="U121" s="204">
        <f t="shared" ref="U121" si="1171">1280000/U66</f>
        <v>266.66666666666669</v>
      </c>
      <c r="V121" s="202" t="s">
        <v>114</v>
      </c>
      <c r="W121" s="204">
        <f t="shared" ref="W121" si="1172">1280000/W66</f>
        <v>266.66666666666669</v>
      </c>
      <c r="X121" s="202" t="s">
        <v>114</v>
      </c>
      <c r="Y121" s="204">
        <f t="shared" ref="Y121" si="1173">1280000/Y66</f>
        <v>266.66666666666669</v>
      </c>
      <c r="Z121" s="202" t="s">
        <v>114</v>
      </c>
      <c r="AA121" s="204">
        <f t="shared" ref="AA121" si="1174">1280000/AA66</f>
        <v>266.66666666666669</v>
      </c>
      <c r="AB121" s="202" t="s">
        <v>114</v>
      </c>
      <c r="AC121" s="204">
        <f t="shared" ref="AC121:AI121" si="1175">1280000/AC66</f>
        <v>266.66666666666669</v>
      </c>
      <c r="AD121" s="202" t="s">
        <v>114</v>
      </c>
      <c r="AE121" s="204">
        <f t="shared" si="1175"/>
        <v>266.66666666666669</v>
      </c>
      <c r="AF121" s="202" t="s">
        <v>114</v>
      </c>
      <c r="AG121" s="204">
        <f t="shared" si="1175"/>
        <v>266.66666666666669</v>
      </c>
      <c r="AH121" s="202" t="s">
        <v>114</v>
      </c>
      <c r="AI121" s="204">
        <f t="shared" si="1175"/>
        <v>266.66666666666669</v>
      </c>
      <c r="AJ121" s="202" t="s">
        <v>114</v>
      </c>
      <c r="AK121" s="204">
        <f t="shared" ref="AK121" si="1176">1280000/AK66</f>
        <v>266.66666666666669</v>
      </c>
      <c r="AL121" s="202" t="s">
        <v>114</v>
      </c>
      <c r="AM121" s="204">
        <f t="shared" ref="AM121" si="1177">1280000/AM66</f>
        <v>266.66666666666669</v>
      </c>
      <c r="AN121" s="202" t="s">
        <v>114</v>
      </c>
      <c r="AO121" s="204">
        <f t="shared" ref="AO121:AQ121" si="1178">1280000/AO66</f>
        <v>266.66666666666669</v>
      </c>
      <c r="AP121" s="202" t="s">
        <v>114</v>
      </c>
      <c r="AQ121" s="204">
        <f t="shared" si="1178"/>
        <v>266.66666666666669</v>
      </c>
      <c r="AR121" s="202" t="s">
        <v>114</v>
      </c>
      <c r="AS121" s="204">
        <f t="shared" ref="AS121:AU121" si="1179">1280000/AS66</f>
        <v>266.66666666666669</v>
      </c>
      <c r="AT121" s="202" t="s">
        <v>114</v>
      </c>
      <c r="AU121" s="204">
        <f t="shared" si="1179"/>
        <v>266.66666666666669</v>
      </c>
      <c r="AV121" s="202" t="s">
        <v>114</v>
      </c>
      <c r="AW121" s="204">
        <f t="shared" ref="AW121" si="1180">1280000/AW66</f>
        <v>266.66666666666669</v>
      </c>
      <c r="AX121" s="202" t="s">
        <v>114</v>
      </c>
      <c r="AY121" s="204">
        <f>1280000/AY66</f>
        <v>266.66666666666669</v>
      </c>
      <c r="AZ121" s="202" t="s">
        <v>114</v>
      </c>
      <c r="BA121" s="204">
        <f>1280000/BA66</f>
        <v>266.66666666666669</v>
      </c>
      <c r="BB121" s="202" t="s">
        <v>114</v>
      </c>
      <c r="BC121" s="204">
        <f>1280000/BC66</f>
        <v>266.66666666666669</v>
      </c>
      <c r="BD121" s="202" t="s">
        <v>114</v>
      </c>
      <c r="BE121" s="204">
        <f>1280000/BE66</f>
        <v>266.66666666666669</v>
      </c>
      <c r="BF121" s="202" t="s">
        <v>114</v>
      </c>
      <c r="BG121" s="204">
        <f>1280000/BG66</f>
        <v>266.66666666666669</v>
      </c>
      <c r="BH121" s="202" t="s">
        <v>114</v>
      </c>
      <c r="BI121" s="204">
        <f>1280000/BI66</f>
        <v>266.66666666666669</v>
      </c>
      <c r="BJ121" s="202" t="s">
        <v>114</v>
      </c>
      <c r="BK121" s="204">
        <f>1280000/BK66</f>
        <v>266.66666666666669</v>
      </c>
      <c r="BL121" s="202" t="s">
        <v>114</v>
      </c>
      <c r="BM121" s="204">
        <f>1280000/BM66</f>
        <v>266.66666666666669</v>
      </c>
      <c r="BN121" s="202" t="s">
        <v>114</v>
      </c>
      <c r="BO121" s="204">
        <f>1280000/BO66</f>
        <v>276.99632114260982</v>
      </c>
      <c r="BP121" s="202" t="s">
        <v>114</v>
      </c>
      <c r="BQ121" s="204">
        <f>1280000/BQ66</f>
        <v>276.99632114260982</v>
      </c>
      <c r="BR121" s="202" t="s">
        <v>114</v>
      </c>
      <c r="BS121" s="204">
        <f>1280000/BS66</f>
        <v>276.99632114260982</v>
      </c>
      <c r="BT121" s="202" t="s">
        <v>114</v>
      </c>
      <c r="BU121" s="204">
        <f>1280000/BU66</f>
        <v>266.66666666666669</v>
      </c>
      <c r="BV121" s="202" t="s">
        <v>114</v>
      </c>
      <c r="BW121" s="204">
        <f>1280000/BW66</f>
        <v>276.99632114260982</v>
      </c>
      <c r="BX121" s="545"/>
      <c r="BY121" s="545"/>
      <c r="BZ121" s="545"/>
      <c r="CA121" s="545"/>
    </row>
    <row r="122" spans="1:79" s="65" customFormat="1" ht="18" hidden="1" customHeight="1" outlineLevel="3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46.875</v>
      </c>
      <c r="H122" s="202" t="s">
        <v>114</v>
      </c>
      <c r="I122" s="204">
        <f t="shared" ref="I122" si="1181">225000/I66</f>
        <v>46.875</v>
      </c>
      <c r="J122" s="202" t="s">
        <v>114</v>
      </c>
      <c r="K122" s="204">
        <f t="shared" ref="K122" si="1182">225000/K66</f>
        <v>46.875</v>
      </c>
      <c r="L122" s="202" t="s">
        <v>114</v>
      </c>
      <c r="M122" s="204">
        <f t="shared" ref="M122" si="1183">225000/M66</f>
        <v>46.875</v>
      </c>
      <c r="N122" s="202" t="s">
        <v>114</v>
      </c>
      <c r="O122" s="204">
        <f t="shared" ref="O122" si="1184">225000/O66</f>
        <v>46.875</v>
      </c>
      <c r="P122" s="202" t="s">
        <v>114</v>
      </c>
      <c r="Q122" s="204">
        <f t="shared" ref="Q122" si="1185">225000/Q66</f>
        <v>46.875</v>
      </c>
      <c r="R122" s="202" t="s">
        <v>114</v>
      </c>
      <c r="S122" s="204">
        <f t="shared" ref="S122" si="1186">225000/S66</f>
        <v>46.875</v>
      </c>
      <c r="T122" s="202" t="s">
        <v>114</v>
      </c>
      <c r="U122" s="204">
        <f t="shared" ref="U122" si="1187">225000/U66</f>
        <v>46.875</v>
      </c>
      <c r="V122" s="202" t="s">
        <v>114</v>
      </c>
      <c r="W122" s="204">
        <f t="shared" ref="W122" si="1188">225000/W66</f>
        <v>46.875</v>
      </c>
      <c r="X122" s="202" t="s">
        <v>114</v>
      </c>
      <c r="Y122" s="204">
        <f t="shared" ref="Y122" si="1189">225000/Y66</f>
        <v>46.875</v>
      </c>
      <c r="Z122" s="202" t="s">
        <v>114</v>
      </c>
      <c r="AA122" s="204">
        <f t="shared" ref="AA122" si="1190">225000/AA66</f>
        <v>46.875</v>
      </c>
      <c r="AB122" s="202" t="s">
        <v>114</v>
      </c>
      <c r="AC122" s="204">
        <f t="shared" ref="AC122:AI122" si="1191">225000/AC66</f>
        <v>46.875</v>
      </c>
      <c r="AD122" s="202" t="s">
        <v>114</v>
      </c>
      <c r="AE122" s="204">
        <f t="shared" si="1191"/>
        <v>46.875</v>
      </c>
      <c r="AF122" s="202" t="s">
        <v>114</v>
      </c>
      <c r="AG122" s="204">
        <f t="shared" si="1191"/>
        <v>46.875</v>
      </c>
      <c r="AH122" s="202" t="s">
        <v>114</v>
      </c>
      <c r="AI122" s="204">
        <f t="shared" si="1191"/>
        <v>46.875</v>
      </c>
      <c r="AJ122" s="202" t="s">
        <v>114</v>
      </c>
      <c r="AK122" s="204">
        <f t="shared" ref="AK122" si="1192">225000/AK66</f>
        <v>46.875</v>
      </c>
      <c r="AL122" s="202" t="s">
        <v>114</v>
      </c>
      <c r="AM122" s="204">
        <f t="shared" ref="AM122" si="1193">225000/AM66</f>
        <v>46.875</v>
      </c>
      <c r="AN122" s="202" t="s">
        <v>114</v>
      </c>
      <c r="AO122" s="204">
        <f t="shared" ref="AO122:AQ122" si="1194">225000/AO66</f>
        <v>46.875</v>
      </c>
      <c r="AP122" s="202" t="s">
        <v>114</v>
      </c>
      <c r="AQ122" s="204">
        <f t="shared" si="1194"/>
        <v>46.875</v>
      </c>
      <c r="AR122" s="202" t="s">
        <v>114</v>
      </c>
      <c r="AS122" s="204">
        <f t="shared" ref="AS122:AU122" si="1195">225000/AS66</f>
        <v>46.875</v>
      </c>
      <c r="AT122" s="202" t="s">
        <v>114</v>
      </c>
      <c r="AU122" s="204">
        <f t="shared" si="1195"/>
        <v>46.875</v>
      </c>
      <c r="AV122" s="202" t="s">
        <v>114</v>
      </c>
      <c r="AW122" s="204">
        <f t="shared" ref="AW122" si="1196">225000/AW66</f>
        <v>46.875</v>
      </c>
      <c r="AX122" s="202" t="s">
        <v>114</v>
      </c>
      <c r="AY122" s="204">
        <f>225000/AY66</f>
        <v>46.875</v>
      </c>
      <c r="AZ122" s="202" t="s">
        <v>114</v>
      </c>
      <c r="BA122" s="204">
        <f>225000/BA66</f>
        <v>46.875</v>
      </c>
      <c r="BB122" s="202" t="s">
        <v>114</v>
      </c>
      <c r="BC122" s="204">
        <f>225000/BC66</f>
        <v>46.875</v>
      </c>
      <c r="BD122" s="202" t="s">
        <v>114</v>
      </c>
      <c r="BE122" s="204">
        <f>225000/BE66</f>
        <v>46.875</v>
      </c>
      <c r="BF122" s="202" t="s">
        <v>114</v>
      </c>
      <c r="BG122" s="204">
        <f>225000/BG66</f>
        <v>46.875</v>
      </c>
      <c r="BH122" s="202" t="s">
        <v>114</v>
      </c>
      <c r="BI122" s="204">
        <f>225000/BI66</f>
        <v>46.875</v>
      </c>
      <c r="BJ122" s="202" t="s">
        <v>114</v>
      </c>
      <c r="BK122" s="204">
        <f>225000/BK66</f>
        <v>46.875</v>
      </c>
      <c r="BL122" s="202" t="s">
        <v>114</v>
      </c>
      <c r="BM122" s="204">
        <f>225000/BM66</f>
        <v>46.875</v>
      </c>
      <c r="BN122" s="202" t="s">
        <v>114</v>
      </c>
      <c r="BO122" s="204">
        <f>225000/BO66</f>
        <v>48.690759575849384</v>
      </c>
      <c r="BP122" s="202" t="s">
        <v>114</v>
      </c>
      <c r="BQ122" s="204">
        <f>225000/BQ66</f>
        <v>48.690759575849384</v>
      </c>
      <c r="BR122" s="202" t="s">
        <v>114</v>
      </c>
      <c r="BS122" s="204">
        <f>225000/BS66</f>
        <v>48.690759575849384</v>
      </c>
      <c r="BT122" s="202" t="s">
        <v>114</v>
      </c>
      <c r="BU122" s="204">
        <f>225000/BU66</f>
        <v>46.875</v>
      </c>
      <c r="BV122" s="202" t="s">
        <v>114</v>
      </c>
      <c r="BW122" s="204">
        <f>225000/BW66</f>
        <v>48.690759575849384</v>
      </c>
      <c r="BX122" s="545"/>
      <c r="BY122" s="545"/>
      <c r="BZ122" s="545"/>
      <c r="CA122" s="545"/>
    </row>
    <row r="123" spans="1:79" s="4" customFormat="1" ht="18" hidden="1" customHeight="1" outlineLevel="3" x14ac:dyDescent="0.4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522.41145833333337</v>
      </c>
      <c r="H123" s="208" t="s">
        <v>114</v>
      </c>
      <c r="I123" s="209">
        <f t="shared" ref="I123" si="1197">(175*I79)/I66</f>
        <v>523.28645833333337</v>
      </c>
      <c r="J123" s="208" t="s">
        <v>114</v>
      </c>
      <c r="K123" s="209">
        <f t="shared" ref="K123" si="1198">(175*K79)/K66</f>
        <v>523.06770833333337</v>
      </c>
      <c r="L123" s="208" t="s">
        <v>114</v>
      </c>
      <c r="M123" s="209">
        <f t="shared" ref="M123" si="1199">(175*M79)/M66</f>
        <v>523.796875</v>
      </c>
      <c r="N123" s="208" t="s">
        <v>114</v>
      </c>
      <c r="O123" s="209">
        <f t="shared" ref="O123" si="1200">(175*O79)/O66</f>
        <v>532.91145833333337</v>
      </c>
      <c r="P123" s="208" t="s">
        <v>114</v>
      </c>
      <c r="Q123" s="209">
        <f t="shared" ref="Q123" si="1201">(175*Q79)/Q66</f>
        <v>534.953125</v>
      </c>
      <c r="R123" s="208" t="s">
        <v>114</v>
      </c>
      <c r="S123" s="209">
        <f t="shared" ref="S123" si="1202">(175*S79)/S66</f>
        <v>546.109375</v>
      </c>
      <c r="T123" s="208" t="s">
        <v>114</v>
      </c>
      <c r="U123" s="209">
        <f t="shared" ref="U123" si="1203">(175*U79)/U66</f>
        <v>541.515625</v>
      </c>
      <c r="V123" s="208" t="s">
        <v>114</v>
      </c>
      <c r="W123" s="209">
        <f t="shared" ref="W123" si="1204">(175*W79)/W66</f>
        <v>548.22395833333337</v>
      </c>
      <c r="X123" s="208" t="s">
        <v>114</v>
      </c>
      <c r="Y123" s="209">
        <f t="shared" ref="Y123" si="1205">(175*Y79)/Y66</f>
        <v>562.11458333333337</v>
      </c>
      <c r="Z123" s="208" t="s">
        <v>114</v>
      </c>
      <c r="AA123" s="209">
        <f t="shared" ref="AA123" si="1206">(175*AA79)/AA66</f>
        <v>570.390625</v>
      </c>
      <c r="AB123" s="208" t="s">
        <v>114</v>
      </c>
      <c r="AC123" s="209">
        <f t="shared" ref="AC123:AI123" si="1207">(175*AC79)/AC66</f>
        <v>569.58854166666663</v>
      </c>
      <c r="AD123" s="208" t="s">
        <v>114</v>
      </c>
      <c r="AE123" s="209">
        <f t="shared" si="1207"/>
        <v>558.94270833333337</v>
      </c>
      <c r="AF123" s="208" t="s">
        <v>114</v>
      </c>
      <c r="AG123" s="209">
        <f t="shared" si="1207"/>
        <v>550.19270833333337</v>
      </c>
      <c r="AH123" s="208" t="s">
        <v>114</v>
      </c>
      <c r="AI123" s="209">
        <f t="shared" si="1207"/>
        <v>556.90104166666663</v>
      </c>
      <c r="AJ123" s="208" t="s">
        <v>114</v>
      </c>
      <c r="AK123" s="209">
        <f t="shared" ref="AK123" si="1208">(175*AK79)/AK66</f>
        <v>541.66145833333337</v>
      </c>
      <c r="AL123" s="208" t="s">
        <v>114</v>
      </c>
      <c r="AM123" s="209">
        <f t="shared" ref="AM123" si="1209">(175*AM79)/AM66</f>
        <v>538.890625</v>
      </c>
      <c r="AN123" s="208" t="s">
        <v>114</v>
      </c>
      <c r="AO123" s="209">
        <f t="shared" ref="AO123:AQ123" si="1210">(175*AO79)/AO66</f>
        <v>544.359375</v>
      </c>
      <c r="AP123" s="208" t="s">
        <v>114</v>
      </c>
      <c r="AQ123" s="209">
        <f t="shared" si="1210"/>
        <v>547.75</v>
      </c>
      <c r="AR123" s="208" t="s">
        <v>114</v>
      </c>
      <c r="AS123" s="209">
        <f t="shared" ref="AS123:AU123" si="1211">(175*AS79)/AS66</f>
        <v>555.47916666666663</v>
      </c>
      <c r="AT123" s="208" t="s">
        <v>114</v>
      </c>
      <c r="AU123" s="209">
        <f t="shared" si="1211"/>
        <v>555.47916666666663</v>
      </c>
      <c r="AV123" s="208" t="s">
        <v>114</v>
      </c>
      <c r="AW123" s="209">
        <f t="shared" ref="AW123" si="1212">(175*AW79)/AW66</f>
        <v>559.08854166666663</v>
      </c>
      <c r="AX123" s="208" t="s">
        <v>114</v>
      </c>
      <c r="AY123" s="209">
        <f>(175*AY79)/AY66</f>
        <v>572.86979166666663</v>
      </c>
      <c r="AZ123" s="208" t="s">
        <v>114</v>
      </c>
      <c r="BA123" s="209">
        <f>(175*BA79)/BA66</f>
        <v>571.99479166666663</v>
      </c>
      <c r="BB123" s="208" t="s">
        <v>114</v>
      </c>
      <c r="BC123" s="209">
        <f>(175*BC79)/BC66</f>
        <v>565.83333333333337</v>
      </c>
      <c r="BD123" s="208" t="s">
        <v>114</v>
      </c>
      <c r="BE123" s="209">
        <f>(175*BE79)/BE66</f>
        <v>568.09375</v>
      </c>
      <c r="BF123" s="208" t="s">
        <v>114</v>
      </c>
      <c r="BG123" s="209">
        <f>(175*BG79)/BG66</f>
        <v>572.43229166666663</v>
      </c>
      <c r="BH123" s="208" t="s">
        <v>114</v>
      </c>
      <c r="BI123" s="209">
        <f>(175*BI79)/BI66</f>
        <v>585.703125</v>
      </c>
      <c r="BJ123" s="208" t="s">
        <v>114</v>
      </c>
      <c r="BK123" s="209">
        <f>(175*BK79)/BK66</f>
        <v>592.95833333333337</v>
      </c>
      <c r="BL123" s="208" t="s">
        <v>114</v>
      </c>
      <c r="BM123" s="209">
        <f>(175*BM79)/BM66</f>
        <v>560.83854166666663</v>
      </c>
      <c r="BN123" s="208" t="s">
        <v>114</v>
      </c>
      <c r="BO123" s="209">
        <f>(175*BO79)/BO66</f>
        <v>586.23674529322659</v>
      </c>
      <c r="BP123" s="208" t="s">
        <v>114</v>
      </c>
      <c r="BQ123" s="209">
        <f>(175*BQ79)/BQ66</f>
        <v>597.18134602899806</v>
      </c>
      <c r="BR123" s="208" t="s">
        <v>114</v>
      </c>
      <c r="BS123" s="209">
        <f>(175*BS79)/BS66</f>
        <v>604.86907595758498</v>
      </c>
      <c r="BT123" s="208" t="s">
        <v>114</v>
      </c>
      <c r="BU123" s="209">
        <f>(175*BU79)/BU66</f>
        <v>585.703125</v>
      </c>
      <c r="BV123" s="208" t="s">
        <v>114</v>
      </c>
      <c r="BW123" s="209">
        <f>(175*BW79)/BW66</f>
        <v>586.99415710885091</v>
      </c>
      <c r="BX123" s="545"/>
      <c r="BY123" s="545"/>
      <c r="BZ123" s="545"/>
      <c r="CA123" s="545"/>
    </row>
    <row r="124" spans="1:79" ht="15" customHeight="1" outlineLevel="2" collapsed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164"/>
      <c r="O124" s="165"/>
      <c r="P124" s="164"/>
      <c r="Q124" s="165"/>
      <c r="R124" s="164"/>
      <c r="S124" s="165"/>
      <c r="T124" s="164"/>
      <c r="U124" s="165"/>
      <c r="V124" s="164"/>
      <c r="W124" s="165"/>
      <c r="X124" s="164"/>
      <c r="Y124" s="165"/>
      <c r="Z124" s="164"/>
      <c r="AA124" s="165"/>
      <c r="AB124" s="164"/>
      <c r="AC124" s="165"/>
      <c r="AD124" s="164"/>
      <c r="AE124" s="165"/>
      <c r="AF124" s="164"/>
      <c r="AG124" s="165"/>
      <c r="AH124" s="164"/>
      <c r="AI124" s="165"/>
      <c r="AJ124" s="164"/>
      <c r="AK124" s="165"/>
      <c r="AL124" s="164"/>
      <c r="AM124" s="165"/>
      <c r="AN124" s="164"/>
      <c r="AO124" s="165"/>
      <c r="AP124" s="164"/>
      <c r="AQ124" s="165"/>
      <c r="AR124" s="164"/>
      <c r="AS124" s="165"/>
      <c r="AT124" s="164"/>
      <c r="AU124" s="165"/>
      <c r="AV124" s="164"/>
      <c r="AW124" s="165"/>
      <c r="AX124" s="359"/>
      <c r="AY124" s="368"/>
      <c r="AZ124" s="359"/>
      <c r="BA124" s="368"/>
      <c r="BB124" s="359"/>
      <c r="BC124" s="368"/>
      <c r="BD124" s="359"/>
      <c r="BE124" s="368"/>
      <c r="BF124" s="359"/>
      <c r="BG124" s="368"/>
      <c r="BH124" s="359"/>
      <c r="BI124" s="368"/>
      <c r="BJ124" s="359"/>
      <c r="BK124" s="368"/>
      <c r="BL124" s="359"/>
      <c r="BM124" s="368"/>
      <c r="BN124" s="359"/>
      <c r="BO124" s="368"/>
      <c r="BP124" s="359"/>
      <c r="BQ124" s="368"/>
      <c r="BR124" s="359"/>
      <c r="BS124" s="368"/>
      <c r="BT124" s="359"/>
      <c r="BU124" s="368"/>
      <c r="BV124" s="359"/>
      <c r="BW124" s="368"/>
      <c r="BX124" s="545"/>
      <c r="BY124" s="545"/>
      <c r="BZ124" s="545"/>
      <c r="CA124" s="545"/>
    </row>
    <row r="125" spans="1:79" ht="15" hidden="1" customHeight="1" outlineLevel="4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291156</v>
      </c>
      <c r="H125" s="214"/>
      <c r="I125" s="215">
        <v>291156</v>
      </c>
      <c r="J125" s="214"/>
      <c r="K125" s="215">
        <v>291156</v>
      </c>
      <c r="L125" s="214"/>
      <c r="M125" s="215">
        <v>291156</v>
      </c>
      <c r="N125" s="214"/>
      <c r="O125" s="215">
        <v>291156</v>
      </c>
      <c r="P125" s="214"/>
      <c r="Q125" s="215">
        <v>291156</v>
      </c>
      <c r="R125" s="214"/>
      <c r="S125" s="215">
        <v>291156</v>
      </c>
      <c r="T125" s="214"/>
      <c r="U125" s="215">
        <v>291156</v>
      </c>
      <c r="V125" s="214"/>
      <c r="W125" s="215">
        <v>291156</v>
      </c>
      <c r="X125" s="214"/>
      <c r="Y125" s="215">
        <v>291156</v>
      </c>
      <c r="Z125" s="214"/>
      <c r="AA125" s="215">
        <v>291156</v>
      </c>
      <c r="AB125" s="214"/>
      <c r="AC125" s="215">
        <v>291156</v>
      </c>
      <c r="AD125" s="214"/>
      <c r="AE125" s="215">
        <v>291156</v>
      </c>
      <c r="AF125" s="214"/>
      <c r="AG125" s="215">
        <v>291156</v>
      </c>
      <c r="AH125" s="214"/>
      <c r="AI125" s="215">
        <v>291156</v>
      </c>
      <c r="AJ125" s="214"/>
      <c r="AK125" s="215">
        <v>291156</v>
      </c>
      <c r="AL125" s="214"/>
      <c r="AM125" s="215">
        <v>291156</v>
      </c>
      <c r="AN125" s="214"/>
      <c r="AO125" s="215">
        <v>291156</v>
      </c>
      <c r="AP125" s="214"/>
      <c r="AQ125" s="215">
        <v>291156</v>
      </c>
      <c r="AR125" s="214"/>
      <c r="AS125" s="215">
        <v>291156</v>
      </c>
      <c r="AT125" s="214"/>
      <c r="AU125" s="215">
        <v>291156</v>
      </c>
      <c r="AV125" s="214"/>
      <c r="AW125" s="215">
        <v>291156</v>
      </c>
      <c r="AX125" s="214"/>
      <c r="AY125" s="215">
        <v>0</v>
      </c>
      <c r="AZ125" s="214"/>
      <c r="BA125" s="215">
        <v>0</v>
      </c>
      <c r="BB125" s="214"/>
      <c r="BC125" s="215">
        <v>0</v>
      </c>
      <c r="BD125" s="214"/>
      <c r="BE125" s="215">
        <v>0</v>
      </c>
      <c r="BF125" s="214"/>
      <c r="BG125" s="215">
        <v>0</v>
      </c>
      <c r="BH125" s="214"/>
      <c r="BI125" s="215">
        <v>0</v>
      </c>
      <c r="BJ125" s="214"/>
      <c r="BK125" s="215">
        <v>0</v>
      </c>
      <c r="BL125" s="214"/>
      <c r="BM125" s="215">
        <v>0</v>
      </c>
      <c r="BN125" s="214"/>
      <c r="BO125" s="215">
        <v>0</v>
      </c>
      <c r="BP125" s="214"/>
      <c r="BQ125" s="215">
        <v>0</v>
      </c>
      <c r="BR125" s="214"/>
      <c r="BS125" s="215">
        <v>0</v>
      </c>
      <c r="BT125" s="214"/>
      <c r="BU125" s="215">
        <v>0</v>
      </c>
      <c r="BV125" s="214"/>
      <c r="BW125" s="215">
        <v>0</v>
      </c>
      <c r="BX125" s="545"/>
      <c r="BY125" s="545"/>
      <c r="BZ125" s="545"/>
      <c r="CA125" s="545"/>
    </row>
    <row r="126" spans="1:79" ht="15" hidden="1" customHeight="1" outlineLevel="4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/>
      <c r="P126" s="214"/>
      <c r="Q126" s="215"/>
      <c r="R126" s="214"/>
      <c r="S126" s="215"/>
      <c r="T126" s="214"/>
      <c r="U126" s="215"/>
      <c r="V126" s="214"/>
      <c r="W126" s="215"/>
      <c r="X126" s="214"/>
      <c r="Y126" s="215"/>
      <c r="Z126" s="214"/>
      <c r="AA126" s="215"/>
      <c r="AB126" s="214"/>
      <c r="AC126" s="215"/>
      <c r="AD126" s="214"/>
      <c r="AE126" s="215"/>
      <c r="AF126" s="214"/>
      <c r="AG126" s="215"/>
      <c r="AH126" s="214"/>
      <c r="AI126" s="215"/>
      <c r="AJ126" s="214"/>
      <c r="AK126" s="215"/>
      <c r="AL126" s="214"/>
      <c r="AM126" s="215"/>
      <c r="AN126" s="214"/>
      <c r="AO126" s="215"/>
      <c r="AP126" s="214"/>
      <c r="AQ126" s="215"/>
      <c r="AR126" s="214"/>
      <c r="AS126" s="215"/>
      <c r="AT126" s="214"/>
      <c r="AU126" s="215"/>
      <c r="AV126" s="214"/>
      <c r="AW126" s="215"/>
      <c r="AX126" s="214"/>
      <c r="AY126" s="215"/>
      <c r="AZ126" s="214"/>
      <c r="BA126" s="215"/>
      <c r="BB126" s="214"/>
      <c r="BC126" s="215"/>
      <c r="BD126" s="214"/>
      <c r="BE126" s="215"/>
      <c r="BF126" s="214"/>
      <c r="BG126" s="215"/>
      <c r="BH126" s="214"/>
      <c r="BI126" s="215"/>
      <c r="BJ126" s="214"/>
      <c r="BK126" s="215"/>
      <c r="BL126" s="214"/>
      <c r="BM126" s="215"/>
      <c r="BN126" s="214"/>
      <c r="BO126" s="215"/>
      <c r="BP126" s="214"/>
      <c r="BQ126" s="215"/>
      <c r="BR126" s="214"/>
      <c r="BS126" s="215"/>
      <c r="BT126" s="214"/>
      <c r="BU126" s="215"/>
      <c r="BV126" s="214"/>
      <c r="BW126" s="215"/>
      <c r="BX126" s="545"/>
      <c r="BY126" s="545"/>
      <c r="BZ126" s="545"/>
      <c r="CA126" s="545"/>
    </row>
    <row r="127" spans="1:79" ht="15" hidden="1" customHeight="1" outlineLevel="4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/>
      <c r="P127" s="214"/>
      <c r="Q127" s="215"/>
      <c r="R127" s="214"/>
      <c r="S127" s="215"/>
      <c r="T127" s="214"/>
      <c r="U127" s="215"/>
      <c r="V127" s="214"/>
      <c r="W127" s="215"/>
      <c r="X127" s="214"/>
      <c r="Y127" s="215"/>
      <c r="Z127" s="214"/>
      <c r="AA127" s="215"/>
      <c r="AB127" s="214"/>
      <c r="AC127" s="215"/>
      <c r="AD127" s="214"/>
      <c r="AE127" s="215"/>
      <c r="AF127" s="214"/>
      <c r="AG127" s="215"/>
      <c r="AH127" s="214"/>
      <c r="AI127" s="215"/>
      <c r="AJ127" s="214"/>
      <c r="AK127" s="215"/>
      <c r="AL127" s="214"/>
      <c r="AM127" s="215"/>
      <c r="AN127" s="214"/>
      <c r="AO127" s="215"/>
      <c r="AP127" s="214"/>
      <c r="AQ127" s="215"/>
      <c r="AR127" s="214"/>
      <c r="AS127" s="215"/>
      <c r="AT127" s="214"/>
      <c r="AU127" s="215"/>
      <c r="AV127" s="214"/>
      <c r="AW127" s="215"/>
      <c r="AX127" s="214"/>
      <c r="AY127" s="215"/>
      <c r="AZ127" s="214"/>
      <c r="BA127" s="215"/>
      <c r="BB127" s="214"/>
      <c r="BC127" s="215"/>
      <c r="BD127" s="214"/>
      <c r="BE127" s="215"/>
      <c r="BF127" s="214"/>
      <c r="BG127" s="215"/>
      <c r="BH127" s="214"/>
      <c r="BI127" s="215"/>
      <c r="BJ127" s="214"/>
      <c r="BK127" s="215"/>
      <c r="BL127" s="214"/>
      <c r="BM127" s="215"/>
      <c r="BN127" s="214"/>
      <c r="BO127" s="215"/>
      <c r="BP127" s="214"/>
      <c r="BQ127" s="215"/>
      <c r="BR127" s="214"/>
      <c r="BS127" s="215"/>
      <c r="BT127" s="214"/>
      <c r="BU127" s="215"/>
      <c r="BV127" s="214"/>
      <c r="BW127" s="215"/>
      <c r="BX127" s="545"/>
      <c r="BY127" s="545"/>
      <c r="BZ127" s="545"/>
      <c r="CA127" s="545"/>
    </row>
    <row r="128" spans="1:79" ht="15" hidden="1" customHeight="1" outlineLevel="4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413556</v>
      </c>
      <c r="H128" s="219"/>
      <c r="I128" s="220">
        <v>413556</v>
      </c>
      <c r="J128" s="219"/>
      <c r="K128" s="220">
        <v>413556</v>
      </c>
      <c r="L128" s="219"/>
      <c r="M128" s="220">
        <v>413556</v>
      </c>
      <c r="N128" s="219"/>
      <c r="O128" s="220">
        <v>413556</v>
      </c>
      <c r="P128" s="219"/>
      <c r="Q128" s="220">
        <v>413556</v>
      </c>
      <c r="R128" s="219"/>
      <c r="S128" s="220">
        <v>413556</v>
      </c>
      <c r="T128" s="219"/>
      <c r="U128" s="220">
        <v>413556</v>
      </c>
      <c r="V128" s="219"/>
      <c r="W128" s="220">
        <v>413556</v>
      </c>
      <c r="X128" s="219"/>
      <c r="Y128" s="220">
        <v>413556</v>
      </c>
      <c r="Z128" s="219"/>
      <c r="AA128" s="220">
        <v>413556</v>
      </c>
      <c r="AB128" s="219"/>
      <c r="AC128" s="220">
        <v>413556</v>
      </c>
      <c r="AD128" s="219"/>
      <c r="AE128" s="220">
        <v>413556</v>
      </c>
      <c r="AF128" s="219"/>
      <c r="AG128" s="220">
        <v>413556</v>
      </c>
      <c r="AH128" s="219"/>
      <c r="AI128" s="220">
        <v>413556</v>
      </c>
      <c r="AJ128" s="219"/>
      <c r="AK128" s="220">
        <v>413556</v>
      </c>
      <c r="AL128" s="219"/>
      <c r="AM128" s="220">
        <v>413556</v>
      </c>
      <c r="AN128" s="219"/>
      <c r="AO128" s="220">
        <v>413556</v>
      </c>
      <c r="AP128" s="219"/>
      <c r="AQ128" s="220">
        <v>413556</v>
      </c>
      <c r="AR128" s="219"/>
      <c r="AS128" s="220">
        <v>413556</v>
      </c>
      <c r="AT128" s="219"/>
      <c r="AU128" s="220">
        <v>413556</v>
      </c>
      <c r="AV128" s="219"/>
      <c r="AW128" s="220">
        <v>413556</v>
      </c>
      <c r="AX128" s="219"/>
      <c r="AY128" s="220">
        <v>0</v>
      </c>
      <c r="AZ128" s="219"/>
      <c r="BA128" s="220">
        <v>0</v>
      </c>
      <c r="BB128" s="219"/>
      <c r="BC128" s="220">
        <v>0</v>
      </c>
      <c r="BD128" s="219"/>
      <c r="BE128" s="220">
        <v>0</v>
      </c>
      <c r="BF128" s="219"/>
      <c r="BG128" s="220">
        <v>0</v>
      </c>
      <c r="BH128" s="219"/>
      <c r="BI128" s="220">
        <v>0</v>
      </c>
      <c r="BJ128" s="219"/>
      <c r="BK128" s="220">
        <v>0</v>
      </c>
      <c r="BL128" s="219"/>
      <c r="BM128" s="220">
        <v>0</v>
      </c>
      <c r="BN128" s="219"/>
      <c r="BO128" s="220">
        <v>0</v>
      </c>
      <c r="BP128" s="219"/>
      <c r="BQ128" s="220">
        <v>0</v>
      </c>
      <c r="BR128" s="219"/>
      <c r="BS128" s="220">
        <v>0</v>
      </c>
      <c r="BT128" s="219"/>
      <c r="BU128" s="220">
        <v>0</v>
      </c>
      <c r="BV128" s="219"/>
      <c r="BW128" s="220">
        <v>0</v>
      </c>
      <c r="BX128" s="545"/>
      <c r="BY128" s="545"/>
      <c r="BZ128" s="545"/>
      <c r="CA128" s="545"/>
    </row>
    <row r="129" spans="1:79" ht="15" hidden="1" customHeight="1" outlineLevel="4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34463</v>
      </c>
      <c r="H129" s="219"/>
      <c r="I129" s="221">
        <f t="shared" ref="I129" si="1213">I128/I10</f>
        <v>34463</v>
      </c>
      <c r="J129" s="219"/>
      <c r="K129" s="221">
        <f t="shared" ref="K129" si="1214">K128/K10</f>
        <v>34463</v>
      </c>
      <c r="L129" s="219"/>
      <c r="M129" s="221">
        <f t="shared" ref="M129" si="1215">M128/M10</f>
        <v>34463</v>
      </c>
      <c r="N129" s="219"/>
      <c r="O129" s="221">
        <f t="shared" ref="O129" si="1216">O128/O10</f>
        <v>34463</v>
      </c>
      <c r="P129" s="219"/>
      <c r="Q129" s="221">
        <f t="shared" ref="Q129" si="1217">Q128/Q10</f>
        <v>34463</v>
      </c>
      <c r="R129" s="219"/>
      <c r="S129" s="221">
        <f t="shared" ref="S129" si="1218">S128/S10</f>
        <v>34463</v>
      </c>
      <c r="T129" s="219"/>
      <c r="U129" s="221">
        <f t="shared" ref="U129" si="1219">U128/U10</f>
        <v>34463</v>
      </c>
      <c r="V129" s="219"/>
      <c r="W129" s="221">
        <f t="shared" ref="W129" si="1220">W128/W10</f>
        <v>34463</v>
      </c>
      <c r="X129" s="219"/>
      <c r="Y129" s="221">
        <f t="shared" ref="Y129" si="1221">Y128/Y10</f>
        <v>34463</v>
      </c>
      <c r="Z129" s="219"/>
      <c r="AA129" s="221">
        <f t="shared" ref="AA129" si="1222">AA128/AA10</f>
        <v>34463</v>
      </c>
      <c r="AB129" s="219"/>
      <c r="AC129" s="221">
        <f t="shared" ref="AC129" si="1223">AC128/AC10</f>
        <v>34463</v>
      </c>
      <c r="AD129" s="219"/>
      <c r="AE129" s="221">
        <f t="shared" ref="AE129" si="1224">AE128/AE10</f>
        <v>34463</v>
      </c>
      <c r="AF129" s="219"/>
      <c r="AG129" s="221">
        <f t="shared" ref="AG129" si="1225">AG128/AG10</f>
        <v>34463</v>
      </c>
      <c r="AH129" s="219"/>
      <c r="AI129" s="221">
        <f t="shared" ref="AI129" si="1226">AI128/AI10</f>
        <v>34463</v>
      </c>
      <c r="AJ129" s="219"/>
      <c r="AK129" s="221">
        <f t="shared" ref="AK129" si="1227">AK128/AK10</f>
        <v>34463</v>
      </c>
      <c r="AL129" s="219"/>
      <c r="AM129" s="221">
        <f t="shared" ref="AM129" si="1228">AM128/AM10</f>
        <v>34463</v>
      </c>
      <c r="AN129" s="219"/>
      <c r="AO129" s="221">
        <f t="shared" ref="AO129:AQ129" si="1229">AO128/AO10</f>
        <v>34463</v>
      </c>
      <c r="AP129" s="219"/>
      <c r="AQ129" s="221">
        <f t="shared" si="1229"/>
        <v>34463</v>
      </c>
      <c r="AR129" s="219"/>
      <c r="AS129" s="221">
        <f t="shared" ref="AS129:AU129" si="1230">AS128/AS10</f>
        <v>34463</v>
      </c>
      <c r="AT129" s="219"/>
      <c r="AU129" s="221">
        <f t="shared" si="1230"/>
        <v>34463</v>
      </c>
      <c r="AV129" s="219"/>
      <c r="AW129" s="221">
        <f t="shared" ref="AW129" si="1231">AW128/AW10</f>
        <v>34463</v>
      </c>
      <c r="AX129" s="219"/>
      <c r="AY129" s="221">
        <f>AY128/AY10</f>
        <v>0</v>
      </c>
      <c r="AZ129" s="219"/>
      <c r="BA129" s="221">
        <f>BA128/BA10</f>
        <v>0</v>
      </c>
      <c r="BB129" s="219"/>
      <c r="BC129" s="221">
        <f>BC128/BC10</f>
        <v>0</v>
      </c>
      <c r="BD129" s="219"/>
      <c r="BE129" s="221">
        <f>BE128/BE10</f>
        <v>0</v>
      </c>
      <c r="BF129" s="219"/>
      <c r="BG129" s="221">
        <f>BG128/BG10</f>
        <v>0</v>
      </c>
      <c r="BH129" s="219"/>
      <c r="BI129" s="221">
        <f>BI128/BI10</f>
        <v>0</v>
      </c>
      <c r="BJ129" s="219"/>
      <c r="BK129" s="221">
        <f>BK128/BK10</f>
        <v>0</v>
      </c>
      <c r="BL129" s="219"/>
      <c r="BM129" s="221">
        <f>BM128/BM10</f>
        <v>0</v>
      </c>
      <c r="BN129" s="219"/>
      <c r="BO129" s="221">
        <f>BO128/BO10</f>
        <v>0</v>
      </c>
      <c r="BP129" s="219"/>
      <c r="BQ129" s="221">
        <f>BQ128/BQ10</f>
        <v>0</v>
      </c>
      <c r="BR129" s="219"/>
      <c r="BS129" s="221">
        <f>BS128/BS10</f>
        <v>0</v>
      </c>
      <c r="BT129" s="219"/>
      <c r="BU129" s="221">
        <f>BU128/BU10</f>
        <v>0</v>
      </c>
      <c r="BV129" s="219"/>
      <c r="BW129" s="221">
        <f>BW128/BW10</f>
        <v>0</v>
      </c>
      <c r="BX129" s="545"/>
      <c r="BY129" s="545"/>
      <c r="BZ129" s="545"/>
      <c r="CA129" s="545"/>
    </row>
    <row r="130" spans="1:79" ht="15" hidden="1" customHeight="1" outlineLevel="4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7.1797916666666666</v>
      </c>
      <c r="H130" s="222"/>
      <c r="I130" s="220">
        <f t="shared" ref="I130" si="1232">I129/I66</f>
        <v>7.1797916666666666</v>
      </c>
      <c r="J130" s="222"/>
      <c r="K130" s="220">
        <f t="shared" ref="K130" si="1233">K129/K66</f>
        <v>7.1797916666666666</v>
      </c>
      <c r="L130" s="222"/>
      <c r="M130" s="220">
        <f t="shared" ref="M130" si="1234">M129/M66</f>
        <v>7.1797916666666666</v>
      </c>
      <c r="N130" s="222"/>
      <c r="O130" s="220">
        <f t="shared" ref="O130" si="1235">O129/O66</f>
        <v>7.1797916666666666</v>
      </c>
      <c r="P130" s="222"/>
      <c r="Q130" s="220">
        <f t="shared" ref="Q130" si="1236">Q129/Q66</f>
        <v>7.1797916666666666</v>
      </c>
      <c r="R130" s="222"/>
      <c r="S130" s="220">
        <f t="shared" ref="S130" si="1237">S129/S66</f>
        <v>7.1797916666666666</v>
      </c>
      <c r="T130" s="222"/>
      <c r="U130" s="220">
        <f t="shared" ref="U130" si="1238">U129/U66</f>
        <v>7.1797916666666666</v>
      </c>
      <c r="V130" s="222"/>
      <c r="W130" s="220">
        <f t="shared" ref="W130" si="1239">W129/W66</f>
        <v>7.1797916666666666</v>
      </c>
      <c r="X130" s="222"/>
      <c r="Y130" s="220">
        <f t="shared" ref="Y130" si="1240">Y129/Y66</f>
        <v>7.1797916666666666</v>
      </c>
      <c r="Z130" s="222"/>
      <c r="AA130" s="220">
        <f t="shared" ref="AA130" si="1241">AA129/AA66</f>
        <v>7.1797916666666666</v>
      </c>
      <c r="AB130" s="222"/>
      <c r="AC130" s="220">
        <f t="shared" ref="AC130" si="1242">AC129/AC66</f>
        <v>7.1797916666666666</v>
      </c>
      <c r="AD130" s="222"/>
      <c r="AE130" s="220">
        <f t="shared" ref="AE130" si="1243">AE129/AE66</f>
        <v>7.1797916666666666</v>
      </c>
      <c r="AF130" s="222"/>
      <c r="AG130" s="220">
        <f t="shared" ref="AG130" si="1244">AG129/AG66</f>
        <v>7.1797916666666666</v>
      </c>
      <c r="AH130" s="222"/>
      <c r="AI130" s="220">
        <f t="shared" ref="AI130" si="1245">AI129/AI66</f>
        <v>7.1797916666666666</v>
      </c>
      <c r="AJ130" s="222"/>
      <c r="AK130" s="220">
        <f t="shared" ref="AK130" si="1246">AK129/AK66</f>
        <v>7.1797916666666666</v>
      </c>
      <c r="AL130" s="222"/>
      <c r="AM130" s="220">
        <f t="shared" ref="AM130" si="1247">AM129/AM66</f>
        <v>7.1797916666666666</v>
      </c>
      <c r="AN130" s="222"/>
      <c r="AO130" s="220">
        <f t="shared" ref="AO130:AQ130" si="1248">AO129/AO66</f>
        <v>7.1797916666666666</v>
      </c>
      <c r="AP130" s="222"/>
      <c r="AQ130" s="220">
        <f t="shared" si="1248"/>
        <v>7.1797916666666666</v>
      </c>
      <c r="AR130" s="222"/>
      <c r="AS130" s="220">
        <f t="shared" ref="AS130:AU130" si="1249">AS129/AS66</f>
        <v>7.1797916666666666</v>
      </c>
      <c r="AT130" s="222"/>
      <c r="AU130" s="220">
        <f t="shared" si="1249"/>
        <v>7.1797916666666666</v>
      </c>
      <c r="AV130" s="222"/>
      <c r="AW130" s="220">
        <f t="shared" ref="AW130" si="1250">AW129/AW66</f>
        <v>7.1797916666666666</v>
      </c>
      <c r="AX130" s="222"/>
      <c r="AY130" s="220">
        <f>AY129/AY66</f>
        <v>0</v>
      </c>
      <c r="AZ130" s="222"/>
      <c r="BA130" s="220">
        <f>BA129/BA66</f>
        <v>0</v>
      </c>
      <c r="BB130" s="222"/>
      <c r="BC130" s="220">
        <f>BC129/BC66</f>
        <v>0</v>
      </c>
      <c r="BD130" s="222"/>
      <c r="BE130" s="220">
        <f>BE129/BE66</f>
        <v>0</v>
      </c>
      <c r="BF130" s="222"/>
      <c r="BG130" s="220">
        <f>BG129/BG66</f>
        <v>0</v>
      </c>
      <c r="BH130" s="222"/>
      <c r="BI130" s="220">
        <f>BI129/BI66</f>
        <v>0</v>
      </c>
      <c r="BJ130" s="222"/>
      <c r="BK130" s="220">
        <f>BK129/BK66</f>
        <v>0</v>
      </c>
      <c r="BL130" s="222"/>
      <c r="BM130" s="220">
        <f>BM129/BM66</f>
        <v>0</v>
      </c>
      <c r="BN130" s="222"/>
      <c r="BO130" s="220">
        <f>BO129/BO66</f>
        <v>0</v>
      </c>
      <c r="BP130" s="222"/>
      <c r="BQ130" s="220">
        <f>BQ129/BQ66</f>
        <v>0</v>
      </c>
      <c r="BR130" s="222"/>
      <c r="BS130" s="220">
        <f>BS129/BS66</f>
        <v>0</v>
      </c>
      <c r="BT130" s="222"/>
      <c r="BU130" s="220">
        <f>BU129/BU66</f>
        <v>0</v>
      </c>
      <c r="BV130" s="222"/>
      <c r="BW130" s="220">
        <f>BW129/BW66</f>
        <v>0</v>
      </c>
      <c r="BX130" s="545"/>
      <c r="BY130" s="545"/>
      <c r="BZ130" s="545"/>
      <c r="CA130" s="545"/>
    </row>
    <row r="131" spans="1:79" ht="15" hidden="1" customHeight="1" outlineLevel="3" collapsed="1" x14ac:dyDescent="0.45">
      <c r="A131" s="561"/>
      <c r="B131" s="1187"/>
      <c r="C131" s="582" t="s">
        <v>387</v>
      </c>
      <c r="D131" s="583"/>
      <c r="E131" s="584" t="s">
        <v>123</v>
      </c>
      <c r="F131" s="585"/>
      <c r="G131" s="586">
        <f>INDEX(Table5[#All],MATCH(F$4,Table5[[#All],[SKU]],0),MATCH(LEFT(F$3,3),Table5[#Headers],0))</f>
        <v>28800</v>
      </c>
      <c r="H131" s="585"/>
      <c r="I131" s="586">
        <f>INDEX(Table5[#All],MATCH(H$4,Table5[[#All],[SKU]],0),MATCH(LEFT(H$3,3),Table5[#Headers],0))</f>
        <v>28500</v>
      </c>
      <c r="J131" s="585"/>
      <c r="K131" s="586">
        <f>INDEX(Table5[#All],MATCH(J$4,Table5[[#All],[SKU]],0),MATCH(LEFT(J$3,3),Table5[#Headers],0))</f>
        <v>28800</v>
      </c>
      <c r="L131" s="585"/>
      <c r="M131" s="586">
        <f>INDEX(Table5[#All],MATCH(L$4,Table5[[#All],[SKU]],0),MATCH(LEFT(L$3,3),Table5[#Headers],0))</f>
        <v>55716</v>
      </c>
      <c r="N131" s="585"/>
      <c r="O131" s="586">
        <f>INDEX(Table5[#All],MATCH(N$4,Table5[[#All],[SKU]],0),MATCH(LEFT(N$3,3),Table5[#Headers],0))</f>
        <v>55452</v>
      </c>
      <c r="P131" s="585"/>
      <c r="Q131" s="586">
        <f>INDEX(Table5[#All],MATCH(P$4,Table5[[#All],[SKU]],0),MATCH(LEFT(P$3,3),Table5[#Headers],0))</f>
        <v>54540</v>
      </c>
      <c r="R131" s="585"/>
      <c r="S131" s="586">
        <f>INDEX(Table5[#All],MATCH(R$4,Table5[[#All],[SKU]],0),MATCH(LEFT(R$3,3),Table5[#Headers],0))</f>
        <v>115500</v>
      </c>
      <c r="T131" s="585"/>
      <c r="U131" s="586">
        <f>INDEX(Table5[#All],MATCH(T$4,Table5[[#All],[SKU]],0),MATCH(LEFT(T$3,3),Table5[#Headers],0))</f>
        <v>28620</v>
      </c>
      <c r="V131" s="585"/>
      <c r="W131" s="586">
        <f>INDEX(Table5[#All],MATCH(V$4,Table5[[#All],[SKU]],0),MATCH(LEFT(V$3,3),Table5[#Headers],0))</f>
        <v>28800</v>
      </c>
      <c r="X131" s="585"/>
      <c r="Y131" s="586">
        <f>INDEX(Table5[#All],MATCH(X$4,Table5[[#All],[SKU]],0),MATCH(LEFT(X$3,3),Table5[#Headers],0))</f>
        <v>27900</v>
      </c>
      <c r="Z131" s="585"/>
      <c r="AA131" s="586">
        <f>INDEX(Table5[#All],MATCH(Z$4,Table5[[#All],[SKU]],0),MATCH(LEFT(Z$3,3),Table5[#Headers],0))</f>
        <v>103644</v>
      </c>
      <c r="AB131" s="585"/>
      <c r="AC131" s="586">
        <f>INDEX(Table5[#All],MATCH(AB$4,Table5[[#All],[SKU]],0),MATCH(LEFT(AB$3,3),Table5[#Headers],0))</f>
        <v>205392</v>
      </c>
      <c r="AD131" s="585"/>
      <c r="AE131" s="586">
        <f>'Sales Volume'!P10</f>
        <v>56424</v>
      </c>
      <c r="AF131" s="585"/>
      <c r="AG131" s="586">
        <f>'Sales Volume'!Q10</f>
        <v>28800</v>
      </c>
      <c r="AH131" s="585"/>
      <c r="AI131" s="586">
        <f>'Sales Volume'!R10</f>
        <v>112212</v>
      </c>
      <c r="AJ131" s="585"/>
      <c r="AK131" s="586">
        <f>'Sales Volume'!S10</f>
        <v>4944</v>
      </c>
      <c r="AL131" s="585"/>
      <c r="AM131" s="586">
        <f>'Sales Volume'!T10</f>
        <v>113400</v>
      </c>
      <c r="AN131" s="585"/>
      <c r="AO131" s="586">
        <f>'Sales Volume'!U10</f>
        <v>139344</v>
      </c>
      <c r="AP131" s="585"/>
      <c r="AQ131" s="586">
        <f>'Sales Volume'!V10</f>
        <v>110028</v>
      </c>
      <c r="AR131" s="585"/>
      <c r="AS131" s="586">
        <f>'Sales Volume'!V10</f>
        <v>110028</v>
      </c>
      <c r="AT131" s="585"/>
      <c r="AU131" s="586">
        <f>'Sales Volume'!X10</f>
        <v>277500</v>
      </c>
      <c r="AV131" s="585"/>
      <c r="AW131" s="586">
        <f>'Sales Volume'!Z10</f>
        <v>0</v>
      </c>
      <c r="AX131" s="585"/>
      <c r="AY131" s="586">
        <v>0</v>
      </c>
      <c r="AZ131" s="585"/>
      <c r="BA131" s="586">
        <v>0</v>
      </c>
      <c r="BB131" s="585"/>
      <c r="BC131" s="586">
        <v>0</v>
      </c>
      <c r="BD131" s="585"/>
      <c r="BE131" s="586">
        <v>0</v>
      </c>
      <c r="BF131" s="585"/>
      <c r="BG131" s="586">
        <v>0</v>
      </c>
      <c r="BH131" s="585"/>
      <c r="BI131" s="586">
        <v>0</v>
      </c>
      <c r="BJ131" s="585"/>
      <c r="BK131" s="586">
        <v>0</v>
      </c>
      <c r="BL131" s="585"/>
      <c r="BM131" s="586">
        <v>0</v>
      </c>
      <c r="BN131" s="585"/>
      <c r="BO131" s="586">
        <v>0</v>
      </c>
      <c r="BP131" s="585"/>
      <c r="BQ131" s="586">
        <v>0</v>
      </c>
      <c r="BR131" s="585"/>
      <c r="BS131" s="586">
        <v>0</v>
      </c>
      <c r="BT131" s="585"/>
      <c r="BU131" s="586">
        <v>0</v>
      </c>
      <c r="BV131" s="585"/>
      <c r="BW131" s="586">
        <v>0</v>
      </c>
      <c r="BX131" s="545"/>
      <c r="BY131" s="545"/>
      <c r="BZ131" s="545"/>
      <c r="CA131" s="545"/>
    </row>
    <row r="132" spans="1:79" ht="15" hidden="1" customHeight="1" outlineLevel="3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2400</v>
      </c>
      <c r="H132" s="585"/>
      <c r="I132" s="586">
        <f t="shared" ref="I132" si="1251">I131/I10</f>
        <v>2375</v>
      </c>
      <c r="J132" s="585"/>
      <c r="K132" s="586">
        <f t="shared" ref="K132" si="1252">K131/K10</f>
        <v>2400</v>
      </c>
      <c r="L132" s="585"/>
      <c r="M132" s="586">
        <f t="shared" ref="M132" si="1253">M131/M10</f>
        <v>4643</v>
      </c>
      <c r="N132" s="585"/>
      <c r="O132" s="586">
        <f t="shared" ref="O132" si="1254">O131/O10</f>
        <v>4621</v>
      </c>
      <c r="P132" s="585"/>
      <c r="Q132" s="586">
        <f t="shared" ref="Q132" si="1255">Q131/Q10</f>
        <v>4545</v>
      </c>
      <c r="R132" s="585"/>
      <c r="S132" s="586">
        <f t="shared" ref="S132" si="1256">S131/S10</f>
        <v>9625</v>
      </c>
      <c r="T132" s="585"/>
      <c r="U132" s="586">
        <f t="shared" ref="U132" si="1257">U131/U10</f>
        <v>2385</v>
      </c>
      <c r="V132" s="585"/>
      <c r="W132" s="586">
        <f t="shared" ref="W132" si="1258">W131/W10</f>
        <v>2400</v>
      </c>
      <c r="X132" s="585"/>
      <c r="Y132" s="586">
        <f t="shared" ref="Y132" si="1259">Y131/Y10</f>
        <v>2325</v>
      </c>
      <c r="Z132" s="585"/>
      <c r="AA132" s="586">
        <f t="shared" ref="AA132" si="1260">AA131/AA10</f>
        <v>8637</v>
      </c>
      <c r="AB132" s="585"/>
      <c r="AC132" s="586">
        <f t="shared" ref="AC132" si="1261">AC131/AC10</f>
        <v>17116</v>
      </c>
      <c r="AD132" s="585"/>
      <c r="AE132" s="586">
        <f t="shared" ref="AE132" si="1262">AE131/AE10</f>
        <v>4702</v>
      </c>
      <c r="AF132" s="585"/>
      <c r="AG132" s="586">
        <f t="shared" ref="AG132" si="1263">AG131/AG10</f>
        <v>2400</v>
      </c>
      <c r="AH132" s="585"/>
      <c r="AI132" s="586">
        <f t="shared" ref="AI132" si="1264">AI131/AI10</f>
        <v>9351</v>
      </c>
      <c r="AJ132" s="585"/>
      <c r="AK132" s="586">
        <f t="shared" ref="AK132" si="1265">AK131/AK10</f>
        <v>412</v>
      </c>
      <c r="AL132" s="585"/>
      <c r="AM132" s="586">
        <f t="shared" ref="AM132" si="1266">AM131/AM10</f>
        <v>9450</v>
      </c>
      <c r="AN132" s="585"/>
      <c r="AO132" s="586">
        <f t="shared" ref="AO132:AQ132" si="1267">AO131/AO10</f>
        <v>11612</v>
      </c>
      <c r="AP132" s="585"/>
      <c r="AQ132" s="586">
        <f t="shared" si="1267"/>
        <v>9169</v>
      </c>
      <c r="AR132" s="585"/>
      <c r="AS132" s="586">
        <f t="shared" ref="AS132:AU132" si="1268">AS131/AS10</f>
        <v>9169</v>
      </c>
      <c r="AT132" s="585"/>
      <c r="AU132" s="586">
        <f t="shared" si="1268"/>
        <v>23125</v>
      </c>
      <c r="AV132" s="585"/>
      <c r="AW132" s="586">
        <f t="shared" ref="AW132" si="1269">AW131/AW10</f>
        <v>0</v>
      </c>
      <c r="AX132" s="585"/>
      <c r="AY132" s="586">
        <f>AY131/AY10</f>
        <v>0</v>
      </c>
      <c r="AZ132" s="585"/>
      <c r="BA132" s="586">
        <f>BA131/BA10</f>
        <v>0</v>
      </c>
      <c r="BB132" s="585"/>
      <c r="BC132" s="586">
        <f>BC131/BC10</f>
        <v>0</v>
      </c>
      <c r="BD132" s="585"/>
      <c r="BE132" s="586">
        <f>BE131/BE10</f>
        <v>0</v>
      </c>
      <c r="BF132" s="585"/>
      <c r="BG132" s="586">
        <f>BG131/BG10</f>
        <v>0</v>
      </c>
      <c r="BH132" s="585"/>
      <c r="BI132" s="586">
        <f>BI131/BI10</f>
        <v>0</v>
      </c>
      <c r="BJ132" s="585"/>
      <c r="BK132" s="586">
        <f>BK131/BK10</f>
        <v>0</v>
      </c>
      <c r="BL132" s="585"/>
      <c r="BM132" s="586">
        <f>BM131/BM10</f>
        <v>0</v>
      </c>
      <c r="BN132" s="585"/>
      <c r="BO132" s="586">
        <f>BO131/BO10</f>
        <v>0</v>
      </c>
      <c r="BP132" s="585"/>
      <c r="BQ132" s="586">
        <f>BQ131/BQ10</f>
        <v>0</v>
      </c>
      <c r="BR132" s="585"/>
      <c r="BS132" s="586">
        <f>BS131/BS10</f>
        <v>0</v>
      </c>
      <c r="BT132" s="585"/>
      <c r="BU132" s="586">
        <f>BU131/BU10</f>
        <v>0</v>
      </c>
      <c r="BV132" s="585"/>
      <c r="BW132" s="586">
        <f>BW131/BW10</f>
        <v>0</v>
      </c>
      <c r="BX132" s="545"/>
      <c r="BY132" s="545"/>
      <c r="BZ132" s="545"/>
      <c r="CA132" s="545"/>
    </row>
    <row r="133" spans="1:79" ht="15" hidden="1" customHeight="1" outlineLevel="3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0.5</v>
      </c>
      <c r="H133" s="585"/>
      <c r="I133" s="586">
        <f t="shared" ref="I133" si="1270">I132/I66</f>
        <v>0.49479166666666669</v>
      </c>
      <c r="J133" s="585"/>
      <c r="K133" s="586">
        <f t="shared" ref="K133" si="1271">K132/K66</f>
        <v>0.5</v>
      </c>
      <c r="L133" s="585"/>
      <c r="M133" s="586">
        <f t="shared" ref="M133" si="1272">M132/M66</f>
        <v>0.96729166666666666</v>
      </c>
      <c r="N133" s="585"/>
      <c r="O133" s="586">
        <f t="shared" ref="O133" si="1273">O132/O66</f>
        <v>0.96270833333333339</v>
      </c>
      <c r="P133" s="585"/>
      <c r="Q133" s="586">
        <f t="shared" ref="Q133" si="1274">Q132/Q66</f>
        <v>0.94687500000000002</v>
      </c>
      <c r="R133" s="585"/>
      <c r="S133" s="586">
        <f t="shared" ref="S133" si="1275">S132/S66</f>
        <v>2.0052083333333335</v>
      </c>
      <c r="T133" s="585"/>
      <c r="U133" s="586">
        <f t="shared" ref="U133" si="1276">U132/U66</f>
        <v>0.49687500000000001</v>
      </c>
      <c r="V133" s="585"/>
      <c r="W133" s="586">
        <f t="shared" ref="W133" si="1277">W132/W66</f>
        <v>0.5</v>
      </c>
      <c r="X133" s="585"/>
      <c r="Y133" s="586">
        <f t="shared" ref="Y133" si="1278">Y132/Y66</f>
        <v>0.484375</v>
      </c>
      <c r="Z133" s="585"/>
      <c r="AA133" s="586">
        <f t="shared" ref="AA133" si="1279">AA132/AA66</f>
        <v>1.7993749999999999</v>
      </c>
      <c r="AB133" s="585"/>
      <c r="AC133" s="586">
        <f t="shared" ref="AC133" si="1280">AC132/AC66</f>
        <v>3.5658333333333334</v>
      </c>
      <c r="AD133" s="585"/>
      <c r="AE133" s="586">
        <f t="shared" ref="AE133" si="1281">AE132/AE66</f>
        <v>0.97958333333333336</v>
      </c>
      <c r="AF133" s="585"/>
      <c r="AG133" s="586">
        <f t="shared" ref="AG133" si="1282">AG132/AG66</f>
        <v>0.5</v>
      </c>
      <c r="AH133" s="585"/>
      <c r="AI133" s="586">
        <f t="shared" ref="AI133" si="1283">AI132/AI66</f>
        <v>1.9481250000000001</v>
      </c>
      <c r="AJ133" s="585"/>
      <c r="AK133" s="586">
        <f t="shared" ref="AK133" si="1284">AK132/AK66</f>
        <v>8.5833333333333331E-2</v>
      </c>
      <c r="AL133" s="585"/>
      <c r="AM133" s="586">
        <f t="shared" ref="AM133" si="1285">AM132/AM66</f>
        <v>1.96875</v>
      </c>
      <c r="AN133" s="585"/>
      <c r="AO133" s="586">
        <f t="shared" ref="AO133:AQ133" si="1286">AO132/AO66</f>
        <v>2.4191666666666665</v>
      </c>
      <c r="AP133" s="585"/>
      <c r="AQ133" s="586">
        <f t="shared" si="1286"/>
        <v>1.9102083333333333</v>
      </c>
      <c r="AR133" s="585"/>
      <c r="AS133" s="586">
        <f t="shared" ref="AS133:AU133" si="1287">AS132/AS66</f>
        <v>1.9102083333333333</v>
      </c>
      <c r="AT133" s="585"/>
      <c r="AU133" s="586">
        <f t="shared" si="1287"/>
        <v>4.817708333333333</v>
      </c>
      <c r="AV133" s="585"/>
      <c r="AW133" s="586">
        <f t="shared" ref="AW133" si="1288">AW132/AW66</f>
        <v>0</v>
      </c>
      <c r="AX133" s="585"/>
      <c r="AY133" s="586">
        <f>AY132/AY66</f>
        <v>0</v>
      </c>
      <c r="AZ133" s="585"/>
      <c r="BA133" s="586">
        <f>BA132/BA66</f>
        <v>0</v>
      </c>
      <c r="BB133" s="585"/>
      <c r="BC133" s="586">
        <f>BC132/BC66</f>
        <v>0</v>
      </c>
      <c r="BD133" s="585"/>
      <c r="BE133" s="586">
        <f>BE132/BE66</f>
        <v>0</v>
      </c>
      <c r="BF133" s="585"/>
      <c r="BG133" s="586">
        <f>BG132/BG66</f>
        <v>0</v>
      </c>
      <c r="BH133" s="585"/>
      <c r="BI133" s="586">
        <f>BI132/BI66</f>
        <v>0</v>
      </c>
      <c r="BJ133" s="585"/>
      <c r="BK133" s="586">
        <f>BK132/BK66</f>
        <v>0</v>
      </c>
      <c r="BL133" s="585"/>
      <c r="BM133" s="586">
        <f>BM132/BM66</f>
        <v>0</v>
      </c>
      <c r="BN133" s="585"/>
      <c r="BO133" s="586">
        <f>BO132/BO66</f>
        <v>0</v>
      </c>
      <c r="BP133" s="585"/>
      <c r="BQ133" s="586">
        <f>BQ132/BQ66</f>
        <v>0</v>
      </c>
      <c r="BR133" s="585"/>
      <c r="BS133" s="586">
        <f>BS132/BS66</f>
        <v>0</v>
      </c>
      <c r="BT133" s="585"/>
      <c r="BU133" s="586">
        <f>BU132/BU66</f>
        <v>0</v>
      </c>
      <c r="BV133" s="585"/>
      <c r="BW133" s="586">
        <f>BW132/BW66</f>
        <v>0</v>
      </c>
      <c r="BX133" s="545"/>
      <c r="BY133" s="545"/>
      <c r="BZ133" s="545"/>
      <c r="CA133" s="545"/>
    </row>
    <row r="134" spans="1:79" ht="14.85" customHeight="1" outlineLevel="2" collapsed="1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177"/>
      <c r="O134" s="178"/>
      <c r="P134" s="177"/>
      <c r="Q134" s="178"/>
      <c r="R134" s="177"/>
      <c r="S134" s="178"/>
      <c r="T134" s="177"/>
      <c r="U134" s="178"/>
      <c r="V134" s="177"/>
      <c r="W134" s="178"/>
      <c r="X134" s="177"/>
      <c r="Y134" s="178"/>
      <c r="Z134" s="177"/>
      <c r="AA134" s="178"/>
      <c r="AB134" s="177"/>
      <c r="AC134" s="178"/>
      <c r="AD134" s="177"/>
      <c r="AE134" s="178"/>
      <c r="AF134" s="177"/>
      <c r="AG134" s="178"/>
      <c r="AH134" s="177"/>
      <c r="AI134" s="178"/>
      <c r="AJ134" s="177"/>
      <c r="AK134" s="178"/>
      <c r="AL134" s="177"/>
      <c r="AM134" s="178"/>
      <c r="AN134" s="177"/>
      <c r="AO134" s="178"/>
      <c r="AP134" s="177"/>
      <c r="AQ134" s="178"/>
      <c r="AR134" s="177"/>
      <c r="AS134" s="178"/>
      <c r="AT134" s="177"/>
      <c r="AU134" s="178"/>
      <c r="AV134" s="177"/>
      <c r="AW134" s="178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  <c r="BP134" s="375"/>
      <c r="BQ134" s="376"/>
      <c r="BR134" s="375"/>
      <c r="BS134" s="376"/>
      <c r="BT134" s="375"/>
      <c r="BU134" s="376"/>
      <c r="BV134" s="375"/>
      <c r="BW134" s="376"/>
      <c r="BX134" s="545"/>
      <c r="BY134" s="545"/>
      <c r="BZ134" s="545"/>
      <c r="CA134" s="545"/>
    </row>
    <row r="135" spans="1:79" ht="14.85" customHeight="1" outlineLevel="3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180"/>
      <c r="I135" s="384">
        <f t="shared" ref="I135" si="1289">I64</f>
        <v>1200</v>
      </c>
      <c r="J135" s="180"/>
      <c r="K135" s="384">
        <f t="shared" ref="K135" si="1290">K64</f>
        <v>1200</v>
      </c>
      <c r="L135" s="180"/>
      <c r="M135" s="384">
        <f t="shared" ref="M135" si="1291">M64</f>
        <v>1200</v>
      </c>
      <c r="N135" s="180"/>
      <c r="O135" s="384">
        <f t="shared" ref="O135" si="1292">O64</f>
        <v>1200</v>
      </c>
      <c r="P135" s="180"/>
      <c r="Q135" s="384">
        <f t="shared" ref="Q135" si="1293">Q64</f>
        <v>1200</v>
      </c>
      <c r="R135" s="180"/>
      <c r="S135" s="384">
        <f t="shared" ref="S135" si="1294">S64</f>
        <v>1200</v>
      </c>
      <c r="T135" s="180"/>
      <c r="U135" s="384">
        <f t="shared" ref="U135" si="1295">U64</f>
        <v>1200</v>
      </c>
      <c r="V135" s="180"/>
      <c r="W135" s="384">
        <f t="shared" ref="W135" si="1296">W64</f>
        <v>1200</v>
      </c>
      <c r="X135" s="180"/>
      <c r="Y135" s="384">
        <f t="shared" ref="Y135" si="1297">Y64</f>
        <v>1200</v>
      </c>
      <c r="Z135" s="180"/>
      <c r="AA135" s="384">
        <f t="shared" ref="AA135" si="1298">AA64</f>
        <v>1200</v>
      </c>
      <c r="AB135" s="180"/>
      <c r="AC135" s="384">
        <f t="shared" ref="AC135:AI135" si="1299">AC64</f>
        <v>1200</v>
      </c>
      <c r="AD135" s="180"/>
      <c r="AE135" s="384">
        <f t="shared" si="1299"/>
        <v>1200</v>
      </c>
      <c r="AF135" s="180"/>
      <c r="AG135" s="384">
        <f t="shared" si="1299"/>
        <v>1200</v>
      </c>
      <c r="AH135" s="180"/>
      <c r="AI135" s="384">
        <f t="shared" si="1299"/>
        <v>1200</v>
      </c>
      <c r="AJ135" s="180"/>
      <c r="AK135" s="384">
        <f t="shared" ref="AK135" si="1300">AK64</f>
        <v>1200</v>
      </c>
      <c r="AL135" s="180"/>
      <c r="AM135" s="384">
        <f t="shared" ref="AM135" si="1301">AM64</f>
        <v>1200</v>
      </c>
      <c r="AN135" s="180"/>
      <c r="AO135" s="384">
        <f t="shared" ref="AO135:AQ135" si="1302">AO64</f>
        <v>1200</v>
      </c>
      <c r="AP135" s="180"/>
      <c r="AQ135" s="384">
        <f t="shared" si="1302"/>
        <v>1200</v>
      </c>
      <c r="AR135" s="180"/>
      <c r="AS135" s="384">
        <f t="shared" ref="AS135:AU135" si="1303">AS64</f>
        <v>1200</v>
      </c>
      <c r="AT135" s="180"/>
      <c r="AU135" s="384">
        <f t="shared" si="1303"/>
        <v>1200</v>
      </c>
      <c r="AV135" s="180"/>
      <c r="AW135" s="384">
        <f t="shared" ref="AW135" si="1304">AW64</f>
        <v>1200</v>
      </c>
      <c r="AX135" s="380"/>
      <c r="AY135" s="384">
        <v>1200</v>
      </c>
      <c r="AZ135" s="380"/>
      <c r="BA135" s="384">
        <v>1200</v>
      </c>
      <c r="BB135" s="380"/>
      <c r="BC135" s="384">
        <v>1200</v>
      </c>
      <c r="BD135" s="380"/>
      <c r="BE135" s="384">
        <v>1200</v>
      </c>
      <c r="BF135" s="380"/>
      <c r="BG135" s="384">
        <v>1200</v>
      </c>
      <c r="BH135" s="380"/>
      <c r="BI135" s="384">
        <v>1200</v>
      </c>
      <c r="BJ135" s="380"/>
      <c r="BK135" s="384">
        <v>750</v>
      </c>
      <c r="BL135" s="380"/>
      <c r="BM135" s="384">
        <v>750</v>
      </c>
      <c r="BN135" s="380"/>
      <c r="BO135" s="384">
        <v>750</v>
      </c>
      <c r="BP135" s="380"/>
      <c r="BQ135" s="384">
        <v>750</v>
      </c>
      <c r="BR135" s="380"/>
      <c r="BS135" s="384">
        <v>750</v>
      </c>
      <c r="BT135" s="380"/>
      <c r="BU135" s="384">
        <v>750</v>
      </c>
      <c r="BV135" s="380"/>
      <c r="BW135" s="384">
        <v>750</v>
      </c>
      <c r="BX135" s="545"/>
      <c r="BY135" s="545"/>
      <c r="BZ135" s="545"/>
      <c r="CA135" s="545"/>
    </row>
    <row r="136" spans="1:79" ht="14.85" customHeight="1" outlineLevel="3" x14ac:dyDescent="0.45">
      <c r="A136" s="561"/>
      <c r="B136" s="1187"/>
      <c r="C136" s="161" t="s">
        <v>388</v>
      </c>
      <c r="D136" s="162"/>
      <c r="E136" s="179"/>
      <c r="F136" s="180"/>
      <c r="G136" s="224">
        <v>1280.5463664496854</v>
      </c>
      <c r="H136" s="180"/>
      <c r="I136" s="224">
        <v>1783.969667577815</v>
      </c>
      <c r="J136" s="180"/>
      <c r="K136" s="224">
        <v>1477.5570272259015</v>
      </c>
      <c r="L136" s="180"/>
      <c r="M136" s="224">
        <v>1132.0267068705577</v>
      </c>
      <c r="N136" s="180"/>
      <c r="O136" s="224">
        <v>1579.2622133599205</v>
      </c>
      <c r="P136" s="180"/>
      <c r="Q136" s="224">
        <v>1294.8165025632682</v>
      </c>
      <c r="R136" s="180"/>
      <c r="S136" s="224">
        <v>1298.7807773541904</v>
      </c>
      <c r="T136" s="180"/>
      <c r="U136" s="224">
        <v>1231.375358166189</v>
      </c>
      <c r="V136" s="180"/>
      <c r="W136" s="224">
        <v>1009.3987923339458</v>
      </c>
      <c r="X136" s="180"/>
      <c r="Y136" s="224">
        <v>716.94064122923726</v>
      </c>
      <c r="Z136" s="180"/>
      <c r="AA136" s="224">
        <v>599.98768545076211</v>
      </c>
      <c r="AB136" s="180"/>
      <c r="AC136" s="224">
        <v>572.57742509936509</v>
      </c>
      <c r="AD136" s="180"/>
      <c r="AE136" s="384">
        <v>402.3877665544332</v>
      </c>
      <c r="AF136" s="380"/>
      <c r="AG136" s="384">
        <v>157.57857974388824</v>
      </c>
      <c r="AH136" s="380"/>
      <c r="AI136" s="384">
        <v>671.53977758768178</v>
      </c>
      <c r="AJ136" s="380"/>
      <c r="AK136" s="384">
        <v>23.339901477832512</v>
      </c>
      <c r="AL136" s="380"/>
      <c r="AM136" s="384">
        <v>460</v>
      </c>
      <c r="AN136" s="380"/>
      <c r="AO136" s="384">
        <v>150</v>
      </c>
      <c r="AP136" s="380"/>
      <c r="AQ136" s="384">
        <v>105</v>
      </c>
      <c r="AR136" s="380"/>
      <c r="AS136" s="384">
        <v>105</v>
      </c>
      <c r="AT136" s="380"/>
      <c r="AU136" s="384">
        <v>105</v>
      </c>
      <c r="AV136" s="380"/>
      <c r="AW136" s="384">
        <v>105</v>
      </c>
      <c r="AX136" s="380"/>
      <c r="AY136" s="384">
        <v>60</v>
      </c>
      <c r="AZ136" s="380"/>
      <c r="BA136" s="384">
        <v>60</v>
      </c>
      <c r="BB136" s="380"/>
      <c r="BC136" s="384">
        <v>55</v>
      </c>
      <c r="BD136" s="380"/>
      <c r="BE136" s="384">
        <v>76</v>
      </c>
      <c r="BF136" s="380"/>
      <c r="BG136" s="384">
        <v>49</v>
      </c>
      <c r="BH136" s="380"/>
      <c r="BI136" s="384">
        <v>60</v>
      </c>
      <c r="BJ136" s="380"/>
      <c r="BK136" s="384">
        <v>295.30472103004291</v>
      </c>
      <c r="BL136" s="380"/>
      <c r="BM136" s="384">
        <v>49</v>
      </c>
      <c r="BN136" s="380"/>
      <c r="BO136" s="384">
        <v>61.756756756756758</v>
      </c>
      <c r="BP136" s="380"/>
      <c r="BQ136" s="384">
        <v>15</v>
      </c>
      <c r="BR136" s="380"/>
      <c r="BS136" s="384">
        <v>7</v>
      </c>
      <c r="BT136" s="380"/>
      <c r="BU136" s="384">
        <v>60</v>
      </c>
      <c r="BV136" s="380"/>
      <c r="BW136" s="384">
        <v>200</v>
      </c>
      <c r="BX136" s="545"/>
      <c r="BY136" s="545"/>
      <c r="BZ136" s="545"/>
      <c r="CA136" s="545"/>
    </row>
    <row r="137" spans="1:79" ht="14.45" customHeight="1" outlineLevel="4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180"/>
      <c r="I137" s="224" t="e">
        <f>#REF!</f>
        <v>#REF!</v>
      </c>
      <c r="J137" s="180"/>
      <c r="K137" s="224" t="e">
        <f>#REF!</f>
        <v>#REF!</v>
      </c>
      <c r="L137" s="180"/>
      <c r="M137" s="224" t="e">
        <f>#REF!</f>
        <v>#REF!</v>
      </c>
      <c r="N137" s="180"/>
      <c r="O137" s="224" t="e">
        <f>#REF!</f>
        <v>#REF!</v>
      </c>
      <c r="P137" s="180"/>
      <c r="Q137" s="224" t="e">
        <f>#REF!</f>
        <v>#REF!</v>
      </c>
      <c r="R137" s="180"/>
      <c r="S137" s="224" t="e">
        <f>#REF!</f>
        <v>#REF!</v>
      </c>
      <c r="T137" s="180"/>
      <c r="U137" s="224" t="e">
        <f>#REF!</f>
        <v>#REF!</v>
      </c>
      <c r="V137" s="180"/>
      <c r="W137" s="224" t="e">
        <f>#REF!</f>
        <v>#REF!</v>
      </c>
      <c r="X137" s="180"/>
      <c r="Y137" s="224" t="e">
        <f>#REF!</f>
        <v>#REF!</v>
      </c>
      <c r="Z137" s="180"/>
      <c r="AA137" s="224" t="e">
        <f>#REF!</f>
        <v>#REF!</v>
      </c>
      <c r="AB137" s="180"/>
      <c r="AC137" s="224" t="e">
        <f>#REF!</f>
        <v>#REF!</v>
      </c>
      <c r="AD137" s="180"/>
      <c r="AE137" s="224" t="e">
        <f>#REF!</f>
        <v>#REF!</v>
      </c>
      <c r="AF137" s="180"/>
      <c r="AG137" s="224" t="e">
        <f>#REF!</f>
        <v>#REF!</v>
      </c>
      <c r="AH137" s="180"/>
      <c r="AI137" s="224" t="e">
        <f>#REF!</f>
        <v>#REF!</v>
      </c>
      <c r="AJ137" s="180"/>
      <c r="AK137" s="224" t="e">
        <f>#REF!</f>
        <v>#REF!</v>
      </c>
      <c r="AL137" s="180"/>
      <c r="AM137" s="224" t="e">
        <f>#REF!</f>
        <v>#REF!</v>
      </c>
      <c r="AN137" s="180"/>
      <c r="AO137" s="224" t="e">
        <f>#REF!</f>
        <v>#REF!</v>
      </c>
      <c r="AP137" s="180"/>
      <c r="AQ137" s="224" t="e">
        <f>#REF!</f>
        <v>#REF!</v>
      </c>
      <c r="AR137" s="180"/>
      <c r="AS137" s="224" t="e">
        <f>#REF!</f>
        <v>#REF!</v>
      </c>
      <c r="AT137" s="180"/>
      <c r="AU137" s="224" t="e">
        <f>#REF!</f>
        <v>#REF!</v>
      </c>
      <c r="AV137" s="180"/>
      <c r="AW137" s="224" t="e">
        <f>#REF!</f>
        <v>#REF!</v>
      </c>
      <c r="AX137" s="380"/>
      <c r="AY137" s="384" t="e">
        <f>AM137</f>
        <v>#REF!</v>
      </c>
      <c r="AZ137" s="380"/>
      <c r="BA137" s="384" t="e">
        <f>AO137</f>
        <v>#REF!</v>
      </c>
      <c r="BB137" s="380"/>
      <c r="BC137" s="384" t="e">
        <f>AQ137</f>
        <v>#REF!</v>
      </c>
      <c r="BD137" s="380"/>
      <c r="BE137" s="384" t="e">
        <f>AS137</f>
        <v>#REF!</v>
      </c>
      <c r="BF137" s="380"/>
      <c r="BG137" s="384" t="e">
        <f>AU137</f>
        <v>#REF!</v>
      </c>
      <c r="BH137" s="380"/>
      <c r="BI137" s="384" t="e">
        <f>AW137</f>
        <v>#REF!</v>
      </c>
      <c r="BJ137" s="380"/>
      <c r="BK137" s="384" t="e">
        <f>AY137</f>
        <v>#REF!</v>
      </c>
      <c r="BL137" s="380"/>
      <c r="BM137" s="384" t="e">
        <f>BA137</f>
        <v>#REF!</v>
      </c>
      <c r="BN137" s="380"/>
      <c r="BO137" s="384" t="e">
        <f>BC137</f>
        <v>#REF!</v>
      </c>
      <c r="BP137" s="380"/>
      <c r="BQ137" s="384" t="e">
        <f>BE137</f>
        <v>#REF!</v>
      </c>
      <c r="BR137" s="380"/>
      <c r="BS137" s="384" t="e">
        <f>BG137</f>
        <v>#REF!</v>
      </c>
      <c r="BT137" s="380"/>
      <c r="BU137" s="384" t="e">
        <f>AY137</f>
        <v>#REF!</v>
      </c>
      <c r="BV137" s="380"/>
      <c r="BW137" s="384" t="e">
        <f>BE137</f>
        <v>#REF!</v>
      </c>
      <c r="BX137" s="545"/>
      <c r="BY137" s="545"/>
      <c r="BZ137" s="545"/>
      <c r="CA137" s="545"/>
    </row>
    <row r="138" spans="1:79" ht="14.45" customHeight="1" outlineLevel="4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180"/>
      <c r="I138" s="224">
        <v>750</v>
      </c>
      <c r="J138" s="180"/>
      <c r="K138" s="224">
        <v>750</v>
      </c>
      <c r="L138" s="180"/>
      <c r="M138" s="224">
        <v>750</v>
      </c>
      <c r="N138" s="180"/>
      <c r="O138" s="224">
        <v>750</v>
      </c>
      <c r="P138" s="180"/>
      <c r="Q138" s="224">
        <v>750</v>
      </c>
      <c r="R138" s="180"/>
      <c r="S138" s="224">
        <v>750</v>
      </c>
      <c r="T138" s="180"/>
      <c r="U138" s="224">
        <v>750</v>
      </c>
      <c r="V138" s="180"/>
      <c r="W138" s="224">
        <v>750</v>
      </c>
      <c r="X138" s="180"/>
      <c r="Y138" s="224">
        <v>750</v>
      </c>
      <c r="Z138" s="180"/>
      <c r="AA138" s="224">
        <v>750</v>
      </c>
      <c r="AB138" s="180"/>
      <c r="AC138" s="224">
        <v>750</v>
      </c>
      <c r="AD138" s="180"/>
      <c r="AE138" s="224">
        <v>750</v>
      </c>
      <c r="AF138" s="180"/>
      <c r="AG138" s="224">
        <v>750</v>
      </c>
      <c r="AH138" s="180"/>
      <c r="AI138" s="224">
        <v>750</v>
      </c>
      <c r="AJ138" s="180"/>
      <c r="AK138" s="224">
        <v>750</v>
      </c>
      <c r="AL138" s="180"/>
      <c r="AM138" s="224">
        <v>750</v>
      </c>
      <c r="AN138" s="180"/>
      <c r="AO138" s="224">
        <v>750</v>
      </c>
      <c r="AP138" s="180"/>
      <c r="AQ138" s="224">
        <v>750</v>
      </c>
      <c r="AR138" s="180"/>
      <c r="AS138" s="224">
        <v>750</v>
      </c>
      <c r="AT138" s="180"/>
      <c r="AU138" s="224">
        <v>750</v>
      </c>
      <c r="AV138" s="180"/>
      <c r="AW138" s="224">
        <v>750</v>
      </c>
      <c r="AX138" s="380"/>
      <c r="AY138" s="384">
        <v>750</v>
      </c>
      <c r="AZ138" s="380"/>
      <c r="BA138" s="384">
        <v>750</v>
      </c>
      <c r="BB138" s="380"/>
      <c r="BC138" s="384">
        <v>750</v>
      </c>
      <c r="BD138" s="380"/>
      <c r="BE138" s="384">
        <v>750</v>
      </c>
      <c r="BF138" s="380"/>
      <c r="BG138" s="384">
        <v>750</v>
      </c>
      <c r="BH138" s="380"/>
      <c r="BI138" s="384">
        <v>750</v>
      </c>
      <c r="BJ138" s="380"/>
      <c r="BK138" s="384">
        <v>750</v>
      </c>
      <c r="BL138" s="380"/>
      <c r="BM138" s="384">
        <v>750</v>
      </c>
      <c r="BN138" s="380"/>
      <c r="BO138" s="384">
        <v>750</v>
      </c>
      <c r="BP138" s="380"/>
      <c r="BQ138" s="384">
        <v>750</v>
      </c>
      <c r="BR138" s="380"/>
      <c r="BS138" s="384">
        <v>750</v>
      </c>
      <c r="BT138" s="380"/>
      <c r="BU138" s="384">
        <v>750</v>
      </c>
      <c r="BV138" s="380"/>
      <c r="BW138" s="384">
        <v>750</v>
      </c>
      <c r="BX138" s="545"/>
      <c r="BY138" s="545"/>
      <c r="BZ138" s="545"/>
      <c r="CA138" s="545"/>
    </row>
    <row r="139" spans="1:79" ht="14.45" customHeight="1" outlineLevel="4" x14ac:dyDescent="0.45">
      <c r="A139" s="561"/>
      <c r="B139" s="1187"/>
      <c r="C139" s="225" t="s">
        <v>130</v>
      </c>
      <c r="D139" s="162"/>
      <c r="E139" s="179"/>
      <c r="F139" s="164"/>
      <c r="G139" s="171"/>
      <c r="H139" s="164"/>
      <c r="I139" s="171"/>
      <c r="J139" s="164"/>
      <c r="K139" s="171"/>
      <c r="L139" s="164"/>
      <c r="M139" s="171"/>
      <c r="N139" s="164"/>
      <c r="O139" s="171"/>
      <c r="P139" s="164"/>
      <c r="Q139" s="171"/>
      <c r="R139" s="164"/>
      <c r="S139" s="171"/>
      <c r="T139" s="164"/>
      <c r="U139" s="171"/>
      <c r="V139" s="164"/>
      <c r="W139" s="171"/>
      <c r="X139" s="164"/>
      <c r="Y139" s="171"/>
      <c r="Z139" s="164"/>
      <c r="AA139" s="171"/>
      <c r="AB139" s="164"/>
      <c r="AC139" s="171"/>
      <c r="AD139" s="164"/>
      <c r="AE139" s="171"/>
      <c r="AF139" s="164"/>
      <c r="AG139" s="171"/>
      <c r="AH139" s="164"/>
      <c r="AI139" s="171"/>
      <c r="AJ139" s="164"/>
      <c r="AK139" s="171"/>
      <c r="AL139" s="164"/>
      <c r="AM139" s="171"/>
      <c r="AN139" s="164"/>
      <c r="AO139" s="171"/>
      <c r="AP139" s="164"/>
      <c r="AQ139" s="171"/>
      <c r="AR139" s="164"/>
      <c r="AS139" s="171"/>
      <c r="AT139" s="164"/>
      <c r="AU139" s="171"/>
      <c r="AV139" s="164"/>
      <c r="AW139" s="171"/>
      <c r="AX139" s="359"/>
      <c r="AY139" s="372"/>
      <c r="AZ139" s="359"/>
      <c r="BA139" s="372"/>
      <c r="BB139" s="359"/>
      <c r="BC139" s="372"/>
      <c r="BD139" s="359"/>
      <c r="BE139" s="372"/>
      <c r="BF139" s="359"/>
      <c r="BG139" s="372"/>
      <c r="BH139" s="359"/>
      <c r="BI139" s="372"/>
      <c r="BJ139" s="359"/>
      <c r="BK139" s="372"/>
      <c r="BL139" s="359"/>
      <c r="BM139" s="372"/>
      <c r="BN139" s="359"/>
      <c r="BO139" s="372"/>
      <c r="BP139" s="359"/>
      <c r="BQ139" s="372"/>
      <c r="BR139" s="359"/>
      <c r="BS139" s="372"/>
      <c r="BT139" s="359"/>
      <c r="BU139" s="372"/>
      <c r="BV139" s="359"/>
      <c r="BW139" s="372"/>
      <c r="BX139" s="545"/>
      <c r="BY139" s="545"/>
      <c r="BZ139" s="545"/>
      <c r="CA139" s="545"/>
    </row>
    <row r="140" spans="1:79" ht="14.85" customHeight="1" outlineLevel="3" x14ac:dyDescent="0.45">
      <c r="A140" s="561"/>
      <c r="B140" s="1187"/>
      <c r="C140" s="170"/>
      <c r="D140" s="162"/>
      <c r="E140" s="176"/>
      <c r="F140" s="177"/>
      <c r="G140" s="178"/>
      <c r="H140" s="177"/>
      <c r="I140" s="178"/>
      <c r="J140" s="177"/>
      <c r="K140" s="178"/>
      <c r="L140" s="177"/>
      <c r="M140" s="178"/>
      <c r="N140" s="177"/>
      <c r="O140" s="178"/>
      <c r="P140" s="177"/>
      <c r="Q140" s="178"/>
      <c r="R140" s="177"/>
      <c r="S140" s="178"/>
      <c r="T140" s="177"/>
      <c r="U140" s="178"/>
      <c r="V140" s="177"/>
      <c r="W140" s="178"/>
      <c r="X140" s="177"/>
      <c r="Y140" s="178"/>
      <c r="Z140" s="177"/>
      <c r="AA140" s="178"/>
      <c r="AB140" s="177"/>
      <c r="AC140" s="178"/>
      <c r="AD140" s="177"/>
      <c r="AE140" s="178"/>
      <c r="AF140" s="177"/>
      <c r="AG140" s="178"/>
      <c r="AH140" s="177"/>
      <c r="AI140" s="178"/>
      <c r="AJ140" s="177"/>
      <c r="AK140" s="178"/>
      <c r="AL140" s="177"/>
      <c r="AM140" s="178"/>
      <c r="AN140" s="177"/>
      <c r="AO140" s="178"/>
      <c r="AP140" s="177"/>
      <c r="AQ140" s="178"/>
      <c r="AR140" s="177"/>
      <c r="AS140" s="178"/>
      <c r="AT140" s="177"/>
      <c r="AU140" s="178"/>
      <c r="AV140" s="177"/>
      <c r="AW140" s="178"/>
      <c r="AX140" s="229"/>
      <c r="AY140" s="230" t="e">
        <f>AY137-AY135</f>
        <v>#REF!</v>
      </c>
      <c r="AZ140" s="229"/>
      <c r="BA140" s="230" t="e">
        <f>BA137-BA135</f>
        <v>#REF!</v>
      </c>
      <c r="BB140" s="229"/>
      <c r="BC140" s="230" t="e">
        <f>BC137-BC135</f>
        <v>#REF!</v>
      </c>
      <c r="BD140" s="229"/>
      <c r="BE140" s="230" t="e">
        <f>BE137-BE135</f>
        <v>#REF!</v>
      </c>
      <c r="BF140" s="229"/>
      <c r="BG140" s="230" t="e">
        <f>BG137-BG135</f>
        <v>#REF!</v>
      </c>
      <c r="BH140" s="229"/>
      <c r="BI140" s="230" t="e">
        <f>BI137-BI135</f>
        <v>#REF!</v>
      </c>
      <c r="BJ140" s="229"/>
      <c r="BK140" s="230" t="e">
        <f>BK137-BK135</f>
        <v>#REF!</v>
      </c>
      <c r="BL140" s="229"/>
      <c r="BM140" s="230" t="e">
        <f>BM137-BM135</f>
        <v>#REF!</v>
      </c>
      <c r="BN140" s="229"/>
      <c r="BO140" s="230" t="e">
        <f>BO137-BO135</f>
        <v>#REF!</v>
      </c>
      <c r="BP140" s="229"/>
      <c r="BQ140" s="230" t="e">
        <f>BQ137-BQ135</f>
        <v>#REF!</v>
      </c>
      <c r="BR140" s="229"/>
      <c r="BS140" s="230" t="e">
        <f>BS137-BS135</f>
        <v>#REF!</v>
      </c>
      <c r="BT140" s="229"/>
      <c r="BU140" s="230" t="e">
        <f>BU137-BU135</f>
        <v>#REF!</v>
      </c>
      <c r="BV140" s="229"/>
      <c r="BW140" s="230" t="e">
        <f>BW137-BW135</f>
        <v>#REF!</v>
      </c>
      <c r="BX140" s="545"/>
      <c r="BY140" s="545"/>
      <c r="BZ140" s="545"/>
      <c r="CA140" s="545"/>
    </row>
    <row r="141" spans="1:79" ht="14.85" customHeight="1" outlineLevel="3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80.546366449685365</v>
      </c>
      <c r="H141" s="229"/>
      <c r="I141" s="230">
        <f t="shared" ref="I141" si="1305">I136-I135</f>
        <v>583.96966757781502</v>
      </c>
      <c r="J141" s="229"/>
      <c r="K141" s="230">
        <f t="shared" ref="K141" si="1306">K136-K135</f>
        <v>277.55702722590149</v>
      </c>
      <c r="L141" s="229"/>
      <c r="M141" s="230">
        <f t="shared" ref="M141" si="1307">M136-M135</f>
        <v>-67.973293129442254</v>
      </c>
      <c r="N141" s="229"/>
      <c r="O141" s="230">
        <f t="shared" ref="O141" si="1308">O136-O135</f>
        <v>379.26221335992045</v>
      </c>
      <c r="P141" s="229"/>
      <c r="Q141" s="230">
        <f t="shared" ref="Q141" si="1309">Q136-Q135</f>
        <v>94.816502563268159</v>
      </c>
      <c r="R141" s="229"/>
      <c r="S141" s="230">
        <f t="shared" ref="S141" si="1310">S136-S135</f>
        <v>98.780777354190377</v>
      </c>
      <c r="T141" s="229"/>
      <c r="U141" s="230">
        <f t="shared" ref="U141" si="1311">U136-U135</f>
        <v>31.375358166189017</v>
      </c>
      <c r="V141" s="229"/>
      <c r="W141" s="230">
        <f t="shared" ref="W141" si="1312">W136-W135</f>
        <v>-190.60120766605417</v>
      </c>
      <c r="X141" s="229"/>
      <c r="Y141" s="230">
        <f t="shared" ref="Y141" si="1313">Y136-Y135</f>
        <v>-483.05935877076274</v>
      </c>
      <c r="Z141" s="229"/>
      <c r="AA141" s="230">
        <f t="shared" ref="AA141" si="1314">AA136-AA135</f>
        <v>-600.01231454923789</v>
      </c>
      <c r="AB141" s="229"/>
      <c r="AC141" s="230">
        <f t="shared" ref="AC141:AI141" si="1315">AC136-AC135</f>
        <v>-627.42257490063491</v>
      </c>
      <c r="AD141" s="229"/>
      <c r="AE141" s="230">
        <f t="shared" si="1315"/>
        <v>-797.61223344556674</v>
      </c>
      <c r="AF141" s="229"/>
      <c r="AG141" s="230">
        <f t="shared" si="1315"/>
        <v>-1042.4214202561118</v>
      </c>
      <c r="AH141" s="229"/>
      <c r="AI141" s="230">
        <f t="shared" si="1315"/>
        <v>-528.46022241231822</v>
      </c>
      <c r="AJ141" s="229"/>
      <c r="AK141" s="230">
        <f t="shared" ref="AK141" si="1316">AK136-AK135</f>
        <v>-1176.6600985221676</v>
      </c>
      <c r="AL141" s="229"/>
      <c r="AM141" s="230">
        <f t="shared" ref="AM141" si="1317">AM136-AM135</f>
        <v>-740</v>
      </c>
      <c r="AN141" s="229"/>
      <c r="AO141" s="230">
        <f t="shared" ref="AO141:AQ141" si="1318">AO136-AO135</f>
        <v>-1050</v>
      </c>
      <c r="AP141" s="229"/>
      <c r="AQ141" s="230">
        <f t="shared" si="1318"/>
        <v>-1095</v>
      </c>
      <c r="AR141" s="229"/>
      <c r="AS141" s="230">
        <f t="shared" ref="AS141:AU141" si="1319">AS136-AS135</f>
        <v>-1095</v>
      </c>
      <c r="AT141" s="229"/>
      <c r="AU141" s="230">
        <f t="shared" si="1319"/>
        <v>-1095</v>
      </c>
      <c r="AV141" s="229"/>
      <c r="AW141" s="230">
        <f t="shared" ref="AW141" si="1320">AW136-AW135</f>
        <v>-1095</v>
      </c>
      <c r="AX141" s="229"/>
      <c r="AY141" s="588" t="e">
        <f>AY140*AY133</f>
        <v>#REF!</v>
      </c>
      <c r="AZ141" s="229"/>
      <c r="BA141" s="588" t="e">
        <f>BA140*BA133</f>
        <v>#REF!</v>
      </c>
      <c r="BB141" s="229"/>
      <c r="BC141" s="588" t="e">
        <f>BC140*BC133</f>
        <v>#REF!</v>
      </c>
      <c r="BD141" s="229"/>
      <c r="BE141" s="588" t="e">
        <f>BE140*BE133</f>
        <v>#REF!</v>
      </c>
      <c r="BF141" s="229"/>
      <c r="BG141" s="588" t="e">
        <f>BG140*BG133</f>
        <v>#REF!</v>
      </c>
      <c r="BH141" s="229"/>
      <c r="BI141" s="588" t="e">
        <f>BI140*BI133</f>
        <v>#REF!</v>
      </c>
      <c r="BJ141" s="229"/>
      <c r="BK141" s="588" t="e">
        <f>BK140*BK133</f>
        <v>#REF!</v>
      </c>
      <c r="BL141" s="229"/>
      <c r="BM141" s="588" t="e">
        <f>BM140*BM133</f>
        <v>#REF!</v>
      </c>
      <c r="BN141" s="229"/>
      <c r="BO141" s="588" t="e">
        <f>BO140*BO133</f>
        <v>#REF!</v>
      </c>
      <c r="BP141" s="229"/>
      <c r="BQ141" s="588" t="e">
        <f>BQ140*BQ133</f>
        <v>#REF!</v>
      </c>
      <c r="BR141" s="229"/>
      <c r="BS141" s="588" t="e">
        <f>BS140*BS133</f>
        <v>#REF!</v>
      </c>
      <c r="BT141" s="229"/>
      <c r="BU141" s="588" t="e">
        <f>BU140*BU133</f>
        <v>#REF!</v>
      </c>
      <c r="BV141" s="229"/>
      <c r="BW141" s="588" t="e">
        <f>BW140*BW133</f>
        <v>#REF!</v>
      </c>
      <c r="BX141" s="545"/>
      <c r="BY141" s="545"/>
      <c r="BZ141" s="545"/>
      <c r="CA141" s="545"/>
    </row>
    <row r="142" spans="1:79" ht="14.85" customHeight="1" outlineLevel="3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578.30613061573058</v>
      </c>
      <c r="H142" s="229"/>
      <c r="I142" s="230">
        <f t="shared" ref="I142" si="1321">I141*I130</f>
        <v>4192.7805528612998</v>
      </c>
      <c r="J142" s="229"/>
      <c r="K142" s="230">
        <f t="shared" ref="K142" si="1322">K141*K130</f>
        <v>1992.8016311013007</v>
      </c>
      <c r="L142" s="229"/>
      <c r="M142" s="230">
        <f t="shared" ref="M142" si="1323">M141*M130</f>
        <v>-488.03408356666006</v>
      </c>
      <c r="N142" s="229"/>
      <c r="O142" s="230">
        <f t="shared" ref="O142" si="1324">O141*O130</f>
        <v>2723.0236789631122</v>
      </c>
      <c r="P142" s="229"/>
      <c r="Q142" s="230">
        <f t="shared" ref="Q142" si="1325">Q141*Q130</f>
        <v>680.76273496623139</v>
      </c>
      <c r="R142" s="229"/>
      <c r="S142" s="230">
        <f t="shared" ref="S142" si="1326">S141*S130</f>
        <v>709.22540207447139</v>
      </c>
      <c r="T142" s="229"/>
      <c r="U142" s="230">
        <f t="shared" ref="U142" si="1327">U141*U130</f>
        <v>225.26853510028585</v>
      </c>
      <c r="V142" s="229"/>
      <c r="W142" s="230">
        <f t="shared" ref="W142" si="1328">W141*W130</f>
        <v>-1368.4769624573385</v>
      </c>
      <c r="X142" s="229"/>
      <c r="Y142" s="230">
        <f t="shared" ref="Y142" si="1329">Y141*Y130</f>
        <v>-3468.2655586076658</v>
      </c>
      <c r="Z142" s="229"/>
      <c r="AA142" s="230">
        <f t="shared" ref="AA142" si="1330">AA141*AA130</f>
        <v>-4307.963415897997</v>
      </c>
      <c r="AB142" s="229"/>
      <c r="AC142" s="230">
        <f t="shared" ref="AC142" si="1331">AC141*AC130</f>
        <v>-4504.7633747501213</v>
      </c>
      <c r="AD142" s="229"/>
      <c r="AE142" s="230">
        <f t="shared" ref="AE142" si="1332">AE141*AE130</f>
        <v>-5726.6896669238677</v>
      </c>
      <c r="AF142" s="229"/>
      <c r="AG142" s="230">
        <f t="shared" ref="AG142" si="1333">AG141*AG130</f>
        <v>-7484.3686263096624</v>
      </c>
      <c r="AH142" s="229"/>
      <c r="AI142" s="230">
        <f t="shared" ref="AI142" si="1334">AI141*AI130</f>
        <v>-3794.2343010407753</v>
      </c>
      <c r="AJ142" s="229"/>
      <c r="AK142" s="230">
        <f t="shared" ref="AK142" si="1335">AK141*AK130</f>
        <v>-8448.1743698686369</v>
      </c>
      <c r="AL142" s="229"/>
      <c r="AM142" s="230">
        <f t="shared" ref="AM142" si="1336">AM141*AM130</f>
        <v>-5313.0458333333336</v>
      </c>
      <c r="AN142" s="229"/>
      <c r="AO142" s="230">
        <f t="shared" ref="AO142:AQ142" si="1337">AO141*AO130</f>
        <v>-7538.78125</v>
      </c>
      <c r="AP142" s="229"/>
      <c r="AQ142" s="230">
        <f t="shared" si="1337"/>
        <v>-7861.8718749999998</v>
      </c>
      <c r="AR142" s="229"/>
      <c r="AS142" s="230">
        <f t="shared" ref="AS142:AU142" si="1338">AS141*AS130</f>
        <v>-7861.8718749999998</v>
      </c>
      <c r="AT142" s="229"/>
      <c r="AU142" s="230">
        <f t="shared" si="1338"/>
        <v>-7861.8718749999998</v>
      </c>
      <c r="AV142" s="229"/>
      <c r="AW142" s="230">
        <f t="shared" ref="AW142" si="1339">AW141*AW130</f>
        <v>-7861.8718749999998</v>
      </c>
      <c r="AX142" s="381"/>
      <c r="AY142" s="385"/>
      <c r="AZ142" s="381"/>
      <c r="BA142" s="385"/>
      <c r="BB142" s="381"/>
      <c r="BC142" s="385"/>
      <c r="BD142" s="381"/>
      <c r="BE142" s="385"/>
      <c r="BF142" s="381"/>
      <c r="BG142" s="385"/>
      <c r="BH142" s="381"/>
      <c r="BI142" s="385"/>
      <c r="BJ142" s="381"/>
      <c r="BK142" s="385"/>
      <c r="BL142" s="381"/>
      <c r="BM142" s="385"/>
      <c r="BN142" s="381"/>
      <c r="BO142" s="385"/>
      <c r="BP142" s="381"/>
      <c r="BQ142" s="385"/>
      <c r="BR142" s="381"/>
      <c r="BS142" s="385"/>
      <c r="BT142" s="381"/>
      <c r="BU142" s="385"/>
      <c r="BV142" s="381"/>
      <c r="BW142" s="385"/>
      <c r="BX142" s="545"/>
      <c r="BY142" s="545"/>
      <c r="BZ142" s="545"/>
      <c r="CA142" s="545"/>
    </row>
    <row r="143" spans="1:79" ht="14.85" customHeight="1" outlineLevel="2" thickBot="1" x14ac:dyDescent="0.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235"/>
      <c r="O143" s="236"/>
      <c r="P143" s="235"/>
      <c r="Q143" s="236"/>
      <c r="R143" s="235"/>
      <c r="S143" s="236"/>
      <c r="T143" s="235"/>
      <c r="U143" s="236"/>
      <c r="V143" s="235"/>
      <c r="W143" s="236"/>
      <c r="X143" s="235"/>
      <c r="Y143" s="236"/>
      <c r="Z143" s="235"/>
      <c r="AA143" s="236"/>
      <c r="AB143" s="235"/>
      <c r="AC143" s="236"/>
      <c r="AD143" s="235"/>
      <c r="AE143" s="236"/>
      <c r="AF143" s="235"/>
      <c r="AG143" s="236"/>
      <c r="AH143" s="235"/>
      <c r="AI143" s="236"/>
      <c r="AJ143" s="235"/>
      <c r="AK143" s="236"/>
      <c r="AL143" s="235"/>
      <c r="AM143" s="236"/>
      <c r="AN143" s="235"/>
      <c r="AO143" s="236"/>
      <c r="AP143" s="235"/>
      <c r="AQ143" s="236"/>
      <c r="AR143" s="235"/>
      <c r="AS143" s="236"/>
      <c r="AT143" s="235"/>
      <c r="AU143" s="236"/>
      <c r="AV143" s="235"/>
      <c r="AW143" s="236"/>
      <c r="AX143" s="304"/>
      <c r="AY143" s="305">
        <f>AY98*AY132</f>
        <v>0</v>
      </c>
      <c r="AZ143" s="304"/>
      <c r="BA143" s="305">
        <f>BA98*BA132</f>
        <v>0</v>
      </c>
      <c r="BB143" s="304"/>
      <c r="BC143" s="305">
        <f>BC98*BC132</f>
        <v>0</v>
      </c>
      <c r="BD143" s="304"/>
      <c r="BE143" s="305">
        <f>BE98*BE132</f>
        <v>0</v>
      </c>
      <c r="BF143" s="304"/>
      <c r="BG143" s="305">
        <f>BG98*BG132</f>
        <v>0</v>
      </c>
      <c r="BH143" s="304"/>
      <c r="BI143" s="305">
        <f>BI98*BI132</f>
        <v>0</v>
      </c>
      <c r="BJ143" s="304"/>
      <c r="BK143" s="305">
        <f>BK98*BK132</f>
        <v>0</v>
      </c>
      <c r="BL143" s="304"/>
      <c r="BM143" s="305">
        <f>BM98*BM132</f>
        <v>0</v>
      </c>
      <c r="BN143" s="304"/>
      <c r="BO143" s="305">
        <f>BO98*BO132</f>
        <v>0</v>
      </c>
      <c r="BP143" s="304"/>
      <c r="BQ143" s="305">
        <f>BQ98*BQ132</f>
        <v>0</v>
      </c>
      <c r="BR143" s="304"/>
      <c r="BS143" s="305">
        <f>BS98*BS132</f>
        <v>0</v>
      </c>
      <c r="BT143" s="304"/>
      <c r="BU143" s="305">
        <f>BU98*BU132</f>
        <v>0</v>
      </c>
      <c r="BV143" s="304"/>
      <c r="BW143" s="305">
        <f>BW98*BW132</f>
        <v>0</v>
      </c>
      <c r="BX143" s="545"/>
      <c r="BY143" s="545"/>
      <c r="BZ143" s="545"/>
      <c r="CA143" s="545"/>
    </row>
    <row r="144" spans="1:79" ht="15.75" customHeight="1" outlineLevel="3" thickTop="1" thickBot="1" x14ac:dyDescent="0.5">
      <c r="A144" s="561"/>
      <c r="B144" s="1188"/>
      <c r="C144" s="301" t="s">
        <v>391</v>
      </c>
      <c r="D144" s="302"/>
      <c r="E144" s="303"/>
      <c r="F144" s="304"/>
      <c r="G144" s="305">
        <f>G98*G129</f>
        <v>15544.736495425006</v>
      </c>
      <c r="H144" s="304"/>
      <c r="I144" s="305">
        <f t="shared" ref="I144" si="1340">I98*I129</f>
        <v>7071.8665135969259</v>
      </c>
      <c r="J144" s="304"/>
      <c r="K144" s="305">
        <f t="shared" ref="K144" si="1341">K98*K129</f>
        <v>8729.5692153503642</v>
      </c>
      <c r="L144" s="304"/>
      <c r="M144" s="305">
        <f t="shared" ref="M144" si="1342">M98*M129</f>
        <v>11403.550995929938</v>
      </c>
      <c r="N144" s="304"/>
      <c r="O144" s="305">
        <f t="shared" ref="O144" si="1343">O98*O129</f>
        <v>-1435.5592061569776</v>
      </c>
      <c r="P144" s="304"/>
      <c r="Q144" s="305">
        <f t="shared" ref="Q144" si="1344">Q98*Q129</f>
        <v>7990.7927196287665</v>
      </c>
      <c r="R144" s="304"/>
      <c r="S144" s="305">
        <f t="shared" ref="S144" si="1345">S98*S129</f>
        <v>4460.7776247114552</v>
      </c>
      <c r="T144" s="304"/>
      <c r="U144" s="305">
        <f t="shared" ref="U144" si="1346">U98*U129</f>
        <v>8696.5075114286592</v>
      </c>
      <c r="V144" s="304"/>
      <c r="W144" s="305">
        <f t="shared" ref="W144" si="1347">W98*W129</f>
        <v>15794.619717700751</v>
      </c>
      <c r="X144" s="304"/>
      <c r="Y144" s="305">
        <f t="shared" ref="Y144" si="1348">Y98*Y129</f>
        <v>18496.674731150582</v>
      </c>
      <c r="Z144" s="304"/>
      <c r="AA144" s="305">
        <f t="shared" ref="AA144" si="1349">AA98*AA129</f>
        <v>20278.307940245857</v>
      </c>
      <c r="AB144" s="304"/>
      <c r="AC144" s="305">
        <f t="shared" ref="AC144" si="1350">AC98*AC129</f>
        <v>31052.81170312563</v>
      </c>
      <c r="AD144" s="304"/>
      <c r="AE144" s="305">
        <f>AE98*AE132</f>
        <v>3747.0048483898977</v>
      </c>
      <c r="AF144" s="304"/>
      <c r="AG144" s="305">
        <f>AG98*AG132</f>
        <v>1527.4526403091313</v>
      </c>
      <c r="AH144" s="304"/>
      <c r="AI144" s="305">
        <f>AI98*AI132</f>
        <v>7230.4090578966561</v>
      </c>
      <c r="AJ144" s="304"/>
      <c r="AK144" s="305">
        <f>AK98*AK132</f>
        <v>171.64423288364273</v>
      </c>
      <c r="AL144" s="304"/>
      <c r="AM144" s="305">
        <f>AM98*AM132</f>
        <v>6058.7002842279217</v>
      </c>
      <c r="AN144" s="304"/>
      <c r="AO144" s="305">
        <f>AO98*AO132</f>
        <v>10286.340397630802</v>
      </c>
      <c r="AP144" s="304"/>
      <c r="AQ144" s="305">
        <f>AQ98*AQ132</f>
        <v>8478.1606351735736</v>
      </c>
      <c r="AR144" s="304"/>
      <c r="AS144" s="305">
        <f>AS98*AS132</f>
        <v>8993.1683096675897</v>
      </c>
      <c r="AT144" s="304"/>
      <c r="AU144" s="305">
        <f>AU98*AU132</f>
        <v>15708.987734326478</v>
      </c>
      <c r="AV144" s="304"/>
      <c r="AW144" s="305">
        <f>AW98*AW132</f>
        <v>0</v>
      </c>
      <c r="BX144" s="545"/>
      <c r="BY144" s="545"/>
      <c r="BZ144" s="545"/>
      <c r="CA144" s="545"/>
    </row>
    <row r="145" spans="11:79" ht="14.85" customHeight="1" outlineLevel="2" thickTop="1" x14ac:dyDescent="0.45">
      <c r="BX145" s="545"/>
      <c r="BY145" s="545"/>
      <c r="BZ145" s="545"/>
      <c r="CA145" s="545"/>
    </row>
    <row r="146" spans="11:79" ht="14.85" customHeight="1" outlineLevel="2" x14ac:dyDescent="0.45">
      <c r="BX146" s="545"/>
      <c r="BY146" s="545"/>
      <c r="BZ146" s="545"/>
      <c r="CA146" s="545"/>
    </row>
    <row r="147" spans="11:79" outlineLevel="1" x14ac:dyDescent="0.45">
      <c r="K147" s="1105"/>
      <c r="BX147" s="545"/>
      <c r="BY147" s="545"/>
      <c r="BZ147" s="545"/>
      <c r="CA147" s="545"/>
    </row>
    <row r="148" spans="11:79" x14ac:dyDescent="0.45">
      <c r="K148" s="1105"/>
      <c r="BX148" s="545"/>
      <c r="BY148" s="545"/>
      <c r="BZ148" s="545"/>
      <c r="CA148" s="545"/>
    </row>
    <row r="149" spans="11:79" x14ac:dyDescent="0.45">
      <c r="K149" s="1017"/>
      <c r="BX149" s="545"/>
      <c r="BY149" s="545"/>
      <c r="BZ149" s="545"/>
      <c r="CA149" s="545"/>
    </row>
    <row r="150" spans="11:79" x14ac:dyDescent="0.45">
      <c r="BX150" s="545"/>
      <c r="BY150" s="545"/>
      <c r="BZ150" s="545"/>
      <c r="CA150" s="545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271">
    <mergeCell ref="BN1:BO1"/>
    <mergeCell ref="BN2:BO2"/>
    <mergeCell ref="BN3:BO3"/>
    <mergeCell ref="BN4:BO5"/>
    <mergeCell ref="BN6:BO6"/>
    <mergeCell ref="BN7:BO7"/>
    <mergeCell ref="BN8:BO8"/>
    <mergeCell ref="BN9:BO9"/>
    <mergeCell ref="BL1:BM1"/>
    <mergeCell ref="BL2:BM2"/>
    <mergeCell ref="BL3:BM3"/>
    <mergeCell ref="BL4:BM5"/>
    <mergeCell ref="BL6:BM6"/>
    <mergeCell ref="BL7:BM7"/>
    <mergeCell ref="BL8:BM8"/>
    <mergeCell ref="BL9:BM9"/>
    <mergeCell ref="B124:B144"/>
    <mergeCell ref="AX1:AY1"/>
    <mergeCell ref="AZ1:BA1"/>
    <mergeCell ref="BB1:BC1"/>
    <mergeCell ref="BB2:BC2"/>
    <mergeCell ref="BB3:BC3"/>
    <mergeCell ref="BB4:BC5"/>
    <mergeCell ref="BB6:BC6"/>
    <mergeCell ref="BB7:BC7"/>
    <mergeCell ref="BB8:BC8"/>
    <mergeCell ref="B40:B46"/>
    <mergeCell ref="B47:B70"/>
    <mergeCell ref="T9:U9"/>
    <mergeCell ref="V9:W9"/>
    <mergeCell ref="X9:Y9"/>
    <mergeCell ref="Z9:AA9"/>
    <mergeCell ref="B71:B84"/>
    <mergeCell ref="T8:U8"/>
    <mergeCell ref="B100:B113"/>
    <mergeCell ref="AZ9:BA9"/>
    <mergeCell ref="B34:B39"/>
    <mergeCell ref="AN9:AO9"/>
    <mergeCell ref="AP9:AQ9"/>
    <mergeCell ref="AR9:AS9"/>
    <mergeCell ref="BH6:BI6"/>
    <mergeCell ref="BH7:BI7"/>
    <mergeCell ref="BH8:BI8"/>
    <mergeCell ref="BH9:BI9"/>
    <mergeCell ref="P9:Q9"/>
    <mergeCell ref="R9:S9"/>
    <mergeCell ref="F9:G9"/>
    <mergeCell ref="H9:I9"/>
    <mergeCell ref="J9:K9"/>
    <mergeCell ref="AR8:AS8"/>
    <mergeCell ref="AT8:AU8"/>
    <mergeCell ref="AV8:AW8"/>
    <mergeCell ref="AX8:AY8"/>
    <mergeCell ref="AZ8:BA8"/>
    <mergeCell ref="AJ9:AK9"/>
    <mergeCell ref="AL9:AM9"/>
    <mergeCell ref="AP7:AQ7"/>
    <mergeCell ref="AR7:AS7"/>
    <mergeCell ref="AT7:AU7"/>
    <mergeCell ref="X7:Y7"/>
    <mergeCell ref="Z7:AA7"/>
    <mergeCell ref="AB7:AC7"/>
    <mergeCell ref="AD7:AE7"/>
    <mergeCell ref="AH7:AI7"/>
    <mergeCell ref="B15:B21"/>
    <mergeCell ref="B22:B27"/>
    <mergeCell ref="B28:B33"/>
    <mergeCell ref="CB60:CC63"/>
    <mergeCell ref="CB64:CC67"/>
    <mergeCell ref="BB9:BC9"/>
    <mergeCell ref="V8:W8"/>
    <mergeCell ref="X8:Y8"/>
    <mergeCell ref="Z8:AA8"/>
    <mergeCell ref="AB8:AC8"/>
    <mergeCell ref="AD8:AE8"/>
    <mergeCell ref="BF8:BG8"/>
    <mergeCell ref="BF9:BG9"/>
    <mergeCell ref="BD8:BE8"/>
    <mergeCell ref="BD9:BE9"/>
    <mergeCell ref="BJ8:BK8"/>
    <mergeCell ref="BJ9:BK9"/>
    <mergeCell ref="AF8:AG8"/>
    <mergeCell ref="AH8:AI8"/>
    <mergeCell ref="AJ8:AK8"/>
    <mergeCell ref="AL8:AM8"/>
    <mergeCell ref="AN8:AO8"/>
    <mergeCell ref="AP8:AQ8"/>
    <mergeCell ref="AT9:AU9"/>
    <mergeCell ref="AV9:AW9"/>
    <mergeCell ref="AX9:AY9"/>
    <mergeCell ref="AB9:AC9"/>
    <mergeCell ref="AD9:AE9"/>
    <mergeCell ref="AF9:AG9"/>
    <mergeCell ref="AH9:AI9"/>
    <mergeCell ref="V7:W7"/>
    <mergeCell ref="D12:E12"/>
    <mergeCell ref="P6:Q6"/>
    <mergeCell ref="R6:S6"/>
    <mergeCell ref="F8:G8"/>
    <mergeCell ref="AN6:AO6"/>
    <mergeCell ref="AP6:AQ6"/>
    <mergeCell ref="AR6:AS6"/>
    <mergeCell ref="AT6:AU6"/>
    <mergeCell ref="AV6:AW6"/>
    <mergeCell ref="AB6:AC6"/>
    <mergeCell ref="AD6:AE6"/>
    <mergeCell ref="AF6:AG6"/>
    <mergeCell ref="AH6:AI6"/>
    <mergeCell ref="AJ6:AK6"/>
    <mergeCell ref="AL6:AM6"/>
    <mergeCell ref="H8:I8"/>
    <mergeCell ref="J8:K8"/>
    <mergeCell ref="P8:Q8"/>
    <mergeCell ref="R8:S8"/>
    <mergeCell ref="AJ7:AK7"/>
    <mergeCell ref="AL7:AM7"/>
    <mergeCell ref="AN7:AO7"/>
    <mergeCell ref="AF7:AG7"/>
    <mergeCell ref="AH4:AI5"/>
    <mergeCell ref="AJ4:AK5"/>
    <mergeCell ref="AL4:AM5"/>
    <mergeCell ref="AN4:AO5"/>
    <mergeCell ref="T6:U6"/>
    <mergeCell ref="V6:W6"/>
    <mergeCell ref="X6:Y6"/>
    <mergeCell ref="Z6:AA6"/>
    <mergeCell ref="P7:Q7"/>
    <mergeCell ref="R7:S7"/>
    <mergeCell ref="T7:U7"/>
    <mergeCell ref="B6:B13"/>
    <mergeCell ref="F6:G6"/>
    <mergeCell ref="H6:I6"/>
    <mergeCell ref="J6:K6"/>
    <mergeCell ref="L6:M6"/>
    <mergeCell ref="N6:O6"/>
    <mergeCell ref="L9:M9"/>
    <mergeCell ref="N9:O9"/>
    <mergeCell ref="F7:G7"/>
    <mergeCell ref="H7:I7"/>
    <mergeCell ref="J7:K7"/>
    <mergeCell ref="L7:M7"/>
    <mergeCell ref="N7:O7"/>
    <mergeCell ref="L8:M8"/>
    <mergeCell ref="N8:O8"/>
    <mergeCell ref="AV2:AW2"/>
    <mergeCell ref="V3:W3"/>
    <mergeCell ref="X3:Y3"/>
    <mergeCell ref="Z3:AA3"/>
    <mergeCell ref="AB3:AC3"/>
    <mergeCell ref="F4:G5"/>
    <mergeCell ref="H4:I5"/>
    <mergeCell ref="J4:K5"/>
    <mergeCell ref="L4:M5"/>
    <mergeCell ref="N4:O5"/>
    <mergeCell ref="P4:Q5"/>
    <mergeCell ref="R4:S5"/>
    <mergeCell ref="T4:U5"/>
    <mergeCell ref="V4:W5"/>
    <mergeCell ref="X4:Y5"/>
    <mergeCell ref="Z4:AA5"/>
    <mergeCell ref="AB4:AC5"/>
    <mergeCell ref="F3:G3"/>
    <mergeCell ref="H3:I3"/>
    <mergeCell ref="AP4:AQ5"/>
    <mergeCell ref="AR4:AS5"/>
    <mergeCell ref="AT4:AU5"/>
    <mergeCell ref="AD4:AE5"/>
    <mergeCell ref="AF4:AG5"/>
    <mergeCell ref="J3:K3"/>
    <mergeCell ref="L3:M3"/>
    <mergeCell ref="N3:O3"/>
    <mergeCell ref="P3:Q3"/>
    <mergeCell ref="AP3:AQ3"/>
    <mergeCell ref="AR3:AS3"/>
    <mergeCell ref="AT3:AU3"/>
    <mergeCell ref="AD3:AE3"/>
    <mergeCell ref="AF3:AG3"/>
    <mergeCell ref="AH3:AI3"/>
    <mergeCell ref="AJ3:AK3"/>
    <mergeCell ref="AL3:AM3"/>
    <mergeCell ref="AN3:AO3"/>
    <mergeCell ref="R3:S3"/>
    <mergeCell ref="T3:U3"/>
    <mergeCell ref="F2:G2"/>
    <mergeCell ref="H2:I2"/>
    <mergeCell ref="J2:K2"/>
    <mergeCell ref="L2:M2"/>
    <mergeCell ref="N2:O2"/>
    <mergeCell ref="P2:Q2"/>
    <mergeCell ref="AP2:AQ2"/>
    <mergeCell ref="AR2:AS2"/>
    <mergeCell ref="AT2:AU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AV3:AW3"/>
    <mergeCell ref="AX4:AY5"/>
    <mergeCell ref="AZ4:BA5"/>
    <mergeCell ref="AX3:AY3"/>
    <mergeCell ref="AZ3:BA3"/>
    <mergeCell ref="AZ6:BA6"/>
    <mergeCell ref="AV7:AW7"/>
    <mergeCell ref="AX7:AY7"/>
    <mergeCell ref="AZ7:BA7"/>
    <mergeCell ref="AV4:AW5"/>
    <mergeCell ref="AX6:AY6"/>
    <mergeCell ref="AX2:AY2"/>
    <mergeCell ref="AZ2:BA2"/>
    <mergeCell ref="BJ1:BK1"/>
    <mergeCell ref="BJ2:BK2"/>
    <mergeCell ref="BJ3:BK3"/>
    <mergeCell ref="BJ4:BK5"/>
    <mergeCell ref="BJ6:BK6"/>
    <mergeCell ref="BJ7:BK7"/>
    <mergeCell ref="BD1:BE1"/>
    <mergeCell ref="BD2:BE2"/>
    <mergeCell ref="BD3:BE3"/>
    <mergeCell ref="BD4:BE5"/>
    <mergeCell ref="BD6:BE6"/>
    <mergeCell ref="BD7:BE7"/>
    <mergeCell ref="BH1:BI1"/>
    <mergeCell ref="BH2:BI2"/>
    <mergeCell ref="BF1:BG1"/>
    <mergeCell ref="BF2:BG2"/>
    <mergeCell ref="BF3:BG3"/>
    <mergeCell ref="BF4:BG5"/>
    <mergeCell ref="BF6:BG6"/>
    <mergeCell ref="BF7:BG7"/>
    <mergeCell ref="BH3:BI3"/>
    <mergeCell ref="BH4:BI5"/>
    <mergeCell ref="BV1:BW1"/>
    <mergeCell ref="BV2:BW2"/>
    <mergeCell ref="BV3:BW3"/>
    <mergeCell ref="BV4:BW5"/>
    <mergeCell ref="BV6:BW6"/>
    <mergeCell ref="BV7:BW7"/>
    <mergeCell ref="BV8:BW8"/>
    <mergeCell ref="BV9:BW9"/>
    <mergeCell ref="BT1:BU1"/>
    <mergeCell ref="BT2:BU2"/>
    <mergeCell ref="BT3:BU3"/>
    <mergeCell ref="BT4:BU5"/>
    <mergeCell ref="BT6:BU6"/>
    <mergeCell ref="BT7:BU7"/>
    <mergeCell ref="BT8:BU8"/>
    <mergeCell ref="BT9:BU9"/>
    <mergeCell ref="BP1:BQ1"/>
    <mergeCell ref="BP2:BQ2"/>
    <mergeCell ref="BP3:BQ3"/>
    <mergeCell ref="BP4:BQ5"/>
    <mergeCell ref="BP6:BQ6"/>
    <mergeCell ref="BP7:BQ7"/>
    <mergeCell ref="BP8:BQ8"/>
    <mergeCell ref="BP9:BQ9"/>
    <mergeCell ref="BR1:BS1"/>
    <mergeCell ref="BR2:BS2"/>
    <mergeCell ref="BR3:BS3"/>
    <mergeCell ref="BR4:BS5"/>
    <mergeCell ref="BR6:BS6"/>
    <mergeCell ref="BR7:BS7"/>
    <mergeCell ref="BR8:BS8"/>
    <mergeCell ref="BR9:BS9"/>
  </mergeCells>
  <pageMargins left="0.7" right="0.7" top="0.75" bottom="0.75" header="0.3" footer="0.3"/>
  <pageSetup paperSize="8" scale="62" fitToWidth="0" orientation="portrait" verticalDpi="598" r:id="rId1"/>
  <customProperties>
    <customPr name="_pios_id" r:id="rId2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FC18-CFAD-4BD1-B116-F7B8E7873C08}">
  <sheetPr>
    <pageSetUpPr fitToPage="1"/>
  </sheetPr>
  <dimension ref="A2:BO178"/>
  <sheetViews>
    <sheetView showGridLines="0" zoomScale="81" zoomScaleNormal="70" zoomScaleSheetLayoutView="80" workbookViewId="0">
      <pane xSplit="5" ySplit="6" topLeftCell="BE106" activePane="bottomRight" state="frozen"/>
      <selection activeCell="BT1" sqref="BT1:BU1048576"/>
      <selection pane="topRight" activeCell="BT1" sqref="BT1:BU1048576"/>
      <selection pane="bottomLeft" activeCell="BT1" sqref="BT1:BU1048576"/>
      <selection pane="bottomRight" activeCell="BT1" sqref="BT1:BU1048576"/>
    </sheetView>
  </sheetViews>
  <sheetFormatPr defaultRowHeight="14.25" outlineLevelRow="3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53" width="12.86328125" hidden="1" customWidth="1"/>
    <col min="54" max="67" width="12.86328125" customWidth="1"/>
  </cols>
  <sheetData>
    <row r="2" spans="1:67" ht="15.75" customHeight="1" thickBot="1" x14ac:dyDescent="0.5">
      <c r="F2" s="1273" t="str">
        <f>F4</f>
        <v>PMAJ LOKAL 24</v>
      </c>
      <c r="G2" s="1273"/>
      <c r="H2" s="1231" t="str">
        <f>H4</f>
        <v>PMAJ LOKAL 24</v>
      </c>
      <c r="I2" s="1231"/>
      <c r="J2" s="1231" t="str">
        <f>J4</f>
        <v>PMAJ LOKAL 24</v>
      </c>
      <c r="K2" s="1231"/>
      <c r="L2" s="1231" t="str">
        <f>L4</f>
        <v>PMAJ LOKAL 24</v>
      </c>
      <c r="M2" s="1231"/>
      <c r="N2" s="1231" t="str">
        <f>N4</f>
        <v>PMAJ LOKAL 24</v>
      </c>
      <c r="O2" s="1231"/>
      <c r="P2" s="1231" t="str">
        <f>P4</f>
        <v>PMAJ LOKAL 24</v>
      </c>
      <c r="Q2" s="1231"/>
      <c r="R2" s="1231" t="str">
        <f>R4</f>
        <v>PMAJ LOKAL 24</v>
      </c>
      <c r="S2" s="1231"/>
      <c r="T2" s="1231" t="str">
        <f>T4</f>
        <v>PMAJ LOKAL 24</v>
      </c>
      <c r="U2" s="1231"/>
      <c r="V2" s="1231" t="str">
        <f>V4</f>
        <v>PMAJ LOKAL 24</v>
      </c>
      <c r="W2" s="1231"/>
      <c r="X2" s="1231" t="str">
        <f>X4</f>
        <v>PMAJ LOKAL 24</v>
      </c>
      <c r="Y2" s="1231"/>
      <c r="Z2" s="1231" t="str">
        <f>Z4</f>
        <v>PMAJ LOKAL 24</v>
      </c>
      <c r="AA2" s="1231"/>
      <c r="AB2" s="1231" t="str">
        <f>AB4</f>
        <v>PMAJ LOKAL 24</v>
      </c>
      <c r="AC2" s="1231"/>
      <c r="AD2" s="1231" t="str">
        <f t="shared" ref="AD2" si="0">AD4</f>
        <v>PMAJ LOKAL 24</v>
      </c>
      <c r="AE2" s="1231"/>
      <c r="AF2" s="1231" t="str">
        <f t="shared" ref="AF2" si="1">AF4</f>
        <v>PMAJ LOKAL 24</v>
      </c>
      <c r="AG2" s="1231"/>
      <c r="AH2" s="1231" t="str">
        <f t="shared" ref="AH2:AJ2" si="2">AH4</f>
        <v>PMAJ LOKAL 24</v>
      </c>
      <c r="AI2" s="1231"/>
      <c r="AJ2" s="1231" t="str">
        <f t="shared" si="2"/>
        <v>PMAJ LOKAL 24</v>
      </c>
      <c r="AK2" s="1231"/>
      <c r="AL2" s="1231" t="str">
        <f t="shared" ref="AL2" si="3">AL4</f>
        <v>PMAJ LOKAL 24</v>
      </c>
      <c r="AM2" s="1231"/>
      <c r="AN2" s="1231" t="str">
        <f t="shared" ref="AN2" si="4">AN4</f>
        <v>PMAJ LOKAL 24</v>
      </c>
      <c r="AO2" s="1231"/>
      <c r="AP2" s="1231" t="str">
        <f t="shared" ref="AP2" si="5">AP4</f>
        <v>PMAJ LOKAL 24</v>
      </c>
      <c r="AQ2" s="1231"/>
      <c r="AR2" s="1231" t="str">
        <f t="shared" ref="AR2:AX2" si="6">AR4</f>
        <v>PMAJ LOKAL 24</v>
      </c>
      <c r="AS2" s="1231"/>
      <c r="AT2" s="1231" t="str">
        <f t="shared" si="6"/>
        <v>PMAJ LOKAL 24</v>
      </c>
      <c r="AU2" s="1231"/>
      <c r="AV2" s="1231" t="str">
        <f t="shared" si="6"/>
        <v>PMAJ LOKAL 24</v>
      </c>
      <c r="AW2" s="1231"/>
      <c r="AX2" s="1231" t="str">
        <f t="shared" si="6"/>
        <v>PMAJ LOKAL 24</v>
      </c>
      <c r="AY2" s="1231"/>
      <c r="AZ2" s="1231" t="str">
        <f t="shared" ref="AZ2" si="7">AZ4</f>
        <v>PMAJ LOKAL 24</v>
      </c>
      <c r="BA2" s="1231"/>
      <c r="BB2" s="1231" t="str">
        <f t="shared" ref="BB2" si="8">BB4</f>
        <v>PMAJ LOKAL 24</v>
      </c>
      <c r="BC2" s="1231"/>
      <c r="BD2" s="1231" t="str">
        <f t="shared" ref="BD2:BF2" si="9">BD4</f>
        <v>PMAJ LOKAL 24</v>
      </c>
      <c r="BE2" s="1231"/>
      <c r="BF2" s="1231" t="str">
        <f t="shared" si="9"/>
        <v>PMAJ LOKAL 24</v>
      </c>
      <c r="BG2" s="1231"/>
      <c r="BH2" s="1231" t="str">
        <f t="shared" ref="BH2:BN2" si="10">BH4</f>
        <v>PMAJ LOKAL 24</v>
      </c>
      <c r="BI2" s="1231"/>
      <c r="BJ2" s="1231" t="str">
        <f t="shared" ref="BJ2:BL2" si="11">BJ4</f>
        <v>PMAJ LOKAL 24</v>
      </c>
      <c r="BK2" s="1231"/>
      <c r="BL2" s="1231" t="str">
        <f t="shared" si="11"/>
        <v>PMAJ LOKAL 24</v>
      </c>
      <c r="BM2" s="1231"/>
      <c r="BN2" s="1231" t="str">
        <f t="shared" si="10"/>
        <v>PMAJ LOKAL 24</v>
      </c>
      <c r="BO2" s="1231"/>
    </row>
    <row r="3" spans="1:67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397</v>
      </c>
      <c r="AS3" s="1257"/>
      <c r="AT3" s="1256" t="s">
        <v>398</v>
      </c>
      <c r="AU3" s="1257"/>
      <c r="AV3" s="1256" t="s">
        <v>399</v>
      </c>
      <c r="AW3" s="1257"/>
      <c r="AX3" s="1256" t="s">
        <v>400</v>
      </c>
      <c r="AY3" s="1257"/>
      <c r="AZ3" s="1256" t="s">
        <v>515</v>
      </c>
      <c r="BA3" s="1257"/>
      <c r="BB3" s="1256" t="s">
        <v>516</v>
      </c>
      <c r="BC3" s="1257"/>
      <c r="BD3" s="1256" t="s">
        <v>517</v>
      </c>
      <c r="BE3" s="1257"/>
      <c r="BF3" s="1256" t="s">
        <v>699</v>
      </c>
      <c r="BG3" s="1257"/>
      <c r="BH3" s="1256" t="s">
        <v>704</v>
      </c>
      <c r="BI3" s="1257"/>
      <c r="BJ3" s="1256" t="s">
        <v>723</v>
      </c>
      <c r="BK3" s="1257"/>
      <c r="BL3" s="1256" t="s">
        <v>730</v>
      </c>
      <c r="BM3" s="1257"/>
      <c r="BN3" s="1256" t="s">
        <v>722</v>
      </c>
      <c r="BO3" s="1257"/>
    </row>
    <row r="4" spans="1:67" s="4" customFormat="1" ht="21.75" thickTop="1" thickBot="1" x14ac:dyDescent="0.5">
      <c r="A4" s="561"/>
      <c r="B4" s="2"/>
      <c r="C4" s="3"/>
      <c r="D4" s="6"/>
      <c r="E4" s="245"/>
      <c r="F4" s="1274" t="s">
        <v>138</v>
      </c>
      <c r="G4" s="1274"/>
      <c r="H4" s="1274" t="s">
        <v>138</v>
      </c>
      <c r="I4" s="1274"/>
      <c r="J4" s="1274" t="s">
        <v>138</v>
      </c>
      <c r="K4" s="1274"/>
      <c r="L4" s="1274" t="s">
        <v>138</v>
      </c>
      <c r="M4" s="1274"/>
      <c r="N4" s="1274" t="s">
        <v>138</v>
      </c>
      <c r="O4" s="1274"/>
      <c r="P4" s="1274" t="s">
        <v>138</v>
      </c>
      <c r="Q4" s="1274"/>
      <c r="R4" s="1274" t="s">
        <v>138</v>
      </c>
      <c r="S4" s="1274"/>
      <c r="T4" s="1274" t="s">
        <v>138</v>
      </c>
      <c r="U4" s="1274"/>
      <c r="V4" s="1274" t="s">
        <v>138</v>
      </c>
      <c r="W4" s="1274"/>
      <c r="X4" s="1274" t="s">
        <v>138</v>
      </c>
      <c r="Y4" s="1274"/>
      <c r="Z4" s="1274" t="s">
        <v>138</v>
      </c>
      <c r="AA4" s="1274"/>
      <c r="AB4" s="1274" t="s">
        <v>138</v>
      </c>
      <c r="AC4" s="1274"/>
      <c r="AD4" s="1274" t="s">
        <v>138</v>
      </c>
      <c r="AE4" s="1274"/>
      <c r="AF4" s="1274" t="s">
        <v>138</v>
      </c>
      <c r="AG4" s="1274"/>
      <c r="AH4" s="1274" t="s">
        <v>138</v>
      </c>
      <c r="AI4" s="1274"/>
      <c r="AJ4" s="1274" t="s">
        <v>138</v>
      </c>
      <c r="AK4" s="1274"/>
      <c r="AL4" s="1274" t="s">
        <v>138</v>
      </c>
      <c r="AM4" s="1274"/>
      <c r="AN4" s="1274" t="s">
        <v>138</v>
      </c>
      <c r="AO4" s="1274"/>
      <c r="AP4" s="1274" t="s">
        <v>138</v>
      </c>
      <c r="AQ4" s="1274"/>
      <c r="AR4" s="1274" t="s">
        <v>138</v>
      </c>
      <c r="AS4" s="1274"/>
      <c r="AT4" s="1274" t="s">
        <v>138</v>
      </c>
      <c r="AU4" s="1274"/>
      <c r="AV4" s="1274" t="s">
        <v>138</v>
      </c>
      <c r="AW4" s="1274"/>
      <c r="AX4" s="1274" t="s">
        <v>138</v>
      </c>
      <c r="AY4" s="1274"/>
      <c r="AZ4" s="1274" t="s">
        <v>138</v>
      </c>
      <c r="BA4" s="1274"/>
      <c r="BB4" s="1274" t="s">
        <v>138</v>
      </c>
      <c r="BC4" s="1274"/>
      <c r="BD4" s="1274" t="s">
        <v>138</v>
      </c>
      <c r="BE4" s="1274"/>
      <c r="BF4" s="1274" t="s">
        <v>138</v>
      </c>
      <c r="BG4" s="1274"/>
      <c r="BH4" s="1274" t="s">
        <v>138</v>
      </c>
      <c r="BI4" s="1274"/>
      <c r="BJ4" s="1274" t="s">
        <v>138</v>
      </c>
      <c r="BK4" s="1274"/>
      <c r="BL4" s="1274" t="s">
        <v>138</v>
      </c>
      <c r="BM4" s="1274"/>
      <c r="BN4" s="1274" t="s">
        <v>138</v>
      </c>
      <c r="BO4" s="1274"/>
    </row>
    <row r="5" spans="1:67" s="4" customFormat="1" ht="15" thickTop="1" thickBot="1" x14ac:dyDescent="0.5">
      <c r="A5" s="561"/>
      <c r="B5" s="7"/>
      <c r="E5" s="245"/>
      <c r="F5" s="1274"/>
      <c r="G5" s="1274"/>
      <c r="H5" s="1274"/>
      <c r="I5" s="1274"/>
      <c r="J5" s="1274"/>
      <c r="K5" s="1274"/>
      <c r="L5" s="1274"/>
      <c r="M5" s="1274"/>
      <c r="N5" s="1274"/>
      <c r="O5" s="1274"/>
      <c r="P5" s="1274"/>
      <c r="Q5" s="1274"/>
      <c r="R5" s="1274"/>
      <c r="S5" s="1274"/>
      <c r="T5" s="1274"/>
      <c r="U5" s="1274"/>
      <c r="V5" s="1274"/>
      <c r="W5" s="1274"/>
      <c r="X5" s="1274"/>
      <c r="Y5" s="1274"/>
      <c r="Z5" s="1274"/>
      <c r="AA5" s="1274"/>
      <c r="AB5" s="1274"/>
      <c r="AC5" s="1274"/>
      <c r="AD5" s="1274"/>
      <c r="AE5" s="1274"/>
      <c r="AF5" s="1274"/>
      <c r="AG5" s="1274"/>
      <c r="AH5" s="1274"/>
      <c r="AI5" s="1274"/>
      <c r="AJ5" s="1274"/>
      <c r="AK5" s="1274"/>
      <c r="AL5" s="1274"/>
      <c r="AM5" s="1274"/>
      <c r="AN5" s="1274"/>
      <c r="AO5" s="1274"/>
      <c r="AP5" s="1274"/>
      <c r="AQ5" s="1274"/>
      <c r="AR5" s="1274"/>
      <c r="AS5" s="1274"/>
      <c r="AT5" s="1274"/>
      <c r="AU5" s="1274"/>
      <c r="AV5" s="1274"/>
      <c r="AW5" s="1274"/>
      <c r="AX5" s="1274"/>
      <c r="AY5" s="1274"/>
      <c r="AZ5" s="1274"/>
      <c r="BA5" s="1274"/>
      <c r="BB5" s="1274"/>
      <c r="BC5" s="1274"/>
      <c r="BD5" s="1274"/>
      <c r="BE5" s="1274"/>
      <c r="BF5" s="1274"/>
      <c r="BG5" s="1274"/>
      <c r="BH5" s="1274"/>
      <c r="BI5" s="1274"/>
      <c r="BJ5" s="1274"/>
      <c r="BK5" s="1274"/>
      <c r="BL5" s="1274"/>
      <c r="BM5" s="1274"/>
      <c r="BN5" s="1274"/>
      <c r="BO5" s="1274"/>
    </row>
    <row r="6" spans="1:67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34"/>
      <c r="G6" s="1207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05"/>
      <c r="AY6" s="1206"/>
      <c r="AZ6" s="1205"/>
      <c r="BA6" s="1206"/>
      <c r="BB6" s="1205"/>
      <c r="BC6" s="1206"/>
      <c r="BD6" s="1205"/>
      <c r="BE6" s="1206"/>
      <c r="BF6" s="1205"/>
      <c r="BG6" s="1206"/>
      <c r="BH6" s="1205"/>
      <c r="BI6" s="1206"/>
      <c r="BJ6" s="1205"/>
      <c r="BK6" s="1206"/>
      <c r="BL6" s="1205"/>
      <c r="BM6" s="1206"/>
      <c r="BN6" s="1205"/>
      <c r="BO6" s="1206"/>
    </row>
    <row r="7" spans="1:67" s="7" customFormat="1" ht="36.75" customHeight="1" x14ac:dyDescent="0.45">
      <c r="A7" s="561"/>
      <c r="B7" s="1203"/>
      <c r="C7" s="10" t="s">
        <v>11</v>
      </c>
      <c r="D7" s="11"/>
      <c r="E7" s="247"/>
      <c r="F7" s="1200">
        <v>136915</v>
      </c>
      <c r="G7" s="1201"/>
      <c r="H7" s="1200">
        <v>136915</v>
      </c>
      <c r="I7" s="1201"/>
      <c r="J7" s="1200">
        <v>136915</v>
      </c>
      <c r="K7" s="1201"/>
      <c r="L7" s="1200">
        <v>136915</v>
      </c>
      <c r="M7" s="1201"/>
      <c r="N7" s="1200">
        <v>136915</v>
      </c>
      <c r="O7" s="1201"/>
      <c r="P7" s="1200">
        <v>136915</v>
      </c>
      <c r="Q7" s="1201"/>
      <c r="R7" s="1200">
        <v>136915</v>
      </c>
      <c r="S7" s="1201"/>
      <c r="T7" s="1200">
        <v>136915</v>
      </c>
      <c r="U7" s="1201"/>
      <c r="V7" s="1200">
        <v>136915</v>
      </c>
      <c r="W7" s="1201"/>
      <c r="X7" s="1200">
        <v>136915</v>
      </c>
      <c r="Y7" s="1201"/>
      <c r="Z7" s="1200">
        <v>136915</v>
      </c>
      <c r="AA7" s="1201"/>
      <c r="AB7" s="1200">
        <v>136915</v>
      </c>
      <c r="AC7" s="1201"/>
      <c r="AD7" s="1200">
        <v>136915</v>
      </c>
      <c r="AE7" s="1201"/>
      <c r="AF7" s="1200">
        <v>136915</v>
      </c>
      <c r="AG7" s="1201"/>
      <c r="AH7" s="1200">
        <v>136915</v>
      </c>
      <c r="AI7" s="1201"/>
      <c r="AJ7" s="1200">
        <v>136915</v>
      </c>
      <c r="AK7" s="1201"/>
      <c r="AL7" s="1200">
        <v>136915</v>
      </c>
      <c r="AM7" s="1201"/>
      <c r="AN7" s="1200">
        <v>136915</v>
      </c>
      <c r="AO7" s="1201"/>
      <c r="AP7" s="1200">
        <v>136915</v>
      </c>
      <c r="AQ7" s="1201"/>
      <c r="AR7" s="1200">
        <v>136915</v>
      </c>
      <c r="AS7" s="1201"/>
      <c r="AT7" s="1200">
        <v>136915</v>
      </c>
      <c r="AU7" s="1201"/>
      <c r="AV7" s="1200">
        <v>136915</v>
      </c>
      <c r="AW7" s="1201"/>
      <c r="AX7" s="1200">
        <v>136915</v>
      </c>
      <c r="AY7" s="1201"/>
      <c r="AZ7" s="1200">
        <v>136915</v>
      </c>
      <c r="BA7" s="1201"/>
      <c r="BB7" s="1200">
        <v>136915</v>
      </c>
      <c r="BC7" s="1201"/>
      <c r="BD7" s="1200">
        <v>136915</v>
      </c>
      <c r="BE7" s="1201"/>
      <c r="BF7" s="1200">
        <v>136915</v>
      </c>
      <c r="BG7" s="1201"/>
      <c r="BH7" s="1200">
        <v>136915</v>
      </c>
      <c r="BI7" s="1201"/>
      <c r="BJ7" s="1200">
        <v>136915</v>
      </c>
      <c r="BK7" s="1201"/>
      <c r="BL7" s="1200">
        <v>136915</v>
      </c>
      <c r="BM7" s="1201"/>
      <c r="BN7" s="1200">
        <v>136915</v>
      </c>
      <c r="BO7" s="1201"/>
    </row>
    <row r="8" spans="1:67" s="7" customFormat="1" x14ac:dyDescent="0.45">
      <c r="A8" s="561"/>
      <c r="B8" s="1203"/>
      <c r="C8" s="12" t="s">
        <v>12</v>
      </c>
      <c r="D8" s="11"/>
      <c r="E8" s="11"/>
      <c r="F8" s="1232">
        <f>G60</f>
        <v>6.55</v>
      </c>
      <c r="G8" s="1233"/>
      <c r="H8" s="1232">
        <f t="shared" ref="H8" si="12">I60</f>
        <v>6.55</v>
      </c>
      <c r="I8" s="1233"/>
      <c r="J8" s="1232">
        <f t="shared" ref="J8" si="13">K60</f>
        <v>6.55</v>
      </c>
      <c r="K8" s="1233"/>
      <c r="L8" s="1232">
        <f t="shared" ref="L8" si="14">M60</f>
        <v>6.55</v>
      </c>
      <c r="M8" s="1233"/>
      <c r="N8" s="1232">
        <f t="shared" ref="N8" si="15">O60</f>
        <v>6.55</v>
      </c>
      <c r="O8" s="1233"/>
      <c r="P8" s="1232">
        <f t="shared" ref="P8" si="16">Q60</f>
        <v>6.55</v>
      </c>
      <c r="Q8" s="1233"/>
      <c r="R8" s="1232">
        <f t="shared" ref="R8" si="17">S60</f>
        <v>6.55</v>
      </c>
      <c r="S8" s="1233"/>
      <c r="T8" s="1232">
        <f t="shared" ref="T8" si="18">U60</f>
        <v>6.55</v>
      </c>
      <c r="U8" s="1233"/>
      <c r="V8" s="1232">
        <f t="shared" ref="V8" si="19">W60</f>
        <v>6.55</v>
      </c>
      <c r="W8" s="1233"/>
      <c r="X8" s="1232">
        <f t="shared" ref="X8" si="20">Y60</f>
        <v>6.55</v>
      </c>
      <c r="Y8" s="1233"/>
      <c r="Z8" s="1232">
        <f t="shared" ref="Z8" si="21">AA60</f>
        <v>6.55</v>
      </c>
      <c r="AA8" s="1233"/>
      <c r="AB8" s="1232">
        <f t="shared" ref="AB8" si="22">AC60</f>
        <v>6.55</v>
      </c>
      <c r="AC8" s="1233"/>
      <c r="AD8" s="1232">
        <f t="shared" ref="AD8" si="23">AE60</f>
        <v>6.55</v>
      </c>
      <c r="AE8" s="1233"/>
      <c r="AF8" s="1232">
        <f t="shared" ref="AF8" si="24">AG60</f>
        <v>6.55</v>
      </c>
      <c r="AG8" s="1233"/>
      <c r="AH8" s="1232">
        <f t="shared" ref="AH8" si="25">AI60</f>
        <v>6.55</v>
      </c>
      <c r="AI8" s="1233"/>
      <c r="AJ8" s="1232">
        <f t="shared" ref="AJ8" si="26">AK60</f>
        <v>6.55</v>
      </c>
      <c r="AK8" s="1233"/>
      <c r="AL8" s="1232">
        <f t="shared" ref="AL8" si="27">AM60</f>
        <v>6.55</v>
      </c>
      <c r="AM8" s="1233"/>
      <c r="AN8" s="1232">
        <f t="shared" ref="AN8" si="28">AO60</f>
        <v>6.55</v>
      </c>
      <c r="AO8" s="1233"/>
      <c r="AP8" s="1232">
        <f t="shared" ref="AP8" si="29">AQ60</f>
        <v>6.55</v>
      </c>
      <c r="AQ8" s="1233"/>
      <c r="AR8" s="1232">
        <f t="shared" ref="AR8" si="30">AS60</f>
        <v>6.55</v>
      </c>
      <c r="AS8" s="1233"/>
      <c r="AT8" s="1232">
        <f t="shared" ref="AT8" si="31">AU60</f>
        <v>6.5536025000000002</v>
      </c>
      <c r="AU8" s="1233"/>
      <c r="AV8" s="1232">
        <f t="shared" ref="AV8" si="32">AW60</f>
        <v>6.5536025000000002</v>
      </c>
      <c r="AW8" s="1233"/>
      <c r="AX8" s="1232">
        <f t="shared" ref="AX8" si="33">AY60</f>
        <v>6.55</v>
      </c>
      <c r="AY8" s="1233"/>
      <c r="AZ8" s="1232">
        <f t="shared" ref="AZ8" si="34">BA60</f>
        <v>6.55</v>
      </c>
      <c r="BA8" s="1233"/>
      <c r="BB8" s="1232">
        <f t="shared" ref="BB8" si="35">BC60</f>
        <v>6.55</v>
      </c>
      <c r="BC8" s="1233"/>
      <c r="BD8" s="1232">
        <f t="shared" ref="BD8" si="36">BE60</f>
        <v>6.55</v>
      </c>
      <c r="BE8" s="1233"/>
      <c r="BF8" s="1232">
        <f t="shared" ref="BF8" si="37">BG60</f>
        <v>6.55</v>
      </c>
      <c r="BG8" s="1233"/>
      <c r="BH8" s="1232">
        <f t="shared" ref="BH8" si="38">BI60</f>
        <v>6.55</v>
      </c>
      <c r="BI8" s="1233"/>
      <c r="BJ8" s="1232">
        <f t="shared" ref="BJ8" si="39">BK60</f>
        <v>6.55</v>
      </c>
      <c r="BK8" s="1233"/>
      <c r="BL8" s="1232">
        <f t="shared" ref="BL8" si="40">BM60</f>
        <v>6.55</v>
      </c>
      <c r="BM8" s="1233"/>
      <c r="BN8" s="1232">
        <f t="shared" ref="BN8" si="41">BO60</f>
        <v>6.55</v>
      </c>
      <c r="BO8" s="1233"/>
    </row>
    <row r="9" spans="1:67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$1.80/ctn</v>
      </c>
      <c r="G9" s="1191"/>
      <c r="H9" s="1190" t="str">
        <f t="shared" ref="H9" si="42">CONCATENATE("TP $",TEXT(I57,"#,##0.00"),"/ctn")</f>
        <v>TP $1.80/ctn</v>
      </c>
      <c r="I9" s="1191"/>
      <c r="J9" s="1190" t="str">
        <f t="shared" ref="J9" si="43">CONCATENATE("TP $",TEXT(K57,"#,##0.00"),"/ctn")</f>
        <v>TP $1.80/ctn</v>
      </c>
      <c r="K9" s="1191"/>
      <c r="L9" s="1190" t="str">
        <f t="shared" ref="L9" si="44">CONCATENATE("TP $",TEXT(M57,"#,##0.00"),"/ctn")</f>
        <v>TP $1.80/ctn</v>
      </c>
      <c r="M9" s="1191"/>
      <c r="N9" s="1190" t="str">
        <f t="shared" ref="N9" si="45">CONCATENATE("TP $",TEXT(O57,"#,##0.00"),"/ctn")</f>
        <v>TP $1.80/ctn</v>
      </c>
      <c r="O9" s="1191"/>
      <c r="P9" s="1190" t="str">
        <f t="shared" ref="P9" si="46">CONCATENATE("TP $",TEXT(Q57,"#,##0.00"),"/ctn")</f>
        <v>TP $1.80/ctn</v>
      </c>
      <c r="Q9" s="1191"/>
      <c r="R9" s="1190" t="str">
        <f t="shared" ref="R9" si="47">CONCATENATE("TP $",TEXT(S57,"#,##0.00"),"/ctn")</f>
        <v>TP $1.80/ctn</v>
      </c>
      <c r="S9" s="1191"/>
      <c r="T9" s="1190" t="str">
        <f t="shared" ref="T9" si="48">CONCATENATE("TP $",TEXT(U57,"#,##0.00"),"/ctn")</f>
        <v>TP $1.80/ctn</v>
      </c>
      <c r="U9" s="1191"/>
      <c r="V9" s="1190" t="str">
        <f t="shared" ref="V9" si="49">CONCATENATE("TP $",TEXT(W57,"#,##0.00"),"/ctn")</f>
        <v>TP $1.80/ctn</v>
      </c>
      <c r="W9" s="1191"/>
      <c r="X9" s="1190" t="str">
        <f t="shared" ref="X9" si="50">CONCATENATE("TP $",TEXT(Y57,"#,##0.00"),"/ctn")</f>
        <v>TP $1.80/ctn</v>
      </c>
      <c r="Y9" s="1191"/>
      <c r="Z9" s="1190" t="str">
        <f t="shared" ref="Z9" si="51">CONCATENATE("TP $",TEXT(AA57,"#,##0.00"),"/ctn")</f>
        <v>TP $1.80/ctn</v>
      </c>
      <c r="AA9" s="1191"/>
      <c r="AB9" s="1190" t="str">
        <f t="shared" ref="AB9" si="52">CONCATENATE("TP $",TEXT(AC57,"#,##0.00"),"/ctn")</f>
        <v>TP $1.15/ctn</v>
      </c>
      <c r="AC9" s="1191"/>
      <c r="AD9" s="1190" t="str">
        <f t="shared" ref="AD9" si="53">CONCATENATE("TP $",TEXT(AE57,"#,##0.00"),"/ctn")</f>
        <v>TP $1.80/ctn</v>
      </c>
      <c r="AE9" s="1191"/>
      <c r="AF9" s="1190" t="str">
        <f t="shared" ref="AF9" si="54">CONCATENATE("TP $",TEXT(AG57,"#,##0.00"),"/ctn")</f>
        <v>TP $1.80/ctn</v>
      </c>
      <c r="AG9" s="1191"/>
      <c r="AH9" s="1190" t="str">
        <f t="shared" ref="AH9" si="55">CONCATENATE("TP $",TEXT(AI57,"#,##0.00"),"/ctn")</f>
        <v>TP $1.80/ctn</v>
      </c>
      <c r="AI9" s="1191"/>
      <c r="AJ9" s="1190" t="str">
        <f t="shared" ref="AJ9" si="56">CONCATENATE("TP $",TEXT(AK57,"#,##0.00"),"/ctn")</f>
        <v>TP $1.80/ctn</v>
      </c>
      <c r="AK9" s="1191"/>
      <c r="AL9" s="1190" t="str">
        <f t="shared" ref="AL9" si="57">CONCATENATE("TP $",TEXT(AM57,"#,##0.00"),"/ctn")</f>
        <v>TP $1.80/ctn</v>
      </c>
      <c r="AM9" s="1191"/>
      <c r="AN9" s="1190" t="str">
        <f t="shared" ref="AN9" si="58">CONCATENATE("TP $",TEXT(AO57,"#,##0.00"),"/ctn")</f>
        <v>TP $1.80/ctn</v>
      </c>
      <c r="AO9" s="1191"/>
      <c r="AP9" s="1190" t="str">
        <f t="shared" ref="AP9" si="59">CONCATENATE("TP $",TEXT(AQ57,"#,##0.00"),"/ctn")</f>
        <v>TP $1.80/ctn</v>
      </c>
      <c r="AQ9" s="1191"/>
      <c r="AR9" s="1190" t="str">
        <f t="shared" ref="AR9" si="60">CONCATENATE("TP $",TEXT(AS57,"#,##0.00"),"/ctn")</f>
        <v>TP $1.80/ctn</v>
      </c>
      <c r="AS9" s="1191"/>
      <c r="AT9" s="1190" t="str">
        <f t="shared" ref="AT9" si="61">CONCATENATE("TP $",TEXT(AU57,"#,##0.00"),"/ctn")</f>
        <v>TP $1.80/ctn</v>
      </c>
      <c r="AU9" s="1191"/>
      <c r="AV9" s="1190" t="str">
        <f t="shared" ref="AV9" si="62">CONCATENATE("TP $",TEXT(AW57,"#,##0.00"),"/ctn")</f>
        <v>TP $1.80/ctn</v>
      </c>
      <c r="AW9" s="1191"/>
      <c r="AX9" s="1190" t="str">
        <f t="shared" ref="AX9" si="63">CONCATENATE("TP $",TEXT(AY57,"#,##0.00"),"/ctn")</f>
        <v>TP $1.80/ctn</v>
      </c>
      <c r="AY9" s="1191"/>
      <c r="AZ9" s="1190" t="str">
        <f t="shared" ref="AZ9" si="64">CONCATENATE("TP $",TEXT(BA57,"#,##0.00"),"/ctn")</f>
        <v>TP $1.80/ctn</v>
      </c>
      <c r="BA9" s="1191"/>
      <c r="BB9" s="1190" t="str">
        <f t="shared" ref="BB9" si="65">CONCATENATE("TP $",TEXT(BC57,"#,##0.00"),"/ctn")</f>
        <v>TP $1.80/ctn</v>
      </c>
      <c r="BC9" s="1191"/>
      <c r="BD9" s="1190" t="str">
        <f t="shared" ref="BD9" si="66">CONCATENATE("TP $",TEXT(BE57,"#,##0.00"),"/ctn")</f>
        <v>TP $1.80/ctn</v>
      </c>
      <c r="BE9" s="1191"/>
      <c r="BF9" s="1190" t="str">
        <f t="shared" ref="BF9" si="67">CONCATENATE("TP $",TEXT(BG57,"#,##0.00"),"/ctn")</f>
        <v>TP $1.80/ctn</v>
      </c>
      <c r="BG9" s="1191"/>
      <c r="BH9" s="1190" t="str">
        <f t="shared" ref="BH9" si="68">CONCATENATE("TP $",TEXT(BI57,"#,##0.00"),"/ctn")</f>
        <v>TP $1.80/ctn</v>
      </c>
      <c r="BI9" s="1191"/>
      <c r="BJ9" s="1190" t="str">
        <f t="shared" ref="BJ9" si="69">CONCATENATE("TP $",TEXT(BK57,"#,##0.00"),"/ctn")</f>
        <v>TP $1.80/ctn</v>
      </c>
      <c r="BK9" s="1191"/>
      <c r="BL9" s="1190" t="str">
        <f t="shared" ref="BL9" si="70">CONCATENATE("TP $",TEXT(BM57,"#,##0.00"),"/ctn")</f>
        <v>TP $1.80/ctn</v>
      </c>
      <c r="BM9" s="1191"/>
      <c r="BN9" s="1190" t="str">
        <f t="shared" ref="BN9" si="71">CONCATENATE("TP $",TEXT(BO57,"#,##0.00"),"/ctn")</f>
        <v>TP $1.80/ctn</v>
      </c>
      <c r="BO9" s="1191"/>
    </row>
    <row r="10" spans="1:67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24</v>
      </c>
      <c r="G10" s="253" t="str">
        <f>+F10</f>
        <v>24</v>
      </c>
      <c r="H10" s="252" t="str">
        <f>RIGHT(H2,2)</f>
        <v>24</v>
      </c>
      <c r="I10" s="253" t="str">
        <f>+H10</f>
        <v>24</v>
      </c>
      <c r="J10" s="252" t="str">
        <f>RIGHT(J2,2)</f>
        <v>24</v>
      </c>
      <c r="K10" s="253" t="str">
        <f>+J10</f>
        <v>24</v>
      </c>
      <c r="L10" s="252" t="str">
        <f>RIGHT(L2,2)</f>
        <v>24</v>
      </c>
      <c r="M10" s="253" t="str">
        <f>+L10</f>
        <v>24</v>
      </c>
      <c r="N10" s="252" t="str">
        <f>RIGHT(N2,2)</f>
        <v>24</v>
      </c>
      <c r="O10" s="253" t="str">
        <f>+N10</f>
        <v>24</v>
      </c>
      <c r="P10" s="252" t="str">
        <f>RIGHT(P2,2)</f>
        <v>24</v>
      </c>
      <c r="Q10" s="253" t="str">
        <f>+P10</f>
        <v>24</v>
      </c>
      <c r="R10" s="252" t="str">
        <f>RIGHT(R2,2)</f>
        <v>24</v>
      </c>
      <c r="S10" s="253" t="str">
        <f>+R10</f>
        <v>24</v>
      </c>
      <c r="T10" s="252" t="str">
        <f>RIGHT(T2,2)</f>
        <v>24</v>
      </c>
      <c r="U10" s="253" t="str">
        <f>+T10</f>
        <v>24</v>
      </c>
      <c r="V10" s="252" t="str">
        <f>RIGHT(V2,2)</f>
        <v>24</v>
      </c>
      <c r="W10" s="253" t="str">
        <f>+V10</f>
        <v>24</v>
      </c>
      <c r="X10" s="252" t="str">
        <f>RIGHT(X2,2)</f>
        <v>24</v>
      </c>
      <c r="Y10" s="253" t="str">
        <f>+X10</f>
        <v>24</v>
      </c>
      <c r="Z10" s="252" t="str">
        <f>RIGHT(Z2,2)</f>
        <v>24</v>
      </c>
      <c r="AA10" s="253" t="str">
        <f>+Z10</f>
        <v>24</v>
      </c>
      <c r="AB10" s="252" t="str">
        <f>RIGHT(AB2,2)</f>
        <v>24</v>
      </c>
      <c r="AC10" s="253" t="str">
        <f>+AB10</f>
        <v>24</v>
      </c>
      <c r="AD10" s="252" t="str">
        <f t="shared" ref="AD10" si="72">RIGHT(AD2,2)</f>
        <v>24</v>
      </c>
      <c r="AE10" s="253" t="str">
        <f t="shared" ref="AE10" si="73">+AD10</f>
        <v>24</v>
      </c>
      <c r="AF10" s="252" t="str">
        <f t="shared" ref="AF10" si="74">RIGHT(AF2,2)</f>
        <v>24</v>
      </c>
      <c r="AG10" s="253" t="str">
        <f t="shared" ref="AG10" si="75">+AF10</f>
        <v>24</v>
      </c>
      <c r="AH10" s="252" t="str">
        <f t="shared" ref="AH10:AJ10" si="76">RIGHT(AH2,2)</f>
        <v>24</v>
      </c>
      <c r="AI10" s="253" t="str">
        <f t="shared" ref="AI10" si="77">+AH10</f>
        <v>24</v>
      </c>
      <c r="AJ10" s="252" t="str">
        <f t="shared" si="76"/>
        <v>24</v>
      </c>
      <c r="AK10" s="253" t="str">
        <f t="shared" ref="AK10" si="78">+AJ10</f>
        <v>24</v>
      </c>
      <c r="AL10" s="252" t="str">
        <f t="shared" ref="AL10" si="79">RIGHT(AL2,2)</f>
        <v>24</v>
      </c>
      <c r="AM10" s="253" t="str">
        <f t="shared" ref="AM10" si="80">+AL10</f>
        <v>24</v>
      </c>
      <c r="AN10" s="252" t="str">
        <f t="shared" ref="AN10" si="81">RIGHT(AN2,2)</f>
        <v>24</v>
      </c>
      <c r="AO10" s="253" t="str">
        <f t="shared" ref="AO10" si="82">+AN10</f>
        <v>24</v>
      </c>
      <c r="AP10" s="252" t="str">
        <f t="shared" ref="AP10" si="83">RIGHT(AP2,2)</f>
        <v>24</v>
      </c>
      <c r="AQ10" s="253" t="str">
        <f t="shared" ref="AQ10" si="84">+AP10</f>
        <v>24</v>
      </c>
      <c r="AR10" s="252" t="str">
        <f t="shared" ref="AR10:AX10" si="85">RIGHT(AR2,2)</f>
        <v>24</v>
      </c>
      <c r="AS10" s="253" t="str">
        <f t="shared" ref="AS10" si="86">+AR10</f>
        <v>24</v>
      </c>
      <c r="AT10" s="252" t="str">
        <f t="shared" si="85"/>
        <v>24</v>
      </c>
      <c r="AU10" s="253" t="str">
        <f t="shared" ref="AU10" si="87">+AT10</f>
        <v>24</v>
      </c>
      <c r="AV10" s="252" t="str">
        <f t="shared" si="85"/>
        <v>24</v>
      </c>
      <c r="AW10" s="253" t="str">
        <f t="shared" ref="AW10" si="88">+AV10</f>
        <v>24</v>
      </c>
      <c r="AX10" s="252" t="str">
        <f t="shared" si="85"/>
        <v>24</v>
      </c>
      <c r="AY10" s="253" t="str">
        <f t="shared" ref="AY10" si="89">+AX10</f>
        <v>24</v>
      </c>
      <c r="AZ10" s="252" t="str">
        <f t="shared" ref="AZ10" si="90">RIGHT(AZ2,2)</f>
        <v>24</v>
      </c>
      <c r="BA10" s="253" t="str">
        <f t="shared" ref="BA10" si="91">+AZ10</f>
        <v>24</v>
      </c>
      <c r="BB10" s="252" t="str">
        <f t="shared" ref="BB10" si="92">RIGHT(BB2,2)</f>
        <v>24</v>
      </c>
      <c r="BC10" s="253" t="str">
        <f t="shared" ref="BC10" si="93">+BB10</f>
        <v>24</v>
      </c>
      <c r="BD10" s="252" t="str">
        <f t="shared" ref="BD10:BF10" si="94">RIGHT(BD2,2)</f>
        <v>24</v>
      </c>
      <c r="BE10" s="253" t="str">
        <f t="shared" ref="BE10" si="95">+BD10</f>
        <v>24</v>
      </c>
      <c r="BF10" s="252" t="str">
        <f t="shared" si="94"/>
        <v>24</v>
      </c>
      <c r="BG10" s="253" t="str">
        <f t="shared" ref="BG10" si="96">+BF10</f>
        <v>24</v>
      </c>
      <c r="BH10" s="252" t="str">
        <f t="shared" ref="BH10:BN10" si="97">RIGHT(BH2,2)</f>
        <v>24</v>
      </c>
      <c r="BI10" s="253" t="str">
        <f t="shared" ref="BI10" si="98">+BH10</f>
        <v>24</v>
      </c>
      <c r="BJ10" s="252" t="str">
        <f t="shared" ref="BJ10:BL10" si="99">RIGHT(BJ2,2)</f>
        <v>24</v>
      </c>
      <c r="BK10" s="253" t="str">
        <f t="shared" ref="BK10" si="100">+BJ10</f>
        <v>24</v>
      </c>
      <c r="BL10" s="252" t="str">
        <f t="shared" si="99"/>
        <v>24</v>
      </c>
      <c r="BM10" s="253" t="str">
        <f t="shared" ref="BM10" si="101">+BL10</f>
        <v>24</v>
      </c>
      <c r="BN10" s="252" t="str">
        <f t="shared" si="97"/>
        <v>24</v>
      </c>
      <c r="BO10" s="253" t="str">
        <f t="shared" ref="BO10" si="102">+BN10</f>
        <v>24</v>
      </c>
    </row>
    <row r="11" spans="1:67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21" t="s">
        <v>25</v>
      </c>
      <c r="BI11" s="22" t="s">
        <v>26</v>
      </c>
      <c r="BJ11" s="21" t="s">
        <v>25</v>
      </c>
      <c r="BK11" s="22" t="s">
        <v>26</v>
      </c>
      <c r="BL11" s="21" t="s">
        <v>25</v>
      </c>
      <c r="BM11" s="22" t="s">
        <v>26</v>
      </c>
      <c r="BN11" s="21" t="s">
        <v>25</v>
      </c>
      <c r="BO11" s="22" t="s">
        <v>26</v>
      </c>
    </row>
    <row r="12" spans="1:67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23">
        <v>4068.66</v>
      </c>
      <c r="O12" s="24"/>
      <c r="P12" s="23">
        <v>4068.66</v>
      </c>
      <c r="Q12" s="24"/>
      <c r="R12" s="23">
        <v>4068.66</v>
      </c>
      <c r="S12" s="24"/>
      <c r="T12" s="23">
        <v>4068.66</v>
      </c>
      <c r="U12" s="24"/>
      <c r="V12" s="23">
        <v>4068.66</v>
      </c>
      <c r="W12" s="24"/>
      <c r="X12" s="23">
        <v>4068.66</v>
      </c>
      <c r="Y12" s="24"/>
      <c r="Z12" s="23">
        <v>4068.66</v>
      </c>
      <c r="AA12" s="24"/>
      <c r="AB12" s="23">
        <v>4068.66</v>
      </c>
      <c r="AC12" s="24"/>
      <c r="AD12" s="23">
        <v>4068.66</v>
      </c>
      <c r="AE12" s="24"/>
      <c r="AF12" s="23">
        <v>4068.66</v>
      </c>
      <c r="AG12" s="24"/>
      <c r="AH12" s="23">
        <v>4068.66</v>
      </c>
      <c r="AI12" s="24"/>
      <c r="AJ12" s="23">
        <v>4068.66</v>
      </c>
      <c r="AK12" s="24"/>
      <c r="AL12" s="23">
        <v>4068.66</v>
      </c>
      <c r="AM12" s="24"/>
      <c r="AN12" s="23">
        <v>4068.66</v>
      </c>
      <c r="AO12" s="24"/>
      <c r="AP12" s="23">
        <v>4068.66</v>
      </c>
      <c r="AQ12" s="24"/>
      <c r="AR12" s="23">
        <v>4068.66</v>
      </c>
      <c r="AS12" s="24"/>
      <c r="AT12" s="23">
        <v>4068.66</v>
      </c>
      <c r="AU12" s="24"/>
      <c r="AV12" s="23">
        <v>4068.66</v>
      </c>
      <c r="AW12" s="24"/>
      <c r="AX12" s="23">
        <v>4068.66</v>
      </c>
      <c r="AY12" s="24"/>
      <c r="AZ12" s="23">
        <v>4068.66</v>
      </c>
      <c r="BA12" s="24"/>
      <c r="BB12" s="23">
        <v>4068.66</v>
      </c>
      <c r="BC12" s="24"/>
      <c r="BD12" s="23">
        <v>4068.66</v>
      </c>
      <c r="BE12" s="24"/>
      <c r="BF12" s="23">
        <v>4068.66</v>
      </c>
      <c r="BG12" s="24"/>
      <c r="BH12" s="23">
        <v>4068.66</v>
      </c>
      <c r="BI12" s="24"/>
      <c r="BJ12" s="23">
        <v>4068.66</v>
      </c>
      <c r="BK12" s="24"/>
      <c r="BL12" s="23">
        <v>4068.66</v>
      </c>
      <c r="BM12" s="24"/>
      <c r="BN12" s="23">
        <v>4068.66</v>
      </c>
      <c r="BO12" s="24"/>
    </row>
    <row r="13" spans="1:67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27"/>
      <c r="O13" s="28"/>
      <c r="P13" s="27"/>
      <c r="Q13" s="28"/>
      <c r="R13" s="27"/>
      <c r="S13" s="28"/>
      <c r="T13" s="27"/>
      <c r="U13" s="28"/>
      <c r="V13" s="27"/>
      <c r="W13" s="28"/>
      <c r="X13" s="27"/>
      <c r="Y13" s="28"/>
      <c r="Z13" s="27"/>
      <c r="AA13" s="28"/>
      <c r="AB13" s="27"/>
      <c r="AC13" s="28"/>
      <c r="AD13" s="27"/>
      <c r="AE13" s="28"/>
      <c r="AF13" s="27"/>
      <c r="AG13" s="28"/>
      <c r="AH13" s="27"/>
      <c r="AI13" s="28"/>
      <c r="AJ13" s="27"/>
      <c r="AK13" s="28"/>
      <c r="AL13" s="27"/>
      <c r="AM13" s="28"/>
      <c r="AN13" s="27"/>
      <c r="AO13" s="28"/>
      <c r="AP13" s="27"/>
      <c r="AQ13" s="28"/>
      <c r="AR13" s="27"/>
      <c r="AS13" s="28"/>
      <c r="AT13" s="27"/>
      <c r="AU13" s="28"/>
      <c r="AV13" s="27"/>
      <c r="AW13" s="28"/>
      <c r="AX13" s="27"/>
      <c r="AY13" s="28"/>
      <c r="AZ13" s="27"/>
      <c r="BA13" s="28"/>
      <c r="BB13" s="27"/>
      <c r="BC13" s="28"/>
      <c r="BD13" s="27"/>
      <c r="BE13" s="28"/>
      <c r="BF13" s="27"/>
      <c r="BG13" s="28"/>
      <c r="BH13" s="27"/>
      <c r="BI13" s="28"/>
      <c r="BJ13" s="27"/>
      <c r="BK13" s="28"/>
      <c r="BL13" s="27"/>
      <c r="BM13" s="28"/>
      <c r="BN13" s="27"/>
      <c r="BO13" s="28"/>
    </row>
    <row r="14" spans="1:67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8"/>
      <c r="AJ14" s="17"/>
      <c r="AK14" s="18"/>
      <c r="AL14" s="17"/>
      <c r="AM14" s="18"/>
      <c r="AN14" s="17"/>
      <c r="AO14" s="18"/>
      <c r="AP14" s="17"/>
      <c r="AQ14" s="18"/>
      <c r="AR14" s="17"/>
      <c r="AS14" s="18"/>
      <c r="AT14" s="17"/>
      <c r="AU14" s="18"/>
      <c r="AV14" s="17"/>
      <c r="AW14" s="18"/>
      <c r="AX14" s="17"/>
      <c r="AY14" s="18"/>
      <c r="AZ14" s="17"/>
      <c r="BA14" s="18"/>
      <c r="BB14" s="17"/>
      <c r="BC14" s="18"/>
      <c r="BD14" s="17"/>
      <c r="BE14" s="18"/>
      <c r="BF14" s="17"/>
      <c r="BG14" s="18"/>
      <c r="BH14" s="17"/>
      <c r="BI14" s="18"/>
      <c r="BJ14" s="17"/>
      <c r="BK14" s="18"/>
      <c r="BL14" s="17"/>
      <c r="BM14" s="18"/>
      <c r="BN14" s="17"/>
      <c r="BO14" s="18"/>
    </row>
    <row r="15" spans="1:67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2000</v>
      </c>
      <c r="G15" s="32">
        <f>+F15/F12</f>
        <v>0.4915623325615805</v>
      </c>
      <c r="H15" s="31">
        <v>2000</v>
      </c>
      <c r="I15" s="32">
        <f>+H15/H12</f>
        <v>0.4915623325615805</v>
      </c>
      <c r="J15" s="31">
        <v>2000</v>
      </c>
      <c r="K15" s="32">
        <f>+J15/J12</f>
        <v>0.4915623325615805</v>
      </c>
      <c r="L15" s="31">
        <v>2000</v>
      </c>
      <c r="M15" s="32">
        <f>+L15/L12</f>
        <v>0.4915623325615805</v>
      </c>
      <c r="N15" s="31">
        <v>2000</v>
      </c>
      <c r="O15" s="32">
        <f>+N15/N12</f>
        <v>0.4915623325615805</v>
      </c>
      <c r="P15" s="31">
        <v>2000</v>
      </c>
      <c r="Q15" s="32">
        <f>+P15/P12</f>
        <v>0.4915623325615805</v>
      </c>
      <c r="R15" s="31">
        <v>2000</v>
      </c>
      <c r="S15" s="32">
        <f>+R15/R12</f>
        <v>0.4915623325615805</v>
      </c>
      <c r="T15" s="31">
        <v>2000</v>
      </c>
      <c r="U15" s="32">
        <f>+T15/T12</f>
        <v>0.4915623325615805</v>
      </c>
      <c r="V15" s="31">
        <v>2000</v>
      </c>
      <c r="W15" s="32">
        <f>+V15/V12</f>
        <v>0.4915623325615805</v>
      </c>
      <c r="X15" s="31">
        <v>2000</v>
      </c>
      <c r="Y15" s="32">
        <f>+X15/X12</f>
        <v>0.4915623325615805</v>
      </c>
      <c r="Z15" s="31">
        <v>2000</v>
      </c>
      <c r="AA15" s="32">
        <f>+Z15/Z12</f>
        <v>0.4915623325615805</v>
      </c>
      <c r="AB15" s="31">
        <v>2000</v>
      </c>
      <c r="AC15" s="32">
        <f>+AB15/AB12</f>
        <v>0.4915623325615805</v>
      </c>
      <c r="AD15" s="31">
        <v>2000</v>
      </c>
      <c r="AE15" s="32">
        <f t="shared" ref="AE15" si="103">+AD15/AD12</f>
        <v>0.4915623325615805</v>
      </c>
      <c r="AF15" s="31">
        <v>2000</v>
      </c>
      <c r="AG15" s="32">
        <f t="shared" ref="AG15" si="104">+AF15/AF12</f>
        <v>0.4915623325615805</v>
      </c>
      <c r="AH15" s="31">
        <v>2000</v>
      </c>
      <c r="AI15" s="32">
        <f t="shared" ref="AI15" si="105">+AH15/AH12</f>
        <v>0.4915623325615805</v>
      </c>
      <c r="AJ15" s="31">
        <v>2000</v>
      </c>
      <c r="AK15" s="32">
        <f t="shared" ref="AK15" si="106">+AJ15/AJ12</f>
        <v>0.4915623325615805</v>
      </c>
      <c r="AL15" s="31">
        <v>2000</v>
      </c>
      <c r="AM15" s="32">
        <f t="shared" ref="AM15" si="107">+AL15/AL12</f>
        <v>0.4915623325615805</v>
      </c>
      <c r="AN15" s="31">
        <v>2000</v>
      </c>
      <c r="AO15" s="32">
        <f t="shared" ref="AO15" si="108">+AN15/AN12</f>
        <v>0.4915623325615805</v>
      </c>
      <c r="AP15" s="31">
        <v>2000</v>
      </c>
      <c r="AQ15" s="32">
        <f t="shared" ref="AQ15" si="109">+AP15/AP12</f>
        <v>0.4915623325615805</v>
      </c>
      <c r="AR15" s="31">
        <v>2000</v>
      </c>
      <c r="AS15" s="32">
        <f t="shared" ref="AS15" si="110">+AR15/AR12</f>
        <v>0.4915623325615805</v>
      </c>
      <c r="AT15" s="31">
        <v>2000</v>
      </c>
      <c r="AU15" s="32">
        <f t="shared" ref="AU15" si="111">+AT15/AT12</f>
        <v>0.4915623325615805</v>
      </c>
      <c r="AV15" s="31">
        <v>2000</v>
      </c>
      <c r="AW15" s="32">
        <f t="shared" ref="AW15" si="112">+AV15/AV12</f>
        <v>0.4915623325615805</v>
      </c>
      <c r="AX15" s="31">
        <v>2000</v>
      </c>
      <c r="AY15" s="32">
        <f t="shared" ref="AY15" si="113">+AX15/AX12</f>
        <v>0.4915623325615805</v>
      </c>
      <c r="AZ15" s="31">
        <v>2000</v>
      </c>
      <c r="BA15" s="32">
        <f t="shared" ref="BA15" si="114">+AZ15/AZ12</f>
        <v>0.4915623325615805</v>
      </c>
      <c r="BB15" s="31">
        <v>2000</v>
      </c>
      <c r="BC15" s="32">
        <f t="shared" ref="BC15" si="115">+BB15/BB12</f>
        <v>0.4915623325615805</v>
      </c>
      <c r="BD15" s="31">
        <v>2000</v>
      </c>
      <c r="BE15" s="32">
        <f t="shared" ref="BE15" si="116">+BD15/BD12</f>
        <v>0.4915623325615805</v>
      </c>
      <c r="BF15" s="31">
        <v>2000</v>
      </c>
      <c r="BG15" s="32">
        <f t="shared" ref="BG15" si="117">+BF15/BF12</f>
        <v>0.4915623325615805</v>
      </c>
      <c r="BH15" s="31">
        <v>2000</v>
      </c>
      <c r="BI15" s="32">
        <f t="shared" ref="BI15" si="118">+BH15/BH12</f>
        <v>0.4915623325615805</v>
      </c>
      <c r="BJ15" s="31">
        <v>2000</v>
      </c>
      <c r="BK15" s="32">
        <f t="shared" ref="BK15" si="119">+BJ15/BJ12</f>
        <v>0.4915623325615805</v>
      </c>
      <c r="BL15" s="31">
        <v>2000</v>
      </c>
      <c r="BM15" s="32">
        <f t="shared" ref="BM15" si="120">+BL15/BL12</f>
        <v>0.4915623325615805</v>
      </c>
      <c r="BN15" s="31">
        <v>2000</v>
      </c>
      <c r="BO15" s="32">
        <f t="shared" ref="BO15" si="121">+BN15/BN12</f>
        <v>0.4915623325615805</v>
      </c>
    </row>
    <row r="16" spans="1:67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AC16" si="122">+F15*F10</f>
        <v>48000</v>
      </c>
      <c r="G16" s="32">
        <f t="shared" si="122"/>
        <v>11.797495981477931</v>
      </c>
      <c r="H16" s="31">
        <f t="shared" si="122"/>
        <v>48000</v>
      </c>
      <c r="I16" s="32">
        <f t="shared" si="122"/>
        <v>11.797495981477931</v>
      </c>
      <c r="J16" s="31">
        <f t="shared" si="122"/>
        <v>48000</v>
      </c>
      <c r="K16" s="32">
        <f t="shared" si="122"/>
        <v>11.797495981477931</v>
      </c>
      <c r="L16" s="31">
        <f t="shared" si="122"/>
        <v>48000</v>
      </c>
      <c r="M16" s="32">
        <f t="shared" si="122"/>
        <v>11.797495981477931</v>
      </c>
      <c r="N16" s="31">
        <f t="shared" si="122"/>
        <v>48000</v>
      </c>
      <c r="O16" s="32">
        <f t="shared" si="122"/>
        <v>11.797495981477931</v>
      </c>
      <c r="P16" s="31">
        <f t="shared" si="122"/>
        <v>48000</v>
      </c>
      <c r="Q16" s="32">
        <f t="shared" si="122"/>
        <v>11.797495981477931</v>
      </c>
      <c r="R16" s="31">
        <f t="shared" si="122"/>
        <v>48000</v>
      </c>
      <c r="S16" s="32">
        <f t="shared" si="122"/>
        <v>11.797495981477931</v>
      </c>
      <c r="T16" s="31">
        <f t="shared" si="122"/>
        <v>48000</v>
      </c>
      <c r="U16" s="32">
        <f t="shared" si="122"/>
        <v>11.797495981477931</v>
      </c>
      <c r="V16" s="31">
        <f t="shared" si="122"/>
        <v>48000</v>
      </c>
      <c r="W16" s="32">
        <f t="shared" si="122"/>
        <v>11.797495981477931</v>
      </c>
      <c r="X16" s="31">
        <f t="shared" si="122"/>
        <v>48000</v>
      </c>
      <c r="Y16" s="32">
        <f t="shared" si="122"/>
        <v>11.797495981477931</v>
      </c>
      <c r="Z16" s="31">
        <f t="shared" si="122"/>
        <v>48000</v>
      </c>
      <c r="AA16" s="32">
        <f t="shared" si="122"/>
        <v>11.797495981477931</v>
      </c>
      <c r="AB16" s="31">
        <f t="shared" si="122"/>
        <v>48000</v>
      </c>
      <c r="AC16" s="32">
        <f t="shared" si="122"/>
        <v>11.797495981477931</v>
      </c>
      <c r="AD16" s="31">
        <f t="shared" ref="AD16:AI16" si="123">+AD15*AD10</f>
        <v>48000</v>
      </c>
      <c r="AE16" s="32">
        <f t="shared" si="123"/>
        <v>11.797495981477931</v>
      </c>
      <c r="AF16" s="31">
        <f t="shared" si="123"/>
        <v>48000</v>
      </c>
      <c r="AG16" s="32">
        <f t="shared" si="123"/>
        <v>11.797495981477931</v>
      </c>
      <c r="AH16" s="31">
        <f t="shared" si="123"/>
        <v>48000</v>
      </c>
      <c r="AI16" s="32">
        <f t="shared" si="123"/>
        <v>11.797495981477931</v>
      </c>
      <c r="AJ16" s="31">
        <f t="shared" ref="AJ16:AS16" si="124">+AJ15*AJ10</f>
        <v>48000</v>
      </c>
      <c r="AK16" s="32">
        <f t="shared" si="124"/>
        <v>11.797495981477931</v>
      </c>
      <c r="AL16" s="31">
        <f t="shared" si="124"/>
        <v>48000</v>
      </c>
      <c r="AM16" s="32">
        <f t="shared" si="124"/>
        <v>11.797495981477931</v>
      </c>
      <c r="AN16" s="31">
        <f t="shared" si="124"/>
        <v>48000</v>
      </c>
      <c r="AO16" s="32">
        <f t="shared" si="124"/>
        <v>11.797495981477931</v>
      </c>
      <c r="AP16" s="31">
        <f t="shared" si="124"/>
        <v>48000</v>
      </c>
      <c r="AQ16" s="32">
        <f t="shared" si="124"/>
        <v>11.797495981477931</v>
      </c>
      <c r="AR16" s="31">
        <f t="shared" si="124"/>
        <v>48000</v>
      </c>
      <c r="AS16" s="32">
        <f t="shared" si="124"/>
        <v>11.797495981477931</v>
      </c>
      <c r="AT16" s="31">
        <f t="shared" ref="AT16:AY16" si="125">+AT15*AT10</f>
        <v>48000</v>
      </c>
      <c r="AU16" s="32">
        <f t="shared" si="125"/>
        <v>11.797495981477931</v>
      </c>
      <c r="AV16" s="31">
        <f t="shared" si="125"/>
        <v>48000</v>
      </c>
      <c r="AW16" s="32">
        <f t="shared" si="125"/>
        <v>11.797495981477931</v>
      </c>
      <c r="AX16" s="31">
        <f t="shared" si="125"/>
        <v>48000</v>
      </c>
      <c r="AY16" s="32">
        <f t="shared" si="125"/>
        <v>11.797495981477931</v>
      </c>
      <c r="AZ16" s="31">
        <f t="shared" ref="AZ16:BA16" si="126">+AZ15*AZ10</f>
        <v>48000</v>
      </c>
      <c r="BA16" s="32">
        <f t="shared" si="126"/>
        <v>11.797495981477931</v>
      </c>
      <c r="BB16" s="31">
        <f t="shared" ref="BB16:BC16" si="127">+BB15*BB10</f>
        <v>48000</v>
      </c>
      <c r="BC16" s="32">
        <f t="shared" si="127"/>
        <v>11.797495981477931</v>
      </c>
      <c r="BD16" s="31">
        <f t="shared" ref="BD16:BE16" si="128">+BD15*BD10</f>
        <v>48000</v>
      </c>
      <c r="BE16" s="32">
        <f t="shared" si="128"/>
        <v>11.797495981477931</v>
      </c>
      <c r="BF16" s="31">
        <f t="shared" ref="BF16:BG16" si="129">+BF15*BF10</f>
        <v>48000</v>
      </c>
      <c r="BG16" s="32">
        <f t="shared" si="129"/>
        <v>11.797495981477931</v>
      </c>
      <c r="BH16" s="31">
        <f t="shared" ref="BH16:BI16" si="130">+BH15*BH10</f>
        <v>48000</v>
      </c>
      <c r="BI16" s="32">
        <f t="shared" si="130"/>
        <v>11.797495981477931</v>
      </c>
      <c r="BJ16" s="31">
        <f t="shared" ref="BJ16:BK16" si="131">+BJ15*BJ10</f>
        <v>48000</v>
      </c>
      <c r="BK16" s="32">
        <f t="shared" si="131"/>
        <v>11.797495981477931</v>
      </c>
      <c r="BL16" s="31">
        <f t="shared" ref="BL16:BM16" si="132">+BL15*BL10</f>
        <v>48000</v>
      </c>
      <c r="BM16" s="32">
        <f t="shared" si="132"/>
        <v>11.797495981477931</v>
      </c>
      <c r="BN16" s="31">
        <f t="shared" ref="BN16:BO16" si="133">+BN15*BN10</f>
        <v>48000</v>
      </c>
      <c r="BO16" s="32">
        <f t="shared" si="133"/>
        <v>11.797495981477931</v>
      </c>
    </row>
    <row r="17" spans="1:67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23">
        <v>0</v>
      </c>
      <c r="O17" s="24">
        <v>0</v>
      </c>
      <c r="P17" s="23">
        <v>0</v>
      </c>
      <c r="Q17" s="24">
        <v>0</v>
      </c>
      <c r="R17" s="23">
        <v>0</v>
      </c>
      <c r="S17" s="24">
        <v>0</v>
      </c>
      <c r="T17" s="23">
        <v>0</v>
      </c>
      <c r="U17" s="24">
        <v>0</v>
      </c>
      <c r="V17" s="23">
        <v>0</v>
      </c>
      <c r="W17" s="24">
        <v>0</v>
      </c>
      <c r="X17" s="23">
        <v>0</v>
      </c>
      <c r="Y17" s="24">
        <v>0</v>
      </c>
      <c r="Z17" s="23">
        <v>0</v>
      </c>
      <c r="AA17" s="24">
        <v>0</v>
      </c>
      <c r="AB17" s="23">
        <v>0</v>
      </c>
      <c r="AC17" s="24">
        <v>0</v>
      </c>
      <c r="AD17" s="23">
        <v>0</v>
      </c>
      <c r="AE17" s="24">
        <v>0</v>
      </c>
      <c r="AF17" s="23">
        <v>0</v>
      </c>
      <c r="AG17" s="24">
        <v>0</v>
      </c>
      <c r="AH17" s="23">
        <v>0</v>
      </c>
      <c r="AI17" s="24">
        <v>0</v>
      </c>
      <c r="AJ17" s="23">
        <v>0</v>
      </c>
      <c r="AK17" s="24">
        <v>0</v>
      </c>
      <c r="AL17" s="23">
        <v>0</v>
      </c>
      <c r="AM17" s="24">
        <v>0</v>
      </c>
      <c r="AN17" s="23">
        <v>0</v>
      </c>
      <c r="AO17" s="24">
        <v>0</v>
      </c>
      <c r="AP17" s="23">
        <v>0</v>
      </c>
      <c r="AQ17" s="24">
        <v>0</v>
      </c>
      <c r="AR17" s="23">
        <v>0</v>
      </c>
      <c r="AS17" s="24">
        <v>0</v>
      </c>
      <c r="AT17" s="23">
        <v>0</v>
      </c>
      <c r="AU17" s="24">
        <v>0</v>
      </c>
      <c r="AV17" s="23">
        <v>0</v>
      </c>
      <c r="AW17" s="24">
        <v>0</v>
      </c>
      <c r="AX17" s="23">
        <v>0</v>
      </c>
      <c r="AY17" s="24">
        <v>0</v>
      </c>
      <c r="AZ17" s="23">
        <v>0</v>
      </c>
      <c r="BA17" s="24">
        <v>0</v>
      </c>
      <c r="BB17" s="23">
        <v>0</v>
      </c>
      <c r="BC17" s="24">
        <v>0</v>
      </c>
      <c r="BD17" s="23">
        <v>0</v>
      </c>
      <c r="BE17" s="24">
        <v>0</v>
      </c>
      <c r="BF17" s="23">
        <v>0</v>
      </c>
      <c r="BG17" s="24">
        <v>0</v>
      </c>
      <c r="BH17" s="23">
        <v>0</v>
      </c>
      <c r="BI17" s="24">
        <v>0</v>
      </c>
      <c r="BJ17" s="23">
        <v>0</v>
      </c>
      <c r="BK17" s="24">
        <v>0</v>
      </c>
      <c r="BL17" s="23">
        <v>0</v>
      </c>
      <c r="BM17" s="24">
        <v>0</v>
      </c>
      <c r="BN17" s="23">
        <v>0</v>
      </c>
      <c r="BO17" s="24">
        <v>0</v>
      </c>
    </row>
    <row r="18" spans="1:67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6">
        <v>0</v>
      </c>
      <c r="O18" s="37">
        <v>0</v>
      </c>
      <c r="P18" s="36">
        <v>0</v>
      </c>
      <c r="Q18" s="37">
        <v>0</v>
      </c>
      <c r="R18" s="36">
        <v>0</v>
      </c>
      <c r="S18" s="37">
        <v>0</v>
      </c>
      <c r="T18" s="36">
        <v>0</v>
      </c>
      <c r="U18" s="37">
        <v>0</v>
      </c>
      <c r="V18" s="36">
        <v>0</v>
      </c>
      <c r="W18" s="37">
        <v>0</v>
      </c>
      <c r="X18" s="36">
        <v>0</v>
      </c>
      <c r="Y18" s="37">
        <v>0</v>
      </c>
      <c r="Z18" s="36">
        <v>0</v>
      </c>
      <c r="AA18" s="37">
        <v>0</v>
      </c>
      <c r="AB18" s="36">
        <v>0</v>
      </c>
      <c r="AC18" s="37">
        <v>0</v>
      </c>
      <c r="AD18" s="36">
        <v>0</v>
      </c>
      <c r="AE18" s="37">
        <v>0</v>
      </c>
      <c r="AF18" s="36">
        <v>0</v>
      </c>
      <c r="AG18" s="37">
        <v>0</v>
      </c>
      <c r="AH18" s="36">
        <v>0</v>
      </c>
      <c r="AI18" s="37">
        <v>0</v>
      </c>
      <c r="AJ18" s="36">
        <v>0</v>
      </c>
      <c r="AK18" s="37">
        <v>0</v>
      </c>
      <c r="AL18" s="36">
        <v>0</v>
      </c>
      <c r="AM18" s="37">
        <v>0</v>
      </c>
      <c r="AN18" s="36">
        <v>0</v>
      </c>
      <c r="AO18" s="37">
        <v>0</v>
      </c>
      <c r="AP18" s="36">
        <v>0</v>
      </c>
      <c r="AQ18" s="37">
        <v>0</v>
      </c>
      <c r="AR18" s="36">
        <v>0</v>
      </c>
      <c r="AS18" s="37">
        <v>0</v>
      </c>
      <c r="AT18" s="36">
        <v>0</v>
      </c>
      <c r="AU18" s="37">
        <v>0</v>
      </c>
      <c r="AV18" s="36">
        <v>0</v>
      </c>
      <c r="AW18" s="37">
        <v>0</v>
      </c>
      <c r="AX18" s="36">
        <v>0</v>
      </c>
      <c r="AY18" s="37">
        <v>0</v>
      </c>
      <c r="AZ18" s="36">
        <v>0</v>
      </c>
      <c r="BA18" s="37">
        <v>0</v>
      </c>
      <c r="BB18" s="36">
        <v>0</v>
      </c>
      <c r="BC18" s="37">
        <v>0</v>
      </c>
      <c r="BD18" s="36">
        <v>0</v>
      </c>
      <c r="BE18" s="37">
        <v>0</v>
      </c>
      <c r="BF18" s="36">
        <v>0</v>
      </c>
      <c r="BG18" s="37">
        <v>0</v>
      </c>
      <c r="BH18" s="36">
        <v>0</v>
      </c>
      <c r="BI18" s="37">
        <v>0</v>
      </c>
      <c r="BJ18" s="36">
        <v>0</v>
      </c>
      <c r="BK18" s="37">
        <v>0</v>
      </c>
      <c r="BL18" s="36">
        <v>0</v>
      </c>
      <c r="BM18" s="37">
        <v>0</v>
      </c>
      <c r="BN18" s="36">
        <v>0</v>
      </c>
      <c r="BO18" s="37">
        <v>0</v>
      </c>
    </row>
    <row r="19" spans="1:67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AC19" si="134">F15-F17</f>
        <v>2000</v>
      </c>
      <c r="G19" s="32">
        <f t="shared" si="134"/>
        <v>0.4915623325615805</v>
      </c>
      <c r="H19" s="38">
        <f t="shared" si="134"/>
        <v>2000</v>
      </c>
      <c r="I19" s="32">
        <f t="shared" si="134"/>
        <v>0.4915623325615805</v>
      </c>
      <c r="J19" s="38">
        <f t="shared" si="134"/>
        <v>2000</v>
      </c>
      <c r="K19" s="32">
        <f t="shared" si="134"/>
        <v>0.4915623325615805</v>
      </c>
      <c r="L19" s="38">
        <f t="shared" si="134"/>
        <v>2000</v>
      </c>
      <c r="M19" s="32">
        <f t="shared" si="134"/>
        <v>0.4915623325615805</v>
      </c>
      <c r="N19" s="38">
        <f t="shared" si="134"/>
        <v>2000</v>
      </c>
      <c r="O19" s="32">
        <f t="shared" si="134"/>
        <v>0.4915623325615805</v>
      </c>
      <c r="P19" s="38">
        <f t="shared" si="134"/>
        <v>2000</v>
      </c>
      <c r="Q19" s="32">
        <f t="shared" si="134"/>
        <v>0.4915623325615805</v>
      </c>
      <c r="R19" s="38">
        <f t="shared" si="134"/>
        <v>2000</v>
      </c>
      <c r="S19" s="32">
        <f t="shared" si="134"/>
        <v>0.4915623325615805</v>
      </c>
      <c r="T19" s="38">
        <f t="shared" si="134"/>
        <v>2000</v>
      </c>
      <c r="U19" s="32">
        <f t="shared" si="134"/>
        <v>0.4915623325615805</v>
      </c>
      <c r="V19" s="38">
        <f t="shared" si="134"/>
        <v>2000</v>
      </c>
      <c r="W19" s="32">
        <f t="shared" si="134"/>
        <v>0.4915623325615805</v>
      </c>
      <c r="X19" s="38">
        <f t="shared" si="134"/>
        <v>2000</v>
      </c>
      <c r="Y19" s="32">
        <f t="shared" si="134"/>
        <v>0.4915623325615805</v>
      </c>
      <c r="Z19" s="38">
        <f t="shared" si="134"/>
        <v>2000</v>
      </c>
      <c r="AA19" s="32">
        <f t="shared" si="134"/>
        <v>0.4915623325615805</v>
      </c>
      <c r="AB19" s="38">
        <f t="shared" si="134"/>
        <v>2000</v>
      </c>
      <c r="AC19" s="32">
        <f t="shared" si="134"/>
        <v>0.4915623325615805</v>
      </c>
      <c r="AD19" s="38">
        <f t="shared" ref="AD19:AI19" si="135">AD15-AD17</f>
        <v>2000</v>
      </c>
      <c r="AE19" s="32">
        <f t="shared" si="135"/>
        <v>0.4915623325615805</v>
      </c>
      <c r="AF19" s="38">
        <f t="shared" si="135"/>
        <v>2000</v>
      </c>
      <c r="AG19" s="32">
        <f t="shared" si="135"/>
        <v>0.4915623325615805</v>
      </c>
      <c r="AH19" s="38">
        <f t="shared" si="135"/>
        <v>2000</v>
      </c>
      <c r="AI19" s="32">
        <f t="shared" si="135"/>
        <v>0.4915623325615805</v>
      </c>
      <c r="AJ19" s="38">
        <f t="shared" ref="AJ19:AS19" si="136">AJ15-AJ17</f>
        <v>2000</v>
      </c>
      <c r="AK19" s="32">
        <f t="shared" si="136"/>
        <v>0.4915623325615805</v>
      </c>
      <c r="AL19" s="38">
        <f t="shared" si="136"/>
        <v>2000</v>
      </c>
      <c r="AM19" s="32">
        <f t="shared" si="136"/>
        <v>0.4915623325615805</v>
      </c>
      <c r="AN19" s="38">
        <f t="shared" si="136"/>
        <v>2000</v>
      </c>
      <c r="AO19" s="32">
        <f t="shared" si="136"/>
        <v>0.4915623325615805</v>
      </c>
      <c r="AP19" s="38">
        <f t="shared" si="136"/>
        <v>2000</v>
      </c>
      <c r="AQ19" s="32">
        <f t="shared" si="136"/>
        <v>0.4915623325615805</v>
      </c>
      <c r="AR19" s="38">
        <f t="shared" si="136"/>
        <v>2000</v>
      </c>
      <c r="AS19" s="32">
        <f t="shared" si="136"/>
        <v>0.4915623325615805</v>
      </c>
      <c r="AT19" s="38">
        <f t="shared" ref="AT19:AY19" si="137">AT15-AT17</f>
        <v>2000</v>
      </c>
      <c r="AU19" s="32">
        <f t="shared" si="137"/>
        <v>0.4915623325615805</v>
      </c>
      <c r="AV19" s="38">
        <f t="shared" si="137"/>
        <v>2000</v>
      </c>
      <c r="AW19" s="32">
        <f t="shared" si="137"/>
        <v>0.4915623325615805</v>
      </c>
      <c r="AX19" s="38">
        <f t="shared" si="137"/>
        <v>2000</v>
      </c>
      <c r="AY19" s="32">
        <f t="shared" si="137"/>
        <v>0.4915623325615805</v>
      </c>
      <c r="AZ19" s="38">
        <f t="shared" ref="AZ19:BA19" si="138">AZ15-AZ17</f>
        <v>2000</v>
      </c>
      <c r="BA19" s="32">
        <f t="shared" si="138"/>
        <v>0.4915623325615805</v>
      </c>
      <c r="BB19" s="38">
        <f t="shared" ref="BB19:BC19" si="139">BB15-BB17</f>
        <v>2000</v>
      </c>
      <c r="BC19" s="32">
        <f t="shared" si="139"/>
        <v>0.4915623325615805</v>
      </c>
      <c r="BD19" s="38">
        <f t="shared" ref="BD19:BE19" si="140">BD15-BD17</f>
        <v>2000</v>
      </c>
      <c r="BE19" s="32">
        <f t="shared" si="140"/>
        <v>0.4915623325615805</v>
      </c>
      <c r="BF19" s="38">
        <f t="shared" ref="BF19:BG19" si="141">BF15-BF17</f>
        <v>2000</v>
      </c>
      <c r="BG19" s="32">
        <f t="shared" si="141"/>
        <v>0.4915623325615805</v>
      </c>
      <c r="BH19" s="38">
        <f t="shared" ref="BH19:BI19" si="142">BH15-BH17</f>
        <v>2000</v>
      </c>
      <c r="BI19" s="32">
        <f t="shared" si="142"/>
        <v>0.4915623325615805</v>
      </c>
      <c r="BJ19" s="38">
        <f t="shared" ref="BJ19:BK19" si="143">BJ15-BJ17</f>
        <v>2000</v>
      </c>
      <c r="BK19" s="32">
        <f t="shared" si="143"/>
        <v>0.4915623325615805</v>
      </c>
      <c r="BL19" s="38">
        <f t="shared" ref="BL19:BM19" si="144">BL15-BL17</f>
        <v>2000</v>
      </c>
      <c r="BM19" s="32">
        <f t="shared" si="144"/>
        <v>0.4915623325615805</v>
      </c>
      <c r="BN19" s="38">
        <f t="shared" ref="BN19:BO19" si="145">BN15-BN17</f>
        <v>2000</v>
      </c>
      <c r="BO19" s="32">
        <f t="shared" si="145"/>
        <v>0.4915623325615805</v>
      </c>
    </row>
    <row r="20" spans="1:67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AC20" si="146">1/(1+F18)*F16</f>
        <v>48000</v>
      </c>
      <c r="G20" s="40">
        <f t="shared" si="146"/>
        <v>11.797495981477931</v>
      </c>
      <c r="H20" s="39">
        <f t="shared" si="146"/>
        <v>48000</v>
      </c>
      <c r="I20" s="40">
        <f t="shared" si="146"/>
        <v>11.797495981477931</v>
      </c>
      <c r="J20" s="39">
        <f t="shared" si="146"/>
        <v>48000</v>
      </c>
      <c r="K20" s="40">
        <f t="shared" si="146"/>
        <v>11.797495981477931</v>
      </c>
      <c r="L20" s="39">
        <f t="shared" si="146"/>
        <v>48000</v>
      </c>
      <c r="M20" s="40">
        <f t="shared" si="146"/>
        <v>11.797495981477931</v>
      </c>
      <c r="N20" s="39">
        <f t="shared" si="146"/>
        <v>48000</v>
      </c>
      <c r="O20" s="40">
        <f t="shared" si="146"/>
        <v>11.797495981477931</v>
      </c>
      <c r="P20" s="39">
        <f t="shared" si="146"/>
        <v>48000</v>
      </c>
      <c r="Q20" s="40">
        <f t="shared" si="146"/>
        <v>11.797495981477931</v>
      </c>
      <c r="R20" s="39">
        <f t="shared" si="146"/>
        <v>48000</v>
      </c>
      <c r="S20" s="40">
        <f t="shared" si="146"/>
        <v>11.797495981477931</v>
      </c>
      <c r="T20" s="39">
        <f t="shared" si="146"/>
        <v>48000</v>
      </c>
      <c r="U20" s="40">
        <f t="shared" si="146"/>
        <v>11.797495981477931</v>
      </c>
      <c r="V20" s="39">
        <f t="shared" si="146"/>
        <v>48000</v>
      </c>
      <c r="W20" s="40">
        <f t="shared" si="146"/>
        <v>11.797495981477931</v>
      </c>
      <c r="X20" s="39">
        <f t="shared" si="146"/>
        <v>48000</v>
      </c>
      <c r="Y20" s="40">
        <f t="shared" si="146"/>
        <v>11.797495981477931</v>
      </c>
      <c r="Z20" s="39">
        <f t="shared" si="146"/>
        <v>48000</v>
      </c>
      <c r="AA20" s="40">
        <f t="shared" si="146"/>
        <v>11.797495981477931</v>
      </c>
      <c r="AB20" s="39">
        <f t="shared" si="146"/>
        <v>48000</v>
      </c>
      <c r="AC20" s="40">
        <f t="shared" si="146"/>
        <v>11.797495981477931</v>
      </c>
      <c r="AD20" s="39">
        <f t="shared" ref="AD20:AI20" si="147">1/(1+AD18)*AD16</f>
        <v>48000</v>
      </c>
      <c r="AE20" s="40">
        <f t="shared" si="147"/>
        <v>11.797495981477931</v>
      </c>
      <c r="AF20" s="39">
        <f t="shared" si="147"/>
        <v>48000</v>
      </c>
      <c r="AG20" s="40">
        <f t="shared" si="147"/>
        <v>11.797495981477931</v>
      </c>
      <c r="AH20" s="39">
        <f t="shared" si="147"/>
        <v>48000</v>
      </c>
      <c r="AI20" s="40">
        <f t="shared" si="147"/>
        <v>11.797495981477931</v>
      </c>
      <c r="AJ20" s="39">
        <f t="shared" ref="AJ20:AS20" si="148">1/(1+AJ18)*AJ16</f>
        <v>48000</v>
      </c>
      <c r="AK20" s="40">
        <f t="shared" si="148"/>
        <v>11.797495981477931</v>
      </c>
      <c r="AL20" s="39">
        <f t="shared" si="148"/>
        <v>48000</v>
      </c>
      <c r="AM20" s="40">
        <f t="shared" si="148"/>
        <v>11.797495981477931</v>
      </c>
      <c r="AN20" s="39">
        <f t="shared" si="148"/>
        <v>48000</v>
      </c>
      <c r="AO20" s="40">
        <f t="shared" si="148"/>
        <v>11.797495981477931</v>
      </c>
      <c r="AP20" s="39">
        <f t="shared" si="148"/>
        <v>48000</v>
      </c>
      <c r="AQ20" s="40">
        <f t="shared" si="148"/>
        <v>11.797495981477931</v>
      </c>
      <c r="AR20" s="39">
        <f t="shared" si="148"/>
        <v>48000</v>
      </c>
      <c r="AS20" s="40">
        <f t="shared" si="148"/>
        <v>11.797495981477931</v>
      </c>
      <c r="AT20" s="39">
        <f t="shared" ref="AT20:AY20" si="149">1/(1+AT18)*AT16</f>
        <v>48000</v>
      </c>
      <c r="AU20" s="40">
        <f t="shared" si="149"/>
        <v>11.797495981477931</v>
      </c>
      <c r="AV20" s="39">
        <f t="shared" si="149"/>
        <v>48000</v>
      </c>
      <c r="AW20" s="40">
        <f t="shared" si="149"/>
        <v>11.797495981477931</v>
      </c>
      <c r="AX20" s="39">
        <f t="shared" si="149"/>
        <v>48000</v>
      </c>
      <c r="AY20" s="40">
        <f t="shared" si="149"/>
        <v>11.797495981477931</v>
      </c>
      <c r="AZ20" s="39">
        <f t="shared" ref="AZ20:BA20" si="150">1/(1+AZ18)*AZ16</f>
        <v>48000</v>
      </c>
      <c r="BA20" s="40">
        <f t="shared" si="150"/>
        <v>11.797495981477931</v>
      </c>
      <c r="BB20" s="39">
        <f t="shared" ref="BB20:BC20" si="151">1/(1+BB18)*BB16</f>
        <v>48000</v>
      </c>
      <c r="BC20" s="40">
        <f t="shared" si="151"/>
        <v>11.797495981477931</v>
      </c>
      <c r="BD20" s="39">
        <f t="shared" ref="BD20:BE20" si="152">1/(1+BD18)*BD16</f>
        <v>48000</v>
      </c>
      <c r="BE20" s="40">
        <f t="shared" si="152"/>
        <v>11.797495981477931</v>
      </c>
      <c r="BF20" s="39">
        <f t="shared" ref="BF20:BG20" si="153">1/(1+BF18)*BF16</f>
        <v>48000</v>
      </c>
      <c r="BG20" s="40">
        <f t="shared" si="153"/>
        <v>11.797495981477931</v>
      </c>
      <c r="BH20" s="39">
        <f t="shared" ref="BH20:BI20" si="154">1/(1+BH18)*BH16</f>
        <v>48000</v>
      </c>
      <c r="BI20" s="40">
        <f t="shared" si="154"/>
        <v>11.797495981477931</v>
      </c>
      <c r="BJ20" s="39">
        <f t="shared" ref="BJ20:BK20" si="155">1/(1+BJ18)*BJ16</f>
        <v>48000</v>
      </c>
      <c r="BK20" s="40">
        <f t="shared" si="155"/>
        <v>11.797495981477931</v>
      </c>
      <c r="BL20" s="39">
        <f t="shared" ref="BL20:BM20" si="156">1/(1+BL18)*BL16</f>
        <v>48000</v>
      </c>
      <c r="BM20" s="40">
        <f t="shared" si="156"/>
        <v>11.797495981477931</v>
      </c>
      <c r="BN20" s="39">
        <f t="shared" ref="BN20:BO20" si="157">1/(1+BN18)*BN16</f>
        <v>48000</v>
      </c>
      <c r="BO20" s="40">
        <f t="shared" si="157"/>
        <v>11.797495981477931</v>
      </c>
    </row>
    <row r="21" spans="1:67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27"/>
      <c r="O21" s="41"/>
      <c r="P21" s="27"/>
      <c r="Q21" s="41"/>
      <c r="R21" s="27"/>
      <c r="S21" s="41"/>
      <c r="T21" s="27"/>
      <c r="U21" s="41"/>
      <c r="V21" s="27"/>
      <c r="W21" s="41"/>
      <c r="X21" s="27"/>
      <c r="Y21" s="41"/>
      <c r="Z21" s="27"/>
      <c r="AA21" s="41"/>
      <c r="AB21" s="27"/>
      <c r="AC21" s="41"/>
      <c r="AD21" s="27"/>
      <c r="AE21" s="41"/>
      <c r="AF21" s="27"/>
      <c r="AG21" s="41"/>
      <c r="AH21" s="27"/>
      <c r="AI21" s="41"/>
      <c r="AJ21" s="27"/>
      <c r="AK21" s="41"/>
      <c r="AL21" s="27"/>
      <c r="AM21" s="41"/>
      <c r="AN21" s="27"/>
      <c r="AO21" s="41"/>
      <c r="AP21" s="27"/>
      <c r="AQ21" s="41"/>
      <c r="AR21" s="27"/>
      <c r="AS21" s="41"/>
      <c r="AT21" s="27"/>
      <c r="AU21" s="41"/>
      <c r="AV21" s="27"/>
      <c r="AW21" s="41"/>
      <c r="AX21" s="27"/>
      <c r="AY21" s="41"/>
      <c r="AZ21" s="27"/>
      <c r="BA21" s="41"/>
      <c r="BB21" s="27"/>
      <c r="BC21" s="41"/>
      <c r="BD21" s="27"/>
      <c r="BE21" s="41"/>
      <c r="BF21" s="27"/>
      <c r="BG21" s="41"/>
      <c r="BH21" s="27"/>
      <c r="BI21" s="41"/>
      <c r="BJ21" s="27"/>
      <c r="BK21" s="41"/>
      <c r="BL21" s="27"/>
      <c r="BM21" s="41"/>
      <c r="BN21" s="27"/>
      <c r="BO21" s="41"/>
    </row>
    <row r="22" spans="1:67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42"/>
      <c r="O22" s="43"/>
      <c r="P22" s="42"/>
      <c r="Q22" s="43"/>
      <c r="R22" s="42"/>
      <c r="S22" s="43"/>
      <c r="T22" s="42"/>
      <c r="U22" s="43"/>
      <c r="V22" s="42"/>
      <c r="W22" s="43"/>
      <c r="X22" s="42"/>
      <c r="Y22" s="43"/>
      <c r="Z22" s="42"/>
      <c r="AA22" s="43"/>
      <c r="AB22" s="42"/>
      <c r="AC22" s="43"/>
      <c r="AD22" s="42"/>
      <c r="AE22" s="43"/>
      <c r="AF22" s="42"/>
      <c r="AG22" s="43"/>
      <c r="AH22" s="42"/>
      <c r="AI22" s="43"/>
      <c r="AJ22" s="42"/>
      <c r="AK22" s="43"/>
      <c r="AL22" s="42"/>
      <c r="AM22" s="43"/>
      <c r="AN22" s="42"/>
      <c r="AO22" s="43"/>
      <c r="AP22" s="42"/>
      <c r="AQ22" s="43"/>
      <c r="AR22" s="42"/>
      <c r="AS22" s="43"/>
      <c r="AT22" s="42"/>
      <c r="AU22" s="43"/>
      <c r="AV22" s="42"/>
      <c r="AW22" s="43"/>
      <c r="AX22" s="42"/>
      <c r="AY22" s="43"/>
      <c r="AZ22" s="42"/>
      <c r="BA22" s="43"/>
      <c r="BB22" s="42"/>
      <c r="BC22" s="43"/>
      <c r="BD22" s="42"/>
      <c r="BE22" s="43"/>
      <c r="BF22" s="42"/>
      <c r="BG22" s="43"/>
      <c r="BH22" s="42"/>
      <c r="BI22" s="43"/>
      <c r="BJ22" s="42"/>
      <c r="BK22" s="43"/>
      <c r="BL22" s="42"/>
      <c r="BM22" s="43"/>
      <c r="BN22" s="42"/>
      <c r="BO22" s="43"/>
    </row>
    <row r="23" spans="1:67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AC23" si="158">F24/F20</f>
        <v>0.24062500000000001</v>
      </c>
      <c r="G23" s="48">
        <f t="shared" si="158"/>
        <v>0.24062499999999995</v>
      </c>
      <c r="H23" s="47">
        <f t="shared" si="158"/>
        <v>0.24062500000000001</v>
      </c>
      <c r="I23" s="48">
        <f t="shared" si="158"/>
        <v>0.24062499999999995</v>
      </c>
      <c r="J23" s="47">
        <f t="shared" si="158"/>
        <v>0.24062500000000001</v>
      </c>
      <c r="K23" s="48">
        <f t="shared" si="158"/>
        <v>0.24062499999999995</v>
      </c>
      <c r="L23" s="47">
        <f t="shared" si="158"/>
        <v>0.24062500000000001</v>
      </c>
      <c r="M23" s="48">
        <f t="shared" si="158"/>
        <v>0.24062499999999995</v>
      </c>
      <c r="N23" s="47">
        <f t="shared" si="158"/>
        <v>0.24062500000000001</v>
      </c>
      <c r="O23" s="48">
        <f t="shared" si="158"/>
        <v>0.24062499999999995</v>
      </c>
      <c r="P23" s="47">
        <f t="shared" si="158"/>
        <v>0.24062500000000001</v>
      </c>
      <c r="Q23" s="48">
        <f t="shared" si="158"/>
        <v>0.24062499999999995</v>
      </c>
      <c r="R23" s="47">
        <f t="shared" si="158"/>
        <v>0.24062500000000001</v>
      </c>
      <c r="S23" s="48">
        <f t="shared" si="158"/>
        <v>0.24062499999999995</v>
      </c>
      <c r="T23" s="47">
        <f t="shared" si="158"/>
        <v>0.24062500000000001</v>
      </c>
      <c r="U23" s="48">
        <f t="shared" si="158"/>
        <v>0.24062499999999995</v>
      </c>
      <c r="V23" s="47">
        <f t="shared" si="158"/>
        <v>0.24062500000000001</v>
      </c>
      <c r="W23" s="48">
        <f t="shared" si="158"/>
        <v>0.24062499999999995</v>
      </c>
      <c r="X23" s="47">
        <f t="shared" si="158"/>
        <v>0.24062500000000001</v>
      </c>
      <c r="Y23" s="48">
        <f t="shared" si="158"/>
        <v>0.24062499999999995</v>
      </c>
      <c r="Z23" s="47">
        <f t="shared" si="158"/>
        <v>0.24062500000000001</v>
      </c>
      <c r="AA23" s="48">
        <f t="shared" si="158"/>
        <v>0.24062499999999995</v>
      </c>
      <c r="AB23" s="47">
        <f t="shared" si="158"/>
        <v>0.24062500000000001</v>
      </c>
      <c r="AC23" s="48">
        <f t="shared" si="158"/>
        <v>0.24062499999999995</v>
      </c>
      <c r="AD23" s="47">
        <f t="shared" ref="AD23:AI23" si="159">AD24/AD20</f>
        <v>0.24062500000000001</v>
      </c>
      <c r="AE23" s="48">
        <f t="shared" si="159"/>
        <v>0.24062499999999995</v>
      </c>
      <c r="AF23" s="47">
        <f t="shared" si="159"/>
        <v>0.24062500000000001</v>
      </c>
      <c r="AG23" s="48">
        <f t="shared" si="159"/>
        <v>0.24062499999999995</v>
      </c>
      <c r="AH23" s="47">
        <f t="shared" si="159"/>
        <v>0.24062500000000001</v>
      </c>
      <c r="AI23" s="48">
        <f t="shared" si="159"/>
        <v>0.24062499999999995</v>
      </c>
      <c r="AJ23" s="47">
        <f t="shared" ref="AJ23:AS23" si="160">AJ24/AJ20</f>
        <v>0.24062500000000001</v>
      </c>
      <c r="AK23" s="48">
        <f t="shared" si="160"/>
        <v>0.24062499999999995</v>
      </c>
      <c r="AL23" s="47">
        <f t="shared" si="160"/>
        <v>0.24062500000000001</v>
      </c>
      <c r="AM23" s="48">
        <f t="shared" si="160"/>
        <v>0.24062499999999995</v>
      </c>
      <c r="AN23" s="47">
        <f t="shared" si="160"/>
        <v>0.24062500000000001</v>
      </c>
      <c r="AO23" s="48">
        <f t="shared" si="160"/>
        <v>0.24062499999999995</v>
      </c>
      <c r="AP23" s="47">
        <f t="shared" si="160"/>
        <v>0.24062500000000001</v>
      </c>
      <c r="AQ23" s="48">
        <f t="shared" si="160"/>
        <v>0.24062499999999995</v>
      </c>
      <c r="AR23" s="47">
        <f t="shared" si="160"/>
        <v>0.24062500000000001</v>
      </c>
      <c r="AS23" s="48">
        <f t="shared" si="160"/>
        <v>0.24062499999999995</v>
      </c>
      <c r="AT23" s="47">
        <f t="shared" ref="AT23:AY23" si="161">AT24/AT20</f>
        <v>0.24062500000000001</v>
      </c>
      <c r="AU23" s="48">
        <f t="shared" si="161"/>
        <v>0.24062499999999995</v>
      </c>
      <c r="AV23" s="47">
        <f t="shared" si="161"/>
        <v>0.24062500000000001</v>
      </c>
      <c r="AW23" s="48">
        <f t="shared" si="161"/>
        <v>0.24062499999999995</v>
      </c>
      <c r="AX23" s="47">
        <f t="shared" si="161"/>
        <v>0.24062500000000001</v>
      </c>
      <c r="AY23" s="48">
        <f t="shared" si="161"/>
        <v>0.24062499999999995</v>
      </c>
      <c r="AZ23" s="47">
        <f t="shared" ref="AZ23:BA23" si="162">AZ24/AZ20</f>
        <v>0.24062500000000001</v>
      </c>
      <c r="BA23" s="48">
        <f t="shared" si="162"/>
        <v>0.24062499999999995</v>
      </c>
      <c r="BB23" s="47">
        <f t="shared" ref="BB23:BC23" si="163">BB24/BB20</f>
        <v>0.23712624999999996</v>
      </c>
      <c r="BC23" s="48">
        <f t="shared" si="163"/>
        <v>0.23712625000000001</v>
      </c>
      <c r="BD23" s="47">
        <f t="shared" ref="BD23:BE23" si="164">BD24/BD20</f>
        <v>0.23712624999999996</v>
      </c>
      <c r="BE23" s="48">
        <f t="shared" si="164"/>
        <v>0.23712625000000001</v>
      </c>
      <c r="BF23" s="47">
        <f t="shared" ref="BF23:BG23" si="165">BF24/BF20</f>
        <v>0.23712624999999996</v>
      </c>
      <c r="BG23" s="48">
        <f t="shared" si="165"/>
        <v>0.23712625000000001</v>
      </c>
      <c r="BH23" s="47">
        <f t="shared" ref="BH23:BI23" si="166">BH24/BH20</f>
        <v>0.23712624999999996</v>
      </c>
      <c r="BI23" s="48">
        <f t="shared" si="166"/>
        <v>0.23712625000000001</v>
      </c>
      <c r="BJ23" s="47">
        <f t="shared" ref="BJ23:BK23" si="167">BJ24/BJ20</f>
        <v>0.23712624999999996</v>
      </c>
      <c r="BK23" s="48">
        <f t="shared" si="167"/>
        <v>0.23712625000000001</v>
      </c>
      <c r="BL23" s="47">
        <f t="shared" ref="BL23:BM23" si="168">BL24/BL20</f>
        <v>0.23712624999999996</v>
      </c>
      <c r="BM23" s="48">
        <f t="shared" si="168"/>
        <v>0.23712625000000001</v>
      </c>
      <c r="BN23" s="47">
        <f t="shared" ref="BN23:BO23" si="169">BN24/BN20</f>
        <v>0.24062500000000001</v>
      </c>
      <c r="BO23" s="48">
        <f t="shared" si="169"/>
        <v>0.24062499999999995</v>
      </c>
    </row>
    <row r="24" spans="1:67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AC24" si="170">F20-F26</f>
        <v>11550</v>
      </c>
      <c r="G24" s="24">
        <f t="shared" si="170"/>
        <v>2.8387724705431268</v>
      </c>
      <c r="H24" s="50">
        <f t="shared" si="170"/>
        <v>11550</v>
      </c>
      <c r="I24" s="24">
        <f t="shared" si="170"/>
        <v>2.8387724705431268</v>
      </c>
      <c r="J24" s="50">
        <f t="shared" si="170"/>
        <v>11550</v>
      </c>
      <c r="K24" s="24">
        <f t="shared" si="170"/>
        <v>2.8387724705431268</v>
      </c>
      <c r="L24" s="50">
        <f t="shared" si="170"/>
        <v>11550</v>
      </c>
      <c r="M24" s="24">
        <f t="shared" si="170"/>
        <v>2.8387724705431268</v>
      </c>
      <c r="N24" s="50">
        <f t="shared" si="170"/>
        <v>11550</v>
      </c>
      <c r="O24" s="24">
        <f t="shared" si="170"/>
        <v>2.8387724705431268</v>
      </c>
      <c r="P24" s="50">
        <f t="shared" si="170"/>
        <v>11550</v>
      </c>
      <c r="Q24" s="24">
        <f t="shared" si="170"/>
        <v>2.8387724705431268</v>
      </c>
      <c r="R24" s="50">
        <f t="shared" si="170"/>
        <v>11550</v>
      </c>
      <c r="S24" s="24">
        <f t="shared" si="170"/>
        <v>2.8387724705431268</v>
      </c>
      <c r="T24" s="50">
        <f t="shared" si="170"/>
        <v>11550</v>
      </c>
      <c r="U24" s="24">
        <f t="shared" si="170"/>
        <v>2.8387724705431268</v>
      </c>
      <c r="V24" s="50">
        <f t="shared" si="170"/>
        <v>11550</v>
      </c>
      <c r="W24" s="24">
        <f t="shared" si="170"/>
        <v>2.8387724705431268</v>
      </c>
      <c r="X24" s="50">
        <f t="shared" si="170"/>
        <v>11550</v>
      </c>
      <c r="Y24" s="24">
        <f t="shared" si="170"/>
        <v>2.8387724705431268</v>
      </c>
      <c r="Z24" s="50">
        <f t="shared" si="170"/>
        <v>11550</v>
      </c>
      <c r="AA24" s="24">
        <f t="shared" si="170"/>
        <v>2.8387724705431268</v>
      </c>
      <c r="AB24" s="50">
        <f t="shared" si="170"/>
        <v>11550</v>
      </c>
      <c r="AC24" s="24">
        <f t="shared" si="170"/>
        <v>2.8387724705431268</v>
      </c>
      <c r="AD24" s="50">
        <f t="shared" ref="AD24:AI24" si="171">AD20-AD26</f>
        <v>11550</v>
      </c>
      <c r="AE24" s="24">
        <f t="shared" si="171"/>
        <v>2.8387724705431268</v>
      </c>
      <c r="AF24" s="50">
        <f t="shared" si="171"/>
        <v>11550</v>
      </c>
      <c r="AG24" s="24">
        <f t="shared" si="171"/>
        <v>2.8387724705431268</v>
      </c>
      <c r="AH24" s="50">
        <f t="shared" si="171"/>
        <v>11550</v>
      </c>
      <c r="AI24" s="24">
        <f t="shared" si="171"/>
        <v>2.8387724705431268</v>
      </c>
      <c r="AJ24" s="50">
        <f t="shared" ref="AJ24:AS24" si="172">AJ20-AJ26</f>
        <v>11550</v>
      </c>
      <c r="AK24" s="24">
        <f t="shared" si="172"/>
        <v>2.8387724705431268</v>
      </c>
      <c r="AL24" s="50">
        <f t="shared" si="172"/>
        <v>11550</v>
      </c>
      <c r="AM24" s="24">
        <f t="shared" si="172"/>
        <v>2.8387724705431268</v>
      </c>
      <c r="AN24" s="50">
        <f t="shared" si="172"/>
        <v>11550</v>
      </c>
      <c r="AO24" s="24">
        <f t="shared" si="172"/>
        <v>2.8387724705431268</v>
      </c>
      <c r="AP24" s="50">
        <f t="shared" si="172"/>
        <v>11550</v>
      </c>
      <c r="AQ24" s="24">
        <f t="shared" si="172"/>
        <v>2.8387724705431268</v>
      </c>
      <c r="AR24" s="50">
        <f t="shared" si="172"/>
        <v>11550</v>
      </c>
      <c r="AS24" s="24">
        <f t="shared" si="172"/>
        <v>2.8387724705431268</v>
      </c>
      <c r="AT24" s="50">
        <f t="shared" ref="AT24:AY24" si="173">AT20-AT26</f>
        <v>11550</v>
      </c>
      <c r="AU24" s="24">
        <f t="shared" si="173"/>
        <v>2.8387724705431268</v>
      </c>
      <c r="AV24" s="50">
        <f t="shared" si="173"/>
        <v>11550</v>
      </c>
      <c r="AW24" s="24">
        <f t="shared" si="173"/>
        <v>2.8387724705431268</v>
      </c>
      <c r="AX24" s="50">
        <f t="shared" si="173"/>
        <v>11550</v>
      </c>
      <c r="AY24" s="24">
        <f t="shared" si="173"/>
        <v>2.8387724705431268</v>
      </c>
      <c r="AZ24" s="50">
        <f t="shared" ref="AZ24:BA24" si="174">AZ20-AZ26</f>
        <v>11550</v>
      </c>
      <c r="BA24" s="24">
        <f t="shared" si="174"/>
        <v>2.8387724705431268</v>
      </c>
      <c r="BB24" s="50">
        <f t="shared" ref="BB24:BC24" si="175">BB20-BB26</f>
        <v>11382.059999999998</v>
      </c>
      <c r="BC24" s="24">
        <f t="shared" si="175"/>
        <v>2.7974959814779314</v>
      </c>
      <c r="BD24" s="50">
        <f t="shared" ref="BD24:BE24" si="176">BD20-BD26</f>
        <v>11382.059999999998</v>
      </c>
      <c r="BE24" s="24">
        <f t="shared" si="176"/>
        <v>2.7974959814779314</v>
      </c>
      <c r="BF24" s="50">
        <f t="shared" ref="BF24:BG24" si="177">BF20-BF26</f>
        <v>11382.059999999998</v>
      </c>
      <c r="BG24" s="24">
        <f t="shared" si="177"/>
        <v>2.7974959814779314</v>
      </c>
      <c r="BH24" s="50">
        <f t="shared" ref="BH24:BI24" si="178">BH20-BH26</f>
        <v>11382.059999999998</v>
      </c>
      <c r="BI24" s="24">
        <f t="shared" si="178"/>
        <v>2.7974959814779314</v>
      </c>
      <c r="BJ24" s="50">
        <f t="shared" ref="BJ24:BK24" si="179">BJ20-BJ26</f>
        <v>11382.059999999998</v>
      </c>
      <c r="BK24" s="24">
        <f t="shared" si="179"/>
        <v>2.7974959814779314</v>
      </c>
      <c r="BL24" s="50">
        <f t="shared" ref="BL24:BM24" si="180">BL20-BL26</f>
        <v>11382.059999999998</v>
      </c>
      <c r="BM24" s="24">
        <f t="shared" si="180"/>
        <v>2.7974959814779314</v>
      </c>
      <c r="BN24" s="50">
        <f t="shared" ref="BN24:BO24" si="181">BN20-BN26</f>
        <v>11550</v>
      </c>
      <c r="BO24" s="24">
        <f t="shared" si="181"/>
        <v>2.8387724705431268</v>
      </c>
    </row>
    <row r="25" spans="1:67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AC25" si="182">F26</f>
        <v>36450</v>
      </c>
      <c r="G25" s="55">
        <f t="shared" si="182"/>
        <v>8.9587235109348047</v>
      </c>
      <c r="H25" s="54">
        <f t="shared" si="182"/>
        <v>36450</v>
      </c>
      <c r="I25" s="55">
        <f t="shared" si="182"/>
        <v>8.9587235109348047</v>
      </c>
      <c r="J25" s="54">
        <f t="shared" si="182"/>
        <v>36450</v>
      </c>
      <c r="K25" s="55">
        <f t="shared" si="182"/>
        <v>8.9587235109348047</v>
      </c>
      <c r="L25" s="54">
        <f t="shared" si="182"/>
        <v>36450</v>
      </c>
      <c r="M25" s="55">
        <f t="shared" si="182"/>
        <v>8.9587235109348047</v>
      </c>
      <c r="N25" s="54">
        <f t="shared" si="182"/>
        <v>36450</v>
      </c>
      <c r="O25" s="55">
        <f t="shared" si="182"/>
        <v>8.9587235109348047</v>
      </c>
      <c r="P25" s="54">
        <f t="shared" si="182"/>
        <v>36450</v>
      </c>
      <c r="Q25" s="55">
        <f t="shared" si="182"/>
        <v>8.9587235109348047</v>
      </c>
      <c r="R25" s="54">
        <f t="shared" si="182"/>
        <v>36450</v>
      </c>
      <c r="S25" s="55">
        <f t="shared" si="182"/>
        <v>8.9587235109348047</v>
      </c>
      <c r="T25" s="54">
        <f t="shared" si="182"/>
        <v>36450</v>
      </c>
      <c r="U25" s="55">
        <f t="shared" si="182"/>
        <v>8.9587235109348047</v>
      </c>
      <c r="V25" s="54">
        <f t="shared" si="182"/>
        <v>36450</v>
      </c>
      <c r="W25" s="55">
        <f t="shared" si="182"/>
        <v>8.9587235109348047</v>
      </c>
      <c r="X25" s="54">
        <f t="shared" si="182"/>
        <v>36450</v>
      </c>
      <c r="Y25" s="55">
        <f t="shared" si="182"/>
        <v>8.9587235109348047</v>
      </c>
      <c r="Z25" s="54">
        <f t="shared" si="182"/>
        <v>36450</v>
      </c>
      <c r="AA25" s="55">
        <f t="shared" si="182"/>
        <v>8.9587235109348047</v>
      </c>
      <c r="AB25" s="54">
        <f t="shared" si="182"/>
        <v>36450</v>
      </c>
      <c r="AC25" s="55">
        <f t="shared" si="182"/>
        <v>8.9587235109348047</v>
      </c>
      <c r="AD25" s="54">
        <f t="shared" ref="AD25:BO25" si="183">AD26</f>
        <v>36450</v>
      </c>
      <c r="AE25" s="55">
        <f t="shared" si="183"/>
        <v>8.9587235109348047</v>
      </c>
      <c r="AF25" s="54">
        <f t="shared" si="183"/>
        <v>36450</v>
      </c>
      <c r="AG25" s="55">
        <f t="shared" si="183"/>
        <v>8.9587235109348047</v>
      </c>
      <c r="AH25" s="54">
        <f t="shared" si="183"/>
        <v>36450</v>
      </c>
      <c r="AI25" s="55">
        <f t="shared" si="183"/>
        <v>8.9587235109348047</v>
      </c>
      <c r="AJ25" s="54">
        <f t="shared" si="183"/>
        <v>36450</v>
      </c>
      <c r="AK25" s="55">
        <f t="shared" si="183"/>
        <v>8.9587235109348047</v>
      </c>
      <c r="AL25" s="54">
        <f t="shared" si="183"/>
        <v>36450</v>
      </c>
      <c r="AM25" s="55">
        <f t="shared" si="183"/>
        <v>8.9587235109348047</v>
      </c>
      <c r="AN25" s="54">
        <f t="shared" si="183"/>
        <v>36450</v>
      </c>
      <c r="AO25" s="55">
        <f t="shared" si="183"/>
        <v>8.9587235109348047</v>
      </c>
      <c r="AP25" s="54">
        <f t="shared" si="183"/>
        <v>36450</v>
      </c>
      <c r="AQ25" s="55">
        <f t="shared" si="183"/>
        <v>8.9587235109348047</v>
      </c>
      <c r="AR25" s="54">
        <f t="shared" si="183"/>
        <v>36450</v>
      </c>
      <c r="AS25" s="55">
        <f t="shared" si="183"/>
        <v>8.9587235109348047</v>
      </c>
      <c r="AT25" s="54">
        <f t="shared" si="183"/>
        <v>36450</v>
      </c>
      <c r="AU25" s="55">
        <f t="shared" si="183"/>
        <v>8.9587235109348047</v>
      </c>
      <c r="AV25" s="54">
        <f t="shared" si="183"/>
        <v>36450</v>
      </c>
      <c r="AW25" s="55">
        <f t="shared" si="183"/>
        <v>8.9587235109348047</v>
      </c>
      <c r="AX25" s="54">
        <f t="shared" si="183"/>
        <v>36450</v>
      </c>
      <c r="AY25" s="55">
        <f t="shared" si="183"/>
        <v>8.9587235109348047</v>
      </c>
      <c r="AZ25" s="54">
        <f t="shared" si="183"/>
        <v>36450</v>
      </c>
      <c r="BA25" s="55">
        <f t="shared" si="183"/>
        <v>8.9587235109348047</v>
      </c>
      <c r="BB25" s="54">
        <f t="shared" si="183"/>
        <v>36617.94</v>
      </c>
      <c r="BC25" s="55">
        <f t="shared" si="183"/>
        <v>9</v>
      </c>
      <c r="BD25" s="54">
        <f t="shared" si="183"/>
        <v>36617.94</v>
      </c>
      <c r="BE25" s="55">
        <f t="shared" si="183"/>
        <v>9</v>
      </c>
      <c r="BF25" s="54">
        <f t="shared" si="183"/>
        <v>36617.94</v>
      </c>
      <c r="BG25" s="55">
        <f t="shared" si="183"/>
        <v>9</v>
      </c>
      <c r="BH25" s="54">
        <f t="shared" si="183"/>
        <v>36617.94</v>
      </c>
      <c r="BI25" s="55">
        <f t="shared" si="183"/>
        <v>9</v>
      </c>
      <c r="BJ25" s="54">
        <f t="shared" si="183"/>
        <v>36617.94</v>
      </c>
      <c r="BK25" s="55">
        <f t="shared" si="183"/>
        <v>9</v>
      </c>
      <c r="BL25" s="54">
        <f t="shared" si="183"/>
        <v>36617.94</v>
      </c>
      <c r="BM25" s="55">
        <f t="shared" si="183"/>
        <v>9</v>
      </c>
      <c r="BN25" s="54">
        <f t="shared" si="183"/>
        <v>36450</v>
      </c>
      <c r="BO25" s="55">
        <f t="shared" si="183"/>
        <v>8.9587235109348047</v>
      </c>
    </row>
    <row r="26" spans="1:67" s="4" customFormat="1" ht="18" customHeight="1" x14ac:dyDescent="0.45">
      <c r="A26" s="561"/>
      <c r="B26" s="1187"/>
      <c r="C26" s="56" t="s">
        <v>40</v>
      </c>
      <c r="D26" s="52"/>
      <c r="E26" s="53"/>
      <c r="F26" s="54">
        <v>36450</v>
      </c>
      <c r="G26" s="57">
        <f>+F26/F12</f>
        <v>8.9587235109348047</v>
      </c>
      <c r="H26" s="54">
        <v>36450</v>
      </c>
      <c r="I26" s="57">
        <f>+H26/H12</f>
        <v>8.9587235109348047</v>
      </c>
      <c r="J26" s="54">
        <v>36450</v>
      </c>
      <c r="K26" s="57">
        <f>+J26/J12</f>
        <v>8.9587235109348047</v>
      </c>
      <c r="L26" s="54">
        <v>36450</v>
      </c>
      <c r="M26" s="57">
        <f>+L26/L12</f>
        <v>8.9587235109348047</v>
      </c>
      <c r="N26" s="54">
        <v>36450</v>
      </c>
      <c r="O26" s="57">
        <f>+N26/N12</f>
        <v>8.9587235109348047</v>
      </c>
      <c r="P26" s="54">
        <v>36450</v>
      </c>
      <c r="Q26" s="57">
        <f>+P26/P12</f>
        <v>8.9587235109348047</v>
      </c>
      <c r="R26" s="54">
        <v>36450</v>
      </c>
      <c r="S26" s="57">
        <f>+R26/R12</f>
        <v>8.9587235109348047</v>
      </c>
      <c r="T26" s="54">
        <v>36450</v>
      </c>
      <c r="U26" s="57">
        <f>+T26/T12</f>
        <v>8.9587235109348047</v>
      </c>
      <c r="V26" s="54">
        <v>36450</v>
      </c>
      <c r="W26" s="57">
        <f>+V26/V12</f>
        <v>8.9587235109348047</v>
      </c>
      <c r="X26" s="54">
        <v>36450</v>
      </c>
      <c r="Y26" s="57">
        <f>+X26/X12</f>
        <v>8.9587235109348047</v>
      </c>
      <c r="Z26" s="54">
        <v>36450</v>
      </c>
      <c r="AA26" s="57">
        <f>+Z26/Z12</f>
        <v>8.9587235109348047</v>
      </c>
      <c r="AB26" s="54">
        <v>36450</v>
      </c>
      <c r="AC26" s="57">
        <f>+AB26/AB12</f>
        <v>8.9587235109348047</v>
      </c>
      <c r="AD26" s="54">
        <v>36450</v>
      </c>
      <c r="AE26" s="57">
        <f t="shared" ref="AE26" si="184">+AD26/AD12</f>
        <v>8.9587235109348047</v>
      </c>
      <c r="AF26" s="54">
        <v>36450</v>
      </c>
      <c r="AG26" s="57">
        <f t="shared" ref="AG26" si="185">+AF26/AF12</f>
        <v>8.9587235109348047</v>
      </c>
      <c r="AH26" s="54">
        <v>36450</v>
      </c>
      <c r="AI26" s="57">
        <f t="shared" ref="AI26" si="186">+AH26/AH12</f>
        <v>8.9587235109348047</v>
      </c>
      <c r="AJ26" s="54">
        <v>36450</v>
      </c>
      <c r="AK26" s="57">
        <f t="shared" ref="AK26" si="187">+AJ26/AJ12</f>
        <v>8.9587235109348047</v>
      </c>
      <c r="AL26" s="54">
        <v>36450</v>
      </c>
      <c r="AM26" s="57">
        <f t="shared" ref="AM26" si="188">+AL26/AL12</f>
        <v>8.9587235109348047</v>
      </c>
      <c r="AN26" s="54">
        <v>36450</v>
      </c>
      <c r="AO26" s="57">
        <f t="shared" ref="AO26" si="189">+AN26/AN12</f>
        <v>8.9587235109348047</v>
      </c>
      <c r="AP26" s="54">
        <v>36450</v>
      </c>
      <c r="AQ26" s="57">
        <f t="shared" ref="AQ26" si="190">+AP26/AP12</f>
        <v>8.9587235109348047</v>
      </c>
      <c r="AR26" s="54">
        <v>36450</v>
      </c>
      <c r="AS26" s="57">
        <f t="shared" ref="AS26" si="191">+AR26/AR12</f>
        <v>8.9587235109348047</v>
      </c>
      <c r="AT26" s="54">
        <v>36450</v>
      </c>
      <c r="AU26" s="57">
        <f t="shared" ref="AU26" si="192">+AT26/AT12</f>
        <v>8.9587235109348047</v>
      </c>
      <c r="AV26" s="54">
        <v>36450</v>
      </c>
      <c r="AW26" s="57">
        <f t="shared" ref="AW26" si="193">+AV26/AV12</f>
        <v>8.9587235109348047</v>
      </c>
      <c r="AX26" s="54">
        <v>36450</v>
      </c>
      <c r="AY26" s="57">
        <f t="shared" ref="AY26" si="194">+AX26/AX12</f>
        <v>8.9587235109348047</v>
      </c>
      <c r="AZ26" s="54">
        <v>36450</v>
      </c>
      <c r="BA26" s="57">
        <f t="shared" ref="BA26" si="195">+AZ26/AZ12</f>
        <v>8.9587235109348047</v>
      </c>
      <c r="BB26" s="54">
        <f>BC26*BB12</f>
        <v>36617.94</v>
      </c>
      <c r="BC26" s="57">
        <v>9</v>
      </c>
      <c r="BD26" s="54">
        <f>BE26*BD12</f>
        <v>36617.94</v>
      </c>
      <c r="BE26" s="57">
        <v>9</v>
      </c>
      <c r="BF26" s="54">
        <f>BG26*BF12</f>
        <v>36617.94</v>
      </c>
      <c r="BG26" s="57">
        <v>9</v>
      </c>
      <c r="BH26" s="54">
        <f>BI26*BH12</f>
        <v>36617.94</v>
      </c>
      <c r="BI26" s="57">
        <v>9</v>
      </c>
      <c r="BJ26" s="54">
        <f>BK26*BJ12</f>
        <v>36617.94</v>
      </c>
      <c r="BK26" s="57">
        <v>9</v>
      </c>
      <c r="BL26" s="54">
        <f>BM26*BL12</f>
        <v>36617.94</v>
      </c>
      <c r="BM26" s="57">
        <v>9</v>
      </c>
      <c r="BN26" s="54">
        <v>36450</v>
      </c>
      <c r="BO26" s="57">
        <f t="shared" ref="BO26" si="196">+BN26/BN12</f>
        <v>8.9587235109348047</v>
      </c>
    </row>
    <row r="27" spans="1:67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42"/>
      <c r="O27" s="18"/>
      <c r="P27" s="42"/>
      <c r="Q27" s="18"/>
      <c r="R27" s="42"/>
      <c r="S27" s="18"/>
      <c r="T27" s="42"/>
      <c r="U27" s="18"/>
      <c r="V27" s="42"/>
      <c r="W27" s="18"/>
      <c r="X27" s="42"/>
      <c r="Y27" s="18"/>
      <c r="Z27" s="42"/>
      <c r="AA27" s="18"/>
      <c r="AB27" s="42"/>
      <c r="AC27" s="18"/>
      <c r="AD27" s="42"/>
      <c r="AE27" s="18"/>
      <c r="AF27" s="42"/>
      <c r="AG27" s="18"/>
      <c r="AH27" s="42"/>
      <c r="AI27" s="18"/>
      <c r="AJ27" s="42"/>
      <c r="AK27" s="18"/>
      <c r="AL27" s="42"/>
      <c r="AM27" s="18"/>
      <c r="AN27" s="42"/>
      <c r="AO27" s="18"/>
      <c r="AP27" s="42"/>
      <c r="AQ27" s="18"/>
      <c r="AR27" s="42"/>
      <c r="AS27" s="18"/>
      <c r="AT27" s="42"/>
      <c r="AU27" s="18"/>
      <c r="AV27" s="42"/>
      <c r="AW27" s="18"/>
      <c r="AX27" s="42"/>
      <c r="AY27" s="18"/>
      <c r="AZ27" s="42"/>
      <c r="BA27" s="18"/>
      <c r="BB27" s="42"/>
      <c r="BC27" s="18"/>
      <c r="BD27" s="42"/>
      <c r="BE27" s="18"/>
      <c r="BF27" s="42"/>
      <c r="BG27" s="18"/>
      <c r="BH27" s="42"/>
      <c r="BI27" s="18"/>
      <c r="BJ27" s="42"/>
      <c r="BK27" s="18"/>
      <c r="BL27" s="42"/>
      <c r="BM27" s="18"/>
      <c r="BN27" s="42"/>
      <c r="BO27" s="18"/>
    </row>
    <row r="28" spans="1:67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60"/>
      <c r="O28" s="43"/>
      <c r="P28" s="60"/>
      <c r="Q28" s="43"/>
      <c r="R28" s="60"/>
      <c r="S28" s="43"/>
      <c r="T28" s="60"/>
      <c r="U28" s="43"/>
      <c r="V28" s="60"/>
      <c r="W28" s="43"/>
      <c r="X28" s="60"/>
      <c r="Y28" s="43"/>
      <c r="Z28" s="60"/>
      <c r="AA28" s="43"/>
      <c r="AB28" s="60"/>
      <c r="AC28" s="43"/>
      <c r="AD28" s="60"/>
      <c r="AE28" s="43"/>
      <c r="AF28" s="60"/>
      <c r="AG28" s="43"/>
      <c r="AH28" s="60"/>
      <c r="AI28" s="43"/>
      <c r="AJ28" s="60"/>
      <c r="AK28" s="43"/>
      <c r="AL28" s="60"/>
      <c r="AM28" s="43"/>
      <c r="AN28" s="60"/>
      <c r="AO28" s="43"/>
      <c r="AP28" s="60"/>
      <c r="AQ28" s="43"/>
      <c r="AR28" s="60"/>
      <c r="AS28" s="43"/>
      <c r="AT28" s="60"/>
      <c r="AU28" s="43"/>
      <c r="AV28" s="60"/>
      <c r="AW28" s="43"/>
      <c r="AX28" s="60"/>
      <c r="AY28" s="43"/>
      <c r="AZ28" s="60"/>
      <c r="BA28" s="43"/>
      <c r="BB28" s="60"/>
      <c r="BC28" s="43"/>
      <c r="BD28" s="60"/>
      <c r="BE28" s="43"/>
      <c r="BF28" s="60"/>
      <c r="BG28" s="43"/>
      <c r="BH28" s="60"/>
      <c r="BI28" s="43"/>
      <c r="BJ28" s="60"/>
      <c r="BK28" s="43"/>
      <c r="BL28" s="60"/>
      <c r="BM28" s="43"/>
      <c r="BN28" s="60"/>
      <c r="BO28" s="43"/>
    </row>
    <row r="29" spans="1:67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AC29" si="197">F30/F26</f>
        <v>8.2139917695473047E-2</v>
      </c>
      <c r="G29" s="48">
        <f t="shared" si="197"/>
        <v>8.2139917695473019E-2</v>
      </c>
      <c r="H29" s="47">
        <f t="shared" si="197"/>
        <v>8.2139917695473047E-2</v>
      </c>
      <c r="I29" s="48">
        <f t="shared" si="197"/>
        <v>8.2139917695473019E-2</v>
      </c>
      <c r="J29" s="47">
        <f t="shared" si="197"/>
        <v>8.2139917695473047E-2</v>
      </c>
      <c r="K29" s="48">
        <f t="shared" si="197"/>
        <v>8.2139917695473019E-2</v>
      </c>
      <c r="L29" s="47">
        <f t="shared" si="197"/>
        <v>8.2139917695473047E-2</v>
      </c>
      <c r="M29" s="48">
        <f t="shared" si="197"/>
        <v>8.2139917695473019E-2</v>
      </c>
      <c r="N29" s="47">
        <f t="shared" si="197"/>
        <v>8.2139917695473047E-2</v>
      </c>
      <c r="O29" s="48">
        <f t="shared" si="197"/>
        <v>8.2139917695473019E-2</v>
      </c>
      <c r="P29" s="47">
        <f t="shared" si="197"/>
        <v>8.2139917695473047E-2</v>
      </c>
      <c r="Q29" s="48">
        <f t="shared" si="197"/>
        <v>8.2139917695473019E-2</v>
      </c>
      <c r="R29" s="47">
        <f t="shared" si="197"/>
        <v>8.2139917695473047E-2</v>
      </c>
      <c r="S29" s="48">
        <f t="shared" si="197"/>
        <v>8.2139917695473019E-2</v>
      </c>
      <c r="T29" s="47">
        <f t="shared" si="197"/>
        <v>8.2139917695473047E-2</v>
      </c>
      <c r="U29" s="48">
        <f t="shared" si="197"/>
        <v>8.2139917695473019E-2</v>
      </c>
      <c r="V29" s="47">
        <f t="shared" si="197"/>
        <v>8.2139917695473047E-2</v>
      </c>
      <c r="W29" s="48">
        <f t="shared" si="197"/>
        <v>8.2139917695473019E-2</v>
      </c>
      <c r="X29" s="47">
        <f t="shared" si="197"/>
        <v>8.2139917695473047E-2</v>
      </c>
      <c r="Y29" s="48">
        <f t="shared" si="197"/>
        <v>8.2139917695473019E-2</v>
      </c>
      <c r="Z29" s="47">
        <f t="shared" si="197"/>
        <v>8.2139917695473047E-2</v>
      </c>
      <c r="AA29" s="48">
        <f t="shared" si="197"/>
        <v>8.2139917695473019E-2</v>
      </c>
      <c r="AB29" s="47">
        <f t="shared" si="197"/>
        <v>8.2139917695473047E-2</v>
      </c>
      <c r="AC29" s="48">
        <f t="shared" si="197"/>
        <v>8.2139917695473019E-2</v>
      </c>
      <c r="AD29" s="47">
        <f t="shared" ref="AD29:AI29" si="198">AD30/AD26</f>
        <v>8.2139917695473047E-2</v>
      </c>
      <c r="AE29" s="48">
        <f t="shared" si="198"/>
        <v>8.2139917695473019E-2</v>
      </c>
      <c r="AF29" s="47">
        <f t="shared" si="198"/>
        <v>8.2139917695473047E-2</v>
      </c>
      <c r="AG29" s="48">
        <f t="shared" si="198"/>
        <v>8.2139917695473019E-2</v>
      </c>
      <c r="AH29" s="47">
        <f t="shared" si="198"/>
        <v>8.2139917695473047E-2</v>
      </c>
      <c r="AI29" s="48">
        <f t="shared" si="198"/>
        <v>8.2139917695473019E-2</v>
      </c>
      <c r="AJ29" s="47">
        <f t="shared" ref="AJ29:AS29" si="199">AJ30/AJ26</f>
        <v>8.2139917695473047E-2</v>
      </c>
      <c r="AK29" s="48">
        <f t="shared" si="199"/>
        <v>8.2139917695473019E-2</v>
      </c>
      <c r="AL29" s="47">
        <f t="shared" si="199"/>
        <v>8.2139917695473047E-2</v>
      </c>
      <c r="AM29" s="48">
        <f t="shared" si="199"/>
        <v>8.2139917695473019E-2</v>
      </c>
      <c r="AN29" s="47">
        <f t="shared" si="199"/>
        <v>8.2139917695473047E-2</v>
      </c>
      <c r="AO29" s="48">
        <f t="shared" si="199"/>
        <v>8.2139917695473019E-2</v>
      </c>
      <c r="AP29" s="47">
        <f t="shared" si="199"/>
        <v>8.2139917695473047E-2</v>
      </c>
      <c r="AQ29" s="48">
        <f t="shared" si="199"/>
        <v>8.2139917695473019E-2</v>
      </c>
      <c r="AR29" s="47">
        <f t="shared" si="199"/>
        <v>8.2139917695473047E-2</v>
      </c>
      <c r="AS29" s="48">
        <f t="shared" si="199"/>
        <v>8.2139917695473019E-2</v>
      </c>
      <c r="AT29" s="47">
        <f t="shared" ref="AT29:AY29" si="200">AT30/AT26</f>
        <v>8.2139917695473047E-2</v>
      </c>
      <c r="AU29" s="48">
        <f t="shared" si="200"/>
        <v>8.2139917695473019E-2</v>
      </c>
      <c r="AV29" s="47">
        <f t="shared" si="200"/>
        <v>8.2139917695473047E-2</v>
      </c>
      <c r="AW29" s="48">
        <f t="shared" si="200"/>
        <v>8.2139917695473019E-2</v>
      </c>
      <c r="AX29" s="47">
        <f t="shared" si="200"/>
        <v>8.2139917695473047E-2</v>
      </c>
      <c r="AY29" s="48">
        <f t="shared" si="200"/>
        <v>8.2139917695473019E-2</v>
      </c>
      <c r="AZ29" s="47">
        <f t="shared" ref="AZ29:BA29" si="201">AZ30/AZ26</f>
        <v>8.2139917695473047E-2</v>
      </c>
      <c r="BA29" s="48">
        <f t="shared" si="201"/>
        <v>8.2139917695473019E-2</v>
      </c>
      <c r="BB29" s="47">
        <f t="shared" ref="BB29:BC29" si="202">BB30/BB26</f>
        <v>8.8888888888889073E-2</v>
      </c>
      <c r="BC29" s="48">
        <f t="shared" si="202"/>
        <v>8.8888888888888962E-2</v>
      </c>
      <c r="BD29" s="47">
        <f t="shared" ref="BD29:BE29" si="203">BD30/BD26</f>
        <v>8.8888888888889073E-2</v>
      </c>
      <c r="BE29" s="48">
        <f t="shared" si="203"/>
        <v>8.8888888888888962E-2</v>
      </c>
      <c r="BF29" s="47">
        <f t="shared" ref="BF29:BG29" si="204">BF30/BF26</f>
        <v>8.8888888888889073E-2</v>
      </c>
      <c r="BG29" s="48">
        <f t="shared" si="204"/>
        <v>8.8888888888888962E-2</v>
      </c>
      <c r="BH29" s="47">
        <f t="shared" ref="BH29:BI29" si="205">BH30/BH26</f>
        <v>8.8888888888889073E-2</v>
      </c>
      <c r="BI29" s="48">
        <f t="shared" si="205"/>
        <v>8.8888888888888962E-2</v>
      </c>
      <c r="BJ29" s="47">
        <f t="shared" ref="BJ29:BK29" si="206">BJ30/BJ26</f>
        <v>8.8888888888889073E-2</v>
      </c>
      <c r="BK29" s="48">
        <f t="shared" si="206"/>
        <v>8.8888888888888962E-2</v>
      </c>
      <c r="BL29" s="47">
        <f t="shared" ref="BL29:BM29" si="207">BL30/BL26</f>
        <v>8.8888888888889073E-2</v>
      </c>
      <c r="BM29" s="48">
        <f t="shared" si="207"/>
        <v>8.8888888888888962E-2</v>
      </c>
      <c r="BN29" s="47">
        <f t="shared" ref="BN29:BO29" si="208">BN30/BN26</f>
        <v>8.2139917695473047E-2</v>
      </c>
      <c r="BO29" s="48">
        <f t="shared" si="208"/>
        <v>8.2139917695473019E-2</v>
      </c>
    </row>
    <row r="30" spans="1:67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AC30" si="209">F26-F32</f>
        <v>2993.9999999999927</v>
      </c>
      <c r="G30" s="24">
        <f t="shared" si="209"/>
        <v>0.73586881184468389</v>
      </c>
      <c r="H30" s="50">
        <f t="shared" si="209"/>
        <v>2993.9999999999927</v>
      </c>
      <c r="I30" s="24">
        <f t="shared" si="209"/>
        <v>0.73586881184468389</v>
      </c>
      <c r="J30" s="50">
        <f t="shared" si="209"/>
        <v>2993.9999999999927</v>
      </c>
      <c r="K30" s="24">
        <f t="shared" si="209"/>
        <v>0.73586881184468389</v>
      </c>
      <c r="L30" s="50">
        <f t="shared" si="209"/>
        <v>2993.9999999999927</v>
      </c>
      <c r="M30" s="24">
        <f t="shared" si="209"/>
        <v>0.73586881184468389</v>
      </c>
      <c r="N30" s="50">
        <f t="shared" si="209"/>
        <v>2993.9999999999927</v>
      </c>
      <c r="O30" s="24">
        <f t="shared" si="209"/>
        <v>0.73586881184468389</v>
      </c>
      <c r="P30" s="50">
        <f t="shared" si="209"/>
        <v>2993.9999999999927</v>
      </c>
      <c r="Q30" s="24">
        <f t="shared" si="209"/>
        <v>0.73586881184468389</v>
      </c>
      <c r="R30" s="50">
        <f t="shared" si="209"/>
        <v>2993.9999999999927</v>
      </c>
      <c r="S30" s="24">
        <f t="shared" si="209"/>
        <v>0.73586881184468389</v>
      </c>
      <c r="T30" s="50">
        <f t="shared" si="209"/>
        <v>2993.9999999999927</v>
      </c>
      <c r="U30" s="24">
        <f t="shared" si="209"/>
        <v>0.73586881184468389</v>
      </c>
      <c r="V30" s="50">
        <f t="shared" si="209"/>
        <v>2993.9999999999927</v>
      </c>
      <c r="W30" s="24">
        <f t="shared" si="209"/>
        <v>0.73586881184468389</v>
      </c>
      <c r="X30" s="50">
        <f t="shared" si="209"/>
        <v>2993.9999999999927</v>
      </c>
      <c r="Y30" s="24">
        <f t="shared" si="209"/>
        <v>0.73586881184468389</v>
      </c>
      <c r="Z30" s="50">
        <f t="shared" si="209"/>
        <v>2993.9999999999927</v>
      </c>
      <c r="AA30" s="24">
        <f t="shared" si="209"/>
        <v>0.73586881184468389</v>
      </c>
      <c r="AB30" s="50">
        <f t="shared" si="209"/>
        <v>2993.9999999999927</v>
      </c>
      <c r="AC30" s="24">
        <f t="shared" si="209"/>
        <v>0.73586881184468389</v>
      </c>
      <c r="AD30" s="50">
        <f t="shared" ref="AD30:AI30" si="210">AD26-AD32</f>
        <v>2993.9999999999927</v>
      </c>
      <c r="AE30" s="24">
        <f t="shared" si="210"/>
        <v>0.73586881184468389</v>
      </c>
      <c r="AF30" s="50">
        <f t="shared" si="210"/>
        <v>2993.9999999999927</v>
      </c>
      <c r="AG30" s="24">
        <f t="shared" si="210"/>
        <v>0.73586881184468389</v>
      </c>
      <c r="AH30" s="50">
        <f t="shared" si="210"/>
        <v>2993.9999999999927</v>
      </c>
      <c r="AI30" s="24">
        <f t="shared" si="210"/>
        <v>0.73586881184468389</v>
      </c>
      <c r="AJ30" s="50">
        <f t="shared" ref="AJ30:AS30" si="211">AJ26-AJ32</f>
        <v>2993.9999999999927</v>
      </c>
      <c r="AK30" s="24">
        <f t="shared" si="211"/>
        <v>0.73586881184468389</v>
      </c>
      <c r="AL30" s="50">
        <f t="shared" si="211"/>
        <v>2993.9999999999927</v>
      </c>
      <c r="AM30" s="24">
        <f t="shared" si="211"/>
        <v>0.73586881184468389</v>
      </c>
      <c r="AN30" s="50">
        <f t="shared" si="211"/>
        <v>2993.9999999999927</v>
      </c>
      <c r="AO30" s="24">
        <f t="shared" si="211"/>
        <v>0.73586881184468389</v>
      </c>
      <c r="AP30" s="50">
        <f t="shared" si="211"/>
        <v>2993.9999999999927</v>
      </c>
      <c r="AQ30" s="24">
        <f t="shared" si="211"/>
        <v>0.73586881184468389</v>
      </c>
      <c r="AR30" s="50">
        <f t="shared" si="211"/>
        <v>2993.9999999999927</v>
      </c>
      <c r="AS30" s="24">
        <f t="shared" si="211"/>
        <v>0.73586881184468389</v>
      </c>
      <c r="AT30" s="50">
        <f t="shared" ref="AT30:AY30" si="212">AT26-AT32</f>
        <v>2993.9999999999927</v>
      </c>
      <c r="AU30" s="24">
        <f t="shared" si="212"/>
        <v>0.73586881184468389</v>
      </c>
      <c r="AV30" s="50">
        <f t="shared" si="212"/>
        <v>2993.9999999999927</v>
      </c>
      <c r="AW30" s="24">
        <f t="shared" si="212"/>
        <v>0.73586881184468389</v>
      </c>
      <c r="AX30" s="50">
        <f t="shared" si="212"/>
        <v>2993.9999999999927</v>
      </c>
      <c r="AY30" s="24">
        <f t="shared" si="212"/>
        <v>0.73586881184468389</v>
      </c>
      <c r="AZ30" s="50">
        <f t="shared" ref="AZ30:BA30" si="213">AZ26-AZ32</f>
        <v>2993.9999999999927</v>
      </c>
      <c r="BA30" s="24">
        <f t="shared" si="213"/>
        <v>0.73586881184468389</v>
      </c>
      <c r="BB30" s="50">
        <f t="shared" ref="BB30:BC30" si="214">BB26-BB32</f>
        <v>3254.9280000000072</v>
      </c>
      <c r="BC30" s="24">
        <f t="shared" si="214"/>
        <v>0.80000000000000071</v>
      </c>
      <c r="BD30" s="50">
        <f t="shared" ref="BD30:BE30" si="215">BD26-BD32</f>
        <v>3254.9280000000072</v>
      </c>
      <c r="BE30" s="24">
        <f t="shared" si="215"/>
        <v>0.80000000000000071</v>
      </c>
      <c r="BF30" s="50">
        <f t="shared" ref="BF30:BG30" si="216">BF26-BF32</f>
        <v>3254.9280000000072</v>
      </c>
      <c r="BG30" s="24">
        <f t="shared" si="216"/>
        <v>0.80000000000000071</v>
      </c>
      <c r="BH30" s="50">
        <f t="shared" ref="BH30:BI30" si="217">BH26-BH32</f>
        <v>3254.9280000000072</v>
      </c>
      <c r="BI30" s="24">
        <f t="shared" si="217"/>
        <v>0.80000000000000071</v>
      </c>
      <c r="BJ30" s="50">
        <f t="shared" ref="BJ30:BK30" si="218">BJ26-BJ32</f>
        <v>3254.9280000000072</v>
      </c>
      <c r="BK30" s="24">
        <f t="shared" si="218"/>
        <v>0.80000000000000071</v>
      </c>
      <c r="BL30" s="50">
        <f t="shared" ref="BL30:BM30" si="219">BL26-BL32</f>
        <v>3254.9280000000072</v>
      </c>
      <c r="BM30" s="24">
        <f t="shared" si="219"/>
        <v>0.80000000000000071</v>
      </c>
      <c r="BN30" s="50">
        <f t="shared" ref="BN30:BO30" si="220">BN26-BN32</f>
        <v>2993.9999999999927</v>
      </c>
      <c r="BO30" s="24">
        <f t="shared" si="220"/>
        <v>0.73586881184468389</v>
      </c>
    </row>
    <row r="31" spans="1:67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33456.000000000007</v>
      </c>
      <c r="G31" s="55">
        <f>G32</f>
        <v>8.2228546990901208</v>
      </c>
      <c r="H31" s="54">
        <f>+H32</f>
        <v>33456.000000000007</v>
      </c>
      <c r="I31" s="55">
        <f>I32</f>
        <v>8.2228546990901208</v>
      </c>
      <c r="J31" s="54">
        <f>+J32</f>
        <v>33456.000000000007</v>
      </c>
      <c r="K31" s="55">
        <f>K32</f>
        <v>8.2228546990901208</v>
      </c>
      <c r="L31" s="54">
        <f>+L32</f>
        <v>33456.000000000007</v>
      </c>
      <c r="M31" s="55">
        <f>M32</f>
        <v>8.2228546990901208</v>
      </c>
      <c r="N31" s="54">
        <f>+N32</f>
        <v>33456.000000000007</v>
      </c>
      <c r="O31" s="55">
        <f>O32</f>
        <v>8.2228546990901208</v>
      </c>
      <c r="P31" s="54">
        <f>+P32</f>
        <v>33456.000000000007</v>
      </c>
      <c r="Q31" s="55">
        <f>Q32</f>
        <v>8.2228546990901208</v>
      </c>
      <c r="R31" s="54">
        <f>+R32</f>
        <v>33456.000000000007</v>
      </c>
      <c r="S31" s="55">
        <f>S32</f>
        <v>8.2228546990901208</v>
      </c>
      <c r="T31" s="54">
        <f>+T32</f>
        <v>33456.000000000007</v>
      </c>
      <c r="U31" s="55">
        <f>U32</f>
        <v>8.2228546990901208</v>
      </c>
      <c r="V31" s="54">
        <f>+V32</f>
        <v>33456.000000000007</v>
      </c>
      <c r="W31" s="55">
        <f>W32</f>
        <v>8.2228546990901208</v>
      </c>
      <c r="X31" s="54">
        <f>+X32</f>
        <v>33456.000000000007</v>
      </c>
      <c r="Y31" s="55">
        <f>Y32</f>
        <v>8.2228546990901208</v>
      </c>
      <c r="Z31" s="54">
        <f>+Z32</f>
        <v>33456.000000000007</v>
      </c>
      <c r="AA31" s="55">
        <f>AA32</f>
        <v>8.2228546990901208</v>
      </c>
      <c r="AB31" s="54">
        <f>+AB32</f>
        <v>33456.000000000007</v>
      </c>
      <c r="AC31" s="55">
        <f>AC32</f>
        <v>8.2228546990901208</v>
      </c>
      <c r="AD31" s="54">
        <f t="shared" ref="AD31" si="221">+AD32</f>
        <v>33456.000000000007</v>
      </c>
      <c r="AE31" s="55">
        <f t="shared" ref="AE31" si="222">AE32</f>
        <v>8.2228546990901208</v>
      </c>
      <c r="AF31" s="54">
        <f t="shared" ref="AF31" si="223">+AF32</f>
        <v>33456.000000000007</v>
      </c>
      <c r="AG31" s="55">
        <f t="shared" ref="AG31" si="224">AG32</f>
        <v>8.2228546990901208</v>
      </c>
      <c r="AH31" s="54">
        <f t="shared" ref="AH31:BN31" si="225">+AH32</f>
        <v>33456.000000000007</v>
      </c>
      <c r="AI31" s="55">
        <f t="shared" ref="AI31:BO31" si="226">AI32</f>
        <v>8.2228546990901208</v>
      </c>
      <c r="AJ31" s="54">
        <f t="shared" si="225"/>
        <v>33456.000000000007</v>
      </c>
      <c r="AK31" s="55">
        <f t="shared" si="226"/>
        <v>8.2228546990901208</v>
      </c>
      <c r="AL31" s="54">
        <f t="shared" si="225"/>
        <v>33456.000000000007</v>
      </c>
      <c r="AM31" s="55">
        <f t="shared" si="226"/>
        <v>8.2228546990901208</v>
      </c>
      <c r="AN31" s="54">
        <f t="shared" si="225"/>
        <v>33456.000000000007</v>
      </c>
      <c r="AO31" s="55">
        <f t="shared" si="226"/>
        <v>8.2228546990901208</v>
      </c>
      <c r="AP31" s="54">
        <f t="shared" si="225"/>
        <v>33456.000000000007</v>
      </c>
      <c r="AQ31" s="55">
        <f t="shared" si="226"/>
        <v>8.2228546990901208</v>
      </c>
      <c r="AR31" s="54">
        <f t="shared" si="225"/>
        <v>33456.000000000007</v>
      </c>
      <c r="AS31" s="55">
        <f t="shared" si="226"/>
        <v>8.2228546990901208</v>
      </c>
      <c r="AT31" s="54">
        <f t="shared" si="225"/>
        <v>33456.000000000007</v>
      </c>
      <c r="AU31" s="55">
        <f t="shared" si="226"/>
        <v>8.2228546990901208</v>
      </c>
      <c r="AV31" s="54">
        <f t="shared" si="225"/>
        <v>33456.000000000007</v>
      </c>
      <c r="AW31" s="55">
        <f t="shared" si="226"/>
        <v>8.2228546990901208</v>
      </c>
      <c r="AX31" s="54">
        <f t="shared" si="225"/>
        <v>33456.000000000007</v>
      </c>
      <c r="AY31" s="55">
        <f t="shared" si="226"/>
        <v>8.2228546990901208</v>
      </c>
      <c r="AZ31" s="54">
        <f t="shared" si="225"/>
        <v>33456.000000000007</v>
      </c>
      <c r="BA31" s="55">
        <f t="shared" si="226"/>
        <v>8.2228546990901208</v>
      </c>
      <c r="BB31" s="54">
        <f t="shared" si="225"/>
        <v>33363.011999999995</v>
      </c>
      <c r="BC31" s="55">
        <f t="shared" si="226"/>
        <v>8.1999999999999993</v>
      </c>
      <c r="BD31" s="54">
        <f t="shared" si="225"/>
        <v>33363.011999999995</v>
      </c>
      <c r="BE31" s="55">
        <f t="shared" si="226"/>
        <v>8.1999999999999993</v>
      </c>
      <c r="BF31" s="54">
        <f t="shared" si="225"/>
        <v>33363.011999999995</v>
      </c>
      <c r="BG31" s="55">
        <f t="shared" si="226"/>
        <v>8.1999999999999993</v>
      </c>
      <c r="BH31" s="54">
        <f t="shared" si="225"/>
        <v>33363.011999999995</v>
      </c>
      <c r="BI31" s="55">
        <f t="shared" si="226"/>
        <v>8.1999999999999993</v>
      </c>
      <c r="BJ31" s="54">
        <f t="shared" si="225"/>
        <v>33363.011999999995</v>
      </c>
      <c r="BK31" s="55">
        <f t="shared" si="226"/>
        <v>8.1999999999999993</v>
      </c>
      <c r="BL31" s="54">
        <f t="shared" si="225"/>
        <v>33363.011999999995</v>
      </c>
      <c r="BM31" s="55">
        <f t="shared" si="226"/>
        <v>8.1999999999999993</v>
      </c>
      <c r="BN31" s="54">
        <f t="shared" si="225"/>
        <v>33456.000000000007</v>
      </c>
      <c r="BO31" s="55">
        <f t="shared" si="226"/>
        <v>8.2228546990901208</v>
      </c>
    </row>
    <row r="32" spans="1:67" s="4" customFormat="1" ht="18" customHeight="1" x14ac:dyDescent="0.45">
      <c r="A32" s="561"/>
      <c r="B32" s="1194"/>
      <c r="C32" s="56" t="s">
        <v>45</v>
      </c>
      <c r="D32" s="52"/>
      <c r="E32" s="53"/>
      <c r="F32" s="54">
        <v>33456.000000000007</v>
      </c>
      <c r="G32" s="55">
        <f>+F32/F12</f>
        <v>8.2228546990901208</v>
      </c>
      <c r="H32" s="54">
        <v>33456.000000000007</v>
      </c>
      <c r="I32" s="55">
        <f>+H32/H12</f>
        <v>8.2228546990901208</v>
      </c>
      <c r="J32" s="54">
        <v>33456.000000000007</v>
      </c>
      <c r="K32" s="55">
        <f>+J32/J12</f>
        <v>8.2228546990901208</v>
      </c>
      <c r="L32" s="54">
        <v>33456.000000000007</v>
      </c>
      <c r="M32" s="55">
        <f>+L32/L12</f>
        <v>8.2228546990901208</v>
      </c>
      <c r="N32" s="54">
        <v>33456.000000000007</v>
      </c>
      <c r="O32" s="55">
        <f>+N32/N12</f>
        <v>8.2228546990901208</v>
      </c>
      <c r="P32" s="54">
        <v>33456.000000000007</v>
      </c>
      <c r="Q32" s="55">
        <f>+P32/P12</f>
        <v>8.2228546990901208</v>
      </c>
      <c r="R32" s="54">
        <v>33456.000000000007</v>
      </c>
      <c r="S32" s="55">
        <f>+R32/R12</f>
        <v>8.2228546990901208</v>
      </c>
      <c r="T32" s="54">
        <v>33456.000000000007</v>
      </c>
      <c r="U32" s="55">
        <f>+T32/T12</f>
        <v>8.2228546990901208</v>
      </c>
      <c r="V32" s="54">
        <v>33456.000000000007</v>
      </c>
      <c r="W32" s="55">
        <f>+V32/V12</f>
        <v>8.2228546990901208</v>
      </c>
      <c r="X32" s="54">
        <v>33456.000000000007</v>
      </c>
      <c r="Y32" s="55">
        <f>+X32/X12</f>
        <v>8.2228546990901208</v>
      </c>
      <c r="Z32" s="54">
        <v>33456.000000000007</v>
      </c>
      <c r="AA32" s="55">
        <f>+Z32/Z12</f>
        <v>8.2228546990901208</v>
      </c>
      <c r="AB32" s="54">
        <v>33456.000000000007</v>
      </c>
      <c r="AC32" s="55">
        <f>+AB32/AB12</f>
        <v>8.2228546990901208</v>
      </c>
      <c r="AD32" s="54">
        <v>33456.000000000007</v>
      </c>
      <c r="AE32" s="55">
        <f t="shared" ref="AE32" si="227">+AD32/AD12</f>
        <v>8.2228546990901208</v>
      </c>
      <c r="AF32" s="54">
        <v>33456.000000000007</v>
      </c>
      <c r="AG32" s="55">
        <f t="shared" ref="AG32" si="228">+AF32/AF12</f>
        <v>8.2228546990901208</v>
      </c>
      <c r="AH32" s="54">
        <v>33456.000000000007</v>
      </c>
      <c r="AI32" s="55">
        <f t="shared" ref="AI32" si="229">+AH32/AH12</f>
        <v>8.2228546990901208</v>
      </c>
      <c r="AJ32" s="54">
        <v>33456.000000000007</v>
      </c>
      <c r="AK32" s="55">
        <f t="shared" ref="AK32" si="230">+AJ32/AJ12</f>
        <v>8.2228546990901208</v>
      </c>
      <c r="AL32" s="54">
        <v>33456.000000000007</v>
      </c>
      <c r="AM32" s="55">
        <f t="shared" ref="AM32" si="231">+AL32/AL12</f>
        <v>8.2228546990901208</v>
      </c>
      <c r="AN32" s="54">
        <v>33456.000000000007</v>
      </c>
      <c r="AO32" s="55">
        <f t="shared" ref="AO32" si="232">+AN32/AN12</f>
        <v>8.2228546990901208</v>
      </c>
      <c r="AP32" s="54">
        <v>33456.000000000007</v>
      </c>
      <c r="AQ32" s="55">
        <f t="shared" ref="AQ32" si="233">+AP32/AP12</f>
        <v>8.2228546990901208</v>
      </c>
      <c r="AR32" s="54">
        <v>33456.000000000007</v>
      </c>
      <c r="AS32" s="55">
        <f t="shared" ref="AS32" si="234">+AR32/AR12</f>
        <v>8.2228546990901208</v>
      </c>
      <c r="AT32" s="54">
        <v>33456.000000000007</v>
      </c>
      <c r="AU32" s="55">
        <f t="shared" ref="AU32" si="235">+AT32/AT12</f>
        <v>8.2228546990901208</v>
      </c>
      <c r="AV32" s="54">
        <v>33456.000000000007</v>
      </c>
      <c r="AW32" s="55">
        <f t="shared" ref="AW32" si="236">+AV32/AV12</f>
        <v>8.2228546990901208</v>
      </c>
      <c r="AX32" s="54">
        <v>33456.000000000007</v>
      </c>
      <c r="AY32" s="55">
        <f t="shared" ref="AY32" si="237">+AX32/AX12</f>
        <v>8.2228546990901208</v>
      </c>
      <c r="AZ32" s="54">
        <v>33456.000000000007</v>
      </c>
      <c r="BA32" s="55">
        <f t="shared" ref="BA32" si="238">+AZ32/AZ12</f>
        <v>8.2228546990901208</v>
      </c>
      <c r="BB32" s="54">
        <f>BC32*BB12</f>
        <v>33363.011999999995</v>
      </c>
      <c r="BC32" s="55">
        <v>8.1999999999999993</v>
      </c>
      <c r="BD32" s="54">
        <f>BE32*BD12</f>
        <v>33363.011999999995</v>
      </c>
      <c r="BE32" s="55">
        <v>8.1999999999999993</v>
      </c>
      <c r="BF32" s="54">
        <f>BG32*BF12</f>
        <v>33363.011999999995</v>
      </c>
      <c r="BG32" s="55">
        <v>8.1999999999999993</v>
      </c>
      <c r="BH32" s="54">
        <f>BI32*BH12</f>
        <v>33363.011999999995</v>
      </c>
      <c r="BI32" s="55">
        <v>8.1999999999999993</v>
      </c>
      <c r="BJ32" s="54">
        <f>BK32*BJ12</f>
        <v>33363.011999999995</v>
      </c>
      <c r="BK32" s="55">
        <v>8.1999999999999993</v>
      </c>
      <c r="BL32" s="54">
        <f>BM32*BL12</f>
        <v>33363.011999999995</v>
      </c>
      <c r="BM32" s="55">
        <v>8.1999999999999993</v>
      </c>
      <c r="BN32" s="54">
        <v>33456.000000000007</v>
      </c>
      <c r="BO32" s="55">
        <f t="shared" ref="BO32" si="239">+BN32/BN12</f>
        <v>8.2228546990901208</v>
      </c>
    </row>
    <row r="33" spans="1:67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61"/>
      <c r="O33" s="41"/>
      <c r="P33" s="61"/>
      <c r="Q33" s="41"/>
      <c r="R33" s="61"/>
      <c r="S33" s="41"/>
      <c r="T33" s="61"/>
      <c r="U33" s="41"/>
      <c r="V33" s="61"/>
      <c r="W33" s="41"/>
      <c r="X33" s="61"/>
      <c r="Y33" s="41"/>
      <c r="Z33" s="61"/>
      <c r="AA33" s="41"/>
      <c r="AB33" s="61"/>
      <c r="AC33" s="41"/>
      <c r="AD33" s="61"/>
      <c r="AE33" s="41"/>
      <c r="AF33" s="61"/>
      <c r="AG33" s="41"/>
      <c r="AH33" s="61"/>
      <c r="AI33" s="41"/>
      <c r="AJ33" s="61"/>
      <c r="AK33" s="41"/>
      <c r="AL33" s="61"/>
      <c r="AM33" s="41"/>
      <c r="AN33" s="61"/>
      <c r="AO33" s="41"/>
      <c r="AP33" s="61"/>
      <c r="AQ33" s="41"/>
      <c r="AR33" s="61"/>
      <c r="AS33" s="41"/>
      <c r="AT33" s="61"/>
      <c r="AU33" s="41"/>
      <c r="AV33" s="61"/>
      <c r="AW33" s="41"/>
      <c r="AX33" s="61"/>
      <c r="AY33" s="41"/>
      <c r="AZ33" s="61"/>
      <c r="BA33" s="41"/>
      <c r="BB33" s="61"/>
      <c r="BC33" s="41"/>
      <c r="BD33" s="61"/>
      <c r="BE33" s="41"/>
      <c r="BF33" s="61"/>
      <c r="BG33" s="41"/>
      <c r="BH33" s="61"/>
      <c r="BI33" s="41"/>
      <c r="BJ33" s="61"/>
      <c r="BK33" s="41"/>
      <c r="BL33" s="61"/>
      <c r="BM33" s="41"/>
      <c r="BN33" s="61"/>
      <c r="BO33" s="41"/>
    </row>
    <row r="34" spans="1:67" s="4" customFormat="1" ht="18" hidden="1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60"/>
      <c r="O34" s="43"/>
      <c r="P34" s="60"/>
      <c r="Q34" s="43"/>
      <c r="R34" s="60"/>
      <c r="S34" s="43"/>
      <c r="T34" s="60"/>
      <c r="U34" s="43"/>
      <c r="V34" s="60"/>
      <c r="W34" s="43"/>
      <c r="X34" s="60"/>
      <c r="Y34" s="43"/>
      <c r="Z34" s="60"/>
      <c r="AA34" s="43"/>
      <c r="AB34" s="60"/>
      <c r="AC34" s="43"/>
      <c r="AD34" s="60"/>
      <c r="AE34" s="43"/>
      <c r="AF34" s="60"/>
      <c r="AG34" s="43"/>
      <c r="AH34" s="60"/>
      <c r="AI34" s="43"/>
      <c r="AJ34" s="60"/>
      <c r="AK34" s="43"/>
      <c r="AL34" s="60"/>
      <c r="AM34" s="43"/>
      <c r="AN34" s="60"/>
      <c r="AO34" s="43"/>
      <c r="AP34" s="60"/>
      <c r="AQ34" s="43"/>
      <c r="AR34" s="60"/>
      <c r="AS34" s="43"/>
      <c r="AT34" s="60"/>
      <c r="AU34" s="43"/>
      <c r="AV34" s="60"/>
      <c r="AW34" s="43"/>
      <c r="AX34" s="60"/>
      <c r="AY34" s="43"/>
      <c r="AZ34" s="60"/>
      <c r="BA34" s="43"/>
      <c r="BB34" s="60"/>
      <c r="BC34" s="43"/>
      <c r="BD34" s="60"/>
      <c r="BE34" s="43"/>
      <c r="BF34" s="60"/>
      <c r="BG34" s="43"/>
      <c r="BH34" s="60"/>
      <c r="BI34" s="43"/>
      <c r="BJ34" s="60"/>
      <c r="BK34" s="43"/>
      <c r="BL34" s="60"/>
      <c r="BM34" s="43"/>
      <c r="BN34" s="60"/>
      <c r="BO34" s="43"/>
    </row>
    <row r="35" spans="1:67" s="49" customFormat="1" ht="18" hidden="1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47"/>
      <c r="M35" s="48"/>
      <c r="N35" s="47"/>
      <c r="O35" s="48"/>
      <c r="P35" s="47"/>
      <c r="Q35" s="48"/>
      <c r="R35" s="47"/>
      <c r="S35" s="48"/>
      <c r="T35" s="47"/>
      <c r="U35" s="48"/>
      <c r="V35" s="47"/>
      <c r="W35" s="48"/>
      <c r="X35" s="47"/>
      <c r="Y35" s="48"/>
      <c r="Z35" s="47"/>
      <c r="AA35" s="48"/>
      <c r="AB35" s="47"/>
      <c r="AC35" s="48"/>
      <c r="AD35" s="47"/>
      <c r="AE35" s="48"/>
      <c r="AF35" s="47"/>
      <c r="AG35" s="48"/>
      <c r="AH35" s="47"/>
      <c r="AI35" s="48"/>
      <c r="AJ35" s="47"/>
      <c r="AK35" s="48"/>
      <c r="AL35" s="47"/>
      <c r="AM35" s="48"/>
      <c r="AN35" s="47"/>
      <c r="AO35" s="48"/>
      <c r="AP35" s="47"/>
      <c r="AQ35" s="48"/>
      <c r="AR35" s="47"/>
      <c r="AS35" s="48"/>
      <c r="AT35" s="47"/>
      <c r="AU35" s="48"/>
      <c r="AV35" s="47"/>
      <c r="AW35" s="48"/>
      <c r="AX35" s="47"/>
      <c r="AY35" s="48"/>
      <c r="AZ35" s="47"/>
      <c r="BA35" s="48"/>
      <c r="BB35" s="47"/>
      <c r="BC35" s="48"/>
      <c r="BD35" s="47"/>
      <c r="BE35" s="48"/>
      <c r="BF35" s="47"/>
      <c r="BG35" s="48"/>
      <c r="BH35" s="47"/>
      <c r="BI35" s="48"/>
      <c r="BJ35" s="47"/>
      <c r="BK35" s="48"/>
      <c r="BL35" s="47"/>
      <c r="BM35" s="48"/>
      <c r="BN35" s="47"/>
      <c r="BO35" s="48"/>
    </row>
    <row r="36" spans="1:67" s="4" customFormat="1" ht="18" hidden="1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50"/>
      <c r="M36" s="24"/>
      <c r="N36" s="50"/>
      <c r="O36" s="24"/>
      <c r="P36" s="50"/>
      <c r="Q36" s="24"/>
      <c r="R36" s="50"/>
      <c r="S36" s="24"/>
      <c r="T36" s="50"/>
      <c r="U36" s="24"/>
      <c r="V36" s="50"/>
      <c r="W36" s="24"/>
      <c r="X36" s="50"/>
      <c r="Y36" s="24"/>
      <c r="Z36" s="50"/>
      <c r="AA36" s="24"/>
      <c r="AB36" s="50"/>
      <c r="AC36" s="24"/>
      <c r="AD36" s="50"/>
      <c r="AE36" s="24"/>
      <c r="AF36" s="50"/>
      <c r="AG36" s="24"/>
      <c r="AH36" s="50"/>
      <c r="AI36" s="24"/>
      <c r="AJ36" s="50"/>
      <c r="AK36" s="24"/>
      <c r="AL36" s="50"/>
      <c r="AM36" s="24"/>
      <c r="AN36" s="50"/>
      <c r="AO36" s="24"/>
      <c r="AP36" s="50"/>
      <c r="AQ36" s="24"/>
      <c r="AR36" s="50"/>
      <c r="AS36" s="24"/>
      <c r="AT36" s="50"/>
      <c r="AU36" s="24"/>
      <c r="AV36" s="50"/>
      <c r="AW36" s="24"/>
      <c r="AX36" s="50"/>
      <c r="AY36" s="24"/>
      <c r="AZ36" s="50"/>
      <c r="BA36" s="24"/>
      <c r="BB36" s="50"/>
      <c r="BC36" s="24"/>
      <c r="BD36" s="50"/>
      <c r="BE36" s="24"/>
      <c r="BF36" s="50"/>
      <c r="BG36" s="24"/>
      <c r="BH36" s="50"/>
      <c r="BI36" s="24"/>
      <c r="BJ36" s="50"/>
      <c r="BK36" s="24"/>
      <c r="BL36" s="50"/>
      <c r="BM36" s="24"/>
      <c r="BN36" s="50"/>
      <c r="BO36" s="24"/>
    </row>
    <row r="37" spans="1:67" s="4" customFormat="1" ht="18" hidden="1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  <c r="BB37" s="54"/>
      <c r="BC37" s="55"/>
      <c r="BD37" s="54"/>
      <c r="BE37" s="55"/>
      <c r="BF37" s="54"/>
      <c r="BG37" s="55"/>
      <c r="BH37" s="54"/>
      <c r="BI37" s="55"/>
      <c r="BJ37" s="54"/>
      <c r="BK37" s="55"/>
      <c r="BL37" s="54"/>
      <c r="BM37" s="55"/>
      <c r="BN37" s="54"/>
      <c r="BO37" s="55"/>
    </row>
    <row r="38" spans="1:67" s="4" customFormat="1" ht="18" hidden="1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  <c r="BB38" s="54"/>
      <c r="BC38" s="55"/>
      <c r="BD38" s="54"/>
      <c r="BE38" s="55"/>
      <c r="BF38" s="54"/>
      <c r="BG38" s="55"/>
      <c r="BH38" s="54"/>
      <c r="BI38" s="55"/>
      <c r="BJ38" s="54"/>
      <c r="BK38" s="55"/>
      <c r="BL38" s="54"/>
      <c r="BM38" s="55"/>
      <c r="BN38" s="54"/>
      <c r="BO38" s="55"/>
    </row>
    <row r="39" spans="1:67" s="4" customFormat="1" ht="18" hidden="1" customHeight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61"/>
      <c r="O39" s="41"/>
      <c r="P39" s="61"/>
      <c r="Q39" s="41"/>
      <c r="R39" s="61"/>
      <c r="S39" s="41"/>
      <c r="T39" s="61"/>
      <c r="U39" s="41"/>
      <c r="V39" s="61"/>
      <c r="W39" s="41"/>
      <c r="X39" s="61"/>
      <c r="Y39" s="41"/>
      <c r="Z39" s="61"/>
      <c r="AA39" s="41"/>
      <c r="AB39" s="61"/>
      <c r="AC39" s="41"/>
      <c r="AD39" s="61"/>
      <c r="AE39" s="41"/>
      <c r="AF39" s="61"/>
      <c r="AG39" s="41"/>
      <c r="AH39" s="61"/>
      <c r="AI39" s="41"/>
      <c r="AJ39" s="61"/>
      <c r="AK39" s="41"/>
      <c r="AL39" s="61"/>
      <c r="AM39" s="41"/>
      <c r="AN39" s="61"/>
      <c r="AO39" s="41"/>
      <c r="AP39" s="61"/>
      <c r="AQ39" s="41"/>
      <c r="AR39" s="61"/>
      <c r="AS39" s="41"/>
      <c r="AT39" s="61"/>
      <c r="AU39" s="41"/>
      <c r="AV39" s="61"/>
      <c r="AW39" s="41"/>
      <c r="AX39" s="61"/>
      <c r="AY39" s="41"/>
      <c r="AZ39" s="61"/>
      <c r="BA39" s="41"/>
      <c r="BB39" s="61"/>
      <c r="BC39" s="41"/>
      <c r="BD39" s="61"/>
      <c r="BE39" s="41"/>
      <c r="BF39" s="61"/>
      <c r="BG39" s="41"/>
      <c r="BH39" s="61"/>
      <c r="BI39" s="41"/>
      <c r="BJ39" s="61"/>
      <c r="BK39" s="41"/>
      <c r="BL39" s="61"/>
      <c r="BM39" s="41"/>
      <c r="BN39" s="61"/>
      <c r="BO39" s="41"/>
    </row>
    <row r="40" spans="1:67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60"/>
      <c r="O40" s="43"/>
      <c r="P40" s="60"/>
      <c r="Q40" s="43"/>
      <c r="R40" s="60"/>
      <c r="S40" s="43"/>
      <c r="T40" s="60"/>
      <c r="U40" s="43"/>
      <c r="V40" s="60"/>
      <c r="W40" s="43"/>
      <c r="X40" s="60"/>
      <c r="Y40" s="43"/>
      <c r="Z40" s="60"/>
      <c r="AA40" s="43"/>
      <c r="AB40" s="60"/>
      <c r="AC40" s="43"/>
      <c r="AD40" s="60"/>
      <c r="AE40" s="43"/>
      <c r="AF40" s="60"/>
      <c r="AG40" s="43"/>
      <c r="AH40" s="60"/>
      <c r="AI40" s="43"/>
      <c r="AJ40" s="60"/>
      <c r="AK40" s="43"/>
      <c r="AL40" s="60"/>
      <c r="AM40" s="43"/>
      <c r="AN40" s="60"/>
      <c r="AO40" s="43"/>
      <c r="AP40" s="60"/>
      <c r="AQ40" s="43"/>
      <c r="AR40" s="60"/>
      <c r="AS40" s="43"/>
      <c r="AT40" s="60"/>
      <c r="AU40" s="43"/>
      <c r="AV40" s="60"/>
      <c r="AW40" s="43"/>
      <c r="AX40" s="60"/>
      <c r="AY40" s="43"/>
      <c r="AZ40" s="60"/>
      <c r="BA40" s="43"/>
      <c r="BB40" s="60"/>
      <c r="BC40" s="43"/>
      <c r="BD40" s="60"/>
      <c r="BE40" s="43"/>
      <c r="BF40" s="60"/>
      <c r="BG40" s="43"/>
      <c r="BH40" s="60"/>
      <c r="BI40" s="43"/>
      <c r="BJ40" s="60"/>
      <c r="BK40" s="43"/>
      <c r="BL40" s="60"/>
      <c r="BM40" s="43"/>
      <c r="BN40" s="60"/>
      <c r="BO40" s="43"/>
    </row>
    <row r="41" spans="1:67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F42-G54*F12</f>
        <v>1012.2103704545477</v>
      </c>
      <c r="G41" s="24">
        <f>G42-G54</f>
        <v>0.24878224537183002</v>
      </c>
      <c r="H41" s="430">
        <f>H42-I54*H12</f>
        <v>1012.2103704545477</v>
      </c>
      <c r="I41" s="24">
        <f>I42-I54</f>
        <v>0.24878224537183002</v>
      </c>
      <c r="J41" s="430">
        <f>J42-K54*J12</f>
        <v>1012.2103704545477</v>
      </c>
      <c r="K41" s="24">
        <f>K42-K54</f>
        <v>0.24878224537183002</v>
      </c>
      <c r="L41" s="430">
        <f>L42-M54*L12</f>
        <v>1012.2103704545477</v>
      </c>
      <c r="M41" s="24">
        <f>M42-M54</f>
        <v>0.24878224537183002</v>
      </c>
      <c r="N41" s="430">
        <f>N42-O54*N12</f>
        <v>1012.2103704545477</v>
      </c>
      <c r="O41" s="24">
        <f>O42-O54</f>
        <v>0.24878224537183002</v>
      </c>
      <c r="P41" s="430">
        <f>P42-Q54*P12</f>
        <v>1012.2103704545477</v>
      </c>
      <c r="Q41" s="24">
        <f>Q42-Q54</f>
        <v>0.24878224537183002</v>
      </c>
      <c r="R41" s="430">
        <f>R42-S54*R12</f>
        <v>1012.2103704545477</v>
      </c>
      <c r="S41" s="24">
        <f>S42-S54</f>
        <v>0.24878224537183002</v>
      </c>
      <c r="T41" s="430">
        <f>T42-U54*T12</f>
        <v>1012.2103704545477</v>
      </c>
      <c r="U41" s="24">
        <f>U42-U54</f>
        <v>0.24878224537183002</v>
      </c>
      <c r="V41" s="430">
        <f>V42-W54*V12</f>
        <v>1012.2103704545477</v>
      </c>
      <c r="W41" s="24">
        <f>W42-W54</f>
        <v>0.24878224537183002</v>
      </c>
      <c r="X41" s="430">
        <f>X42-Y54*X12</f>
        <v>1012.2103704545477</v>
      </c>
      <c r="Y41" s="24">
        <f>Y42-Y54</f>
        <v>0.24878224537183002</v>
      </c>
      <c r="Z41" s="430">
        <f>Z42-AA54*Z12</f>
        <v>1012.2103704545477</v>
      </c>
      <c r="AA41" s="24">
        <f>AA42-AA54</f>
        <v>0.24878224537183002</v>
      </c>
      <c r="AB41" s="430">
        <f>AB42-AC54*AB12</f>
        <v>732.58246500000223</v>
      </c>
      <c r="AC41" s="24">
        <f>AC42-AC54</f>
        <v>0.18005497264455728</v>
      </c>
      <c r="AD41" s="430">
        <f t="shared" ref="AD41" si="240">AD42-AE54*AD12</f>
        <v>1012.2103704545477</v>
      </c>
      <c r="AE41" s="24">
        <f t="shared" ref="AE41" si="241">AE42-AE54</f>
        <v>0.24878224537183002</v>
      </c>
      <c r="AF41" s="430">
        <f t="shared" ref="AF41" si="242">AF42-AG54*AF12</f>
        <v>1012.2103704545477</v>
      </c>
      <c r="AG41" s="24">
        <f t="shared" ref="AG41" si="243">AG42-AG54</f>
        <v>0.24878224537183002</v>
      </c>
      <c r="AH41" s="430">
        <f t="shared" ref="AH41" si="244">AH42-AI54*AH12</f>
        <v>1012.2103704545477</v>
      </c>
      <c r="AI41" s="24">
        <f t="shared" ref="AI41:AK41" si="245">AI42-AI54</f>
        <v>0.24878224537183002</v>
      </c>
      <c r="AJ41" s="430">
        <f t="shared" ref="AJ41" si="246">AJ42-AK54*AJ12</f>
        <v>1012.2103704545477</v>
      </c>
      <c r="AK41" s="24">
        <f t="shared" si="245"/>
        <v>0.24878224537183002</v>
      </c>
      <c r="AL41" s="430">
        <f t="shared" ref="AL41" si="247">AL42-AM54*AL12</f>
        <v>1012.2103704545477</v>
      </c>
      <c r="AM41" s="24">
        <f t="shared" ref="AM41" si="248">AM42-AM54</f>
        <v>0.24878224537183002</v>
      </c>
      <c r="AN41" s="430">
        <f t="shared" ref="AN41" si="249">AN42-AO54*AN12</f>
        <v>1012.2103704545477</v>
      </c>
      <c r="AO41" s="24">
        <f t="shared" ref="AO41" si="250">AO42-AO54</f>
        <v>0.24878224537183002</v>
      </c>
      <c r="AP41" s="430">
        <f t="shared" ref="AP41" si="251">AP42-AQ54*AP12</f>
        <v>1012.2103704545477</v>
      </c>
      <c r="AQ41" s="24">
        <f t="shared" ref="AQ41" si="252">AQ42-AQ54</f>
        <v>0.24878224537183002</v>
      </c>
      <c r="AR41" s="430">
        <f t="shared" ref="AR41" si="253">AR42-AS54*AR12</f>
        <v>1012.2103704545477</v>
      </c>
      <c r="AS41" s="24">
        <f t="shared" ref="AS41:AY41" si="254">AS42-AS54</f>
        <v>0.24878224537183002</v>
      </c>
      <c r="AT41" s="430">
        <f t="shared" ref="AT41" si="255">AT42-AU54*AT12</f>
        <v>1010.6713489512977</v>
      </c>
      <c r="AU41" s="24">
        <f t="shared" si="254"/>
        <v>0.24840398287183002</v>
      </c>
      <c r="AV41" s="430">
        <f t="shared" ref="AV41" si="256">AV42-AW54*AV12</f>
        <v>1010.6713489512977</v>
      </c>
      <c r="AW41" s="24">
        <f t="shared" si="254"/>
        <v>0.24840398287183002</v>
      </c>
      <c r="AX41" s="430">
        <f t="shared" ref="AX41" si="257">AX42-AY54*AX12</f>
        <v>1012.2103704545477</v>
      </c>
      <c r="AY41" s="24">
        <f t="shared" si="254"/>
        <v>0.24878224537183002</v>
      </c>
      <c r="AZ41" s="430">
        <f t="shared" ref="AZ41" si="258">AZ42-BA54*AZ12</f>
        <v>1012.2103704545477</v>
      </c>
      <c r="BA41" s="24">
        <f t="shared" ref="BA41:BC41" si="259">BA42-BA54</f>
        <v>0.24878224537183002</v>
      </c>
      <c r="BB41" s="430">
        <f t="shared" ref="BB41" si="260">BB42-BC54*BB12</f>
        <v>1003.7569159090924</v>
      </c>
      <c r="BC41" s="24">
        <f t="shared" si="259"/>
        <v>0.24670454545454601</v>
      </c>
      <c r="BD41" s="430">
        <f t="shared" ref="BD41" si="261">BD42-BE54*BD12</f>
        <v>1003.7569159090924</v>
      </c>
      <c r="BE41" s="24">
        <f t="shared" ref="BE41:BG41" si="262">BE42-BE54</f>
        <v>0.24670454545454601</v>
      </c>
      <c r="BF41" s="430">
        <f t="shared" ref="BF41" si="263">BF42-BG54*BF12</f>
        <v>1003.7569159090924</v>
      </c>
      <c r="BG41" s="24">
        <f t="shared" si="262"/>
        <v>0.24670454545454601</v>
      </c>
      <c r="BH41" s="430">
        <f t="shared" ref="BH41" si="264">BH42-BI54*BH12</f>
        <v>1003.7569159090924</v>
      </c>
      <c r="BI41" s="24">
        <f t="shared" ref="BI41:BO41" si="265">BI42-BI54</f>
        <v>0.24670454545454601</v>
      </c>
      <c r="BJ41" s="430">
        <f t="shared" ref="BJ41" si="266">BJ42-BK54*BJ12</f>
        <v>1003.7569159090924</v>
      </c>
      <c r="BK41" s="24">
        <f t="shared" ref="BK41:BM41" si="267">BK42-BK54</f>
        <v>0.24670454545454601</v>
      </c>
      <c r="BL41" s="430">
        <f t="shared" ref="BL41" si="268">BL42-BM54*BL12</f>
        <v>1003.7569159090924</v>
      </c>
      <c r="BM41" s="24">
        <f t="shared" si="267"/>
        <v>0.24670454545454601</v>
      </c>
      <c r="BN41" s="430">
        <f t="shared" ref="BN41" si="269">BN42-BO54*BN12</f>
        <v>1012.2103704545477</v>
      </c>
      <c r="BO41" s="24">
        <f t="shared" si="265"/>
        <v>0.24878224537183002</v>
      </c>
    </row>
    <row r="42" spans="1:67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AC42" si="270">F32-F32/1.1</f>
        <v>3041.4545454545478</v>
      </c>
      <c r="G42" s="24">
        <f t="shared" si="270"/>
        <v>0.74753224537183005</v>
      </c>
      <c r="H42" s="42">
        <f t="shared" si="270"/>
        <v>3041.4545454545478</v>
      </c>
      <c r="I42" s="24">
        <f t="shared" si="270"/>
        <v>0.74753224537183005</v>
      </c>
      <c r="J42" s="42">
        <f t="shared" si="270"/>
        <v>3041.4545454545478</v>
      </c>
      <c r="K42" s="24">
        <f t="shared" si="270"/>
        <v>0.74753224537183005</v>
      </c>
      <c r="L42" s="42">
        <f t="shared" si="270"/>
        <v>3041.4545454545478</v>
      </c>
      <c r="M42" s="24">
        <f t="shared" si="270"/>
        <v>0.74753224537183005</v>
      </c>
      <c r="N42" s="42">
        <f t="shared" si="270"/>
        <v>3041.4545454545478</v>
      </c>
      <c r="O42" s="24">
        <f t="shared" si="270"/>
        <v>0.74753224537183005</v>
      </c>
      <c r="P42" s="42">
        <f t="shared" si="270"/>
        <v>3041.4545454545478</v>
      </c>
      <c r="Q42" s="24">
        <f t="shared" si="270"/>
        <v>0.74753224537183005</v>
      </c>
      <c r="R42" s="42">
        <f t="shared" si="270"/>
        <v>3041.4545454545478</v>
      </c>
      <c r="S42" s="24">
        <f t="shared" si="270"/>
        <v>0.74753224537183005</v>
      </c>
      <c r="T42" s="42">
        <f t="shared" si="270"/>
        <v>3041.4545454545478</v>
      </c>
      <c r="U42" s="24">
        <f t="shared" si="270"/>
        <v>0.74753224537183005</v>
      </c>
      <c r="V42" s="42">
        <f t="shared" si="270"/>
        <v>3041.4545454545478</v>
      </c>
      <c r="W42" s="24">
        <f t="shared" si="270"/>
        <v>0.74753224537183005</v>
      </c>
      <c r="X42" s="42">
        <f t="shared" si="270"/>
        <v>3041.4545454545478</v>
      </c>
      <c r="Y42" s="24">
        <f t="shared" si="270"/>
        <v>0.74753224537183005</v>
      </c>
      <c r="Z42" s="42">
        <f t="shared" si="270"/>
        <v>3041.4545454545478</v>
      </c>
      <c r="AA42" s="24">
        <f t="shared" si="270"/>
        <v>0.74753224537183005</v>
      </c>
      <c r="AB42" s="42">
        <f t="shared" si="270"/>
        <v>3041.4545454545478</v>
      </c>
      <c r="AC42" s="24">
        <f t="shared" si="270"/>
        <v>0.74753224537183005</v>
      </c>
      <c r="AD42" s="42">
        <f t="shared" ref="AD42:AI42" si="271">AD32-AD32/1.1</f>
        <v>3041.4545454545478</v>
      </c>
      <c r="AE42" s="24">
        <f t="shared" si="271"/>
        <v>0.74753224537183005</v>
      </c>
      <c r="AF42" s="42">
        <f t="shared" si="271"/>
        <v>3041.4545454545478</v>
      </c>
      <c r="AG42" s="24">
        <f t="shared" si="271"/>
        <v>0.74753224537183005</v>
      </c>
      <c r="AH42" s="42">
        <f t="shared" si="271"/>
        <v>3041.4545454545478</v>
      </c>
      <c r="AI42" s="24">
        <f t="shared" si="271"/>
        <v>0.74753224537183005</v>
      </c>
      <c r="AJ42" s="42">
        <f t="shared" ref="AJ42:AS42" si="272">AJ32-AJ32/1.1</f>
        <v>3041.4545454545478</v>
      </c>
      <c r="AK42" s="24">
        <f t="shared" si="272"/>
        <v>0.74753224537183005</v>
      </c>
      <c r="AL42" s="42">
        <f t="shared" si="272"/>
        <v>3041.4545454545478</v>
      </c>
      <c r="AM42" s="24">
        <f t="shared" si="272"/>
        <v>0.74753224537183005</v>
      </c>
      <c r="AN42" s="42">
        <f t="shared" si="272"/>
        <v>3041.4545454545478</v>
      </c>
      <c r="AO42" s="24">
        <f t="shared" si="272"/>
        <v>0.74753224537183005</v>
      </c>
      <c r="AP42" s="42">
        <f t="shared" si="272"/>
        <v>3041.4545454545478</v>
      </c>
      <c r="AQ42" s="24">
        <f t="shared" si="272"/>
        <v>0.74753224537183005</v>
      </c>
      <c r="AR42" s="42">
        <f t="shared" si="272"/>
        <v>3041.4545454545478</v>
      </c>
      <c r="AS42" s="24">
        <f t="shared" si="272"/>
        <v>0.74753224537183005</v>
      </c>
      <c r="AT42" s="42">
        <f t="shared" ref="AT42:AY42" si="273">AT32-AT32/1.1</f>
        <v>3041.4545454545478</v>
      </c>
      <c r="AU42" s="24">
        <f t="shared" si="273"/>
        <v>0.74753224537183005</v>
      </c>
      <c r="AV42" s="42">
        <f t="shared" si="273"/>
        <v>3041.4545454545478</v>
      </c>
      <c r="AW42" s="24">
        <f t="shared" si="273"/>
        <v>0.74753224537183005</v>
      </c>
      <c r="AX42" s="42">
        <f t="shared" si="273"/>
        <v>3041.4545454545478</v>
      </c>
      <c r="AY42" s="24">
        <f t="shared" si="273"/>
        <v>0.74753224537183005</v>
      </c>
      <c r="AZ42" s="42">
        <f t="shared" ref="AZ42:BA42" si="274">AZ32-AZ32/1.1</f>
        <v>3041.4545454545478</v>
      </c>
      <c r="BA42" s="24">
        <f t="shared" si="274"/>
        <v>0.74753224537183005</v>
      </c>
      <c r="BB42" s="42">
        <f t="shared" ref="BB42:BC42" si="275">BB32-BB32/1.1</f>
        <v>3033.0010909090925</v>
      </c>
      <c r="BC42" s="24">
        <f t="shared" si="275"/>
        <v>0.74545454545454604</v>
      </c>
      <c r="BD42" s="42">
        <f t="shared" ref="BD42:BE42" si="276">BD32-BD32/1.1</f>
        <v>3033.0010909090925</v>
      </c>
      <c r="BE42" s="24">
        <f t="shared" si="276"/>
        <v>0.74545454545454604</v>
      </c>
      <c r="BF42" s="42">
        <f t="shared" ref="BF42:BG42" si="277">BF32-BF32/1.1</f>
        <v>3033.0010909090925</v>
      </c>
      <c r="BG42" s="24">
        <f t="shared" si="277"/>
        <v>0.74545454545454604</v>
      </c>
      <c r="BH42" s="42">
        <f t="shared" ref="BH42:BI42" si="278">BH32-BH32/1.1</f>
        <v>3033.0010909090925</v>
      </c>
      <c r="BI42" s="24">
        <f t="shared" si="278"/>
        <v>0.74545454545454604</v>
      </c>
      <c r="BJ42" s="42">
        <f t="shared" ref="BJ42:BK42" si="279">BJ32-BJ32/1.1</f>
        <v>3033.0010909090925</v>
      </c>
      <c r="BK42" s="24">
        <f t="shared" si="279"/>
        <v>0.74545454545454604</v>
      </c>
      <c r="BL42" s="42">
        <f t="shared" ref="BL42:BM42" si="280">BL32-BL32/1.1</f>
        <v>3033.0010909090925</v>
      </c>
      <c r="BM42" s="24">
        <f t="shared" si="280"/>
        <v>0.74545454545454604</v>
      </c>
      <c r="BN42" s="42">
        <f t="shared" ref="BN42:BO42" si="281">BN32-BN32/1.1</f>
        <v>3041.4545454545478</v>
      </c>
      <c r="BO42" s="24">
        <f t="shared" si="281"/>
        <v>0.74753224537183005</v>
      </c>
    </row>
    <row r="43" spans="1:67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AC43" si="282">+F44/F32</f>
        <v>0.21134052799334818</v>
      </c>
      <c r="G43" s="48">
        <f t="shared" si="282"/>
        <v>0.21134052799334824</v>
      </c>
      <c r="H43" s="47">
        <f t="shared" si="282"/>
        <v>0.21134052799334818</v>
      </c>
      <c r="I43" s="48">
        <f t="shared" si="282"/>
        <v>0.21134052799334824</v>
      </c>
      <c r="J43" s="47">
        <f t="shared" si="282"/>
        <v>0.21134052799334818</v>
      </c>
      <c r="K43" s="48">
        <f t="shared" si="282"/>
        <v>0.21134052799334824</v>
      </c>
      <c r="L43" s="47">
        <f t="shared" si="282"/>
        <v>0.21134052799334818</v>
      </c>
      <c r="M43" s="48">
        <f t="shared" si="282"/>
        <v>0.21134052799334824</v>
      </c>
      <c r="N43" s="47">
        <f t="shared" si="282"/>
        <v>0.21134052799334818</v>
      </c>
      <c r="O43" s="48">
        <f t="shared" si="282"/>
        <v>0.21134052799334824</v>
      </c>
      <c r="P43" s="47">
        <f t="shared" si="282"/>
        <v>0.21134052799334818</v>
      </c>
      <c r="Q43" s="48">
        <f t="shared" si="282"/>
        <v>0.21134052799334824</v>
      </c>
      <c r="R43" s="47">
        <f t="shared" si="282"/>
        <v>0.21134052799334818</v>
      </c>
      <c r="S43" s="48">
        <f t="shared" si="282"/>
        <v>0.21134052799334824</v>
      </c>
      <c r="T43" s="47">
        <f t="shared" si="282"/>
        <v>0.21134052799334818</v>
      </c>
      <c r="U43" s="48">
        <f t="shared" si="282"/>
        <v>0.21134052799334824</v>
      </c>
      <c r="V43" s="47">
        <f t="shared" si="282"/>
        <v>0.21134052799334818</v>
      </c>
      <c r="W43" s="48">
        <f t="shared" si="282"/>
        <v>0.21134052799334824</v>
      </c>
      <c r="X43" s="47">
        <f t="shared" si="282"/>
        <v>0.21134052799334818</v>
      </c>
      <c r="Y43" s="48">
        <f t="shared" si="282"/>
        <v>0.21134052799334824</v>
      </c>
      <c r="Z43" s="47">
        <f t="shared" si="282"/>
        <v>0.21134052799334818</v>
      </c>
      <c r="AA43" s="48">
        <f t="shared" si="282"/>
        <v>0.21134052799334824</v>
      </c>
      <c r="AB43" s="47">
        <f t="shared" si="282"/>
        <v>0.1277597336800575</v>
      </c>
      <c r="AC43" s="48">
        <f t="shared" si="282"/>
        <v>0.1277597336800575</v>
      </c>
      <c r="AD43" s="47">
        <f t="shared" ref="AD43:AI43" si="283">+AD44/AD32</f>
        <v>0.21134052799334818</v>
      </c>
      <c r="AE43" s="48">
        <f t="shared" si="283"/>
        <v>0.21134052799334824</v>
      </c>
      <c r="AF43" s="47">
        <f t="shared" si="283"/>
        <v>0.21134052799334818</v>
      </c>
      <c r="AG43" s="48">
        <f t="shared" si="283"/>
        <v>0.21134052799334824</v>
      </c>
      <c r="AH43" s="47">
        <f t="shared" si="283"/>
        <v>0.21134052799334818</v>
      </c>
      <c r="AI43" s="48">
        <f t="shared" si="283"/>
        <v>0.21134052799334824</v>
      </c>
      <c r="AJ43" s="47">
        <f t="shared" ref="AJ43:AS43" si="284">+AJ44/AJ32</f>
        <v>0.21134052799334818</v>
      </c>
      <c r="AK43" s="48">
        <f t="shared" si="284"/>
        <v>0.21134052799334824</v>
      </c>
      <c r="AL43" s="47">
        <f t="shared" si="284"/>
        <v>0.21134052799334818</v>
      </c>
      <c r="AM43" s="48">
        <f t="shared" si="284"/>
        <v>0.21134052799334824</v>
      </c>
      <c r="AN43" s="47">
        <f t="shared" si="284"/>
        <v>0.21134052799334818</v>
      </c>
      <c r="AO43" s="48">
        <f t="shared" si="284"/>
        <v>0.21134052799334824</v>
      </c>
      <c r="AP43" s="47">
        <f t="shared" si="284"/>
        <v>0.21134052799334818</v>
      </c>
      <c r="AQ43" s="48">
        <f t="shared" si="284"/>
        <v>0.21134052799334824</v>
      </c>
      <c r="AR43" s="47">
        <f t="shared" si="284"/>
        <v>0.21134052799334818</v>
      </c>
      <c r="AS43" s="48">
        <f t="shared" si="284"/>
        <v>0.21134052799334824</v>
      </c>
      <c r="AT43" s="47">
        <f t="shared" ref="AT43:AY43" si="285">+AT44/AT32</f>
        <v>0.21088051439242458</v>
      </c>
      <c r="AU43" s="48">
        <f t="shared" si="285"/>
        <v>0.21088051439242458</v>
      </c>
      <c r="AV43" s="47">
        <f t="shared" si="285"/>
        <v>0.21088051439242458</v>
      </c>
      <c r="AW43" s="48">
        <f t="shared" si="285"/>
        <v>0.21088051439242458</v>
      </c>
      <c r="AX43" s="47">
        <f t="shared" si="285"/>
        <v>0.21134052799334818</v>
      </c>
      <c r="AY43" s="48">
        <f t="shared" si="285"/>
        <v>0.21134052799334824</v>
      </c>
      <c r="AZ43" s="47">
        <f t="shared" ref="AZ43:BA43" si="286">+AZ44/AZ32</f>
        <v>0.21134052799334818</v>
      </c>
      <c r="BA43" s="48">
        <f t="shared" si="286"/>
        <v>0.21134052799334824</v>
      </c>
      <c r="BB43" s="47">
        <f t="shared" ref="BB43:BC43" si="287">+BB44/BB32</f>
        <v>0.2093957871396894</v>
      </c>
      <c r="BC43" s="48">
        <f t="shared" si="287"/>
        <v>0.20939578713968943</v>
      </c>
      <c r="BD43" s="47">
        <f t="shared" ref="BD43:BE43" si="288">+BD44/BD32</f>
        <v>0.2093957871396894</v>
      </c>
      <c r="BE43" s="48">
        <f t="shared" si="288"/>
        <v>0.20939578713968943</v>
      </c>
      <c r="BF43" s="47">
        <f t="shared" ref="BF43:BG43" si="289">+BF44/BF32</f>
        <v>0.2093957871396894</v>
      </c>
      <c r="BG43" s="48">
        <f t="shared" si="289"/>
        <v>0.20939578713968943</v>
      </c>
      <c r="BH43" s="47">
        <f t="shared" ref="BH43:BI43" si="290">+BH44/BH32</f>
        <v>0.2093957871396894</v>
      </c>
      <c r="BI43" s="48">
        <f t="shared" si="290"/>
        <v>0.20939578713968943</v>
      </c>
      <c r="BJ43" s="47">
        <f t="shared" ref="BJ43:BK43" si="291">+BJ44/BJ32</f>
        <v>0.2093957871396894</v>
      </c>
      <c r="BK43" s="48">
        <f t="shared" si="291"/>
        <v>0.20939578713968943</v>
      </c>
      <c r="BL43" s="47">
        <f t="shared" ref="BL43:BM43" si="292">+BL44/BL32</f>
        <v>0.2093957871396894</v>
      </c>
      <c r="BM43" s="48">
        <f t="shared" si="292"/>
        <v>0.20939578713968943</v>
      </c>
      <c r="BN43" s="47">
        <f t="shared" ref="BN43:BO43" si="293">+BN44/BN32</f>
        <v>0.21134052799334818</v>
      </c>
      <c r="BO43" s="48">
        <f t="shared" si="293"/>
        <v>0.21134052799334824</v>
      </c>
    </row>
    <row r="44" spans="1:67" s="4" customFormat="1" ht="18" customHeight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AC44" si="294">+F32-F45-F41</f>
        <v>7070.6087045454587</v>
      </c>
      <c r="G44" s="24">
        <f t="shared" si="294"/>
        <v>1.7378224537182907</v>
      </c>
      <c r="H44" s="42">
        <f t="shared" si="294"/>
        <v>7070.6087045454587</v>
      </c>
      <c r="I44" s="24">
        <f t="shared" si="294"/>
        <v>1.7378224537182907</v>
      </c>
      <c r="J44" s="42">
        <f t="shared" si="294"/>
        <v>7070.6087045454587</v>
      </c>
      <c r="K44" s="24">
        <f t="shared" si="294"/>
        <v>1.7378224537182907</v>
      </c>
      <c r="L44" s="42">
        <f t="shared" si="294"/>
        <v>7070.6087045454587</v>
      </c>
      <c r="M44" s="24">
        <f t="shared" si="294"/>
        <v>1.7378224537182907</v>
      </c>
      <c r="N44" s="42">
        <f t="shared" si="294"/>
        <v>7070.6087045454587</v>
      </c>
      <c r="O44" s="24">
        <f t="shared" si="294"/>
        <v>1.7378224537182907</v>
      </c>
      <c r="P44" s="42">
        <f t="shared" si="294"/>
        <v>7070.6087045454587</v>
      </c>
      <c r="Q44" s="24">
        <f t="shared" si="294"/>
        <v>1.7378224537182907</v>
      </c>
      <c r="R44" s="42">
        <f t="shared" si="294"/>
        <v>7070.6087045454587</v>
      </c>
      <c r="S44" s="24">
        <f t="shared" si="294"/>
        <v>1.7378224537182907</v>
      </c>
      <c r="T44" s="42">
        <f t="shared" si="294"/>
        <v>7070.6087045454587</v>
      </c>
      <c r="U44" s="24">
        <f t="shared" si="294"/>
        <v>1.7378224537182907</v>
      </c>
      <c r="V44" s="42">
        <f t="shared" si="294"/>
        <v>7070.6087045454587</v>
      </c>
      <c r="W44" s="24">
        <f t="shared" si="294"/>
        <v>1.7378224537182907</v>
      </c>
      <c r="X44" s="42">
        <f t="shared" si="294"/>
        <v>7070.6087045454587</v>
      </c>
      <c r="Y44" s="24">
        <f t="shared" si="294"/>
        <v>1.7378224537182907</v>
      </c>
      <c r="Z44" s="42">
        <f t="shared" si="294"/>
        <v>7070.6087045454587</v>
      </c>
      <c r="AA44" s="24">
        <f t="shared" si="294"/>
        <v>1.7378224537182907</v>
      </c>
      <c r="AB44" s="42">
        <f t="shared" si="294"/>
        <v>4274.3296500000042</v>
      </c>
      <c r="AC44" s="24">
        <f t="shared" si="294"/>
        <v>1.0505497264455632</v>
      </c>
      <c r="AD44" s="42">
        <f t="shared" ref="AD44:AI44" si="295">+AD32-AD45-AD41</f>
        <v>7070.6087045454587</v>
      </c>
      <c r="AE44" s="24">
        <f t="shared" si="295"/>
        <v>1.7378224537182907</v>
      </c>
      <c r="AF44" s="42">
        <f t="shared" si="295"/>
        <v>7070.6087045454587</v>
      </c>
      <c r="AG44" s="24">
        <f t="shared" si="295"/>
        <v>1.7378224537182907</v>
      </c>
      <c r="AH44" s="42">
        <f t="shared" si="295"/>
        <v>7070.6087045454587</v>
      </c>
      <c r="AI44" s="24">
        <f t="shared" si="295"/>
        <v>1.7378224537182907</v>
      </c>
      <c r="AJ44" s="42">
        <f t="shared" ref="AJ44:AS44" si="296">+AJ32-AJ45-AJ41</f>
        <v>7070.6087045454587</v>
      </c>
      <c r="AK44" s="24">
        <f t="shared" si="296"/>
        <v>1.7378224537182907</v>
      </c>
      <c r="AL44" s="42">
        <f t="shared" si="296"/>
        <v>7070.6087045454587</v>
      </c>
      <c r="AM44" s="24">
        <f t="shared" si="296"/>
        <v>1.7378224537182907</v>
      </c>
      <c r="AN44" s="42">
        <f t="shared" si="296"/>
        <v>7070.6087045454587</v>
      </c>
      <c r="AO44" s="24">
        <f t="shared" si="296"/>
        <v>1.7378224537182907</v>
      </c>
      <c r="AP44" s="42">
        <f t="shared" si="296"/>
        <v>7070.6087045454587</v>
      </c>
      <c r="AQ44" s="24">
        <f t="shared" si="296"/>
        <v>1.7378224537182907</v>
      </c>
      <c r="AR44" s="42">
        <f t="shared" si="296"/>
        <v>7070.6087045454587</v>
      </c>
      <c r="AS44" s="24">
        <f t="shared" si="296"/>
        <v>1.7378224537182907</v>
      </c>
      <c r="AT44" s="42">
        <f t="shared" ref="AT44:AY44" si="297">+AT32-AT45-AT41</f>
        <v>7055.2184895129585</v>
      </c>
      <c r="AU44" s="24">
        <f t="shared" si="297"/>
        <v>1.7340398287182903</v>
      </c>
      <c r="AV44" s="42">
        <f t="shared" si="297"/>
        <v>7055.2184895129585</v>
      </c>
      <c r="AW44" s="24">
        <f t="shared" si="297"/>
        <v>1.7340398287182903</v>
      </c>
      <c r="AX44" s="42">
        <f t="shared" si="297"/>
        <v>7070.6087045454587</v>
      </c>
      <c r="AY44" s="24">
        <f t="shared" si="297"/>
        <v>1.7378224537182907</v>
      </c>
      <c r="AZ44" s="42">
        <f t="shared" ref="AZ44:BA44" si="298">+AZ32-AZ45-AZ41</f>
        <v>7070.6087045454587</v>
      </c>
      <c r="BA44" s="24">
        <f t="shared" si="298"/>
        <v>1.7378224537182907</v>
      </c>
      <c r="BB44" s="42">
        <f t="shared" ref="BB44:BC44" si="299">+BB32-BB45-BB41</f>
        <v>6986.074159090902</v>
      </c>
      <c r="BC44" s="24">
        <f t="shared" si="299"/>
        <v>1.7170454545454532</v>
      </c>
      <c r="BD44" s="42">
        <f t="shared" ref="BD44:BE44" si="300">+BD32-BD45-BD41</f>
        <v>6986.074159090902</v>
      </c>
      <c r="BE44" s="24">
        <f t="shared" si="300"/>
        <v>1.7170454545454532</v>
      </c>
      <c r="BF44" s="42">
        <f t="shared" ref="BF44:BG44" si="301">+BF32-BF45-BF41</f>
        <v>6986.074159090902</v>
      </c>
      <c r="BG44" s="24">
        <f t="shared" si="301"/>
        <v>1.7170454545454532</v>
      </c>
      <c r="BH44" s="42">
        <f t="shared" ref="BH44:BI44" si="302">+BH32-BH45-BH41</f>
        <v>6986.074159090902</v>
      </c>
      <c r="BI44" s="24">
        <f t="shared" si="302"/>
        <v>1.7170454545454532</v>
      </c>
      <c r="BJ44" s="42">
        <f t="shared" ref="BJ44:BK44" si="303">+BJ32-BJ45-BJ41</f>
        <v>6986.074159090902</v>
      </c>
      <c r="BK44" s="24">
        <f t="shared" si="303"/>
        <v>1.7170454545454532</v>
      </c>
      <c r="BL44" s="42">
        <f t="shared" ref="BL44:BM44" si="304">+BL32-BL45-BL41</f>
        <v>6986.074159090902</v>
      </c>
      <c r="BM44" s="24">
        <f t="shared" si="304"/>
        <v>1.7170454545454532</v>
      </c>
      <c r="BN44" s="42">
        <f t="shared" ref="BN44:BO44" si="305">+BN32-BN45-BN41</f>
        <v>7070.6087045454587</v>
      </c>
      <c r="BO44" s="24">
        <f t="shared" si="305"/>
        <v>1.7378224537182907</v>
      </c>
    </row>
    <row r="45" spans="1:67" s="4" customFormat="1" ht="18" customHeight="1" x14ac:dyDescent="0.45">
      <c r="A45" s="561"/>
      <c r="B45" s="1194"/>
      <c r="C45" s="19" t="s">
        <v>49</v>
      </c>
      <c r="D45" s="20"/>
      <c r="E45" s="30"/>
      <c r="F45" s="66">
        <f>+G49*F12</f>
        <v>25373.180925000001</v>
      </c>
      <c r="G45" s="32">
        <f>+G49</f>
        <v>6.2362500000000001</v>
      </c>
      <c r="H45" s="66">
        <f>+I49*H12</f>
        <v>25373.180925000001</v>
      </c>
      <c r="I45" s="32">
        <f>+I49</f>
        <v>6.2362500000000001</v>
      </c>
      <c r="J45" s="66">
        <f>+K49*J12</f>
        <v>25373.180925000001</v>
      </c>
      <c r="K45" s="32">
        <f>+K49</f>
        <v>6.2362500000000001</v>
      </c>
      <c r="L45" s="66">
        <f>+M49*L12</f>
        <v>25373.180925000001</v>
      </c>
      <c r="M45" s="32">
        <f>+M49</f>
        <v>6.2362500000000001</v>
      </c>
      <c r="N45" s="66">
        <f>+O49*N12</f>
        <v>25373.180925000001</v>
      </c>
      <c r="O45" s="32">
        <f>+O49</f>
        <v>6.2362500000000001</v>
      </c>
      <c r="P45" s="66">
        <f>+Q49*P12</f>
        <v>25373.180925000001</v>
      </c>
      <c r="Q45" s="32">
        <f>+Q49</f>
        <v>6.2362500000000001</v>
      </c>
      <c r="R45" s="66">
        <f>+S49*R12</f>
        <v>25373.180925000001</v>
      </c>
      <c r="S45" s="32">
        <f>+S49</f>
        <v>6.2362500000000001</v>
      </c>
      <c r="T45" s="66">
        <f>+U49*T12</f>
        <v>25373.180925000001</v>
      </c>
      <c r="U45" s="32">
        <f>+U49</f>
        <v>6.2362500000000001</v>
      </c>
      <c r="V45" s="66">
        <f>+W49*V12</f>
        <v>25373.180925000001</v>
      </c>
      <c r="W45" s="32">
        <f>+W49</f>
        <v>6.2362500000000001</v>
      </c>
      <c r="X45" s="66">
        <f>+Y49*X12</f>
        <v>25373.180925000001</v>
      </c>
      <c r="Y45" s="32">
        <f>+Y49</f>
        <v>6.2362500000000001</v>
      </c>
      <c r="Z45" s="66">
        <f>+AA49*Z12</f>
        <v>25373.180925000001</v>
      </c>
      <c r="AA45" s="32">
        <f>+AA49</f>
        <v>6.2362500000000001</v>
      </c>
      <c r="AB45" s="66">
        <f>+AC49*AB12</f>
        <v>28449.087885000001</v>
      </c>
      <c r="AC45" s="32">
        <f>+AC49</f>
        <v>6.9922500000000003</v>
      </c>
      <c r="AD45" s="66">
        <f t="shared" ref="AD45" si="306">+AE49*AD12</f>
        <v>25373.180925000001</v>
      </c>
      <c r="AE45" s="32">
        <f t="shared" ref="AE45" si="307">+AE49</f>
        <v>6.2362500000000001</v>
      </c>
      <c r="AF45" s="66">
        <f t="shared" ref="AF45" si="308">+AG49*AF12</f>
        <v>25373.180925000001</v>
      </c>
      <c r="AG45" s="32">
        <f t="shared" ref="AG45" si="309">+AG49</f>
        <v>6.2362500000000001</v>
      </c>
      <c r="AH45" s="66">
        <f t="shared" ref="AH45" si="310">+AI49*AH12</f>
        <v>25373.180925000001</v>
      </c>
      <c r="AI45" s="32">
        <f t="shared" ref="AI45:AK45" si="311">+AI49</f>
        <v>6.2362500000000001</v>
      </c>
      <c r="AJ45" s="66">
        <f t="shared" ref="AJ45" si="312">+AK49*AJ12</f>
        <v>25373.180925000001</v>
      </c>
      <c r="AK45" s="32">
        <f t="shared" si="311"/>
        <v>6.2362500000000001</v>
      </c>
      <c r="AL45" s="66">
        <f t="shared" ref="AL45" si="313">+AM49*AL12</f>
        <v>25373.180925000001</v>
      </c>
      <c r="AM45" s="32">
        <f t="shared" ref="AM45" si="314">+AM49</f>
        <v>6.2362500000000001</v>
      </c>
      <c r="AN45" s="66">
        <f t="shared" ref="AN45" si="315">+AO49*AN12</f>
        <v>25373.180925000001</v>
      </c>
      <c r="AO45" s="32">
        <f t="shared" ref="AO45" si="316">+AO49</f>
        <v>6.2362500000000001</v>
      </c>
      <c r="AP45" s="66">
        <f t="shared" ref="AP45" si="317">+AQ49*AP12</f>
        <v>25373.180925000001</v>
      </c>
      <c r="AQ45" s="32">
        <f t="shared" ref="AQ45" si="318">+AQ49</f>
        <v>6.2362500000000001</v>
      </c>
      <c r="AR45" s="66">
        <f t="shared" ref="AR45" si="319">+AS49*AR12</f>
        <v>25373.180925000001</v>
      </c>
      <c r="AS45" s="32">
        <f t="shared" ref="AS45:AY45" si="320">+AS49</f>
        <v>6.2362500000000001</v>
      </c>
      <c r="AT45" s="66">
        <f t="shared" ref="AT45" si="321">+AU49*AT12</f>
        <v>25390.110161535751</v>
      </c>
      <c r="AU45" s="32">
        <f t="shared" si="320"/>
        <v>6.2404108875000004</v>
      </c>
      <c r="AV45" s="66">
        <f t="shared" ref="AV45" si="322">+AW49*AV12</f>
        <v>25390.110161535751</v>
      </c>
      <c r="AW45" s="32">
        <f t="shared" si="320"/>
        <v>6.2404108875000004</v>
      </c>
      <c r="AX45" s="66">
        <f t="shared" ref="AX45" si="323">+AY49*AX12</f>
        <v>25373.180925000001</v>
      </c>
      <c r="AY45" s="32">
        <f t="shared" si="320"/>
        <v>6.2362500000000001</v>
      </c>
      <c r="AZ45" s="66">
        <f t="shared" ref="AZ45" si="324">+BA49*AZ12</f>
        <v>25373.180925000001</v>
      </c>
      <c r="BA45" s="32">
        <f t="shared" ref="BA45:BC45" si="325">+BA49</f>
        <v>6.2362500000000001</v>
      </c>
      <c r="BB45" s="66">
        <f t="shared" ref="BB45" si="326">+BC49*BB12</f>
        <v>25373.180925000001</v>
      </c>
      <c r="BC45" s="32">
        <f t="shared" si="325"/>
        <v>6.2362500000000001</v>
      </c>
      <c r="BD45" s="66">
        <f t="shared" ref="BD45" si="327">+BE49*BD12</f>
        <v>25373.180925000001</v>
      </c>
      <c r="BE45" s="32">
        <f t="shared" ref="BE45:BG45" si="328">+BE49</f>
        <v>6.2362500000000001</v>
      </c>
      <c r="BF45" s="66">
        <f t="shared" ref="BF45" si="329">+BG49*BF12</f>
        <v>25373.180925000001</v>
      </c>
      <c r="BG45" s="32">
        <f t="shared" si="328"/>
        <v>6.2362500000000001</v>
      </c>
      <c r="BH45" s="66">
        <f t="shared" ref="BH45" si="330">+BI49*BH12</f>
        <v>25373.180925000001</v>
      </c>
      <c r="BI45" s="32">
        <f t="shared" ref="BI45:BO45" si="331">+BI49</f>
        <v>6.2362500000000001</v>
      </c>
      <c r="BJ45" s="66">
        <f t="shared" ref="BJ45" si="332">+BK49*BJ12</f>
        <v>25373.180925000001</v>
      </c>
      <c r="BK45" s="32">
        <f t="shared" ref="BK45:BM45" si="333">+BK49</f>
        <v>6.2362500000000001</v>
      </c>
      <c r="BL45" s="66">
        <f t="shared" ref="BL45" si="334">+BM49*BL12</f>
        <v>25373.180925000001</v>
      </c>
      <c r="BM45" s="32">
        <f t="shared" si="333"/>
        <v>6.2362500000000001</v>
      </c>
      <c r="BN45" s="66">
        <f t="shared" ref="BN45" si="335">+BO49*BN12</f>
        <v>25373.180925000001</v>
      </c>
      <c r="BO45" s="32">
        <f t="shared" si="331"/>
        <v>6.2362500000000001</v>
      </c>
    </row>
    <row r="46" spans="1:67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27">
        <v>0</v>
      </c>
      <c r="O46" s="41"/>
      <c r="P46" s="27">
        <v>0</v>
      </c>
      <c r="Q46" s="41"/>
      <c r="R46" s="27">
        <v>0</v>
      </c>
      <c r="S46" s="41"/>
      <c r="T46" s="27">
        <v>0</v>
      </c>
      <c r="U46" s="41"/>
      <c r="V46" s="27">
        <v>0</v>
      </c>
      <c r="W46" s="41"/>
      <c r="X46" s="27">
        <v>0</v>
      </c>
      <c r="Y46" s="41"/>
      <c r="Z46" s="27">
        <v>0</v>
      </c>
      <c r="AA46" s="41"/>
      <c r="AB46" s="27">
        <v>0</v>
      </c>
      <c r="AC46" s="41"/>
      <c r="AD46" s="27">
        <v>0</v>
      </c>
      <c r="AE46" s="41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27">
        <v>0</v>
      </c>
      <c r="AO46" s="41"/>
      <c r="AP46" s="27">
        <v>0</v>
      </c>
      <c r="AQ46" s="41"/>
      <c r="AR46" s="27">
        <v>0</v>
      </c>
      <c r="AS46" s="41"/>
      <c r="AT46" s="27">
        <v>0</v>
      </c>
      <c r="AU46" s="41"/>
      <c r="AV46" s="27">
        <v>0</v>
      </c>
      <c r="AW46" s="41"/>
      <c r="AX46" s="27">
        <v>0</v>
      </c>
      <c r="AY46" s="41"/>
      <c r="AZ46" s="27">
        <v>0</v>
      </c>
      <c r="BA46" s="41"/>
      <c r="BB46" s="27">
        <v>0</v>
      </c>
      <c r="BC46" s="41"/>
      <c r="BD46" s="27">
        <v>0</v>
      </c>
      <c r="BE46" s="41"/>
      <c r="BF46" s="27">
        <v>0</v>
      </c>
      <c r="BG46" s="41"/>
      <c r="BH46" s="27">
        <v>0</v>
      </c>
      <c r="BI46" s="41"/>
      <c r="BJ46" s="27">
        <v>0</v>
      </c>
      <c r="BK46" s="41"/>
      <c r="BL46" s="27">
        <v>0</v>
      </c>
      <c r="BM46" s="41"/>
      <c r="BN46" s="27">
        <v>0</v>
      </c>
      <c r="BO46" s="41"/>
    </row>
    <row r="47" spans="1:67" s="4" customFormat="1" ht="18" customHeight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60"/>
      <c r="O47" s="68"/>
      <c r="P47" s="60"/>
      <c r="Q47" s="68"/>
      <c r="R47" s="60"/>
      <c r="S47" s="68"/>
      <c r="T47" s="60"/>
      <c r="U47" s="68"/>
      <c r="V47" s="60"/>
      <c r="W47" s="68"/>
      <c r="X47" s="60"/>
      <c r="Y47" s="68"/>
      <c r="Z47" s="60"/>
      <c r="AA47" s="68"/>
      <c r="AB47" s="60"/>
      <c r="AC47" s="68"/>
      <c r="AD47" s="60"/>
      <c r="AE47" s="68"/>
      <c r="AF47" s="60"/>
      <c r="AG47" s="68"/>
      <c r="AH47" s="60"/>
      <c r="AI47" s="68"/>
      <c r="AJ47" s="60"/>
      <c r="AK47" s="68"/>
      <c r="AL47" s="60"/>
      <c r="AM47" s="68"/>
      <c r="AN47" s="60"/>
      <c r="AO47" s="68"/>
      <c r="AP47" s="60"/>
      <c r="AQ47" s="68"/>
      <c r="AR47" s="60"/>
      <c r="AS47" s="68"/>
      <c r="AT47" s="60"/>
      <c r="AU47" s="68"/>
      <c r="AV47" s="60"/>
      <c r="AW47" s="68"/>
      <c r="AX47" s="60"/>
      <c r="AY47" s="68"/>
      <c r="AZ47" s="60"/>
      <c r="BA47" s="68"/>
      <c r="BB47" s="60"/>
      <c r="BC47" s="68"/>
      <c r="BD47" s="60"/>
      <c r="BE47" s="68"/>
      <c r="BF47" s="60"/>
      <c r="BG47" s="68"/>
      <c r="BH47" s="60"/>
      <c r="BI47" s="68"/>
      <c r="BJ47" s="60"/>
      <c r="BK47" s="68"/>
      <c r="BL47" s="60"/>
      <c r="BM47" s="68"/>
      <c r="BN47" s="60"/>
      <c r="BO47" s="68"/>
    </row>
    <row r="48" spans="1:67" s="4" customFormat="1" ht="18" customHeight="1" x14ac:dyDescent="0.45">
      <c r="A48" s="561"/>
      <c r="B48" s="1184"/>
      <c r="C48" s="19" t="s">
        <v>52</v>
      </c>
      <c r="D48" s="20"/>
      <c r="E48" s="30" t="s">
        <v>53</v>
      </c>
      <c r="F48" s="69">
        <f t="shared" ref="F48:AC48" si="336">+F49/F10</f>
        <v>1057.2158718749999</v>
      </c>
      <c r="G48" s="70">
        <f t="shared" si="336"/>
        <v>0.25984374999999998</v>
      </c>
      <c r="H48" s="69">
        <f t="shared" si="336"/>
        <v>1057.2158718749999</v>
      </c>
      <c r="I48" s="70">
        <f t="shared" si="336"/>
        <v>0.25984374999999998</v>
      </c>
      <c r="J48" s="69">
        <f t="shared" si="336"/>
        <v>1057.2158718749999</v>
      </c>
      <c r="K48" s="70">
        <f t="shared" si="336"/>
        <v>0.25984374999999998</v>
      </c>
      <c r="L48" s="69">
        <f t="shared" si="336"/>
        <v>1057.2158718749999</v>
      </c>
      <c r="M48" s="70">
        <f t="shared" si="336"/>
        <v>0.25984374999999998</v>
      </c>
      <c r="N48" s="69">
        <f t="shared" si="336"/>
        <v>1057.2158718749999</v>
      </c>
      <c r="O48" s="70">
        <f t="shared" si="336"/>
        <v>0.25984374999999998</v>
      </c>
      <c r="P48" s="69">
        <f t="shared" si="336"/>
        <v>1057.2158718749999</v>
      </c>
      <c r="Q48" s="70">
        <f t="shared" si="336"/>
        <v>0.25984374999999998</v>
      </c>
      <c r="R48" s="69">
        <f t="shared" si="336"/>
        <v>1057.2158718749999</v>
      </c>
      <c r="S48" s="70">
        <f t="shared" si="336"/>
        <v>0.25984374999999998</v>
      </c>
      <c r="T48" s="69">
        <f t="shared" si="336"/>
        <v>1057.2158718749999</v>
      </c>
      <c r="U48" s="70">
        <f t="shared" si="336"/>
        <v>0.25984374999999998</v>
      </c>
      <c r="V48" s="69">
        <f t="shared" si="336"/>
        <v>1057.2158718749999</v>
      </c>
      <c r="W48" s="70">
        <f t="shared" si="336"/>
        <v>0.25984374999999998</v>
      </c>
      <c r="X48" s="69">
        <f t="shared" si="336"/>
        <v>1057.2158718749999</v>
      </c>
      <c r="Y48" s="70">
        <f t="shared" si="336"/>
        <v>0.25984374999999998</v>
      </c>
      <c r="Z48" s="69">
        <f t="shared" si="336"/>
        <v>1057.2158718749999</v>
      </c>
      <c r="AA48" s="70">
        <f t="shared" si="336"/>
        <v>0.25984374999999998</v>
      </c>
      <c r="AB48" s="69">
        <f t="shared" si="336"/>
        <v>1185.378661875</v>
      </c>
      <c r="AC48" s="70">
        <f t="shared" si="336"/>
        <v>0.29134375000000001</v>
      </c>
      <c r="AD48" s="69">
        <f t="shared" ref="AD48:AI48" si="337">+AD49/AD10</f>
        <v>1057.2158718749999</v>
      </c>
      <c r="AE48" s="70">
        <f t="shared" si="337"/>
        <v>0.25984374999999998</v>
      </c>
      <c r="AF48" s="69">
        <f t="shared" si="337"/>
        <v>1057.2158718749999</v>
      </c>
      <c r="AG48" s="70">
        <f t="shared" si="337"/>
        <v>0.25984374999999998</v>
      </c>
      <c r="AH48" s="69">
        <f t="shared" si="337"/>
        <v>1057.2158718749999</v>
      </c>
      <c r="AI48" s="70">
        <f t="shared" si="337"/>
        <v>0.25984374999999998</v>
      </c>
      <c r="AJ48" s="69">
        <f t="shared" ref="AJ48:AS48" si="338">+AJ49/AJ10</f>
        <v>1057.2158718749999</v>
      </c>
      <c r="AK48" s="70">
        <f t="shared" si="338"/>
        <v>0.25984374999999998</v>
      </c>
      <c r="AL48" s="69">
        <f t="shared" si="338"/>
        <v>1057.2158718749999</v>
      </c>
      <c r="AM48" s="70">
        <f t="shared" si="338"/>
        <v>0.25984374999999998</v>
      </c>
      <c r="AN48" s="69">
        <f t="shared" si="338"/>
        <v>1057.2158718749999</v>
      </c>
      <c r="AO48" s="70">
        <f t="shared" si="338"/>
        <v>0.25984374999999998</v>
      </c>
      <c r="AP48" s="69">
        <f t="shared" si="338"/>
        <v>1057.2158718749999</v>
      </c>
      <c r="AQ48" s="70">
        <f t="shared" si="338"/>
        <v>0.25984374999999998</v>
      </c>
      <c r="AR48" s="69">
        <f t="shared" si="338"/>
        <v>1057.2158718749999</v>
      </c>
      <c r="AS48" s="70">
        <f t="shared" si="338"/>
        <v>0.25984374999999998</v>
      </c>
      <c r="AT48" s="69">
        <f t="shared" ref="AT48:AY48" si="339">+AT49/AT10</f>
        <v>1057.9212567306563</v>
      </c>
      <c r="AU48" s="70">
        <f t="shared" si="339"/>
        <v>0.26001712031250002</v>
      </c>
      <c r="AV48" s="69">
        <f t="shared" si="339"/>
        <v>1057.9212567306563</v>
      </c>
      <c r="AW48" s="70">
        <f t="shared" si="339"/>
        <v>0.26001712031250002</v>
      </c>
      <c r="AX48" s="69">
        <f t="shared" si="339"/>
        <v>1057.2158718749999</v>
      </c>
      <c r="AY48" s="70">
        <f t="shared" si="339"/>
        <v>0.25984374999999998</v>
      </c>
      <c r="AZ48" s="69">
        <f t="shared" ref="AZ48:BA48" si="340">+AZ49/AZ10</f>
        <v>1057.2158718749999</v>
      </c>
      <c r="BA48" s="70">
        <f t="shared" si="340"/>
        <v>0.25984374999999998</v>
      </c>
      <c r="BB48" s="69">
        <f t="shared" ref="BB48:BC48" si="341">+BB49/BB10</f>
        <v>1057.2158718749999</v>
      </c>
      <c r="BC48" s="70">
        <f t="shared" si="341"/>
        <v>0.25984374999999998</v>
      </c>
      <c r="BD48" s="69">
        <f t="shared" ref="BD48:BE48" si="342">+BD49/BD10</f>
        <v>1057.2158718749999</v>
      </c>
      <c r="BE48" s="70">
        <f t="shared" si="342"/>
        <v>0.25984374999999998</v>
      </c>
      <c r="BF48" s="69">
        <f t="shared" ref="BF48:BG48" si="343">+BF49/BF10</f>
        <v>1057.2158718749999</v>
      </c>
      <c r="BG48" s="70">
        <f t="shared" si="343"/>
        <v>0.25984374999999998</v>
      </c>
      <c r="BH48" s="69">
        <f t="shared" ref="BH48:BI48" si="344">+BH49/BH10</f>
        <v>1057.2158718749999</v>
      </c>
      <c r="BI48" s="70">
        <f t="shared" si="344"/>
        <v>0.25984374999999998</v>
      </c>
      <c r="BJ48" s="69">
        <f t="shared" ref="BJ48:BK48" si="345">+BJ49/BJ10</f>
        <v>1057.2158718749999</v>
      </c>
      <c r="BK48" s="70">
        <f t="shared" si="345"/>
        <v>0.25984374999999998</v>
      </c>
      <c r="BL48" s="69">
        <f t="shared" ref="BL48:BM48" si="346">+BL49/BL10</f>
        <v>1057.2158718749999</v>
      </c>
      <c r="BM48" s="70">
        <f t="shared" si="346"/>
        <v>0.25984374999999998</v>
      </c>
      <c r="BN48" s="69">
        <f t="shared" ref="BN48:BO48" si="347">+BN49/BN10</f>
        <v>1057.2158718749999</v>
      </c>
      <c r="BO48" s="70">
        <f t="shared" si="347"/>
        <v>0.25984374999999998</v>
      </c>
    </row>
    <row r="49" spans="1:67" s="4" customFormat="1" ht="18" customHeight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25373.180925000001</v>
      </c>
      <c r="G49" s="70">
        <f>+G50+G52+G56+G54</f>
        <v>6.2362500000000001</v>
      </c>
      <c r="H49" s="69">
        <f>+I49*H12</f>
        <v>25373.180925000001</v>
      </c>
      <c r="I49" s="70">
        <f>+I50+I52+I56+I54</f>
        <v>6.2362500000000001</v>
      </c>
      <c r="J49" s="69">
        <f>+K49*J12</f>
        <v>25373.180925000001</v>
      </c>
      <c r="K49" s="70">
        <f>+K50+K52+K56+K54</f>
        <v>6.2362500000000001</v>
      </c>
      <c r="L49" s="69">
        <f>+M49*L12</f>
        <v>25373.180925000001</v>
      </c>
      <c r="M49" s="70">
        <f>+M50+M52+M56+M54</f>
        <v>6.2362500000000001</v>
      </c>
      <c r="N49" s="69">
        <f>+O49*N12</f>
        <v>25373.180925000001</v>
      </c>
      <c r="O49" s="70">
        <f>+O50+O52+O56+O54</f>
        <v>6.2362500000000001</v>
      </c>
      <c r="P49" s="69">
        <f>+Q49*P12</f>
        <v>25373.180925000001</v>
      </c>
      <c r="Q49" s="70">
        <f>+Q50+Q52+Q56+Q54</f>
        <v>6.2362500000000001</v>
      </c>
      <c r="R49" s="69">
        <f>+S49*R12</f>
        <v>25373.180925000001</v>
      </c>
      <c r="S49" s="70">
        <f>+S50+S52+S56+S54</f>
        <v>6.2362500000000001</v>
      </c>
      <c r="T49" s="69">
        <f>+U49*T12</f>
        <v>25373.180925000001</v>
      </c>
      <c r="U49" s="70">
        <f>+U50+U52+U56+U54</f>
        <v>6.2362500000000001</v>
      </c>
      <c r="V49" s="69">
        <f>+W49*V12</f>
        <v>25373.180925000001</v>
      </c>
      <c r="W49" s="70">
        <f>+W50+W52+W56+W54</f>
        <v>6.2362500000000001</v>
      </c>
      <c r="X49" s="69">
        <f>+Y49*X12</f>
        <v>25373.180925000001</v>
      </c>
      <c r="Y49" s="70">
        <f>+Y50+Y52+Y56+Y54</f>
        <v>6.2362500000000001</v>
      </c>
      <c r="Z49" s="69">
        <f>+AA49*Z12</f>
        <v>25373.180925000001</v>
      </c>
      <c r="AA49" s="70">
        <f>+AA50+AA52+AA56+AA54</f>
        <v>6.2362500000000001</v>
      </c>
      <c r="AB49" s="69">
        <f>+AC49*AB12</f>
        <v>28449.087885000001</v>
      </c>
      <c r="AC49" s="70">
        <f>+AC50+AC52+AC56+AC54</f>
        <v>6.9922500000000003</v>
      </c>
      <c r="AD49" s="69">
        <f t="shared" ref="AD49" si="348">+AE49*AD12</f>
        <v>25373.180925000001</v>
      </c>
      <c r="AE49" s="70">
        <f t="shared" ref="AE49" si="349">+AE50+AE52+AE56+AE54</f>
        <v>6.2362500000000001</v>
      </c>
      <c r="AF49" s="69">
        <f t="shared" ref="AF49" si="350">+AG49*AF12</f>
        <v>25373.180925000001</v>
      </c>
      <c r="AG49" s="70">
        <f t="shared" ref="AG49" si="351">+AG50+AG52+AG56+AG54</f>
        <v>6.2362500000000001</v>
      </c>
      <c r="AH49" s="69">
        <f t="shared" ref="AH49" si="352">+AI49*AH12</f>
        <v>25373.180925000001</v>
      </c>
      <c r="AI49" s="70">
        <f t="shared" ref="AI49:AK49" si="353">+AI50+AI52+AI56+AI54</f>
        <v>6.2362500000000001</v>
      </c>
      <c r="AJ49" s="69">
        <f t="shared" ref="AJ49" si="354">+AK49*AJ12</f>
        <v>25373.180925000001</v>
      </c>
      <c r="AK49" s="70">
        <f t="shared" si="353"/>
        <v>6.2362500000000001</v>
      </c>
      <c r="AL49" s="69">
        <f t="shared" ref="AL49" si="355">+AM49*AL12</f>
        <v>25373.180925000001</v>
      </c>
      <c r="AM49" s="70">
        <f t="shared" ref="AM49" si="356">+AM50+AM52+AM56+AM54</f>
        <v>6.2362500000000001</v>
      </c>
      <c r="AN49" s="69">
        <f t="shared" ref="AN49" si="357">+AO49*AN12</f>
        <v>25373.180925000001</v>
      </c>
      <c r="AO49" s="70">
        <f t="shared" ref="AO49" si="358">+AO50+AO52+AO56+AO54</f>
        <v>6.2362500000000001</v>
      </c>
      <c r="AP49" s="69">
        <f t="shared" ref="AP49" si="359">+AQ49*AP12</f>
        <v>25373.180925000001</v>
      </c>
      <c r="AQ49" s="70">
        <f t="shared" ref="AQ49" si="360">+AQ50+AQ52+AQ56+AQ54</f>
        <v>6.2362500000000001</v>
      </c>
      <c r="AR49" s="69">
        <f t="shared" ref="AR49" si="361">+AS49*AR12</f>
        <v>25373.180925000001</v>
      </c>
      <c r="AS49" s="70">
        <f t="shared" ref="AS49:AY49" si="362">+AS50+AS52+AS56+AS54</f>
        <v>6.2362500000000001</v>
      </c>
      <c r="AT49" s="69">
        <f t="shared" ref="AT49" si="363">+AU49*AT12</f>
        <v>25390.110161535751</v>
      </c>
      <c r="AU49" s="70">
        <f t="shared" si="362"/>
        <v>6.2404108875000004</v>
      </c>
      <c r="AV49" s="69">
        <f t="shared" ref="AV49" si="364">+AW49*AV12</f>
        <v>25390.110161535751</v>
      </c>
      <c r="AW49" s="70">
        <f t="shared" si="362"/>
        <v>6.2404108875000004</v>
      </c>
      <c r="AX49" s="69">
        <f t="shared" ref="AX49" si="365">+AY49*AX12</f>
        <v>25373.180925000001</v>
      </c>
      <c r="AY49" s="70">
        <f t="shared" si="362"/>
        <v>6.2362500000000001</v>
      </c>
      <c r="AZ49" s="69">
        <f t="shared" ref="AZ49" si="366">+BA49*AZ12</f>
        <v>25373.180925000001</v>
      </c>
      <c r="BA49" s="70">
        <f t="shared" ref="BA49:BC49" si="367">+BA50+BA52+BA56+BA54</f>
        <v>6.2362500000000001</v>
      </c>
      <c r="BB49" s="69">
        <f t="shared" ref="BB49" si="368">+BC49*BB12</f>
        <v>25373.180925000001</v>
      </c>
      <c r="BC49" s="70">
        <f t="shared" si="367"/>
        <v>6.2362500000000001</v>
      </c>
      <c r="BD49" s="69">
        <f t="shared" ref="BD49" si="369">+BE49*BD12</f>
        <v>25373.180925000001</v>
      </c>
      <c r="BE49" s="70">
        <f t="shared" ref="BE49:BG49" si="370">+BE50+BE52+BE56+BE54</f>
        <v>6.2362500000000001</v>
      </c>
      <c r="BF49" s="69">
        <f t="shared" ref="BF49" si="371">+BG49*BF12</f>
        <v>25373.180925000001</v>
      </c>
      <c r="BG49" s="70">
        <f t="shared" si="370"/>
        <v>6.2362500000000001</v>
      </c>
      <c r="BH49" s="69">
        <f t="shared" ref="BH49" si="372">+BI49*BH12</f>
        <v>25373.180925000001</v>
      </c>
      <c r="BI49" s="70">
        <f t="shared" ref="BI49:BO49" si="373">+BI50+BI52+BI56+BI54</f>
        <v>6.2362500000000001</v>
      </c>
      <c r="BJ49" s="69">
        <f t="shared" ref="BJ49" si="374">+BK49*BJ12</f>
        <v>25373.180925000001</v>
      </c>
      <c r="BK49" s="70">
        <f t="shared" ref="BK49:BM49" si="375">+BK50+BK52+BK56+BK54</f>
        <v>6.2362500000000001</v>
      </c>
      <c r="BL49" s="69">
        <f t="shared" ref="BL49" si="376">+BM49*BL12</f>
        <v>25373.180925000001</v>
      </c>
      <c r="BM49" s="70">
        <f t="shared" si="375"/>
        <v>6.2362500000000001</v>
      </c>
      <c r="BN49" s="69">
        <f t="shared" ref="BN49" si="377">+BO49*BN12</f>
        <v>25373.180925000001</v>
      </c>
      <c r="BO49" s="70">
        <f t="shared" si="373"/>
        <v>6.2362500000000001</v>
      </c>
    </row>
    <row r="50" spans="1:67" s="4" customFormat="1" ht="18" customHeight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0.23750000000000002</v>
      </c>
      <c r="H50" s="50"/>
      <c r="I50" s="72">
        <f>+I51*I56</f>
        <v>0.23750000000000002</v>
      </c>
      <c r="J50" s="50"/>
      <c r="K50" s="72">
        <f>+K51*K56</f>
        <v>0.23750000000000002</v>
      </c>
      <c r="L50" s="50"/>
      <c r="M50" s="72">
        <f>+M51*M56</f>
        <v>0.23750000000000002</v>
      </c>
      <c r="N50" s="50"/>
      <c r="O50" s="72">
        <f>+O51*O56</f>
        <v>0.23750000000000002</v>
      </c>
      <c r="P50" s="50"/>
      <c r="Q50" s="72">
        <f>+Q51*Q56</f>
        <v>0.23750000000000002</v>
      </c>
      <c r="R50" s="50"/>
      <c r="S50" s="72">
        <f>+S51*S56</f>
        <v>0.23750000000000002</v>
      </c>
      <c r="T50" s="50"/>
      <c r="U50" s="72">
        <f>+U51*U56</f>
        <v>0.23750000000000002</v>
      </c>
      <c r="V50" s="50"/>
      <c r="W50" s="72">
        <f>+W51*W56</f>
        <v>0.23750000000000002</v>
      </c>
      <c r="X50" s="50"/>
      <c r="Y50" s="72">
        <f>+Y51*Y56</f>
        <v>0.23750000000000002</v>
      </c>
      <c r="Z50" s="50"/>
      <c r="AA50" s="72">
        <f>+AA51*AA56</f>
        <v>0.23750000000000002</v>
      </c>
      <c r="AB50" s="50"/>
      <c r="AC50" s="72">
        <f>+AC51*AC56</f>
        <v>0.2702272727272727</v>
      </c>
      <c r="AD50" s="50"/>
      <c r="AE50" s="72">
        <f t="shared" ref="AE50" si="378">+AE51*AE56</f>
        <v>0.23750000000000002</v>
      </c>
      <c r="AF50" s="50"/>
      <c r="AG50" s="72">
        <f t="shared" ref="AG50" si="379">+AG51*AG56</f>
        <v>0.23750000000000002</v>
      </c>
      <c r="AH50" s="50"/>
      <c r="AI50" s="72">
        <f t="shared" ref="AI50:AK50" si="380">+AI51*AI56</f>
        <v>0.23750000000000002</v>
      </c>
      <c r="AJ50" s="50"/>
      <c r="AK50" s="72">
        <f t="shared" si="380"/>
        <v>0.23750000000000002</v>
      </c>
      <c r="AL50" s="50"/>
      <c r="AM50" s="72">
        <f t="shared" ref="AM50" si="381">+AM51*AM56</f>
        <v>0.23750000000000002</v>
      </c>
      <c r="AN50" s="50"/>
      <c r="AO50" s="72">
        <f t="shared" ref="AO50" si="382">+AO51*AO56</f>
        <v>0.23750000000000002</v>
      </c>
      <c r="AP50" s="50"/>
      <c r="AQ50" s="72">
        <f t="shared" ref="AQ50" si="383">+AQ51*AQ56</f>
        <v>0.23750000000000002</v>
      </c>
      <c r="AR50" s="50"/>
      <c r="AS50" s="72">
        <f t="shared" ref="AS50:AY50" si="384">+AS51*AS56</f>
        <v>0.23750000000000002</v>
      </c>
      <c r="AT50" s="50"/>
      <c r="AU50" s="72">
        <f t="shared" si="384"/>
        <v>0.23768012500000002</v>
      </c>
      <c r="AV50" s="50"/>
      <c r="AW50" s="72">
        <f t="shared" si="384"/>
        <v>0.23768012500000002</v>
      </c>
      <c r="AX50" s="50"/>
      <c r="AY50" s="72">
        <f t="shared" si="384"/>
        <v>0.23750000000000002</v>
      </c>
      <c r="AZ50" s="50"/>
      <c r="BA50" s="72">
        <f t="shared" ref="BA50:BC50" si="385">+BA51*BA56</f>
        <v>0.23750000000000002</v>
      </c>
      <c r="BB50" s="50"/>
      <c r="BC50" s="72">
        <f t="shared" si="385"/>
        <v>0.23750000000000002</v>
      </c>
      <c r="BD50" s="50"/>
      <c r="BE50" s="72">
        <f t="shared" ref="BE50:BG50" si="386">+BE51*BE56</f>
        <v>0.23750000000000002</v>
      </c>
      <c r="BF50" s="50"/>
      <c r="BG50" s="72">
        <f t="shared" si="386"/>
        <v>0.23750000000000002</v>
      </c>
      <c r="BH50" s="50"/>
      <c r="BI50" s="72">
        <f t="shared" ref="BI50:BO50" si="387">+BI51*BI56</f>
        <v>0.23750000000000002</v>
      </c>
      <c r="BJ50" s="50"/>
      <c r="BK50" s="72">
        <f t="shared" ref="BK50:BM50" si="388">+BK51*BK56</f>
        <v>0.23750000000000002</v>
      </c>
      <c r="BL50" s="50"/>
      <c r="BM50" s="72">
        <f t="shared" si="388"/>
        <v>0.23750000000000002</v>
      </c>
      <c r="BN50" s="50"/>
      <c r="BO50" s="72">
        <f t="shared" si="387"/>
        <v>0.23750000000000002</v>
      </c>
    </row>
    <row r="51" spans="1:67" s="4" customFormat="1" ht="18" customHeight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47"/>
      <c r="I51" s="1082">
        <v>0.05</v>
      </c>
      <c r="J51" s="47"/>
      <c r="K51" s="1082">
        <v>0.05</v>
      </c>
      <c r="L51" s="47"/>
      <c r="M51" s="1082">
        <v>0.05</v>
      </c>
      <c r="N51" s="47"/>
      <c r="O51" s="1082">
        <v>0.05</v>
      </c>
      <c r="P51" s="47"/>
      <c r="Q51" s="1082">
        <v>0.05</v>
      </c>
      <c r="R51" s="47"/>
      <c r="S51" s="1082">
        <v>0.05</v>
      </c>
      <c r="T51" s="47"/>
      <c r="U51" s="1082">
        <v>0.05</v>
      </c>
      <c r="V51" s="47"/>
      <c r="W51" s="1082">
        <v>0.05</v>
      </c>
      <c r="X51" s="47"/>
      <c r="Y51" s="1082">
        <v>0.05</v>
      </c>
      <c r="Z51" s="47"/>
      <c r="AA51" s="1082">
        <v>0.05</v>
      </c>
      <c r="AB51" s="47"/>
      <c r="AC51" s="1082">
        <v>0.05</v>
      </c>
      <c r="AD51" s="47"/>
      <c r="AE51" s="1082">
        <v>0.05</v>
      </c>
      <c r="AF51" s="47"/>
      <c r="AG51" s="1082">
        <v>0.05</v>
      </c>
      <c r="AH51" s="47"/>
      <c r="AI51" s="1082">
        <v>0.05</v>
      </c>
      <c r="AJ51" s="47"/>
      <c r="AK51" s="1082">
        <v>0.05</v>
      </c>
      <c r="AL51" s="47"/>
      <c r="AM51" s="1082">
        <v>0.05</v>
      </c>
      <c r="AN51" s="47"/>
      <c r="AO51" s="1082">
        <v>0.05</v>
      </c>
      <c r="AP51" s="47"/>
      <c r="AQ51" s="1082">
        <v>0.05</v>
      </c>
      <c r="AR51" s="47"/>
      <c r="AS51" s="1082">
        <v>0.05</v>
      </c>
      <c r="AT51" s="47"/>
      <c r="AU51" s="1082">
        <v>0.05</v>
      </c>
      <c r="AV51" s="47"/>
      <c r="AW51" s="1082">
        <v>0.05</v>
      </c>
      <c r="AX51" s="47"/>
      <c r="AY51" s="1082">
        <v>0.05</v>
      </c>
      <c r="AZ51" s="47"/>
      <c r="BA51" s="1082">
        <v>0.05</v>
      </c>
      <c r="BB51" s="47"/>
      <c r="BC51" s="1082">
        <v>0.05</v>
      </c>
      <c r="BD51" s="47"/>
      <c r="BE51" s="1082">
        <v>0.05</v>
      </c>
      <c r="BF51" s="47"/>
      <c r="BG51" s="1082">
        <v>0.05</v>
      </c>
      <c r="BH51" s="47"/>
      <c r="BI51" s="1082">
        <v>0.05</v>
      </c>
      <c r="BJ51" s="47"/>
      <c r="BK51" s="1082">
        <v>0.05</v>
      </c>
      <c r="BL51" s="47"/>
      <c r="BM51" s="1082">
        <v>0.05</v>
      </c>
      <c r="BN51" s="47"/>
      <c r="BO51" s="1082">
        <v>0.05</v>
      </c>
    </row>
    <row r="52" spans="1:67" s="4" customFormat="1" ht="18" customHeight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0.75</v>
      </c>
      <c r="H52" s="50"/>
      <c r="I52" s="72">
        <f>$D$53/I66</f>
        <v>0.75</v>
      </c>
      <c r="J52" s="50"/>
      <c r="K52" s="72">
        <f>$D$53/K66</f>
        <v>0.75</v>
      </c>
      <c r="L52" s="50"/>
      <c r="M52" s="72">
        <f>$D$53/M66</f>
        <v>0.75</v>
      </c>
      <c r="N52" s="50"/>
      <c r="O52" s="72">
        <f>$D$53/O66</f>
        <v>0.75</v>
      </c>
      <c r="P52" s="50"/>
      <c r="Q52" s="72">
        <f>$D$53/Q66</f>
        <v>0.75</v>
      </c>
      <c r="R52" s="50"/>
      <c r="S52" s="72">
        <f>$D$53/S66</f>
        <v>0.75</v>
      </c>
      <c r="T52" s="50"/>
      <c r="U52" s="72">
        <f>$D$53/U66</f>
        <v>0.75</v>
      </c>
      <c r="V52" s="50"/>
      <c r="W52" s="72">
        <f>$D$53/W66</f>
        <v>0.75</v>
      </c>
      <c r="X52" s="50"/>
      <c r="Y52" s="72">
        <f>$D$53/Y66</f>
        <v>0.75</v>
      </c>
      <c r="Z52" s="50"/>
      <c r="AA52" s="72">
        <f>$D$53/AA66</f>
        <v>0.75</v>
      </c>
      <c r="AB52" s="50"/>
      <c r="AC52" s="72">
        <f>$D$53/AC66</f>
        <v>0.75</v>
      </c>
      <c r="AD52" s="50"/>
      <c r="AE52" s="72">
        <f t="shared" ref="AE52" si="389">$D$53/AE66</f>
        <v>0.75</v>
      </c>
      <c r="AF52" s="50"/>
      <c r="AG52" s="72">
        <f t="shared" ref="AG52" si="390">$D$53/AG66</f>
        <v>0.75</v>
      </c>
      <c r="AH52" s="50"/>
      <c r="AI52" s="72">
        <f t="shared" ref="AI52:AK52" si="391">$D$53/AI66</f>
        <v>0.75</v>
      </c>
      <c r="AJ52" s="50"/>
      <c r="AK52" s="72">
        <f t="shared" si="391"/>
        <v>0.75</v>
      </c>
      <c r="AL52" s="50"/>
      <c r="AM52" s="72">
        <f t="shared" ref="AM52" si="392">$D$53/AM66</f>
        <v>0.75</v>
      </c>
      <c r="AN52" s="50"/>
      <c r="AO52" s="72">
        <f t="shared" ref="AO52" si="393">$D$53/AO66</f>
        <v>0.75</v>
      </c>
      <c r="AP52" s="50"/>
      <c r="AQ52" s="72">
        <f t="shared" ref="AQ52" si="394">$D$53/AQ66</f>
        <v>0.75</v>
      </c>
      <c r="AR52" s="50"/>
      <c r="AS52" s="72">
        <f t="shared" ref="AS52:AY52" si="395">$D$53/AS66</f>
        <v>0.75</v>
      </c>
      <c r="AT52" s="50"/>
      <c r="AU52" s="72">
        <f t="shared" si="395"/>
        <v>0.75</v>
      </c>
      <c r="AV52" s="50"/>
      <c r="AW52" s="72">
        <f t="shared" si="395"/>
        <v>0.75</v>
      </c>
      <c r="AX52" s="50"/>
      <c r="AY52" s="72">
        <f t="shared" si="395"/>
        <v>0.75</v>
      </c>
      <c r="AZ52" s="50"/>
      <c r="BA52" s="72">
        <f t="shared" ref="BA52:BC52" si="396">$D$53/BA66</f>
        <v>0.75</v>
      </c>
      <c r="BB52" s="50"/>
      <c r="BC52" s="72">
        <f t="shared" si="396"/>
        <v>0.75</v>
      </c>
      <c r="BD52" s="50"/>
      <c r="BE52" s="72">
        <f t="shared" ref="BE52:BG52" si="397">$D$53/BE66</f>
        <v>0.75</v>
      </c>
      <c r="BF52" s="50"/>
      <c r="BG52" s="72">
        <f t="shared" si="397"/>
        <v>0.75</v>
      </c>
      <c r="BH52" s="50"/>
      <c r="BI52" s="72">
        <f t="shared" ref="BI52:BO52" si="398">$D$53/BI66</f>
        <v>0.75</v>
      </c>
      <c r="BJ52" s="50"/>
      <c r="BK52" s="72">
        <f t="shared" ref="BK52:BM52" si="399">$D$53/BK66</f>
        <v>0.75</v>
      </c>
      <c r="BL52" s="50"/>
      <c r="BM52" s="72">
        <f t="shared" si="399"/>
        <v>0.75</v>
      </c>
      <c r="BN52" s="50"/>
      <c r="BO52" s="72">
        <f t="shared" si="398"/>
        <v>0.75</v>
      </c>
    </row>
    <row r="53" spans="1:67" s="4" customFormat="1" ht="18" customHeight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0.15789473684210525</v>
      </c>
      <c r="H53" s="47"/>
      <c r="I53" s="1082">
        <f>I52/I56</f>
        <v>0.15789473684210525</v>
      </c>
      <c r="J53" s="47"/>
      <c r="K53" s="1082">
        <f>K52/K56</f>
        <v>0.15789473684210525</v>
      </c>
      <c r="L53" s="47"/>
      <c r="M53" s="1082">
        <f>M52/M56</f>
        <v>0.15789473684210525</v>
      </c>
      <c r="N53" s="47"/>
      <c r="O53" s="1082">
        <f>O52/O56</f>
        <v>0.15789473684210525</v>
      </c>
      <c r="P53" s="47"/>
      <c r="Q53" s="1082">
        <f>Q52/Q56</f>
        <v>0.15789473684210525</v>
      </c>
      <c r="R53" s="47"/>
      <c r="S53" s="1082">
        <f>S52/S56</f>
        <v>0.15789473684210525</v>
      </c>
      <c r="T53" s="47"/>
      <c r="U53" s="1082">
        <f>U52/U56</f>
        <v>0.15789473684210525</v>
      </c>
      <c r="V53" s="47"/>
      <c r="W53" s="1082">
        <f>W52/W56</f>
        <v>0.15789473684210525</v>
      </c>
      <c r="X53" s="47"/>
      <c r="Y53" s="1082">
        <f>Y52/Y56</f>
        <v>0.15789473684210525</v>
      </c>
      <c r="Z53" s="47"/>
      <c r="AA53" s="1082">
        <f>AA52/AA56</f>
        <v>0.15789473684210525</v>
      </c>
      <c r="AB53" s="47"/>
      <c r="AC53" s="1082">
        <f>AC52/AC56</f>
        <v>0.13877207737594618</v>
      </c>
      <c r="AD53" s="47"/>
      <c r="AE53" s="1082">
        <f t="shared" ref="AE53" si="400">AE52/AE56</f>
        <v>0.15789473684210525</v>
      </c>
      <c r="AF53" s="47"/>
      <c r="AG53" s="1082">
        <f t="shared" ref="AG53" si="401">AG52/AG56</f>
        <v>0.15789473684210525</v>
      </c>
      <c r="AH53" s="47"/>
      <c r="AI53" s="1082">
        <f t="shared" ref="AI53:AK53" si="402">AI52/AI56</f>
        <v>0.15789473684210525</v>
      </c>
      <c r="AJ53" s="47"/>
      <c r="AK53" s="1082">
        <f t="shared" si="402"/>
        <v>0.15789473684210525</v>
      </c>
      <c r="AL53" s="47"/>
      <c r="AM53" s="1082">
        <f t="shared" ref="AM53" si="403">AM52/AM56</f>
        <v>0.15789473684210525</v>
      </c>
      <c r="AN53" s="47"/>
      <c r="AO53" s="1082">
        <f t="shared" ref="AO53" si="404">AO52/AO56</f>
        <v>0.15789473684210525</v>
      </c>
      <c r="AP53" s="47"/>
      <c r="AQ53" s="1082">
        <f t="shared" ref="AQ53" si="405">AQ52/AQ56</f>
        <v>0.15789473684210525</v>
      </c>
      <c r="AR53" s="47"/>
      <c r="AS53" s="1082">
        <f t="shared" ref="AS53:AY53" si="406">AS52/AS56</f>
        <v>0.15789473684210525</v>
      </c>
      <c r="AT53" s="47"/>
      <c r="AU53" s="1082">
        <f t="shared" si="406"/>
        <v>0.15777507690220205</v>
      </c>
      <c r="AV53" s="47"/>
      <c r="AW53" s="1082">
        <f t="shared" si="406"/>
        <v>0.15777507690220205</v>
      </c>
      <c r="AX53" s="47"/>
      <c r="AY53" s="1082">
        <f t="shared" si="406"/>
        <v>0.15789473684210525</v>
      </c>
      <c r="AZ53" s="47"/>
      <c r="BA53" s="1082">
        <f t="shared" ref="BA53:BC53" si="407">BA52/BA56</f>
        <v>0.15789473684210525</v>
      </c>
      <c r="BB53" s="47"/>
      <c r="BC53" s="1082">
        <f t="shared" si="407"/>
        <v>0.15789473684210525</v>
      </c>
      <c r="BD53" s="47"/>
      <c r="BE53" s="1082">
        <f t="shared" ref="BE53:BG53" si="408">BE52/BE56</f>
        <v>0.15789473684210525</v>
      </c>
      <c r="BF53" s="47"/>
      <c r="BG53" s="1082">
        <f t="shared" si="408"/>
        <v>0.15789473684210525</v>
      </c>
      <c r="BH53" s="47"/>
      <c r="BI53" s="1082">
        <f t="shared" ref="BI53:BO53" si="409">BI52/BI56</f>
        <v>0.15789473684210525</v>
      </c>
      <c r="BJ53" s="47"/>
      <c r="BK53" s="1082">
        <f t="shared" ref="BK53:BM53" si="410">BK52/BK56</f>
        <v>0.15789473684210525</v>
      </c>
      <c r="BL53" s="47"/>
      <c r="BM53" s="1082">
        <f t="shared" si="410"/>
        <v>0.15789473684210525</v>
      </c>
      <c r="BN53" s="47"/>
      <c r="BO53" s="1082">
        <f t="shared" si="409"/>
        <v>0.15789473684210525</v>
      </c>
    </row>
    <row r="54" spans="1:67" s="4" customFormat="1" ht="18" customHeight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0.49875000000000003</v>
      </c>
      <c r="H54" s="73"/>
      <c r="I54" s="72">
        <f>(I55*(I56+I50))</f>
        <v>0.49875000000000003</v>
      </c>
      <c r="J54" s="73"/>
      <c r="K54" s="72">
        <f>(K55*(K56+K50))</f>
        <v>0.49875000000000003</v>
      </c>
      <c r="L54" s="73"/>
      <c r="M54" s="72">
        <f>(M55*(M56+M50))</f>
        <v>0.49875000000000003</v>
      </c>
      <c r="N54" s="73"/>
      <c r="O54" s="72">
        <f>(O55*(O56+O50))</f>
        <v>0.49875000000000003</v>
      </c>
      <c r="P54" s="73"/>
      <c r="Q54" s="72">
        <f>(Q55*(Q56+Q50))</f>
        <v>0.49875000000000003</v>
      </c>
      <c r="R54" s="73"/>
      <c r="S54" s="72">
        <f>(S55*(S56+S50))</f>
        <v>0.49875000000000003</v>
      </c>
      <c r="T54" s="73"/>
      <c r="U54" s="72">
        <f>(U55*(U56+U50))</f>
        <v>0.49875000000000003</v>
      </c>
      <c r="V54" s="73"/>
      <c r="W54" s="72">
        <f>(W55*(W56+W50))</f>
        <v>0.49875000000000003</v>
      </c>
      <c r="X54" s="73"/>
      <c r="Y54" s="72">
        <f>(Y55*(Y56+Y50))</f>
        <v>0.49875000000000003</v>
      </c>
      <c r="Z54" s="73"/>
      <c r="AA54" s="72">
        <f>(AA55*(AA56+AA50))</f>
        <v>0.49875000000000003</v>
      </c>
      <c r="AB54" s="73"/>
      <c r="AC54" s="72">
        <f>(AC55*(AC56+AC50))</f>
        <v>0.56747727272727277</v>
      </c>
      <c r="AD54" s="73"/>
      <c r="AE54" s="72">
        <f t="shared" ref="AE54" si="411">(AE55*(AE56+AE50))</f>
        <v>0.49875000000000003</v>
      </c>
      <c r="AF54" s="73"/>
      <c r="AG54" s="72">
        <f t="shared" ref="AG54" si="412">(AG55*(AG56+AG50))</f>
        <v>0.49875000000000003</v>
      </c>
      <c r="AH54" s="73"/>
      <c r="AI54" s="72">
        <f t="shared" ref="AI54:AK54" si="413">(AI55*(AI56+AI50))</f>
        <v>0.49875000000000003</v>
      </c>
      <c r="AJ54" s="73"/>
      <c r="AK54" s="72">
        <f t="shared" si="413"/>
        <v>0.49875000000000003</v>
      </c>
      <c r="AL54" s="73"/>
      <c r="AM54" s="72">
        <f t="shared" ref="AM54" si="414">(AM55*(AM56+AM50))</f>
        <v>0.49875000000000003</v>
      </c>
      <c r="AN54" s="73"/>
      <c r="AO54" s="72">
        <f t="shared" ref="AO54" si="415">(AO55*(AO56+AO50))</f>
        <v>0.49875000000000003</v>
      </c>
      <c r="AP54" s="73"/>
      <c r="AQ54" s="72">
        <f t="shared" ref="AQ54" si="416">(AQ55*(AQ56+AQ50))</f>
        <v>0.49875000000000003</v>
      </c>
      <c r="AR54" s="73"/>
      <c r="AS54" s="72">
        <f t="shared" ref="AS54:AY54" si="417">(AS55*(AS56+AS50))</f>
        <v>0.49875000000000003</v>
      </c>
      <c r="AT54" s="73"/>
      <c r="AU54" s="72">
        <f t="shared" si="417"/>
        <v>0.49912826250000003</v>
      </c>
      <c r="AV54" s="73"/>
      <c r="AW54" s="72">
        <f t="shared" si="417"/>
        <v>0.49912826250000003</v>
      </c>
      <c r="AX54" s="73"/>
      <c r="AY54" s="72">
        <f t="shared" si="417"/>
        <v>0.49875000000000003</v>
      </c>
      <c r="AZ54" s="73"/>
      <c r="BA54" s="72">
        <f t="shared" ref="BA54:BC54" si="418">(BA55*(BA56+BA50))</f>
        <v>0.49875000000000003</v>
      </c>
      <c r="BB54" s="73"/>
      <c r="BC54" s="72">
        <f t="shared" si="418"/>
        <v>0.49875000000000003</v>
      </c>
      <c r="BD54" s="73"/>
      <c r="BE54" s="72">
        <f t="shared" ref="BE54:BG54" si="419">(BE55*(BE56+BE50))</f>
        <v>0.49875000000000003</v>
      </c>
      <c r="BF54" s="73"/>
      <c r="BG54" s="72">
        <f t="shared" si="419"/>
        <v>0.49875000000000003</v>
      </c>
      <c r="BH54" s="73"/>
      <c r="BI54" s="72">
        <f t="shared" ref="BI54:BO54" si="420">(BI55*(BI56+BI50))</f>
        <v>0.49875000000000003</v>
      </c>
      <c r="BJ54" s="73"/>
      <c r="BK54" s="72">
        <f t="shared" ref="BK54:BM54" si="421">(BK55*(BK56+BK50))</f>
        <v>0.49875000000000003</v>
      </c>
      <c r="BL54" s="73"/>
      <c r="BM54" s="72">
        <f t="shared" si="421"/>
        <v>0.49875000000000003</v>
      </c>
      <c r="BN54" s="73"/>
      <c r="BO54" s="72">
        <f t="shared" si="420"/>
        <v>0.49875000000000003</v>
      </c>
    </row>
    <row r="55" spans="1:67" s="4" customFormat="1" ht="18" customHeight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47"/>
      <c r="I55" s="1082">
        <v>0.1</v>
      </c>
      <c r="J55" s="47"/>
      <c r="K55" s="1082">
        <v>0.1</v>
      </c>
      <c r="L55" s="47"/>
      <c r="M55" s="1082">
        <v>0.1</v>
      </c>
      <c r="N55" s="47"/>
      <c r="O55" s="1082">
        <v>0.1</v>
      </c>
      <c r="P55" s="47"/>
      <c r="Q55" s="1082">
        <v>0.1</v>
      </c>
      <c r="R55" s="47"/>
      <c r="S55" s="1082">
        <v>0.1</v>
      </c>
      <c r="T55" s="47"/>
      <c r="U55" s="1082">
        <v>0.1</v>
      </c>
      <c r="V55" s="47"/>
      <c r="W55" s="1082">
        <v>0.1</v>
      </c>
      <c r="X55" s="47"/>
      <c r="Y55" s="1082">
        <v>0.1</v>
      </c>
      <c r="Z55" s="47"/>
      <c r="AA55" s="1082">
        <v>0.1</v>
      </c>
      <c r="AB55" s="47"/>
      <c r="AC55" s="1082">
        <v>0.1</v>
      </c>
      <c r="AD55" s="47"/>
      <c r="AE55" s="1082">
        <v>0.1</v>
      </c>
      <c r="AF55" s="47"/>
      <c r="AG55" s="1082">
        <v>0.1</v>
      </c>
      <c r="AH55" s="47"/>
      <c r="AI55" s="1082">
        <v>0.1</v>
      </c>
      <c r="AJ55" s="47"/>
      <c r="AK55" s="1082">
        <v>0.1</v>
      </c>
      <c r="AL55" s="47"/>
      <c r="AM55" s="1082">
        <v>0.1</v>
      </c>
      <c r="AN55" s="47"/>
      <c r="AO55" s="1082">
        <v>0.1</v>
      </c>
      <c r="AP55" s="47"/>
      <c r="AQ55" s="1082">
        <v>0.1</v>
      </c>
      <c r="AR55" s="47"/>
      <c r="AS55" s="1082">
        <v>0.1</v>
      </c>
      <c r="AT55" s="47"/>
      <c r="AU55" s="1082">
        <v>0.1</v>
      </c>
      <c r="AV55" s="47"/>
      <c r="AW55" s="1082">
        <v>0.1</v>
      </c>
      <c r="AX55" s="47"/>
      <c r="AY55" s="1082">
        <v>0.1</v>
      </c>
      <c r="AZ55" s="47"/>
      <c r="BA55" s="1082">
        <v>0.1</v>
      </c>
      <c r="BB55" s="47"/>
      <c r="BC55" s="1082">
        <v>0.1</v>
      </c>
      <c r="BD55" s="47"/>
      <c r="BE55" s="1082">
        <v>0.1</v>
      </c>
      <c r="BF55" s="47"/>
      <c r="BG55" s="1082">
        <v>0.1</v>
      </c>
      <c r="BH55" s="47"/>
      <c r="BI55" s="1082">
        <v>0.1</v>
      </c>
      <c r="BJ55" s="47"/>
      <c r="BK55" s="1082">
        <v>0.1</v>
      </c>
      <c r="BL55" s="47"/>
      <c r="BM55" s="1082">
        <v>0.1</v>
      </c>
      <c r="BN55" s="47"/>
      <c r="BO55" s="1082">
        <v>0.1</v>
      </c>
    </row>
    <row r="56" spans="1:67" s="4" customFormat="1" ht="18" customHeight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4.75</v>
      </c>
      <c r="H56" s="81"/>
      <c r="I56" s="82">
        <f>I60-I57+I58</f>
        <v>4.75</v>
      </c>
      <c r="J56" s="81"/>
      <c r="K56" s="82">
        <f>K60-K57+K58</f>
        <v>4.75</v>
      </c>
      <c r="L56" s="81"/>
      <c r="M56" s="82">
        <f>M60-M57+M58</f>
        <v>4.75</v>
      </c>
      <c r="N56" s="81"/>
      <c r="O56" s="82">
        <f>O60-O57+O58</f>
        <v>4.75</v>
      </c>
      <c r="P56" s="81"/>
      <c r="Q56" s="82">
        <f>Q60-Q57+Q58</f>
        <v>4.75</v>
      </c>
      <c r="R56" s="81"/>
      <c r="S56" s="82">
        <f>S60-S57+S58</f>
        <v>4.75</v>
      </c>
      <c r="T56" s="81"/>
      <c r="U56" s="82">
        <f>U60-U57+U58</f>
        <v>4.75</v>
      </c>
      <c r="V56" s="81"/>
      <c r="W56" s="82">
        <f>W60-W57+W58</f>
        <v>4.75</v>
      </c>
      <c r="X56" s="81"/>
      <c r="Y56" s="82">
        <f>Y60-Y57+Y58</f>
        <v>4.75</v>
      </c>
      <c r="Z56" s="81"/>
      <c r="AA56" s="82">
        <f>AA60-AA57+AA58</f>
        <v>4.75</v>
      </c>
      <c r="AB56" s="81"/>
      <c r="AC56" s="82">
        <f>AC60-AC57+AC58</f>
        <v>5.4045454545454543</v>
      </c>
      <c r="AD56" s="81"/>
      <c r="AE56" s="82">
        <f t="shared" ref="AE56" si="422">AE60-AE57+AE58</f>
        <v>4.75</v>
      </c>
      <c r="AF56" s="81"/>
      <c r="AG56" s="82">
        <f t="shared" ref="AG56" si="423">AG60-AG57+AG58</f>
        <v>4.75</v>
      </c>
      <c r="AH56" s="81"/>
      <c r="AI56" s="82">
        <f t="shared" ref="AI56:AK56" si="424">AI60-AI57+AI58</f>
        <v>4.75</v>
      </c>
      <c r="AJ56" s="81"/>
      <c r="AK56" s="82">
        <f t="shared" si="424"/>
        <v>4.75</v>
      </c>
      <c r="AL56" s="81"/>
      <c r="AM56" s="82">
        <f t="shared" ref="AM56" si="425">AM60-AM57+AM58</f>
        <v>4.75</v>
      </c>
      <c r="AN56" s="81"/>
      <c r="AO56" s="82">
        <f t="shared" ref="AO56" si="426">AO60-AO57+AO58</f>
        <v>4.75</v>
      </c>
      <c r="AP56" s="81"/>
      <c r="AQ56" s="82">
        <f t="shared" ref="AQ56" si="427">AQ60-AQ57+AQ58</f>
        <v>4.75</v>
      </c>
      <c r="AR56" s="81"/>
      <c r="AS56" s="82">
        <f t="shared" ref="AS56:AY56" si="428">AS60-AS57+AS58</f>
        <v>4.75</v>
      </c>
      <c r="AT56" s="81"/>
      <c r="AU56" s="82">
        <f t="shared" si="428"/>
        <v>4.7536025000000004</v>
      </c>
      <c r="AV56" s="81"/>
      <c r="AW56" s="82">
        <f t="shared" si="428"/>
        <v>4.7536025000000004</v>
      </c>
      <c r="AX56" s="81"/>
      <c r="AY56" s="82">
        <f t="shared" si="428"/>
        <v>4.75</v>
      </c>
      <c r="AZ56" s="81"/>
      <c r="BA56" s="82">
        <f t="shared" ref="BA56:BC56" si="429">BA60-BA57+BA58</f>
        <v>4.75</v>
      </c>
      <c r="BB56" s="81"/>
      <c r="BC56" s="82">
        <f t="shared" si="429"/>
        <v>4.75</v>
      </c>
      <c r="BD56" s="81"/>
      <c r="BE56" s="82">
        <f t="shared" ref="BE56:BG56" si="430">BE60-BE57+BE58</f>
        <v>4.75</v>
      </c>
      <c r="BF56" s="81"/>
      <c r="BG56" s="82">
        <f t="shared" si="430"/>
        <v>4.75</v>
      </c>
      <c r="BH56" s="81"/>
      <c r="BI56" s="82">
        <f t="shared" ref="BI56:BO56" si="431">BI60-BI57+BI58</f>
        <v>4.75</v>
      </c>
      <c r="BJ56" s="81"/>
      <c r="BK56" s="82">
        <f t="shared" ref="BK56:BM56" si="432">BK60-BK57+BK58</f>
        <v>4.75</v>
      </c>
      <c r="BL56" s="81"/>
      <c r="BM56" s="82">
        <f t="shared" si="432"/>
        <v>4.75</v>
      </c>
      <c r="BN56" s="81"/>
      <c r="BO56" s="82">
        <f t="shared" si="431"/>
        <v>4.75</v>
      </c>
    </row>
    <row r="57" spans="1:67" s="4" customFormat="1" ht="18" customHeight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1.8</v>
      </c>
      <c r="H57" s="85"/>
      <c r="I57" s="86">
        <v>1.8</v>
      </c>
      <c r="J57" s="85"/>
      <c r="K57" s="86">
        <v>1.8</v>
      </c>
      <c r="L57" s="85"/>
      <c r="M57" s="86">
        <v>1.8</v>
      </c>
      <c r="N57" s="85"/>
      <c r="O57" s="86">
        <v>1.8</v>
      </c>
      <c r="P57" s="85"/>
      <c r="Q57" s="86">
        <v>1.8</v>
      </c>
      <c r="R57" s="85"/>
      <c r="S57" s="86">
        <v>1.8</v>
      </c>
      <c r="T57" s="85"/>
      <c r="U57" s="86">
        <v>1.8</v>
      </c>
      <c r="V57" s="85"/>
      <c r="W57" s="86">
        <v>1.8</v>
      </c>
      <c r="X57" s="85"/>
      <c r="Y57" s="86">
        <v>1.8</v>
      </c>
      <c r="Z57" s="85"/>
      <c r="AA57" s="86">
        <v>1.8</v>
      </c>
      <c r="AB57" s="85"/>
      <c r="AC57" s="86">
        <v>1.1454545454545455</v>
      </c>
      <c r="AD57" s="85"/>
      <c r="AE57" s="86">
        <v>1.8</v>
      </c>
      <c r="AF57" s="85"/>
      <c r="AG57" s="86">
        <v>1.8</v>
      </c>
      <c r="AH57" s="85"/>
      <c r="AI57" s="86">
        <v>1.8</v>
      </c>
      <c r="AJ57" s="85"/>
      <c r="AK57" s="86">
        <v>1.8</v>
      </c>
      <c r="AL57" s="85"/>
      <c r="AM57" s="86">
        <v>1.8</v>
      </c>
      <c r="AN57" s="85"/>
      <c r="AO57" s="86">
        <v>1.8</v>
      </c>
      <c r="AP57" s="85"/>
      <c r="AQ57" s="86">
        <v>1.8</v>
      </c>
      <c r="AR57" s="85"/>
      <c r="AS57" s="86">
        <v>1.8</v>
      </c>
      <c r="AT57" s="85"/>
      <c r="AU57" s="86">
        <v>1.8</v>
      </c>
      <c r="AV57" s="85"/>
      <c r="AW57" s="86">
        <v>1.8</v>
      </c>
      <c r="AX57" s="85"/>
      <c r="AY57" s="86">
        <v>1.8</v>
      </c>
      <c r="AZ57" s="85"/>
      <c r="BA57" s="86">
        <v>1.8</v>
      </c>
      <c r="BB57" s="85"/>
      <c r="BC57" s="86">
        <v>1.8</v>
      </c>
      <c r="BD57" s="85"/>
      <c r="BE57" s="86">
        <v>1.8</v>
      </c>
      <c r="BF57" s="85"/>
      <c r="BG57" s="86">
        <v>1.8</v>
      </c>
      <c r="BH57" s="85"/>
      <c r="BI57" s="86">
        <v>1.8</v>
      </c>
      <c r="BJ57" s="85"/>
      <c r="BK57" s="86">
        <v>1.8</v>
      </c>
      <c r="BL57" s="85"/>
      <c r="BM57" s="86">
        <v>1.8</v>
      </c>
      <c r="BN57" s="85"/>
      <c r="BO57" s="86">
        <v>1.8</v>
      </c>
    </row>
    <row r="58" spans="1:67" s="4" customFormat="1" ht="18" customHeight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  <c r="BB58" s="85"/>
      <c r="BC58" s="86">
        <v>0</v>
      </c>
      <c r="BD58" s="85"/>
      <c r="BE58" s="86">
        <v>0</v>
      </c>
      <c r="BF58" s="85"/>
      <c r="BG58" s="86">
        <v>0</v>
      </c>
      <c r="BH58" s="85"/>
      <c r="BI58" s="86">
        <v>0</v>
      </c>
      <c r="BJ58" s="85"/>
      <c r="BK58" s="86">
        <v>0</v>
      </c>
      <c r="BL58" s="85"/>
      <c r="BM58" s="86">
        <v>0</v>
      </c>
      <c r="BN58" s="85"/>
      <c r="BO58" s="86">
        <v>0</v>
      </c>
    </row>
    <row r="59" spans="1:67" s="4" customFormat="1" ht="18" hidden="1" customHeight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6.5536025000000002</v>
      </c>
      <c r="H59" s="85"/>
      <c r="I59" s="86">
        <f>+I62+I65+I67</f>
        <v>6.5536025000000002</v>
      </c>
      <c r="J59" s="85"/>
      <c r="K59" s="86">
        <f>+K62+K65+K67</f>
        <v>6.5536025000000002</v>
      </c>
      <c r="L59" s="85"/>
      <c r="M59" s="86">
        <f>+M62+M65+M67</f>
        <v>6.5536025000000002</v>
      </c>
      <c r="N59" s="85"/>
      <c r="O59" s="86">
        <f>+O62+O65+O67</f>
        <v>6.5536025000000002</v>
      </c>
      <c r="P59" s="85"/>
      <c r="Q59" s="86">
        <f>+Q62+Q65+Q67</f>
        <v>6.5536025000000002</v>
      </c>
      <c r="R59" s="85"/>
      <c r="S59" s="86">
        <f>+S62+S65+S67</f>
        <v>6.5536025000000002</v>
      </c>
      <c r="T59" s="85"/>
      <c r="U59" s="86">
        <f>+U62+U65+U67</f>
        <v>6.5536025000000002</v>
      </c>
      <c r="V59" s="85"/>
      <c r="W59" s="86">
        <f>+W62+W65+W67</f>
        <v>6.5536025000000002</v>
      </c>
      <c r="X59" s="85"/>
      <c r="Y59" s="86">
        <f>+Y62+Y65+Y67</f>
        <v>6.5536025000000002</v>
      </c>
      <c r="Z59" s="85"/>
      <c r="AA59" s="86">
        <f>+AA62+AA65+AA67</f>
        <v>6.5536025000000002</v>
      </c>
      <c r="AB59" s="85"/>
      <c r="AC59" s="86">
        <f>+AC62+AC65+AC67</f>
        <v>6.5536025000000002</v>
      </c>
      <c r="AD59" s="85"/>
      <c r="AE59" s="86">
        <f t="shared" ref="AE59" si="433">+AE62+AE65+AE67</f>
        <v>6.5536025000000002</v>
      </c>
      <c r="AF59" s="85"/>
      <c r="AG59" s="86">
        <f t="shared" ref="AG59" si="434">+AG62+AG65+AG67</f>
        <v>6.5536025000000002</v>
      </c>
      <c r="AH59" s="85"/>
      <c r="AI59" s="86">
        <f t="shared" ref="AI59:AK59" si="435">+AI62+AI65+AI67</f>
        <v>6.5536025000000002</v>
      </c>
      <c r="AJ59" s="85"/>
      <c r="AK59" s="86">
        <f t="shared" si="435"/>
        <v>6.5536025000000002</v>
      </c>
      <c r="AL59" s="85"/>
      <c r="AM59" s="86">
        <f t="shared" ref="AM59" si="436">+AM62+AM65+AM67</f>
        <v>6.5536025000000002</v>
      </c>
      <c r="AN59" s="85"/>
      <c r="AO59" s="86">
        <f t="shared" ref="AO59" si="437">+AO62+AO65+AO67</f>
        <v>6.5536025000000002</v>
      </c>
      <c r="AP59" s="85"/>
      <c r="AQ59" s="86">
        <f t="shared" ref="AQ59" si="438">+AQ62+AQ65+AQ67</f>
        <v>6.5536025000000002</v>
      </c>
      <c r="AR59" s="85"/>
      <c r="AS59" s="86">
        <f t="shared" ref="AS59:AY59" si="439">+AS62+AS65+AS67</f>
        <v>6.5536025000000002</v>
      </c>
      <c r="AT59" s="85"/>
      <c r="AU59" s="86">
        <f t="shared" si="439"/>
        <v>6.5536025000000002</v>
      </c>
      <c r="AV59" s="85"/>
      <c r="AW59" s="86">
        <f t="shared" si="439"/>
        <v>6.5536025000000002</v>
      </c>
      <c r="AX59" s="85"/>
      <c r="AY59" s="86">
        <f t="shared" si="439"/>
        <v>6.55</v>
      </c>
      <c r="AZ59" s="85"/>
      <c r="BA59" s="86">
        <f t="shared" ref="BA59:BC59" si="440">+BA62+BA65+BA67</f>
        <v>6.55</v>
      </c>
      <c r="BB59" s="85"/>
      <c r="BC59" s="86">
        <f t="shared" si="440"/>
        <v>6.55</v>
      </c>
      <c r="BD59" s="85"/>
      <c r="BE59" s="86">
        <f t="shared" ref="BE59:BG59" si="441">+BE62+BE65+BE67</f>
        <v>6.55</v>
      </c>
      <c r="BF59" s="85"/>
      <c r="BG59" s="86">
        <f t="shared" si="441"/>
        <v>6.55</v>
      </c>
      <c r="BH59" s="85"/>
      <c r="BI59" s="86">
        <f t="shared" ref="BI59:BO59" si="442">+BI62+BI65+BI67</f>
        <v>6.55</v>
      </c>
      <c r="BJ59" s="85"/>
      <c r="BK59" s="86">
        <f t="shared" ref="BK59:BM59" si="443">+BK62+BK65+BK67</f>
        <v>6.55</v>
      </c>
      <c r="BL59" s="85"/>
      <c r="BM59" s="86">
        <f t="shared" si="443"/>
        <v>6.55</v>
      </c>
      <c r="BN59" s="85"/>
      <c r="BO59" s="86">
        <f t="shared" si="442"/>
        <v>6.55</v>
      </c>
    </row>
    <row r="60" spans="1:67" s="4" customFormat="1" ht="18" customHeight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6.55</v>
      </c>
      <c r="H60" s="81"/>
      <c r="I60" s="82">
        <f>I65+I67</f>
        <v>6.55</v>
      </c>
      <c r="J60" s="81"/>
      <c r="K60" s="82">
        <f>K65+K67</f>
        <v>6.55</v>
      </c>
      <c r="L60" s="81"/>
      <c r="M60" s="82">
        <f>M65+M67</f>
        <v>6.55</v>
      </c>
      <c r="N60" s="81"/>
      <c r="O60" s="82">
        <f>O65+O67</f>
        <v>6.55</v>
      </c>
      <c r="P60" s="81"/>
      <c r="Q60" s="82">
        <f>Q65+Q67</f>
        <v>6.55</v>
      </c>
      <c r="R60" s="81"/>
      <c r="S60" s="82">
        <f>S65+S67</f>
        <v>6.55</v>
      </c>
      <c r="T60" s="81"/>
      <c r="U60" s="82">
        <f>U65+U67</f>
        <v>6.55</v>
      </c>
      <c r="V60" s="81"/>
      <c r="W60" s="82">
        <f>W65+W67</f>
        <v>6.55</v>
      </c>
      <c r="X60" s="81"/>
      <c r="Y60" s="82">
        <f>Y65+Y67</f>
        <v>6.55</v>
      </c>
      <c r="Z60" s="81"/>
      <c r="AA60" s="82">
        <f>AA65+AA67</f>
        <v>6.55</v>
      </c>
      <c r="AB60" s="81"/>
      <c r="AC60" s="82">
        <f>AC65+AC67</f>
        <v>6.55</v>
      </c>
      <c r="AD60" s="81"/>
      <c r="AE60" s="82">
        <f t="shared" ref="AE60" si="444">AE65+AE67</f>
        <v>6.55</v>
      </c>
      <c r="AF60" s="81"/>
      <c r="AG60" s="82">
        <f t="shared" ref="AG60" si="445">AG65+AG67</f>
        <v>6.55</v>
      </c>
      <c r="AH60" s="81"/>
      <c r="AI60" s="82">
        <f t="shared" ref="AI60:AK60" si="446">AI65+AI67</f>
        <v>6.55</v>
      </c>
      <c r="AJ60" s="81"/>
      <c r="AK60" s="82">
        <f t="shared" si="446"/>
        <v>6.55</v>
      </c>
      <c r="AL60" s="81"/>
      <c r="AM60" s="82">
        <f t="shared" ref="AM60" si="447">AM65+AM67</f>
        <v>6.55</v>
      </c>
      <c r="AN60" s="81"/>
      <c r="AO60" s="82">
        <f t="shared" ref="AO60" si="448">AO65+AO67</f>
        <v>6.55</v>
      </c>
      <c r="AP60" s="81"/>
      <c r="AQ60" s="82">
        <f t="shared" ref="AQ60" si="449">AQ65+AQ67</f>
        <v>6.55</v>
      </c>
      <c r="AR60" s="81"/>
      <c r="AS60" s="82">
        <f t="shared" ref="AS60" si="450">AS65+AS67</f>
        <v>6.55</v>
      </c>
      <c r="AT60" s="81"/>
      <c r="AU60" s="82">
        <f>AU65+AU67+AU62</f>
        <v>6.5536025000000002</v>
      </c>
      <c r="AV60" s="81"/>
      <c r="AW60" s="82">
        <f>AW65+AW67+AW62</f>
        <v>6.5536025000000002</v>
      </c>
      <c r="AX60" s="81"/>
      <c r="AY60" s="82">
        <f>AY65+AY67+AY62</f>
        <v>6.55</v>
      </c>
      <c r="AZ60" s="81"/>
      <c r="BA60" s="82">
        <f>BA65+BA67+BA62</f>
        <v>6.55</v>
      </c>
      <c r="BB60" s="81"/>
      <c r="BC60" s="82">
        <f>BC65+BC67+BC62</f>
        <v>6.55</v>
      </c>
      <c r="BD60" s="81"/>
      <c r="BE60" s="82">
        <f>BE65+BE67+BE62</f>
        <v>6.55</v>
      </c>
      <c r="BF60" s="81"/>
      <c r="BG60" s="82">
        <f>BG65+BG67+BG62</f>
        <v>6.55</v>
      </c>
      <c r="BH60" s="81"/>
      <c r="BI60" s="82">
        <f>BI65+BI67+BI62</f>
        <v>6.55</v>
      </c>
      <c r="BJ60" s="81"/>
      <c r="BK60" s="82">
        <f>BK65+BK67+BK62</f>
        <v>6.55</v>
      </c>
      <c r="BL60" s="81"/>
      <c r="BM60" s="82">
        <f>BM65+BM67+BM62</f>
        <v>6.55</v>
      </c>
      <c r="BN60" s="81"/>
      <c r="BO60" s="82">
        <f>BO65+BO67+BO62</f>
        <v>6.55</v>
      </c>
    </row>
    <row r="61" spans="1:67" s="4" customFormat="1" ht="18" customHeight="1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42"/>
      <c r="O61" s="88"/>
      <c r="P61" s="42"/>
      <c r="Q61" s="88"/>
      <c r="R61" s="42"/>
      <c r="S61" s="88"/>
      <c r="T61" s="42"/>
      <c r="U61" s="88"/>
      <c r="V61" s="42"/>
      <c r="W61" s="88"/>
      <c r="X61" s="42"/>
      <c r="Y61" s="88"/>
      <c r="Z61" s="42"/>
      <c r="AA61" s="88"/>
      <c r="AB61" s="42"/>
      <c r="AC61" s="88"/>
      <c r="AD61" s="42"/>
      <c r="AE61" s="88"/>
      <c r="AF61" s="42"/>
      <c r="AG61" s="88"/>
      <c r="AH61" s="42"/>
      <c r="AI61" s="88"/>
      <c r="AJ61" s="42"/>
      <c r="AK61" s="88"/>
      <c r="AL61" s="42"/>
      <c r="AM61" s="88"/>
      <c r="AN61" s="42"/>
      <c r="AO61" s="88"/>
      <c r="AP61" s="42"/>
      <c r="AQ61" s="88"/>
      <c r="AR61" s="42"/>
      <c r="AS61" s="88"/>
      <c r="AT61" s="42"/>
      <c r="AU61" s="88"/>
      <c r="AV61" s="42"/>
      <c r="AW61" s="88"/>
      <c r="AX61" s="42"/>
      <c r="AY61" s="88"/>
      <c r="AZ61" s="42"/>
      <c r="BA61" s="88"/>
      <c r="BB61" s="42"/>
      <c r="BC61" s="88"/>
      <c r="BD61" s="42"/>
      <c r="BE61" s="88"/>
      <c r="BF61" s="42"/>
      <c r="BG61" s="88"/>
      <c r="BH61" s="42"/>
      <c r="BI61" s="88"/>
      <c r="BJ61" s="42"/>
      <c r="BK61" s="88"/>
      <c r="BL61" s="42"/>
      <c r="BM61" s="88"/>
      <c r="BN61" s="42"/>
      <c r="BO61" s="88"/>
    </row>
    <row r="62" spans="1:67" s="4" customFormat="1" ht="18" customHeight="1" x14ac:dyDescent="0.45">
      <c r="A62" s="561"/>
      <c r="B62" s="1184"/>
      <c r="C62" s="71" t="s">
        <v>385</v>
      </c>
      <c r="D62" s="16"/>
      <c r="E62" s="35" t="s">
        <v>68</v>
      </c>
      <c r="F62" s="89"/>
      <c r="G62" s="90">
        <f>0.055/100*(G67+(G64/G66))</f>
        <v>3.6025000000000002E-3</v>
      </c>
      <c r="H62" s="89"/>
      <c r="I62" s="90">
        <f>0.055/100*(I67+(I64/I66))</f>
        <v>3.6025000000000002E-3</v>
      </c>
      <c r="J62" s="89"/>
      <c r="K62" s="90">
        <f>0.055/100*(K67+(K64/K66))</f>
        <v>3.6025000000000002E-3</v>
      </c>
      <c r="L62" s="89"/>
      <c r="M62" s="90">
        <f>0.055/100*(M67+(M64/M66))</f>
        <v>3.6025000000000002E-3</v>
      </c>
      <c r="N62" s="89"/>
      <c r="O62" s="90">
        <f>0.055/100*(O67+(O64/O66))</f>
        <v>3.6025000000000002E-3</v>
      </c>
      <c r="P62" s="89"/>
      <c r="Q62" s="90">
        <f>0.055/100*(Q67+(Q64/Q66))</f>
        <v>3.6025000000000002E-3</v>
      </c>
      <c r="R62" s="89"/>
      <c r="S62" s="90">
        <f>0.055/100*(S67+(S64/S66))</f>
        <v>3.6025000000000002E-3</v>
      </c>
      <c r="T62" s="89"/>
      <c r="U62" s="90">
        <f>0.055/100*(U67+(U64/U66))</f>
        <v>3.6025000000000002E-3</v>
      </c>
      <c r="V62" s="89"/>
      <c r="W62" s="90">
        <f>0.055/100*(W67+(W64/W66))</f>
        <v>3.6025000000000002E-3</v>
      </c>
      <c r="X62" s="89"/>
      <c r="Y62" s="90">
        <f>0.055/100*(Y67+(Y64/Y66))</f>
        <v>3.6025000000000002E-3</v>
      </c>
      <c r="Z62" s="89"/>
      <c r="AA62" s="90">
        <f>0.055/100*(AA67+(AA64/AA66))</f>
        <v>3.6025000000000002E-3</v>
      </c>
      <c r="AB62" s="89"/>
      <c r="AC62" s="90">
        <f>0.055/100*(AC67+(AC64/AC66))</f>
        <v>3.6025000000000002E-3</v>
      </c>
      <c r="AD62" s="89"/>
      <c r="AE62" s="90">
        <f t="shared" ref="AE62" si="451">0.055/100*(AE67+(AE64/AE66))</f>
        <v>3.6025000000000002E-3</v>
      </c>
      <c r="AF62" s="89"/>
      <c r="AG62" s="90">
        <f t="shared" ref="AG62" si="452">0.055/100*(AG67+(AG64/AG66))</f>
        <v>3.6025000000000002E-3</v>
      </c>
      <c r="AH62" s="89"/>
      <c r="AI62" s="90">
        <f t="shared" ref="AI62:AK62" si="453">0.055/100*(AI67+(AI64/AI66))</f>
        <v>3.6025000000000002E-3</v>
      </c>
      <c r="AJ62" s="89"/>
      <c r="AK62" s="90">
        <f t="shared" si="453"/>
        <v>3.6025000000000002E-3</v>
      </c>
      <c r="AL62" s="89"/>
      <c r="AM62" s="90">
        <f t="shared" ref="AM62" si="454">0.055/100*(AM67+(AM64/AM66))</f>
        <v>3.6025000000000002E-3</v>
      </c>
      <c r="AN62" s="89"/>
      <c r="AO62" s="90">
        <f t="shared" ref="AO62" si="455">0.055/100*(AO67+(AO64/AO66))</f>
        <v>3.6025000000000002E-3</v>
      </c>
      <c r="AP62" s="89"/>
      <c r="AQ62" s="90">
        <f t="shared" ref="AQ62" si="456">0.055/100*(AQ67+(AQ64/AQ66))</f>
        <v>3.6025000000000002E-3</v>
      </c>
      <c r="AR62" s="89"/>
      <c r="AS62" s="90">
        <f t="shared" ref="AS62:AW62" si="457">0.055/100*(AS67+(AS64/AS66))</f>
        <v>3.6025000000000002E-3</v>
      </c>
      <c r="AT62" s="89"/>
      <c r="AU62" s="90">
        <f t="shared" si="457"/>
        <v>3.6025000000000002E-3</v>
      </c>
      <c r="AV62" s="89"/>
      <c r="AW62" s="90">
        <f t="shared" si="457"/>
        <v>3.6025000000000002E-3</v>
      </c>
      <c r="AX62" s="89">
        <f>6.55-AY60</f>
        <v>0</v>
      </c>
      <c r="AY62" s="90">
        <v>-1.2500000000000178E-2</v>
      </c>
      <c r="AZ62" s="89">
        <f>6.55-BA60</f>
        <v>0</v>
      </c>
      <c r="BA62" s="90">
        <v>-1.2500000000000178E-2</v>
      </c>
      <c r="BB62" s="89">
        <f>6.55-BC60</f>
        <v>0</v>
      </c>
      <c r="BC62" s="90">
        <v>-1.2500000000000178E-2</v>
      </c>
      <c r="BD62" s="89">
        <f>6.55-BE60</f>
        <v>0</v>
      </c>
      <c r="BE62" s="90">
        <v>-1.2500000000000178E-2</v>
      </c>
      <c r="BF62" s="89">
        <f>6.55-BG60</f>
        <v>0</v>
      </c>
      <c r="BG62" s="90">
        <v>-1.2500000000000178E-2</v>
      </c>
      <c r="BH62" s="89">
        <f>6.55-BI60</f>
        <v>0</v>
      </c>
      <c r="BI62" s="90">
        <v>-1.2500000000000178E-2</v>
      </c>
      <c r="BJ62" s="89">
        <f>6.55-BK60</f>
        <v>0</v>
      </c>
      <c r="BK62" s="90">
        <v>-1.2500000000000178E-2</v>
      </c>
      <c r="BL62" s="89">
        <f>6.55-BM60</f>
        <v>0</v>
      </c>
      <c r="BM62" s="90">
        <v>-1.2500000000000178E-2</v>
      </c>
      <c r="BN62" s="89">
        <f>6.55-BO60</f>
        <v>0</v>
      </c>
      <c r="BO62" s="90">
        <v>-1.2500000000000178E-2</v>
      </c>
    </row>
    <row r="63" spans="1:67" s="4" customFormat="1" ht="18" customHeight="1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1.8700000000000004E-3</v>
      </c>
      <c r="H63" s="89"/>
      <c r="I63" s="90">
        <f>0.0425/100*(6.2-I57)</f>
        <v>1.8700000000000004E-3</v>
      </c>
      <c r="J63" s="89"/>
      <c r="K63" s="90">
        <f>0.0425/100*(6.2-K57)</f>
        <v>1.8700000000000004E-3</v>
      </c>
      <c r="L63" s="89"/>
      <c r="M63" s="90">
        <f>0.0425/100*(6.2-M57)</f>
        <v>1.8700000000000004E-3</v>
      </c>
      <c r="N63" s="89"/>
      <c r="O63" s="90">
        <f>0.0425/100*(6.2-O57)</f>
        <v>1.8700000000000004E-3</v>
      </c>
      <c r="P63" s="89"/>
      <c r="Q63" s="90">
        <f>0.0425/100*(6.2-Q57)</f>
        <v>1.8700000000000004E-3</v>
      </c>
      <c r="R63" s="89"/>
      <c r="S63" s="90">
        <f>0.0425/100*(6.2-S57)</f>
        <v>1.8700000000000004E-3</v>
      </c>
      <c r="T63" s="89"/>
      <c r="U63" s="90">
        <f>0.0425/100*(6.2-U57)</f>
        <v>1.8700000000000004E-3</v>
      </c>
      <c r="V63" s="89"/>
      <c r="W63" s="90">
        <f>0.0425/100*(6.2-W57)</f>
        <v>1.8700000000000004E-3</v>
      </c>
      <c r="X63" s="89"/>
      <c r="Y63" s="90">
        <f>0.0425/100*(6.2-Y57)</f>
        <v>1.8700000000000004E-3</v>
      </c>
      <c r="Z63" s="89"/>
      <c r="AA63" s="90">
        <f>0.0425/100*(6.2-AA57)</f>
        <v>1.8700000000000004E-3</v>
      </c>
      <c r="AB63" s="89"/>
      <c r="AC63" s="90">
        <f>0.0425/100*(6.2-AC57)</f>
        <v>2.1481818181818182E-3</v>
      </c>
      <c r="AD63" s="89"/>
      <c r="AE63" s="90">
        <f t="shared" ref="AE63" si="458">0.0425/100*(6.2-AE57)</f>
        <v>1.8700000000000004E-3</v>
      </c>
      <c r="AF63" s="89"/>
      <c r="AG63" s="90">
        <f t="shared" ref="AG63" si="459">0.0425/100*(6.2-AG57)</f>
        <v>1.8700000000000004E-3</v>
      </c>
      <c r="AH63" s="89"/>
      <c r="AI63" s="90">
        <f t="shared" ref="AI63:AK63" si="460">0.0425/100*(6.2-AI57)</f>
        <v>1.8700000000000004E-3</v>
      </c>
      <c r="AJ63" s="89"/>
      <c r="AK63" s="90">
        <f t="shared" si="460"/>
        <v>1.8700000000000004E-3</v>
      </c>
      <c r="AL63" s="89"/>
      <c r="AM63" s="90">
        <f t="shared" ref="AM63" si="461">0.0425/100*(6.2-AM57)</f>
        <v>1.8700000000000004E-3</v>
      </c>
      <c r="AN63" s="89"/>
      <c r="AO63" s="90">
        <f t="shared" ref="AO63" si="462">0.0425/100*(6.2-AO57)</f>
        <v>1.8700000000000004E-3</v>
      </c>
      <c r="AP63" s="89"/>
      <c r="AQ63" s="90">
        <f t="shared" ref="AQ63" si="463">0.0425/100*(6.2-AQ57)</f>
        <v>1.8700000000000004E-3</v>
      </c>
      <c r="AR63" s="89"/>
      <c r="AS63" s="90">
        <f t="shared" ref="AS63:AY63" si="464">0.0425/100*(6.2-AS57)</f>
        <v>1.8700000000000004E-3</v>
      </c>
      <c r="AT63" s="89"/>
      <c r="AU63" s="90">
        <f t="shared" si="464"/>
        <v>1.8700000000000004E-3</v>
      </c>
      <c r="AV63" s="89"/>
      <c r="AW63" s="90">
        <f t="shared" si="464"/>
        <v>1.8700000000000004E-3</v>
      </c>
      <c r="AX63" s="89"/>
      <c r="AY63" s="90">
        <f t="shared" si="464"/>
        <v>1.8700000000000004E-3</v>
      </c>
      <c r="AZ63" s="89"/>
      <c r="BA63" s="90">
        <f t="shared" ref="BA63:BC63" si="465">0.0425/100*(6.2-BA57)</f>
        <v>1.8700000000000004E-3</v>
      </c>
      <c r="BB63" s="89"/>
      <c r="BC63" s="90">
        <f t="shared" si="465"/>
        <v>1.8700000000000004E-3</v>
      </c>
      <c r="BD63" s="89"/>
      <c r="BE63" s="90">
        <f t="shared" ref="BE63:BG63" si="466">0.0425/100*(6.2-BE57)</f>
        <v>1.8700000000000004E-3</v>
      </c>
      <c r="BF63" s="89"/>
      <c r="BG63" s="90">
        <f t="shared" si="466"/>
        <v>1.8700000000000004E-3</v>
      </c>
      <c r="BH63" s="89"/>
      <c r="BI63" s="90">
        <f t="shared" ref="BI63:BO63" si="467">0.0425/100*(6.2-BI57)</f>
        <v>1.8700000000000004E-3</v>
      </c>
      <c r="BJ63" s="89"/>
      <c r="BK63" s="90">
        <f t="shared" ref="BK63:BM63" si="468">0.0425/100*(6.2-BK57)</f>
        <v>1.8700000000000004E-3</v>
      </c>
      <c r="BL63" s="89"/>
      <c r="BM63" s="90">
        <f t="shared" si="468"/>
        <v>1.8700000000000004E-3</v>
      </c>
      <c r="BN63" s="89"/>
      <c r="BO63" s="90">
        <f t="shared" si="467"/>
        <v>1.8700000000000004E-3</v>
      </c>
    </row>
    <row r="64" spans="1:67" s="4" customFormat="1" ht="18" customHeight="1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42"/>
      <c r="I64" s="91">
        <v>1200</v>
      </c>
      <c r="J64" s="42"/>
      <c r="K64" s="91">
        <v>1200</v>
      </c>
      <c r="L64" s="42"/>
      <c r="M64" s="91">
        <v>1200</v>
      </c>
      <c r="N64" s="42"/>
      <c r="O64" s="91">
        <v>1200</v>
      </c>
      <c r="P64" s="42"/>
      <c r="Q64" s="91">
        <v>1200</v>
      </c>
      <c r="R64" s="42"/>
      <c r="S64" s="91">
        <v>1200</v>
      </c>
      <c r="T64" s="42"/>
      <c r="U64" s="91">
        <v>1200</v>
      </c>
      <c r="V64" s="42"/>
      <c r="W64" s="91">
        <v>1200</v>
      </c>
      <c r="X64" s="42"/>
      <c r="Y64" s="91">
        <v>1200</v>
      </c>
      <c r="Z64" s="42"/>
      <c r="AA64" s="91">
        <v>1200</v>
      </c>
      <c r="AB64" s="42"/>
      <c r="AC64" s="91">
        <v>1200</v>
      </c>
      <c r="AD64" s="42"/>
      <c r="AE64" s="91">
        <v>1200</v>
      </c>
      <c r="AF64" s="42"/>
      <c r="AG64" s="91">
        <v>1200</v>
      </c>
      <c r="AH64" s="42"/>
      <c r="AI64" s="91">
        <v>1200</v>
      </c>
      <c r="AJ64" s="42"/>
      <c r="AK64" s="91">
        <v>1200</v>
      </c>
      <c r="AL64" s="42"/>
      <c r="AM64" s="91">
        <v>1200</v>
      </c>
      <c r="AN64" s="42"/>
      <c r="AO64" s="91">
        <v>1200</v>
      </c>
      <c r="AP64" s="42"/>
      <c r="AQ64" s="91">
        <v>1200</v>
      </c>
      <c r="AR64" s="42"/>
      <c r="AS64" s="91">
        <v>1200</v>
      </c>
      <c r="AT64" s="42"/>
      <c r="AU64" s="91">
        <v>1200</v>
      </c>
      <c r="AV64" s="42"/>
      <c r="AW64" s="91">
        <v>1200</v>
      </c>
      <c r="AX64" s="42"/>
      <c r="AY64" s="91">
        <v>750</v>
      </c>
      <c r="AZ64" s="42"/>
      <c r="BA64" s="91">
        <v>750</v>
      </c>
      <c r="BB64" s="42"/>
      <c r="BC64" s="91">
        <v>750</v>
      </c>
      <c r="BD64" s="42"/>
      <c r="BE64" s="91">
        <v>750</v>
      </c>
      <c r="BF64" s="42"/>
      <c r="BG64" s="91">
        <v>750</v>
      </c>
      <c r="BH64" s="42"/>
      <c r="BI64" s="91">
        <v>750</v>
      </c>
      <c r="BJ64" s="42"/>
      <c r="BK64" s="91">
        <v>750</v>
      </c>
      <c r="BL64" s="42"/>
      <c r="BM64" s="91">
        <v>750</v>
      </c>
      <c r="BN64" s="42"/>
      <c r="BO64" s="91">
        <v>750</v>
      </c>
    </row>
    <row r="65" spans="1:67" s="97" customFormat="1" ht="18" customHeight="1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0.5</v>
      </c>
      <c r="H65" s="95"/>
      <c r="I65" s="96">
        <f>+I64/I66</f>
        <v>0.5</v>
      </c>
      <c r="J65" s="95"/>
      <c r="K65" s="96">
        <f>+K64/K66</f>
        <v>0.5</v>
      </c>
      <c r="L65" s="95"/>
      <c r="M65" s="96">
        <f>+M64/M66</f>
        <v>0.5</v>
      </c>
      <c r="N65" s="95"/>
      <c r="O65" s="96">
        <f>+O64/O66</f>
        <v>0.5</v>
      </c>
      <c r="P65" s="95"/>
      <c r="Q65" s="96">
        <f>+Q64/Q66</f>
        <v>0.5</v>
      </c>
      <c r="R65" s="95"/>
      <c r="S65" s="96">
        <f>+S64/S66</f>
        <v>0.5</v>
      </c>
      <c r="T65" s="95"/>
      <c r="U65" s="96">
        <f>+U64/U66</f>
        <v>0.5</v>
      </c>
      <c r="V65" s="95"/>
      <c r="W65" s="96">
        <f>+W64/W66</f>
        <v>0.5</v>
      </c>
      <c r="X65" s="95"/>
      <c r="Y65" s="96">
        <f>+Y64/Y66</f>
        <v>0.5</v>
      </c>
      <c r="Z65" s="95"/>
      <c r="AA65" s="96">
        <f>+AA64/AA66</f>
        <v>0.5</v>
      </c>
      <c r="AB65" s="95"/>
      <c r="AC65" s="96">
        <f>+AC64/AC66</f>
        <v>0.5</v>
      </c>
      <c r="AD65" s="95"/>
      <c r="AE65" s="96">
        <f t="shared" ref="AE65" si="469">+AE64/AE66</f>
        <v>0.5</v>
      </c>
      <c r="AF65" s="95"/>
      <c r="AG65" s="96">
        <f t="shared" ref="AG65" si="470">+AG64/AG66</f>
        <v>0.5</v>
      </c>
      <c r="AH65" s="95"/>
      <c r="AI65" s="96">
        <f t="shared" ref="AI65:AK65" si="471">+AI64/AI66</f>
        <v>0.5</v>
      </c>
      <c r="AJ65" s="95"/>
      <c r="AK65" s="96">
        <f t="shared" si="471"/>
        <v>0.5</v>
      </c>
      <c r="AL65" s="95"/>
      <c r="AM65" s="96">
        <f t="shared" ref="AM65" si="472">+AM64/AM66</f>
        <v>0.5</v>
      </c>
      <c r="AN65" s="95"/>
      <c r="AO65" s="96">
        <f t="shared" ref="AO65" si="473">+AO64/AO66</f>
        <v>0.5</v>
      </c>
      <c r="AP65" s="95"/>
      <c r="AQ65" s="96">
        <f t="shared" ref="AQ65" si="474">+AQ64/AQ66</f>
        <v>0.5</v>
      </c>
      <c r="AR65" s="95"/>
      <c r="AS65" s="96">
        <f t="shared" ref="AS65:AY65" si="475">+AS64/AS66</f>
        <v>0.5</v>
      </c>
      <c r="AT65" s="95"/>
      <c r="AU65" s="96">
        <f t="shared" si="475"/>
        <v>0.5</v>
      </c>
      <c r="AV65" s="95"/>
      <c r="AW65" s="96">
        <f t="shared" si="475"/>
        <v>0.5</v>
      </c>
      <c r="AX65" s="95"/>
      <c r="AY65" s="96">
        <f t="shared" si="475"/>
        <v>0.3125</v>
      </c>
      <c r="AZ65" s="95"/>
      <c r="BA65" s="96">
        <f t="shared" ref="BA65:BC65" si="476">+BA64/BA66</f>
        <v>0.3125</v>
      </c>
      <c r="BB65" s="95"/>
      <c r="BC65" s="96">
        <f t="shared" si="476"/>
        <v>0.3125</v>
      </c>
      <c r="BD65" s="95"/>
      <c r="BE65" s="96">
        <f t="shared" ref="BE65:BG65" si="477">+BE64/BE66</f>
        <v>0.3125</v>
      </c>
      <c r="BF65" s="95"/>
      <c r="BG65" s="96">
        <f t="shared" si="477"/>
        <v>0.3125</v>
      </c>
      <c r="BH65" s="95"/>
      <c r="BI65" s="96">
        <f t="shared" ref="BI65:BO65" si="478">+BI64/BI66</f>
        <v>0.3125</v>
      </c>
      <c r="BJ65" s="95"/>
      <c r="BK65" s="96">
        <f t="shared" ref="BK65:BM65" si="479">+BK64/BK66</f>
        <v>0.3125</v>
      </c>
      <c r="BL65" s="95"/>
      <c r="BM65" s="96">
        <f t="shared" si="479"/>
        <v>0.3125</v>
      </c>
      <c r="BN65" s="95"/>
      <c r="BO65" s="96">
        <f t="shared" si="478"/>
        <v>0.3125</v>
      </c>
    </row>
    <row r="66" spans="1:67" s="4" customFormat="1" ht="18" customHeight="1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2400</v>
      </c>
      <c r="H66" s="42"/>
      <c r="I66" s="88">
        <v>2400</v>
      </c>
      <c r="J66" s="42"/>
      <c r="K66" s="88">
        <v>2400</v>
      </c>
      <c r="L66" s="42"/>
      <c r="M66" s="88">
        <v>2400</v>
      </c>
      <c r="N66" s="42"/>
      <c r="O66" s="88">
        <v>2400</v>
      </c>
      <c r="P66" s="42"/>
      <c r="Q66" s="88">
        <v>2400</v>
      </c>
      <c r="R66" s="42"/>
      <c r="S66" s="88">
        <v>2400</v>
      </c>
      <c r="T66" s="42"/>
      <c r="U66" s="88">
        <v>2400</v>
      </c>
      <c r="V66" s="42"/>
      <c r="W66" s="88">
        <v>2400</v>
      </c>
      <c r="X66" s="42"/>
      <c r="Y66" s="88">
        <v>2400</v>
      </c>
      <c r="Z66" s="42"/>
      <c r="AA66" s="88">
        <v>2400</v>
      </c>
      <c r="AB66" s="42"/>
      <c r="AC66" s="88">
        <v>2400</v>
      </c>
      <c r="AD66" s="42"/>
      <c r="AE66" s="88">
        <v>2400</v>
      </c>
      <c r="AF66" s="42"/>
      <c r="AG66" s="88">
        <v>2400</v>
      </c>
      <c r="AH66" s="42"/>
      <c r="AI66" s="88">
        <v>2400</v>
      </c>
      <c r="AJ66" s="42"/>
      <c r="AK66" s="88">
        <v>2400</v>
      </c>
      <c r="AL66" s="42"/>
      <c r="AM66" s="88">
        <v>2400</v>
      </c>
      <c r="AN66" s="42"/>
      <c r="AO66" s="88">
        <v>2400</v>
      </c>
      <c r="AP66" s="42"/>
      <c r="AQ66" s="88">
        <v>2400</v>
      </c>
      <c r="AR66" s="42"/>
      <c r="AS66" s="88">
        <v>2400</v>
      </c>
      <c r="AT66" s="42"/>
      <c r="AU66" s="88">
        <v>2400</v>
      </c>
      <c r="AV66" s="42"/>
      <c r="AW66" s="88">
        <v>2400</v>
      </c>
      <c r="AX66" s="42"/>
      <c r="AY66" s="88">
        <v>2400</v>
      </c>
      <c r="AZ66" s="42"/>
      <c r="BA66" s="88">
        <v>2400</v>
      </c>
      <c r="BB66" s="42"/>
      <c r="BC66" s="88">
        <v>2400</v>
      </c>
      <c r="BD66" s="42"/>
      <c r="BE66" s="88">
        <v>2400</v>
      </c>
      <c r="BF66" s="42"/>
      <c r="BG66" s="88">
        <v>2400</v>
      </c>
      <c r="BH66" s="42"/>
      <c r="BI66" s="88">
        <v>2400</v>
      </c>
      <c r="BJ66" s="42"/>
      <c r="BK66" s="88">
        <v>2400</v>
      </c>
      <c r="BL66" s="42"/>
      <c r="BM66" s="88">
        <v>2400</v>
      </c>
      <c r="BN66" s="42"/>
      <c r="BO66" s="88">
        <v>2400</v>
      </c>
    </row>
    <row r="67" spans="1:67" s="7" customFormat="1" ht="18" customHeight="1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6.05</v>
      </c>
      <c r="H67" s="81"/>
      <c r="I67" s="82">
        <v>6.05</v>
      </c>
      <c r="J67" s="81"/>
      <c r="K67" s="82">
        <v>6.05</v>
      </c>
      <c r="L67" s="81"/>
      <c r="M67" s="82">
        <v>6.05</v>
      </c>
      <c r="N67" s="81"/>
      <c r="O67" s="82">
        <v>6.05</v>
      </c>
      <c r="P67" s="81"/>
      <c r="Q67" s="82">
        <v>6.05</v>
      </c>
      <c r="R67" s="81"/>
      <c r="S67" s="82">
        <v>6.05</v>
      </c>
      <c r="T67" s="81"/>
      <c r="U67" s="82">
        <v>6.05</v>
      </c>
      <c r="V67" s="81"/>
      <c r="W67" s="82">
        <v>6.05</v>
      </c>
      <c r="X67" s="81"/>
      <c r="Y67" s="82">
        <v>6.05</v>
      </c>
      <c r="Z67" s="81"/>
      <c r="AA67" s="82">
        <v>6.05</v>
      </c>
      <c r="AB67" s="81"/>
      <c r="AC67" s="82">
        <v>6.05</v>
      </c>
      <c r="AD67" s="81"/>
      <c r="AE67" s="82">
        <v>6.05</v>
      </c>
      <c r="AF67" s="81"/>
      <c r="AG67" s="82">
        <v>6.05</v>
      </c>
      <c r="AH67" s="81"/>
      <c r="AI67" s="82">
        <v>6.05</v>
      </c>
      <c r="AJ67" s="81"/>
      <c r="AK67" s="82">
        <v>6.05</v>
      </c>
      <c r="AL67" s="81"/>
      <c r="AM67" s="82">
        <v>6.05</v>
      </c>
      <c r="AN67" s="81"/>
      <c r="AO67" s="82">
        <v>6.05</v>
      </c>
      <c r="AP67" s="81"/>
      <c r="AQ67" s="82">
        <v>6.05</v>
      </c>
      <c r="AR67" s="81"/>
      <c r="AS67" s="82">
        <v>6.05</v>
      </c>
      <c r="AT67" s="81"/>
      <c r="AU67" s="82">
        <v>6.05</v>
      </c>
      <c r="AV67" s="81"/>
      <c r="AW67" s="82">
        <v>6.05</v>
      </c>
      <c r="AX67" s="81"/>
      <c r="AY67" s="82">
        <f>6.05+0.2</f>
        <v>6.25</v>
      </c>
      <c r="AZ67" s="81"/>
      <c r="BA67" s="82">
        <f>6.05+0.2</f>
        <v>6.25</v>
      </c>
      <c r="BB67" s="81"/>
      <c r="BC67" s="82">
        <f>6.05+0.2</f>
        <v>6.25</v>
      </c>
      <c r="BD67" s="81"/>
      <c r="BE67" s="82">
        <f>6.05+0.2</f>
        <v>6.25</v>
      </c>
      <c r="BF67" s="81"/>
      <c r="BG67" s="82">
        <f>6.05+0.2</f>
        <v>6.25</v>
      </c>
      <c r="BH67" s="81"/>
      <c r="BI67" s="82">
        <f>6.05+0.2</f>
        <v>6.25</v>
      </c>
      <c r="BJ67" s="81"/>
      <c r="BK67" s="82">
        <f>6.05+0.2</f>
        <v>6.25</v>
      </c>
      <c r="BL67" s="81"/>
      <c r="BM67" s="82">
        <f>6.05+0.2</f>
        <v>6.25</v>
      </c>
      <c r="BN67" s="81"/>
      <c r="BO67" s="82">
        <f>6.05+0.2</f>
        <v>6.25</v>
      </c>
    </row>
    <row r="68" spans="1:67" s="7" customFormat="1" ht="18" customHeight="1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4.25</v>
      </c>
      <c r="H68" s="81"/>
      <c r="I68" s="82">
        <f>I56-I65</f>
        <v>4.25</v>
      </c>
      <c r="J68" s="81"/>
      <c r="K68" s="82">
        <f>K56-K65</f>
        <v>4.25</v>
      </c>
      <c r="L68" s="81"/>
      <c r="M68" s="82">
        <f>M56-M65</f>
        <v>4.25</v>
      </c>
      <c r="N68" s="81"/>
      <c r="O68" s="82">
        <f>O56-O65</f>
        <v>4.25</v>
      </c>
      <c r="P68" s="81"/>
      <c r="Q68" s="82">
        <f>Q56-Q65</f>
        <v>4.25</v>
      </c>
      <c r="R68" s="81"/>
      <c r="S68" s="82">
        <f>S56-S65</f>
        <v>4.25</v>
      </c>
      <c r="T68" s="81"/>
      <c r="U68" s="82">
        <f>U56-U65</f>
        <v>4.25</v>
      </c>
      <c r="V68" s="81"/>
      <c r="W68" s="82">
        <f>W56-W65</f>
        <v>4.25</v>
      </c>
      <c r="X68" s="81"/>
      <c r="Y68" s="82">
        <f>Y56-Y65</f>
        <v>4.25</v>
      </c>
      <c r="Z68" s="81"/>
      <c r="AA68" s="82">
        <f>AA56-AA65</f>
        <v>4.25</v>
      </c>
      <c r="AB68" s="81"/>
      <c r="AC68" s="82">
        <f>AC56-AC65</f>
        <v>4.9045454545454543</v>
      </c>
      <c r="AD68" s="81"/>
      <c r="AE68" s="82">
        <f t="shared" ref="AE68" si="480">AE56-AE65</f>
        <v>4.25</v>
      </c>
      <c r="AF68" s="81"/>
      <c r="AG68" s="82">
        <f t="shared" ref="AG68" si="481">AG56-AG65</f>
        <v>4.25</v>
      </c>
      <c r="AH68" s="81"/>
      <c r="AI68" s="82">
        <f t="shared" ref="AI68:AK68" si="482">AI56-AI65</f>
        <v>4.25</v>
      </c>
      <c r="AJ68" s="81"/>
      <c r="AK68" s="82">
        <f t="shared" si="482"/>
        <v>4.25</v>
      </c>
      <c r="AL68" s="81"/>
      <c r="AM68" s="82">
        <f t="shared" ref="AM68" si="483">AM56-AM65</f>
        <v>4.25</v>
      </c>
      <c r="AN68" s="81"/>
      <c r="AO68" s="82">
        <f t="shared" ref="AO68" si="484">AO56-AO65</f>
        <v>4.25</v>
      </c>
      <c r="AP68" s="81"/>
      <c r="AQ68" s="82">
        <f t="shared" ref="AQ68" si="485">AQ56-AQ65</f>
        <v>4.25</v>
      </c>
      <c r="AR68" s="81"/>
      <c r="AS68" s="82">
        <f t="shared" ref="AS68:AY68" si="486">AS56-AS65</f>
        <v>4.25</v>
      </c>
      <c r="AT68" s="81"/>
      <c r="AU68" s="82">
        <f t="shared" si="486"/>
        <v>4.2536025000000004</v>
      </c>
      <c r="AV68" s="81"/>
      <c r="AW68" s="82">
        <f t="shared" si="486"/>
        <v>4.2536025000000004</v>
      </c>
      <c r="AX68" s="81"/>
      <c r="AY68" s="82">
        <f t="shared" si="486"/>
        <v>4.4375</v>
      </c>
      <c r="AZ68" s="81"/>
      <c r="BA68" s="82">
        <f t="shared" ref="BA68:BC68" si="487">BA56-BA65</f>
        <v>4.4375</v>
      </c>
      <c r="BB68" s="81"/>
      <c r="BC68" s="82">
        <f t="shared" si="487"/>
        <v>4.4375</v>
      </c>
      <c r="BD68" s="81"/>
      <c r="BE68" s="82">
        <f t="shared" ref="BE68:BG68" si="488">BE56-BE65</f>
        <v>4.4375</v>
      </c>
      <c r="BF68" s="81"/>
      <c r="BG68" s="82">
        <f t="shared" si="488"/>
        <v>4.4375</v>
      </c>
      <c r="BH68" s="81"/>
      <c r="BI68" s="82">
        <f t="shared" ref="BI68:BO68" si="489">BI56-BI65</f>
        <v>4.4375</v>
      </c>
      <c r="BJ68" s="81"/>
      <c r="BK68" s="82">
        <f t="shared" ref="BK68:BM68" si="490">BK56-BK65</f>
        <v>4.4375</v>
      </c>
      <c r="BL68" s="81"/>
      <c r="BM68" s="82">
        <f t="shared" si="490"/>
        <v>4.4375</v>
      </c>
      <c r="BN68" s="81"/>
      <c r="BO68" s="82">
        <f t="shared" si="489"/>
        <v>4.4375</v>
      </c>
    </row>
    <row r="69" spans="1:67" s="103" customFormat="1" ht="18" customHeight="1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0.25208333333333333</v>
      </c>
      <c r="H69" s="101"/>
      <c r="I69" s="102">
        <f>+I67/I10</f>
        <v>0.25208333333333333</v>
      </c>
      <c r="J69" s="101"/>
      <c r="K69" s="102">
        <f>+K67/K10</f>
        <v>0.25208333333333333</v>
      </c>
      <c r="L69" s="101"/>
      <c r="M69" s="102">
        <f>+M67/M10</f>
        <v>0.25208333333333333</v>
      </c>
      <c r="N69" s="101"/>
      <c r="O69" s="102">
        <f>+O67/O10</f>
        <v>0.25208333333333333</v>
      </c>
      <c r="P69" s="101"/>
      <c r="Q69" s="102">
        <f>+Q67/Q10</f>
        <v>0.25208333333333333</v>
      </c>
      <c r="R69" s="101"/>
      <c r="S69" s="102">
        <f>+S67/S10</f>
        <v>0.25208333333333333</v>
      </c>
      <c r="T69" s="101"/>
      <c r="U69" s="102">
        <f>+U67/U10</f>
        <v>0.25208333333333333</v>
      </c>
      <c r="V69" s="101"/>
      <c r="W69" s="102">
        <f>+W67/W10</f>
        <v>0.25208333333333333</v>
      </c>
      <c r="X69" s="101"/>
      <c r="Y69" s="102">
        <f>+Y67/Y10</f>
        <v>0.25208333333333333</v>
      </c>
      <c r="Z69" s="101"/>
      <c r="AA69" s="102">
        <f>+AA67/AA10</f>
        <v>0.25208333333333333</v>
      </c>
      <c r="AB69" s="101"/>
      <c r="AC69" s="102">
        <f>+AC67/AC10</f>
        <v>0.25208333333333333</v>
      </c>
      <c r="AD69" s="101"/>
      <c r="AE69" s="102">
        <f t="shared" ref="AE69" si="491">+AE67/AE10</f>
        <v>0.25208333333333333</v>
      </c>
      <c r="AF69" s="101"/>
      <c r="AG69" s="102">
        <f t="shared" ref="AG69" si="492">+AG67/AG10</f>
        <v>0.25208333333333333</v>
      </c>
      <c r="AH69" s="101"/>
      <c r="AI69" s="102">
        <f t="shared" ref="AI69:AK69" si="493">+AI67/AI10</f>
        <v>0.25208333333333333</v>
      </c>
      <c r="AJ69" s="101"/>
      <c r="AK69" s="102">
        <f t="shared" si="493"/>
        <v>0.25208333333333333</v>
      </c>
      <c r="AL69" s="101"/>
      <c r="AM69" s="102">
        <f t="shared" ref="AM69" si="494">+AM67/AM10</f>
        <v>0.25208333333333333</v>
      </c>
      <c r="AN69" s="101"/>
      <c r="AO69" s="102">
        <f t="shared" ref="AO69" si="495">+AO67/AO10</f>
        <v>0.25208333333333333</v>
      </c>
      <c r="AP69" s="101"/>
      <c r="AQ69" s="102">
        <f t="shared" ref="AQ69" si="496">+AQ67/AQ10</f>
        <v>0.25208333333333333</v>
      </c>
      <c r="AR69" s="101"/>
      <c r="AS69" s="102">
        <f t="shared" ref="AS69:AY69" si="497">+AS67/AS10</f>
        <v>0.25208333333333333</v>
      </c>
      <c r="AT69" s="101"/>
      <c r="AU69" s="102">
        <f t="shared" si="497"/>
        <v>0.25208333333333333</v>
      </c>
      <c r="AV69" s="101"/>
      <c r="AW69" s="102">
        <f t="shared" si="497"/>
        <v>0.25208333333333333</v>
      </c>
      <c r="AX69" s="101"/>
      <c r="AY69" s="102">
        <f t="shared" si="497"/>
        <v>0.26041666666666669</v>
      </c>
      <c r="AZ69" s="101"/>
      <c r="BA69" s="102">
        <f t="shared" ref="BA69:BC69" si="498">+BA67/BA10</f>
        <v>0.26041666666666669</v>
      </c>
      <c r="BB69" s="101"/>
      <c r="BC69" s="102">
        <f t="shared" si="498"/>
        <v>0.26041666666666669</v>
      </c>
      <c r="BD69" s="101"/>
      <c r="BE69" s="102">
        <f t="shared" ref="BE69:BG69" si="499">+BE67/BE10</f>
        <v>0.26041666666666669</v>
      </c>
      <c r="BF69" s="101"/>
      <c r="BG69" s="102">
        <f t="shared" si="499"/>
        <v>0.26041666666666669</v>
      </c>
      <c r="BH69" s="101"/>
      <c r="BI69" s="102">
        <f t="shared" ref="BI69:BO69" si="500">+BI67/BI10</f>
        <v>0.26041666666666669</v>
      </c>
      <c r="BJ69" s="101"/>
      <c r="BK69" s="102">
        <f t="shared" ref="BK69:BM69" si="501">+BK67/BK10</f>
        <v>0.26041666666666669</v>
      </c>
      <c r="BL69" s="101"/>
      <c r="BM69" s="102">
        <f t="shared" si="501"/>
        <v>0.26041666666666669</v>
      </c>
      <c r="BN69" s="101"/>
      <c r="BO69" s="102">
        <f t="shared" si="500"/>
        <v>0.26041666666666669</v>
      </c>
    </row>
    <row r="70" spans="1:67" s="4" customFormat="1" ht="18" customHeight="1" thickBot="1" x14ac:dyDescent="0.5">
      <c r="A70" s="561"/>
      <c r="B70" s="1184"/>
      <c r="C70" s="104"/>
      <c r="D70" s="105"/>
      <c r="E70" s="105"/>
      <c r="F70" s="106"/>
      <c r="G70" s="107"/>
      <c r="H70" s="377"/>
      <c r="I70" s="378"/>
      <c r="J70" s="377"/>
      <c r="K70" s="378"/>
      <c r="L70" s="106"/>
      <c r="M70" s="107"/>
      <c r="N70" s="377"/>
      <c r="O70" s="378"/>
      <c r="P70" s="377"/>
      <c r="Q70" s="378"/>
      <c r="R70" s="106"/>
      <c r="S70" s="107"/>
      <c r="T70" s="377"/>
      <c r="U70" s="378"/>
      <c r="V70" s="377"/>
      <c r="W70" s="378"/>
      <c r="X70" s="106"/>
      <c r="Y70" s="107"/>
      <c r="Z70" s="377"/>
      <c r="AA70" s="378"/>
      <c r="AB70" s="377"/>
      <c r="AC70" s="378"/>
      <c r="AD70" s="377"/>
      <c r="AE70" s="378"/>
      <c r="AF70" s="377"/>
      <c r="AG70" s="378"/>
      <c r="AH70" s="377"/>
      <c r="AI70" s="378"/>
      <c r="AJ70" s="377"/>
      <c r="AK70" s="378"/>
      <c r="AL70" s="377"/>
      <c r="AM70" s="378"/>
      <c r="AN70" s="377"/>
      <c r="AO70" s="378"/>
      <c r="AP70" s="377"/>
      <c r="AQ70" s="378"/>
      <c r="AR70" s="377"/>
      <c r="AS70" s="378"/>
      <c r="AT70" s="377"/>
      <c r="AU70" s="378"/>
      <c r="AV70" s="377"/>
      <c r="AW70" s="378"/>
      <c r="AX70" s="377"/>
      <c r="AY70" s="378"/>
      <c r="AZ70" s="377"/>
      <c r="BA70" s="378"/>
      <c r="BB70" s="377"/>
      <c r="BC70" s="378"/>
      <c r="BD70" s="377"/>
      <c r="BE70" s="378"/>
      <c r="BF70" s="377"/>
      <c r="BG70" s="378"/>
      <c r="BH70" s="377"/>
      <c r="BI70" s="378"/>
      <c r="BJ70" s="377"/>
      <c r="BK70" s="378"/>
      <c r="BL70" s="377"/>
      <c r="BM70" s="378"/>
      <c r="BN70" s="377"/>
      <c r="BO70" s="378"/>
    </row>
    <row r="71" spans="1:67" s="4" customFormat="1" ht="18" customHeight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3.8546415817234294</v>
      </c>
      <c r="H71" s="111"/>
      <c r="I71" s="112">
        <f>I74+I72</f>
        <v>3.8546415817234294</v>
      </c>
      <c r="J71" s="111"/>
      <c r="K71" s="112">
        <f>K74+K72</f>
        <v>4.0957792652931868</v>
      </c>
      <c r="L71" s="111"/>
      <c r="M71" s="112">
        <f>M74+M72</f>
        <v>4.0957792652931868</v>
      </c>
      <c r="N71" s="111"/>
      <c r="O71" s="112">
        <f>O74+O72</f>
        <v>4.7775067724718818</v>
      </c>
      <c r="P71" s="111"/>
      <c r="Q71" s="112">
        <f>Q74+Q72</f>
        <v>4.7775067724718818</v>
      </c>
      <c r="R71" s="111"/>
      <c r="S71" s="112">
        <f>S74+S72</f>
        <v>4.7775067724718818</v>
      </c>
      <c r="T71" s="111"/>
      <c r="U71" s="112">
        <f>U74+U72</f>
        <v>4.1298731687639467</v>
      </c>
      <c r="V71" s="111"/>
      <c r="W71" s="112">
        <f>W74+W72</f>
        <v>3.9147204278596961</v>
      </c>
      <c r="X71" s="111"/>
      <c r="Y71" s="112">
        <f>Y74+Y72</f>
        <v>3.9147204278596961</v>
      </c>
      <c r="Z71" s="111"/>
      <c r="AA71" s="112">
        <f>AA74+AA72</f>
        <v>3.7707165513133076</v>
      </c>
      <c r="AB71" s="111"/>
      <c r="AC71" s="112">
        <f>AC74+AC72</f>
        <v>3.5848683376455597</v>
      </c>
      <c r="AD71" s="111"/>
      <c r="AE71" s="112">
        <f t="shared" ref="AE71" si="502">AE74+AE72</f>
        <v>3.7508652009431587</v>
      </c>
      <c r="AF71" s="111"/>
      <c r="AG71" s="112">
        <f t="shared" ref="AG71" si="503">AG74+AG72</f>
        <v>3.923990277070204</v>
      </c>
      <c r="AH71" s="111"/>
      <c r="AI71" s="112">
        <f t="shared" ref="AI71:AK71" si="504">AI74+AI72</f>
        <v>3.8858758174538295</v>
      </c>
      <c r="AJ71" s="111"/>
      <c r="AK71" s="112">
        <f t="shared" si="504"/>
        <v>3.9261109868244892</v>
      </c>
      <c r="AL71" s="111"/>
      <c r="AM71" s="112">
        <f t="shared" ref="AM71" si="505">AM74+AM72</f>
        <v>3.9261109868244892</v>
      </c>
      <c r="AN71" s="111"/>
      <c r="AO71" s="112">
        <f t="shared" ref="AO71" si="506">AO74+AO72</f>
        <v>3.9728790634814954</v>
      </c>
      <c r="AP71" s="111"/>
      <c r="AQ71" s="112">
        <f t="shared" ref="AQ71" si="507">AQ74+AQ72</f>
        <v>3.9728790634814954</v>
      </c>
      <c r="AR71" s="111"/>
      <c r="AS71" s="112">
        <f t="shared" ref="AS71:AY71" si="508">AS74+AS72</f>
        <v>3.7481620942484692</v>
      </c>
      <c r="AT71" s="111"/>
      <c r="AU71" s="112">
        <f t="shared" si="508"/>
        <v>3.6620032215864797</v>
      </c>
      <c r="AV71" s="111"/>
      <c r="AW71" s="112">
        <f t="shared" si="508"/>
        <v>3.5216180890525175</v>
      </c>
      <c r="AX71" s="111"/>
      <c r="AY71" s="112">
        <f t="shared" si="508"/>
        <v>3.4473159781528717</v>
      </c>
      <c r="AZ71" s="111"/>
      <c r="BA71" s="112">
        <f t="shared" ref="BA71:BC71" si="509">BA74+BA72</f>
        <v>3.4428574556988356</v>
      </c>
      <c r="BB71" s="111"/>
      <c r="BC71" s="112">
        <f t="shared" si="509"/>
        <v>3.691141694041963</v>
      </c>
      <c r="BD71" s="111"/>
      <c r="BE71" s="112">
        <f t="shared" ref="BE71:BG71" si="510">BE74+BE72</f>
        <v>3.7250985709473281</v>
      </c>
      <c r="BF71" s="111"/>
      <c r="BG71" s="112">
        <f t="shared" si="510"/>
        <v>3.7575903477020502</v>
      </c>
      <c r="BH71" s="111"/>
      <c r="BI71" s="112">
        <f t="shared" ref="BI71:BO71" si="511">BI74+BI72</f>
        <v>3.5744989203976476</v>
      </c>
      <c r="BJ71" s="111"/>
      <c r="BK71" s="112">
        <f t="shared" ref="BK71:BM71" si="512">BK74+BK72</f>
        <v>3.4687273034281998</v>
      </c>
      <c r="BL71" s="111"/>
      <c r="BM71" s="112">
        <f t="shared" si="512"/>
        <v>3.4031579058195942</v>
      </c>
      <c r="BN71" s="111"/>
      <c r="BO71" s="112">
        <f t="shared" si="511"/>
        <v>3.5744989203976476</v>
      </c>
    </row>
    <row r="72" spans="1:67" s="4" customFormat="1" ht="18" customHeight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6.4348235174467389E-2</v>
      </c>
      <c r="H72" s="116"/>
      <c r="I72" s="117">
        <f>G72</f>
        <v>6.4348235174467389E-2</v>
      </c>
      <c r="J72" s="116"/>
      <c r="K72" s="117">
        <v>9.4017591869448636E-2</v>
      </c>
      <c r="L72" s="116"/>
      <c r="M72" s="117">
        <f>K72</f>
        <v>9.4017591869448636E-2</v>
      </c>
      <c r="N72" s="116"/>
      <c r="O72" s="117">
        <v>7.8759269860975256E-2</v>
      </c>
      <c r="P72" s="116"/>
      <c r="Q72" s="117">
        <f>O72</f>
        <v>7.8759269860975256E-2</v>
      </c>
      <c r="R72" s="116"/>
      <c r="S72" s="117">
        <f>Q72</f>
        <v>7.8759269860975256E-2</v>
      </c>
      <c r="T72" s="116"/>
      <c r="U72" s="117">
        <v>9.2107822443552173E-2</v>
      </c>
      <c r="V72" s="116"/>
      <c r="W72" s="117">
        <v>7.2874005792083765E-2</v>
      </c>
      <c r="X72" s="116"/>
      <c r="Y72" s="117">
        <f>W72</f>
        <v>7.2874005792083765E-2</v>
      </c>
      <c r="Z72" s="116"/>
      <c r="AA72" s="117">
        <v>7.5258408232767054E-2</v>
      </c>
      <c r="AB72" s="116"/>
      <c r="AC72" s="117">
        <v>7.4580451641359735E-2</v>
      </c>
      <c r="AD72" s="116"/>
      <c r="AE72" s="117">
        <v>7.5349143697521964E-2</v>
      </c>
      <c r="AF72" s="116"/>
      <c r="AG72" s="117">
        <v>7.1833398120789677E-2</v>
      </c>
      <c r="AH72" s="116"/>
      <c r="AI72" s="117">
        <v>6.9031024944687172E-2</v>
      </c>
      <c r="AJ72" s="116"/>
      <c r="AK72" s="117">
        <v>6.9031024944687172E-2</v>
      </c>
      <c r="AL72" s="116"/>
      <c r="AM72" s="117">
        <v>6.9031024944687172E-2</v>
      </c>
      <c r="AN72" s="116"/>
      <c r="AO72" s="117">
        <v>7.8843199372571407E-2</v>
      </c>
      <c r="AP72" s="116"/>
      <c r="AQ72" s="117">
        <f>AO72</f>
        <v>7.8843199372571407E-2</v>
      </c>
      <c r="AR72" s="116"/>
      <c r="AS72" s="117">
        <v>7.2062354365725056E-2</v>
      </c>
      <c r="AT72" s="116"/>
      <c r="AU72" s="117">
        <v>7.6633203348974346E-2</v>
      </c>
      <c r="AV72" s="116"/>
      <c r="AW72" s="117">
        <v>7.1618089052517403E-2</v>
      </c>
      <c r="AX72" s="116"/>
      <c r="AY72" s="117">
        <v>7.2010539860071804E-2</v>
      </c>
      <c r="AZ72" s="116"/>
      <c r="BA72" s="117">
        <v>7.5394746764535794E-2</v>
      </c>
      <c r="BB72" s="116"/>
      <c r="BC72" s="117">
        <v>6.6959945870996698E-2</v>
      </c>
      <c r="BD72" s="116"/>
      <c r="BE72" s="117">
        <v>7.1828078621998304E-2</v>
      </c>
      <c r="BF72" s="116"/>
      <c r="BG72" s="117">
        <v>7.1828078621998304E-2</v>
      </c>
      <c r="BH72" s="116"/>
      <c r="BI72" s="117">
        <v>7.1828078621998304E-2</v>
      </c>
      <c r="BJ72" s="116"/>
      <c r="BK72" s="117">
        <v>7.1828078621998304E-2</v>
      </c>
      <c r="BL72" s="116"/>
      <c r="BM72" s="117">
        <v>7.1828078621998304E-2</v>
      </c>
      <c r="BN72" s="116"/>
      <c r="BO72" s="117">
        <v>7.1828078621998304E-2</v>
      </c>
    </row>
    <row r="73" spans="1:67" s="4" customFormat="1" ht="18" customHeight="1" x14ac:dyDescent="0.45">
      <c r="A73" s="561"/>
      <c r="B73" s="1241"/>
      <c r="C73" s="16"/>
      <c r="D73" s="16"/>
      <c r="E73" s="16"/>
      <c r="F73" s="42"/>
      <c r="G73" s="118"/>
      <c r="H73" s="359"/>
      <c r="I73" s="379"/>
      <c r="J73" s="359"/>
      <c r="K73" s="379"/>
      <c r="L73" s="42"/>
      <c r="M73" s="118"/>
      <c r="N73" s="359"/>
      <c r="O73" s="379"/>
      <c r="P73" s="359"/>
      <c r="Q73" s="379"/>
      <c r="R73" s="42"/>
      <c r="S73" s="118"/>
      <c r="T73" s="359"/>
      <c r="U73" s="379"/>
      <c r="V73" s="359"/>
      <c r="W73" s="379"/>
      <c r="X73" s="42"/>
      <c r="Y73" s="118"/>
      <c r="Z73" s="359"/>
      <c r="AA73" s="379"/>
      <c r="AB73" s="359"/>
      <c r="AC73" s="379"/>
      <c r="AD73" s="359"/>
      <c r="AE73" s="379"/>
      <c r="AF73" s="359"/>
      <c r="AG73" s="379"/>
      <c r="AH73" s="359"/>
      <c r="AI73" s="379"/>
      <c r="AJ73" s="359"/>
      <c r="AK73" s="379"/>
      <c r="AL73" s="359"/>
      <c r="AM73" s="379"/>
      <c r="AN73" s="359"/>
      <c r="AO73" s="379"/>
      <c r="AP73" s="359"/>
      <c r="AQ73" s="379"/>
      <c r="AR73" s="359"/>
      <c r="AS73" s="379"/>
      <c r="AT73" s="359"/>
      <c r="AU73" s="379"/>
      <c r="AV73" s="359"/>
      <c r="AW73" s="379"/>
      <c r="AX73" s="359"/>
      <c r="AY73" s="379"/>
      <c r="AZ73" s="359"/>
      <c r="BA73" s="379"/>
      <c r="BB73" s="359"/>
      <c r="BC73" s="379"/>
      <c r="BD73" s="359"/>
      <c r="BE73" s="379"/>
      <c r="BF73" s="359"/>
      <c r="BG73" s="379"/>
      <c r="BH73" s="359"/>
      <c r="BI73" s="379"/>
      <c r="BJ73" s="359"/>
      <c r="BK73" s="379"/>
      <c r="BL73" s="359"/>
      <c r="BM73" s="379"/>
      <c r="BN73" s="359"/>
      <c r="BO73" s="379"/>
    </row>
    <row r="74" spans="1:67" s="4" customFormat="1" ht="18" customHeight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>
        <v>2</v>
      </c>
      <c r="G74" s="70">
        <v>3.7902933465489621</v>
      </c>
      <c r="H74" s="66"/>
      <c r="I74" s="70">
        <f>G74</f>
        <v>3.7902933465489621</v>
      </c>
      <c r="J74" s="66"/>
      <c r="K74" s="70">
        <v>4.0017616734237382</v>
      </c>
      <c r="L74" s="66"/>
      <c r="M74" s="70">
        <f>K74</f>
        <v>4.0017616734237382</v>
      </c>
      <c r="N74" s="66"/>
      <c r="O74" s="70">
        <v>4.6987475026109067</v>
      </c>
      <c r="P74" s="66"/>
      <c r="Q74" s="70">
        <f>O74</f>
        <v>4.6987475026109067</v>
      </c>
      <c r="R74" s="66"/>
      <c r="S74" s="70">
        <f>Q74</f>
        <v>4.6987475026109067</v>
      </c>
      <c r="T74" s="66"/>
      <c r="U74" s="70">
        <v>4.0377653463203949</v>
      </c>
      <c r="V74" s="66"/>
      <c r="W74" s="70">
        <v>3.8418464220676123</v>
      </c>
      <c r="X74" s="66"/>
      <c r="Y74" s="70">
        <f>W74</f>
        <v>3.8418464220676123</v>
      </c>
      <c r="Z74" s="66"/>
      <c r="AA74" s="70">
        <v>3.6954581430805407</v>
      </c>
      <c r="AB74" s="66"/>
      <c r="AC74" s="70">
        <v>3.5102878860041997</v>
      </c>
      <c r="AD74" s="66"/>
      <c r="AE74" s="70">
        <v>3.6755160572456367</v>
      </c>
      <c r="AF74" s="66"/>
      <c r="AG74" s="70">
        <v>3.8521568789494145</v>
      </c>
      <c r="AH74" s="66"/>
      <c r="AI74" s="70">
        <v>3.8168447925091424</v>
      </c>
      <c r="AJ74" s="66"/>
      <c r="AK74" s="70">
        <v>3.8570799618798022</v>
      </c>
      <c r="AL74" s="66"/>
      <c r="AM74" s="70">
        <f>AK74</f>
        <v>3.8570799618798022</v>
      </c>
      <c r="AN74" s="66"/>
      <c r="AO74" s="70">
        <v>3.8940358641089241</v>
      </c>
      <c r="AP74" s="66"/>
      <c r="AQ74" s="70">
        <f>AO74</f>
        <v>3.8940358641089241</v>
      </c>
      <c r="AR74" s="66"/>
      <c r="AS74" s="70">
        <v>3.6760997398827442</v>
      </c>
      <c r="AT74" s="66"/>
      <c r="AU74" s="70">
        <v>3.5853700182375055</v>
      </c>
      <c r="AV74" s="66"/>
      <c r="AW74" s="70">
        <v>3.45</v>
      </c>
      <c r="AX74" s="66"/>
      <c r="AY74" s="70">
        <v>3.3753054382927998</v>
      </c>
      <c r="AZ74" s="66"/>
      <c r="BA74" s="70">
        <v>3.3674627089342999</v>
      </c>
      <c r="BB74" s="66"/>
      <c r="BC74" s="70">
        <f>BC77/BC79*BC10</f>
        <v>3.6241817481709662</v>
      </c>
      <c r="BD74" s="66"/>
      <c r="BE74" s="70">
        <f>BE77/BE79*BE10</f>
        <v>3.6532704923253299</v>
      </c>
      <c r="BF74" s="66"/>
      <c r="BG74" s="70">
        <f>BG77/BG79*BG10</f>
        <v>3.685762269080052</v>
      </c>
      <c r="BH74" s="66"/>
      <c r="BI74" s="70">
        <f>BI77/BI79*BI10</f>
        <v>3.5026708417756494</v>
      </c>
      <c r="BJ74" s="66"/>
      <c r="BK74" s="70">
        <f>BK77/BK79*BK10</f>
        <v>3.3968992248062015</v>
      </c>
      <c r="BL74" s="66"/>
      <c r="BM74" s="70">
        <f>BM77/BM79*BM10</f>
        <v>3.331329827197596</v>
      </c>
      <c r="BN74" s="66"/>
      <c r="BO74" s="70">
        <f>BO77/BO79*BO10</f>
        <v>3.5026708417756494</v>
      </c>
    </row>
    <row r="75" spans="1:67" s="97" customFormat="1" ht="18" customHeight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0.15792888943954009</v>
      </c>
      <c r="H75" s="124"/>
      <c r="I75" s="125">
        <f>+I74/I10</f>
        <v>0.15792888943954009</v>
      </c>
      <c r="J75" s="124"/>
      <c r="K75" s="125">
        <f>+K74/K10</f>
        <v>0.16674006972598909</v>
      </c>
      <c r="L75" s="124"/>
      <c r="M75" s="125">
        <f>+M74/M10</f>
        <v>0.16674006972598909</v>
      </c>
      <c r="N75" s="124"/>
      <c r="O75" s="125">
        <f>+O74/O10</f>
        <v>0.19578114594212112</v>
      </c>
      <c r="P75" s="124"/>
      <c r="Q75" s="125">
        <f>+Q74/Q10</f>
        <v>0.19578114594212112</v>
      </c>
      <c r="R75" s="124"/>
      <c r="S75" s="125">
        <f>+S74/S10</f>
        <v>0.19578114594212112</v>
      </c>
      <c r="T75" s="124"/>
      <c r="U75" s="125">
        <f>+U74/U10</f>
        <v>0.16824022276334979</v>
      </c>
      <c r="V75" s="124"/>
      <c r="W75" s="125">
        <f>+W74/W10</f>
        <v>0.16007693425281719</v>
      </c>
      <c r="X75" s="124"/>
      <c r="Y75" s="125">
        <f>+Y74/Y10</f>
        <v>0.16007693425281719</v>
      </c>
      <c r="Z75" s="124"/>
      <c r="AA75" s="125">
        <f>+AA74/AA10</f>
        <v>0.15397742262835587</v>
      </c>
      <c r="AB75" s="124"/>
      <c r="AC75" s="125">
        <f>+AC74/AC10</f>
        <v>0.146261995250175</v>
      </c>
      <c r="AD75" s="124"/>
      <c r="AE75" s="125">
        <f t="shared" ref="AE75" si="513">+AE74/AE10</f>
        <v>0.15314650238523486</v>
      </c>
      <c r="AF75" s="124"/>
      <c r="AG75" s="125">
        <f t="shared" ref="AG75" si="514">+AG74/AG10</f>
        <v>0.16050653662289227</v>
      </c>
      <c r="AH75" s="124"/>
      <c r="AI75" s="125">
        <f t="shared" ref="AI75:AK75" si="515">+AI74/AI10</f>
        <v>0.15903519968788093</v>
      </c>
      <c r="AJ75" s="124"/>
      <c r="AK75" s="125">
        <f t="shared" si="515"/>
        <v>0.1607116650783251</v>
      </c>
      <c r="AL75" s="124"/>
      <c r="AM75" s="125">
        <f t="shared" ref="AM75" si="516">+AM74/AM10</f>
        <v>0.1607116650783251</v>
      </c>
      <c r="AN75" s="124"/>
      <c r="AO75" s="125">
        <f t="shared" ref="AO75" si="517">+AO74/AO10</f>
        <v>0.16225149433787184</v>
      </c>
      <c r="AP75" s="124"/>
      <c r="AQ75" s="125">
        <f t="shared" ref="AQ75" si="518">+AQ74/AQ10</f>
        <v>0.16225149433787184</v>
      </c>
      <c r="AR75" s="124"/>
      <c r="AS75" s="125">
        <f t="shared" ref="AS75:AY75" si="519">+AS74/AS10</f>
        <v>0.15317082249511435</v>
      </c>
      <c r="AT75" s="124"/>
      <c r="AU75" s="125">
        <f t="shared" si="519"/>
        <v>0.14939041742656273</v>
      </c>
      <c r="AV75" s="124"/>
      <c r="AW75" s="125">
        <f t="shared" si="519"/>
        <v>0.14375000000000002</v>
      </c>
      <c r="AX75" s="124"/>
      <c r="AY75" s="125">
        <f t="shared" si="519"/>
        <v>0.14063772659553334</v>
      </c>
      <c r="AZ75" s="124"/>
      <c r="BA75" s="125">
        <f t="shared" ref="BA75:BC75" si="520">+BA74/BA10</f>
        <v>0.14031094620559584</v>
      </c>
      <c r="BB75" s="124"/>
      <c r="BC75" s="125">
        <f t="shared" si="520"/>
        <v>0.15100757284045693</v>
      </c>
      <c r="BD75" s="124"/>
      <c r="BE75" s="125">
        <f t="shared" ref="BE75:BG75" si="521">+BE74/BE10</f>
        <v>0.15221960384688873</v>
      </c>
      <c r="BF75" s="124"/>
      <c r="BG75" s="125">
        <f t="shared" si="521"/>
        <v>0.1535734278783355</v>
      </c>
      <c r="BH75" s="124"/>
      <c r="BI75" s="125">
        <f t="shared" ref="BI75:BO75" si="522">+BI74/BI10</f>
        <v>0.14594461840731873</v>
      </c>
      <c r="BJ75" s="124"/>
      <c r="BK75" s="125">
        <f t="shared" ref="BK75:BM75" si="523">+BK74/BK10</f>
        <v>0.14153746770025841</v>
      </c>
      <c r="BL75" s="124"/>
      <c r="BM75" s="125">
        <f t="shared" si="523"/>
        <v>0.1388054094665665</v>
      </c>
      <c r="BN75" s="124"/>
      <c r="BO75" s="125">
        <f t="shared" si="522"/>
        <v>0.14594461840731873</v>
      </c>
    </row>
    <row r="76" spans="1:67" s="4" customFormat="1" ht="18" customHeight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61276.907760317663</v>
      </c>
      <c r="H76" s="380"/>
      <c r="I76" s="374">
        <f>I77*I10</f>
        <v>54402.080403017259</v>
      </c>
      <c r="J76" s="380"/>
      <c r="K76" s="374">
        <f>K77*K10</f>
        <v>57413.274728610369</v>
      </c>
      <c r="L76" s="127"/>
      <c r="M76" s="374">
        <f>M77*M10</f>
        <v>57493.309962078842</v>
      </c>
      <c r="N76" s="380"/>
      <c r="O76" s="374">
        <f>O77*O10</f>
        <v>68681.592245663618</v>
      </c>
      <c r="P76" s="380"/>
      <c r="Q76" s="374">
        <f>Q77*Q10</f>
        <v>68944.722105809837</v>
      </c>
      <c r="R76" s="127"/>
      <c r="S76" s="374">
        <f>S77*S10</f>
        <v>70382.538841608766</v>
      </c>
      <c r="T76" s="380"/>
      <c r="U76" s="374">
        <f>U77*U10</f>
        <v>59972.928688896835</v>
      </c>
      <c r="V76" s="380"/>
      <c r="W76" s="374">
        <f>W77*W10</f>
        <v>57769.844648630693</v>
      </c>
      <c r="X76" s="127"/>
      <c r="Y76" s="374">
        <f>Y77*Y10</f>
        <v>59233.588135438447</v>
      </c>
      <c r="Z76" s="380"/>
      <c r="AA76" s="374">
        <f>AA77*AA10</f>
        <v>57815.442648495067</v>
      </c>
      <c r="AB76" s="380"/>
      <c r="AC76" s="374">
        <f>AC77*AC10</f>
        <v>54841.22764304361</v>
      </c>
      <c r="AD76" s="380"/>
      <c r="AE76" s="374">
        <f t="shared" ref="AE76" si="524">AE77*AE10</f>
        <v>56349.336673632861</v>
      </c>
      <c r="AF76" s="380"/>
      <c r="AG76" s="374">
        <f t="shared" ref="AG76" si="525">AG77*AG10</f>
        <v>58132.899460225613</v>
      </c>
      <c r="AH76" s="380"/>
      <c r="AI76" s="374">
        <f t="shared" ref="AI76:AK76" si="526">AI77*AI10</f>
        <v>58302.304205577151</v>
      </c>
      <c r="AJ76" s="380"/>
      <c r="AK76" s="374">
        <f t="shared" si="526"/>
        <v>57304.636993648222</v>
      </c>
      <c r="AL76" s="380"/>
      <c r="AM76" s="374">
        <f t="shared" ref="AM76" si="527">AM77*AM10</f>
        <v>57011.498916545359</v>
      </c>
      <c r="AN76" s="380"/>
      <c r="AO76" s="374">
        <f t="shared" ref="AO76" si="528">AO77*AO10</f>
        <v>58141.849487010346</v>
      </c>
      <c r="AP76" s="380"/>
      <c r="AQ76" s="374">
        <f t="shared" ref="AQ76" si="529">AQ77*AQ10</f>
        <v>58503.994822372479</v>
      </c>
      <c r="AR76" s="380"/>
      <c r="AS76" s="374">
        <f t="shared" ref="AS76:AY76" si="530">AS77*AS10</f>
        <v>56009.055636853489</v>
      </c>
      <c r="AT76" s="380"/>
      <c r="AU76" s="374">
        <f t="shared" si="530"/>
        <v>54981.649229672148</v>
      </c>
      <c r="AV76" s="380"/>
      <c r="AW76" s="374">
        <f t="shared" si="530"/>
        <v>54209.850000000006</v>
      </c>
      <c r="AX76" s="380"/>
      <c r="AY76" s="374">
        <f t="shared" si="530"/>
        <v>52955.167021375732</v>
      </c>
      <c r="AZ76" s="380"/>
      <c r="BA76" s="374">
        <f t="shared" ref="BA76:BC76" si="531">BA77*BA10</f>
        <v>52263.021242660339</v>
      </c>
      <c r="BB76" s="380"/>
      <c r="BC76" s="374">
        <f t="shared" si="531"/>
        <v>56472</v>
      </c>
      <c r="BD76" s="380"/>
      <c r="BE76" s="374">
        <f t="shared" ref="BE76:BG76" si="532">BE77*BE10</f>
        <v>57360</v>
      </c>
      <c r="BF76" s="380"/>
      <c r="BG76" s="374">
        <f t="shared" si="532"/>
        <v>59256</v>
      </c>
      <c r="BH76" s="380"/>
      <c r="BI76" s="374">
        <f t="shared" ref="BI76:BO76" si="533">BI77*BI10</f>
        <v>57048</v>
      </c>
      <c r="BJ76" s="380"/>
      <c r="BK76" s="374">
        <f t="shared" ref="BK76:BM76" si="534">BK77*BK10</f>
        <v>52584</v>
      </c>
      <c r="BL76" s="380"/>
      <c r="BM76" s="374">
        <f t="shared" si="534"/>
        <v>53208</v>
      </c>
      <c r="BN76" s="380"/>
      <c r="BO76" s="374">
        <f t="shared" si="533"/>
        <v>57048</v>
      </c>
    </row>
    <row r="77" spans="1:67" s="4" customFormat="1" ht="18" customHeight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v>2553.204490013236</v>
      </c>
      <c r="H77" s="380"/>
      <c r="I77" s="90">
        <f>I74*I79/I10</f>
        <v>2266.753350125719</v>
      </c>
      <c r="J77" s="380"/>
      <c r="K77" s="90">
        <f>K74*K79/K10</f>
        <v>2392.2197803587655</v>
      </c>
      <c r="L77" s="127"/>
      <c r="M77" s="90">
        <f>M74*M79/M10</f>
        <v>2395.5545817532852</v>
      </c>
      <c r="N77" s="380"/>
      <c r="O77" s="90">
        <f>O74*O79/O10</f>
        <v>2861.7330102359842</v>
      </c>
      <c r="P77" s="380"/>
      <c r="Q77" s="90">
        <f>Q74*Q79/Q10</f>
        <v>2872.6967544087433</v>
      </c>
      <c r="R77" s="127"/>
      <c r="S77" s="90">
        <f>S74*S79/S10</f>
        <v>2932.6057850670318</v>
      </c>
      <c r="T77" s="380"/>
      <c r="U77" s="90">
        <f>U74*U79/U10</f>
        <v>2498.8720287040346</v>
      </c>
      <c r="V77" s="380"/>
      <c r="W77" s="90">
        <f>W74*W79/W10</f>
        <v>2407.0768603596121</v>
      </c>
      <c r="X77" s="127"/>
      <c r="Y77" s="90">
        <f>Y74*Y79/Y10</f>
        <v>2468.0661723099352</v>
      </c>
      <c r="Z77" s="380"/>
      <c r="AA77" s="90">
        <f>AA74*AA79/AA10</f>
        <v>2408.9767770206277</v>
      </c>
      <c r="AB77" s="380"/>
      <c r="AC77" s="90">
        <f>AC74*AC79/AC10</f>
        <v>2285.0511517934838</v>
      </c>
      <c r="AD77" s="380"/>
      <c r="AE77" s="90">
        <f t="shared" ref="AE77" si="535">AE74*AE79/AE10</f>
        <v>2347.8890280680357</v>
      </c>
      <c r="AF77" s="380"/>
      <c r="AG77" s="90">
        <f t="shared" ref="AG77" si="536">AG74*AG79/AG10</f>
        <v>2422.2041441760671</v>
      </c>
      <c r="AH77" s="380"/>
      <c r="AI77" s="90">
        <f t="shared" ref="AI77:AK77" si="537">AI74*AI79/AI10</f>
        <v>2429.2626752323813</v>
      </c>
      <c r="AJ77" s="380"/>
      <c r="AK77" s="90">
        <f t="shared" si="537"/>
        <v>2387.6932080686761</v>
      </c>
      <c r="AL77" s="380"/>
      <c r="AM77" s="90">
        <f t="shared" ref="AM77" si="538">AM74*AM79/AM10</f>
        <v>2375.4791215227233</v>
      </c>
      <c r="AN77" s="380"/>
      <c r="AO77" s="90">
        <f t="shared" ref="AO77" si="539">AO74*AO79/AO10</f>
        <v>2422.5770619587643</v>
      </c>
      <c r="AP77" s="380"/>
      <c r="AQ77" s="90">
        <f t="shared" ref="AQ77" si="540">AQ74*AQ79/AQ10</f>
        <v>2437.6664509321868</v>
      </c>
      <c r="AR77" s="380"/>
      <c r="AS77" s="90">
        <f t="shared" ref="AS77:AY77" si="541">AS74*AS79/AS10</f>
        <v>2333.7106515355622</v>
      </c>
      <c r="AT77" s="380"/>
      <c r="AU77" s="90">
        <f t="shared" si="541"/>
        <v>2290.9020512363395</v>
      </c>
      <c r="AV77" s="380"/>
      <c r="AW77" s="90">
        <f t="shared" si="541"/>
        <v>2258.7437500000001</v>
      </c>
      <c r="AX77" s="380"/>
      <c r="AY77" s="90">
        <f t="shared" si="541"/>
        <v>2206.4652925573223</v>
      </c>
      <c r="AZ77" s="380"/>
      <c r="BA77" s="90">
        <f t="shared" ref="BA77" si="542">BA74*BA79/BA10</f>
        <v>2177.6258851108473</v>
      </c>
      <c r="BB77" s="380"/>
      <c r="BC77" s="90">
        <v>2353</v>
      </c>
      <c r="BD77" s="380"/>
      <c r="BE77" s="90">
        <v>2390</v>
      </c>
      <c r="BF77" s="380"/>
      <c r="BG77" s="90">
        <v>2469</v>
      </c>
      <c r="BH77" s="380"/>
      <c r="BI77" s="90">
        <v>2377</v>
      </c>
      <c r="BJ77" s="380"/>
      <c r="BK77" s="90">
        <v>2191</v>
      </c>
      <c r="BL77" s="380"/>
      <c r="BM77" s="90">
        <v>2217</v>
      </c>
      <c r="BN77" s="380"/>
      <c r="BO77" s="90">
        <v>2377</v>
      </c>
    </row>
    <row r="78" spans="1:67" s="4" customFormat="1" ht="18" customHeight="1" x14ac:dyDescent="0.45">
      <c r="A78" s="561"/>
      <c r="B78" s="1241"/>
      <c r="C78" s="259"/>
      <c r="D78" s="16"/>
      <c r="E78" s="126"/>
      <c r="F78" s="127"/>
      <c r="G78" s="90"/>
      <c r="H78" s="380"/>
      <c r="I78" s="374"/>
      <c r="J78" s="380"/>
      <c r="K78" s="374"/>
      <c r="L78" s="127"/>
      <c r="M78" s="90"/>
      <c r="N78" s="380"/>
      <c r="O78" s="374"/>
      <c r="P78" s="380"/>
      <c r="Q78" s="374"/>
      <c r="R78" s="127"/>
      <c r="S78" s="90"/>
      <c r="T78" s="380"/>
      <c r="U78" s="374"/>
      <c r="V78" s="380"/>
      <c r="W78" s="374"/>
      <c r="X78" s="127"/>
      <c r="Y78" s="90"/>
      <c r="Z78" s="380"/>
      <c r="AA78" s="374"/>
      <c r="AB78" s="380"/>
      <c r="AC78" s="374"/>
      <c r="AD78" s="380"/>
      <c r="AE78" s="374"/>
      <c r="AF78" s="380"/>
      <c r="AG78" s="374"/>
      <c r="AH78" s="380"/>
      <c r="AI78" s="374"/>
      <c r="AJ78" s="380"/>
      <c r="AK78" s="374"/>
      <c r="AL78" s="380"/>
      <c r="AM78" s="374"/>
      <c r="AN78" s="380"/>
      <c r="AO78" s="374"/>
      <c r="AP78" s="380"/>
      <c r="AQ78" s="374"/>
      <c r="AR78" s="380"/>
      <c r="AS78" s="374"/>
      <c r="AT78" s="380"/>
      <c r="AU78" s="374"/>
      <c r="AV78" s="380"/>
      <c r="AW78" s="374"/>
      <c r="AX78" s="380"/>
      <c r="AY78" s="374"/>
      <c r="AZ78" s="380"/>
      <c r="BA78" s="374"/>
      <c r="BB78" s="380"/>
      <c r="BC78" s="374"/>
      <c r="BD78" s="380"/>
      <c r="BE78" s="374"/>
      <c r="BF78" s="380"/>
      <c r="BG78" s="374"/>
      <c r="BH78" s="380"/>
      <c r="BI78" s="374"/>
      <c r="BJ78" s="380"/>
      <c r="BK78" s="374"/>
      <c r="BL78" s="380"/>
      <c r="BM78" s="374"/>
      <c r="BN78" s="380"/>
      <c r="BO78" s="374"/>
    </row>
    <row r="79" spans="1:67" s="4" customFormat="1" ht="18" customHeight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'Pricing Structure - PMAD'!G79</f>
        <v>14329</v>
      </c>
      <c r="H79" s="359"/>
      <c r="I79" s="88">
        <f>'Pricing Structure - PMAD'!I79</f>
        <v>14353</v>
      </c>
      <c r="J79" s="359"/>
      <c r="K79" s="88">
        <f>'Pricing Structure - PMAD'!K79</f>
        <v>14347</v>
      </c>
      <c r="L79" s="42"/>
      <c r="M79" s="88">
        <f>'Pricing Structure - PMAD'!M79</f>
        <v>14367</v>
      </c>
      <c r="N79" s="359"/>
      <c r="O79" s="88">
        <f>'Pricing Structure - PMAD'!O79</f>
        <v>14617</v>
      </c>
      <c r="P79" s="359"/>
      <c r="Q79" s="88">
        <f>'Pricing Structure - PMAD'!Q79</f>
        <v>14673</v>
      </c>
      <c r="R79" s="42"/>
      <c r="S79" s="88">
        <f>'Pricing Structure - PMAD'!S79</f>
        <v>14979</v>
      </c>
      <c r="T79" s="359"/>
      <c r="U79" s="88">
        <f>'Pricing Structure - PMAD'!U79</f>
        <v>14853</v>
      </c>
      <c r="V79" s="359"/>
      <c r="W79" s="88">
        <f>'Pricing Structure - PMAD'!W79</f>
        <v>15037</v>
      </c>
      <c r="X79" s="42"/>
      <c r="Y79" s="88">
        <f>'Pricing Structure - PMAD'!Y79</f>
        <v>15418</v>
      </c>
      <c r="Z79" s="359"/>
      <c r="AA79" s="88">
        <f>'Pricing Structure - PMAD'!AA79</f>
        <v>15645</v>
      </c>
      <c r="AB79" s="359"/>
      <c r="AC79" s="88">
        <f>'Pricing Structure - PMAD'!AC79</f>
        <v>15623</v>
      </c>
      <c r="AD79" s="359"/>
      <c r="AE79" s="88">
        <f>'Pricing Structure - PMAD'!AE79</f>
        <v>15331</v>
      </c>
      <c r="AF79" s="359"/>
      <c r="AG79" s="88">
        <f>'Pricing Structure - PMAD'!AG79</f>
        <v>15091</v>
      </c>
      <c r="AH79" s="359"/>
      <c r="AI79" s="88">
        <f>'Pricing Structure - PMAD'!AI79</f>
        <v>15275</v>
      </c>
      <c r="AJ79" s="359"/>
      <c r="AK79" s="88">
        <f>'Pricing Structure - PMAD'!AK79</f>
        <v>14857</v>
      </c>
      <c r="AL79" s="359"/>
      <c r="AM79" s="88">
        <f>'Pricing Structure - PMAD'!AM79</f>
        <v>14781</v>
      </c>
      <c r="AN79" s="359"/>
      <c r="AO79" s="88">
        <f>'Pricing Structure - PMAD'!AO79</f>
        <v>14931</v>
      </c>
      <c r="AP79" s="359"/>
      <c r="AQ79" s="88">
        <f>'Pricing Structure - PMAD'!AQ79</f>
        <v>15024</v>
      </c>
      <c r="AR79" s="359"/>
      <c r="AS79" s="88">
        <f>'Pricing Structure - PMAD'!AU79</f>
        <v>15236</v>
      </c>
      <c r="AT79" s="359"/>
      <c r="AU79" s="88">
        <f>'Pricing Structure - PMAD'!AW79</f>
        <v>15335</v>
      </c>
      <c r="AV79" s="359"/>
      <c r="AW79" s="88">
        <f>'Pricing Structure - PMAD'!AY79</f>
        <v>15713</v>
      </c>
      <c r="AX79" s="359"/>
      <c r="AY79" s="88">
        <f>'Pricing Structure - PMAD'!BA79</f>
        <v>15689</v>
      </c>
      <c r="AZ79" s="359"/>
      <c r="BA79" s="88">
        <f>'Pricing Structure - PMAD'!BC79</f>
        <v>15520</v>
      </c>
      <c r="BB79" s="359"/>
      <c r="BC79" s="88">
        <f>'Pricing Structure - PMAD'!BE79</f>
        <v>15582</v>
      </c>
      <c r="BD79" s="359"/>
      <c r="BE79" s="88">
        <f>'Pricing Structure - PMAD'!BG79</f>
        <v>15701</v>
      </c>
      <c r="BF79" s="359"/>
      <c r="BG79" s="88">
        <v>16077</v>
      </c>
      <c r="BH79" s="359"/>
      <c r="BI79" s="88">
        <v>16287</v>
      </c>
      <c r="BJ79" s="359"/>
      <c r="BK79" s="88">
        <v>15480</v>
      </c>
      <c r="BL79" s="359"/>
      <c r="BM79" s="88">
        <v>15972</v>
      </c>
      <c r="BN79" s="359"/>
      <c r="BO79" s="88">
        <v>16287</v>
      </c>
    </row>
    <row r="80" spans="1:67" s="4" customFormat="1" ht="18" customHeight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2.2597066534510377</v>
      </c>
      <c r="H80" s="363"/>
      <c r="I80" s="368">
        <f>+I67-I74</f>
        <v>2.2597066534510377</v>
      </c>
      <c r="J80" s="363"/>
      <c r="K80" s="368">
        <f>+K67-K74</f>
        <v>2.0482383265762616</v>
      </c>
      <c r="L80" s="50"/>
      <c r="M80" s="72">
        <f>+M67-M74</f>
        <v>2.0482383265762616</v>
      </c>
      <c r="N80" s="363"/>
      <c r="O80" s="368">
        <f>+O67-O74</f>
        <v>1.3512524973890931</v>
      </c>
      <c r="P80" s="363"/>
      <c r="Q80" s="368">
        <f>+Q67-Q74</f>
        <v>1.3512524973890931</v>
      </c>
      <c r="R80" s="50"/>
      <c r="S80" s="72">
        <f>+S67-S74</f>
        <v>1.3512524973890931</v>
      </c>
      <c r="T80" s="363"/>
      <c r="U80" s="368">
        <f>+U67-U74</f>
        <v>2.012234653679605</v>
      </c>
      <c r="V80" s="363"/>
      <c r="W80" s="368">
        <f>+W67-W74</f>
        <v>2.2081535779323875</v>
      </c>
      <c r="X80" s="50"/>
      <c r="Y80" s="72">
        <f>+Y67-Y74</f>
        <v>2.2081535779323875</v>
      </c>
      <c r="Z80" s="363"/>
      <c r="AA80" s="368">
        <f>+AA67-AA74</f>
        <v>2.3545418569194592</v>
      </c>
      <c r="AB80" s="363"/>
      <c r="AC80" s="368">
        <f>+AC67-AC74</f>
        <v>2.5397121139958001</v>
      </c>
      <c r="AD80" s="363"/>
      <c r="AE80" s="368">
        <f t="shared" ref="AE80" si="543">+AE67-AE74</f>
        <v>2.3744839427543631</v>
      </c>
      <c r="AF80" s="363"/>
      <c r="AG80" s="368">
        <f t="shared" ref="AG80" si="544">+AG67-AG74</f>
        <v>2.1978431210505853</v>
      </c>
      <c r="AH80" s="363"/>
      <c r="AI80" s="368">
        <f t="shared" ref="AI80:AK80" si="545">+AI67-AI74</f>
        <v>2.2331552074908574</v>
      </c>
      <c r="AJ80" s="363"/>
      <c r="AK80" s="368">
        <f t="shared" si="545"/>
        <v>2.1929200381201976</v>
      </c>
      <c r="AL80" s="363"/>
      <c r="AM80" s="368">
        <f t="shared" ref="AM80" si="546">+AM67-AM74</f>
        <v>2.1929200381201976</v>
      </c>
      <c r="AN80" s="363"/>
      <c r="AO80" s="368">
        <f t="shared" ref="AO80" si="547">+AO67-AO74</f>
        <v>2.1559641358910757</v>
      </c>
      <c r="AP80" s="363"/>
      <c r="AQ80" s="368">
        <f t="shared" ref="AQ80" si="548">+AQ67-AQ74</f>
        <v>2.1559641358910757</v>
      </c>
      <c r="AR80" s="363"/>
      <c r="AS80" s="368">
        <f t="shared" ref="AS80:AY80" si="549">+AS67-AS74</f>
        <v>2.3739002601172556</v>
      </c>
      <c r="AT80" s="363"/>
      <c r="AU80" s="368">
        <f t="shared" si="549"/>
        <v>2.4646299817624944</v>
      </c>
      <c r="AV80" s="363"/>
      <c r="AW80" s="368">
        <f t="shared" si="549"/>
        <v>2.5999999999999996</v>
      </c>
      <c r="AX80" s="363"/>
      <c r="AY80" s="368">
        <f t="shared" si="549"/>
        <v>2.8746945617072002</v>
      </c>
      <c r="AZ80" s="363"/>
      <c r="BA80" s="368">
        <f t="shared" ref="BA80:BC80" si="550">+BA67-BA74</f>
        <v>2.8825372910657001</v>
      </c>
      <c r="BB80" s="363"/>
      <c r="BC80" s="368">
        <f t="shared" si="550"/>
        <v>2.6258182518290338</v>
      </c>
      <c r="BD80" s="363"/>
      <c r="BE80" s="368">
        <f t="shared" ref="BE80:BG80" si="551">+BE67-BE74</f>
        <v>2.5967295076746701</v>
      </c>
      <c r="BF80" s="363"/>
      <c r="BG80" s="368">
        <f t="shared" si="551"/>
        <v>2.564237730919948</v>
      </c>
      <c r="BH80" s="363"/>
      <c r="BI80" s="368">
        <f t="shared" ref="BI80:BO80" si="552">+BI67-BI74</f>
        <v>2.7473291582243506</v>
      </c>
      <c r="BJ80" s="363"/>
      <c r="BK80" s="368">
        <f t="shared" ref="BK80:BM80" si="553">+BK67-BK74</f>
        <v>2.8531007751937985</v>
      </c>
      <c r="BL80" s="363"/>
      <c r="BM80" s="368">
        <f t="shared" si="553"/>
        <v>2.918670172802404</v>
      </c>
      <c r="BN80" s="363"/>
      <c r="BO80" s="368">
        <f t="shared" si="552"/>
        <v>2.7473291582243506</v>
      </c>
    </row>
    <row r="81" spans="1:67" s="4" customFormat="1" ht="18" customHeight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9.4154443893793238E-2</v>
      </c>
      <c r="H81" s="363"/>
      <c r="I81" s="368">
        <f>+I80/I10</f>
        <v>9.4154443893793238E-2</v>
      </c>
      <c r="J81" s="363"/>
      <c r="K81" s="368">
        <f>+K80/K10</f>
        <v>8.5343263607344233E-2</v>
      </c>
      <c r="L81" s="50"/>
      <c r="M81" s="72">
        <f>+M80/M10</f>
        <v>8.5343263607344233E-2</v>
      </c>
      <c r="N81" s="363"/>
      <c r="O81" s="368">
        <f>+O80/O10</f>
        <v>5.6302187391212212E-2</v>
      </c>
      <c r="P81" s="363"/>
      <c r="Q81" s="368">
        <f>+Q80/Q10</f>
        <v>5.6302187391212212E-2</v>
      </c>
      <c r="R81" s="50"/>
      <c r="S81" s="72">
        <f>+S80/S10</f>
        <v>5.6302187391212212E-2</v>
      </c>
      <c r="T81" s="363"/>
      <c r="U81" s="368">
        <f>+U80/U10</f>
        <v>8.3843110569983545E-2</v>
      </c>
      <c r="V81" s="363"/>
      <c r="W81" s="368">
        <f>+W80/W10</f>
        <v>9.2006399080516152E-2</v>
      </c>
      <c r="X81" s="50"/>
      <c r="Y81" s="72">
        <f>+Y80/Y10</f>
        <v>9.2006399080516152E-2</v>
      </c>
      <c r="Z81" s="363"/>
      <c r="AA81" s="368">
        <f>+AA80/AA10</f>
        <v>9.810591070497747E-2</v>
      </c>
      <c r="AB81" s="363"/>
      <c r="AC81" s="368">
        <f>+AC80/AC10</f>
        <v>0.10582133808315834</v>
      </c>
      <c r="AD81" s="363"/>
      <c r="AE81" s="368">
        <f t="shared" ref="AE81" si="554">+AE80/AE10</f>
        <v>9.8936830948098464E-2</v>
      </c>
      <c r="AF81" s="363"/>
      <c r="AG81" s="368">
        <f t="shared" ref="AG81" si="555">+AG80/AG10</f>
        <v>9.1576796710441055E-2</v>
      </c>
      <c r="AH81" s="363"/>
      <c r="AI81" s="368">
        <f t="shared" ref="AI81:AK81" si="556">+AI80/AI10</f>
        <v>9.3048133645452391E-2</v>
      </c>
      <c r="AJ81" s="363"/>
      <c r="AK81" s="368">
        <f t="shared" si="556"/>
        <v>9.137166825500824E-2</v>
      </c>
      <c r="AL81" s="363"/>
      <c r="AM81" s="368">
        <f t="shared" ref="AM81" si="557">+AM80/AM10</f>
        <v>9.137166825500824E-2</v>
      </c>
      <c r="AN81" s="363"/>
      <c r="AO81" s="368">
        <f t="shared" ref="AO81" si="558">+AO80/AO10</f>
        <v>8.9831838995461488E-2</v>
      </c>
      <c r="AP81" s="363"/>
      <c r="AQ81" s="368">
        <f t="shared" ref="AQ81" si="559">+AQ80/AQ10</f>
        <v>8.9831838995461488E-2</v>
      </c>
      <c r="AR81" s="363"/>
      <c r="AS81" s="368">
        <f t="shared" ref="AS81:AY81" si="560">+AS80/AS10</f>
        <v>9.8912510838218989E-2</v>
      </c>
      <c r="AT81" s="363"/>
      <c r="AU81" s="368">
        <f t="shared" si="560"/>
        <v>0.1026929159067706</v>
      </c>
      <c r="AV81" s="363"/>
      <c r="AW81" s="368">
        <f t="shared" si="560"/>
        <v>0.10833333333333332</v>
      </c>
      <c r="AX81" s="363"/>
      <c r="AY81" s="368">
        <f t="shared" si="560"/>
        <v>0.11977894007113334</v>
      </c>
      <c r="AZ81" s="363"/>
      <c r="BA81" s="368">
        <f t="shared" ref="BA81:BC81" si="561">+BA80/BA10</f>
        <v>0.12010572046107083</v>
      </c>
      <c r="BB81" s="363"/>
      <c r="BC81" s="368">
        <f t="shared" si="561"/>
        <v>0.10940909382620974</v>
      </c>
      <c r="BD81" s="363"/>
      <c r="BE81" s="368">
        <f t="shared" ref="BE81:BG81" si="562">+BE80/BE10</f>
        <v>0.10819706281977792</v>
      </c>
      <c r="BF81" s="363"/>
      <c r="BG81" s="368">
        <f t="shared" si="562"/>
        <v>0.10684323878833117</v>
      </c>
      <c r="BH81" s="363"/>
      <c r="BI81" s="368">
        <f t="shared" ref="BI81:BO81" si="563">+BI80/BI10</f>
        <v>0.11447204825934794</v>
      </c>
      <c r="BJ81" s="363"/>
      <c r="BK81" s="368">
        <f t="shared" ref="BK81:BM81" si="564">+BK80/BK10</f>
        <v>0.11887919896640826</v>
      </c>
      <c r="BL81" s="363"/>
      <c r="BM81" s="368">
        <f t="shared" si="564"/>
        <v>0.12161125720010017</v>
      </c>
      <c r="BN81" s="363"/>
      <c r="BO81" s="368">
        <f t="shared" si="563"/>
        <v>0.11447204825934794</v>
      </c>
    </row>
    <row r="82" spans="1:67" s="65" customFormat="1" ht="18" customHeight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0.37350523197537816</v>
      </c>
      <c r="H82" s="381"/>
      <c r="I82" s="1096">
        <f>+I80/I67</f>
        <v>0.37350523197537816</v>
      </c>
      <c r="J82" s="381"/>
      <c r="K82" s="1096">
        <f>+K80/K67</f>
        <v>0.33855178951673748</v>
      </c>
      <c r="L82" s="132"/>
      <c r="M82" s="1096">
        <f>+M80/M67</f>
        <v>0.33855178951673748</v>
      </c>
      <c r="N82" s="381"/>
      <c r="O82" s="1096">
        <f>+O80/O67</f>
        <v>0.22334752022960219</v>
      </c>
      <c r="P82" s="381"/>
      <c r="Q82" s="1096">
        <f>+Q80/Q67</f>
        <v>0.22334752022960219</v>
      </c>
      <c r="R82" s="132"/>
      <c r="S82" s="1096">
        <f>+S80/S67</f>
        <v>0.22334752022960219</v>
      </c>
      <c r="T82" s="381"/>
      <c r="U82" s="382">
        <f>+U80/U67</f>
        <v>0.3326007692032405</v>
      </c>
      <c r="V82" s="381"/>
      <c r="W82" s="382">
        <f>+W80/W67</f>
        <v>0.36498406246816323</v>
      </c>
      <c r="X82" s="132"/>
      <c r="Y82" s="133">
        <f>+Y80/Y67</f>
        <v>0.36498406246816323</v>
      </c>
      <c r="Z82" s="381"/>
      <c r="AA82" s="382">
        <f>+AA80/AA67</f>
        <v>0.38918047221809243</v>
      </c>
      <c r="AB82" s="381"/>
      <c r="AC82" s="382">
        <f>+AC80/AC67</f>
        <v>0.41978712628029757</v>
      </c>
      <c r="AD82" s="381"/>
      <c r="AE82" s="382">
        <f t="shared" ref="AE82" si="565">+AE80/AE67</f>
        <v>0.3924766847527873</v>
      </c>
      <c r="AF82" s="381"/>
      <c r="AG82" s="382">
        <f t="shared" ref="AG82" si="566">+AG80/AG67</f>
        <v>0.36327985471910501</v>
      </c>
      <c r="AH82" s="381"/>
      <c r="AI82" s="382">
        <f t="shared" ref="AI82:AK82" si="567">+AI80/AI67</f>
        <v>0.36911656322162933</v>
      </c>
      <c r="AJ82" s="381"/>
      <c r="AK82" s="382">
        <f t="shared" si="567"/>
        <v>0.36246612200333844</v>
      </c>
      <c r="AL82" s="381"/>
      <c r="AM82" s="382">
        <f t="shared" ref="AM82" si="568">+AM80/AM67</f>
        <v>0.36246612200333844</v>
      </c>
      <c r="AN82" s="381"/>
      <c r="AO82" s="382">
        <f t="shared" ref="AO82" si="569">+AO80/AO67</f>
        <v>0.35635770841174808</v>
      </c>
      <c r="AP82" s="381"/>
      <c r="AQ82" s="382">
        <f t="shared" ref="AQ82" si="570">+AQ80/AQ67</f>
        <v>0.35635770841174808</v>
      </c>
      <c r="AR82" s="381"/>
      <c r="AS82" s="382">
        <f t="shared" ref="AS82:AY82" si="571">+AS80/AS67</f>
        <v>0.3923802082838439</v>
      </c>
      <c r="AT82" s="381"/>
      <c r="AU82" s="382">
        <f t="shared" si="571"/>
        <v>0.40737685648966848</v>
      </c>
      <c r="AV82" s="381"/>
      <c r="AW82" s="382">
        <f t="shared" si="571"/>
        <v>0.42975206611570244</v>
      </c>
      <c r="AX82" s="381"/>
      <c r="AY82" s="382">
        <f t="shared" si="571"/>
        <v>0.45995112987315201</v>
      </c>
      <c r="AZ82" s="381"/>
      <c r="BA82" s="382">
        <f t="shared" ref="BA82:BC82" si="572">+BA80/BA67</f>
        <v>0.46120596657051199</v>
      </c>
      <c r="BB82" s="381"/>
      <c r="BC82" s="382">
        <f t="shared" si="572"/>
        <v>0.42013092029264543</v>
      </c>
      <c r="BD82" s="381"/>
      <c r="BE82" s="382">
        <f t="shared" ref="BE82:BG82" si="573">+BE80/BE67</f>
        <v>0.41547672122794721</v>
      </c>
      <c r="BF82" s="381"/>
      <c r="BG82" s="382">
        <f t="shared" si="573"/>
        <v>0.41027803694719167</v>
      </c>
      <c r="BH82" s="381"/>
      <c r="BI82" s="382">
        <f t="shared" ref="BI82:BO82" si="574">+BI80/BI67</f>
        <v>0.43957266531589612</v>
      </c>
      <c r="BJ82" s="381"/>
      <c r="BK82" s="382">
        <f t="shared" ref="BK82:BM82" si="575">+BK80/BK67</f>
        <v>0.45649612403100776</v>
      </c>
      <c r="BL82" s="381"/>
      <c r="BM82" s="382">
        <f t="shared" si="575"/>
        <v>0.46698722764838463</v>
      </c>
      <c r="BN82" s="381"/>
      <c r="BO82" s="382">
        <f t="shared" si="574"/>
        <v>0.43957266531589612</v>
      </c>
    </row>
    <row r="83" spans="1:67" s="65" customFormat="1" ht="18" customHeight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0.45970665345103767</v>
      </c>
      <c r="H83" s="137"/>
      <c r="I83" s="138">
        <f>I80-I57</f>
        <v>0.45970665345103767</v>
      </c>
      <c r="J83" s="137"/>
      <c r="K83" s="138">
        <f>K80-K57</f>
        <v>0.24823832657626155</v>
      </c>
      <c r="L83" s="137"/>
      <c r="M83" s="138">
        <f>M80-M57</f>
        <v>0.24823832657626155</v>
      </c>
      <c r="N83" s="137"/>
      <c r="O83" s="138">
        <f>O80-O57</f>
        <v>-0.4487475026109069</v>
      </c>
      <c r="P83" s="137"/>
      <c r="Q83" s="138">
        <f>Q80-Q57</f>
        <v>-0.4487475026109069</v>
      </c>
      <c r="R83" s="137"/>
      <c r="S83" s="138">
        <f>S80-S57</f>
        <v>-0.4487475026109069</v>
      </c>
      <c r="T83" s="137"/>
      <c r="U83" s="138">
        <f>U80-U57</f>
        <v>0.21223465367960492</v>
      </c>
      <c r="V83" s="137"/>
      <c r="W83" s="138">
        <f>W80-W57</f>
        <v>0.40815357793238749</v>
      </c>
      <c r="X83" s="137"/>
      <c r="Y83" s="138">
        <f>Y80-Y57</f>
        <v>0.40815357793238749</v>
      </c>
      <c r="Z83" s="137"/>
      <c r="AA83" s="138">
        <f>AA80-AA57</f>
        <v>0.55454185691945912</v>
      </c>
      <c r="AB83" s="137"/>
      <c r="AC83" s="138">
        <f>AC80-AC57</f>
        <v>1.3942575685412546</v>
      </c>
      <c r="AD83" s="137"/>
      <c r="AE83" s="138">
        <f t="shared" ref="AE83" si="576">AE80-AE57</f>
        <v>0.5744839427543631</v>
      </c>
      <c r="AF83" s="137"/>
      <c r="AG83" s="138">
        <f t="shared" ref="AG83" si="577">AG80-AG57</f>
        <v>0.39784312105058528</v>
      </c>
      <c r="AH83" s="137"/>
      <c r="AI83" s="138">
        <f t="shared" ref="AI83:AK83" si="578">AI80-AI57</f>
        <v>0.43315520749085734</v>
      </c>
      <c r="AJ83" s="137"/>
      <c r="AK83" s="138">
        <f t="shared" si="578"/>
        <v>0.3929200381201976</v>
      </c>
      <c r="AL83" s="137"/>
      <c r="AM83" s="138">
        <f t="shared" ref="AM83" si="579">AM80-AM57</f>
        <v>0.3929200381201976</v>
      </c>
      <c r="AN83" s="137"/>
      <c r="AO83" s="138">
        <f t="shared" ref="AO83" si="580">AO80-AO57</f>
        <v>0.35596413589107567</v>
      </c>
      <c r="AP83" s="137"/>
      <c r="AQ83" s="138">
        <f t="shared" ref="AQ83" si="581">AQ80-AQ57</f>
        <v>0.35596413589107567</v>
      </c>
      <c r="AR83" s="137"/>
      <c r="AS83" s="138">
        <f t="shared" ref="AS83:AY83" si="582">AS80-AS57</f>
        <v>0.57390026011725559</v>
      </c>
      <c r="AT83" s="137"/>
      <c r="AU83" s="138">
        <f t="shared" si="582"/>
        <v>0.66462998176249433</v>
      </c>
      <c r="AV83" s="137"/>
      <c r="AW83" s="138">
        <f t="shared" si="582"/>
        <v>0.7999999999999996</v>
      </c>
      <c r="AX83" s="137"/>
      <c r="AY83" s="138">
        <f t="shared" si="582"/>
        <v>1.0746945617072001</v>
      </c>
      <c r="AZ83" s="137"/>
      <c r="BA83" s="138">
        <f t="shared" ref="BA83:BC83" si="583">BA80-BA57</f>
        <v>1.0825372910657001</v>
      </c>
      <c r="BB83" s="137"/>
      <c r="BC83" s="138">
        <f t="shared" si="583"/>
        <v>0.82581825182903379</v>
      </c>
      <c r="BD83" s="137"/>
      <c r="BE83" s="138">
        <f t="shared" ref="BE83:BG83" si="584">BE80-BE57</f>
        <v>0.7967295076746701</v>
      </c>
      <c r="BF83" s="137"/>
      <c r="BG83" s="138">
        <f t="shared" si="584"/>
        <v>0.76423773091994796</v>
      </c>
      <c r="BH83" s="137"/>
      <c r="BI83" s="138">
        <f t="shared" ref="BI83:BO83" si="585">BI80-BI57</f>
        <v>0.9473291582243506</v>
      </c>
      <c r="BJ83" s="137"/>
      <c r="BK83" s="138">
        <f t="shared" ref="BK83:BM83" si="586">BK80-BK57</f>
        <v>1.0531007751937984</v>
      </c>
      <c r="BL83" s="137"/>
      <c r="BM83" s="138">
        <f t="shared" si="586"/>
        <v>1.118670172802404</v>
      </c>
      <c r="BN83" s="137"/>
      <c r="BO83" s="138">
        <f t="shared" si="585"/>
        <v>0.9473291582243506</v>
      </c>
    </row>
    <row r="84" spans="1:67" s="65" customFormat="1" ht="18" customHeight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7.5984570818353331E-2</v>
      </c>
      <c r="H84" s="381"/>
      <c r="I84" s="382">
        <f>I83/I67</f>
        <v>7.5984570818353331E-2</v>
      </c>
      <c r="J84" s="381"/>
      <c r="K84" s="1096">
        <f>K83/K67</f>
        <v>4.1031128359712656E-2</v>
      </c>
      <c r="L84" s="132"/>
      <c r="M84" s="133">
        <f>M83/M67</f>
        <v>4.1031128359712656E-2</v>
      </c>
      <c r="N84" s="381"/>
      <c r="O84" s="382">
        <f>O83/O67</f>
        <v>-7.4173140927422637E-2</v>
      </c>
      <c r="P84" s="381"/>
      <c r="Q84" s="382">
        <f>Q83/Q67</f>
        <v>-7.4173140927422637E-2</v>
      </c>
      <c r="R84" s="132"/>
      <c r="S84" s="133">
        <f>S83/S67</f>
        <v>-7.4173140927422637E-2</v>
      </c>
      <c r="T84" s="381"/>
      <c r="U84" s="382">
        <f>U83/U67</f>
        <v>3.508010804621569E-2</v>
      </c>
      <c r="V84" s="381"/>
      <c r="W84" s="382">
        <f>W83/W67</f>
        <v>6.7463401311138427E-2</v>
      </c>
      <c r="X84" s="132"/>
      <c r="Y84" s="133">
        <f>Y83/Y67</f>
        <v>6.7463401311138427E-2</v>
      </c>
      <c r="Z84" s="381"/>
      <c r="AA84" s="382">
        <f>AA83/AA67</f>
        <v>9.1659811061067631E-2</v>
      </c>
      <c r="AB84" s="381"/>
      <c r="AC84" s="382">
        <f>AC83/AC67</f>
        <v>0.23045579645309994</v>
      </c>
      <c r="AD84" s="381"/>
      <c r="AE84" s="382">
        <f t="shared" ref="AE84" si="587">AE83/AE67</f>
        <v>9.4956023595762495E-2</v>
      </c>
      <c r="AF84" s="381"/>
      <c r="AG84" s="382">
        <f t="shared" ref="AG84" si="588">AG83/AG67</f>
        <v>6.5759193562080209E-2</v>
      </c>
      <c r="AH84" s="381"/>
      <c r="AI84" s="382">
        <f t="shared" ref="AI84:AK84" si="589">AI83/AI67</f>
        <v>7.1595902064604519E-2</v>
      </c>
      <c r="AJ84" s="381"/>
      <c r="AK84" s="382">
        <f t="shared" si="589"/>
        <v>6.4945460846313655E-2</v>
      </c>
      <c r="AL84" s="381"/>
      <c r="AM84" s="382">
        <f t="shared" ref="AM84" si="590">AM83/AM67</f>
        <v>6.4945460846313655E-2</v>
      </c>
      <c r="AN84" s="381"/>
      <c r="AO84" s="382">
        <f t="shared" ref="AO84" si="591">AO83/AO67</f>
        <v>5.8837047254723253E-2</v>
      </c>
      <c r="AP84" s="381"/>
      <c r="AQ84" s="382">
        <f t="shared" ref="AQ84" si="592">AQ83/AQ67</f>
        <v>5.8837047254723253E-2</v>
      </c>
      <c r="AR84" s="381"/>
      <c r="AS84" s="382">
        <f t="shared" ref="AS84:AY84" si="593">AS83/AS67</f>
        <v>9.4859547126819113E-2</v>
      </c>
      <c r="AT84" s="381"/>
      <c r="AU84" s="382">
        <f t="shared" si="593"/>
        <v>0.10985619533264369</v>
      </c>
      <c r="AV84" s="381"/>
      <c r="AW84" s="382">
        <f t="shared" si="593"/>
        <v>0.13223140495867763</v>
      </c>
      <c r="AX84" s="381"/>
      <c r="AY84" s="382">
        <f t="shared" si="593"/>
        <v>0.17195112987315203</v>
      </c>
      <c r="AZ84" s="381"/>
      <c r="BA84" s="382">
        <f t="shared" ref="BA84:BC84" si="594">BA83/BA67</f>
        <v>0.17320596657051202</v>
      </c>
      <c r="BB84" s="381"/>
      <c r="BC84" s="382">
        <f t="shared" si="594"/>
        <v>0.13213092029264539</v>
      </c>
      <c r="BD84" s="381"/>
      <c r="BE84" s="382">
        <f t="shared" ref="BE84:BG84" si="595">BE83/BE67</f>
        <v>0.1274767212279472</v>
      </c>
      <c r="BF84" s="381"/>
      <c r="BG84" s="382">
        <f t="shared" si="595"/>
        <v>0.12227803694719168</v>
      </c>
      <c r="BH84" s="381"/>
      <c r="BI84" s="382">
        <f t="shared" ref="BI84:BO84" si="596">BI83/BI67</f>
        <v>0.15157266531589608</v>
      </c>
      <c r="BJ84" s="381"/>
      <c r="BK84" s="382">
        <f t="shared" ref="BK84:BM84" si="597">BK83/BK67</f>
        <v>0.16849612403100775</v>
      </c>
      <c r="BL84" s="381"/>
      <c r="BM84" s="382">
        <f t="shared" si="597"/>
        <v>0.17898722764838465</v>
      </c>
      <c r="BN84" s="381"/>
      <c r="BO84" s="382">
        <f t="shared" si="596"/>
        <v>0.15157266531589608</v>
      </c>
    </row>
    <row r="85" spans="1:67" s="65" customFormat="1" ht="6.75" customHeight="1" x14ac:dyDescent="0.45">
      <c r="A85" s="561"/>
      <c r="B85" s="266"/>
      <c r="C85" s="131"/>
      <c r="D85" s="131"/>
      <c r="E85" s="131"/>
      <c r="F85" s="132"/>
      <c r="G85" s="133"/>
      <c r="H85" s="381"/>
      <c r="I85" s="382"/>
      <c r="J85" s="381"/>
      <c r="K85" s="382"/>
      <c r="L85" s="132"/>
      <c r="M85" s="133"/>
      <c r="N85" s="381"/>
      <c r="O85" s="382"/>
      <c r="P85" s="381"/>
      <c r="Q85" s="382"/>
      <c r="R85" s="132"/>
      <c r="S85" s="133"/>
      <c r="T85" s="381"/>
      <c r="U85" s="382"/>
      <c r="V85" s="381"/>
      <c r="W85" s="382"/>
      <c r="X85" s="132"/>
      <c r="Y85" s="133"/>
      <c r="Z85" s="381"/>
      <c r="AA85" s="382"/>
      <c r="AB85" s="381"/>
      <c r="AC85" s="382"/>
      <c r="AD85" s="381"/>
      <c r="AE85" s="382"/>
      <c r="AF85" s="381"/>
      <c r="AG85" s="382"/>
      <c r="AH85" s="381"/>
      <c r="AI85" s="382"/>
      <c r="AJ85" s="381"/>
      <c r="AK85" s="382"/>
      <c r="AL85" s="381"/>
      <c r="AM85" s="382"/>
      <c r="AN85" s="381"/>
      <c r="AO85" s="382"/>
      <c r="AP85" s="381"/>
      <c r="AQ85" s="382"/>
      <c r="AR85" s="381"/>
      <c r="AS85" s="382"/>
      <c r="AT85" s="381"/>
      <c r="AU85" s="382"/>
      <c r="AV85" s="381"/>
      <c r="AW85" s="382"/>
      <c r="AX85" s="381"/>
      <c r="AY85" s="382"/>
      <c r="AZ85" s="381"/>
      <c r="BA85" s="382"/>
      <c r="BB85" s="381"/>
      <c r="BC85" s="382"/>
      <c r="BD85" s="381"/>
      <c r="BE85" s="382"/>
      <c r="BF85" s="381"/>
      <c r="BG85" s="382"/>
      <c r="BH85" s="381"/>
      <c r="BI85" s="382"/>
      <c r="BJ85" s="381"/>
      <c r="BK85" s="382"/>
      <c r="BL85" s="381"/>
      <c r="BM85" s="382"/>
      <c r="BN85" s="381"/>
      <c r="BO85" s="382"/>
    </row>
    <row r="86" spans="1:67" s="65" customFormat="1" ht="18" customHeight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0.39535841827657026</v>
      </c>
      <c r="H86" s="141"/>
      <c r="I86" s="142">
        <f>I83-I72</f>
        <v>0.39535841827657026</v>
      </c>
      <c r="J86" s="141"/>
      <c r="K86" s="142">
        <f>K83-K72</f>
        <v>0.15422073470681291</v>
      </c>
      <c r="L86" s="141"/>
      <c r="M86" s="142">
        <f>M83-M72</f>
        <v>0.15422073470681291</v>
      </c>
      <c r="N86" s="141"/>
      <c r="O86" s="142">
        <f>O83-O72</f>
        <v>-0.52750677247188216</v>
      </c>
      <c r="P86" s="141"/>
      <c r="Q86" s="142">
        <f>Q83-Q72</f>
        <v>-0.52750677247188216</v>
      </c>
      <c r="R86" s="141"/>
      <c r="S86" s="142">
        <f>S83-S72</f>
        <v>-0.52750677247188216</v>
      </c>
      <c r="T86" s="141"/>
      <c r="U86" s="142">
        <f>U83-U72</f>
        <v>0.12012683123605275</v>
      </c>
      <c r="V86" s="141"/>
      <c r="W86" s="142">
        <f>W83-W72</f>
        <v>0.33527957214030374</v>
      </c>
      <c r="X86" s="141"/>
      <c r="Y86" s="142">
        <f>Y83-Y72</f>
        <v>0.33527957214030374</v>
      </c>
      <c r="Z86" s="141"/>
      <c r="AA86" s="142">
        <f>AA83-AA72</f>
        <v>0.47928344868669204</v>
      </c>
      <c r="AB86" s="141"/>
      <c r="AC86" s="142">
        <f>AC83-AC72</f>
        <v>1.3196771168998949</v>
      </c>
      <c r="AD86" s="141"/>
      <c r="AE86" s="142">
        <f t="shared" ref="AE86" si="598">AE83-AE72</f>
        <v>0.49913479905684111</v>
      </c>
      <c r="AF86" s="141"/>
      <c r="AG86" s="142">
        <f t="shared" ref="AG86" si="599">AG83-AG72</f>
        <v>0.32600972292979558</v>
      </c>
      <c r="AH86" s="141"/>
      <c r="AI86" s="142">
        <f t="shared" ref="AI86:AK86" si="600">AI83-AI72</f>
        <v>0.36412418254617018</v>
      </c>
      <c r="AJ86" s="141"/>
      <c r="AK86" s="142">
        <f t="shared" si="600"/>
        <v>0.32388901317551044</v>
      </c>
      <c r="AL86" s="141"/>
      <c r="AM86" s="142">
        <f t="shared" ref="AM86" si="601">AM83-AM72</f>
        <v>0.32388901317551044</v>
      </c>
      <c r="AN86" s="141"/>
      <c r="AO86" s="142">
        <f t="shared" ref="AO86" si="602">AO83-AO72</f>
        <v>0.27712093651850428</v>
      </c>
      <c r="AP86" s="141"/>
      <c r="AQ86" s="142">
        <f t="shared" ref="AQ86" si="603">AQ83-AQ72</f>
        <v>0.27712093651850428</v>
      </c>
      <c r="AR86" s="141"/>
      <c r="AS86" s="142">
        <f t="shared" ref="AS86:AY86" si="604">AS83-AS72</f>
        <v>0.50183790575153053</v>
      </c>
      <c r="AT86" s="141"/>
      <c r="AU86" s="142">
        <f t="shared" si="604"/>
        <v>0.58799677841351994</v>
      </c>
      <c r="AV86" s="141"/>
      <c r="AW86" s="142">
        <f t="shared" si="604"/>
        <v>0.72838191094748217</v>
      </c>
      <c r="AX86" s="141"/>
      <c r="AY86" s="142">
        <f t="shared" si="604"/>
        <v>1.0026840218471282</v>
      </c>
      <c r="AZ86" s="141"/>
      <c r="BA86" s="142">
        <f t="shared" ref="BA86:BC86" si="605">BA83-BA72</f>
        <v>1.0071425443011643</v>
      </c>
      <c r="BB86" s="141"/>
      <c r="BC86" s="142">
        <f t="shared" si="605"/>
        <v>0.75885830595803705</v>
      </c>
      <c r="BD86" s="141"/>
      <c r="BE86" s="142">
        <f t="shared" ref="BE86:BG86" si="606">BE83-BE72</f>
        <v>0.72490142905267185</v>
      </c>
      <c r="BF86" s="141"/>
      <c r="BG86" s="142">
        <f t="shared" si="606"/>
        <v>0.69240965229794971</v>
      </c>
      <c r="BH86" s="141"/>
      <c r="BI86" s="142">
        <f t="shared" ref="BI86:BO86" si="607">BI83-BI72</f>
        <v>0.87550107960235235</v>
      </c>
      <c r="BJ86" s="141"/>
      <c r="BK86" s="142">
        <f t="shared" ref="BK86:BM86" si="608">BK83-BK72</f>
        <v>0.98127269657180016</v>
      </c>
      <c r="BL86" s="141"/>
      <c r="BM86" s="142">
        <f t="shared" si="608"/>
        <v>1.0468420941804057</v>
      </c>
      <c r="BN86" s="141"/>
      <c r="BO86" s="142">
        <f t="shared" si="607"/>
        <v>0.87550107960235235</v>
      </c>
    </row>
    <row r="87" spans="1:67" s="65" customFormat="1" ht="18" customHeight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6.5348498888689294E-2</v>
      </c>
      <c r="H87" s="381"/>
      <c r="I87" s="382">
        <f>I86/I67</f>
        <v>6.5348498888689294E-2</v>
      </c>
      <c r="J87" s="381"/>
      <c r="K87" s="1096">
        <f>K86/K67</f>
        <v>2.5491030530051723E-2</v>
      </c>
      <c r="L87" s="132"/>
      <c r="M87" s="133">
        <f>M86/M67</f>
        <v>2.5491030530051723E-2</v>
      </c>
      <c r="N87" s="381"/>
      <c r="O87" s="382">
        <f>O86/O67</f>
        <v>-8.7191202061468132E-2</v>
      </c>
      <c r="P87" s="381"/>
      <c r="Q87" s="382">
        <f>Q86/Q67</f>
        <v>-8.7191202061468132E-2</v>
      </c>
      <c r="R87" s="132"/>
      <c r="S87" s="133">
        <f>S86/S67</f>
        <v>-8.7191202061468132E-2</v>
      </c>
      <c r="T87" s="381"/>
      <c r="U87" s="382">
        <f>U86/U67</f>
        <v>1.985567458447153E-2</v>
      </c>
      <c r="V87" s="381"/>
      <c r="W87" s="382">
        <f>W86/W67</f>
        <v>5.5418111097570867E-2</v>
      </c>
      <c r="X87" s="132"/>
      <c r="Y87" s="133">
        <f>Y86/Y67</f>
        <v>5.5418111097570867E-2</v>
      </c>
      <c r="Z87" s="381"/>
      <c r="AA87" s="382">
        <f>AA86/AA67</f>
        <v>7.9220404741601996E-2</v>
      </c>
      <c r="AB87" s="381"/>
      <c r="AC87" s="382">
        <f>AC86/AC67</f>
        <v>0.2181284490743628</v>
      </c>
      <c r="AD87" s="381"/>
      <c r="AE87" s="382">
        <f t="shared" ref="AE87" si="609">AE86/AE67</f>
        <v>8.2501619678816709E-2</v>
      </c>
      <c r="AF87" s="381"/>
      <c r="AG87" s="382">
        <f t="shared" ref="AG87" si="610">AG86/AG67</f>
        <v>5.3885904616495138E-2</v>
      </c>
      <c r="AH87" s="381"/>
      <c r="AI87" s="382">
        <f t="shared" ref="AI87:AK87" si="611">AI86/AI67</f>
        <v>6.0185815296887636E-2</v>
      </c>
      <c r="AJ87" s="381"/>
      <c r="AK87" s="382">
        <f t="shared" si="611"/>
        <v>5.3535374078596772E-2</v>
      </c>
      <c r="AL87" s="381"/>
      <c r="AM87" s="382">
        <f t="shared" ref="AM87" si="612">AM86/AM67</f>
        <v>5.3535374078596772E-2</v>
      </c>
      <c r="AN87" s="381"/>
      <c r="AO87" s="382">
        <f t="shared" ref="AO87" si="613">AO86/AO67</f>
        <v>4.5805113474132943E-2</v>
      </c>
      <c r="AP87" s="381"/>
      <c r="AQ87" s="382">
        <f t="shared" ref="AQ87" si="614">AQ86/AQ67</f>
        <v>4.5805113474132943E-2</v>
      </c>
      <c r="AR87" s="381"/>
      <c r="AS87" s="382">
        <f t="shared" ref="AS87:AY87" si="615">AS86/AS67</f>
        <v>8.2948414173806703E-2</v>
      </c>
      <c r="AT87" s="381"/>
      <c r="AU87" s="382">
        <f t="shared" si="615"/>
        <v>9.7189550150995035E-2</v>
      </c>
      <c r="AV87" s="381"/>
      <c r="AW87" s="382">
        <f t="shared" si="615"/>
        <v>0.12039370428884003</v>
      </c>
      <c r="AX87" s="381"/>
      <c r="AY87" s="382">
        <f t="shared" si="615"/>
        <v>0.16042944349554053</v>
      </c>
      <c r="AZ87" s="381"/>
      <c r="BA87" s="382">
        <f t="shared" ref="BA87:BC87" si="616">BA86/BA67</f>
        <v>0.16114280708818629</v>
      </c>
      <c r="BB87" s="381"/>
      <c r="BC87" s="382">
        <f t="shared" si="616"/>
        <v>0.12141732895328593</v>
      </c>
      <c r="BD87" s="381"/>
      <c r="BE87" s="382">
        <f t="shared" ref="BE87:BG87" si="617">BE86/BE67</f>
        <v>0.1159842286484275</v>
      </c>
      <c r="BF87" s="381"/>
      <c r="BG87" s="382">
        <f t="shared" si="617"/>
        <v>0.11078554436767195</v>
      </c>
      <c r="BH87" s="381"/>
      <c r="BI87" s="382">
        <f t="shared" ref="BI87:BO87" si="618">BI86/BI67</f>
        <v>0.14008017273637638</v>
      </c>
      <c r="BJ87" s="381"/>
      <c r="BK87" s="382">
        <f t="shared" ref="BK87:BM87" si="619">BK86/BK67</f>
        <v>0.15700363145148802</v>
      </c>
      <c r="BL87" s="381"/>
      <c r="BM87" s="382">
        <f t="shared" si="619"/>
        <v>0.16749473506886492</v>
      </c>
      <c r="BN87" s="381"/>
      <c r="BO87" s="382">
        <f t="shared" si="618"/>
        <v>0.14008017273637638</v>
      </c>
    </row>
    <row r="88" spans="1:67" s="65" customFormat="1" ht="6.75" customHeight="1" x14ac:dyDescent="0.45">
      <c r="A88" s="561"/>
      <c r="B88" s="266"/>
      <c r="C88" s="131"/>
      <c r="D88" s="131"/>
      <c r="E88" s="131"/>
      <c r="F88" s="132"/>
      <c r="G88" s="133"/>
      <c r="H88" s="381"/>
      <c r="I88" s="382"/>
      <c r="J88" s="381"/>
      <c r="K88" s="382"/>
      <c r="L88" s="132"/>
      <c r="M88" s="133"/>
      <c r="N88" s="381"/>
      <c r="O88" s="382"/>
      <c r="P88" s="381"/>
      <c r="Q88" s="382"/>
      <c r="R88" s="132"/>
      <c r="S88" s="133"/>
      <c r="T88" s="381"/>
      <c r="U88" s="382"/>
      <c r="V88" s="381"/>
      <c r="W88" s="382"/>
      <c r="X88" s="132"/>
      <c r="Y88" s="133"/>
      <c r="Z88" s="381"/>
      <c r="AA88" s="382"/>
      <c r="AB88" s="381"/>
      <c r="AC88" s="382"/>
      <c r="AD88" s="381"/>
      <c r="AE88" s="382"/>
      <c r="AF88" s="381"/>
      <c r="AG88" s="382"/>
      <c r="AH88" s="381"/>
      <c r="AI88" s="382"/>
      <c r="AJ88" s="381"/>
      <c r="AK88" s="382"/>
      <c r="AL88" s="381"/>
      <c r="AM88" s="382"/>
      <c r="AN88" s="381"/>
      <c r="AO88" s="382"/>
      <c r="AP88" s="381"/>
      <c r="AQ88" s="382"/>
      <c r="AR88" s="381"/>
      <c r="AS88" s="382"/>
      <c r="AT88" s="381"/>
      <c r="AU88" s="382"/>
      <c r="AV88" s="381"/>
      <c r="AW88" s="382"/>
      <c r="AX88" s="381"/>
      <c r="AY88" s="382"/>
      <c r="AZ88" s="381"/>
      <c r="BA88" s="382"/>
      <c r="BB88" s="381"/>
      <c r="BC88" s="382"/>
      <c r="BD88" s="381"/>
      <c r="BE88" s="382"/>
      <c r="BF88" s="381"/>
      <c r="BG88" s="382"/>
      <c r="BH88" s="381"/>
      <c r="BI88" s="382"/>
      <c r="BJ88" s="381"/>
      <c r="BK88" s="382"/>
      <c r="BL88" s="381"/>
      <c r="BM88" s="382"/>
      <c r="BN88" s="381"/>
      <c r="BO88" s="382"/>
    </row>
    <row r="89" spans="1:67" s="65" customFormat="1" ht="18" customHeight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0.39535841827657026</v>
      </c>
      <c r="H89" s="146"/>
      <c r="I89" s="147">
        <f>I86</f>
        <v>0.39535841827657026</v>
      </c>
      <c r="J89" s="146"/>
      <c r="K89" s="147">
        <f>K86</f>
        <v>0.15422073470681291</v>
      </c>
      <c r="L89" s="146"/>
      <c r="M89" s="147">
        <f>M86</f>
        <v>0.15422073470681291</v>
      </c>
      <c r="N89" s="146"/>
      <c r="O89" s="147">
        <f>O86</f>
        <v>-0.52750677247188216</v>
      </c>
      <c r="P89" s="146"/>
      <c r="Q89" s="147">
        <f>Q86</f>
        <v>-0.52750677247188216</v>
      </c>
      <c r="R89" s="146"/>
      <c r="S89" s="147">
        <f>S86</f>
        <v>-0.52750677247188216</v>
      </c>
      <c r="T89" s="146"/>
      <c r="U89" s="147">
        <f>U86</f>
        <v>0.12012683123605275</v>
      </c>
      <c r="V89" s="146"/>
      <c r="W89" s="147">
        <f>W86</f>
        <v>0.33527957214030374</v>
      </c>
      <c r="X89" s="146"/>
      <c r="Y89" s="147">
        <f>Y86</f>
        <v>0.33527957214030374</v>
      </c>
      <c r="Z89" s="146"/>
      <c r="AA89" s="147">
        <f>AA86</f>
        <v>0.47928344868669204</v>
      </c>
      <c r="AB89" s="146"/>
      <c r="AC89" s="147">
        <f>AC86</f>
        <v>1.3196771168998949</v>
      </c>
      <c r="AD89" s="146"/>
      <c r="AE89" s="147">
        <f t="shared" ref="AE89" si="620">AE86</f>
        <v>0.49913479905684111</v>
      </c>
      <c r="AF89" s="146"/>
      <c r="AG89" s="147">
        <f t="shared" ref="AG89" si="621">AG86</f>
        <v>0.32600972292979558</v>
      </c>
      <c r="AH89" s="146"/>
      <c r="AI89" s="147">
        <f t="shared" ref="AI89:AK89" si="622">AI86</f>
        <v>0.36412418254617018</v>
      </c>
      <c r="AJ89" s="146"/>
      <c r="AK89" s="147">
        <f t="shared" si="622"/>
        <v>0.32388901317551044</v>
      </c>
      <c r="AL89" s="146"/>
      <c r="AM89" s="147">
        <f t="shared" ref="AM89" si="623">AM86</f>
        <v>0.32388901317551044</v>
      </c>
      <c r="AN89" s="146"/>
      <c r="AO89" s="147">
        <f t="shared" ref="AO89" si="624">AO86</f>
        <v>0.27712093651850428</v>
      </c>
      <c r="AP89" s="146"/>
      <c r="AQ89" s="147">
        <f t="shared" ref="AQ89" si="625">AQ86</f>
        <v>0.27712093651850428</v>
      </c>
      <c r="AR89" s="146"/>
      <c r="AS89" s="147">
        <f t="shared" ref="AS89:AY89" si="626">AS86</f>
        <v>0.50183790575153053</v>
      </c>
      <c r="AT89" s="146"/>
      <c r="AU89" s="147">
        <f t="shared" si="626"/>
        <v>0.58799677841351994</v>
      </c>
      <c r="AV89" s="146"/>
      <c r="AW89" s="147">
        <f t="shared" si="626"/>
        <v>0.72838191094748217</v>
      </c>
      <c r="AX89" s="146"/>
      <c r="AY89" s="147">
        <f t="shared" si="626"/>
        <v>1.0026840218471282</v>
      </c>
      <c r="AZ89" s="146"/>
      <c r="BA89" s="147">
        <f t="shared" ref="BA89:BC89" si="627">BA86</f>
        <v>1.0071425443011643</v>
      </c>
      <c r="BB89" s="146"/>
      <c r="BC89" s="147">
        <f t="shared" si="627"/>
        <v>0.75885830595803705</v>
      </c>
      <c r="BD89" s="146"/>
      <c r="BE89" s="147">
        <f t="shared" ref="BE89:BG89" si="628">BE86</f>
        <v>0.72490142905267185</v>
      </c>
      <c r="BF89" s="146"/>
      <c r="BG89" s="147">
        <f t="shared" si="628"/>
        <v>0.69240965229794971</v>
      </c>
      <c r="BH89" s="146"/>
      <c r="BI89" s="147">
        <f t="shared" ref="BI89:BO89" si="629">BI86</f>
        <v>0.87550107960235235</v>
      </c>
      <c r="BJ89" s="146"/>
      <c r="BK89" s="147">
        <f t="shared" ref="BK89:BM89" si="630">BK86</f>
        <v>0.98127269657180016</v>
      </c>
      <c r="BL89" s="146"/>
      <c r="BM89" s="147">
        <f t="shared" si="630"/>
        <v>1.0468420941804057</v>
      </c>
      <c r="BN89" s="146"/>
      <c r="BO89" s="147">
        <f t="shared" si="629"/>
        <v>0.87550107960235235</v>
      </c>
    </row>
    <row r="90" spans="1:67" s="283" customFormat="1" ht="18" customHeight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6.5348498888689294E-2</v>
      </c>
      <c r="H90" s="381"/>
      <c r="I90" s="382">
        <f>I89/I67</f>
        <v>6.5348498888689294E-2</v>
      </c>
      <c r="J90" s="381"/>
      <c r="K90" s="1096">
        <f>K89/K67</f>
        <v>2.5491030530051723E-2</v>
      </c>
      <c r="L90" s="132"/>
      <c r="M90" s="133">
        <f>M89/M67</f>
        <v>2.5491030530051723E-2</v>
      </c>
      <c r="N90" s="381"/>
      <c r="O90" s="382">
        <f>O89/O67</f>
        <v>-8.7191202061468132E-2</v>
      </c>
      <c r="P90" s="381"/>
      <c r="Q90" s="382">
        <f>Q89/Q67</f>
        <v>-8.7191202061468132E-2</v>
      </c>
      <c r="R90" s="132"/>
      <c r="S90" s="133">
        <f>S89/S67</f>
        <v>-8.7191202061468132E-2</v>
      </c>
      <c r="T90" s="381"/>
      <c r="U90" s="382">
        <f>U89/U67</f>
        <v>1.985567458447153E-2</v>
      </c>
      <c r="V90" s="381"/>
      <c r="W90" s="382">
        <f>W89/W67</f>
        <v>5.5418111097570867E-2</v>
      </c>
      <c r="X90" s="132"/>
      <c r="Y90" s="133">
        <f>Y89/Y67</f>
        <v>5.5418111097570867E-2</v>
      </c>
      <c r="Z90" s="381"/>
      <c r="AA90" s="382">
        <f>AA89/AA67</f>
        <v>7.9220404741601996E-2</v>
      </c>
      <c r="AB90" s="381"/>
      <c r="AC90" s="382">
        <f>AC89/AC67</f>
        <v>0.2181284490743628</v>
      </c>
      <c r="AD90" s="381"/>
      <c r="AE90" s="382">
        <f t="shared" ref="AE90" si="631">AE89/AE67</f>
        <v>8.2501619678816709E-2</v>
      </c>
      <c r="AF90" s="381"/>
      <c r="AG90" s="382">
        <f t="shared" ref="AG90" si="632">AG89/AG67</f>
        <v>5.3885904616495138E-2</v>
      </c>
      <c r="AH90" s="381"/>
      <c r="AI90" s="382">
        <f t="shared" ref="AI90:AK90" si="633">AI89/AI67</f>
        <v>6.0185815296887636E-2</v>
      </c>
      <c r="AJ90" s="381"/>
      <c r="AK90" s="382">
        <f t="shared" si="633"/>
        <v>5.3535374078596772E-2</v>
      </c>
      <c r="AL90" s="381"/>
      <c r="AM90" s="382">
        <f t="shared" ref="AM90" si="634">AM89/AM67</f>
        <v>5.3535374078596772E-2</v>
      </c>
      <c r="AN90" s="381"/>
      <c r="AO90" s="382">
        <f t="shared" ref="AO90" si="635">AO89/AO67</f>
        <v>4.5805113474132943E-2</v>
      </c>
      <c r="AP90" s="381"/>
      <c r="AQ90" s="382">
        <f t="shared" ref="AQ90" si="636">AQ89/AQ67</f>
        <v>4.5805113474132943E-2</v>
      </c>
      <c r="AR90" s="381"/>
      <c r="AS90" s="382">
        <f t="shared" ref="AS90:AY90" si="637">AS89/AS67</f>
        <v>8.2948414173806703E-2</v>
      </c>
      <c r="AT90" s="381"/>
      <c r="AU90" s="382">
        <f t="shared" si="637"/>
        <v>9.7189550150995035E-2</v>
      </c>
      <c r="AV90" s="381"/>
      <c r="AW90" s="382">
        <f t="shared" si="637"/>
        <v>0.12039370428884003</v>
      </c>
      <c r="AX90" s="381"/>
      <c r="AY90" s="382">
        <f t="shared" si="637"/>
        <v>0.16042944349554053</v>
      </c>
      <c r="AZ90" s="381"/>
      <c r="BA90" s="382">
        <f t="shared" ref="BA90:BC90" si="638">BA89/BA67</f>
        <v>0.16114280708818629</v>
      </c>
      <c r="BB90" s="381"/>
      <c r="BC90" s="382">
        <f t="shared" si="638"/>
        <v>0.12141732895328593</v>
      </c>
      <c r="BD90" s="381"/>
      <c r="BE90" s="382">
        <f t="shared" ref="BE90:BG90" si="639">BE89/BE67</f>
        <v>0.1159842286484275</v>
      </c>
      <c r="BF90" s="381"/>
      <c r="BG90" s="382">
        <f t="shared" si="639"/>
        <v>0.11078554436767195</v>
      </c>
      <c r="BH90" s="381"/>
      <c r="BI90" s="382">
        <f t="shared" ref="BI90:BO90" si="640">BI89/BI67</f>
        <v>0.14008017273637638</v>
      </c>
      <c r="BJ90" s="381"/>
      <c r="BK90" s="382">
        <f t="shared" ref="BK90:BM90" si="641">BK89/BK67</f>
        <v>0.15700363145148802</v>
      </c>
      <c r="BL90" s="381"/>
      <c r="BM90" s="382">
        <f t="shared" si="641"/>
        <v>0.16749473506886492</v>
      </c>
      <c r="BN90" s="381"/>
      <c r="BO90" s="382">
        <f t="shared" si="640"/>
        <v>0.14008017273637638</v>
      </c>
    </row>
    <row r="91" spans="1:67" s="283" customFormat="1" ht="6.75" customHeight="1" x14ac:dyDescent="0.45">
      <c r="A91" s="561"/>
      <c r="B91" s="266"/>
      <c r="C91" s="131"/>
      <c r="D91" s="131"/>
      <c r="E91" s="131"/>
      <c r="F91" s="132"/>
      <c r="G91" s="133"/>
      <c r="H91" s="381"/>
      <c r="I91" s="382"/>
      <c r="J91" s="381"/>
      <c r="K91" s="382"/>
      <c r="L91" s="132"/>
      <c r="M91" s="133"/>
      <c r="N91" s="381"/>
      <c r="O91" s="382"/>
      <c r="P91" s="381"/>
      <c r="Q91" s="382"/>
      <c r="R91" s="132"/>
      <c r="S91" s="133"/>
      <c r="T91" s="381"/>
      <c r="U91" s="382"/>
      <c r="V91" s="381"/>
      <c r="W91" s="382"/>
      <c r="X91" s="132"/>
      <c r="Y91" s="133"/>
      <c r="Z91" s="381"/>
      <c r="AA91" s="382"/>
      <c r="AB91" s="381"/>
      <c r="AC91" s="382"/>
      <c r="AD91" s="381"/>
      <c r="AE91" s="382"/>
      <c r="AF91" s="381"/>
      <c r="AG91" s="382"/>
      <c r="AH91" s="381"/>
      <c r="AI91" s="382"/>
      <c r="AJ91" s="381"/>
      <c r="AK91" s="382"/>
      <c r="AL91" s="381"/>
      <c r="AM91" s="382"/>
      <c r="AN91" s="381"/>
      <c r="AO91" s="382"/>
      <c r="AP91" s="381"/>
      <c r="AQ91" s="382"/>
      <c r="AR91" s="381"/>
      <c r="AS91" s="382"/>
      <c r="AT91" s="381"/>
      <c r="AU91" s="382"/>
      <c r="AV91" s="381"/>
      <c r="AW91" s="382"/>
      <c r="AX91" s="381"/>
      <c r="AY91" s="382"/>
      <c r="AZ91" s="381"/>
      <c r="BA91" s="382"/>
      <c r="BB91" s="381"/>
      <c r="BC91" s="382"/>
      <c r="BD91" s="381"/>
      <c r="BE91" s="382"/>
      <c r="BF91" s="381"/>
      <c r="BG91" s="382"/>
      <c r="BH91" s="381"/>
      <c r="BI91" s="382"/>
      <c r="BJ91" s="381"/>
      <c r="BK91" s="382"/>
      <c r="BL91" s="381"/>
      <c r="BM91" s="382"/>
      <c r="BN91" s="381"/>
      <c r="BO91" s="382"/>
    </row>
    <row r="92" spans="1:67" s="65" customFormat="1" ht="18" customHeight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257">
        <v>0</v>
      </c>
      <c r="AZ92" s="256"/>
      <c r="BA92" s="257">
        <v>0</v>
      </c>
      <c r="BB92" s="256"/>
      <c r="BC92" s="257">
        <v>0</v>
      </c>
      <c r="BD92" s="256"/>
      <c r="BE92" s="257">
        <v>0</v>
      </c>
      <c r="BF92" s="256"/>
      <c r="BG92" s="257">
        <v>0</v>
      </c>
      <c r="BH92" s="256"/>
      <c r="BI92" s="257">
        <v>0</v>
      </c>
      <c r="BJ92" s="256"/>
      <c r="BK92" s="257">
        <v>0</v>
      </c>
      <c r="BL92" s="256"/>
      <c r="BM92" s="257">
        <v>0</v>
      </c>
      <c r="BN92" s="256"/>
      <c r="BO92" s="257">
        <v>0</v>
      </c>
    </row>
    <row r="93" spans="1:67" s="65" customFormat="1" ht="18" customHeight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0.39535841827657026</v>
      </c>
      <c r="H93" s="146"/>
      <c r="I93" s="147">
        <f>I89-I92</f>
        <v>0.39535841827657026</v>
      </c>
      <c r="J93" s="146"/>
      <c r="K93" s="147">
        <f>K89-K92</f>
        <v>0.15422073470681291</v>
      </c>
      <c r="L93" s="146"/>
      <c r="M93" s="147">
        <f>M89-M92</f>
        <v>0.15422073470681291</v>
      </c>
      <c r="N93" s="146"/>
      <c r="O93" s="147">
        <f>O89-O92</f>
        <v>-0.52750677247188216</v>
      </c>
      <c r="P93" s="146"/>
      <c r="Q93" s="147">
        <f>Q89-Q92</f>
        <v>-0.52750677247188216</v>
      </c>
      <c r="R93" s="146"/>
      <c r="S93" s="147">
        <f>S89-S92</f>
        <v>-0.52750677247188216</v>
      </c>
      <c r="T93" s="146"/>
      <c r="U93" s="147">
        <f>U89-U92</f>
        <v>0.12012683123605275</v>
      </c>
      <c r="V93" s="146"/>
      <c r="W93" s="147">
        <f>W89-W92</f>
        <v>0.33527957214030374</v>
      </c>
      <c r="X93" s="146"/>
      <c r="Y93" s="147">
        <f>Y89-Y92</f>
        <v>0.33527957214030374</v>
      </c>
      <c r="Z93" s="146"/>
      <c r="AA93" s="147">
        <f>AA89-AA92</f>
        <v>0.47928344868669204</v>
      </c>
      <c r="AB93" s="146"/>
      <c r="AC93" s="147">
        <f>AC89-AC92</f>
        <v>1.3196771168998949</v>
      </c>
      <c r="AD93" s="146"/>
      <c r="AE93" s="147">
        <f t="shared" ref="AE93" si="642">AE89-AE92</f>
        <v>0.49913479905684111</v>
      </c>
      <c r="AF93" s="146"/>
      <c r="AG93" s="147">
        <f t="shared" ref="AG93" si="643">AG89-AG92</f>
        <v>0.32600972292979558</v>
      </c>
      <c r="AH93" s="146"/>
      <c r="AI93" s="147">
        <f t="shared" ref="AI93:AK93" si="644">AI89-AI92</f>
        <v>0.36412418254617018</v>
      </c>
      <c r="AJ93" s="146"/>
      <c r="AK93" s="147">
        <f t="shared" si="644"/>
        <v>0.32388901317551044</v>
      </c>
      <c r="AL93" s="146"/>
      <c r="AM93" s="147">
        <f t="shared" ref="AM93" si="645">AM89-AM92</f>
        <v>0.32388901317551044</v>
      </c>
      <c r="AN93" s="146"/>
      <c r="AO93" s="147">
        <f t="shared" ref="AO93" si="646">AO89-AO92</f>
        <v>0.27712093651850428</v>
      </c>
      <c r="AP93" s="146"/>
      <c r="AQ93" s="147">
        <f t="shared" ref="AQ93" si="647">AQ89-AQ92</f>
        <v>0.27712093651850428</v>
      </c>
      <c r="AR93" s="146"/>
      <c r="AS93" s="147">
        <f t="shared" ref="AS93:AY93" si="648">AS89-AS92</f>
        <v>0.50183790575153053</v>
      </c>
      <c r="AT93" s="146"/>
      <c r="AU93" s="147">
        <f t="shared" si="648"/>
        <v>0.58799677841351994</v>
      </c>
      <c r="AV93" s="146"/>
      <c r="AW93" s="147">
        <f t="shared" si="648"/>
        <v>0.72838191094748217</v>
      </c>
      <c r="AX93" s="146"/>
      <c r="AY93" s="147">
        <f t="shared" si="648"/>
        <v>1.0026840218471282</v>
      </c>
      <c r="AZ93" s="146"/>
      <c r="BA93" s="147">
        <f t="shared" ref="BA93:BC93" si="649">BA89-BA92</f>
        <v>1.0071425443011643</v>
      </c>
      <c r="BB93" s="146"/>
      <c r="BC93" s="147">
        <f t="shared" si="649"/>
        <v>0.75885830595803705</v>
      </c>
      <c r="BD93" s="146"/>
      <c r="BE93" s="147">
        <f t="shared" ref="BE93:BG93" si="650">BE89-BE92</f>
        <v>0.72490142905267185</v>
      </c>
      <c r="BF93" s="146"/>
      <c r="BG93" s="147">
        <f t="shared" si="650"/>
        <v>0.69240965229794971</v>
      </c>
      <c r="BH93" s="146"/>
      <c r="BI93" s="147">
        <f t="shared" ref="BI93:BO93" si="651">BI89-BI92</f>
        <v>0.87550107960235235</v>
      </c>
      <c r="BJ93" s="146"/>
      <c r="BK93" s="147">
        <f t="shared" ref="BK93:BM93" si="652">BK89-BK92</f>
        <v>0.98127269657180016</v>
      </c>
      <c r="BL93" s="146"/>
      <c r="BM93" s="147">
        <f t="shared" si="652"/>
        <v>1.0468420941804057</v>
      </c>
      <c r="BN93" s="146"/>
      <c r="BO93" s="147">
        <f t="shared" si="651"/>
        <v>0.87550107960235235</v>
      </c>
    </row>
    <row r="94" spans="1:67" s="65" customFormat="1" ht="18" customHeight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6.5348498888689294E-2</v>
      </c>
      <c r="H94" s="381"/>
      <c r="I94" s="382">
        <f>I93/I67</f>
        <v>6.5348498888689294E-2</v>
      </c>
      <c r="J94" s="381"/>
      <c r="K94" s="382">
        <f>K93/K67</f>
        <v>2.5491030530051723E-2</v>
      </c>
      <c r="L94" s="132"/>
      <c r="M94" s="133">
        <f>M93/M67</f>
        <v>2.5491030530051723E-2</v>
      </c>
      <c r="N94" s="381"/>
      <c r="O94" s="382">
        <f>O93/O67</f>
        <v>-8.7191202061468132E-2</v>
      </c>
      <c r="P94" s="381"/>
      <c r="Q94" s="382">
        <f>Q93/Q67</f>
        <v>-8.7191202061468132E-2</v>
      </c>
      <c r="R94" s="132"/>
      <c r="S94" s="133">
        <f>S93/S67</f>
        <v>-8.7191202061468132E-2</v>
      </c>
      <c r="T94" s="381"/>
      <c r="U94" s="382">
        <f>U93/U67</f>
        <v>1.985567458447153E-2</v>
      </c>
      <c r="V94" s="381"/>
      <c r="W94" s="382">
        <f>W93/W67</f>
        <v>5.5418111097570867E-2</v>
      </c>
      <c r="X94" s="132"/>
      <c r="Y94" s="133">
        <f>Y93/Y67</f>
        <v>5.5418111097570867E-2</v>
      </c>
      <c r="Z94" s="381"/>
      <c r="AA94" s="382">
        <f>AA93/AA67</f>
        <v>7.9220404741601996E-2</v>
      </c>
      <c r="AB94" s="381"/>
      <c r="AC94" s="382">
        <f>AC93/AC67</f>
        <v>0.2181284490743628</v>
      </c>
      <c r="AD94" s="381"/>
      <c r="AE94" s="382">
        <f t="shared" ref="AE94" si="653">AE93/AE67</f>
        <v>8.2501619678816709E-2</v>
      </c>
      <c r="AF94" s="381"/>
      <c r="AG94" s="382">
        <f t="shared" ref="AG94" si="654">AG93/AG67</f>
        <v>5.3885904616495138E-2</v>
      </c>
      <c r="AH94" s="381"/>
      <c r="AI94" s="382">
        <f t="shared" ref="AI94:AK94" si="655">AI93/AI67</f>
        <v>6.0185815296887636E-2</v>
      </c>
      <c r="AJ94" s="381"/>
      <c r="AK94" s="382">
        <f t="shared" si="655"/>
        <v>5.3535374078596772E-2</v>
      </c>
      <c r="AL94" s="381"/>
      <c r="AM94" s="382">
        <f t="shared" ref="AM94" si="656">AM93/AM67</f>
        <v>5.3535374078596772E-2</v>
      </c>
      <c r="AN94" s="381"/>
      <c r="AO94" s="382">
        <f t="shared" ref="AO94" si="657">AO93/AO67</f>
        <v>4.5805113474132943E-2</v>
      </c>
      <c r="AP94" s="381"/>
      <c r="AQ94" s="382">
        <f t="shared" ref="AQ94" si="658">AQ93/AQ67</f>
        <v>4.5805113474132943E-2</v>
      </c>
      <c r="AR94" s="381"/>
      <c r="AS94" s="382">
        <f t="shared" ref="AS94:AY94" si="659">AS93/AS67</f>
        <v>8.2948414173806703E-2</v>
      </c>
      <c r="AT94" s="381"/>
      <c r="AU94" s="382">
        <f t="shared" si="659"/>
        <v>9.7189550150995035E-2</v>
      </c>
      <c r="AV94" s="381"/>
      <c r="AW94" s="382">
        <f t="shared" si="659"/>
        <v>0.12039370428884003</v>
      </c>
      <c r="AX94" s="381"/>
      <c r="AY94" s="382">
        <f t="shared" si="659"/>
        <v>0.16042944349554053</v>
      </c>
      <c r="AZ94" s="381"/>
      <c r="BA94" s="382">
        <f t="shared" ref="BA94:BC94" si="660">BA93/BA67</f>
        <v>0.16114280708818629</v>
      </c>
      <c r="BB94" s="381"/>
      <c r="BC94" s="382">
        <f t="shared" si="660"/>
        <v>0.12141732895328593</v>
      </c>
      <c r="BD94" s="381"/>
      <c r="BE94" s="382">
        <f t="shared" ref="BE94:BG94" si="661">BE93/BE67</f>
        <v>0.1159842286484275</v>
      </c>
      <c r="BF94" s="381"/>
      <c r="BG94" s="382">
        <f t="shared" si="661"/>
        <v>0.11078554436767195</v>
      </c>
      <c r="BH94" s="381"/>
      <c r="BI94" s="382">
        <f t="shared" ref="BI94:BO94" si="662">BI93/BI67</f>
        <v>0.14008017273637638</v>
      </c>
      <c r="BJ94" s="381"/>
      <c r="BK94" s="382">
        <f t="shared" ref="BK94:BM94" si="663">BK93/BK67</f>
        <v>0.15700363145148802</v>
      </c>
      <c r="BL94" s="381"/>
      <c r="BM94" s="382">
        <f t="shared" si="663"/>
        <v>0.16749473506886492</v>
      </c>
      <c r="BN94" s="381"/>
      <c r="BO94" s="382">
        <f t="shared" si="662"/>
        <v>0.14008017273637638</v>
      </c>
    </row>
    <row r="95" spans="1:67" s="65" customFormat="1" ht="6.75" customHeight="1" x14ac:dyDescent="0.45">
      <c r="A95" s="561"/>
      <c r="B95" s="266"/>
      <c r="C95" s="131"/>
      <c r="D95" s="131"/>
      <c r="E95" s="131"/>
      <c r="F95" s="132"/>
      <c r="G95" s="133"/>
      <c r="H95" s="381"/>
      <c r="I95" s="382"/>
      <c r="J95" s="381"/>
      <c r="K95" s="382"/>
      <c r="L95" s="132"/>
      <c r="M95" s="133"/>
      <c r="N95" s="381"/>
      <c r="O95" s="382"/>
      <c r="P95" s="381"/>
      <c r="Q95" s="382"/>
      <c r="R95" s="132"/>
      <c r="S95" s="133"/>
      <c r="T95" s="381"/>
      <c r="U95" s="382"/>
      <c r="V95" s="381"/>
      <c r="W95" s="382"/>
      <c r="X95" s="132"/>
      <c r="Y95" s="133"/>
      <c r="Z95" s="381"/>
      <c r="AA95" s="382"/>
      <c r="AB95" s="381"/>
      <c r="AC95" s="382"/>
      <c r="AD95" s="381"/>
      <c r="AE95" s="382"/>
      <c r="AF95" s="381"/>
      <c r="AG95" s="382"/>
      <c r="AH95" s="381"/>
      <c r="AI95" s="382"/>
      <c r="AJ95" s="381"/>
      <c r="AK95" s="382"/>
      <c r="AL95" s="381"/>
      <c r="AM95" s="382"/>
      <c r="AN95" s="381"/>
      <c r="AO95" s="382"/>
      <c r="AP95" s="381"/>
      <c r="AQ95" s="382"/>
      <c r="AR95" s="381"/>
      <c r="AS95" s="382"/>
      <c r="AT95" s="381"/>
      <c r="AU95" s="382"/>
      <c r="AV95" s="381"/>
      <c r="AW95" s="382"/>
      <c r="AX95" s="381"/>
      <c r="AY95" s="382"/>
      <c r="AZ95" s="381"/>
      <c r="BA95" s="382"/>
      <c r="BB95" s="381"/>
      <c r="BC95" s="382"/>
      <c r="BD95" s="381"/>
      <c r="BE95" s="382"/>
      <c r="BF95" s="381"/>
      <c r="BG95" s="382"/>
      <c r="BH95" s="381"/>
      <c r="BI95" s="382"/>
      <c r="BJ95" s="381"/>
      <c r="BK95" s="382"/>
      <c r="BL95" s="381"/>
      <c r="BM95" s="382"/>
      <c r="BN95" s="381"/>
      <c r="BO95" s="382"/>
    </row>
    <row r="96" spans="1:67" s="65" customFormat="1" ht="18" customHeight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-0.23321950698964894</v>
      </c>
      <c r="H96" s="381"/>
      <c r="I96" s="383">
        <f>(I136-I135)/I66</f>
        <v>-0.23321950698964894</v>
      </c>
      <c r="J96" s="381"/>
      <c r="K96" s="383">
        <f>(K136-K135)/K66</f>
        <v>-0.13169642857142858</v>
      </c>
      <c r="L96" s="132"/>
      <c r="M96" s="383">
        <f>(M136-M135)/M66</f>
        <v>-0.13169642857142858</v>
      </c>
      <c r="N96" s="381"/>
      <c r="O96" s="383">
        <f>(O136-O135)/O66</f>
        <v>-0.1709870388833499</v>
      </c>
      <c r="P96" s="381"/>
      <c r="Q96" s="383">
        <f>(Q136-Q135)/Q66</f>
        <v>-0.1709870388833499</v>
      </c>
      <c r="R96" s="132"/>
      <c r="S96" s="383">
        <f>(S136-S135)/S66</f>
        <v>-0.1709870388833499</v>
      </c>
      <c r="T96" s="381"/>
      <c r="U96" s="383">
        <f>(U136-U135)/U66</f>
        <v>-0.20520181057714471</v>
      </c>
      <c r="V96" s="381"/>
      <c r="W96" s="383">
        <f>(W136-W135)/W66</f>
        <v>-0.2730764547434088</v>
      </c>
      <c r="X96" s="132"/>
      <c r="Y96" s="383">
        <f>(Y136-Y135)/Y66</f>
        <v>-0.2730764547434088</v>
      </c>
      <c r="Z96" s="381"/>
      <c r="AA96" s="383">
        <f>(AA136-AA135)/AA66</f>
        <v>-0.34224257318278728</v>
      </c>
      <c r="AB96" s="381"/>
      <c r="AC96" s="383">
        <f>(AC136-AC135)/AC66</f>
        <v>-0.38090716593392443</v>
      </c>
      <c r="AD96" s="381"/>
      <c r="AE96" s="383">
        <f t="shared" ref="AE96" si="664">(AE136-AE135)/AE66</f>
        <v>-0.41597332418555061</v>
      </c>
      <c r="AF96" s="381"/>
      <c r="AG96" s="383">
        <f t="shared" ref="AG96" si="665">(AG136-AG135)/AG66</f>
        <v>-0.38824746794936288</v>
      </c>
      <c r="AH96" s="381"/>
      <c r="AI96" s="383">
        <f t="shared" ref="AI96:AK96" si="666">(AI136-AI135)/AI66</f>
        <v>-0.4229587721704593</v>
      </c>
      <c r="AJ96" s="381"/>
      <c r="AK96" s="383">
        <f t="shared" si="666"/>
        <v>-0.4229587721704593</v>
      </c>
      <c r="AL96" s="381"/>
      <c r="AM96" s="383">
        <f t="shared" ref="AM96" si="667">(AM136-AM135)/AM66</f>
        <v>-0.4229587721704593</v>
      </c>
      <c r="AN96" s="381"/>
      <c r="AO96" s="383">
        <f t="shared" ref="AO96" si="668">(AO136-AO135)/AO66</f>
        <v>-0.4229587721704593</v>
      </c>
      <c r="AP96" s="381"/>
      <c r="AQ96" s="383">
        <f t="shared" ref="AQ96" si="669">(AQ136-AQ135)/AQ66</f>
        <v>-0.4229587721704593</v>
      </c>
      <c r="AR96" s="381"/>
      <c r="AS96" s="383">
        <f t="shared" ref="AS96:AY96" si="670">(AS136-AS135)/AS66</f>
        <v>-0.45624999999999999</v>
      </c>
      <c r="AT96" s="381"/>
      <c r="AU96" s="383">
        <f t="shared" si="670"/>
        <v>-0.46124999999999999</v>
      </c>
      <c r="AV96" s="381"/>
      <c r="AW96" s="383">
        <f t="shared" si="670"/>
        <v>-0.47499999999999998</v>
      </c>
      <c r="AX96" s="381"/>
      <c r="AY96" s="383">
        <f t="shared" si="670"/>
        <v>-0.28749999999999998</v>
      </c>
      <c r="AZ96" s="381"/>
      <c r="BA96" s="383">
        <f t="shared" ref="BA96:BC96" si="671">(BA136-BA135)/BA66</f>
        <v>-0.28958333333333336</v>
      </c>
      <c r="BB96" s="381"/>
      <c r="BC96" s="383">
        <f t="shared" si="671"/>
        <v>-0.28083333333333332</v>
      </c>
      <c r="BD96" s="381"/>
      <c r="BE96" s="383">
        <f t="shared" ref="BE96:BG96" si="672">(BE136-BE135)/BE66</f>
        <v>-0.29208333333333331</v>
      </c>
      <c r="BF96" s="381"/>
      <c r="BG96" s="383">
        <f t="shared" si="672"/>
        <v>-0.3075</v>
      </c>
      <c r="BH96" s="381"/>
      <c r="BI96" s="383">
        <f t="shared" ref="BI96:BO96" si="673">(BI136-BI135)/BI66</f>
        <v>-0.27512500000000001</v>
      </c>
      <c r="BJ96" s="381"/>
      <c r="BK96" s="383">
        <f t="shared" ref="BK96:BM96" si="674">(BK136-BK135)/BK66</f>
        <v>-0.28676801801801799</v>
      </c>
      <c r="BL96" s="381"/>
      <c r="BM96" s="383">
        <f t="shared" si="674"/>
        <v>-0.30625000000000002</v>
      </c>
      <c r="BN96" s="381"/>
      <c r="BO96" s="383">
        <f t="shared" si="673"/>
        <v>-0.22916666666666666</v>
      </c>
    </row>
    <row r="97" spans="1:67" s="65" customFormat="1" ht="6.75" customHeight="1" x14ac:dyDescent="0.45">
      <c r="A97" s="561"/>
      <c r="B97" s="266"/>
      <c r="C97" s="131"/>
      <c r="D97" s="131"/>
      <c r="E97" s="131"/>
      <c r="F97" s="132"/>
      <c r="G97" s="133"/>
      <c r="H97" s="381"/>
      <c r="I97" s="382"/>
      <c r="J97" s="381"/>
      <c r="K97" s="382"/>
      <c r="L97" s="132"/>
      <c r="M97" s="133"/>
      <c r="N97" s="381"/>
      <c r="O97" s="382"/>
      <c r="P97" s="381"/>
      <c r="Q97" s="382"/>
      <c r="R97" s="132"/>
      <c r="S97" s="133"/>
      <c r="T97" s="381"/>
      <c r="U97" s="382"/>
      <c r="V97" s="381"/>
      <c r="W97" s="382"/>
      <c r="X97" s="132"/>
      <c r="Y97" s="133"/>
      <c r="Z97" s="381"/>
      <c r="AA97" s="382"/>
      <c r="AB97" s="381"/>
      <c r="AC97" s="382"/>
      <c r="AD97" s="381"/>
      <c r="AE97" s="382"/>
      <c r="AF97" s="381"/>
      <c r="AG97" s="382"/>
      <c r="AH97" s="381"/>
      <c r="AI97" s="382"/>
      <c r="AJ97" s="381"/>
      <c r="AK97" s="382"/>
      <c r="AL97" s="381"/>
      <c r="AM97" s="382"/>
      <c r="AN97" s="381"/>
      <c r="AO97" s="382"/>
      <c r="AP97" s="381"/>
      <c r="AQ97" s="382"/>
      <c r="AR97" s="381"/>
      <c r="AS97" s="382"/>
      <c r="AT97" s="381"/>
      <c r="AU97" s="382"/>
      <c r="AV97" s="381"/>
      <c r="AW97" s="382"/>
      <c r="AX97" s="381"/>
      <c r="AY97" s="382"/>
      <c r="AZ97" s="381"/>
      <c r="BA97" s="382"/>
      <c r="BB97" s="381"/>
      <c r="BC97" s="382"/>
      <c r="BD97" s="381"/>
      <c r="BE97" s="382"/>
      <c r="BF97" s="381"/>
      <c r="BG97" s="382"/>
      <c r="BH97" s="381"/>
      <c r="BI97" s="382"/>
      <c r="BJ97" s="381"/>
      <c r="BK97" s="382"/>
      <c r="BL97" s="381"/>
      <c r="BM97" s="382"/>
      <c r="BN97" s="381"/>
      <c r="BO97" s="382"/>
    </row>
    <row r="98" spans="1:67" s="65" customFormat="1" ht="18" customHeight="1" x14ac:dyDescent="0.45">
      <c r="A98" s="561"/>
      <c r="B98" s="266"/>
      <c r="C98" s="154" t="s">
        <v>95</v>
      </c>
      <c r="D98" s="154"/>
      <c r="E98" s="154" t="s">
        <v>77</v>
      </c>
      <c r="F98" s="155"/>
      <c r="G98" s="590">
        <f>G93-G96</f>
        <v>0.62857792526621914</v>
      </c>
      <c r="H98" s="591"/>
      <c r="I98" s="590">
        <f>I93-I96</f>
        <v>0.62857792526621914</v>
      </c>
      <c r="J98" s="591"/>
      <c r="K98" s="590">
        <f>K93-K96</f>
        <v>0.28591716327824146</v>
      </c>
      <c r="L98" s="591"/>
      <c r="M98" s="590">
        <f>M93-M96</f>
        <v>0.28591716327824146</v>
      </c>
      <c r="N98" s="591"/>
      <c r="O98" s="590">
        <f>O93-O96</f>
        <v>-0.35651973358853228</v>
      </c>
      <c r="P98" s="591"/>
      <c r="Q98" s="590">
        <f>Q93-Q96</f>
        <v>-0.35651973358853228</v>
      </c>
      <c r="R98" s="591"/>
      <c r="S98" s="590">
        <f>S93-S96</f>
        <v>-0.35651973358853228</v>
      </c>
      <c r="T98" s="591"/>
      <c r="U98" s="590">
        <f>U93-U96</f>
        <v>0.32532864181319743</v>
      </c>
      <c r="V98" s="591"/>
      <c r="W98" s="590">
        <f>W93-W96</f>
        <v>0.60835602688371249</v>
      </c>
      <c r="X98" s="591"/>
      <c r="Y98" s="590">
        <f>Y93-Y96</f>
        <v>0.60835602688371249</v>
      </c>
      <c r="Z98" s="591"/>
      <c r="AA98" s="590">
        <f>AA93-AA96</f>
        <v>0.82152602186947932</v>
      </c>
      <c r="AB98" s="591"/>
      <c r="AC98" s="590">
        <f>AC93-AC96</f>
        <v>1.7005842828338193</v>
      </c>
      <c r="AD98" s="591"/>
      <c r="AE98" s="590">
        <f t="shared" ref="AE98" si="675">AE93-AE96</f>
        <v>0.91510812324239166</v>
      </c>
      <c r="AF98" s="591"/>
      <c r="AG98" s="590">
        <f t="shared" ref="AG98" si="676">AG93-AG96</f>
        <v>0.7142571908791584</v>
      </c>
      <c r="AH98" s="591"/>
      <c r="AI98" s="590">
        <f t="shared" ref="AI98:AK98" si="677">AI93-AI96</f>
        <v>0.78708295471662948</v>
      </c>
      <c r="AJ98" s="591"/>
      <c r="AK98" s="590">
        <f t="shared" si="677"/>
        <v>0.74684778534596974</v>
      </c>
      <c r="AL98" s="591"/>
      <c r="AM98" s="590">
        <f t="shared" ref="AM98" si="678">AM93-AM96</f>
        <v>0.74684778534596974</v>
      </c>
      <c r="AN98" s="591"/>
      <c r="AO98" s="590">
        <f t="shared" ref="AO98" si="679">AO93-AO96</f>
        <v>0.70007970868896363</v>
      </c>
      <c r="AP98" s="591"/>
      <c r="AQ98" s="590">
        <f t="shared" ref="AQ98" si="680">AQ93-AQ96</f>
        <v>0.70007970868896363</v>
      </c>
      <c r="AR98" s="591"/>
      <c r="AS98" s="590">
        <f t="shared" ref="AS98:AY98" si="681">AS93-AS96</f>
        <v>0.95808790575153058</v>
      </c>
      <c r="AT98" s="591"/>
      <c r="AU98" s="590">
        <f t="shared" si="681"/>
        <v>1.04924677841352</v>
      </c>
      <c r="AV98" s="591"/>
      <c r="AW98" s="590">
        <f t="shared" si="681"/>
        <v>1.2033819109474821</v>
      </c>
      <c r="AX98" s="591"/>
      <c r="AY98" s="590">
        <f t="shared" si="681"/>
        <v>1.2901840218471281</v>
      </c>
      <c r="AZ98" s="591"/>
      <c r="BA98" s="590">
        <f t="shared" ref="BA98:BC98" si="682">BA93-BA96</f>
        <v>1.2967258776344976</v>
      </c>
      <c r="BB98" s="591"/>
      <c r="BC98" s="590">
        <f t="shared" si="682"/>
        <v>1.0396916392913704</v>
      </c>
      <c r="BD98" s="591"/>
      <c r="BE98" s="590">
        <f t="shared" ref="BE98:BG98" si="683">BE93-BE96</f>
        <v>1.0169847623860051</v>
      </c>
      <c r="BF98" s="591"/>
      <c r="BG98" s="590">
        <f t="shared" si="683"/>
        <v>0.9999096522979497</v>
      </c>
      <c r="BH98" s="591"/>
      <c r="BI98" s="590">
        <f t="shared" ref="BI98:BO98" si="684">BI93-BI96</f>
        <v>1.1506260796023524</v>
      </c>
      <c r="BJ98" s="591"/>
      <c r="BK98" s="590">
        <f t="shared" ref="BK98:BM98" si="685">BK93-BK96</f>
        <v>1.268040714589818</v>
      </c>
      <c r="BL98" s="591"/>
      <c r="BM98" s="590">
        <f t="shared" si="685"/>
        <v>1.3530920941804059</v>
      </c>
      <c r="BN98" s="591"/>
      <c r="BO98" s="590">
        <f t="shared" si="684"/>
        <v>1.1046677462690191</v>
      </c>
    </row>
    <row r="99" spans="1:67" s="65" customFormat="1" ht="18" customHeight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0.10389717772995358</v>
      </c>
      <c r="H99" s="159"/>
      <c r="I99" s="1097">
        <f>I98/I67</f>
        <v>0.10389717772995358</v>
      </c>
      <c r="J99" s="159"/>
      <c r="K99" s="1097">
        <f>K98/K67</f>
        <v>4.7259035252601896E-2</v>
      </c>
      <c r="L99" s="159"/>
      <c r="M99" s="1097">
        <f>M98/M67</f>
        <v>4.7259035252601896E-2</v>
      </c>
      <c r="N99" s="159"/>
      <c r="O99" s="1097">
        <f>O98/O67</f>
        <v>-5.8928881584881368E-2</v>
      </c>
      <c r="P99" s="159"/>
      <c r="Q99" s="1097">
        <f>Q98/Q67</f>
        <v>-5.8928881584881368E-2</v>
      </c>
      <c r="R99" s="159"/>
      <c r="S99" s="1097">
        <f>S98/S67</f>
        <v>-5.8928881584881368E-2</v>
      </c>
      <c r="T99" s="159"/>
      <c r="U99" s="1097">
        <f>U98/U67</f>
        <v>5.3773329225321888E-2</v>
      </c>
      <c r="V99" s="159"/>
      <c r="W99" s="1097">
        <f>W98/W67</f>
        <v>0.10055471518739049</v>
      </c>
      <c r="X99" s="159"/>
      <c r="Y99" s="1097">
        <f>Y98/Y67</f>
        <v>0.10055471518739049</v>
      </c>
      <c r="Z99" s="159"/>
      <c r="AA99" s="1097">
        <f>AA98/AA67</f>
        <v>0.13578942510239328</v>
      </c>
      <c r="AB99" s="159"/>
      <c r="AC99" s="1097">
        <f>AC98/AC67</f>
        <v>0.28108831121220157</v>
      </c>
      <c r="AD99" s="159"/>
      <c r="AE99" s="1097">
        <f t="shared" ref="AE99" si="686">AE98/AE67</f>
        <v>0.15125754103180028</v>
      </c>
      <c r="AF99" s="159"/>
      <c r="AG99" s="1097">
        <f t="shared" ref="AG99" si="687">AG98/AG67</f>
        <v>0.11805903981473694</v>
      </c>
      <c r="AH99" s="159"/>
      <c r="AI99" s="1097">
        <f t="shared" ref="AI99:AK99" si="688">AI98/AI67</f>
        <v>0.130096356151509</v>
      </c>
      <c r="AJ99" s="159"/>
      <c r="AK99" s="1097">
        <f t="shared" si="688"/>
        <v>0.12344591493321815</v>
      </c>
      <c r="AL99" s="159"/>
      <c r="AM99" s="1097">
        <f t="shared" ref="AM99" si="689">AM98/AM67</f>
        <v>0.12344591493321815</v>
      </c>
      <c r="AN99" s="159"/>
      <c r="AO99" s="1097">
        <f t="shared" ref="AO99" si="690">AO98/AO67</f>
        <v>0.11571565432875432</v>
      </c>
      <c r="AP99" s="159"/>
      <c r="AQ99" s="1097">
        <f t="shared" ref="AQ99" si="691">AQ98/AQ67</f>
        <v>0.11571565432875432</v>
      </c>
      <c r="AR99" s="159"/>
      <c r="AS99" s="1097">
        <f t="shared" ref="AS99:AY99" si="692">AS98/AS67</f>
        <v>0.15836163731430258</v>
      </c>
      <c r="AT99" s="159"/>
      <c r="AU99" s="1097">
        <f t="shared" si="692"/>
        <v>0.17342921957248264</v>
      </c>
      <c r="AV99" s="159"/>
      <c r="AW99" s="1097">
        <f t="shared" si="692"/>
        <v>0.19890610098305492</v>
      </c>
      <c r="AX99" s="159"/>
      <c r="AY99" s="1097">
        <f t="shared" si="692"/>
        <v>0.20642944349554049</v>
      </c>
      <c r="AZ99" s="159"/>
      <c r="BA99" s="1097">
        <f t="shared" ref="BA99:BC99" si="693">BA98/BA67</f>
        <v>0.20747614042151963</v>
      </c>
      <c r="BB99" s="159"/>
      <c r="BC99" s="1097">
        <f t="shared" si="693"/>
        <v>0.16635066228661927</v>
      </c>
      <c r="BD99" s="159"/>
      <c r="BE99" s="1097">
        <f t="shared" ref="BE99:BG99" si="694">BE98/BE67</f>
        <v>0.16271756198176082</v>
      </c>
      <c r="BF99" s="159"/>
      <c r="BG99" s="1097">
        <f t="shared" si="694"/>
        <v>0.15998554436767196</v>
      </c>
      <c r="BH99" s="159"/>
      <c r="BI99" s="1097">
        <f t="shared" ref="BI99:BO99" si="695">BI98/BI67</f>
        <v>0.18410017273637638</v>
      </c>
      <c r="BJ99" s="159"/>
      <c r="BK99" s="1097">
        <f t="shared" ref="BK99:BM99" si="696">BK98/BK67</f>
        <v>0.20288651433437088</v>
      </c>
      <c r="BL99" s="159"/>
      <c r="BM99" s="1097">
        <f t="shared" si="696"/>
        <v>0.21649473506886494</v>
      </c>
      <c r="BN99" s="159"/>
      <c r="BO99" s="1097">
        <f t="shared" si="695"/>
        <v>0.17674683940304306</v>
      </c>
    </row>
    <row r="100" spans="1:67" s="4" customFormat="1" ht="18" customHeight="1" outlineLevel="1" thickTop="1" x14ac:dyDescent="0.4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  <c r="BB100" s="251"/>
      <c r="BC100" s="167">
        <v>620</v>
      </c>
      <c r="BD100" s="251"/>
      <c r="BE100" s="167">
        <v>620</v>
      </c>
      <c r="BF100" s="251"/>
      <c r="BG100" s="167">
        <v>620</v>
      </c>
      <c r="BH100" s="251"/>
      <c r="BI100" s="167">
        <v>620</v>
      </c>
      <c r="BJ100" s="251"/>
      <c r="BK100" s="167">
        <v>620</v>
      </c>
      <c r="BL100" s="251"/>
      <c r="BM100" s="167">
        <v>620</v>
      </c>
      <c r="BN100" s="251"/>
      <c r="BO100" s="167">
        <v>620</v>
      </c>
    </row>
    <row r="101" spans="1:67" s="4" customFormat="1" ht="18" customHeight="1" outlineLevel="1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  <c r="BB101" s="164"/>
      <c r="BC101" s="168">
        <v>1150</v>
      </c>
      <c r="BD101" s="164"/>
      <c r="BE101" s="168">
        <v>1150</v>
      </c>
      <c r="BF101" s="164"/>
      <c r="BG101" s="168">
        <v>1150</v>
      </c>
      <c r="BH101" s="164"/>
      <c r="BI101" s="168">
        <v>1150</v>
      </c>
      <c r="BJ101" s="164"/>
      <c r="BK101" s="168">
        <v>1150</v>
      </c>
      <c r="BL101" s="164"/>
      <c r="BM101" s="168">
        <v>1150</v>
      </c>
      <c r="BN101" s="164"/>
      <c r="BO101" s="168">
        <v>1150</v>
      </c>
    </row>
    <row r="102" spans="1:67" s="4" customFormat="1" ht="18" customHeight="1" outlineLevel="1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  <c r="BB102" s="164"/>
      <c r="BC102" s="168">
        <v>750</v>
      </c>
      <c r="BD102" s="164"/>
      <c r="BE102" s="168">
        <v>750</v>
      </c>
      <c r="BF102" s="164"/>
      <c r="BG102" s="168">
        <v>750</v>
      </c>
      <c r="BH102" s="164"/>
      <c r="BI102" s="168">
        <v>750</v>
      </c>
      <c r="BJ102" s="164"/>
      <c r="BK102" s="168">
        <v>750</v>
      </c>
      <c r="BL102" s="164"/>
      <c r="BM102" s="168">
        <v>750</v>
      </c>
      <c r="BN102" s="164"/>
      <c r="BO102" s="168">
        <v>750</v>
      </c>
    </row>
    <row r="103" spans="1:67" s="4" customFormat="1" ht="18" customHeight="1" outlineLevel="1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  <c r="BB103" s="164"/>
      <c r="BC103" s="171"/>
      <c r="BD103" s="164"/>
      <c r="BE103" s="171"/>
      <c r="BF103" s="164"/>
      <c r="BG103" s="171"/>
      <c r="BH103" s="164"/>
      <c r="BI103" s="171"/>
      <c r="BJ103" s="164"/>
      <c r="BK103" s="171"/>
      <c r="BL103" s="164"/>
      <c r="BM103" s="171"/>
      <c r="BN103" s="164"/>
      <c r="BO103" s="171"/>
    </row>
    <row r="104" spans="1:67" s="4" customFormat="1" ht="18" customHeight="1" outlineLevel="1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>I101-I100</f>
        <v>530</v>
      </c>
      <c r="J104" s="173"/>
      <c r="K104" s="165">
        <f>K101-K100</f>
        <v>530</v>
      </c>
      <c r="L104" s="173"/>
      <c r="M104" s="165">
        <f>M101-M100</f>
        <v>530</v>
      </c>
      <c r="N104" s="173"/>
      <c r="O104" s="165">
        <f>O101-O100</f>
        <v>530</v>
      </c>
      <c r="P104" s="173"/>
      <c r="Q104" s="165">
        <f>Q101-Q100</f>
        <v>530</v>
      </c>
      <c r="R104" s="173"/>
      <c r="S104" s="165">
        <f>S101-S100</f>
        <v>530</v>
      </c>
      <c r="T104" s="173"/>
      <c r="U104" s="165">
        <f>U101-U100</f>
        <v>530</v>
      </c>
      <c r="V104" s="173"/>
      <c r="W104" s="165">
        <f>W101-W100</f>
        <v>530</v>
      </c>
      <c r="X104" s="173"/>
      <c r="Y104" s="165">
        <f>Y101-Y100</f>
        <v>530</v>
      </c>
      <c r="Z104" s="173"/>
      <c r="AA104" s="165">
        <f>AA101-AA100</f>
        <v>530</v>
      </c>
      <c r="AB104" s="173"/>
      <c r="AC104" s="165">
        <f>AC101-AC100</f>
        <v>530</v>
      </c>
      <c r="AD104" s="173"/>
      <c r="AE104" s="165">
        <f t="shared" ref="AE104" si="697">AE101-AE100</f>
        <v>530</v>
      </c>
      <c r="AF104" s="173"/>
      <c r="AG104" s="165">
        <f t="shared" ref="AG104" si="698">AG101-AG100</f>
        <v>530</v>
      </c>
      <c r="AH104" s="173"/>
      <c r="AI104" s="165">
        <f t="shared" ref="AI104:AK104" si="699">AI101-AI100</f>
        <v>530</v>
      </c>
      <c r="AJ104" s="173"/>
      <c r="AK104" s="165">
        <f t="shared" si="699"/>
        <v>530</v>
      </c>
      <c r="AL104" s="173"/>
      <c r="AM104" s="165">
        <f t="shared" ref="AM104" si="700">AM101-AM100</f>
        <v>530</v>
      </c>
      <c r="AN104" s="173"/>
      <c r="AO104" s="165">
        <f t="shared" ref="AO104" si="701">AO101-AO100</f>
        <v>530</v>
      </c>
      <c r="AP104" s="173"/>
      <c r="AQ104" s="165">
        <f t="shared" ref="AQ104" si="702">AQ101-AQ100</f>
        <v>530</v>
      </c>
      <c r="AR104" s="173"/>
      <c r="AS104" s="165">
        <f t="shared" ref="AS104:AY104" si="703">AS101-AS100</f>
        <v>530</v>
      </c>
      <c r="AT104" s="173"/>
      <c r="AU104" s="165">
        <f t="shared" si="703"/>
        <v>530</v>
      </c>
      <c r="AV104" s="173"/>
      <c r="AW104" s="165">
        <f t="shared" si="703"/>
        <v>530</v>
      </c>
      <c r="AX104" s="173"/>
      <c r="AY104" s="165">
        <f t="shared" si="703"/>
        <v>530</v>
      </c>
      <c r="AZ104" s="173"/>
      <c r="BA104" s="165">
        <f t="shared" ref="BA104:BC104" si="704">BA101-BA100</f>
        <v>530</v>
      </c>
      <c r="BB104" s="173"/>
      <c r="BC104" s="165">
        <f t="shared" si="704"/>
        <v>530</v>
      </c>
      <c r="BD104" s="173"/>
      <c r="BE104" s="165">
        <f t="shared" ref="BE104:BG104" si="705">BE101-BE100</f>
        <v>530</v>
      </c>
      <c r="BF104" s="173"/>
      <c r="BG104" s="165">
        <f t="shared" si="705"/>
        <v>530</v>
      </c>
      <c r="BH104" s="173"/>
      <c r="BI104" s="165">
        <f t="shared" ref="BI104:BO104" si="706">BI101-BI100</f>
        <v>530</v>
      </c>
      <c r="BJ104" s="173"/>
      <c r="BK104" s="165">
        <f t="shared" ref="BK104:BM104" si="707">BK101-BK100</f>
        <v>530</v>
      </c>
      <c r="BL104" s="173"/>
      <c r="BM104" s="165">
        <f t="shared" si="707"/>
        <v>530</v>
      </c>
      <c r="BN104" s="173"/>
      <c r="BO104" s="165">
        <f t="shared" si="706"/>
        <v>530</v>
      </c>
    </row>
    <row r="105" spans="1:67" s="97" customFormat="1" ht="18" customHeight="1" outlineLevel="1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0.22083333333333333</v>
      </c>
      <c r="H105" s="177"/>
      <c r="I105" s="178">
        <f>I104/I66</f>
        <v>0.22083333333333333</v>
      </c>
      <c r="J105" s="177"/>
      <c r="K105" s="178">
        <f>K104/K66</f>
        <v>0.22083333333333333</v>
      </c>
      <c r="L105" s="177"/>
      <c r="M105" s="178">
        <f>M104/M66</f>
        <v>0.22083333333333333</v>
      </c>
      <c r="N105" s="177"/>
      <c r="O105" s="178">
        <f>O104/O66</f>
        <v>0.22083333333333333</v>
      </c>
      <c r="P105" s="177"/>
      <c r="Q105" s="178">
        <f>Q104/Q66</f>
        <v>0.22083333333333333</v>
      </c>
      <c r="R105" s="177"/>
      <c r="S105" s="178">
        <f>S104/S66</f>
        <v>0.22083333333333333</v>
      </c>
      <c r="T105" s="177"/>
      <c r="U105" s="178">
        <f>U104/U66</f>
        <v>0.22083333333333333</v>
      </c>
      <c r="V105" s="177"/>
      <c r="W105" s="178">
        <f>W104/W66</f>
        <v>0.22083333333333333</v>
      </c>
      <c r="X105" s="177"/>
      <c r="Y105" s="178">
        <f>Y104/Y66</f>
        <v>0.22083333333333333</v>
      </c>
      <c r="Z105" s="177"/>
      <c r="AA105" s="178">
        <f>AA104/AA66</f>
        <v>0.22083333333333333</v>
      </c>
      <c r="AB105" s="177"/>
      <c r="AC105" s="178">
        <f>AC104/AC66</f>
        <v>0.22083333333333333</v>
      </c>
      <c r="AD105" s="177"/>
      <c r="AE105" s="178">
        <f t="shared" ref="AE105" si="708">AE104/AE66</f>
        <v>0.22083333333333333</v>
      </c>
      <c r="AF105" s="177"/>
      <c r="AG105" s="178">
        <f t="shared" ref="AG105" si="709">AG104/AG66</f>
        <v>0.22083333333333333</v>
      </c>
      <c r="AH105" s="177"/>
      <c r="AI105" s="178">
        <f t="shared" ref="AI105:AK105" si="710">AI104/AI66</f>
        <v>0.22083333333333333</v>
      </c>
      <c r="AJ105" s="177"/>
      <c r="AK105" s="178">
        <f t="shared" si="710"/>
        <v>0.22083333333333333</v>
      </c>
      <c r="AL105" s="177"/>
      <c r="AM105" s="178">
        <f t="shared" ref="AM105" si="711">AM104/AM66</f>
        <v>0.22083333333333333</v>
      </c>
      <c r="AN105" s="177"/>
      <c r="AO105" s="178">
        <f t="shared" ref="AO105" si="712">AO104/AO66</f>
        <v>0.22083333333333333</v>
      </c>
      <c r="AP105" s="177"/>
      <c r="AQ105" s="178">
        <f t="shared" ref="AQ105" si="713">AQ104/AQ66</f>
        <v>0.22083333333333333</v>
      </c>
      <c r="AR105" s="177"/>
      <c r="AS105" s="178">
        <f t="shared" ref="AS105:AY105" si="714">AS104/AS66</f>
        <v>0.22083333333333333</v>
      </c>
      <c r="AT105" s="177"/>
      <c r="AU105" s="178">
        <f t="shared" si="714"/>
        <v>0.22083333333333333</v>
      </c>
      <c r="AV105" s="177"/>
      <c r="AW105" s="178">
        <f t="shared" si="714"/>
        <v>0.22083333333333333</v>
      </c>
      <c r="AX105" s="177"/>
      <c r="AY105" s="178">
        <f t="shared" si="714"/>
        <v>0.22083333333333333</v>
      </c>
      <c r="AZ105" s="177"/>
      <c r="BA105" s="178">
        <f t="shared" ref="BA105:BC105" si="715">BA104/BA66</f>
        <v>0.22083333333333333</v>
      </c>
      <c r="BB105" s="177"/>
      <c r="BC105" s="178">
        <f t="shared" si="715"/>
        <v>0.22083333333333333</v>
      </c>
      <c r="BD105" s="177"/>
      <c r="BE105" s="178">
        <f t="shared" ref="BE105:BG105" si="716">BE104/BE66</f>
        <v>0.22083333333333333</v>
      </c>
      <c r="BF105" s="177"/>
      <c r="BG105" s="178">
        <f t="shared" si="716"/>
        <v>0.22083333333333333</v>
      </c>
      <c r="BH105" s="177"/>
      <c r="BI105" s="178">
        <f t="shared" ref="BI105:BO105" si="717">BI104/BI66</f>
        <v>0.22083333333333333</v>
      </c>
      <c r="BJ105" s="177"/>
      <c r="BK105" s="178">
        <f t="shared" ref="BK105:BM105" si="718">BK104/BK66</f>
        <v>0.22083333333333333</v>
      </c>
      <c r="BL105" s="177"/>
      <c r="BM105" s="178">
        <f t="shared" si="718"/>
        <v>0.22083333333333333</v>
      </c>
      <c r="BN105" s="177"/>
      <c r="BO105" s="178">
        <f t="shared" si="717"/>
        <v>0.22083333333333333</v>
      </c>
    </row>
    <row r="106" spans="1:67" s="97" customFormat="1" ht="18" customHeight="1" outlineLevel="1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0.16666666666666666</v>
      </c>
      <c r="H106" s="177"/>
      <c r="I106" s="178">
        <f>(I101-I102)/I66</f>
        <v>0.16666666666666666</v>
      </c>
      <c r="J106" s="177"/>
      <c r="K106" s="178">
        <f>(K101-K102)/K66</f>
        <v>0.16666666666666666</v>
      </c>
      <c r="L106" s="177"/>
      <c r="M106" s="178">
        <f>(M101-M102)/M66</f>
        <v>0.16666666666666666</v>
      </c>
      <c r="N106" s="177"/>
      <c r="O106" s="178">
        <f>(O101-O102)/O66</f>
        <v>0.16666666666666666</v>
      </c>
      <c r="P106" s="177"/>
      <c r="Q106" s="178">
        <f>(Q101-Q102)/Q66</f>
        <v>0.16666666666666666</v>
      </c>
      <c r="R106" s="177"/>
      <c r="S106" s="178">
        <f>(S101-S102)/S66</f>
        <v>0.16666666666666666</v>
      </c>
      <c r="T106" s="177"/>
      <c r="U106" s="178">
        <f>(U101-U102)/U66</f>
        <v>0.16666666666666666</v>
      </c>
      <c r="V106" s="177"/>
      <c r="W106" s="178">
        <f>(W101-W102)/W66</f>
        <v>0.16666666666666666</v>
      </c>
      <c r="X106" s="177"/>
      <c r="Y106" s="178">
        <f>(Y101-Y102)/Y66</f>
        <v>0.16666666666666666</v>
      </c>
      <c r="Z106" s="177"/>
      <c r="AA106" s="178">
        <f>(AA101-AA102)/AA66</f>
        <v>0.16666666666666666</v>
      </c>
      <c r="AB106" s="177"/>
      <c r="AC106" s="178">
        <f>(AC101-AC102)/AC66</f>
        <v>0.16666666666666666</v>
      </c>
      <c r="AD106" s="177"/>
      <c r="AE106" s="178">
        <f t="shared" ref="AE106" si="719">(AE101-AE102)/AE66</f>
        <v>0.16666666666666666</v>
      </c>
      <c r="AF106" s="177"/>
      <c r="AG106" s="178">
        <f t="shared" ref="AG106" si="720">(AG101-AG102)/AG66</f>
        <v>0.16666666666666666</v>
      </c>
      <c r="AH106" s="177"/>
      <c r="AI106" s="178">
        <f t="shared" ref="AI106:AK106" si="721">(AI101-AI102)/AI66</f>
        <v>0.16666666666666666</v>
      </c>
      <c r="AJ106" s="177"/>
      <c r="AK106" s="178">
        <f t="shared" si="721"/>
        <v>0.16666666666666666</v>
      </c>
      <c r="AL106" s="177"/>
      <c r="AM106" s="178">
        <f t="shared" ref="AM106" si="722">(AM101-AM102)/AM66</f>
        <v>0.16666666666666666</v>
      </c>
      <c r="AN106" s="177"/>
      <c r="AO106" s="178">
        <f t="shared" ref="AO106" si="723">(AO101-AO102)/AO66</f>
        <v>0.16666666666666666</v>
      </c>
      <c r="AP106" s="177"/>
      <c r="AQ106" s="178">
        <f t="shared" ref="AQ106" si="724">(AQ101-AQ102)/AQ66</f>
        <v>0.16666666666666666</v>
      </c>
      <c r="AR106" s="177"/>
      <c r="AS106" s="178">
        <f t="shared" ref="AS106:AY106" si="725">(AS101-AS102)/AS66</f>
        <v>0.16666666666666666</v>
      </c>
      <c r="AT106" s="177"/>
      <c r="AU106" s="178">
        <f t="shared" si="725"/>
        <v>0.16666666666666666</v>
      </c>
      <c r="AV106" s="177"/>
      <c r="AW106" s="178">
        <f t="shared" si="725"/>
        <v>0.16666666666666666</v>
      </c>
      <c r="AX106" s="177"/>
      <c r="AY106" s="178">
        <f t="shared" si="725"/>
        <v>0.16666666666666666</v>
      </c>
      <c r="AZ106" s="177"/>
      <c r="BA106" s="178">
        <f t="shared" ref="BA106:BC106" si="726">(BA101-BA102)/BA66</f>
        <v>0.16666666666666666</v>
      </c>
      <c r="BB106" s="177"/>
      <c r="BC106" s="178">
        <f t="shared" si="726"/>
        <v>0.16666666666666666</v>
      </c>
      <c r="BD106" s="177"/>
      <c r="BE106" s="178">
        <f t="shared" ref="BE106:BG106" si="727">(BE101-BE102)/BE66</f>
        <v>0.16666666666666666</v>
      </c>
      <c r="BF106" s="177"/>
      <c r="BG106" s="178">
        <f t="shared" si="727"/>
        <v>0.16666666666666666</v>
      </c>
      <c r="BH106" s="177"/>
      <c r="BI106" s="178">
        <f t="shared" ref="BI106:BO106" si="728">(BI101-BI102)/BI66</f>
        <v>0.16666666666666666</v>
      </c>
      <c r="BJ106" s="177"/>
      <c r="BK106" s="178">
        <f t="shared" ref="BK106:BM106" si="729">(BK101-BK102)/BK66</f>
        <v>0.16666666666666666</v>
      </c>
      <c r="BL106" s="177"/>
      <c r="BM106" s="178">
        <f t="shared" si="729"/>
        <v>0.16666666666666666</v>
      </c>
      <c r="BN106" s="177"/>
      <c r="BO106" s="178">
        <f t="shared" si="728"/>
        <v>0.16666666666666666</v>
      </c>
    </row>
    <row r="107" spans="1:67" s="4" customFormat="1" ht="18" customHeight="1" outlineLevel="1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  <c r="BB107" s="180"/>
      <c r="BC107" s="181"/>
      <c r="BD107" s="180"/>
      <c r="BE107" s="181"/>
      <c r="BF107" s="180"/>
      <c r="BG107" s="181"/>
      <c r="BH107" s="180"/>
      <c r="BI107" s="181"/>
      <c r="BJ107" s="180"/>
      <c r="BK107" s="181"/>
      <c r="BL107" s="180"/>
      <c r="BM107" s="181"/>
      <c r="BN107" s="180"/>
      <c r="BO107" s="181"/>
    </row>
    <row r="108" spans="1:67" s="4" customFormat="1" ht="18" customHeight="1" outlineLevel="1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2.2805399867843708</v>
      </c>
      <c r="H108" s="186"/>
      <c r="I108" s="187">
        <f>I60-(I101/I66)-I74</f>
        <v>2.2805399867843708</v>
      </c>
      <c r="J108" s="186"/>
      <c r="K108" s="187">
        <f>K60-(K101/K66)-K74</f>
        <v>2.0690716599095946</v>
      </c>
      <c r="L108" s="186"/>
      <c r="M108" s="187">
        <f>M60-(M101/M66)-M74</f>
        <v>2.0690716599095946</v>
      </c>
      <c r="N108" s="186"/>
      <c r="O108" s="187">
        <f>O60-(O101/O66)-O74</f>
        <v>1.3720858307224262</v>
      </c>
      <c r="P108" s="186"/>
      <c r="Q108" s="187">
        <f>Q60-(Q101/Q66)-Q74</f>
        <v>1.3720858307224262</v>
      </c>
      <c r="R108" s="186"/>
      <c r="S108" s="187">
        <f>S60-(S101/S66)-S74</f>
        <v>1.3720858307224262</v>
      </c>
      <c r="T108" s="186"/>
      <c r="U108" s="187">
        <f>U60-(U101/U66)-U74</f>
        <v>2.033067987012938</v>
      </c>
      <c r="V108" s="186"/>
      <c r="W108" s="187">
        <f>W60-(W101/W66)-W74</f>
        <v>2.2289869112657206</v>
      </c>
      <c r="X108" s="186"/>
      <c r="Y108" s="187">
        <f>Y60-(Y101/Y66)-Y74</f>
        <v>2.2289869112657206</v>
      </c>
      <c r="Z108" s="186"/>
      <c r="AA108" s="187">
        <f>AA60-(AA101/AA66)-AA74</f>
        <v>2.3753751902527922</v>
      </c>
      <c r="AB108" s="186"/>
      <c r="AC108" s="187">
        <f>AC60-(AC101/AC66)-AC74</f>
        <v>2.5605454473291331</v>
      </c>
      <c r="AD108" s="186"/>
      <c r="AE108" s="187">
        <f t="shared" ref="AE108" si="730">AE60-(AE101/AE66)-AE74</f>
        <v>2.3953172760876962</v>
      </c>
      <c r="AF108" s="186"/>
      <c r="AG108" s="187">
        <f t="shared" ref="AG108" si="731">AG60-(AG101/AG66)-AG74</f>
        <v>2.2186764543839184</v>
      </c>
      <c r="AH108" s="186"/>
      <c r="AI108" s="187">
        <f t="shared" ref="AI108:AK108" si="732">AI60-(AI101/AI66)-AI74</f>
        <v>2.2539885408241904</v>
      </c>
      <c r="AJ108" s="186"/>
      <c r="AK108" s="187">
        <f t="shared" si="732"/>
        <v>2.2137533714535307</v>
      </c>
      <c r="AL108" s="186"/>
      <c r="AM108" s="187">
        <f t="shared" ref="AM108" si="733">AM60-(AM101/AM66)-AM74</f>
        <v>2.2137533714535307</v>
      </c>
      <c r="AN108" s="186"/>
      <c r="AO108" s="187">
        <f t="shared" ref="AO108" si="734">AO60-(AO101/AO66)-AO74</f>
        <v>2.1767974692244088</v>
      </c>
      <c r="AP108" s="186"/>
      <c r="AQ108" s="187">
        <f t="shared" ref="AQ108" si="735">AQ60-(AQ101/AQ66)-AQ74</f>
        <v>2.1767974692244088</v>
      </c>
      <c r="AR108" s="186"/>
      <c r="AS108" s="187">
        <f t="shared" ref="AS108:AY108" si="736">AS60-(AS101/AS66)-AS74</f>
        <v>2.3947335934505887</v>
      </c>
      <c r="AT108" s="186"/>
      <c r="AU108" s="187">
        <f t="shared" si="736"/>
        <v>2.4890658150958278</v>
      </c>
      <c r="AV108" s="186"/>
      <c r="AW108" s="187">
        <f t="shared" si="736"/>
        <v>2.6244358333333331</v>
      </c>
      <c r="AX108" s="186"/>
      <c r="AY108" s="187">
        <f t="shared" si="736"/>
        <v>2.695527895040533</v>
      </c>
      <c r="AZ108" s="186"/>
      <c r="BA108" s="187">
        <f t="shared" ref="BA108:BC108" si="737">BA60-(BA101/BA66)-BA74</f>
        <v>2.703370624399033</v>
      </c>
      <c r="BB108" s="186"/>
      <c r="BC108" s="187">
        <f t="shared" si="737"/>
        <v>2.4466515851623667</v>
      </c>
      <c r="BD108" s="186"/>
      <c r="BE108" s="187">
        <f t="shared" ref="BE108:BG108" si="738">BE60-(BE101/BE66)-BE74</f>
        <v>2.417562841008003</v>
      </c>
      <c r="BF108" s="186"/>
      <c r="BG108" s="187">
        <f t="shared" si="738"/>
        <v>2.3850710642532809</v>
      </c>
      <c r="BH108" s="186"/>
      <c r="BI108" s="187">
        <f t="shared" ref="BI108:BO108" si="739">BI60-(BI101/BI66)-BI74</f>
        <v>2.5681624915576835</v>
      </c>
      <c r="BJ108" s="186"/>
      <c r="BK108" s="187">
        <f t="shared" ref="BK108:BM108" si="740">BK60-(BK101/BK66)-BK74</f>
        <v>2.6739341085271313</v>
      </c>
      <c r="BL108" s="186"/>
      <c r="BM108" s="187">
        <f t="shared" si="740"/>
        <v>2.7395035061357369</v>
      </c>
      <c r="BN108" s="186"/>
      <c r="BO108" s="187">
        <f t="shared" si="739"/>
        <v>2.5681624915576835</v>
      </c>
    </row>
    <row r="109" spans="1:67" s="4" customFormat="1" ht="18" customHeight="1" outlineLevel="1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0.37694875814617701</v>
      </c>
      <c r="H109" s="192"/>
      <c r="I109" s="193">
        <f>I108/I67</f>
        <v>0.37694875814617701</v>
      </c>
      <c r="J109" s="192"/>
      <c r="K109" s="193">
        <f>K108/K67</f>
        <v>0.34199531568753633</v>
      </c>
      <c r="L109" s="192"/>
      <c r="M109" s="193">
        <f>M108/M67</f>
        <v>0.34199531568753633</v>
      </c>
      <c r="N109" s="192"/>
      <c r="O109" s="193">
        <f>O108/O67</f>
        <v>0.22679104640040104</v>
      </c>
      <c r="P109" s="192"/>
      <c r="Q109" s="193">
        <f>Q108/Q67</f>
        <v>0.22679104640040104</v>
      </c>
      <c r="R109" s="192"/>
      <c r="S109" s="193">
        <f>S108/S67</f>
        <v>0.22679104640040104</v>
      </c>
      <c r="T109" s="192"/>
      <c r="U109" s="193">
        <f>U108/U67</f>
        <v>0.33604429537403935</v>
      </c>
      <c r="V109" s="192"/>
      <c r="W109" s="193">
        <f>W108/W67</f>
        <v>0.36842758863896208</v>
      </c>
      <c r="X109" s="192"/>
      <c r="Y109" s="193">
        <f>Y108/Y67</f>
        <v>0.36842758863896208</v>
      </c>
      <c r="Z109" s="192"/>
      <c r="AA109" s="193">
        <f>AA108/AA67</f>
        <v>0.39262399838889128</v>
      </c>
      <c r="AB109" s="192"/>
      <c r="AC109" s="193">
        <f>AC108/AC67</f>
        <v>0.42323065245109642</v>
      </c>
      <c r="AD109" s="192"/>
      <c r="AE109" s="193">
        <f t="shared" ref="AE109" si="741">AE108/AE67</f>
        <v>0.39592021092358615</v>
      </c>
      <c r="AF109" s="192"/>
      <c r="AG109" s="193">
        <f t="shared" ref="AG109" si="742">AG108/AG67</f>
        <v>0.36672338088990386</v>
      </c>
      <c r="AH109" s="192"/>
      <c r="AI109" s="193">
        <f t="shared" ref="AI109:AK109" si="743">AI108/AI67</f>
        <v>0.37256008939242818</v>
      </c>
      <c r="AJ109" s="192"/>
      <c r="AK109" s="193">
        <f t="shared" si="743"/>
        <v>0.36590964817413729</v>
      </c>
      <c r="AL109" s="192"/>
      <c r="AM109" s="193">
        <f t="shared" ref="AM109" si="744">AM108/AM67</f>
        <v>0.36590964817413729</v>
      </c>
      <c r="AN109" s="192"/>
      <c r="AO109" s="193">
        <f t="shared" ref="AO109" si="745">AO108/AO67</f>
        <v>0.35980123458254692</v>
      </c>
      <c r="AP109" s="192"/>
      <c r="AQ109" s="193">
        <f t="shared" ref="AQ109" si="746">AQ108/AQ67</f>
        <v>0.35980123458254692</v>
      </c>
      <c r="AR109" s="192"/>
      <c r="AS109" s="193">
        <f t="shared" ref="AS109:AY109" si="747">AS108/AS67</f>
        <v>0.39582373445464275</v>
      </c>
      <c r="AT109" s="192"/>
      <c r="AU109" s="193">
        <f t="shared" si="747"/>
        <v>0.41141583720592195</v>
      </c>
      <c r="AV109" s="192"/>
      <c r="AW109" s="193">
        <f t="shared" si="747"/>
        <v>0.43379104683195591</v>
      </c>
      <c r="AX109" s="192"/>
      <c r="AY109" s="193">
        <f t="shared" si="747"/>
        <v>0.43128446320648528</v>
      </c>
      <c r="AZ109" s="192"/>
      <c r="BA109" s="193">
        <f t="shared" ref="BA109:BC109" si="748">BA108/BA67</f>
        <v>0.43253929990384526</v>
      </c>
      <c r="BB109" s="192"/>
      <c r="BC109" s="193">
        <f t="shared" si="748"/>
        <v>0.3914642536259787</v>
      </c>
      <c r="BD109" s="192"/>
      <c r="BE109" s="193">
        <f t="shared" ref="BE109:BG109" si="749">BE108/BE67</f>
        <v>0.38681005456128048</v>
      </c>
      <c r="BF109" s="192"/>
      <c r="BG109" s="193">
        <f t="shared" si="749"/>
        <v>0.38161137028052494</v>
      </c>
      <c r="BH109" s="192"/>
      <c r="BI109" s="193">
        <f t="shared" ref="BI109:BO109" si="750">BI108/BI67</f>
        <v>0.41090599864922939</v>
      </c>
      <c r="BJ109" s="192"/>
      <c r="BK109" s="193">
        <f t="shared" ref="BK109:BM109" si="751">BK108/BK67</f>
        <v>0.42782945736434103</v>
      </c>
      <c r="BL109" s="192"/>
      <c r="BM109" s="193">
        <f t="shared" si="751"/>
        <v>0.4383205609817179</v>
      </c>
      <c r="BN109" s="192"/>
      <c r="BO109" s="193">
        <f t="shared" si="750"/>
        <v>0.41090599864922939</v>
      </c>
    </row>
    <row r="110" spans="1:67" s="162" customFormat="1" ht="18" customHeight="1" outlineLevel="1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  <c r="BB110" s="164"/>
      <c r="BC110" s="198"/>
      <c r="BD110" s="164"/>
      <c r="BE110" s="198"/>
      <c r="BF110" s="164"/>
      <c r="BG110" s="198"/>
      <c r="BH110" s="164"/>
      <c r="BI110" s="198"/>
      <c r="BJ110" s="164"/>
      <c r="BK110" s="198"/>
      <c r="BL110" s="164"/>
      <c r="BM110" s="198"/>
      <c r="BN110" s="164"/>
      <c r="BO110" s="198"/>
    </row>
    <row r="111" spans="1:67" s="4" customFormat="1" ht="18" customHeight="1" outlineLevel="1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2.4472066534510377</v>
      </c>
      <c r="H111" s="186"/>
      <c r="I111" s="187">
        <f>I60-(I102/I66)-I74</f>
        <v>2.4472066534510377</v>
      </c>
      <c r="J111" s="186"/>
      <c r="K111" s="187">
        <f>K60-(K102/K66)-K74</f>
        <v>2.2357383265762616</v>
      </c>
      <c r="L111" s="186"/>
      <c r="M111" s="187">
        <f>M60-(M102/M66)-M74</f>
        <v>2.2357383265762616</v>
      </c>
      <c r="N111" s="186"/>
      <c r="O111" s="187">
        <f>O60-(O102/O66)-O74</f>
        <v>1.5387524973890931</v>
      </c>
      <c r="P111" s="186"/>
      <c r="Q111" s="187">
        <f>Q60-(Q102/Q66)-Q74</f>
        <v>1.5387524973890931</v>
      </c>
      <c r="R111" s="186"/>
      <c r="S111" s="187">
        <f>S60-(S102/S66)-S74</f>
        <v>1.5387524973890931</v>
      </c>
      <c r="T111" s="186"/>
      <c r="U111" s="187">
        <f>U60-(U102/U66)-U74</f>
        <v>2.199734653679605</v>
      </c>
      <c r="V111" s="186"/>
      <c r="W111" s="187">
        <f>W60-(W102/W66)-W74</f>
        <v>2.3956535779323875</v>
      </c>
      <c r="X111" s="186"/>
      <c r="Y111" s="187">
        <f>Y60-(Y102/Y66)-Y74</f>
        <v>2.3956535779323875</v>
      </c>
      <c r="Z111" s="186"/>
      <c r="AA111" s="187">
        <f>AA60-(AA102/AA66)-AA74</f>
        <v>2.5420418569194592</v>
      </c>
      <c r="AB111" s="186"/>
      <c r="AC111" s="187">
        <f>AC60-(AC102/AC66)-AC74</f>
        <v>2.7272121139958001</v>
      </c>
      <c r="AD111" s="186"/>
      <c r="AE111" s="187">
        <f t="shared" ref="AE111" si="752">AE60-(AE102/AE66)-AE74</f>
        <v>2.5619839427543631</v>
      </c>
      <c r="AF111" s="186"/>
      <c r="AG111" s="187">
        <f t="shared" ref="AG111" si="753">AG60-(AG102/AG66)-AG74</f>
        <v>2.3853431210505853</v>
      </c>
      <c r="AH111" s="186"/>
      <c r="AI111" s="187">
        <f t="shared" ref="AI111:AK111" si="754">AI60-(AI102/AI66)-AI74</f>
        <v>2.4206552074908574</v>
      </c>
      <c r="AJ111" s="186"/>
      <c r="AK111" s="187">
        <f t="shared" si="754"/>
        <v>2.3804200381201976</v>
      </c>
      <c r="AL111" s="186"/>
      <c r="AM111" s="187">
        <f t="shared" ref="AM111" si="755">AM60-(AM102/AM66)-AM74</f>
        <v>2.3804200381201976</v>
      </c>
      <c r="AN111" s="186"/>
      <c r="AO111" s="187">
        <f t="shared" ref="AO111" si="756">AO60-(AO102/AO66)-AO74</f>
        <v>2.3434641358910757</v>
      </c>
      <c r="AP111" s="186"/>
      <c r="AQ111" s="187">
        <f t="shared" ref="AQ111" si="757">AQ60-(AQ102/AQ66)-AQ74</f>
        <v>2.3434641358910757</v>
      </c>
      <c r="AR111" s="186"/>
      <c r="AS111" s="187">
        <f t="shared" ref="AS111:AY111" si="758">AS60-(AS102/AS66)-AS74</f>
        <v>2.5614002601172556</v>
      </c>
      <c r="AT111" s="186"/>
      <c r="AU111" s="187">
        <f t="shared" si="758"/>
        <v>2.6557324817624948</v>
      </c>
      <c r="AV111" s="186"/>
      <c r="AW111" s="187">
        <f t="shared" si="758"/>
        <v>2.7911025</v>
      </c>
      <c r="AX111" s="186"/>
      <c r="AY111" s="187">
        <f t="shared" si="758"/>
        <v>2.8621945617072</v>
      </c>
      <c r="AZ111" s="186"/>
      <c r="BA111" s="187">
        <f t="shared" ref="BA111:BC111" si="759">BA60-(BA102/BA66)-BA74</f>
        <v>2.8700372910656999</v>
      </c>
      <c r="BB111" s="186"/>
      <c r="BC111" s="187">
        <f t="shared" si="759"/>
        <v>2.6133182518290337</v>
      </c>
      <c r="BD111" s="186"/>
      <c r="BE111" s="187">
        <f t="shared" ref="BE111:BG111" si="760">BE60-(BE102/BE66)-BE74</f>
        <v>2.58422950767467</v>
      </c>
      <c r="BF111" s="186"/>
      <c r="BG111" s="187">
        <f t="shared" si="760"/>
        <v>2.5517377309199478</v>
      </c>
      <c r="BH111" s="186"/>
      <c r="BI111" s="187">
        <f t="shared" ref="BI111:BO111" si="761">BI60-(BI102/BI66)-BI74</f>
        <v>2.7348291582243505</v>
      </c>
      <c r="BJ111" s="186"/>
      <c r="BK111" s="187">
        <f t="shared" ref="BK111:BM111" si="762">BK60-(BK102/BK66)-BK74</f>
        <v>2.8406007751937983</v>
      </c>
      <c r="BL111" s="186"/>
      <c r="BM111" s="187">
        <f t="shared" si="762"/>
        <v>2.9061701728024039</v>
      </c>
      <c r="BN111" s="186"/>
      <c r="BO111" s="187">
        <f t="shared" si="761"/>
        <v>2.7348291582243505</v>
      </c>
    </row>
    <row r="112" spans="1:67" s="4" customFormat="1" ht="18" customHeight="1" outlineLevel="1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0.40449696751256825</v>
      </c>
      <c r="H112" s="192"/>
      <c r="I112" s="193">
        <f>I111/I67</f>
        <v>0.40449696751256825</v>
      </c>
      <c r="J112" s="192"/>
      <c r="K112" s="193">
        <f>K111/K67</f>
        <v>0.36954352505392757</v>
      </c>
      <c r="L112" s="192"/>
      <c r="M112" s="193">
        <f>M111/M67</f>
        <v>0.36954352505392757</v>
      </c>
      <c r="N112" s="192"/>
      <c r="O112" s="193">
        <f>O111/O67</f>
        <v>0.25433925576679228</v>
      </c>
      <c r="P112" s="192"/>
      <c r="Q112" s="193">
        <f>Q111/Q67</f>
        <v>0.25433925576679228</v>
      </c>
      <c r="R112" s="192"/>
      <c r="S112" s="193">
        <f>S111/S67</f>
        <v>0.25433925576679228</v>
      </c>
      <c r="T112" s="192"/>
      <c r="U112" s="193">
        <f>U111/U67</f>
        <v>0.36359250474043059</v>
      </c>
      <c r="V112" s="192"/>
      <c r="W112" s="193">
        <f>W111/W67</f>
        <v>0.39597579800535332</v>
      </c>
      <c r="X112" s="192"/>
      <c r="Y112" s="193">
        <f>Y111/Y67</f>
        <v>0.39597579800535332</v>
      </c>
      <c r="Z112" s="192"/>
      <c r="AA112" s="193">
        <f>AA111/AA67</f>
        <v>0.42017220775528252</v>
      </c>
      <c r="AB112" s="192"/>
      <c r="AC112" s="193">
        <f>AC111/AC67</f>
        <v>0.45077886181748761</v>
      </c>
      <c r="AD112" s="192"/>
      <c r="AE112" s="193">
        <f t="shared" ref="AE112" si="763">AE111/AE67</f>
        <v>0.42346842028997739</v>
      </c>
      <c r="AF112" s="192"/>
      <c r="AG112" s="193">
        <f t="shared" ref="AG112" si="764">AG111/AG67</f>
        <v>0.3942715902562951</v>
      </c>
      <c r="AH112" s="192"/>
      <c r="AI112" s="193">
        <f t="shared" ref="AI112:AK112" si="765">AI111/AI67</f>
        <v>0.40010829875881943</v>
      </c>
      <c r="AJ112" s="192"/>
      <c r="AK112" s="193">
        <f t="shared" si="765"/>
        <v>0.39345785754052853</v>
      </c>
      <c r="AL112" s="192"/>
      <c r="AM112" s="193">
        <f t="shared" ref="AM112" si="766">AM111/AM67</f>
        <v>0.39345785754052853</v>
      </c>
      <c r="AN112" s="192"/>
      <c r="AO112" s="193">
        <f t="shared" ref="AO112" si="767">AO111/AO67</f>
        <v>0.38734944394893817</v>
      </c>
      <c r="AP112" s="192"/>
      <c r="AQ112" s="193">
        <f t="shared" ref="AQ112" si="768">AQ111/AQ67</f>
        <v>0.38734944394893817</v>
      </c>
      <c r="AR112" s="192"/>
      <c r="AS112" s="193">
        <f t="shared" ref="AS112:AY112" si="769">AS111/AS67</f>
        <v>0.42337194382103399</v>
      </c>
      <c r="AT112" s="192"/>
      <c r="AU112" s="193">
        <f t="shared" si="769"/>
        <v>0.43896404657231319</v>
      </c>
      <c r="AV112" s="192"/>
      <c r="AW112" s="193">
        <f t="shared" si="769"/>
        <v>0.46133925619834715</v>
      </c>
      <c r="AX112" s="192"/>
      <c r="AY112" s="193">
        <f t="shared" si="769"/>
        <v>0.45795112987315201</v>
      </c>
      <c r="AZ112" s="192"/>
      <c r="BA112" s="193">
        <f t="shared" ref="BA112:BC112" si="770">BA111/BA67</f>
        <v>0.45920596657051199</v>
      </c>
      <c r="BB112" s="192"/>
      <c r="BC112" s="193">
        <f t="shared" si="770"/>
        <v>0.41813092029264537</v>
      </c>
      <c r="BD112" s="192"/>
      <c r="BE112" s="193">
        <f t="shared" ref="BE112:BG112" si="771">BE111/BE67</f>
        <v>0.41347672122794721</v>
      </c>
      <c r="BF112" s="192"/>
      <c r="BG112" s="193">
        <f t="shared" si="771"/>
        <v>0.40827803694719167</v>
      </c>
      <c r="BH112" s="192"/>
      <c r="BI112" s="193">
        <f t="shared" ref="BI112:BO112" si="772">BI111/BI67</f>
        <v>0.43757266531589606</v>
      </c>
      <c r="BJ112" s="192"/>
      <c r="BK112" s="193">
        <f t="shared" ref="BK112:BM112" si="773">BK111/BK67</f>
        <v>0.4544961240310077</v>
      </c>
      <c r="BL112" s="192"/>
      <c r="BM112" s="193">
        <f t="shared" si="773"/>
        <v>0.46498722764838463</v>
      </c>
      <c r="BN112" s="192"/>
      <c r="BO112" s="193">
        <f t="shared" si="772"/>
        <v>0.43757266531589606</v>
      </c>
    </row>
    <row r="113" spans="1:67" s="4" customFormat="1" ht="18" customHeight="1" outlineLevel="1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  <c r="BB113" s="173"/>
      <c r="BC113" s="165"/>
      <c r="BD113" s="173"/>
      <c r="BE113" s="165"/>
      <c r="BF113" s="173"/>
      <c r="BG113" s="165"/>
      <c r="BH113" s="173"/>
      <c r="BI113" s="165"/>
      <c r="BJ113" s="173"/>
      <c r="BK113" s="165"/>
      <c r="BL113" s="173"/>
      <c r="BM113" s="165"/>
      <c r="BN113" s="173"/>
      <c r="BO113" s="165"/>
    </row>
    <row r="114" spans="1:67" s="65" customFormat="1" ht="18" customHeight="1" outlineLevel="2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447.17530881429275</v>
      </c>
      <c r="H114" s="202" t="s">
        <v>111</v>
      </c>
      <c r="I114" s="203">
        <f>I116/I79</f>
        <v>446.72019786804157</v>
      </c>
      <c r="J114" s="202" t="s">
        <v>111</v>
      </c>
      <c r="K114" s="203">
        <f>K116/K79</f>
        <v>446.83383285704338</v>
      </c>
      <c r="L114" s="202" t="s">
        <v>111</v>
      </c>
      <c r="M114" s="203">
        <f>M116/M79</f>
        <v>446.45541866778035</v>
      </c>
      <c r="N114" s="202" t="s">
        <v>111</v>
      </c>
      <c r="O114" s="203">
        <f>O116/O79</f>
        <v>441.81261544776635</v>
      </c>
      <c r="P114" s="202" t="s">
        <v>111</v>
      </c>
      <c r="Q114" s="203">
        <f>Q116/Q79</f>
        <v>440.79431609077898</v>
      </c>
      <c r="R114" s="202" t="s">
        <v>111</v>
      </c>
      <c r="S114" s="203">
        <f>S116/S79</f>
        <v>435.36451031444022</v>
      </c>
      <c r="T114" s="202" t="s">
        <v>111</v>
      </c>
      <c r="U114" s="203">
        <f>U116/U79</f>
        <v>437.57321753181174</v>
      </c>
      <c r="V114" s="202" t="s">
        <v>111</v>
      </c>
      <c r="W114" s="203">
        <f>W116/W79</f>
        <v>434.36024472966687</v>
      </c>
      <c r="X114" s="202" t="s">
        <v>111</v>
      </c>
      <c r="Y114" s="203">
        <f>Y116/Y79</f>
        <v>427.95109612141658</v>
      </c>
      <c r="Z114" s="202" t="s">
        <v>111</v>
      </c>
      <c r="AA114" s="203">
        <f>AA116/AA79</f>
        <v>424.28092042186</v>
      </c>
      <c r="AB114" s="202" t="s">
        <v>111</v>
      </c>
      <c r="AC114" s="203">
        <f>AC116/AC79</f>
        <v>424.63195288996985</v>
      </c>
      <c r="AD114" s="202" t="s">
        <v>111</v>
      </c>
      <c r="AE114" s="203">
        <f t="shared" ref="AE114" si="774">AE116/AE79</f>
        <v>429.3865370817299</v>
      </c>
      <c r="AF114" s="202" t="s">
        <v>111</v>
      </c>
      <c r="AG114" s="203">
        <f t="shared" ref="AG114" si="775">AG116/AG79</f>
        <v>433.432178119409</v>
      </c>
      <c r="AH114" s="202" t="s">
        <v>111</v>
      </c>
      <c r="AI114" s="203">
        <f t="shared" ref="AI114:AK114" si="776">AI116/AI79</f>
        <v>430.31914893617017</v>
      </c>
      <c r="AJ114" s="202" t="s">
        <v>111</v>
      </c>
      <c r="AK114" s="203">
        <f t="shared" si="776"/>
        <v>437.50252406273142</v>
      </c>
      <c r="AL114" s="202" t="s">
        <v>111</v>
      </c>
      <c r="AM114" s="203">
        <f t="shared" ref="AM114" si="777">AM116/AM79</f>
        <v>438.85224274406335</v>
      </c>
      <c r="AN114" s="202" t="s">
        <v>111</v>
      </c>
      <c r="AO114" s="203">
        <f t="shared" ref="AO114" si="778">AO116/AO79</f>
        <v>436.20152702431182</v>
      </c>
      <c r="AP114" s="202" t="s">
        <v>111</v>
      </c>
      <c r="AQ114" s="203">
        <f t="shared" ref="AQ114" si="779">AQ116/AQ79</f>
        <v>434.58466453674123</v>
      </c>
      <c r="AR114" s="202" t="s">
        <v>111</v>
      </c>
      <c r="AS114" s="203">
        <f t="shared" ref="AS114:AY114" si="780">AS116/AS79</f>
        <v>430.97269624573374</v>
      </c>
      <c r="AT114" s="202" t="s">
        <v>111</v>
      </c>
      <c r="AU114" s="203">
        <f t="shared" si="780"/>
        <v>429.32018258884898</v>
      </c>
      <c r="AV114" s="202" t="s">
        <v>111</v>
      </c>
      <c r="AW114" s="203">
        <f t="shared" si="780"/>
        <v>423.20212562846046</v>
      </c>
      <c r="AX114" s="202" t="s">
        <v>111</v>
      </c>
      <c r="AY114" s="203">
        <f t="shared" si="780"/>
        <v>423.58180891070168</v>
      </c>
      <c r="AZ114" s="202" t="s">
        <v>111</v>
      </c>
      <c r="BA114" s="203">
        <f t="shared" ref="BA114:BC114" si="781">BA116/BA79</f>
        <v>426.28865979381447</v>
      </c>
      <c r="BB114" s="202" t="s">
        <v>111</v>
      </c>
      <c r="BC114" s="203">
        <f t="shared" si="781"/>
        <v>425.28879476318832</v>
      </c>
      <c r="BD114" s="202" t="s">
        <v>111</v>
      </c>
      <c r="BE114" s="203">
        <f t="shared" ref="BE114:BG114" si="782">BE116/BE79</f>
        <v>423.39182217693133</v>
      </c>
      <c r="BF114" s="202" t="s">
        <v>111</v>
      </c>
      <c r="BG114" s="203">
        <f t="shared" si="782"/>
        <v>417.58257137525658</v>
      </c>
      <c r="BH114" s="202" t="s">
        <v>111</v>
      </c>
      <c r="BI114" s="203">
        <f t="shared" ref="BI114:BO114" si="783">BI116/BI79</f>
        <v>414.45477988579847</v>
      </c>
      <c r="BJ114" s="202" t="s">
        <v>111</v>
      </c>
      <c r="BK114" s="203">
        <f t="shared" ref="BK114:BM114" si="784">BK116/BK79</f>
        <v>426.93798449612405</v>
      </c>
      <c r="BL114" s="202" t="s">
        <v>111</v>
      </c>
      <c r="BM114" s="203">
        <f t="shared" si="784"/>
        <v>436.70798898071632</v>
      </c>
      <c r="BN114" s="202" t="s">
        <v>111</v>
      </c>
      <c r="BO114" s="203">
        <f t="shared" si="783"/>
        <v>414.45477988579847</v>
      </c>
    </row>
    <row r="115" spans="1:67" s="65" customFormat="1" ht="18" customHeight="1" outlineLevel="2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0.18632304533928865</v>
      </c>
      <c r="H115" s="202" t="s">
        <v>111</v>
      </c>
      <c r="I115" s="203">
        <f>I114/I66</f>
        <v>0.18613341577835066</v>
      </c>
      <c r="J115" s="202" t="s">
        <v>111</v>
      </c>
      <c r="K115" s="203">
        <f>K114/K66</f>
        <v>0.18618076369043474</v>
      </c>
      <c r="L115" s="202" t="s">
        <v>111</v>
      </c>
      <c r="M115" s="203">
        <f>M114/M66</f>
        <v>0.18602309111157514</v>
      </c>
      <c r="N115" s="202" t="s">
        <v>111</v>
      </c>
      <c r="O115" s="203">
        <f>O114/O66</f>
        <v>0.18408858976990264</v>
      </c>
      <c r="P115" s="202" t="s">
        <v>111</v>
      </c>
      <c r="Q115" s="203">
        <f>Q114/Q66</f>
        <v>0.18366429837115791</v>
      </c>
      <c r="R115" s="202" t="s">
        <v>111</v>
      </c>
      <c r="S115" s="203">
        <f>S114/S66</f>
        <v>0.18140187929768342</v>
      </c>
      <c r="T115" s="202" t="s">
        <v>111</v>
      </c>
      <c r="U115" s="203">
        <f>U114/U66</f>
        <v>0.18232217397158823</v>
      </c>
      <c r="V115" s="202" t="s">
        <v>111</v>
      </c>
      <c r="W115" s="203">
        <f>W114/W66</f>
        <v>0.18098343530402786</v>
      </c>
      <c r="X115" s="202" t="s">
        <v>111</v>
      </c>
      <c r="Y115" s="203">
        <f>Y114/Y66</f>
        <v>0.17831295671725692</v>
      </c>
      <c r="Z115" s="202" t="s">
        <v>111</v>
      </c>
      <c r="AA115" s="203">
        <f>AA114/AA66</f>
        <v>0.17678371684244168</v>
      </c>
      <c r="AB115" s="202" t="s">
        <v>111</v>
      </c>
      <c r="AC115" s="203">
        <f>AC114/AC66</f>
        <v>0.17692998037082078</v>
      </c>
      <c r="AD115" s="202" t="s">
        <v>111</v>
      </c>
      <c r="AE115" s="203">
        <f t="shared" ref="AE115" si="785">AE114/AE66</f>
        <v>0.17891105711738745</v>
      </c>
      <c r="AF115" s="202" t="s">
        <v>111</v>
      </c>
      <c r="AG115" s="203">
        <f t="shared" ref="AG115" si="786">AG114/AG66</f>
        <v>0.18059674088308708</v>
      </c>
      <c r="AH115" s="202" t="s">
        <v>111</v>
      </c>
      <c r="AI115" s="203">
        <f t="shared" ref="AI115:AK115" si="787">AI114/AI66</f>
        <v>0.1792996453900709</v>
      </c>
      <c r="AJ115" s="202" t="s">
        <v>111</v>
      </c>
      <c r="AK115" s="203">
        <f t="shared" si="787"/>
        <v>0.18229271835947142</v>
      </c>
      <c r="AL115" s="202" t="s">
        <v>111</v>
      </c>
      <c r="AM115" s="203">
        <f t="shared" ref="AM115" si="788">AM114/AM66</f>
        <v>0.18285510114335973</v>
      </c>
      <c r="AN115" s="202" t="s">
        <v>111</v>
      </c>
      <c r="AO115" s="203">
        <f t="shared" ref="AO115" si="789">AO114/AO66</f>
        <v>0.18175063626012991</v>
      </c>
      <c r="AP115" s="202" t="s">
        <v>111</v>
      </c>
      <c r="AQ115" s="203">
        <f t="shared" ref="AQ115" si="790">AQ114/AQ66</f>
        <v>0.18107694355697551</v>
      </c>
      <c r="AR115" s="202" t="s">
        <v>111</v>
      </c>
      <c r="AS115" s="203">
        <f t="shared" ref="AS115:AY115" si="791">AS114/AS66</f>
        <v>0.17957195676905571</v>
      </c>
      <c r="AT115" s="202" t="s">
        <v>111</v>
      </c>
      <c r="AU115" s="203">
        <f t="shared" si="791"/>
        <v>0.17888340941202041</v>
      </c>
      <c r="AV115" s="202" t="s">
        <v>111</v>
      </c>
      <c r="AW115" s="203">
        <f t="shared" si="791"/>
        <v>0.17633421901185853</v>
      </c>
      <c r="AX115" s="202" t="s">
        <v>111</v>
      </c>
      <c r="AY115" s="203">
        <f t="shared" si="791"/>
        <v>0.17649242037945903</v>
      </c>
      <c r="AZ115" s="202" t="s">
        <v>111</v>
      </c>
      <c r="BA115" s="203">
        <f t="shared" ref="BA115:BC115" si="792">BA114/BA66</f>
        <v>0.17762027491408935</v>
      </c>
      <c r="BB115" s="202" t="s">
        <v>111</v>
      </c>
      <c r="BC115" s="203">
        <f t="shared" si="792"/>
        <v>0.17720366448466179</v>
      </c>
      <c r="BD115" s="202" t="s">
        <v>111</v>
      </c>
      <c r="BE115" s="203">
        <f t="shared" ref="BE115:BG115" si="793">BE114/BE66</f>
        <v>0.17641325924038806</v>
      </c>
      <c r="BF115" s="202" t="s">
        <v>111</v>
      </c>
      <c r="BG115" s="203">
        <f t="shared" si="793"/>
        <v>0.17399273807302357</v>
      </c>
      <c r="BH115" s="202" t="s">
        <v>111</v>
      </c>
      <c r="BI115" s="203">
        <f t="shared" ref="BI115:BO115" si="794">BI114/BI66</f>
        <v>0.1726894916190827</v>
      </c>
      <c r="BJ115" s="202" t="s">
        <v>111</v>
      </c>
      <c r="BK115" s="203">
        <f t="shared" ref="BK115:BM115" si="795">BK114/BK66</f>
        <v>0.17789082687338501</v>
      </c>
      <c r="BL115" s="202" t="s">
        <v>111</v>
      </c>
      <c r="BM115" s="203">
        <f t="shared" si="795"/>
        <v>0.18196166207529846</v>
      </c>
      <c r="BN115" s="202" t="s">
        <v>111</v>
      </c>
      <c r="BO115" s="203">
        <f t="shared" si="794"/>
        <v>0.1726894916190827</v>
      </c>
    </row>
    <row r="116" spans="1:67" s="65" customFormat="1" ht="18" customHeight="1" outlineLevel="2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6407575.0000000009</v>
      </c>
      <c r="H116" s="202" t="s">
        <v>114</v>
      </c>
      <c r="I116" s="204">
        <f>I117*I66</f>
        <v>6411775.0000000009</v>
      </c>
      <c r="J116" s="202" t="s">
        <v>114</v>
      </c>
      <c r="K116" s="204">
        <f>K117*K66</f>
        <v>6410725.0000000009</v>
      </c>
      <c r="L116" s="202" t="s">
        <v>114</v>
      </c>
      <c r="M116" s="204">
        <f>M117*M66</f>
        <v>6414225</v>
      </c>
      <c r="N116" s="202" t="s">
        <v>114</v>
      </c>
      <c r="O116" s="204">
        <f>O117*O66</f>
        <v>6457975.0000000009</v>
      </c>
      <c r="P116" s="202" t="s">
        <v>114</v>
      </c>
      <c r="Q116" s="204">
        <f>Q117*Q66</f>
        <v>6467775</v>
      </c>
      <c r="R116" s="202" t="s">
        <v>114</v>
      </c>
      <c r="S116" s="204">
        <f>S117*S66</f>
        <v>6521325</v>
      </c>
      <c r="T116" s="202" t="s">
        <v>114</v>
      </c>
      <c r="U116" s="204">
        <f>U117*U66</f>
        <v>6499275</v>
      </c>
      <c r="V116" s="202" t="s">
        <v>114</v>
      </c>
      <c r="W116" s="204">
        <f>W117*W66</f>
        <v>6531475.0000000009</v>
      </c>
      <c r="X116" s="202" t="s">
        <v>114</v>
      </c>
      <c r="Y116" s="204">
        <f>Y117*Y66</f>
        <v>6598150.0000000009</v>
      </c>
      <c r="Z116" s="202" t="s">
        <v>114</v>
      </c>
      <c r="AA116" s="204">
        <f>AA117*AA66</f>
        <v>6637875</v>
      </c>
      <c r="AB116" s="202" t="s">
        <v>114</v>
      </c>
      <c r="AC116" s="204">
        <f>AC117*AC66</f>
        <v>6634024.9999999991</v>
      </c>
      <c r="AD116" s="202" t="s">
        <v>114</v>
      </c>
      <c r="AE116" s="204">
        <f t="shared" ref="AE116" si="796">AE117*AE66</f>
        <v>6582925.0000000009</v>
      </c>
      <c r="AF116" s="202" t="s">
        <v>114</v>
      </c>
      <c r="AG116" s="204">
        <f t="shared" ref="AG116" si="797">AG117*AG66</f>
        <v>6540925.0000000009</v>
      </c>
      <c r="AH116" s="202" t="s">
        <v>114</v>
      </c>
      <c r="AI116" s="204">
        <f t="shared" ref="AI116:AK116" si="798">AI117*AI66</f>
        <v>6573124.9999999991</v>
      </c>
      <c r="AJ116" s="202" t="s">
        <v>114</v>
      </c>
      <c r="AK116" s="204">
        <f t="shared" si="798"/>
        <v>6499975.0000000009</v>
      </c>
      <c r="AL116" s="202" t="s">
        <v>114</v>
      </c>
      <c r="AM116" s="204">
        <f t="shared" ref="AM116" si="799">AM117*AM66</f>
        <v>6486675</v>
      </c>
      <c r="AN116" s="202" t="s">
        <v>114</v>
      </c>
      <c r="AO116" s="204">
        <f t="shared" ref="AO116" si="800">AO117*AO66</f>
        <v>6512925</v>
      </c>
      <c r="AP116" s="202" t="s">
        <v>114</v>
      </c>
      <c r="AQ116" s="204">
        <f t="shared" ref="AQ116" si="801">AQ117*AQ66</f>
        <v>6529200</v>
      </c>
      <c r="AR116" s="202" t="s">
        <v>114</v>
      </c>
      <c r="AS116" s="204">
        <f t="shared" ref="AS116:AY116" si="802">AS117*AS66</f>
        <v>6566299.9999999991</v>
      </c>
      <c r="AT116" s="202" t="s">
        <v>114</v>
      </c>
      <c r="AU116" s="204">
        <f t="shared" si="802"/>
        <v>6583624.9999999991</v>
      </c>
      <c r="AV116" s="202" t="s">
        <v>114</v>
      </c>
      <c r="AW116" s="204">
        <f t="shared" si="802"/>
        <v>6649774.9999999991</v>
      </c>
      <c r="AX116" s="202" t="s">
        <v>114</v>
      </c>
      <c r="AY116" s="204">
        <f t="shared" si="802"/>
        <v>6645574.9999999991</v>
      </c>
      <c r="AZ116" s="202" t="s">
        <v>114</v>
      </c>
      <c r="BA116" s="204">
        <f t="shared" ref="BA116:BC116" si="803">BA117*BA66</f>
        <v>6616000.0000000009</v>
      </c>
      <c r="BB116" s="202" t="s">
        <v>114</v>
      </c>
      <c r="BC116" s="204">
        <f t="shared" si="803"/>
        <v>6626850</v>
      </c>
      <c r="BD116" s="202" t="s">
        <v>114</v>
      </c>
      <c r="BE116" s="204">
        <f t="shared" ref="BE116:BG116" si="804">BE117*BE66</f>
        <v>6647674.9999999991</v>
      </c>
      <c r="BF116" s="202" t="s">
        <v>114</v>
      </c>
      <c r="BG116" s="204">
        <f t="shared" si="804"/>
        <v>6713475</v>
      </c>
      <c r="BH116" s="202" t="s">
        <v>114</v>
      </c>
      <c r="BI116" s="204">
        <f t="shared" ref="BI116:BO116" si="805">BI117*BI66</f>
        <v>6750225</v>
      </c>
      <c r="BJ116" s="202" t="s">
        <v>114</v>
      </c>
      <c r="BK116" s="204">
        <f t="shared" ref="BK116:BM116" si="806">BK117*BK66</f>
        <v>6609000</v>
      </c>
      <c r="BL116" s="202" t="s">
        <v>114</v>
      </c>
      <c r="BM116" s="204">
        <f t="shared" si="806"/>
        <v>6975100.0000000009</v>
      </c>
      <c r="BN116" s="202" t="s">
        <v>114</v>
      </c>
      <c r="BO116" s="204">
        <f t="shared" si="805"/>
        <v>6750225</v>
      </c>
    </row>
    <row r="117" spans="1:67" s="65" customFormat="1" ht="18" customHeight="1" outlineLevel="2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2669.822916666667</v>
      </c>
      <c r="H117" s="202" t="s">
        <v>114</v>
      </c>
      <c r="I117" s="204">
        <f>SUM(I118:I123)</f>
        <v>2671.572916666667</v>
      </c>
      <c r="J117" s="202" t="s">
        <v>114</v>
      </c>
      <c r="K117" s="204">
        <f>SUM(K118:K123)</f>
        <v>2671.135416666667</v>
      </c>
      <c r="L117" s="202" t="s">
        <v>114</v>
      </c>
      <c r="M117" s="204">
        <f>SUM(M118:M123)</f>
        <v>2672.59375</v>
      </c>
      <c r="N117" s="202" t="s">
        <v>114</v>
      </c>
      <c r="O117" s="204">
        <f>SUM(O118:O123)</f>
        <v>2690.822916666667</v>
      </c>
      <c r="P117" s="202" t="s">
        <v>114</v>
      </c>
      <c r="Q117" s="204">
        <f>SUM(Q118:Q123)</f>
        <v>2694.90625</v>
      </c>
      <c r="R117" s="202" t="s">
        <v>114</v>
      </c>
      <c r="S117" s="204">
        <f>SUM(S118:S123)</f>
        <v>2717.21875</v>
      </c>
      <c r="T117" s="202" t="s">
        <v>114</v>
      </c>
      <c r="U117" s="204">
        <f>SUM(U118:U123)</f>
        <v>2708.03125</v>
      </c>
      <c r="V117" s="202" t="s">
        <v>114</v>
      </c>
      <c r="W117" s="204">
        <f>SUM(W118:W123)</f>
        <v>2721.447916666667</v>
      </c>
      <c r="X117" s="202" t="s">
        <v>114</v>
      </c>
      <c r="Y117" s="204">
        <f>SUM(Y118:Y123)</f>
        <v>2749.229166666667</v>
      </c>
      <c r="Z117" s="202" t="s">
        <v>114</v>
      </c>
      <c r="AA117" s="204">
        <f>SUM(AA118:AA123)</f>
        <v>2765.78125</v>
      </c>
      <c r="AB117" s="202" t="s">
        <v>114</v>
      </c>
      <c r="AC117" s="204">
        <f>SUM(AC118:AC123)</f>
        <v>2764.177083333333</v>
      </c>
      <c r="AD117" s="202" t="s">
        <v>114</v>
      </c>
      <c r="AE117" s="204">
        <f t="shared" ref="AE117" si="807">SUM(AE118:AE123)</f>
        <v>2742.885416666667</v>
      </c>
      <c r="AF117" s="202" t="s">
        <v>114</v>
      </c>
      <c r="AG117" s="204">
        <f t="shared" ref="AG117" si="808">SUM(AG118:AG123)</f>
        <v>2725.385416666667</v>
      </c>
      <c r="AH117" s="202" t="s">
        <v>114</v>
      </c>
      <c r="AI117" s="204">
        <f t="shared" ref="AI117:AK117" si="809">SUM(AI118:AI123)</f>
        <v>2738.802083333333</v>
      </c>
      <c r="AJ117" s="202" t="s">
        <v>114</v>
      </c>
      <c r="AK117" s="204">
        <f t="shared" si="809"/>
        <v>2708.322916666667</v>
      </c>
      <c r="AL117" s="202" t="s">
        <v>114</v>
      </c>
      <c r="AM117" s="204">
        <f t="shared" ref="AM117" si="810">SUM(AM118:AM123)</f>
        <v>2702.78125</v>
      </c>
      <c r="AN117" s="202" t="s">
        <v>114</v>
      </c>
      <c r="AO117" s="204">
        <f t="shared" ref="AO117" si="811">SUM(AO118:AO123)</f>
        <v>2713.71875</v>
      </c>
      <c r="AP117" s="202" t="s">
        <v>114</v>
      </c>
      <c r="AQ117" s="204">
        <f t="shared" ref="AQ117" si="812">SUM(AQ118:AQ123)</f>
        <v>2720.5</v>
      </c>
      <c r="AR117" s="202" t="s">
        <v>114</v>
      </c>
      <c r="AS117" s="204">
        <f t="shared" ref="AS117:AY117" si="813">SUM(AS118:AS123)</f>
        <v>2735.958333333333</v>
      </c>
      <c r="AT117" s="202" t="s">
        <v>114</v>
      </c>
      <c r="AU117" s="204">
        <f t="shared" si="813"/>
        <v>2743.177083333333</v>
      </c>
      <c r="AV117" s="202" t="s">
        <v>114</v>
      </c>
      <c r="AW117" s="204">
        <f t="shared" si="813"/>
        <v>2770.739583333333</v>
      </c>
      <c r="AX117" s="202" t="s">
        <v>114</v>
      </c>
      <c r="AY117" s="204">
        <f t="shared" si="813"/>
        <v>2768.989583333333</v>
      </c>
      <c r="AZ117" s="202" t="s">
        <v>114</v>
      </c>
      <c r="BA117" s="204">
        <f t="shared" ref="BA117:BC117" si="814">SUM(BA118:BA123)</f>
        <v>2756.666666666667</v>
      </c>
      <c r="BB117" s="202" t="s">
        <v>114</v>
      </c>
      <c r="BC117" s="204">
        <f t="shared" si="814"/>
        <v>2761.1875</v>
      </c>
      <c r="BD117" s="202" t="s">
        <v>114</v>
      </c>
      <c r="BE117" s="204">
        <f t="shared" ref="BE117:BG117" si="815">SUM(BE118:BE123)</f>
        <v>2769.864583333333</v>
      </c>
      <c r="BF117" s="202" t="s">
        <v>114</v>
      </c>
      <c r="BG117" s="204">
        <f t="shared" si="815"/>
        <v>2797.28125</v>
      </c>
      <c r="BH117" s="202" t="s">
        <v>114</v>
      </c>
      <c r="BI117" s="204">
        <f t="shared" ref="BI117:BO117" si="816">SUM(BI118:BI123)</f>
        <v>2812.59375</v>
      </c>
      <c r="BJ117" s="202" t="s">
        <v>114</v>
      </c>
      <c r="BK117" s="204">
        <f t="shared" ref="BK117:BM117" si="817">SUM(BK118:BK123)</f>
        <v>2753.75</v>
      </c>
      <c r="BL117" s="202" t="s">
        <v>114</v>
      </c>
      <c r="BM117" s="204">
        <f t="shared" si="817"/>
        <v>2906.291666666667</v>
      </c>
      <c r="BN117" s="202" t="s">
        <v>114</v>
      </c>
      <c r="BO117" s="204">
        <f t="shared" si="816"/>
        <v>2812.59375</v>
      </c>
    </row>
    <row r="118" spans="1:67" s="65" customFormat="1" ht="18" customHeight="1" outlineLevel="2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  <c r="BB118" s="202" t="s">
        <v>114</v>
      </c>
      <c r="BC118" s="204">
        <v>75</v>
      </c>
      <c r="BD118" s="202" t="s">
        <v>114</v>
      </c>
      <c r="BE118" s="204">
        <v>75</v>
      </c>
      <c r="BF118" s="202" t="s">
        <v>114</v>
      </c>
      <c r="BG118" s="204">
        <v>75</v>
      </c>
      <c r="BH118" s="202" t="s">
        <v>114</v>
      </c>
      <c r="BI118" s="204">
        <v>75</v>
      </c>
      <c r="BJ118" s="202" t="s">
        <v>114</v>
      </c>
      <c r="BK118" s="204">
        <v>75</v>
      </c>
      <c r="BL118" s="202" t="s">
        <v>114</v>
      </c>
      <c r="BM118" s="204">
        <v>75</v>
      </c>
      <c r="BN118" s="202" t="s">
        <v>114</v>
      </c>
      <c r="BO118" s="204">
        <v>75</v>
      </c>
    </row>
    <row r="119" spans="1:67" s="65" customFormat="1" ht="18" customHeight="1" outlineLevel="2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808.33333333333337</v>
      </c>
      <c r="H119" s="202" t="s">
        <v>114</v>
      </c>
      <c r="I119" s="204">
        <f>1940000/I66</f>
        <v>808.33333333333337</v>
      </c>
      <c r="J119" s="202" t="s">
        <v>114</v>
      </c>
      <c r="K119" s="204">
        <f>1940000/K66</f>
        <v>808.33333333333337</v>
      </c>
      <c r="L119" s="202" t="s">
        <v>114</v>
      </c>
      <c r="M119" s="204">
        <f>1940000/M66</f>
        <v>808.33333333333337</v>
      </c>
      <c r="N119" s="202" t="s">
        <v>114</v>
      </c>
      <c r="O119" s="204">
        <f>1940000/O66</f>
        <v>808.33333333333337</v>
      </c>
      <c r="P119" s="202" t="s">
        <v>114</v>
      </c>
      <c r="Q119" s="204">
        <f>1940000/Q66</f>
        <v>808.33333333333337</v>
      </c>
      <c r="R119" s="202" t="s">
        <v>114</v>
      </c>
      <c r="S119" s="204">
        <f>1940000/S66</f>
        <v>808.33333333333337</v>
      </c>
      <c r="T119" s="202" t="s">
        <v>114</v>
      </c>
      <c r="U119" s="204">
        <f>1940000/U66</f>
        <v>808.33333333333337</v>
      </c>
      <c r="V119" s="202" t="s">
        <v>114</v>
      </c>
      <c r="W119" s="204">
        <f>1940000/W66</f>
        <v>808.33333333333337</v>
      </c>
      <c r="X119" s="202" t="s">
        <v>114</v>
      </c>
      <c r="Y119" s="204">
        <f>1940000/Y66</f>
        <v>808.33333333333337</v>
      </c>
      <c r="Z119" s="202" t="s">
        <v>114</v>
      </c>
      <c r="AA119" s="204">
        <f>1940000/AA66</f>
        <v>808.33333333333337</v>
      </c>
      <c r="AB119" s="202" t="s">
        <v>114</v>
      </c>
      <c r="AC119" s="204">
        <f>1940000/AC66</f>
        <v>808.33333333333337</v>
      </c>
      <c r="AD119" s="202" t="s">
        <v>114</v>
      </c>
      <c r="AE119" s="204">
        <f t="shared" ref="AE119" si="818">1940000/AE66</f>
        <v>808.33333333333337</v>
      </c>
      <c r="AF119" s="202" t="s">
        <v>114</v>
      </c>
      <c r="AG119" s="204">
        <f t="shared" ref="AG119" si="819">1940000/AG66</f>
        <v>808.33333333333337</v>
      </c>
      <c r="AH119" s="202" t="s">
        <v>114</v>
      </c>
      <c r="AI119" s="204">
        <f t="shared" ref="AI119:AK119" si="820">1940000/AI66</f>
        <v>808.33333333333337</v>
      </c>
      <c r="AJ119" s="202" t="s">
        <v>114</v>
      </c>
      <c r="AK119" s="204">
        <f t="shared" si="820"/>
        <v>808.33333333333337</v>
      </c>
      <c r="AL119" s="202" t="s">
        <v>114</v>
      </c>
      <c r="AM119" s="204">
        <f t="shared" ref="AM119" si="821">1940000/AM66</f>
        <v>808.33333333333337</v>
      </c>
      <c r="AN119" s="202" t="s">
        <v>114</v>
      </c>
      <c r="AO119" s="204">
        <f t="shared" ref="AO119" si="822">1940000/AO66</f>
        <v>808.33333333333337</v>
      </c>
      <c r="AP119" s="202" t="s">
        <v>114</v>
      </c>
      <c r="AQ119" s="204">
        <f t="shared" ref="AQ119" si="823">1940000/AQ66</f>
        <v>808.33333333333337</v>
      </c>
      <c r="AR119" s="202" t="s">
        <v>114</v>
      </c>
      <c r="AS119" s="204">
        <f t="shared" ref="AS119:AY119" si="824">1940000/AS66</f>
        <v>808.33333333333337</v>
      </c>
      <c r="AT119" s="202" t="s">
        <v>114</v>
      </c>
      <c r="AU119" s="204">
        <f t="shared" si="824"/>
        <v>808.33333333333337</v>
      </c>
      <c r="AV119" s="202" t="s">
        <v>114</v>
      </c>
      <c r="AW119" s="204">
        <f t="shared" si="824"/>
        <v>808.33333333333337</v>
      </c>
      <c r="AX119" s="202" t="s">
        <v>114</v>
      </c>
      <c r="AY119" s="204">
        <f t="shared" si="824"/>
        <v>808.33333333333337</v>
      </c>
      <c r="AZ119" s="202" t="s">
        <v>114</v>
      </c>
      <c r="BA119" s="204">
        <f t="shared" ref="BA119:BC119" si="825">1940000/BA66</f>
        <v>808.33333333333337</v>
      </c>
      <c r="BB119" s="202" t="s">
        <v>114</v>
      </c>
      <c r="BC119" s="204">
        <f t="shared" si="825"/>
        <v>808.33333333333337</v>
      </c>
      <c r="BD119" s="202" t="s">
        <v>114</v>
      </c>
      <c r="BE119" s="204">
        <f t="shared" ref="BE119:BG119" si="826">1940000/BE66</f>
        <v>808.33333333333337</v>
      </c>
      <c r="BF119" s="202" t="s">
        <v>114</v>
      </c>
      <c r="BG119" s="204">
        <f t="shared" si="826"/>
        <v>808.33333333333337</v>
      </c>
      <c r="BH119" s="202" t="s">
        <v>114</v>
      </c>
      <c r="BI119" s="204">
        <f t="shared" ref="BI119:BO119" si="827">1940000/BI66</f>
        <v>808.33333333333337</v>
      </c>
      <c r="BJ119" s="202" t="s">
        <v>114</v>
      </c>
      <c r="BK119" s="204">
        <f t="shared" ref="BK119" si="828">1940000/BK66</f>
        <v>808.33333333333337</v>
      </c>
      <c r="BL119" s="202" t="s">
        <v>114</v>
      </c>
      <c r="BM119" s="204">
        <f>2150000/BM66</f>
        <v>895.83333333333337</v>
      </c>
      <c r="BN119" s="202" t="s">
        <v>114</v>
      </c>
      <c r="BO119" s="204">
        <f t="shared" si="827"/>
        <v>808.33333333333337</v>
      </c>
    </row>
    <row r="120" spans="1:67" s="65" customFormat="1" ht="18" customHeight="1" outlineLevel="2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114.58333333333333</v>
      </c>
      <c r="H120" s="202" t="s">
        <v>114</v>
      </c>
      <c r="I120" s="204">
        <f>275000/I66</f>
        <v>114.58333333333333</v>
      </c>
      <c r="J120" s="202" t="s">
        <v>114</v>
      </c>
      <c r="K120" s="204">
        <f>275000/K66</f>
        <v>114.58333333333333</v>
      </c>
      <c r="L120" s="202" t="s">
        <v>114</v>
      </c>
      <c r="M120" s="204">
        <f>275000/M66</f>
        <v>114.58333333333333</v>
      </c>
      <c r="N120" s="202" t="s">
        <v>114</v>
      </c>
      <c r="O120" s="204">
        <f>275000/O66</f>
        <v>114.58333333333333</v>
      </c>
      <c r="P120" s="202" t="s">
        <v>114</v>
      </c>
      <c r="Q120" s="204">
        <f>275000/Q66</f>
        <v>114.58333333333333</v>
      </c>
      <c r="R120" s="202" t="s">
        <v>114</v>
      </c>
      <c r="S120" s="204">
        <f>275000/S66</f>
        <v>114.58333333333333</v>
      </c>
      <c r="T120" s="202" t="s">
        <v>114</v>
      </c>
      <c r="U120" s="204">
        <f>275000/U66</f>
        <v>114.58333333333333</v>
      </c>
      <c r="V120" s="202" t="s">
        <v>114</v>
      </c>
      <c r="W120" s="204">
        <f>275000/W66</f>
        <v>114.58333333333333</v>
      </c>
      <c r="X120" s="202" t="s">
        <v>114</v>
      </c>
      <c r="Y120" s="204">
        <f>275000/Y66</f>
        <v>114.58333333333333</v>
      </c>
      <c r="Z120" s="202" t="s">
        <v>114</v>
      </c>
      <c r="AA120" s="204">
        <f>275000/AA66</f>
        <v>114.58333333333333</v>
      </c>
      <c r="AB120" s="202" t="s">
        <v>114</v>
      </c>
      <c r="AC120" s="204">
        <f>275000/AC66</f>
        <v>114.58333333333333</v>
      </c>
      <c r="AD120" s="202" t="s">
        <v>114</v>
      </c>
      <c r="AE120" s="204">
        <f t="shared" ref="AE120" si="829">275000/AE66</f>
        <v>114.58333333333333</v>
      </c>
      <c r="AF120" s="202" t="s">
        <v>114</v>
      </c>
      <c r="AG120" s="204">
        <f t="shared" ref="AG120" si="830">275000/AG66</f>
        <v>114.58333333333333</v>
      </c>
      <c r="AH120" s="202" t="s">
        <v>114</v>
      </c>
      <c r="AI120" s="204">
        <f t="shared" ref="AI120:AK120" si="831">275000/AI66</f>
        <v>114.58333333333333</v>
      </c>
      <c r="AJ120" s="202" t="s">
        <v>114</v>
      </c>
      <c r="AK120" s="204">
        <f t="shared" si="831"/>
        <v>114.58333333333333</v>
      </c>
      <c r="AL120" s="202" t="s">
        <v>114</v>
      </c>
      <c r="AM120" s="204">
        <f t="shared" ref="AM120" si="832">275000/AM66</f>
        <v>114.58333333333333</v>
      </c>
      <c r="AN120" s="202" t="s">
        <v>114</v>
      </c>
      <c r="AO120" s="204">
        <f t="shared" ref="AO120" si="833">275000/AO66</f>
        <v>114.58333333333333</v>
      </c>
      <c r="AP120" s="202" t="s">
        <v>114</v>
      </c>
      <c r="AQ120" s="204">
        <f t="shared" ref="AQ120" si="834">275000/AQ66</f>
        <v>114.58333333333333</v>
      </c>
      <c r="AR120" s="202" t="s">
        <v>114</v>
      </c>
      <c r="AS120" s="204">
        <f t="shared" ref="AS120:AY120" si="835">275000/AS66</f>
        <v>114.58333333333333</v>
      </c>
      <c r="AT120" s="202" t="s">
        <v>114</v>
      </c>
      <c r="AU120" s="204">
        <f t="shared" si="835"/>
        <v>114.58333333333333</v>
      </c>
      <c r="AV120" s="202" t="s">
        <v>114</v>
      </c>
      <c r="AW120" s="204">
        <f t="shared" si="835"/>
        <v>114.58333333333333</v>
      </c>
      <c r="AX120" s="202" t="s">
        <v>114</v>
      </c>
      <c r="AY120" s="204">
        <f t="shared" si="835"/>
        <v>114.58333333333333</v>
      </c>
      <c r="AZ120" s="202" t="s">
        <v>114</v>
      </c>
      <c r="BA120" s="204">
        <f t="shared" ref="BA120:BC120" si="836">275000/BA66</f>
        <v>114.58333333333333</v>
      </c>
      <c r="BB120" s="202" t="s">
        <v>114</v>
      </c>
      <c r="BC120" s="204">
        <f t="shared" si="836"/>
        <v>114.58333333333333</v>
      </c>
      <c r="BD120" s="202" t="s">
        <v>114</v>
      </c>
      <c r="BE120" s="204">
        <f t="shared" ref="BE120:BG120" si="837">275000/BE66</f>
        <v>114.58333333333333</v>
      </c>
      <c r="BF120" s="202" t="s">
        <v>114</v>
      </c>
      <c r="BG120" s="204">
        <f t="shared" si="837"/>
        <v>114.58333333333333</v>
      </c>
      <c r="BH120" s="202" t="s">
        <v>114</v>
      </c>
      <c r="BI120" s="204">
        <f t="shared" ref="BI120:BO120" si="838">275000/BI66</f>
        <v>114.58333333333333</v>
      </c>
      <c r="BJ120" s="202" t="s">
        <v>114</v>
      </c>
      <c r="BK120" s="204">
        <f t="shared" ref="BK120" si="839">275000/BK66</f>
        <v>114.58333333333333</v>
      </c>
      <c r="BL120" s="202" t="s">
        <v>114</v>
      </c>
      <c r="BM120" s="204">
        <f>300000/BM66</f>
        <v>125</v>
      </c>
      <c r="BN120" s="202" t="s">
        <v>114</v>
      </c>
      <c r="BO120" s="204">
        <f t="shared" si="838"/>
        <v>114.58333333333333</v>
      </c>
    </row>
    <row r="121" spans="1:67" s="65" customFormat="1" ht="18" customHeight="1" outlineLevel="2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533.33333333333337</v>
      </c>
      <c r="H121" s="202" t="s">
        <v>114</v>
      </c>
      <c r="I121" s="204">
        <f>1280000/I66</f>
        <v>533.33333333333337</v>
      </c>
      <c r="J121" s="202" t="s">
        <v>114</v>
      </c>
      <c r="K121" s="204">
        <f>1280000/K66</f>
        <v>533.33333333333337</v>
      </c>
      <c r="L121" s="202" t="s">
        <v>114</v>
      </c>
      <c r="M121" s="204">
        <f>1280000/M66</f>
        <v>533.33333333333337</v>
      </c>
      <c r="N121" s="202" t="s">
        <v>114</v>
      </c>
      <c r="O121" s="204">
        <f>1280000/O66</f>
        <v>533.33333333333337</v>
      </c>
      <c r="P121" s="202" t="s">
        <v>114</v>
      </c>
      <c r="Q121" s="204">
        <f>1280000/Q66</f>
        <v>533.33333333333337</v>
      </c>
      <c r="R121" s="202" t="s">
        <v>114</v>
      </c>
      <c r="S121" s="204">
        <f>1280000/S66</f>
        <v>533.33333333333337</v>
      </c>
      <c r="T121" s="202" t="s">
        <v>114</v>
      </c>
      <c r="U121" s="204">
        <f>1280000/U66</f>
        <v>533.33333333333337</v>
      </c>
      <c r="V121" s="202" t="s">
        <v>114</v>
      </c>
      <c r="W121" s="204">
        <f>1280000/W66</f>
        <v>533.33333333333337</v>
      </c>
      <c r="X121" s="202" t="s">
        <v>114</v>
      </c>
      <c r="Y121" s="204">
        <f>1280000/Y66</f>
        <v>533.33333333333337</v>
      </c>
      <c r="Z121" s="202" t="s">
        <v>114</v>
      </c>
      <c r="AA121" s="204">
        <f>1280000/AA66</f>
        <v>533.33333333333337</v>
      </c>
      <c r="AB121" s="202" t="s">
        <v>114</v>
      </c>
      <c r="AC121" s="204">
        <f>1280000/AC66</f>
        <v>533.33333333333337</v>
      </c>
      <c r="AD121" s="202" t="s">
        <v>114</v>
      </c>
      <c r="AE121" s="204">
        <f t="shared" ref="AE121" si="840">1280000/AE66</f>
        <v>533.33333333333337</v>
      </c>
      <c r="AF121" s="202" t="s">
        <v>114</v>
      </c>
      <c r="AG121" s="204">
        <f t="shared" ref="AG121" si="841">1280000/AG66</f>
        <v>533.33333333333337</v>
      </c>
      <c r="AH121" s="202" t="s">
        <v>114</v>
      </c>
      <c r="AI121" s="204">
        <f t="shared" ref="AI121:AK121" si="842">1280000/AI66</f>
        <v>533.33333333333337</v>
      </c>
      <c r="AJ121" s="202" t="s">
        <v>114</v>
      </c>
      <c r="AK121" s="204">
        <f t="shared" si="842"/>
        <v>533.33333333333337</v>
      </c>
      <c r="AL121" s="202" t="s">
        <v>114</v>
      </c>
      <c r="AM121" s="204">
        <f t="shared" ref="AM121" si="843">1280000/AM66</f>
        <v>533.33333333333337</v>
      </c>
      <c r="AN121" s="202" t="s">
        <v>114</v>
      </c>
      <c r="AO121" s="204">
        <f t="shared" ref="AO121" si="844">1280000/AO66</f>
        <v>533.33333333333337</v>
      </c>
      <c r="AP121" s="202" t="s">
        <v>114</v>
      </c>
      <c r="AQ121" s="204">
        <f t="shared" ref="AQ121" si="845">1280000/AQ66</f>
        <v>533.33333333333337</v>
      </c>
      <c r="AR121" s="202" t="s">
        <v>114</v>
      </c>
      <c r="AS121" s="204">
        <f t="shared" ref="AS121:AY121" si="846">1280000/AS66</f>
        <v>533.33333333333337</v>
      </c>
      <c r="AT121" s="202" t="s">
        <v>114</v>
      </c>
      <c r="AU121" s="204">
        <f t="shared" si="846"/>
        <v>533.33333333333337</v>
      </c>
      <c r="AV121" s="202" t="s">
        <v>114</v>
      </c>
      <c r="AW121" s="204">
        <f t="shared" si="846"/>
        <v>533.33333333333337</v>
      </c>
      <c r="AX121" s="202" t="s">
        <v>114</v>
      </c>
      <c r="AY121" s="204">
        <f t="shared" si="846"/>
        <v>533.33333333333337</v>
      </c>
      <c r="AZ121" s="202" t="s">
        <v>114</v>
      </c>
      <c r="BA121" s="204">
        <f t="shared" ref="BA121:BC121" si="847">1280000/BA66</f>
        <v>533.33333333333337</v>
      </c>
      <c r="BB121" s="202" t="s">
        <v>114</v>
      </c>
      <c r="BC121" s="204">
        <f t="shared" si="847"/>
        <v>533.33333333333337</v>
      </c>
      <c r="BD121" s="202" t="s">
        <v>114</v>
      </c>
      <c r="BE121" s="204">
        <f t="shared" ref="BE121:BG121" si="848">1280000/BE66</f>
        <v>533.33333333333337</v>
      </c>
      <c r="BF121" s="202" t="s">
        <v>114</v>
      </c>
      <c r="BG121" s="204">
        <f t="shared" si="848"/>
        <v>533.33333333333337</v>
      </c>
      <c r="BH121" s="202" t="s">
        <v>114</v>
      </c>
      <c r="BI121" s="204">
        <f t="shared" ref="BI121:BO121" si="849">1280000/BI66</f>
        <v>533.33333333333337</v>
      </c>
      <c r="BJ121" s="202" t="s">
        <v>114</v>
      </c>
      <c r="BK121" s="204">
        <f t="shared" ref="BK121" si="850">1280000/BK66</f>
        <v>533.33333333333337</v>
      </c>
      <c r="BL121" s="202" t="s">
        <v>114</v>
      </c>
      <c r="BM121" s="204">
        <f t="shared" ref="BM121" si="851">1280000/BM66</f>
        <v>533.33333333333337</v>
      </c>
      <c r="BN121" s="202" t="s">
        <v>114</v>
      </c>
      <c r="BO121" s="204">
        <f t="shared" si="849"/>
        <v>533.33333333333337</v>
      </c>
    </row>
    <row r="122" spans="1:67" s="65" customFormat="1" ht="18" customHeight="1" outlineLevel="2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93.75</v>
      </c>
      <c r="H122" s="202" t="s">
        <v>114</v>
      </c>
      <c r="I122" s="204">
        <f>225000/I66</f>
        <v>93.75</v>
      </c>
      <c r="J122" s="202" t="s">
        <v>114</v>
      </c>
      <c r="K122" s="204">
        <f>225000/K66</f>
        <v>93.75</v>
      </c>
      <c r="L122" s="202" t="s">
        <v>114</v>
      </c>
      <c r="M122" s="204">
        <f>225000/M66</f>
        <v>93.75</v>
      </c>
      <c r="N122" s="202" t="s">
        <v>114</v>
      </c>
      <c r="O122" s="204">
        <f>225000/O66</f>
        <v>93.75</v>
      </c>
      <c r="P122" s="202" t="s">
        <v>114</v>
      </c>
      <c r="Q122" s="204">
        <f>225000/Q66</f>
        <v>93.75</v>
      </c>
      <c r="R122" s="202" t="s">
        <v>114</v>
      </c>
      <c r="S122" s="204">
        <f>225000/S66</f>
        <v>93.75</v>
      </c>
      <c r="T122" s="202" t="s">
        <v>114</v>
      </c>
      <c r="U122" s="204">
        <f>225000/U66</f>
        <v>93.75</v>
      </c>
      <c r="V122" s="202" t="s">
        <v>114</v>
      </c>
      <c r="W122" s="204">
        <f>225000/W66</f>
        <v>93.75</v>
      </c>
      <c r="X122" s="202" t="s">
        <v>114</v>
      </c>
      <c r="Y122" s="204">
        <f>225000/Y66</f>
        <v>93.75</v>
      </c>
      <c r="Z122" s="202" t="s">
        <v>114</v>
      </c>
      <c r="AA122" s="204">
        <f>225000/AA66</f>
        <v>93.75</v>
      </c>
      <c r="AB122" s="202" t="s">
        <v>114</v>
      </c>
      <c r="AC122" s="204">
        <f>225000/AC66</f>
        <v>93.75</v>
      </c>
      <c r="AD122" s="202" t="s">
        <v>114</v>
      </c>
      <c r="AE122" s="204">
        <f t="shared" ref="AE122" si="852">225000/AE66</f>
        <v>93.75</v>
      </c>
      <c r="AF122" s="202" t="s">
        <v>114</v>
      </c>
      <c r="AG122" s="204">
        <f t="shared" ref="AG122" si="853">225000/AG66</f>
        <v>93.75</v>
      </c>
      <c r="AH122" s="202" t="s">
        <v>114</v>
      </c>
      <c r="AI122" s="204">
        <f t="shared" ref="AI122:AK122" si="854">225000/AI66</f>
        <v>93.75</v>
      </c>
      <c r="AJ122" s="202" t="s">
        <v>114</v>
      </c>
      <c r="AK122" s="204">
        <f t="shared" si="854"/>
        <v>93.75</v>
      </c>
      <c r="AL122" s="202" t="s">
        <v>114</v>
      </c>
      <c r="AM122" s="204">
        <f t="shared" ref="AM122" si="855">225000/AM66</f>
        <v>93.75</v>
      </c>
      <c r="AN122" s="202" t="s">
        <v>114</v>
      </c>
      <c r="AO122" s="204">
        <f t="shared" ref="AO122" si="856">225000/AO66</f>
        <v>93.75</v>
      </c>
      <c r="AP122" s="202" t="s">
        <v>114</v>
      </c>
      <c r="AQ122" s="204">
        <f t="shared" ref="AQ122" si="857">225000/AQ66</f>
        <v>93.75</v>
      </c>
      <c r="AR122" s="202" t="s">
        <v>114</v>
      </c>
      <c r="AS122" s="204">
        <f t="shared" ref="AS122:AY122" si="858">225000/AS66</f>
        <v>93.75</v>
      </c>
      <c r="AT122" s="202" t="s">
        <v>114</v>
      </c>
      <c r="AU122" s="204">
        <f t="shared" si="858"/>
        <v>93.75</v>
      </c>
      <c r="AV122" s="202" t="s">
        <v>114</v>
      </c>
      <c r="AW122" s="204">
        <f t="shared" si="858"/>
        <v>93.75</v>
      </c>
      <c r="AX122" s="202" t="s">
        <v>114</v>
      </c>
      <c r="AY122" s="204">
        <f t="shared" si="858"/>
        <v>93.75</v>
      </c>
      <c r="AZ122" s="202" t="s">
        <v>114</v>
      </c>
      <c r="BA122" s="204">
        <f t="shared" ref="BA122:BC122" si="859">225000/BA66</f>
        <v>93.75</v>
      </c>
      <c r="BB122" s="202" t="s">
        <v>114</v>
      </c>
      <c r="BC122" s="204">
        <f t="shared" si="859"/>
        <v>93.75</v>
      </c>
      <c r="BD122" s="202" t="s">
        <v>114</v>
      </c>
      <c r="BE122" s="204">
        <f t="shared" ref="BE122:BG122" si="860">225000/BE66</f>
        <v>93.75</v>
      </c>
      <c r="BF122" s="202" t="s">
        <v>114</v>
      </c>
      <c r="BG122" s="204">
        <f t="shared" si="860"/>
        <v>93.75</v>
      </c>
      <c r="BH122" s="202" t="s">
        <v>114</v>
      </c>
      <c r="BI122" s="204">
        <f t="shared" ref="BI122:BO122" si="861">225000/BI66</f>
        <v>93.75</v>
      </c>
      <c r="BJ122" s="202" t="s">
        <v>114</v>
      </c>
      <c r="BK122" s="204">
        <f t="shared" ref="BK122" si="862">225000/BK66</f>
        <v>93.75</v>
      </c>
      <c r="BL122" s="202" t="s">
        <v>114</v>
      </c>
      <c r="BM122" s="204">
        <f>(225000+45000)/BM66</f>
        <v>112.5</v>
      </c>
      <c r="BN122" s="202" t="s">
        <v>114</v>
      </c>
      <c r="BO122" s="204">
        <f t="shared" si="861"/>
        <v>93.75</v>
      </c>
    </row>
    <row r="123" spans="1:67" s="4" customFormat="1" ht="18" customHeight="1" outlineLevel="2" thickBot="1" x14ac:dyDescent="0.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1044.8229166666667</v>
      </c>
      <c r="H123" s="208" t="s">
        <v>114</v>
      </c>
      <c r="I123" s="209">
        <f>(175*I79)/I66</f>
        <v>1046.5729166666667</v>
      </c>
      <c r="J123" s="208" t="s">
        <v>114</v>
      </c>
      <c r="K123" s="209">
        <f>(175*K79)/K66</f>
        <v>1046.1354166666667</v>
      </c>
      <c r="L123" s="208" t="s">
        <v>114</v>
      </c>
      <c r="M123" s="209">
        <f>(175*M79)/M66</f>
        <v>1047.59375</v>
      </c>
      <c r="N123" s="208" t="s">
        <v>114</v>
      </c>
      <c r="O123" s="209">
        <f>(175*O79)/O66</f>
        <v>1065.8229166666667</v>
      </c>
      <c r="P123" s="208" t="s">
        <v>114</v>
      </c>
      <c r="Q123" s="209">
        <f>(175*Q79)/Q66</f>
        <v>1069.90625</v>
      </c>
      <c r="R123" s="208" t="s">
        <v>114</v>
      </c>
      <c r="S123" s="209">
        <f>(175*S79)/S66</f>
        <v>1092.21875</v>
      </c>
      <c r="T123" s="208" t="s">
        <v>114</v>
      </c>
      <c r="U123" s="209">
        <f>(175*U79)/U66</f>
        <v>1083.03125</v>
      </c>
      <c r="V123" s="208" t="s">
        <v>114</v>
      </c>
      <c r="W123" s="209">
        <f>(175*W79)/W66</f>
        <v>1096.4479166666667</v>
      </c>
      <c r="X123" s="208" t="s">
        <v>114</v>
      </c>
      <c r="Y123" s="209">
        <f>(175*Y79)/Y66</f>
        <v>1124.2291666666667</v>
      </c>
      <c r="Z123" s="208" t="s">
        <v>114</v>
      </c>
      <c r="AA123" s="209">
        <f>(175*AA79)/AA66</f>
        <v>1140.78125</v>
      </c>
      <c r="AB123" s="208" t="s">
        <v>114</v>
      </c>
      <c r="AC123" s="209">
        <f>(175*AC79)/AC66</f>
        <v>1139.1770833333333</v>
      </c>
      <c r="AD123" s="208" t="s">
        <v>114</v>
      </c>
      <c r="AE123" s="209">
        <f t="shared" ref="AE123" si="863">(175*AE79)/AE66</f>
        <v>1117.8854166666667</v>
      </c>
      <c r="AF123" s="208" t="s">
        <v>114</v>
      </c>
      <c r="AG123" s="209">
        <f t="shared" ref="AG123" si="864">(175*AG79)/AG66</f>
        <v>1100.3854166666667</v>
      </c>
      <c r="AH123" s="208" t="s">
        <v>114</v>
      </c>
      <c r="AI123" s="209">
        <f t="shared" ref="AI123:AK123" si="865">(175*AI79)/AI66</f>
        <v>1113.8020833333333</v>
      </c>
      <c r="AJ123" s="208" t="s">
        <v>114</v>
      </c>
      <c r="AK123" s="209">
        <f t="shared" si="865"/>
        <v>1083.3229166666667</v>
      </c>
      <c r="AL123" s="208" t="s">
        <v>114</v>
      </c>
      <c r="AM123" s="209">
        <f t="shared" ref="AM123" si="866">(175*AM79)/AM66</f>
        <v>1077.78125</v>
      </c>
      <c r="AN123" s="208" t="s">
        <v>114</v>
      </c>
      <c r="AO123" s="209">
        <f t="shared" ref="AO123" si="867">(175*AO79)/AO66</f>
        <v>1088.71875</v>
      </c>
      <c r="AP123" s="208" t="s">
        <v>114</v>
      </c>
      <c r="AQ123" s="209">
        <f t="shared" ref="AQ123" si="868">(175*AQ79)/AQ66</f>
        <v>1095.5</v>
      </c>
      <c r="AR123" s="208" t="s">
        <v>114</v>
      </c>
      <c r="AS123" s="209">
        <f t="shared" ref="AS123:AY123" si="869">(175*AS79)/AS66</f>
        <v>1110.9583333333333</v>
      </c>
      <c r="AT123" s="208" t="s">
        <v>114</v>
      </c>
      <c r="AU123" s="209">
        <f t="shared" si="869"/>
        <v>1118.1770833333333</v>
      </c>
      <c r="AV123" s="208" t="s">
        <v>114</v>
      </c>
      <c r="AW123" s="209">
        <f t="shared" si="869"/>
        <v>1145.7395833333333</v>
      </c>
      <c r="AX123" s="208" t="s">
        <v>114</v>
      </c>
      <c r="AY123" s="209">
        <f t="shared" si="869"/>
        <v>1143.9895833333333</v>
      </c>
      <c r="AZ123" s="208" t="s">
        <v>114</v>
      </c>
      <c r="BA123" s="209">
        <f t="shared" ref="BA123:BC123" si="870">(175*BA79)/BA66</f>
        <v>1131.6666666666667</v>
      </c>
      <c r="BB123" s="208" t="s">
        <v>114</v>
      </c>
      <c r="BC123" s="209">
        <f t="shared" si="870"/>
        <v>1136.1875</v>
      </c>
      <c r="BD123" s="208" t="s">
        <v>114</v>
      </c>
      <c r="BE123" s="209">
        <f t="shared" ref="BE123:BG123" si="871">(175*BE79)/BE66</f>
        <v>1144.8645833333333</v>
      </c>
      <c r="BF123" s="208" t="s">
        <v>114</v>
      </c>
      <c r="BG123" s="209">
        <f t="shared" si="871"/>
        <v>1172.28125</v>
      </c>
      <c r="BH123" s="208" t="s">
        <v>114</v>
      </c>
      <c r="BI123" s="209">
        <f t="shared" ref="BI123:BO123" si="872">(175*BI79)/BI66</f>
        <v>1187.59375</v>
      </c>
      <c r="BJ123" s="208" t="s">
        <v>114</v>
      </c>
      <c r="BK123" s="209">
        <f t="shared" ref="BK123" si="873">(175*BK79)/BK66</f>
        <v>1128.75</v>
      </c>
      <c r="BL123" s="208" t="s">
        <v>114</v>
      </c>
      <c r="BM123" s="209">
        <f t="shared" ref="BM123" si="874">(175*BM79)/BM66</f>
        <v>1164.625</v>
      </c>
      <c r="BN123" s="208" t="s">
        <v>114</v>
      </c>
      <c r="BO123" s="209">
        <f t="shared" si="872"/>
        <v>1187.59375</v>
      </c>
    </row>
    <row r="124" spans="1:67" ht="15" customHeight="1" outlineLevel="1" thickTop="1" x14ac:dyDescent="0.45">
      <c r="A124" s="561"/>
      <c r="B124" s="1187"/>
      <c r="C124" s="161"/>
      <c r="D124" s="162"/>
      <c r="E124" s="210"/>
      <c r="F124" s="164"/>
      <c r="G124" s="165"/>
      <c r="H124" s="359"/>
      <c r="I124" s="368"/>
      <c r="J124" s="359"/>
      <c r="K124" s="368"/>
      <c r="L124" s="164"/>
      <c r="M124" s="165"/>
      <c r="N124" s="359"/>
      <c r="O124" s="368"/>
      <c r="P124" s="359"/>
      <c r="Q124" s="368"/>
      <c r="R124" s="164"/>
      <c r="S124" s="165"/>
      <c r="T124" s="359"/>
      <c r="U124" s="368"/>
      <c r="V124" s="359"/>
      <c r="W124" s="368"/>
      <c r="X124" s="164"/>
      <c r="Y124" s="165"/>
      <c r="Z124" s="359"/>
      <c r="AA124" s="368"/>
      <c r="AB124" s="359"/>
      <c r="AC124" s="368"/>
      <c r="AD124" s="359"/>
      <c r="AE124" s="368"/>
      <c r="AF124" s="359"/>
      <c r="AG124" s="368"/>
      <c r="AH124" s="359"/>
      <c r="AI124" s="368"/>
      <c r="AJ124" s="359"/>
      <c r="AK124" s="368"/>
      <c r="AL124" s="359"/>
      <c r="AM124" s="368"/>
      <c r="AN124" s="359"/>
      <c r="AO124" s="368"/>
      <c r="AP124" s="359"/>
      <c r="AQ124" s="368"/>
      <c r="AR124" s="359"/>
      <c r="AS124" s="368"/>
      <c r="AT124" s="359"/>
      <c r="AU124" s="368"/>
      <c r="AV124" s="359"/>
      <c r="AW124" s="368"/>
      <c r="AX124" s="359"/>
      <c r="AY124" s="368"/>
      <c r="AZ124" s="359"/>
      <c r="BA124" s="368"/>
      <c r="BB124" s="359"/>
      <c r="BC124" s="368"/>
      <c r="BD124" s="359"/>
      <c r="BE124" s="368"/>
      <c r="BF124" s="359"/>
      <c r="BG124" s="368"/>
      <c r="BH124" s="359"/>
      <c r="BI124" s="368"/>
      <c r="BJ124" s="359"/>
      <c r="BK124" s="368"/>
      <c r="BL124" s="359"/>
      <c r="BM124" s="368"/>
      <c r="BN124" s="359"/>
      <c r="BO124" s="368"/>
    </row>
    <row r="125" spans="1:67" ht="15" customHeight="1" outlineLevel="3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271128</v>
      </c>
      <c r="H125" s="214"/>
      <c r="I125" s="215">
        <v>154272</v>
      </c>
      <c r="J125" s="214"/>
      <c r="K125" s="215">
        <v>154272</v>
      </c>
      <c r="L125" s="214"/>
      <c r="M125" s="215">
        <v>154272</v>
      </c>
      <c r="N125" s="214"/>
      <c r="O125" s="215">
        <v>154272</v>
      </c>
      <c r="P125" s="214"/>
      <c r="Q125" s="215">
        <v>154272</v>
      </c>
      <c r="R125" s="214"/>
      <c r="S125" s="215">
        <v>154272</v>
      </c>
      <c r="T125" s="214"/>
      <c r="U125" s="215">
        <v>154272</v>
      </c>
      <c r="V125" s="214"/>
      <c r="W125" s="215">
        <v>154272</v>
      </c>
      <c r="X125" s="214"/>
      <c r="Y125" s="215">
        <v>154272</v>
      </c>
      <c r="Z125" s="214"/>
      <c r="AA125" s="215">
        <v>154272</v>
      </c>
      <c r="AB125" s="214"/>
      <c r="AC125" s="215">
        <v>154272</v>
      </c>
      <c r="AD125" s="214"/>
      <c r="AE125" s="215">
        <v>154272</v>
      </c>
      <c r="AF125" s="214"/>
      <c r="AG125" s="215">
        <v>154272</v>
      </c>
      <c r="AH125" s="214"/>
      <c r="AI125" s="215">
        <v>154272</v>
      </c>
      <c r="AJ125" s="214"/>
      <c r="AK125" s="215">
        <v>154272</v>
      </c>
      <c r="AL125" s="214"/>
      <c r="AM125" s="215">
        <v>154272</v>
      </c>
      <c r="AN125" s="214"/>
      <c r="AO125" s="215">
        <v>154272</v>
      </c>
      <c r="AP125" s="214"/>
      <c r="AQ125" s="215">
        <v>154272</v>
      </c>
      <c r="AR125" s="214"/>
      <c r="AS125" s="215">
        <v>154272</v>
      </c>
      <c r="AT125" s="214"/>
      <c r="AU125" s="215">
        <v>154272</v>
      </c>
      <c r="AV125" s="214"/>
      <c r="AW125" s="215">
        <v>154272</v>
      </c>
      <c r="AX125" s="214"/>
      <c r="AY125" s="215">
        <v>154272</v>
      </c>
      <c r="AZ125" s="214"/>
      <c r="BA125" s="215">
        <v>154272</v>
      </c>
      <c r="BB125" s="214"/>
      <c r="BC125" s="215">
        <v>154272</v>
      </c>
      <c r="BD125" s="214"/>
      <c r="BE125" s="215">
        <v>154272</v>
      </c>
      <c r="BF125" s="214"/>
      <c r="BG125" s="215">
        <v>154272</v>
      </c>
      <c r="BH125" s="214"/>
      <c r="BI125" s="215">
        <v>154272</v>
      </c>
      <c r="BJ125" s="214"/>
      <c r="BK125" s="215">
        <v>154272</v>
      </c>
      <c r="BL125" s="214"/>
      <c r="BM125" s="215">
        <v>154272</v>
      </c>
      <c r="BN125" s="214"/>
      <c r="BO125" s="215">
        <v>154272</v>
      </c>
    </row>
    <row r="126" spans="1:67" ht="15" customHeight="1" outlineLevel="3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>
        <f>I125/I10</f>
        <v>6428</v>
      </c>
      <c r="J126" s="214"/>
      <c r="K126" s="215">
        <f>K125/K10</f>
        <v>6428</v>
      </c>
      <c r="L126" s="214"/>
      <c r="M126" s="215"/>
      <c r="N126" s="214"/>
      <c r="O126" s="215">
        <f>O125/O10</f>
        <v>6428</v>
      </c>
      <c r="P126" s="214"/>
      <c r="Q126" s="215">
        <f>Q125/Q10</f>
        <v>6428</v>
      </c>
      <c r="R126" s="214"/>
      <c r="S126" s="215"/>
      <c r="T126" s="214"/>
      <c r="U126" s="215">
        <f>U125/U10</f>
        <v>6428</v>
      </c>
      <c r="V126" s="214"/>
      <c r="W126" s="215">
        <f>W125/W10</f>
        <v>6428</v>
      </c>
      <c r="X126" s="214"/>
      <c r="Y126" s="215"/>
      <c r="Z126" s="214"/>
      <c r="AA126" s="215">
        <f>AA125/AA10</f>
        <v>6428</v>
      </c>
      <c r="AB126" s="214"/>
      <c r="AC126" s="215">
        <f>AC125/AC10</f>
        <v>6428</v>
      </c>
      <c r="AD126" s="214"/>
      <c r="AE126" s="215">
        <f t="shared" ref="AE126" si="875">AE125/AE10</f>
        <v>6428</v>
      </c>
      <c r="AF126" s="214"/>
      <c r="AG126" s="215">
        <f t="shared" ref="AG126" si="876">AG125/AG10</f>
        <v>6428</v>
      </c>
      <c r="AH126" s="214"/>
      <c r="AI126" s="215">
        <f t="shared" ref="AI126:AK126" si="877">AI125/AI10</f>
        <v>6428</v>
      </c>
      <c r="AJ126" s="214"/>
      <c r="AK126" s="215">
        <f t="shared" si="877"/>
        <v>6428</v>
      </c>
      <c r="AL126" s="214"/>
      <c r="AM126" s="215">
        <f t="shared" ref="AM126" si="878">AM125/AM10</f>
        <v>6428</v>
      </c>
      <c r="AN126" s="214"/>
      <c r="AO126" s="215">
        <f t="shared" ref="AO126" si="879">AO125/AO10</f>
        <v>6428</v>
      </c>
      <c r="AP126" s="214"/>
      <c r="AQ126" s="215">
        <f t="shared" ref="AQ126" si="880">AQ125/AQ10</f>
        <v>6428</v>
      </c>
      <c r="AR126" s="214"/>
      <c r="AS126" s="215">
        <f t="shared" ref="AS126:AY126" si="881">AS125/AS10</f>
        <v>6428</v>
      </c>
      <c r="AT126" s="214"/>
      <c r="AU126" s="215">
        <f t="shared" si="881"/>
        <v>6428</v>
      </c>
      <c r="AV126" s="214"/>
      <c r="AW126" s="215">
        <f t="shared" si="881"/>
        <v>6428</v>
      </c>
      <c r="AX126" s="214"/>
      <c r="AY126" s="215">
        <f t="shared" si="881"/>
        <v>6428</v>
      </c>
      <c r="AZ126" s="214"/>
      <c r="BA126" s="215">
        <f t="shared" ref="BA126:BC126" si="882">BA125/BA10</f>
        <v>6428</v>
      </c>
      <c r="BB126" s="214"/>
      <c r="BC126" s="215">
        <f t="shared" si="882"/>
        <v>6428</v>
      </c>
      <c r="BD126" s="214"/>
      <c r="BE126" s="215">
        <f t="shared" ref="BE126:BG126" si="883">BE125/BE10</f>
        <v>6428</v>
      </c>
      <c r="BF126" s="214"/>
      <c r="BG126" s="215">
        <f t="shared" si="883"/>
        <v>6428</v>
      </c>
      <c r="BH126" s="214"/>
      <c r="BI126" s="215">
        <f t="shared" ref="BI126:BO126" si="884">BI125/BI10</f>
        <v>6428</v>
      </c>
      <c r="BJ126" s="214"/>
      <c r="BK126" s="215">
        <f t="shared" ref="BK126:BM126" si="885">BK125/BK10</f>
        <v>6428</v>
      </c>
      <c r="BL126" s="214"/>
      <c r="BM126" s="215">
        <f t="shared" si="885"/>
        <v>6428</v>
      </c>
      <c r="BN126" s="214"/>
      <c r="BO126" s="215">
        <f t="shared" si="884"/>
        <v>6428</v>
      </c>
    </row>
    <row r="127" spans="1:67" ht="15" customHeight="1" outlineLevel="3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>
        <f>I126/I66</f>
        <v>2.6783333333333332</v>
      </c>
      <c r="J127" s="214"/>
      <c r="K127" s="215">
        <f>K126/K66</f>
        <v>2.6783333333333332</v>
      </c>
      <c r="L127" s="214"/>
      <c r="M127" s="215"/>
      <c r="N127" s="214"/>
      <c r="O127" s="215">
        <f>O126/O66</f>
        <v>2.6783333333333332</v>
      </c>
      <c r="P127" s="214"/>
      <c r="Q127" s="215">
        <f>Q126/Q66</f>
        <v>2.6783333333333332</v>
      </c>
      <c r="R127" s="214"/>
      <c r="S127" s="215"/>
      <c r="T127" s="214"/>
      <c r="U127" s="215">
        <f>U126/U66</f>
        <v>2.6783333333333332</v>
      </c>
      <c r="V127" s="214"/>
      <c r="W127" s="215">
        <f>W126/W66</f>
        <v>2.6783333333333332</v>
      </c>
      <c r="X127" s="214"/>
      <c r="Y127" s="215"/>
      <c r="Z127" s="214"/>
      <c r="AA127" s="215">
        <f>AA126/AA66</f>
        <v>2.6783333333333332</v>
      </c>
      <c r="AB127" s="214"/>
      <c r="AC127" s="215">
        <f>AC126/AC66</f>
        <v>2.6783333333333332</v>
      </c>
      <c r="AD127" s="214"/>
      <c r="AE127" s="215">
        <f t="shared" ref="AE127" si="886">AE126/AE66</f>
        <v>2.6783333333333332</v>
      </c>
      <c r="AF127" s="214"/>
      <c r="AG127" s="215">
        <f t="shared" ref="AG127" si="887">AG126/AG66</f>
        <v>2.6783333333333332</v>
      </c>
      <c r="AH127" s="214"/>
      <c r="AI127" s="215">
        <f t="shared" ref="AI127:AK127" si="888">AI126/AI66</f>
        <v>2.6783333333333332</v>
      </c>
      <c r="AJ127" s="214"/>
      <c r="AK127" s="215">
        <f t="shared" si="888"/>
        <v>2.6783333333333332</v>
      </c>
      <c r="AL127" s="214"/>
      <c r="AM127" s="215">
        <f t="shared" ref="AM127" si="889">AM126/AM66</f>
        <v>2.6783333333333332</v>
      </c>
      <c r="AN127" s="214"/>
      <c r="AO127" s="215">
        <f t="shared" ref="AO127" si="890">AO126/AO66</f>
        <v>2.6783333333333332</v>
      </c>
      <c r="AP127" s="214"/>
      <c r="AQ127" s="215">
        <f t="shared" ref="AQ127" si="891">AQ126/AQ66</f>
        <v>2.6783333333333332</v>
      </c>
      <c r="AR127" s="214"/>
      <c r="AS127" s="215">
        <f t="shared" ref="AS127:AY127" si="892">AS126/AS66</f>
        <v>2.6783333333333332</v>
      </c>
      <c r="AT127" s="214"/>
      <c r="AU127" s="215">
        <f t="shared" si="892"/>
        <v>2.6783333333333332</v>
      </c>
      <c r="AV127" s="214"/>
      <c r="AW127" s="215">
        <f t="shared" si="892"/>
        <v>2.6783333333333332</v>
      </c>
      <c r="AX127" s="214"/>
      <c r="AY127" s="215">
        <f t="shared" si="892"/>
        <v>2.6783333333333332</v>
      </c>
      <c r="AZ127" s="214"/>
      <c r="BA127" s="215">
        <f t="shared" ref="BA127:BC127" si="893">BA126/BA66</f>
        <v>2.6783333333333332</v>
      </c>
      <c r="BB127" s="214"/>
      <c r="BC127" s="215">
        <f t="shared" si="893"/>
        <v>2.6783333333333332</v>
      </c>
      <c r="BD127" s="214"/>
      <c r="BE127" s="215">
        <f t="shared" ref="BE127:BG127" si="894">BE126/BE66</f>
        <v>2.6783333333333332</v>
      </c>
      <c r="BF127" s="214"/>
      <c r="BG127" s="215">
        <f t="shared" si="894"/>
        <v>2.6783333333333332</v>
      </c>
      <c r="BH127" s="214"/>
      <c r="BI127" s="215">
        <f t="shared" ref="BI127:BO127" si="895">BI126/BI66</f>
        <v>2.6783333333333332</v>
      </c>
      <c r="BJ127" s="214"/>
      <c r="BK127" s="215">
        <f t="shared" ref="BK127:BM127" si="896">BK126/BK66</f>
        <v>2.6783333333333332</v>
      </c>
      <c r="BL127" s="214"/>
      <c r="BM127" s="215">
        <f t="shared" si="896"/>
        <v>2.6783333333333332</v>
      </c>
      <c r="BN127" s="214"/>
      <c r="BO127" s="215">
        <f t="shared" si="895"/>
        <v>2.6783333333333332</v>
      </c>
    </row>
    <row r="128" spans="1:67" ht="15" customHeight="1" outlineLevel="3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293304</v>
      </c>
      <c r="H128" s="219"/>
      <c r="I128" s="220">
        <v>192132</v>
      </c>
      <c r="J128" s="219"/>
      <c r="K128" s="220">
        <v>192132</v>
      </c>
      <c r="L128" s="219"/>
      <c r="M128" s="220">
        <v>192132</v>
      </c>
      <c r="N128" s="219"/>
      <c r="O128" s="220">
        <v>192132</v>
      </c>
      <c r="P128" s="219"/>
      <c r="Q128" s="220">
        <v>192132</v>
      </c>
      <c r="R128" s="219"/>
      <c r="S128" s="220">
        <v>192132</v>
      </c>
      <c r="T128" s="219"/>
      <c r="U128" s="220">
        <v>192132</v>
      </c>
      <c r="V128" s="219"/>
      <c r="W128" s="220">
        <v>192132</v>
      </c>
      <c r="X128" s="219"/>
      <c r="Y128" s="220">
        <v>192132</v>
      </c>
      <c r="Z128" s="219"/>
      <c r="AA128" s="220">
        <v>192132</v>
      </c>
      <c r="AB128" s="219"/>
      <c r="AC128" s="220">
        <v>192132</v>
      </c>
      <c r="AD128" s="219"/>
      <c r="AE128" s="220">
        <v>192132</v>
      </c>
      <c r="AF128" s="219"/>
      <c r="AG128" s="220">
        <v>192132</v>
      </c>
      <c r="AH128" s="219"/>
      <c r="AI128" s="220">
        <v>192132</v>
      </c>
      <c r="AJ128" s="219"/>
      <c r="AK128" s="220">
        <v>192132</v>
      </c>
      <c r="AL128" s="219"/>
      <c r="AM128" s="220">
        <v>192132</v>
      </c>
      <c r="AN128" s="219"/>
      <c r="AO128" s="220">
        <v>192132</v>
      </c>
      <c r="AP128" s="219"/>
      <c r="AQ128" s="220">
        <v>192132</v>
      </c>
      <c r="AR128" s="219"/>
      <c r="AS128" s="220">
        <v>192132</v>
      </c>
      <c r="AT128" s="219"/>
      <c r="AU128" s="220">
        <v>192132</v>
      </c>
      <c r="AV128" s="219"/>
      <c r="AW128" s="220">
        <v>192132</v>
      </c>
      <c r="AX128" s="219"/>
      <c r="AY128" s="220">
        <v>192132</v>
      </c>
      <c r="AZ128" s="219"/>
      <c r="BA128" s="220">
        <v>192132</v>
      </c>
      <c r="BB128" s="219"/>
      <c r="BC128" s="220">
        <v>192132</v>
      </c>
      <c r="BD128" s="219"/>
      <c r="BE128" s="220">
        <v>192132</v>
      </c>
      <c r="BF128" s="219"/>
      <c r="BG128" s="220">
        <v>192132</v>
      </c>
      <c r="BH128" s="219"/>
      <c r="BI128" s="220">
        <v>192132</v>
      </c>
      <c r="BJ128" s="219"/>
      <c r="BK128" s="220">
        <v>192132</v>
      </c>
      <c r="BL128" s="219"/>
      <c r="BM128" s="220">
        <v>192132</v>
      </c>
      <c r="BN128" s="219"/>
      <c r="BO128" s="220">
        <v>192132</v>
      </c>
    </row>
    <row r="129" spans="1:67" ht="15" customHeight="1" outlineLevel="3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12221</v>
      </c>
      <c r="H129" s="219"/>
      <c r="I129" s="221">
        <f>I128/I10</f>
        <v>8005.5</v>
      </c>
      <c r="J129" s="219"/>
      <c r="K129" s="221">
        <f>K128/K10</f>
        <v>8005.5</v>
      </c>
      <c r="L129" s="219"/>
      <c r="M129" s="221">
        <f>M128/M10</f>
        <v>8005.5</v>
      </c>
      <c r="N129" s="219"/>
      <c r="O129" s="221">
        <f>O128/O10</f>
        <v>8005.5</v>
      </c>
      <c r="P129" s="219"/>
      <c r="Q129" s="221">
        <f>Q128/Q10</f>
        <v>8005.5</v>
      </c>
      <c r="R129" s="219"/>
      <c r="S129" s="221">
        <f>S128/S10</f>
        <v>8005.5</v>
      </c>
      <c r="T129" s="219"/>
      <c r="U129" s="221">
        <f>U128/U10</f>
        <v>8005.5</v>
      </c>
      <c r="V129" s="219"/>
      <c r="W129" s="221">
        <f>W128/W10</f>
        <v>8005.5</v>
      </c>
      <c r="X129" s="219"/>
      <c r="Y129" s="221">
        <f>Y128/Y10</f>
        <v>8005.5</v>
      </c>
      <c r="Z129" s="219"/>
      <c r="AA129" s="221">
        <f>AA128/AA10</f>
        <v>8005.5</v>
      </c>
      <c r="AB129" s="219"/>
      <c r="AC129" s="221">
        <f>AC128/AC10</f>
        <v>8005.5</v>
      </c>
      <c r="AD129" s="219"/>
      <c r="AE129" s="221">
        <f t="shared" ref="AE129" si="897">AE128/AE10</f>
        <v>8005.5</v>
      </c>
      <c r="AF129" s="219"/>
      <c r="AG129" s="221">
        <f t="shared" ref="AG129" si="898">AG128/AG10</f>
        <v>8005.5</v>
      </c>
      <c r="AH129" s="219"/>
      <c r="AI129" s="221">
        <f t="shared" ref="AI129:AK129" si="899">AI128/AI10</f>
        <v>8005.5</v>
      </c>
      <c r="AJ129" s="219"/>
      <c r="AK129" s="221">
        <f t="shared" si="899"/>
        <v>8005.5</v>
      </c>
      <c r="AL129" s="219"/>
      <c r="AM129" s="221">
        <f t="shared" ref="AM129" si="900">AM128/AM10</f>
        <v>8005.5</v>
      </c>
      <c r="AN129" s="219"/>
      <c r="AO129" s="221">
        <f t="shared" ref="AO129" si="901">AO128/AO10</f>
        <v>8005.5</v>
      </c>
      <c r="AP129" s="219"/>
      <c r="AQ129" s="221">
        <f t="shared" ref="AQ129" si="902">AQ128/AQ10</f>
        <v>8005.5</v>
      </c>
      <c r="AR129" s="219"/>
      <c r="AS129" s="221">
        <f t="shared" ref="AS129:AY129" si="903">AS128/AS10</f>
        <v>8005.5</v>
      </c>
      <c r="AT129" s="219"/>
      <c r="AU129" s="221">
        <f t="shared" si="903"/>
        <v>8005.5</v>
      </c>
      <c r="AV129" s="219"/>
      <c r="AW129" s="221">
        <f t="shared" si="903"/>
        <v>8005.5</v>
      </c>
      <c r="AX129" s="219"/>
      <c r="AY129" s="221">
        <f t="shared" si="903"/>
        <v>8005.5</v>
      </c>
      <c r="AZ129" s="219"/>
      <c r="BA129" s="221">
        <f t="shared" ref="BA129:BC129" si="904">BA128/BA10</f>
        <v>8005.5</v>
      </c>
      <c r="BB129" s="219"/>
      <c r="BC129" s="221">
        <f t="shared" si="904"/>
        <v>8005.5</v>
      </c>
      <c r="BD129" s="219"/>
      <c r="BE129" s="221">
        <f t="shared" ref="BE129:BG129" si="905">BE128/BE10</f>
        <v>8005.5</v>
      </c>
      <c r="BF129" s="219"/>
      <c r="BG129" s="221">
        <f t="shared" si="905"/>
        <v>8005.5</v>
      </c>
      <c r="BH129" s="219"/>
      <c r="BI129" s="221">
        <f t="shared" ref="BI129:BO129" si="906">BI128/BI10</f>
        <v>8005.5</v>
      </c>
      <c r="BJ129" s="219"/>
      <c r="BK129" s="221">
        <f t="shared" ref="BK129:BM129" si="907">BK128/BK10</f>
        <v>8005.5</v>
      </c>
      <c r="BL129" s="219"/>
      <c r="BM129" s="221">
        <f t="shared" si="907"/>
        <v>8005.5</v>
      </c>
      <c r="BN129" s="219"/>
      <c r="BO129" s="221">
        <f t="shared" si="906"/>
        <v>8005.5</v>
      </c>
    </row>
    <row r="130" spans="1:67" ht="15" customHeight="1" outlineLevel="3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5.0920833333333331</v>
      </c>
      <c r="H130" s="222"/>
      <c r="I130" s="220">
        <f>I129/I66</f>
        <v>3.3356249999999998</v>
      </c>
      <c r="J130" s="222"/>
      <c r="K130" s="220">
        <f>K129/K66</f>
        <v>3.3356249999999998</v>
      </c>
      <c r="L130" s="222"/>
      <c r="M130" s="220">
        <f>M129/M66</f>
        <v>3.3356249999999998</v>
      </c>
      <c r="N130" s="222"/>
      <c r="O130" s="220">
        <f>O129/O66</f>
        <v>3.3356249999999998</v>
      </c>
      <c r="P130" s="222"/>
      <c r="Q130" s="220">
        <f>Q129/Q66</f>
        <v>3.3356249999999998</v>
      </c>
      <c r="R130" s="222"/>
      <c r="S130" s="220">
        <f>S129/S66</f>
        <v>3.3356249999999998</v>
      </c>
      <c r="T130" s="222"/>
      <c r="U130" s="220">
        <f>U129/U66</f>
        <v>3.3356249999999998</v>
      </c>
      <c r="V130" s="222"/>
      <c r="W130" s="220">
        <f>W129/W66</f>
        <v>3.3356249999999998</v>
      </c>
      <c r="X130" s="222"/>
      <c r="Y130" s="220">
        <f>Y129/Y66</f>
        <v>3.3356249999999998</v>
      </c>
      <c r="Z130" s="222"/>
      <c r="AA130" s="220">
        <f>AA129/AA66</f>
        <v>3.3356249999999998</v>
      </c>
      <c r="AB130" s="222"/>
      <c r="AC130" s="220">
        <f>AC129/AC66</f>
        <v>3.3356249999999998</v>
      </c>
      <c r="AD130" s="222"/>
      <c r="AE130" s="220">
        <f t="shared" ref="AE130" si="908">AE129/AE66</f>
        <v>3.3356249999999998</v>
      </c>
      <c r="AF130" s="222"/>
      <c r="AG130" s="220">
        <f t="shared" ref="AG130" si="909">AG129/AG66</f>
        <v>3.3356249999999998</v>
      </c>
      <c r="AH130" s="222"/>
      <c r="AI130" s="220">
        <f t="shared" ref="AI130:AK130" si="910">AI129/AI66</f>
        <v>3.3356249999999998</v>
      </c>
      <c r="AJ130" s="222"/>
      <c r="AK130" s="220">
        <f t="shared" si="910"/>
        <v>3.3356249999999998</v>
      </c>
      <c r="AL130" s="222"/>
      <c r="AM130" s="220">
        <f t="shared" ref="AM130" si="911">AM129/AM66</f>
        <v>3.3356249999999998</v>
      </c>
      <c r="AN130" s="222"/>
      <c r="AO130" s="220">
        <f t="shared" ref="AO130" si="912">AO129/AO66</f>
        <v>3.3356249999999998</v>
      </c>
      <c r="AP130" s="222"/>
      <c r="AQ130" s="220">
        <f t="shared" ref="AQ130" si="913">AQ129/AQ66</f>
        <v>3.3356249999999998</v>
      </c>
      <c r="AR130" s="222"/>
      <c r="AS130" s="220">
        <f t="shared" ref="AS130:AY130" si="914">AS129/AS66</f>
        <v>3.3356249999999998</v>
      </c>
      <c r="AT130" s="222"/>
      <c r="AU130" s="220">
        <f t="shared" si="914"/>
        <v>3.3356249999999998</v>
      </c>
      <c r="AV130" s="222"/>
      <c r="AW130" s="220">
        <f t="shared" si="914"/>
        <v>3.3356249999999998</v>
      </c>
      <c r="AX130" s="222"/>
      <c r="AY130" s="220">
        <f t="shared" si="914"/>
        <v>3.3356249999999998</v>
      </c>
      <c r="AZ130" s="222"/>
      <c r="BA130" s="220">
        <f t="shared" ref="BA130:BC130" si="915">BA129/BA66</f>
        <v>3.3356249999999998</v>
      </c>
      <c r="BB130" s="222"/>
      <c r="BC130" s="220">
        <f t="shared" si="915"/>
        <v>3.3356249999999998</v>
      </c>
      <c r="BD130" s="222"/>
      <c r="BE130" s="220">
        <f t="shared" ref="BE130:BG130" si="916">BE129/BE66</f>
        <v>3.3356249999999998</v>
      </c>
      <c r="BF130" s="222"/>
      <c r="BG130" s="220">
        <f t="shared" si="916"/>
        <v>3.3356249999999998</v>
      </c>
      <c r="BH130" s="222"/>
      <c r="BI130" s="220">
        <f t="shared" ref="BI130:BO130" si="917">BI129/BI66</f>
        <v>3.3356249999999998</v>
      </c>
      <c r="BJ130" s="222"/>
      <c r="BK130" s="220">
        <f t="shared" ref="BK130:BM130" si="918">BK129/BK66</f>
        <v>3.3356249999999998</v>
      </c>
      <c r="BL130" s="222"/>
      <c r="BM130" s="220">
        <f t="shared" si="918"/>
        <v>3.3356249999999998</v>
      </c>
      <c r="BN130" s="222"/>
      <c r="BO130" s="220">
        <f t="shared" si="917"/>
        <v>3.3356249999999998</v>
      </c>
    </row>
    <row r="131" spans="1:67" ht="15" customHeight="1" outlineLevel="2" x14ac:dyDescent="0.45">
      <c r="A131" s="561"/>
      <c r="B131" s="1187"/>
      <c r="C131" s="582" t="s">
        <v>417</v>
      </c>
      <c r="D131" s="583"/>
      <c r="E131" s="584" t="s">
        <v>123</v>
      </c>
      <c r="F131" s="585"/>
      <c r="G131" s="586">
        <f>INDEX(Table5[#All],MATCH(F$4,Table5[[#All],[SKU]],0),MATCH(LEFT(F$3,3),Table5[#Headers],0))</f>
        <v>28224</v>
      </c>
      <c r="H131" s="585"/>
      <c r="I131" s="586">
        <f>INDEX(Table5[#All],MATCH(H$4,Table5[[#All],[SKU]],0),MATCH(LEFT(H$3,3),Table5[#Headers],0))</f>
        <v>0</v>
      </c>
      <c r="J131" s="585"/>
      <c r="K131" s="586">
        <f>INDEX(Table5[#All],MATCH(J$4,Table5[[#All],[SKU]],0),MATCH(LEFT(J$3,3),Table5[#Headers],0))</f>
        <v>57600</v>
      </c>
      <c r="L131" s="585"/>
      <c r="M131" s="586">
        <f>INDEX(Table5[#All],MATCH(L$4,Table5[[#All],[SKU]],0),MATCH(LEFT(L$3,3),Table5[#Headers],0))</f>
        <v>0</v>
      </c>
      <c r="N131" s="585"/>
      <c r="O131" s="586">
        <f>INDEX(Table5[#All],MATCH(N$4,Table5[[#All],[SKU]],0),MATCH(LEFT(N$3,3),Table5[#Headers],0))</f>
        <v>57600</v>
      </c>
      <c r="P131" s="585"/>
      <c r="Q131" s="586">
        <f>INDEX(Table5[#All],MATCH(P$4,Table5[[#All],[SKU]],0),MATCH(LEFT(P$3,3),Table5[#Headers],0))</f>
        <v>0</v>
      </c>
      <c r="R131" s="585"/>
      <c r="S131" s="586">
        <f>INDEX(Table5[#All],MATCH(R$4,Table5[[#All],[SKU]],0),MATCH(LEFT(R$3,3),Table5[#Headers],0))</f>
        <v>0</v>
      </c>
      <c r="T131" s="585"/>
      <c r="U131" s="586">
        <f>INDEX(Table5[#All],MATCH(T$4,Table5[[#All],[SKU]],0),MATCH(LEFT(T$3,3),Table5[#Headers],0))</f>
        <v>57888</v>
      </c>
      <c r="V131" s="585"/>
      <c r="W131" s="586">
        <f>INDEX(Table5[#All],MATCH(V$4,Table5[[#All],[SKU]],0),MATCH(LEFT(V$3,3),Table5[#Headers],0))</f>
        <v>56568</v>
      </c>
      <c r="X131" s="585"/>
      <c r="Y131" s="586">
        <f>INDEX(Table5[#All],MATCH(X$4,Table5[[#All],[SKU]],0),MATCH(LEFT(X$3,3),Table5[#Headers],0))</f>
        <v>0</v>
      </c>
      <c r="Z131" s="585"/>
      <c r="AA131" s="586">
        <f>INDEX(Table5[#All],MATCH(Z$4,Table5[[#All],[SKU]],0),MATCH(LEFT(Z$3,3),Table5[#Headers],0))</f>
        <v>64800</v>
      </c>
      <c r="AB131" s="585"/>
      <c r="AC131" s="586">
        <f>INDEX(Table5[#All],MATCH(AB$4,Table5[[#All],[SKU]],0),MATCH(LEFT(AB$3,3),Table5[#Headers],0))</f>
        <v>79200</v>
      </c>
      <c r="AD131" s="585"/>
      <c r="AE131" s="586">
        <f>'Sales Volume'!P9</f>
        <v>82224</v>
      </c>
      <c r="AF131" s="585"/>
      <c r="AG131" s="586">
        <f>'Sales Volume'!Q9</f>
        <v>70224</v>
      </c>
      <c r="AH131" s="585"/>
      <c r="AI131" s="586">
        <f>'Sales Volume'!R9</f>
        <v>115824</v>
      </c>
      <c r="AJ131" s="585"/>
      <c r="AK131" s="586">
        <f>'Sales Volume'!S9</f>
        <v>58224</v>
      </c>
      <c r="AL131" s="585"/>
      <c r="AM131" s="586">
        <f>'Sales Volume'!T9</f>
        <v>0</v>
      </c>
      <c r="AN131" s="585"/>
      <c r="AO131" s="586">
        <f>'Sales Volume'!U9</f>
        <v>116448</v>
      </c>
      <c r="AP131" s="585"/>
      <c r="AQ131" s="586">
        <f>'Sales Volume'!V9</f>
        <v>0</v>
      </c>
      <c r="AR131" s="585"/>
      <c r="AS131" s="586">
        <f>'Sales Volume'!W9</f>
        <v>58224</v>
      </c>
      <c r="AT131" s="585"/>
      <c r="AU131" s="586">
        <f>'Sales Volume'!X9</f>
        <v>174672</v>
      </c>
      <c r="AV131" s="585"/>
      <c r="AW131" s="586">
        <f>'Sales Volume'!Y9</f>
        <v>58224</v>
      </c>
      <c r="AX131" s="585"/>
      <c r="AY131" s="586">
        <v>0</v>
      </c>
      <c r="AZ131" s="585"/>
      <c r="BA131" s="586">
        <v>0</v>
      </c>
      <c r="BB131" s="585"/>
      <c r="BC131" s="586">
        <v>0</v>
      </c>
      <c r="BD131" s="585"/>
      <c r="BE131" s="586">
        <v>0</v>
      </c>
      <c r="BF131" s="585"/>
      <c r="BG131" s="586">
        <v>0</v>
      </c>
      <c r="BH131" s="585"/>
      <c r="BI131" s="586">
        <v>0</v>
      </c>
      <c r="BJ131" s="585"/>
      <c r="BK131" s="586">
        <v>0</v>
      </c>
      <c r="BL131" s="585"/>
      <c r="BM131" s="586">
        <v>0</v>
      </c>
      <c r="BN131" s="585"/>
      <c r="BO131" s="586">
        <v>0</v>
      </c>
    </row>
    <row r="132" spans="1:67" ht="15" customHeight="1" outlineLevel="2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1176</v>
      </c>
      <c r="H132" s="585"/>
      <c r="I132" s="586">
        <f>I131/I10</f>
        <v>0</v>
      </c>
      <c r="J132" s="585"/>
      <c r="K132" s="586">
        <f>K131/K10</f>
        <v>2400</v>
      </c>
      <c r="L132" s="585"/>
      <c r="M132" s="586">
        <f>M131/M10</f>
        <v>0</v>
      </c>
      <c r="N132" s="585"/>
      <c r="O132" s="586">
        <f>O131/O10</f>
        <v>2400</v>
      </c>
      <c r="P132" s="585"/>
      <c r="Q132" s="586">
        <f>Q131/Q10</f>
        <v>0</v>
      </c>
      <c r="R132" s="585"/>
      <c r="S132" s="586">
        <f>S131/S10</f>
        <v>0</v>
      </c>
      <c r="T132" s="585"/>
      <c r="U132" s="586">
        <f>U131/U10</f>
        <v>2412</v>
      </c>
      <c r="V132" s="585"/>
      <c r="W132" s="586">
        <f>W131/W10</f>
        <v>2357</v>
      </c>
      <c r="X132" s="585"/>
      <c r="Y132" s="586">
        <f>Y131/Y10</f>
        <v>0</v>
      </c>
      <c r="Z132" s="585"/>
      <c r="AA132" s="586">
        <f>AA131/AA10</f>
        <v>2700</v>
      </c>
      <c r="AB132" s="585"/>
      <c r="AC132" s="586">
        <f>AC131/AC10</f>
        <v>3300</v>
      </c>
      <c r="AD132" s="585"/>
      <c r="AE132" s="586">
        <f t="shared" ref="AE132" si="919">AE131/AE10</f>
        <v>3426</v>
      </c>
      <c r="AF132" s="585"/>
      <c r="AG132" s="586">
        <f t="shared" ref="AG132" si="920">AG131/AG10</f>
        <v>2926</v>
      </c>
      <c r="AH132" s="585"/>
      <c r="AI132" s="586">
        <f t="shared" ref="AI132:AK132" si="921">AI131/AI10</f>
        <v>4826</v>
      </c>
      <c r="AJ132" s="585"/>
      <c r="AK132" s="586">
        <f t="shared" si="921"/>
        <v>2426</v>
      </c>
      <c r="AL132" s="585"/>
      <c r="AM132" s="586">
        <f t="shared" ref="AM132" si="922">AM131/AM10</f>
        <v>0</v>
      </c>
      <c r="AN132" s="585"/>
      <c r="AO132" s="586">
        <f t="shared" ref="AO132" si="923">AO131/AO10</f>
        <v>4852</v>
      </c>
      <c r="AP132" s="585"/>
      <c r="AQ132" s="586">
        <f t="shared" ref="AQ132" si="924">AQ131/AQ10</f>
        <v>0</v>
      </c>
      <c r="AR132" s="585"/>
      <c r="AS132" s="586">
        <f t="shared" ref="AS132:AY132" si="925">AS131/AS10</f>
        <v>2426</v>
      </c>
      <c r="AT132" s="585"/>
      <c r="AU132" s="586">
        <f t="shared" si="925"/>
        <v>7278</v>
      </c>
      <c r="AV132" s="585"/>
      <c r="AW132" s="586">
        <f t="shared" si="925"/>
        <v>2426</v>
      </c>
      <c r="AX132" s="585"/>
      <c r="AY132" s="586">
        <f t="shared" si="925"/>
        <v>0</v>
      </c>
      <c r="AZ132" s="585"/>
      <c r="BA132" s="586">
        <f t="shared" ref="BA132:BC132" si="926">BA131/BA10</f>
        <v>0</v>
      </c>
      <c r="BB132" s="585"/>
      <c r="BC132" s="586">
        <f t="shared" si="926"/>
        <v>0</v>
      </c>
      <c r="BD132" s="585"/>
      <c r="BE132" s="586">
        <f t="shared" ref="BE132:BG132" si="927">BE131/BE10</f>
        <v>0</v>
      </c>
      <c r="BF132" s="585"/>
      <c r="BG132" s="586">
        <f t="shared" si="927"/>
        <v>0</v>
      </c>
      <c r="BH132" s="585"/>
      <c r="BI132" s="586">
        <f t="shared" ref="BI132:BO132" si="928">BI131/BI10</f>
        <v>0</v>
      </c>
      <c r="BJ132" s="585"/>
      <c r="BK132" s="586">
        <f t="shared" ref="BK132:BM132" si="929">BK131/BK10</f>
        <v>0</v>
      </c>
      <c r="BL132" s="585"/>
      <c r="BM132" s="586">
        <f t="shared" si="929"/>
        <v>0</v>
      </c>
      <c r="BN132" s="585"/>
      <c r="BO132" s="586">
        <f t="shared" si="928"/>
        <v>0</v>
      </c>
    </row>
    <row r="133" spans="1:67" ht="15" customHeight="1" outlineLevel="2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0.49</v>
      </c>
      <c r="H133" s="585"/>
      <c r="I133" s="586">
        <f>I132/I66</f>
        <v>0</v>
      </c>
      <c r="J133" s="585"/>
      <c r="K133" s="586">
        <f>K132/K66</f>
        <v>1</v>
      </c>
      <c r="L133" s="585"/>
      <c r="M133" s="586">
        <f>M132/M66</f>
        <v>0</v>
      </c>
      <c r="N133" s="585"/>
      <c r="O133" s="586">
        <f>O132/O66</f>
        <v>1</v>
      </c>
      <c r="P133" s="585"/>
      <c r="Q133" s="586">
        <f>Q132/Q66</f>
        <v>0</v>
      </c>
      <c r="R133" s="585"/>
      <c r="S133" s="586">
        <f>S132/S66</f>
        <v>0</v>
      </c>
      <c r="T133" s="585"/>
      <c r="U133" s="586">
        <f>U132/U66</f>
        <v>1.0049999999999999</v>
      </c>
      <c r="V133" s="585"/>
      <c r="W133" s="586">
        <f>W132/W66</f>
        <v>0.98208333333333331</v>
      </c>
      <c r="X133" s="585"/>
      <c r="Y133" s="586">
        <f>Y132/Y66</f>
        <v>0</v>
      </c>
      <c r="Z133" s="585"/>
      <c r="AA133" s="586">
        <f>AA132/AA66</f>
        <v>1.125</v>
      </c>
      <c r="AB133" s="585"/>
      <c r="AC133" s="586">
        <f>AC132/AC66</f>
        <v>1.375</v>
      </c>
      <c r="AD133" s="585"/>
      <c r="AE133" s="586">
        <f t="shared" ref="AE133" si="930">AE132/AE66</f>
        <v>1.4275</v>
      </c>
      <c r="AF133" s="585"/>
      <c r="AG133" s="586">
        <f t="shared" ref="AG133" si="931">AG132/AG66</f>
        <v>1.2191666666666667</v>
      </c>
      <c r="AH133" s="585"/>
      <c r="AI133" s="586">
        <f t="shared" ref="AI133:AK133" si="932">AI132/AI66</f>
        <v>2.0108333333333333</v>
      </c>
      <c r="AJ133" s="585"/>
      <c r="AK133" s="586">
        <f t="shared" si="932"/>
        <v>1.0108333333333333</v>
      </c>
      <c r="AL133" s="585"/>
      <c r="AM133" s="586">
        <f t="shared" ref="AM133" si="933">AM132/AM66</f>
        <v>0</v>
      </c>
      <c r="AN133" s="585"/>
      <c r="AO133" s="586">
        <f t="shared" ref="AO133" si="934">AO132/AO66</f>
        <v>2.0216666666666665</v>
      </c>
      <c r="AP133" s="585"/>
      <c r="AQ133" s="586">
        <f t="shared" ref="AQ133" si="935">AQ132/AQ66</f>
        <v>0</v>
      </c>
      <c r="AR133" s="585"/>
      <c r="AS133" s="586">
        <f t="shared" ref="AS133:AY133" si="936">AS132/AS66</f>
        <v>1.0108333333333333</v>
      </c>
      <c r="AT133" s="585"/>
      <c r="AU133" s="586">
        <f t="shared" si="936"/>
        <v>3.0325000000000002</v>
      </c>
      <c r="AV133" s="585"/>
      <c r="AW133" s="586">
        <f t="shared" si="936"/>
        <v>1.0108333333333333</v>
      </c>
      <c r="AX133" s="585"/>
      <c r="AY133" s="586">
        <f t="shared" si="936"/>
        <v>0</v>
      </c>
      <c r="AZ133" s="585"/>
      <c r="BA133" s="586">
        <f t="shared" ref="BA133:BC133" si="937">BA132/BA66</f>
        <v>0</v>
      </c>
      <c r="BB133" s="585"/>
      <c r="BC133" s="586">
        <f t="shared" si="937"/>
        <v>0</v>
      </c>
      <c r="BD133" s="585"/>
      <c r="BE133" s="586">
        <f t="shared" ref="BE133:BG133" si="938">BE132/BE66</f>
        <v>0</v>
      </c>
      <c r="BF133" s="585"/>
      <c r="BG133" s="586">
        <f t="shared" si="938"/>
        <v>0</v>
      </c>
      <c r="BH133" s="585"/>
      <c r="BI133" s="586">
        <f t="shared" ref="BI133:BO133" si="939">BI132/BI66</f>
        <v>0</v>
      </c>
      <c r="BJ133" s="585"/>
      <c r="BK133" s="586">
        <f t="shared" ref="BK133:BM133" si="940">BK132/BK66</f>
        <v>0</v>
      </c>
      <c r="BL133" s="585"/>
      <c r="BM133" s="586">
        <f t="shared" si="940"/>
        <v>0</v>
      </c>
      <c r="BN133" s="585"/>
      <c r="BO133" s="586">
        <f t="shared" si="939"/>
        <v>0</v>
      </c>
    </row>
    <row r="134" spans="1:67" outlineLevel="1" x14ac:dyDescent="0.45">
      <c r="A134" s="561"/>
      <c r="B134" s="1187"/>
      <c r="C134" s="223"/>
      <c r="D134" s="175"/>
      <c r="E134" s="176"/>
      <c r="F134" s="177"/>
      <c r="G134" s="178"/>
      <c r="H134" s="375"/>
      <c r="I134" s="376"/>
      <c r="J134" s="375"/>
      <c r="K134" s="376"/>
      <c r="L134" s="177"/>
      <c r="M134" s="178"/>
      <c r="N134" s="375"/>
      <c r="O134" s="376"/>
      <c r="P134" s="375"/>
      <c r="Q134" s="376"/>
      <c r="R134" s="177"/>
      <c r="S134" s="178"/>
      <c r="T134" s="375"/>
      <c r="U134" s="376"/>
      <c r="V134" s="375"/>
      <c r="W134" s="376"/>
      <c r="X134" s="177"/>
      <c r="Y134" s="178"/>
      <c r="Z134" s="375"/>
      <c r="AA134" s="376"/>
      <c r="AB134" s="375"/>
      <c r="AC134" s="376"/>
      <c r="AD134" s="375"/>
      <c r="AE134" s="376"/>
      <c r="AF134" s="375"/>
      <c r="AG134" s="376"/>
      <c r="AH134" s="375"/>
      <c r="AI134" s="376"/>
      <c r="AJ134" s="375"/>
      <c r="AK134" s="376"/>
      <c r="AL134" s="375"/>
      <c r="AM134" s="376"/>
      <c r="AN134" s="375"/>
      <c r="AO134" s="376"/>
      <c r="AP134" s="375"/>
      <c r="AQ134" s="376"/>
      <c r="AR134" s="375"/>
      <c r="AS134" s="376"/>
      <c r="AT134" s="375"/>
      <c r="AU134" s="376"/>
      <c r="AV134" s="375"/>
      <c r="AW134" s="376"/>
      <c r="AX134" s="375"/>
      <c r="AY134" s="376"/>
      <c r="AZ134" s="375"/>
      <c r="BA134" s="376"/>
      <c r="BB134" s="375"/>
      <c r="BC134" s="376"/>
      <c r="BD134" s="375"/>
      <c r="BE134" s="376"/>
      <c r="BF134" s="375"/>
      <c r="BG134" s="376"/>
      <c r="BH134" s="375"/>
      <c r="BI134" s="376"/>
      <c r="BJ134" s="375"/>
      <c r="BK134" s="376"/>
      <c r="BL134" s="375"/>
      <c r="BM134" s="376"/>
      <c r="BN134" s="375"/>
      <c r="BO134" s="376"/>
    </row>
    <row r="135" spans="1:67" outlineLevel="2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380"/>
      <c r="I135" s="384">
        <f>I64</f>
        <v>1200</v>
      </c>
      <c r="J135" s="380"/>
      <c r="K135" s="384">
        <f>K64</f>
        <v>1200</v>
      </c>
      <c r="L135" s="180"/>
      <c r="M135" s="384">
        <f>M64</f>
        <v>1200</v>
      </c>
      <c r="N135" s="380"/>
      <c r="O135" s="384">
        <f>O64</f>
        <v>1200</v>
      </c>
      <c r="P135" s="380"/>
      <c r="Q135" s="384">
        <f>Q64</f>
        <v>1200</v>
      </c>
      <c r="R135" s="180"/>
      <c r="S135" s="384">
        <f>S64</f>
        <v>1200</v>
      </c>
      <c r="T135" s="380"/>
      <c r="U135" s="384">
        <f>U64</f>
        <v>1200</v>
      </c>
      <c r="V135" s="380"/>
      <c r="W135" s="384">
        <f>W64</f>
        <v>1200</v>
      </c>
      <c r="X135" s="180"/>
      <c r="Y135" s="384">
        <f>Y64</f>
        <v>1200</v>
      </c>
      <c r="Z135" s="380"/>
      <c r="AA135" s="384">
        <f>AA64</f>
        <v>1200</v>
      </c>
      <c r="AB135" s="380"/>
      <c r="AC135" s="384">
        <f>AC64</f>
        <v>1200</v>
      </c>
      <c r="AD135" s="380"/>
      <c r="AE135" s="384">
        <f t="shared" ref="AE135" si="941">AE64</f>
        <v>1200</v>
      </c>
      <c r="AF135" s="380"/>
      <c r="AG135" s="384">
        <f t="shared" ref="AG135" si="942">AG64</f>
        <v>1200</v>
      </c>
      <c r="AH135" s="380"/>
      <c r="AI135" s="384">
        <f t="shared" ref="AI135:AK135" si="943">AI64</f>
        <v>1200</v>
      </c>
      <c r="AJ135" s="380"/>
      <c r="AK135" s="384">
        <f t="shared" si="943"/>
        <v>1200</v>
      </c>
      <c r="AL135" s="380"/>
      <c r="AM135" s="384">
        <f t="shared" ref="AM135" si="944">AM64</f>
        <v>1200</v>
      </c>
      <c r="AN135" s="380"/>
      <c r="AO135" s="384">
        <f t="shared" ref="AO135" si="945">AO64</f>
        <v>1200</v>
      </c>
      <c r="AP135" s="380"/>
      <c r="AQ135" s="384">
        <f t="shared" ref="AQ135" si="946">AQ64</f>
        <v>1200</v>
      </c>
      <c r="AR135" s="380"/>
      <c r="AS135" s="384">
        <f t="shared" ref="AS135:AY135" si="947">AS64</f>
        <v>1200</v>
      </c>
      <c r="AT135" s="380"/>
      <c r="AU135" s="384">
        <f t="shared" si="947"/>
        <v>1200</v>
      </c>
      <c r="AV135" s="380"/>
      <c r="AW135" s="384">
        <f t="shared" si="947"/>
        <v>1200</v>
      </c>
      <c r="AX135" s="380"/>
      <c r="AY135" s="384">
        <f t="shared" si="947"/>
        <v>750</v>
      </c>
      <c r="AZ135" s="380"/>
      <c r="BA135" s="384">
        <f t="shared" ref="BA135:BC135" si="948">BA64</f>
        <v>750</v>
      </c>
      <c r="BB135" s="380"/>
      <c r="BC135" s="384">
        <f t="shared" si="948"/>
        <v>750</v>
      </c>
      <c r="BD135" s="380"/>
      <c r="BE135" s="384">
        <f t="shared" ref="BE135:BG135" si="949">BE64</f>
        <v>750</v>
      </c>
      <c r="BF135" s="380"/>
      <c r="BG135" s="384">
        <f t="shared" si="949"/>
        <v>750</v>
      </c>
      <c r="BH135" s="380"/>
      <c r="BI135" s="384">
        <f t="shared" ref="BI135:BO135" si="950">BI64</f>
        <v>750</v>
      </c>
      <c r="BJ135" s="380"/>
      <c r="BK135" s="384">
        <f t="shared" ref="BK135:BM135" si="951">BK64</f>
        <v>750</v>
      </c>
      <c r="BL135" s="380"/>
      <c r="BM135" s="384">
        <f t="shared" si="951"/>
        <v>750</v>
      </c>
      <c r="BN135" s="380"/>
      <c r="BO135" s="384">
        <f t="shared" si="950"/>
        <v>750</v>
      </c>
    </row>
    <row r="136" spans="1:67" outlineLevel="2" x14ac:dyDescent="0.45">
      <c r="A136" s="561"/>
      <c r="B136" s="1187"/>
      <c r="C136" s="161" t="s">
        <v>388</v>
      </c>
      <c r="D136" s="162"/>
      <c r="E136" s="179"/>
      <c r="F136" s="180"/>
      <c r="G136" s="224">
        <v>640.27318322484257</v>
      </c>
      <c r="H136" s="380"/>
      <c r="I136" s="384">
        <f>G136</f>
        <v>640.27318322484257</v>
      </c>
      <c r="J136" s="380"/>
      <c r="K136" s="384">
        <v>883.92857142857144</v>
      </c>
      <c r="L136" s="180"/>
      <c r="M136" s="224">
        <f>K136</f>
        <v>883.92857142857144</v>
      </c>
      <c r="N136" s="380"/>
      <c r="O136" s="384">
        <v>789.63110667996023</v>
      </c>
      <c r="P136" s="380"/>
      <c r="Q136" s="384">
        <f>O136</f>
        <v>789.63110667996023</v>
      </c>
      <c r="R136" s="180"/>
      <c r="S136" s="224">
        <f>Q136</f>
        <v>789.63110667996023</v>
      </c>
      <c r="T136" s="380"/>
      <c r="U136" s="384">
        <v>707.51565461485268</v>
      </c>
      <c r="V136" s="380"/>
      <c r="W136" s="384">
        <v>544.61650861581882</v>
      </c>
      <c r="X136" s="180"/>
      <c r="Y136" s="224">
        <f>W136</f>
        <v>544.61650861581882</v>
      </c>
      <c r="Z136" s="380"/>
      <c r="AA136" s="384">
        <v>378.61782436131057</v>
      </c>
      <c r="AB136" s="380"/>
      <c r="AC136" s="384">
        <v>285.82280175858136</v>
      </c>
      <c r="AD136" s="380"/>
      <c r="AE136" s="384">
        <v>201.66402195467853</v>
      </c>
      <c r="AF136" s="380"/>
      <c r="AG136" s="384">
        <v>268.20607692152913</v>
      </c>
      <c r="AH136" s="380"/>
      <c r="AI136" s="384">
        <v>184.89894679089775</v>
      </c>
      <c r="AJ136" s="380"/>
      <c r="AK136" s="384">
        <v>184.89894679089775</v>
      </c>
      <c r="AL136" s="380"/>
      <c r="AM136" s="384">
        <v>184.89894679089775</v>
      </c>
      <c r="AN136" s="380"/>
      <c r="AO136" s="384">
        <v>184.89894679089775</v>
      </c>
      <c r="AP136" s="380"/>
      <c r="AQ136" s="384">
        <v>184.89894679089775</v>
      </c>
      <c r="AR136" s="380"/>
      <c r="AS136" s="384">
        <v>105</v>
      </c>
      <c r="AT136" s="380"/>
      <c r="AU136" s="384">
        <v>93</v>
      </c>
      <c r="AV136" s="380"/>
      <c r="AW136" s="384">
        <v>60</v>
      </c>
      <c r="AX136" s="380"/>
      <c r="AY136" s="384">
        <v>60</v>
      </c>
      <c r="AZ136" s="380"/>
      <c r="BA136" s="384">
        <v>55</v>
      </c>
      <c r="BB136" s="380"/>
      <c r="BC136" s="384">
        <v>76</v>
      </c>
      <c r="BD136" s="380"/>
      <c r="BE136" s="384">
        <v>49</v>
      </c>
      <c r="BF136" s="380"/>
      <c r="BG136" s="384">
        <v>12</v>
      </c>
      <c r="BH136" s="380"/>
      <c r="BI136" s="384">
        <v>89.7</v>
      </c>
      <c r="BJ136" s="380"/>
      <c r="BK136" s="384">
        <v>61.756756756756758</v>
      </c>
      <c r="BL136" s="380"/>
      <c r="BM136" s="384">
        <v>15</v>
      </c>
      <c r="BN136" s="380"/>
      <c r="BO136" s="384">
        <v>200</v>
      </c>
    </row>
    <row r="137" spans="1:67" ht="14.45" customHeight="1" outlineLevel="3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380"/>
      <c r="I137" s="384" t="e">
        <f>G137</f>
        <v>#REF!</v>
      </c>
      <c r="J137" s="380"/>
      <c r="K137" s="384" t="e">
        <f>I137</f>
        <v>#REF!</v>
      </c>
      <c r="L137" s="180"/>
      <c r="M137" s="224" t="e">
        <f>#REF!</f>
        <v>#REF!</v>
      </c>
      <c r="N137" s="380"/>
      <c r="O137" s="384" t="e">
        <f>M137</f>
        <v>#REF!</v>
      </c>
      <c r="P137" s="380"/>
      <c r="Q137" s="384" t="e">
        <f>O137</f>
        <v>#REF!</v>
      </c>
      <c r="R137" s="180"/>
      <c r="S137" s="224" t="e">
        <f>#REF!</f>
        <v>#REF!</v>
      </c>
      <c r="T137" s="380"/>
      <c r="U137" s="384" t="e">
        <f>S137</f>
        <v>#REF!</v>
      </c>
      <c r="V137" s="380"/>
      <c r="W137" s="384" t="e">
        <f>U137</f>
        <v>#REF!</v>
      </c>
      <c r="X137" s="180"/>
      <c r="Y137" s="224" t="e">
        <f>#REF!</f>
        <v>#REF!</v>
      </c>
      <c r="Z137" s="380"/>
      <c r="AA137" s="384" t="e">
        <f>Y137</f>
        <v>#REF!</v>
      </c>
      <c r="AB137" s="380"/>
      <c r="AC137" s="384" t="e">
        <f>AA137</f>
        <v>#REF!</v>
      </c>
      <c r="AD137" s="380"/>
      <c r="AE137" s="384" t="e">
        <f t="shared" ref="AE137" si="952">AC137</f>
        <v>#REF!</v>
      </c>
      <c r="AF137" s="380"/>
      <c r="AG137" s="384" t="e">
        <f t="shared" ref="AG137" si="953">AE137</f>
        <v>#REF!</v>
      </c>
      <c r="AH137" s="380"/>
      <c r="AI137" s="384" t="e">
        <f t="shared" ref="AI137" si="954">AG137</f>
        <v>#REF!</v>
      </c>
      <c r="AJ137" s="380"/>
      <c r="AK137" s="384" t="e">
        <f t="shared" ref="AK137" si="955">AI137</f>
        <v>#REF!</v>
      </c>
      <c r="AL137" s="380"/>
      <c r="AM137" s="384" t="e">
        <f t="shared" ref="AM137" si="956">AK137</f>
        <v>#REF!</v>
      </c>
      <c r="AN137" s="380"/>
      <c r="AO137" s="384" t="e">
        <f t="shared" ref="AO137" si="957">AM137</f>
        <v>#REF!</v>
      </c>
      <c r="AP137" s="380"/>
      <c r="AQ137" s="384" t="e">
        <f t="shared" ref="AQ137" si="958">AO137</f>
        <v>#REF!</v>
      </c>
      <c r="AR137" s="380"/>
      <c r="AS137" s="384" t="e">
        <f t="shared" ref="AS137" si="959">AQ137</f>
        <v>#REF!</v>
      </c>
      <c r="AT137" s="380"/>
      <c r="AU137" s="384" t="e">
        <f t="shared" ref="AU137" si="960">AS137</f>
        <v>#REF!</v>
      </c>
      <c r="AV137" s="380"/>
      <c r="AW137" s="384" t="e">
        <f t="shared" ref="AW137" si="961">AU137</f>
        <v>#REF!</v>
      </c>
      <c r="AX137" s="380"/>
      <c r="AY137" s="384" t="e">
        <f t="shared" ref="AY137" si="962">AW137</f>
        <v>#REF!</v>
      </c>
      <c r="AZ137" s="380"/>
      <c r="BA137" s="384" t="e">
        <f t="shared" ref="BA137" si="963">AY137</f>
        <v>#REF!</v>
      </c>
      <c r="BB137" s="380"/>
      <c r="BC137" s="384" t="e">
        <f t="shared" ref="BC137" si="964">BA137</f>
        <v>#REF!</v>
      </c>
      <c r="BD137" s="380"/>
      <c r="BE137" s="384" t="e">
        <f t="shared" ref="BE137" si="965">BC137</f>
        <v>#REF!</v>
      </c>
      <c r="BF137" s="380"/>
      <c r="BG137" s="384" t="e">
        <f t="shared" ref="BG137" si="966">BE137</f>
        <v>#REF!</v>
      </c>
      <c r="BH137" s="380"/>
      <c r="BI137" s="384" t="e">
        <f t="shared" ref="BI137" si="967">BG137</f>
        <v>#REF!</v>
      </c>
      <c r="BJ137" s="380"/>
      <c r="BK137" s="384" t="e">
        <f t="shared" ref="BK137" si="968">BI137</f>
        <v>#REF!</v>
      </c>
      <c r="BL137" s="380"/>
      <c r="BM137" s="384" t="e">
        <f t="shared" ref="BM137" si="969">BK137</f>
        <v>#REF!</v>
      </c>
      <c r="BN137" s="380"/>
      <c r="BO137" s="384" t="e">
        <f t="shared" ref="BO137" si="970">BI137</f>
        <v>#REF!</v>
      </c>
    </row>
    <row r="138" spans="1:67" ht="14.45" customHeight="1" outlineLevel="3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380"/>
      <c r="I138" s="384">
        <v>750</v>
      </c>
      <c r="J138" s="380"/>
      <c r="K138" s="384">
        <v>750</v>
      </c>
      <c r="L138" s="180"/>
      <c r="M138" s="224">
        <v>750</v>
      </c>
      <c r="N138" s="380"/>
      <c r="O138" s="384">
        <v>750</v>
      </c>
      <c r="P138" s="380"/>
      <c r="Q138" s="384">
        <v>750</v>
      </c>
      <c r="R138" s="180"/>
      <c r="S138" s="224">
        <v>750</v>
      </c>
      <c r="T138" s="380"/>
      <c r="U138" s="384">
        <v>750</v>
      </c>
      <c r="V138" s="380"/>
      <c r="W138" s="384">
        <v>750</v>
      </c>
      <c r="X138" s="180"/>
      <c r="Y138" s="224">
        <v>750</v>
      </c>
      <c r="Z138" s="380"/>
      <c r="AA138" s="384">
        <v>750</v>
      </c>
      <c r="AB138" s="380"/>
      <c r="AC138" s="384">
        <v>750</v>
      </c>
      <c r="AD138" s="380"/>
      <c r="AE138" s="384">
        <v>750</v>
      </c>
      <c r="AF138" s="380"/>
      <c r="AG138" s="384">
        <v>750</v>
      </c>
      <c r="AH138" s="380"/>
      <c r="AI138" s="384">
        <v>750</v>
      </c>
      <c r="AJ138" s="380"/>
      <c r="AK138" s="384">
        <v>750</v>
      </c>
      <c r="AL138" s="380"/>
      <c r="AM138" s="384">
        <v>750</v>
      </c>
      <c r="AN138" s="380"/>
      <c r="AO138" s="384">
        <v>750</v>
      </c>
      <c r="AP138" s="380"/>
      <c r="AQ138" s="384">
        <v>750</v>
      </c>
      <c r="AR138" s="380"/>
      <c r="AS138" s="384">
        <v>750</v>
      </c>
      <c r="AT138" s="380"/>
      <c r="AU138" s="384">
        <v>750</v>
      </c>
      <c r="AV138" s="380"/>
      <c r="AW138" s="384">
        <v>750</v>
      </c>
      <c r="AX138" s="380"/>
      <c r="AY138" s="384">
        <v>750</v>
      </c>
      <c r="AZ138" s="380"/>
      <c r="BA138" s="384">
        <v>750</v>
      </c>
      <c r="BB138" s="380"/>
      <c r="BC138" s="384">
        <v>750</v>
      </c>
      <c r="BD138" s="380"/>
      <c r="BE138" s="384">
        <v>750</v>
      </c>
      <c r="BF138" s="380"/>
      <c r="BG138" s="384">
        <v>750</v>
      </c>
      <c r="BH138" s="380"/>
      <c r="BI138" s="384">
        <v>750</v>
      </c>
      <c r="BJ138" s="380"/>
      <c r="BK138" s="384">
        <v>750</v>
      </c>
      <c r="BL138" s="380"/>
      <c r="BM138" s="384">
        <v>750</v>
      </c>
      <c r="BN138" s="380"/>
      <c r="BO138" s="384">
        <v>750</v>
      </c>
    </row>
    <row r="139" spans="1:67" ht="14.45" customHeight="1" outlineLevel="3" x14ac:dyDescent="0.45">
      <c r="A139" s="561"/>
      <c r="B139" s="1187"/>
      <c r="C139" s="225" t="s">
        <v>130</v>
      </c>
      <c r="D139" s="162"/>
      <c r="E139" s="179"/>
      <c r="F139" s="164"/>
      <c r="G139" s="171"/>
      <c r="H139" s="359"/>
      <c r="I139" s="372"/>
      <c r="J139" s="359"/>
      <c r="K139" s="372"/>
      <c r="L139" s="164"/>
      <c r="M139" s="171"/>
      <c r="N139" s="359"/>
      <c r="O139" s="372"/>
      <c r="P139" s="359"/>
      <c r="Q139" s="372"/>
      <c r="R139" s="164"/>
      <c r="S139" s="171"/>
      <c r="T139" s="359"/>
      <c r="U139" s="372"/>
      <c r="V139" s="359"/>
      <c r="W139" s="372"/>
      <c r="X139" s="164"/>
      <c r="Y139" s="171"/>
      <c r="Z139" s="359"/>
      <c r="AA139" s="372"/>
      <c r="AB139" s="359"/>
      <c r="AC139" s="372"/>
      <c r="AD139" s="359"/>
      <c r="AE139" s="372"/>
      <c r="AF139" s="359"/>
      <c r="AG139" s="372"/>
      <c r="AH139" s="359"/>
      <c r="AI139" s="372"/>
      <c r="AJ139" s="359"/>
      <c r="AK139" s="372"/>
      <c r="AL139" s="359"/>
      <c r="AM139" s="372"/>
      <c r="AN139" s="359"/>
      <c r="AO139" s="372"/>
      <c r="AP139" s="359"/>
      <c r="AQ139" s="372"/>
      <c r="AR139" s="359"/>
      <c r="AS139" s="372"/>
      <c r="AT139" s="359"/>
      <c r="AU139" s="372"/>
      <c r="AV139" s="359"/>
      <c r="AW139" s="372"/>
      <c r="AX139" s="359"/>
      <c r="AY139" s="372"/>
      <c r="AZ139" s="359"/>
      <c r="BA139" s="372"/>
      <c r="BB139" s="359"/>
      <c r="BC139" s="372"/>
      <c r="BD139" s="359"/>
      <c r="BE139" s="372"/>
      <c r="BF139" s="359"/>
      <c r="BG139" s="372"/>
      <c r="BH139" s="359"/>
      <c r="BI139" s="372"/>
      <c r="BJ139" s="359"/>
      <c r="BK139" s="372"/>
      <c r="BL139" s="359"/>
      <c r="BM139" s="372"/>
      <c r="BN139" s="359"/>
      <c r="BO139" s="372"/>
    </row>
    <row r="140" spans="1:67" outlineLevel="2" x14ac:dyDescent="0.45">
      <c r="A140" s="561"/>
      <c r="B140" s="1187"/>
      <c r="C140" s="170"/>
      <c r="D140" s="162"/>
      <c r="E140" s="176"/>
      <c r="F140" s="177"/>
      <c r="G140" s="178"/>
      <c r="H140" s="375"/>
      <c r="I140" s="376"/>
      <c r="J140" s="375"/>
      <c r="K140" s="376"/>
      <c r="L140" s="177"/>
      <c r="M140" s="178"/>
      <c r="N140" s="375"/>
      <c r="O140" s="376"/>
      <c r="P140" s="375"/>
      <c r="Q140" s="376"/>
      <c r="R140" s="177"/>
      <c r="S140" s="178"/>
      <c r="T140" s="375"/>
      <c r="U140" s="376"/>
      <c r="V140" s="375"/>
      <c r="W140" s="376"/>
      <c r="X140" s="177"/>
      <c r="Y140" s="178"/>
      <c r="Z140" s="375"/>
      <c r="AA140" s="376"/>
      <c r="AB140" s="375"/>
      <c r="AC140" s="376"/>
      <c r="AD140" s="375"/>
      <c r="AE140" s="376"/>
      <c r="AF140" s="375"/>
      <c r="AG140" s="376"/>
      <c r="AH140" s="375"/>
      <c r="AI140" s="376"/>
      <c r="AJ140" s="375"/>
      <c r="AK140" s="376"/>
      <c r="AL140" s="375"/>
      <c r="AM140" s="376"/>
      <c r="AN140" s="375"/>
      <c r="AO140" s="376"/>
      <c r="AP140" s="375"/>
      <c r="AQ140" s="376"/>
      <c r="AR140" s="375"/>
      <c r="AS140" s="376"/>
      <c r="AT140" s="375"/>
      <c r="AU140" s="376"/>
      <c r="AV140" s="375"/>
      <c r="AW140" s="376"/>
      <c r="AX140" s="375"/>
      <c r="AY140" s="376"/>
      <c r="AZ140" s="375"/>
      <c r="BA140" s="376"/>
      <c r="BB140" s="375"/>
      <c r="BC140" s="376"/>
      <c r="BD140" s="375"/>
      <c r="BE140" s="376"/>
      <c r="BF140" s="375"/>
      <c r="BG140" s="376"/>
      <c r="BH140" s="375"/>
      <c r="BI140" s="376"/>
      <c r="BJ140" s="375"/>
      <c r="BK140" s="376"/>
      <c r="BL140" s="375"/>
      <c r="BM140" s="376"/>
      <c r="BN140" s="375"/>
      <c r="BO140" s="376"/>
    </row>
    <row r="141" spans="1:67" outlineLevel="2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-559.72681677515743</v>
      </c>
      <c r="H141" s="229"/>
      <c r="I141" s="230">
        <f>I136-I135</f>
        <v>-559.72681677515743</v>
      </c>
      <c r="J141" s="229"/>
      <c r="K141" s="230">
        <f>K136-K135</f>
        <v>-316.07142857142856</v>
      </c>
      <c r="L141" s="229"/>
      <c r="M141" s="230">
        <f>M136-M135</f>
        <v>-316.07142857142856</v>
      </c>
      <c r="N141" s="229"/>
      <c r="O141" s="230">
        <f>O136-O135</f>
        <v>-410.36889332003977</v>
      </c>
      <c r="P141" s="229"/>
      <c r="Q141" s="230">
        <f>Q136-Q135</f>
        <v>-410.36889332003977</v>
      </c>
      <c r="R141" s="229"/>
      <c r="S141" s="230">
        <f>S136-S135</f>
        <v>-410.36889332003977</v>
      </c>
      <c r="T141" s="229"/>
      <c r="U141" s="230">
        <f>U136-U135</f>
        <v>-492.48434538514732</v>
      </c>
      <c r="V141" s="229"/>
      <c r="W141" s="230">
        <f>W136-W135</f>
        <v>-655.38349138418118</v>
      </c>
      <c r="X141" s="229"/>
      <c r="Y141" s="230">
        <f>Y136-Y135</f>
        <v>-655.38349138418118</v>
      </c>
      <c r="Z141" s="229"/>
      <c r="AA141" s="230">
        <f>AA136-AA135</f>
        <v>-821.38217563868943</v>
      </c>
      <c r="AB141" s="229"/>
      <c r="AC141" s="230">
        <f>AC136-AC135</f>
        <v>-914.17719824141864</v>
      </c>
      <c r="AD141" s="229"/>
      <c r="AE141" s="230">
        <f t="shared" ref="AE141" si="971">AE136-AE135</f>
        <v>-998.33597804532144</v>
      </c>
      <c r="AF141" s="229"/>
      <c r="AG141" s="230">
        <f t="shared" ref="AG141" si="972">AG136-AG135</f>
        <v>-931.79392307847093</v>
      </c>
      <c r="AH141" s="229"/>
      <c r="AI141" s="230">
        <f t="shared" ref="AI141:AK141" si="973">AI136-AI135</f>
        <v>-1015.1010532091022</v>
      </c>
      <c r="AJ141" s="229"/>
      <c r="AK141" s="230">
        <f t="shared" si="973"/>
        <v>-1015.1010532091022</v>
      </c>
      <c r="AL141" s="229"/>
      <c r="AM141" s="230">
        <f t="shared" ref="AM141" si="974">AM136-AM135</f>
        <v>-1015.1010532091022</v>
      </c>
      <c r="AN141" s="229"/>
      <c r="AO141" s="230">
        <f t="shared" ref="AO141" si="975">AO136-AO135</f>
        <v>-1015.1010532091022</v>
      </c>
      <c r="AP141" s="229"/>
      <c r="AQ141" s="230">
        <f t="shared" ref="AQ141" si="976">AQ136-AQ135</f>
        <v>-1015.1010532091022</v>
      </c>
      <c r="AR141" s="229"/>
      <c r="AS141" s="230">
        <f t="shared" ref="AS141:AY141" si="977">AS136-AS135</f>
        <v>-1095</v>
      </c>
      <c r="AT141" s="229"/>
      <c r="AU141" s="230">
        <f t="shared" si="977"/>
        <v>-1107</v>
      </c>
      <c r="AV141" s="229"/>
      <c r="AW141" s="230">
        <f t="shared" si="977"/>
        <v>-1140</v>
      </c>
      <c r="AX141" s="229"/>
      <c r="AY141" s="230">
        <f t="shared" si="977"/>
        <v>-690</v>
      </c>
      <c r="AZ141" s="229"/>
      <c r="BA141" s="230">
        <f t="shared" ref="BA141:BC141" si="978">BA136-BA135</f>
        <v>-695</v>
      </c>
      <c r="BB141" s="229"/>
      <c r="BC141" s="230">
        <f t="shared" si="978"/>
        <v>-674</v>
      </c>
      <c r="BD141" s="229"/>
      <c r="BE141" s="230">
        <f t="shared" ref="BE141:BG141" si="979">BE136-BE135</f>
        <v>-701</v>
      </c>
      <c r="BF141" s="229"/>
      <c r="BG141" s="230">
        <f t="shared" si="979"/>
        <v>-738</v>
      </c>
      <c r="BH141" s="229"/>
      <c r="BI141" s="230">
        <f t="shared" ref="BI141:BO141" si="980">BI136-BI135</f>
        <v>-660.3</v>
      </c>
      <c r="BJ141" s="229"/>
      <c r="BK141" s="230">
        <f t="shared" ref="BK141:BM141" si="981">BK136-BK135</f>
        <v>-688.24324324324323</v>
      </c>
      <c r="BL141" s="229"/>
      <c r="BM141" s="230">
        <f t="shared" si="981"/>
        <v>-735</v>
      </c>
      <c r="BN141" s="229"/>
      <c r="BO141" s="230">
        <f t="shared" si="980"/>
        <v>-550</v>
      </c>
    </row>
    <row r="142" spans="1:67" outlineLevel="2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-2850.1755949204994</v>
      </c>
      <c r="H142" s="229"/>
      <c r="I142" s="588">
        <f>I141*I133</f>
        <v>0</v>
      </c>
      <c r="J142" s="229"/>
      <c r="K142" s="588">
        <f>K141*K133</f>
        <v>-316.07142857142856</v>
      </c>
      <c r="L142" s="229"/>
      <c r="M142" s="230">
        <f>M141*M130</f>
        <v>-1054.2957589285713</v>
      </c>
      <c r="N142" s="229"/>
      <c r="O142" s="588">
        <f>O141*O133</f>
        <v>-410.36889332003977</v>
      </c>
      <c r="P142" s="229"/>
      <c r="Q142" s="588">
        <f>Q141*Q133</f>
        <v>0</v>
      </c>
      <c r="R142" s="229"/>
      <c r="S142" s="230">
        <f>S141*S130</f>
        <v>-1368.8367397806576</v>
      </c>
      <c r="T142" s="229"/>
      <c r="U142" s="588">
        <f>U141*U133</f>
        <v>-494.94676711207302</v>
      </c>
      <c r="V142" s="229"/>
      <c r="W142" s="588">
        <f>W141*W133</f>
        <v>-643.64120383021464</v>
      </c>
      <c r="X142" s="229"/>
      <c r="Y142" s="230">
        <f>Y141*Y130</f>
        <v>-2186.1135584483591</v>
      </c>
      <c r="Z142" s="229"/>
      <c r="AA142" s="588">
        <f>AA141*AA133</f>
        <v>-924.05494759352564</v>
      </c>
      <c r="AB142" s="229"/>
      <c r="AC142" s="588">
        <f>AC141*AC133</f>
        <v>-1256.9936475819507</v>
      </c>
      <c r="AD142" s="229"/>
      <c r="AE142" s="588">
        <f t="shared" ref="AE142" si="982">AE141*AE133</f>
        <v>-1425.1246086596964</v>
      </c>
      <c r="AF142" s="229"/>
      <c r="AG142" s="588">
        <f t="shared" ref="AG142" si="983">AG141*AG133</f>
        <v>-1136.0120912198358</v>
      </c>
      <c r="AH142" s="229"/>
      <c r="AI142" s="588">
        <f t="shared" ref="AI142:AK142" si="984">AI141*AI133</f>
        <v>-2041.1990344946364</v>
      </c>
      <c r="AJ142" s="229"/>
      <c r="AK142" s="588">
        <f t="shared" si="984"/>
        <v>-1026.0979812855342</v>
      </c>
      <c r="AL142" s="229"/>
      <c r="AM142" s="588">
        <f t="shared" ref="AM142" si="985">AM141*AM133</f>
        <v>0</v>
      </c>
      <c r="AN142" s="229"/>
      <c r="AO142" s="588">
        <f t="shared" ref="AO142" si="986">AO141*AO133</f>
        <v>-2052.1959625710683</v>
      </c>
      <c r="AP142" s="229"/>
      <c r="AQ142" s="588">
        <f t="shared" ref="AQ142" si="987">AQ141*AQ133</f>
        <v>0</v>
      </c>
      <c r="AR142" s="229"/>
      <c r="AS142" s="588">
        <f t="shared" ref="AS142:AY142" si="988">AS141*AS133</f>
        <v>-1106.8625</v>
      </c>
      <c r="AT142" s="229"/>
      <c r="AU142" s="588">
        <f t="shared" si="988"/>
        <v>-3356.9775000000004</v>
      </c>
      <c r="AV142" s="229"/>
      <c r="AW142" s="588">
        <f t="shared" si="988"/>
        <v>-1152.3499999999999</v>
      </c>
      <c r="AX142" s="229"/>
      <c r="AY142" s="588">
        <f t="shared" si="988"/>
        <v>0</v>
      </c>
      <c r="AZ142" s="229"/>
      <c r="BA142" s="588">
        <f t="shared" ref="BA142:BC142" si="989">BA141*BA133</f>
        <v>0</v>
      </c>
      <c r="BB142" s="229"/>
      <c r="BC142" s="588">
        <f t="shared" si="989"/>
        <v>0</v>
      </c>
      <c r="BD142" s="229"/>
      <c r="BE142" s="588">
        <f t="shared" ref="BE142:BG142" si="990">BE141*BE133</f>
        <v>0</v>
      </c>
      <c r="BF142" s="229"/>
      <c r="BG142" s="588">
        <f t="shared" si="990"/>
        <v>0</v>
      </c>
      <c r="BH142" s="229"/>
      <c r="BI142" s="588">
        <f t="shared" ref="BI142:BO142" si="991">BI141*BI133</f>
        <v>0</v>
      </c>
      <c r="BJ142" s="229"/>
      <c r="BK142" s="588">
        <f t="shared" ref="BK142:BM142" si="992">BK141*BK133</f>
        <v>0</v>
      </c>
      <c r="BL142" s="229"/>
      <c r="BM142" s="588">
        <f t="shared" si="992"/>
        <v>0</v>
      </c>
      <c r="BN142" s="229"/>
      <c r="BO142" s="588">
        <f t="shared" si="991"/>
        <v>0</v>
      </c>
    </row>
    <row r="143" spans="1:67" outlineLevel="1" x14ac:dyDescent="0.45">
      <c r="A143" s="561"/>
      <c r="B143" s="1187"/>
      <c r="C143" s="233"/>
      <c r="D143" s="234"/>
      <c r="E143" s="234"/>
      <c r="F143" s="235"/>
      <c r="G143" s="236"/>
      <c r="H143" s="381"/>
      <c r="I143" s="385"/>
      <c r="J143" s="381"/>
      <c r="K143" s="385"/>
      <c r="L143" s="235"/>
      <c r="M143" s="236"/>
      <c r="N143" s="381"/>
      <c r="O143" s="385"/>
      <c r="P143" s="381"/>
      <c r="Q143" s="385"/>
      <c r="R143" s="235"/>
      <c r="S143" s="236"/>
      <c r="T143" s="381"/>
      <c r="U143" s="385"/>
      <c r="V143" s="381"/>
      <c r="W143" s="385"/>
      <c r="X143" s="235"/>
      <c r="Y143" s="236"/>
      <c r="Z143" s="381"/>
      <c r="AA143" s="385"/>
      <c r="AB143" s="381"/>
      <c r="AC143" s="385"/>
      <c r="AD143" s="381"/>
      <c r="AE143" s="385"/>
      <c r="AF143" s="381"/>
      <c r="AG143" s="385"/>
      <c r="AH143" s="381"/>
      <c r="AI143" s="385"/>
      <c r="AJ143" s="381"/>
      <c r="AK143" s="385"/>
      <c r="AL143" s="381"/>
      <c r="AM143" s="385"/>
      <c r="AN143" s="381"/>
      <c r="AO143" s="385"/>
      <c r="AP143" s="381"/>
      <c r="AQ143" s="385"/>
      <c r="AR143" s="381"/>
      <c r="AS143" s="385"/>
      <c r="AT143" s="381"/>
      <c r="AU143" s="385"/>
      <c r="AV143" s="381"/>
      <c r="AW143" s="385"/>
      <c r="AX143" s="381"/>
      <c r="AY143" s="385"/>
      <c r="AZ143" s="381"/>
      <c r="BA143" s="385"/>
      <c r="BB143" s="381"/>
      <c r="BC143" s="385"/>
      <c r="BD143" s="381"/>
      <c r="BE143" s="385"/>
      <c r="BF143" s="381"/>
      <c r="BG143" s="385"/>
      <c r="BH143" s="381"/>
      <c r="BI143" s="385"/>
      <c r="BJ143" s="381"/>
      <c r="BK143" s="385"/>
      <c r="BL143" s="381"/>
      <c r="BM143" s="385"/>
      <c r="BN143" s="381"/>
      <c r="BO143" s="385"/>
    </row>
    <row r="144" spans="1:67" ht="15.75" customHeight="1" outlineLevel="2" thickBot="1" x14ac:dyDescent="0.5">
      <c r="A144" s="561"/>
      <c r="B144" s="1188"/>
      <c r="C144" s="301" t="s">
        <v>391</v>
      </c>
      <c r="D144" s="302"/>
      <c r="E144" s="303"/>
      <c r="F144" s="241"/>
      <c r="G144" s="242">
        <f>G98*G129</f>
        <v>7681.8508246784641</v>
      </c>
      <c r="H144" s="304"/>
      <c r="I144" s="305">
        <f>I98*I132</f>
        <v>0</v>
      </c>
      <c r="J144" s="304"/>
      <c r="K144" s="305">
        <f>K98*K132</f>
        <v>686.20119186777947</v>
      </c>
      <c r="L144" s="241"/>
      <c r="M144" s="242">
        <f>M98*M129</f>
        <v>2288.909850623962</v>
      </c>
      <c r="N144" s="304"/>
      <c r="O144" s="305">
        <f>O98*O132</f>
        <v>-855.64736061247743</v>
      </c>
      <c r="P144" s="304"/>
      <c r="Q144" s="305">
        <f>Q98*Q132</f>
        <v>0</v>
      </c>
      <c r="R144" s="241"/>
      <c r="S144" s="242">
        <f>S98*S129</f>
        <v>-2854.1187272429952</v>
      </c>
      <c r="T144" s="304"/>
      <c r="U144" s="305">
        <f>U98*U132</f>
        <v>784.69268405343223</v>
      </c>
      <c r="V144" s="304"/>
      <c r="W144" s="305">
        <f>W98*W132</f>
        <v>1433.8951553649104</v>
      </c>
      <c r="X144" s="241"/>
      <c r="Y144" s="242">
        <f>Y98*Y129</f>
        <v>4870.1941732175601</v>
      </c>
      <c r="Z144" s="304"/>
      <c r="AA144" s="305">
        <f>AA98*AA132</f>
        <v>2218.1202590475941</v>
      </c>
      <c r="AB144" s="304"/>
      <c r="AC144" s="305">
        <f>AC98*AC132</f>
        <v>5611.9281333516037</v>
      </c>
      <c r="AD144" s="304"/>
      <c r="AE144" s="305">
        <f t="shared" ref="AE144" si="993">AE98*AE132</f>
        <v>3135.1604302284336</v>
      </c>
      <c r="AF144" s="304"/>
      <c r="AG144" s="305">
        <f t="shared" ref="AG144" si="994">AG98*AG132</f>
        <v>2089.9165405124177</v>
      </c>
      <c r="AH144" s="304"/>
      <c r="AI144" s="305">
        <f t="shared" ref="AI144:AK144" si="995">AI98*AI132</f>
        <v>3798.4623394624537</v>
      </c>
      <c r="AJ144" s="304"/>
      <c r="AK144" s="305">
        <f t="shared" si="995"/>
        <v>1811.8527272493227</v>
      </c>
      <c r="AL144" s="304"/>
      <c r="AM144" s="305">
        <f t="shared" ref="AM144" si="996">AM98*AM132</f>
        <v>0</v>
      </c>
      <c r="AN144" s="304"/>
      <c r="AO144" s="305">
        <f t="shared" ref="AO144" si="997">AO98*AO132</f>
        <v>3396.7867465588515</v>
      </c>
      <c r="AP144" s="304"/>
      <c r="AQ144" s="305">
        <f t="shared" ref="AQ144" si="998">AQ98*AQ132</f>
        <v>0</v>
      </c>
      <c r="AR144" s="304"/>
      <c r="AS144" s="305">
        <f t="shared" ref="AS144:AY144" si="999">AS98*AS132</f>
        <v>2324.321259353213</v>
      </c>
      <c r="AT144" s="304"/>
      <c r="AU144" s="305">
        <f t="shared" si="999"/>
        <v>7636.4180532935989</v>
      </c>
      <c r="AV144" s="304"/>
      <c r="AW144" s="305">
        <f t="shared" si="999"/>
        <v>2919.4045159585917</v>
      </c>
      <c r="AX144" s="304"/>
      <c r="AY144" s="305">
        <f t="shared" si="999"/>
        <v>0</v>
      </c>
      <c r="AZ144" s="304"/>
      <c r="BA144" s="305">
        <f t="shared" ref="BA144:BC144" si="1000">BA98*BA132</f>
        <v>0</v>
      </c>
      <c r="BB144" s="304"/>
      <c r="BC144" s="305">
        <f t="shared" si="1000"/>
        <v>0</v>
      </c>
      <c r="BD144" s="304"/>
      <c r="BE144" s="305">
        <f t="shared" ref="BE144:BG144" si="1001">BE98*BE132</f>
        <v>0</v>
      </c>
      <c r="BF144" s="304"/>
      <c r="BG144" s="305">
        <f t="shared" si="1001"/>
        <v>0</v>
      </c>
      <c r="BH144" s="304"/>
      <c r="BI144" s="305">
        <f t="shared" ref="BI144:BO144" si="1002">BI98*BI132</f>
        <v>0</v>
      </c>
      <c r="BJ144" s="304"/>
      <c r="BK144" s="305">
        <f t="shared" ref="BK144:BM144" si="1003">BK98*BK132</f>
        <v>0</v>
      </c>
      <c r="BL144" s="304"/>
      <c r="BM144" s="305">
        <f t="shared" si="1003"/>
        <v>0</v>
      </c>
      <c r="BN144" s="304"/>
      <c r="BO144" s="305">
        <f t="shared" si="1002"/>
        <v>0</v>
      </c>
    </row>
    <row r="145" spans="11:11" ht="14.65" outlineLevel="1" thickTop="1" x14ac:dyDescent="0.45"/>
    <row r="146" spans="11:11" outlineLevel="1" x14ac:dyDescent="0.45"/>
    <row r="147" spans="11:11" x14ac:dyDescent="0.45">
      <c r="K147" s="1105"/>
    </row>
    <row r="148" spans="11:11" x14ac:dyDescent="0.45">
      <c r="K148" s="1105"/>
    </row>
    <row r="149" spans="11:11" x14ac:dyDescent="0.45">
      <c r="K149" s="1017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228">
    <mergeCell ref="BJ2:BK2"/>
    <mergeCell ref="BJ3:BK3"/>
    <mergeCell ref="BJ4:BK5"/>
    <mergeCell ref="BJ6:BK6"/>
    <mergeCell ref="BJ7:BK7"/>
    <mergeCell ref="BJ8:BK8"/>
    <mergeCell ref="BJ9:BK9"/>
    <mergeCell ref="BH2:BI2"/>
    <mergeCell ref="BH3:BI3"/>
    <mergeCell ref="BH4:BI5"/>
    <mergeCell ref="BH6:BI6"/>
    <mergeCell ref="BH7:BI7"/>
    <mergeCell ref="BH8:BI8"/>
    <mergeCell ref="BH9:BI9"/>
    <mergeCell ref="BD2:BE2"/>
    <mergeCell ref="BD3:BE3"/>
    <mergeCell ref="BD4:BE5"/>
    <mergeCell ref="BD6:BE6"/>
    <mergeCell ref="BD7:BE7"/>
    <mergeCell ref="BD8:BE8"/>
    <mergeCell ref="BD9:BE9"/>
    <mergeCell ref="BF2:BG2"/>
    <mergeCell ref="BF3:BG3"/>
    <mergeCell ref="BF4:BG5"/>
    <mergeCell ref="BF6:BG6"/>
    <mergeCell ref="BF7:BG7"/>
    <mergeCell ref="BF8:BG8"/>
    <mergeCell ref="BF9:BG9"/>
    <mergeCell ref="AZ2:BA2"/>
    <mergeCell ref="AZ3:BA3"/>
    <mergeCell ref="AZ4:BA5"/>
    <mergeCell ref="AZ6:BA6"/>
    <mergeCell ref="AZ7:BA7"/>
    <mergeCell ref="AZ8:BA8"/>
    <mergeCell ref="AZ9:BA9"/>
    <mergeCell ref="BB2:BC2"/>
    <mergeCell ref="BB3:BC3"/>
    <mergeCell ref="BB4:BC5"/>
    <mergeCell ref="BB6:BC6"/>
    <mergeCell ref="BB7:BC7"/>
    <mergeCell ref="BB8:BC8"/>
    <mergeCell ref="BB9:BC9"/>
    <mergeCell ref="AR9:AS9"/>
    <mergeCell ref="AF9:AG9"/>
    <mergeCell ref="AH9:AI9"/>
    <mergeCell ref="AF7:AG7"/>
    <mergeCell ref="AH7:AI7"/>
    <mergeCell ref="AX2:AY2"/>
    <mergeCell ref="AX3:AY3"/>
    <mergeCell ref="AX4:AY5"/>
    <mergeCell ref="AX6:AY6"/>
    <mergeCell ref="AX7:AY7"/>
    <mergeCell ref="AX8:AY8"/>
    <mergeCell ref="AX9:AY9"/>
    <mergeCell ref="AT9:AU9"/>
    <mergeCell ref="AV9:AW9"/>
    <mergeCell ref="AT7:AU7"/>
    <mergeCell ref="AV7:AW7"/>
    <mergeCell ref="AT4:AU5"/>
    <mergeCell ref="AV4:AW5"/>
    <mergeCell ref="AT2:AU2"/>
    <mergeCell ref="AV2:AW2"/>
    <mergeCell ref="AJ9:AK9"/>
    <mergeCell ref="AL7:AM7"/>
    <mergeCell ref="AL8:AM8"/>
    <mergeCell ref="AL9:AM9"/>
    <mergeCell ref="AN9:AO9"/>
    <mergeCell ref="AP7:AQ7"/>
    <mergeCell ref="AP8:AQ8"/>
    <mergeCell ref="AP9:AQ9"/>
    <mergeCell ref="AF4:AG5"/>
    <mergeCell ref="AH4:AI5"/>
    <mergeCell ref="AD8:AE8"/>
    <mergeCell ref="AF8:AG8"/>
    <mergeCell ref="AH8:AI8"/>
    <mergeCell ref="AT8:AU8"/>
    <mergeCell ref="AV8:AW8"/>
    <mergeCell ref="AJ7:AK7"/>
    <mergeCell ref="AJ8:AK8"/>
    <mergeCell ref="AR7:AS7"/>
    <mergeCell ref="AR8:AS8"/>
    <mergeCell ref="AJ6:AK6"/>
    <mergeCell ref="AL4:AM5"/>
    <mergeCell ref="AL6:AM6"/>
    <mergeCell ref="AN4:AO5"/>
    <mergeCell ref="AN6:AO6"/>
    <mergeCell ref="AP4:AQ5"/>
    <mergeCell ref="AP6:AQ6"/>
    <mergeCell ref="AR4:AS5"/>
    <mergeCell ref="AR6:AS6"/>
    <mergeCell ref="AN7:AO7"/>
    <mergeCell ref="AN8:AO8"/>
    <mergeCell ref="X8:Y8"/>
    <mergeCell ref="AD3:AE3"/>
    <mergeCell ref="AF3:AG3"/>
    <mergeCell ref="AH3:AI3"/>
    <mergeCell ref="AT3:AU3"/>
    <mergeCell ref="AV3:AW3"/>
    <mergeCell ref="AJ2:AK2"/>
    <mergeCell ref="AJ3:AK3"/>
    <mergeCell ref="AL2:AM2"/>
    <mergeCell ref="AL3:AM3"/>
    <mergeCell ref="AN2:AO2"/>
    <mergeCell ref="AN3:AO3"/>
    <mergeCell ref="AP2:AQ2"/>
    <mergeCell ref="AP3:AQ3"/>
    <mergeCell ref="AR2:AS2"/>
    <mergeCell ref="AR3:AS3"/>
    <mergeCell ref="AF2:AG2"/>
    <mergeCell ref="AH2:AI2"/>
    <mergeCell ref="AD6:AE6"/>
    <mergeCell ref="AF6:AG6"/>
    <mergeCell ref="AH6:AI6"/>
    <mergeCell ref="AT6:AU6"/>
    <mergeCell ref="AV6:AW6"/>
    <mergeCell ref="AJ4:AK5"/>
    <mergeCell ref="AB9:AC9"/>
    <mergeCell ref="D12:E12"/>
    <mergeCell ref="B15:B21"/>
    <mergeCell ref="B22:B27"/>
    <mergeCell ref="B28:B33"/>
    <mergeCell ref="B34:B39"/>
    <mergeCell ref="P9:Q9"/>
    <mergeCell ref="R9:S9"/>
    <mergeCell ref="T9:U9"/>
    <mergeCell ref="V9:W9"/>
    <mergeCell ref="X9:Y9"/>
    <mergeCell ref="Z9:AA9"/>
    <mergeCell ref="J9:K9"/>
    <mergeCell ref="L9:M9"/>
    <mergeCell ref="N9:O9"/>
    <mergeCell ref="P8:Q8"/>
    <mergeCell ref="R8:S8"/>
    <mergeCell ref="T7:U7"/>
    <mergeCell ref="V7:W7"/>
    <mergeCell ref="B40:B46"/>
    <mergeCell ref="B47:B70"/>
    <mergeCell ref="B71:B84"/>
    <mergeCell ref="B100:B113"/>
    <mergeCell ref="B124:B144"/>
    <mergeCell ref="T8:U8"/>
    <mergeCell ref="V8:W8"/>
    <mergeCell ref="B6:B13"/>
    <mergeCell ref="F6:G6"/>
    <mergeCell ref="H6:I6"/>
    <mergeCell ref="J6:K6"/>
    <mergeCell ref="L6:M6"/>
    <mergeCell ref="N6:O6"/>
    <mergeCell ref="F7:G7"/>
    <mergeCell ref="H7:I7"/>
    <mergeCell ref="J7:K7"/>
    <mergeCell ref="L7:M7"/>
    <mergeCell ref="N7:O7"/>
    <mergeCell ref="F9:G9"/>
    <mergeCell ref="H9:I9"/>
    <mergeCell ref="P6:Q6"/>
    <mergeCell ref="R6:S6"/>
    <mergeCell ref="T6:U6"/>
    <mergeCell ref="V6:W6"/>
    <mergeCell ref="X6:Y6"/>
    <mergeCell ref="Z6:AA6"/>
    <mergeCell ref="Z8:AA8"/>
    <mergeCell ref="F4:G5"/>
    <mergeCell ref="H4:I5"/>
    <mergeCell ref="J4:K5"/>
    <mergeCell ref="L4:M5"/>
    <mergeCell ref="N4:O5"/>
    <mergeCell ref="P4:Q5"/>
    <mergeCell ref="P7:Q7"/>
    <mergeCell ref="R4:S5"/>
    <mergeCell ref="T4:U5"/>
    <mergeCell ref="V4:W5"/>
    <mergeCell ref="X7:Y7"/>
    <mergeCell ref="Z7:AA7"/>
    <mergeCell ref="F8:G8"/>
    <mergeCell ref="H8:I8"/>
    <mergeCell ref="J8:K8"/>
    <mergeCell ref="L8:M8"/>
    <mergeCell ref="N8:O8"/>
    <mergeCell ref="AB8:AC8"/>
    <mergeCell ref="AB7:AC7"/>
    <mergeCell ref="AD2:AE2"/>
    <mergeCell ref="AD4:AE5"/>
    <mergeCell ref="AD7:AE7"/>
    <mergeCell ref="AD9:AE9"/>
    <mergeCell ref="F2:G2"/>
    <mergeCell ref="H2:I2"/>
    <mergeCell ref="J2:K2"/>
    <mergeCell ref="L2:M2"/>
    <mergeCell ref="N2:O2"/>
    <mergeCell ref="P2:Q2"/>
    <mergeCell ref="R3:S3"/>
    <mergeCell ref="T3:U3"/>
    <mergeCell ref="V3:W3"/>
    <mergeCell ref="F3:G3"/>
    <mergeCell ref="H3:I3"/>
    <mergeCell ref="J3:K3"/>
    <mergeCell ref="L3:M3"/>
    <mergeCell ref="N3:O3"/>
    <mergeCell ref="P3:Q3"/>
    <mergeCell ref="R2:S2"/>
    <mergeCell ref="T2:U2"/>
    <mergeCell ref="V2:W2"/>
    <mergeCell ref="AB6:AC6"/>
    <mergeCell ref="R7:S7"/>
    <mergeCell ref="X2:Y2"/>
    <mergeCell ref="Z2:AA2"/>
    <mergeCell ref="AB2:AC2"/>
    <mergeCell ref="X3:Y3"/>
    <mergeCell ref="Z3:AA3"/>
    <mergeCell ref="AB3:AC3"/>
    <mergeCell ref="X4:Y5"/>
    <mergeCell ref="Z4:AA5"/>
    <mergeCell ref="AB4:AC5"/>
    <mergeCell ref="BL2:BM2"/>
    <mergeCell ref="BL3:BM3"/>
    <mergeCell ref="BL4:BM5"/>
    <mergeCell ref="BL6:BM6"/>
    <mergeCell ref="BL7:BM7"/>
    <mergeCell ref="BL8:BM8"/>
    <mergeCell ref="BL9:BM9"/>
    <mergeCell ref="BN2:BO2"/>
    <mergeCell ref="BN3:BO3"/>
    <mergeCell ref="BN4:BO5"/>
    <mergeCell ref="BN6:BO6"/>
    <mergeCell ref="BN7:BO7"/>
    <mergeCell ref="BN8:BO8"/>
    <mergeCell ref="BN9:BO9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5962-0571-45E4-B74A-E9397F6CFB21}">
  <sheetPr>
    <pageSetUpPr fitToPage="1"/>
  </sheetPr>
  <dimension ref="A2:BD178"/>
  <sheetViews>
    <sheetView showGridLines="0" zoomScale="95" zoomScaleNormal="70" zoomScaleSheetLayoutView="80" workbookViewId="0">
      <pane xSplit="5" ySplit="6" topLeftCell="AZ78" activePane="bottomRight" state="frozen"/>
      <selection pane="topRight" activeCell="N134" sqref="N134"/>
      <selection pane="bottomLeft" activeCell="N134" sqref="N134"/>
      <selection pane="bottomRight" activeCell="BA94" sqref="BA94"/>
    </sheetView>
  </sheetViews>
  <sheetFormatPr defaultRowHeight="14.25" outlineLevelRow="4" outlineLevelCol="1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23" width="12.86328125" hidden="1" customWidth="1" outlineLevel="1"/>
    <col min="24" max="24" width="12.86328125" hidden="1" customWidth="1" outlineLevel="1" collapsed="1"/>
    <col min="25" max="41" width="12.86328125" hidden="1" customWidth="1" outlineLevel="1"/>
    <col min="42" max="42" width="12.86328125" hidden="1" customWidth="1" outlineLevel="1" collapsed="1"/>
    <col min="43" max="51" width="12.86328125" hidden="1" customWidth="1" outlineLevel="1"/>
    <col min="52" max="52" width="12.86328125" customWidth="1" collapsed="1"/>
    <col min="53" max="53" width="12.86328125" customWidth="1"/>
  </cols>
  <sheetData>
    <row r="2" spans="1:53" ht="15.75" customHeight="1" thickBot="1" x14ac:dyDescent="0.5">
      <c r="F2" s="1273" t="str">
        <f>F4</f>
        <v>PMAD LOKAL 12</v>
      </c>
      <c r="G2" s="1273"/>
      <c r="H2" s="1231" t="str">
        <f>H4</f>
        <v>PMAD LOKAL 12</v>
      </c>
      <c r="I2" s="1231"/>
      <c r="J2" s="1231" t="str">
        <f>J4</f>
        <v>PMAD LOKAL 12</v>
      </c>
      <c r="K2" s="1231"/>
      <c r="L2" s="1231" t="str">
        <f>L4</f>
        <v>PMAD LOKAL 12</v>
      </c>
      <c r="M2" s="1231"/>
      <c r="N2" s="1231" t="str">
        <f>N4</f>
        <v>PMAD LOKAL 12</v>
      </c>
      <c r="O2" s="1231"/>
      <c r="P2" s="1231" t="str">
        <f>P4</f>
        <v>PMAD LOKAL 12</v>
      </c>
      <c r="Q2" s="1231"/>
      <c r="R2" s="1231" t="str">
        <f>R4</f>
        <v>PMAD LOKAL 12</v>
      </c>
      <c r="S2" s="1231"/>
      <c r="T2" s="1231" t="str">
        <f>T4</f>
        <v>PMAD LOKAL 12</v>
      </c>
      <c r="U2" s="1231"/>
      <c r="V2" s="1231" t="str">
        <f>V4</f>
        <v>PMAD LOKAL 12</v>
      </c>
      <c r="W2" s="1231"/>
      <c r="X2" s="1231" t="str">
        <f>X4</f>
        <v>PMAD LOKAL 12</v>
      </c>
      <c r="Y2" s="1231"/>
      <c r="Z2" s="1231" t="str">
        <f>Z4</f>
        <v>PMAD LOKAL 12</v>
      </c>
      <c r="AA2" s="1231"/>
      <c r="AB2" s="1231" t="str">
        <f>AB4</f>
        <v>PMAD LOKAL 12</v>
      </c>
      <c r="AC2" s="1231"/>
      <c r="AD2" s="1231" t="str">
        <f t="shared" ref="AD2" si="0">AD4</f>
        <v>PMAD LOKAL 12</v>
      </c>
      <c r="AE2" s="1231"/>
      <c r="AF2" s="1231" t="str">
        <f t="shared" ref="AF2" si="1">AF4</f>
        <v>PMAD LOKAL 12</v>
      </c>
      <c r="AG2" s="1231"/>
      <c r="AH2" s="1231" t="str">
        <f t="shared" ref="AH2" si="2">AH4</f>
        <v>PMAD LOKAL 12</v>
      </c>
      <c r="AI2" s="1231"/>
      <c r="AJ2" s="1231" t="str">
        <f t="shared" ref="AJ2" si="3">AJ4</f>
        <v>PMAD LOKAL 12</v>
      </c>
      <c r="AK2" s="1231"/>
      <c r="AL2" s="1231" t="str">
        <f t="shared" ref="AL2" si="4">AL4</f>
        <v>PMAD LOKAL 12</v>
      </c>
      <c r="AM2" s="1231"/>
      <c r="AN2" s="1231" t="str">
        <f t="shared" ref="AN2:AP2" si="5">AN4</f>
        <v>PMAD LOKAL 12</v>
      </c>
      <c r="AO2" s="1231"/>
      <c r="AP2" s="1231" t="str">
        <f t="shared" si="5"/>
        <v>PMAD LOKAL 12</v>
      </c>
      <c r="AQ2" s="1231"/>
      <c r="AR2" s="1231" t="str">
        <f t="shared" ref="AR2" si="6">AR4</f>
        <v>PMAD LOKAL 12</v>
      </c>
      <c r="AS2" s="1231"/>
      <c r="AT2" s="1231" t="str">
        <f t="shared" ref="AT2:AV2" si="7">AT4</f>
        <v>PMAD LOKAL 12</v>
      </c>
      <c r="AU2" s="1231"/>
      <c r="AV2" s="1231" t="str">
        <f t="shared" si="7"/>
        <v>PMAD LOKAL 12</v>
      </c>
      <c r="AW2" s="1231"/>
      <c r="AX2" s="1231" t="str">
        <f t="shared" ref="AX2" si="8">AX4</f>
        <v>PMAD LOKAL 12</v>
      </c>
      <c r="AY2" s="1231"/>
      <c r="AZ2" s="1231" t="str">
        <f t="shared" ref="AZ2" si="9">AZ4</f>
        <v>TORI MISO 12</v>
      </c>
      <c r="BA2" s="1231"/>
    </row>
    <row r="3" spans="1:53" s="4" customFormat="1" ht="32.450000000000003" customHeight="1" thickTop="1" thickBot="1" x14ac:dyDescent="0.5">
      <c r="A3" s="561"/>
      <c r="B3" s="2" t="s">
        <v>0</v>
      </c>
      <c r="C3" s="3"/>
      <c r="E3" s="5"/>
      <c r="F3" s="1256" t="s">
        <v>321</v>
      </c>
      <c r="G3" s="1257"/>
      <c r="H3" s="1256" t="s">
        <v>322</v>
      </c>
      <c r="I3" s="1257"/>
      <c r="J3" s="1256" t="s">
        <v>323</v>
      </c>
      <c r="K3" s="1257"/>
      <c r="L3" s="1256" t="s">
        <v>324</v>
      </c>
      <c r="M3" s="1257"/>
      <c r="N3" s="1256" t="s">
        <v>325</v>
      </c>
      <c r="O3" s="1257"/>
      <c r="P3" s="1256" t="s">
        <v>326</v>
      </c>
      <c r="Q3" s="1257"/>
      <c r="R3" s="1256" t="s">
        <v>327</v>
      </c>
      <c r="S3" s="1257"/>
      <c r="T3" s="1256" t="s">
        <v>328</v>
      </c>
      <c r="U3" s="1257"/>
      <c r="V3" s="1256" t="s">
        <v>329</v>
      </c>
      <c r="W3" s="1257"/>
      <c r="X3" s="1256" t="s">
        <v>330</v>
      </c>
      <c r="Y3" s="1257"/>
      <c r="Z3" s="1256" t="s">
        <v>331</v>
      </c>
      <c r="AA3" s="1257"/>
      <c r="AB3" s="1256" t="s">
        <v>332</v>
      </c>
      <c r="AC3" s="1257"/>
      <c r="AD3" s="1256" t="s">
        <v>333</v>
      </c>
      <c r="AE3" s="1257"/>
      <c r="AF3" s="1256" t="s">
        <v>334</v>
      </c>
      <c r="AG3" s="1257"/>
      <c r="AH3" s="1256" t="s">
        <v>335</v>
      </c>
      <c r="AI3" s="1257"/>
      <c r="AJ3" s="1256" t="s">
        <v>336</v>
      </c>
      <c r="AK3" s="1257"/>
      <c r="AL3" s="1256" t="s">
        <v>337</v>
      </c>
      <c r="AM3" s="1257"/>
      <c r="AN3" s="1256" t="s">
        <v>338</v>
      </c>
      <c r="AO3" s="1257"/>
      <c r="AP3" s="1256" t="s">
        <v>339</v>
      </c>
      <c r="AQ3" s="1257"/>
      <c r="AR3" s="1256" t="s">
        <v>340</v>
      </c>
      <c r="AS3" s="1257"/>
      <c r="AT3" s="1256" t="s">
        <v>341</v>
      </c>
      <c r="AU3" s="1257"/>
      <c r="AV3" s="1256" t="s">
        <v>342</v>
      </c>
      <c r="AW3" s="1257"/>
      <c r="AX3" s="1256" t="s">
        <v>343</v>
      </c>
      <c r="AY3" s="1257"/>
      <c r="AZ3" s="1256" t="s">
        <v>518</v>
      </c>
      <c r="BA3" s="1257"/>
    </row>
    <row r="4" spans="1:53" s="4" customFormat="1" ht="21.75" thickTop="1" thickBot="1" x14ac:dyDescent="0.5">
      <c r="A4" s="561"/>
      <c r="B4" s="2"/>
      <c r="C4" s="3"/>
      <c r="D4" s="6"/>
      <c r="E4" s="245"/>
      <c r="F4" s="1274" t="s">
        <v>137</v>
      </c>
      <c r="G4" s="1274"/>
      <c r="H4" s="1275" t="str">
        <f>F4</f>
        <v>PMAD LOKAL 12</v>
      </c>
      <c r="I4" s="1276"/>
      <c r="J4" s="1275" t="str">
        <f>H4</f>
        <v>PMAD LOKAL 12</v>
      </c>
      <c r="K4" s="1276"/>
      <c r="L4" s="1275" t="str">
        <f>J4</f>
        <v>PMAD LOKAL 12</v>
      </c>
      <c r="M4" s="1276"/>
      <c r="N4" s="1275" t="str">
        <f>L4</f>
        <v>PMAD LOKAL 12</v>
      </c>
      <c r="O4" s="1276"/>
      <c r="P4" s="1275" t="str">
        <f>N4</f>
        <v>PMAD LOKAL 12</v>
      </c>
      <c r="Q4" s="1276"/>
      <c r="R4" s="1275" t="str">
        <f>P4</f>
        <v>PMAD LOKAL 12</v>
      </c>
      <c r="S4" s="1276"/>
      <c r="T4" s="1275" t="str">
        <f>R4</f>
        <v>PMAD LOKAL 12</v>
      </c>
      <c r="U4" s="1276"/>
      <c r="V4" s="1275" t="str">
        <f>T4</f>
        <v>PMAD LOKAL 12</v>
      </c>
      <c r="W4" s="1276"/>
      <c r="X4" s="1275" t="str">
        <f>V4</f>
        <v>PMAD LOKAL 12</v>
      </c>
      <c r="Y4" s="1276"/>
      <c r="Z4" s="1275" t="str">
        <f>X4</f>
        <v>PMAD LOKAL 12</v>
      </c>
      <c r="AA4" s="1276"/>
      <c r="AB4" s="1275" t="str">
        <f>Z4</f>
        <v>PMAD LOKAL 12</v>
      </c>
      <c r="AC4" s="1276"/>
      <c r="AD4" s="1275" t="str">
        <f t="shared" ref="AD4" si="10">AB4</f>
        <v>PMAD LOKAL 12</v>
      </c>
      <c r="AE4" s="1276"/>
      <c r="AF4" s="1275" t="str">
        <f t="shared" ref="AF4" si="11">AD4</f>
        <v>PMAD LOKAL 12</v>
      </c>
      <c r="AG4" s="1276"/>
      <c r="AH4" s="1275" t="str">
        <f t="shared" ref="AH4" si="12">AF4</f>
        <v>PMAD LOKAL 12</v>
      </c>
      <c r="AI4" s="1276"/>
      <c r="AJ4" s="1275" t="str">
        <f t="shared" ref="AJ4" si="13">AH4</f>
        <v>PMAD LOKAL 12</v>
      </c>
      <c r="AK4" s="1276"/>
      <c r="AL4" s="1275" t="str">
        <f t="shared" ref="AL4" si="14">AJ4</f>
        <v>PMAD LOKAL 12</v>
      </c>
      <c r="AM4" s="1276"/>
      <c r="AN4" s="1275" t="str">
        <f t="shared" ref="AN4" si="15">AL4</f>
        <v>PMAD LOKAL 12</v>
      </c>
      <c r="AO4" s="1276"/>
      <c r="AP4" s="1275" t="str">
        <f t="shared" ref="AP4" si="16">AN4</f>
        <v>PMAD LOKAL 12</v>
      </c>
      <c r="AQ4" s="1276"/>
      <c r="AR4" s="1275" t="str">
        <f t="shared" ref="AR4" si="17">AN4</f>
        <v>PMAD LOKAL 12</v>
      </c>
      <c r="AS4" s="1276"/>
      <c r="AT4" s="1275" t="str">
        <f t="shared" ref="AT4" si="18">AP4</f>
        <v>PMAD LOKAL 12</v>
      </c>
      <c r="AU4" s="1276"/>
      <c r="AV4" s="1275" t="str">
        <f t="shared" ref="AV4" si="19">AR4</f>
        <v>PMAD LOKAL 12</v>
      </c>
      <c r="AW4" s="1276"/>
      <c r="AX4" s="1275" t="str">
        <f t="shared" ref="AX4" si="20">AT4</f>
        <v>PMAD LOKAL 12</v>
      </c>
      <c r="AY4" s="1276"/>
      <c r="AZ4" s="1275" t="s">
        <v>519</v>
      </c>
      <c r="BA4" s="1276"/>
    </row>
    <row r="5" spans="1:53" s="4" customFormat="1" ht="15" thickTop="1" thickBot="1" x14ac:dyDescent="0.5">
      <c r="A5" s="561"/>
      <c r="B5" s="7"/>
      <c r="E5" s="245"/>
      <c r="F5" s="1274"/>
      <c r="G5" s="1274"/>
      <c r="H5" s="1238"/>
      <c r="I5" s="1239"/>
      <c r="J5" s="1238"/>
      <c r="K5" s="1239"/>
      <c r="L5" s="1238"/>
      <c r="M5" s="1239"/>
      <c r="N5" s="1238"/>
      <c r="O5" s="1239"/>
      <c r="P5" s="1238"/>
      <c r="Q5" s="1239"/>
      <c r="R5" s="1238"/>
      <c r="S5" s="1239"/>
      <c r="T5" s="1238"/>
      <c r="U5" s="1239"/>
      <c r="V5" s="1238"/>
      <c r="W5" s="1239"/>
      <c r="X5" s="1238"/>
      <c r="Y5" s="1239"/>
      <c r="Z5" s="1238"/>
      <c r="AA5" s="1239"/>
      <c r="AB5" s="1238"/>
      <c r="AC5" s="1239"/>
      <c r="AD5" s="1238"/>
      <c r="AE5" s="1239"/>
      <c r="AF5" s="1238"/>
      <c r="AG5" s="1239"/>
      <c r="AH5" s="1238"/>
      <c r="AI5" s="1239"/>
      <c r="AJ5" s="1238"/>
      <c r="AK5" s="1239"/>
      <c r="AL5" s="1238"/>
      <c r="AM5" s="1239"/>
      <c r="AN5" s="1238"/>
      <c r="AO5" s="1239"/>
      <c r="AP5" s="1238"/>
      <c r="AQ5" s="1239"/>
      <c r="AR5" s="1238"/>
      <c r="AS5" s="1239"/>
      <c r="AT5" s="1238"/>
      <c r="AU5" s="1239"/>
      <c r="AV5" s="1238"/>
      <c r="AW5" s="1239"/>
      <c r="AX5" s="1238"/>
      <c r="AY5" s="1239"/>
      <c r="AZ5" s="1238"/>
      <c r="BA5" s="1239"/>
    </row>
    <row r="6" spans="1:53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34"/>
      <c r="G6" s="1206"/>
      <c r="H6" s="1205"/>
      <c r="I6" s="1206"/>
      <c r="J6" s="1205"/>
      <c r="K6" s="1206"/>
      <c r="L6" s="1277"/>
      <c r="M6" s="1206"/>
      <c r="N6" s="1205"/>
      <c r="O6" s="1206"/>
      <c r="P6" s="1205"/>
      <c r="Q6" s="1206"/>
      <c r="R6" s="1277"/>
      <c r="S6" s="1206"/>
      <c r="T6" s="1205"/>
      <c r="U6" s="1206"/>
      <c r="V6" s="1205"/>
      <c r="W6" s="1206"/>
      <c r="X6" s="1277"/>
      <c r="Y6" s="1206"/>
      <c r="Z6" s="1205"/>
      <c r="AA6" s="1206"/>
      <c r="AB6" s="1205"/>
      <c r="AC6" s="1206"/>
      <c r="AD6" s="1205"/>
      <c r="AE6" s="1206"/>
      <c r="AF6" s="1205"/>
      <c r="AG6" s="1206"/>
      <c r="AH6" s="1205"/>
      <c r="AI6" s="1206"/>
      <c r="AJ6" s="1205"/>
      <c r="AK6" s="1206"/>
      <c r="AL6" s="1205"/>
      <c r="AM6" s="1206"/>
      <c r="AN6" s="1205"/>
      <c r="AO6" s="1206"/>
      <c r="AP6" s="1205"/>
      <c r="AQ6" s="1206"/>
      <c r="AR6" s="1205"/>
      <c r="AS6" s="1206"/>
      <c r="AT6" s="1205"/>
      <c r="AU6" s="1206"/>
      <c r="AV6" s="1205"/>
      <c r="AW6" s="1206"/>
      <c r="AX6" s="1205"/>
      <c r="AY6" s="1206"/>
      <c r="AZ6" s="1205"/>
      <c r="BA6" s="1206"/>
    </row>
    <row r="7" spans="1:53" s="7" customFormat="1" ht="36.75" customHeight="1" x14ac:dyDescent="0.45">
      <c r="A7" s="561"/>
      <c r="B7" s="1203"/>
      <c r="C7" s="10" t="s">
        <v>11</v>
      </c>
      <c r="D7" s="11"/>
      <c r="E7" s="247"/>
      <c r="F7" s="1200">
        <v>184763</v>
      </c>
      <c r="G7" s="1201"/>
      <c r="H7" s="1200">
        <v>184763</v>
      </c>
      <c r="I7" s="1201"/>
      <c r="J7" s="1200">
        <v>184763</v>
      </c>
      <c r="K7" s="1201"/>
      <c r="L7" s="1200">
        <v>184763</v>
      </c>
      <c r="M7" s="1201"/>
      <c r="N7" s="1200">
        <v>184763</v>
      </c>
      <c r="O7" s="1201"/>
      <c r="P7" s="1200">
        <v>184763</v>
      </c>
      <c r="Q7" s="1201"/>
      <c r="R7" s="1200">
        <v>184763</v>
      </c>
      <c r="S7" s="1201"/>
      <c r="T7" s="1200">
        <v>184763</v>
      </c>
      <c r="U7" s="1201"/>
      <c r="V7" s="1200">
        <v>184763</v>
      </c>
      <c r="W7" s="1201"/>
      <c r="X7" s="1200">
        <v>184763</v>
      </c>
      <c r="Y7" s="1201"/>
      <c r="Z7" s="1200">
        <v>184763</v>
      </c>
      <c r="AA7" s="1201"/>
      <c r="AB7" s="1200">
        <v>184763</v>
      </c>
      <c r="AC7" s="1201"/>
      <c r="AD7" s="1200">
        <v>184763</v>
      </c>
      <c r="AE7" s="1201"/>
      <c r="AF7" s="1200">
        <v>184763</v>
      </c>
      <c r="AG7" s="1201"/>
      <c r="AH7" s="1200">
        <v>184763</v>
      </c>
      <c r="AI7" s="1201"/>
      <c r="AJ7" s="1200">
        <v>184763</v>
      </c>
      <c r="AK7" s="1201"/>
      <c r="AL7" s="1200">
        <v>184763</v>
      </c>
      <c r="AM7" s="1201"/>
      <c r="AN7" s="1200">
        <v>184763</v>
      </c>
      <c r="AO7" s="1201"/>
      <c r="AP7" s="1200">
        <v>184763</v>
      </c>
      <c r="AQ7" s="1201"/>
      <c r="AR7" s="1200">
        <v>184763</v>
      </c>
      <c r="AS7" s="1201"/>
      <c r="AT7" s="1200">
        <v>184763</v>
      </c>
      <c r="AU7" s="1201"/>
      <c r="AV7" s="1200">
        <v>184763</v>
      </c>
      <c r="AW7" s="1201"/>
      <c r="AX7" s="1200">
        <v>184763</v>
      </c>
      <c r="AY7" s="1201"/>
      <c r="AZ7" s="1279" t="s">
        <v>520</v>
      </c>
      <c r="BA7" s="1201"/>
    </row>
    <row r="8" spans="1:53" s="7" customFormat="1" x14ac:dyDescent="0.45">
      <c r="A8" s="561"/>
      <c r="B8" s="1203"/>
      <c r="C8" s="12" t="s">
        <v>12</v>
      </c>
      <c r="D8" s="11"/>
      <c r="E8" s="11"/>
      <c r="F8" s="1232">
        <f>G60</f>
        <v>4.38</v>
      </c>
      <c r="G8" s="1233"/>
      <c r="H8" s="1232">
        <f t="shared" ref="H8" si="21">I60</f>
        <v>4.38</v>
      </c>
      <c r="I8" s="1233"/>
      <c r="J8" s="1232">
        <f t="shared" ref="J8" si="22">K60</f>
        <v>4.38</v>
      </c>
      <c r="K8" s="1233"/>
      <c r="L8" s="1232">
        <f t="shared" ref="L8" si="23">M60</f>
        <v>4.38</v>
      </c>
      <c r="M8" s="1233"/>
      <c r="N8" s="1232">
        <f t="shared" ref="N8" si="24">O60</f>
        <v>4.38</v>
      </c>
      <c r="O8" s="1233"/>
      <c r="P8" s="1232">
        <f t="shared" ref="P8" si="25">Q60</f>
        <v>4.38</v>
      </c>
      <c r="Q8" s="1233"/>
      <c r="R8" s="1232">
        <f t="shared" ref="R8" si="26">S60</f>
        <v>4.38</v>
      </c>
      <c r="S8" s="1233"/>
      <c r="T8" s="1232">
        <f t="shared" ref="T8" si="27">U60</f>
        <v>4.38</v>
      </c>
      <c r="U8" s="1233"/>
      <c r="V8" s="1232">
        <f t="shared" ref="V8" si="28">W60</f>
        <v>4.38</v>
      </c>
      <c r="W8" s="1233"/>
      <c r="X8" s="1232">
        <f t="shared" ref="X8" si="29">Y60</f>
        <v>4.38</v>
      </c>
      <c r="Y8" s="1233"/>
      <c r="Z8" s="1232">
        <f t="shared" ref="Z8" si="30">AA60</f>
        <v>4.38</v>
      </c>
      <c r="AA8" s="1233"/>
      <c r="AB8" s="1232">
        <f t="shared" ref="AB8" si="31">AC60</f>
        <v>4.38</v>
      </c>
      <c r="AC8" s="1233"/>
      <c r="AD8" s="1232">
        <f t="shared" ref="AD8" si="32">AE60</f>
        <v>4.38</v>
      </c>
      <c r="AE8" s="1233"/>
      <c r="AF8" s="1232">
        <f t="shared" ref="AF8" si="33">AG60</f>
        <v>4.38</v>
      </c>
      <c r="AG8" s="1233"/>
      <c r="AH8" s="1232">
        <f t="shared" ref="AH8" si="34">AI60</f>
        <v>4.38</v>
      </c>
      <c r="AI8" s="1233"/>
      <c r="AJ8" s="1232">
        <f t="shared" ref="AJ8" si="35">AK60</f>
        <v>4.38</v>
      </c>
      <c r="AK8" s="1233"/>
      <c r="AL8" s="1232">
        <f t="shared" ref="AL8" si="36">AM60</f>
        <v>4.38</v>
      </c>
      <c r="AM8" s="1233"/>
      <c r="AN8" s="1232">
        <f t="shared" ref="AN8" si="37">AO60</f>
        <v>4.38</v>
      </c>
      <c r="AO8" s="1233"/>
      <c r="AP8" s="1232">
        <f t="shared" ref="AP8" si="38">AQ60</f>
        <v>4.38</v>
      </c>
      <c r="AQ8" s="1233"/>
      <c r="AR8" s="1232">
        <f t="shared" ref="AR8" si="39">AS60</f>
        <v>4.38</v>
      </c>
      <c r="AS8" s="1233"/>
      <c r="AT8" s="1232">
        <f t="shared" ref="AT8" si="40">AU60</f>
        <v>4.38</v>
      </c>
      <c r="AU8" s="1233"/>
      <c r="AV8" s="1232">
        <f t="shared" ref="AV8" si="41">AW60</f>
        <v>4.38</v>
      </c>
      <c r="AW8" s="1233"/>
      <c r="AX8" s="1232">
        <f t="shared" ref="AX8" si="42">AY60</f>
        <v>4.38</v>
      </c>
      <c r="AY8" s="1233"/>
      <c r="AZ8" s="1232">
        <f t="shared" ref="AZ8" si="43">BA60</f>
        <v>4.4000000000000004</v>
      </c>
      <c r="BA8" s="1233"/>
    </row>
    <row r="9" spans="1:53" s="7" customFormat="1" x14ac:dyDescent="0.45">
      <c r="A9" s="561"/>
      <c r="B9" s="1203"/>
      <c r="C9" s="13" t="s">
        <v>14</v>
      </c>
      <c r="D9" s="14"/>
      <c r="E9" s="14"/>
      <c r="F9" s="1190" t="str">
        <f>CONCATENATE("TP $",TEXT(G57,"#,##0.00"),"/ctn")</f>
        <v>TP $1.03/ctn</v>
      </c>
      <c r="G9" s="1191"/>
      <c r="H9" s="1190" t="str">
        <f t="shared" ref="H9" si="44">CONCATENATE("TP $",TEXT(I57,"#,##0.00"),"/ctn")</f>
        <v>TP $1.03/ctn</v>
      </c>
      <c r="I9" s="1191"/>
      <c r="J9" s="1190" t="str">
        <f t="shared" ref="J9" si="45">CONCATENATE("TP $",TEXT(K57,"#,##0.00"),"/ctn")</f>
        <v>TP $1.03/ctn</v>
      </c>
      <c r="K9" s="1191"/>
      <c r="L9" s="1190" t="str">
        <f t="shared" ref="L9" si="46">CONCATENATE("TP $",TEXT(M57,"#,##0.00"),"/ctn")</f>
        <v>TP $1.03/ctn</v>
      </c>
      <c r="M9" s="1191"/>
      <c r="N9" s="1190" t="str">
        <f t="shared" ref="N9" si="47">CONCATENATE("TP $",TEXT(O57,"#,##0.00"),"/ctn")</f>
        <v>TP $1.03/ctn</v>
      </c>
      <c r="O9" s="1191"/>
      <c r="P9" s="1190" t="str">
        <f t="shared" ref="P9" si="48">CONCATENATE("TP $",TEXT(Q57,"#,##0.00"),"/ctn")</f>
        <v>TP $1.03/ctn</v>
      </c>
      <c r="Q9" s="1191"/>
      <c r="R9" s="1190" t="str">
        <f t="shared" ref="R9" si="49">CONCATENATE("TP $",TEXT(S57,"#,##0.00"),"/ctn")</f>
        <v>TP $1.03/ctn</v>
      </c>
      <c r="S9" s="1191"/>
      <c r="T9" s="1190" t="str">
        <f t="shared" ref="T9" si="50">CONCATENATE("TP $",TEXT(U57,"#,##0.00"),"/ctn")</f>
        <v>TP $1.03/ctn</v>
      </c>
      <c r="U9" s="1191"/>
      <c r="V9" s="1190" t="str">
        <f t="shared" ref="V9" si="51">CONCATENATE("TP $",TEXT(W57,"#,##0.00"),"/ctn")</f>
        <v>TP $1.03/ctn</v>
      </c>
      <c r="W9" s="1191"/>
      <c r="X9" s="1190" t="str">
        <f t="shared" ref="X9" si="52">CONCATENATE("TP $",TEXT(Y57,"#,##0.00"),"/ctn")</f>
        <v>TP $1.03/ctn</v>
      </c>
      <c r="Y9" s="1191"/>
      <c r="Z9" s="1190" t="str">
        <f t="shared" ref="Z9" si="53">CONCATENATE("TP $",TEXT(AA57,"#,##0.00"),"/ctn")</f>
        <v>TP $1.03/ctn</v>
      </c>
      <c r="AA9" s="1191"/>
      <c r="AB9" s="1190" t="str">
        <f t="shared" ref="AB9" si="54">CONCATENATE("TP $",TEXT(AC57,"#,##0.00"),"/ctn")</f>
        <v>TP $0.89/ctn</v>
      </c>
      <c r="AC9" s="1191"/>
      <c r="AD9" s="1190" t="str">
        <f t="shared" ref="AD9" si="55">CONCATENATE("TP $",TEXT(AE57,"#,##0.00"),"/ctn")</f>
        <v>TP $1.03/ctn</v>
      </c>
      <c r="AE9" s="1191"/>
      <c r="AF9" s="1190" t="str">
        <f t="shared" ref="AF9" si="56">CONCATENATE("TP $",TEXT(AG57,"#,##0.00"),"/ctn")</f>
        <v>TP $1.03/ctn</v>
      </c>
      <c r="AG9" s="1191"/>
      <c r="AH9" s="1190" t="str">
        <f t="shared" ref="AH9" si="57">CONCATENATE("TP $",TEXT(AI57,"#,##0.00"),"/ctn")</f>
        <v>TP $1.03/ctn</v>
      </c>
      <c r="AI9" s="1191"/>
      <c r="AJ9" s="1190" t="str">
        <f t="shared" ref="AJ9" si="58">CONCATENATE("TP $",TEXT(AK57,"#,##0.00"),"/ctn")</f>
        <v>TP $1.03/ctn</v>
      </c>
      <c r="AK9" s="1191"/>
      <c r="AL9" s="1190" t="str">
        <f t="shared" ref="AL9" si="59">CONCATENATE("TP $",TEXT(AM57,"#,##0.00"),"/ctn")</f>
        <v>TP $1.03/ctn</v>
      </c>
      <c r="AM9" s="1191"/>
      <c r="AN9" s="1190" t="str">
        <f t="shared" ref="AN9" si="60">CONCATENATE("TP $",TEXT(AO57,"#,##0.00"),"/ctn")</f>
        <v>TP $1.03/ctn</v>
      </c>
      <c r="AO9" s="1191"/>
      <c r="AP9" s="1190" t="str">
        <f t="shared" ref="AP9" si="61">CONCATENATE("TP $",TEXT(AQ57,"#,##0.00"),"/ctn")</f>
        <v>TP $1.03/ctn</v>
      </c>
      <c r="AQ9" s="1191"/>
      <c r="AR9" s="1190" t="str">
        <f t="shared" ref="AR9" si="62">CONCATENATE("TP $",TEXT(AS57,"#,##0.00"),"/ctn")</f>
        <v>TP $1.03/ctn</v>
      </c>
      <c r="AS9" s="1191"/>
      <c r="AT9" s="1190" t="str">
        <f t="shared" ref="AT9" si="63">CONCATENATE("TP $",TEXT(AU57,"#,##0.00"),"/ctn")</f>
        <v>TP $1.33/ctn</v>
      </c>
      <c r="AU9" s="1191"/>
      <c r="AV9" s="1190" t="str">
        <f t="shared" ref="AV9" si="64">CONCATENATE("TP $",TEXT(AW57,"#,##0.00"),"/ctn")</f>
        <v>TP $1.33/ctn</v>
      </c>
      <c r="AW9" s="1191"/>
      <c r="AX9" s="1190" t="str">
        <f t="shared" ref="AX9" si="65">CONCATENATE("TP $",TEXT(AY57,"#,##0.00"),"/ctn")</f>
        <v>TP $1.33/ctn</v>
      </c>
      <c r="AY9" s="1191"/>
      <c r="AZ9" s="1190" t="str">
        <f t="shared" ref="AZ9" si="66">CONCATENATE("TP $",TEXT(BA57,"#,##0.00"),"/ctn")</f>
        <v>TP $1.35/ctn</v>
      </c>
      <c r="BA9" s="1191"/>
    </row>
    <row r="10" spans="1:53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12</v>
      </c>
      <c r="G10" s="253" t="str">
        <f>+F10</f>
        <v>12</v>
      </c>
      <c r="H10" s="252" t="str">
        <f t="shared" ref="H10" si="67">RIGHT(H2,2)</f>
        <v>12</v>
      </c>
      <c r="I10" s="253" t="str">
        <f t="shared" ref="I10" si="68">+H10</f>
        <v>12</v>
      </c>
      <c r="J10" s="252" t="str">
        <f t="shared" ref="J10" si="69">RIGHT(J2,2)</f>
        <v>12</v>
      </c>
      <c r="K10" s="253" t="str">
        <f t="shared" ref="K10" si="70">+J10</f>
        <v>12</v>
      </c>
      <c r="L10" s="252" t="str">
        <f t="shared" ref="L10" si="71">RIGHT(L2,2)</f>
        <v>12</v>
      </c>
      <c r="M10" s="253" t="str">
        <f t="shared" ref="M10" si="72">+L10</f>
        <v>12</v>
      </c>
      <c r="N10" s="252" t="str">
        <f t="shared" ref="N10" si="73">RIGHT(N2,2)</f>
        <v>12</v>
      </c>
      <c r="O10" s="253" t="str">
        <f t="shared" ref="O10" si="74">+N10</f>
        <v>12</v>
      </c>
      <c r="P10" s="252" t="str">
        <f t="shared" ref="P10" si="75">RIGHT(P2,2)</f>
        <v>12</v>
      </c>
      <c r="Q10" s="253" t="str">
        <f t="shared" ref="Q10" si="76">+P10</f>
        <v>12</v>
      </c>
      <c r="R10" s="252" t="str">
        <f t="shared" ref="R10" si="77">RIGHT(R2,2)</f>
        <v>12</v>
      </c>
      <c r="S10" s="253" t="str">
        <f t="shared" ref="S10" si="78">+R10</f>
        <v>12</v>
      </c>
      <c r="T10" s="252" t="str">
        <f t="shared" ref="T10" si="79">RIGHT(T2,2)</f>
        <v>12</v>
      </c>
      <c r="U10" s="253" t="str">
        <f t="shared" ref="U10" si="80">+T10</f>
        <v>12</v>
      </c>
      <c r="V10" s="252" t="str">
        <f t="shared" ref="V10" si="81">RIGHT(V2,2)</f>
        <v>12</v>
      </c>
      <c r="W10" s="253" t="str">
        <f t="shared" ref="W10" si="82">+V10</f>
        <v>12</v>
      </c>
      <c r="X10" s="252" t="str">
        <f t="shared" ref="X10" si="83">RIGHT(X2,2)</f>
        <v>12</v>
      </c>
      <c r="Y10" s="253" t="str">
        <f t="shared" ref="Y10" si="84">+X10</f>
        <v>12</v>
      </c>
      <c r="Z10" s="252" t="str">
        <f t="shared" ref="Z10" si="85">RIGHT(Z2,2)</f>
        <v>12</v>
      </c>
      <c r="AA10" s="253" t="str">
        <f t="shared" ref="AA10" si="86">+Z10</f>
        <v>12</v>
      </c>
      <c r="AB10" s="252" t="str">
        <f t="shared" ref="AB10" si="87">RIGHT(AB2,2)</f>
        <v>12</v>
      </c>
      <c r="AC10" s="253" t="str">
        <f t="shared" ref="AC10:AI10" si="88">+AB10</f>
        <v>12</v>
      </c>
      <c r="AD10" s="252" t="str">
        <f t="shared" ref="AD10" si="89">RIGHT(AD2,2)</f>
        <v>12</v>
      </c>
      <c r="AE10" s="253" t="str">
        <f t="shared" si="88"/>
        <v>12</v>
      </c>
      <c r="AF10" s="252" t="str">
        <f t="shared" ref="AF10" si="90">RIGHT(AF2,2)</f>
        <v>12</v>
      </c>
      <c r="AG10" s="253" t="str">
        <f t="shared" si="88"/>
        <v>12</v>
      </c>
      <c r="AH10" s="252" t="str">
        <f t="shared" ref="AH10" si="91">RIGHT(AH2,2)</f>
        <v>12</v>
      </c>
      <c r="AI10" s="253" t="str">
        <f t="shared" si="88"/>
        <v>12</v>
      </c>
      <c r="AJ10" s="252" t="str">
        <f t="shared" ref="AJ10" si="92">RIGHT(AJ2,2)</f>
        <v>12</v>
      </c>
      <c r="AK10" s="253" t="str">
        <f t="shared" ref="AK10" si="93">+AJ10</f>
        <v>12</v>
      </c>
      <c r="AL10" s="252" t="str">
        <f t="shared" ref="AL10" si="94">RIGHT(AL2,2)</f>
        <v>12</v>
      </c>
      <c r="AM10" s="253" t="str">
        <f t="shared" ref="AM10" si="95">+AL10</f>
        <v>12</v>
      </c>
      <c r="AN10" s="252" t="str">
        <f t="shared" ref="AN10:AP10" si="96">RIGHT(AN2,2)</f>
        <v>12</v>
      </c>
      <c r="AO10" s="253" t="str">
        <f t="shared" ref="AO10" si="97">+AN10</f>
        <v>12</v>
      </c>
      <c r="AP10" s="252" t="str">
        <f t="shared" si="96"/>
        <v>12</v>
      </c>
      <c r="AQ10" s="253" t="str">
        <f t="shared" ref="AQ10" si="98">+AP10</f>
        <v>12</v>
      </c>
      <c r="AR10" s="252" t="str">
        <f t="shared" ref="AR10" si="99">RIGHT(AR2,2)</f>
        <v>12</v>
      </c>
      <c r="AS10" s="253" t="str">
        <f t="shared" ref="AS10" si="100">+AR10</f>
        <v>12</v>
      </c>
      <c r="AT10" s="252" t="str">
        <f t="shared" ref="AT10:AV10" si="101">RIGHT(AT2,2)</f>
        <v>12</v>
      </c>
      <c r="AU10" s="253" t="str">
        <f t="shared" ref="AU10" si="102">+AT10</f>
        <v>12</v>
      </c>
      <c r="AV10" s="252" t="str">
        <f t="shared" si="101"/>
        <v>12</v>
      </c>
      <c r="AW10" s="253" t="str">
        <f t="shared" ref="AW10" si="103">+AV10</f>
        <v>12</v>
      </c>
      <c r="AX10" s="252" t="str">
        <f t="shared" ref="AX10" si="104">RIGHT(AX2,2)</f>
        <v>12</v>
      </c>
      <c r="AY10" s="253" t="str">
        <f t="shared" ref="AY10" si="105">+AX10</f>
        <v>12</v>
      </c>
      <c r="AZ10" s="252" t="str">
        <f t="shared" ref="AZ10" si="106">RIGHT(AZ2,2)</f>
        <v>12</v>
      </c>
      <c r="BA10" s="253" t="str">
        <f t="shared" ref="BA10" si="107">+AZ10</f>
        <v>12</v>
      </c>
    </row>
    <row r="11" spans="1:53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21" t="s">
        <v>25</v>
      </c>
      <c r="AG11" s="22" t="s">
        <v>26</v>
      </c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21" t="s">
        <v>25</v>
      </c>
      <c r="AQ11" s="22" t="s">
        <v>26</v>
      </c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21" t="s">
        <v>25</v>
      </c>
      <c r="BA11" s="22" t="s">
        <v>26</v>
      </c>
    </row>
    <row r="12" spans="1:53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23">
        <v>4068.66</v>
      </c>
      <c r="O12" s="24"/>
      <c r="P12" s="23">
        <v>4068.66</v>
      </c>
      <c r="Q12" s="24"/>
      <c r="R12" s="23">
        <v>4068.66</v>
      </c>
      <c r="S12" s="24"/>
      <c r="T12" s="23">
        <v>4068.66</v>
      </c>
      <c r="U12" s="24"/>
      <c r="V12" s="23">
        <v>4068.66</v>
      </c>
      <c r="W12" s="24"/>
      <c r="X12" s="23">
        <v>4068.66</v>
      </c>
      <c r="Y12" s="24"/>
      <c r="Z12" s="23">
        <v>4068.66</v>
      </c>
      <c r="AA12" s="24"/>
      <c r="AB12" s="23">
        <v>4068.66</v>
      </c>
      <c r="AC12" s="24"/>
      <c r="AD12" s="23">
        <v>4068.66</v>
      </c>
      <c r="AE12" s="24"/>
      <c r="AF12" s="23">
        <v>4068.66</v>
      </c>
      <c r="AG12" s="24"/>
      <c r="AH12" s="23">
        <v>4068.66</v>
      </c>
      <c r="AI12" s="24"/>
      <c r="AJ12" s="23">
        <v>4068.66</v>
      </c>
      <c r="AK12" s="24"/>
      <c r="AL12" s="23">
        <v>4068.66</v>
      </c>
      <c r="AM12" s="24"/>
      <c r="AN12" s="23">
        <v>4068.66</v>
      </c>
      <c r="AO12" s="24"/>
      <c r="AP12" s="23">
        <v>4068.66</v>
      </c>
      <c r="AQ12" s="24"/>
      <c r="AR12" s="23">
        <v>4068.66</v>
      </c>
      <c r="AS12" s="24"/>
      <c r="AT12" s="23">
        <v>4068.66</v>
      </c>
      <c r="AU12" s="24"/>
      <c r="AV12" s="23">
        <v>4068.66</v>
      </c>
      <c r="AW12" s="24"/>
      <c r="AX12" s="23">
        <v>4068.66</v>
      </c>
      <c r="AY12" s="24"/>
      <c r="AZ12" s="23">
        <v>4068.66</v>
      </c>
      <c r="BA12" s="24"/>
    </row>
    <row r="13" spans="1:53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27"/>
      <c r="O13" s="28"/>
      <c r="P13" s="27"/>
      <c r="Q13" s="28"/>
      <c r="R13" s="27"/>
      <c r="S13" s="28"/>
      <c r="T13" s="27"/>
      <c r="U13" s="28"/>
      <c r="V13" s="27"/>
      <c r="W13" s="28"/>
      <c r="X13" s="27"/>
      <c r="Y13" s="28"/>
      <c r="Z13" s="27"/>
      <c r="AA13" s="28"/>
      <c r="AB13" s="27"/>
      <c r="AC13" s="28"/>
      <c r="AD13" s="27"/>
      <c r="AE13" s="28"/>
      <c r="AF13" s="27"/>
      <c r="AG13" s="28"/>
      <c r="AH13" s="27"/>
      <c r="AI13" s="28"/>
      <c r="AJ13" s="27"/>
      <c r="AK13" s="28"/>
      <c r="AL13" s="27"/>
      <c r="AM13" s="28"/>
      <c r="AN13" s="27"/>
      <c r="AO13" s="28"/>
      <c r="AP13" s="27"/>
      <c r="AQ13" s="28"/>
      <c r="AR13" s="27"/>
      <c r="AS13" s="28"/>
      <c r="AT13" s="27"/>
      <c r="AU13" s="28"/>
      <c r="AV13" s="27"/>
      <c r="AW13" s="28"/>
      <c r="AX13" s="27"/>
      <c r="AY13" s="28"/>
      <c r="AZ13" s="27"/>
      <c r="BA13" s="28"/>
    </row>
    <row r="14" spans="1:53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8"/>
      <c r="AJ14" s="17"/>
      <c r="AK14" s="18"/>
      <c r="AL14" s="17"/>
      <c r="AM14" s="18"/>
      <c r="AN14" s="17"/>
      <c r="AO14" s="18"/>
      <c r="AP14" s="17"/>
      <c r="AQ14" s="18"/>
      <c r="AR14" s="17"/>
      <c r="AS14" s="18"/>
      <c r="AT14" s="17"/>
      <c r="AU14" s="18"/>
      <c r="AV14" s="17"/>
      <c r="AW14" s="18"/>
      <c r="AX14" s="17"/>
      <c r="AY14" s="18"/>
      <c r="AZ14" s="17"/>
      <c r="BA14" s="18"/>
    </row>
    <row r="15" spans="1:53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2400</v>
      </c>
      <c r="G15" s="32">
        <f>+F15/F12</f>
        <v>0.58987479907389662</v>
      </c>
      <c r="H15" s="31">
        <v>2400</v>
      </c>
      <c r="I15" s="32">
        <f t="shared" ref="I15" si="108">+H15/H12</f>
        <v>0.58987479907389662</v>
      </c>
      <c r="J15" s="31">
        <v>2400</v>
      </c>
      <c r="K15" s="32">
        <f t="shared" ref="K15" si="109">+J15/J12</f>
        <v>0.58987479907389662</v>
      </c>
      <c r="L15" s="31">
        <v>2400</v>
      </c>
      <c r="M15" s="32">
        <f t="shared" ref="M15" si="110">+L15/L12</f>
        <v>0.58987479907389662</v>
      </c>
      <c r="N15" s="31">
        <v>2400</v>
      </c>
      <c r="O15" s="32">
        <f t="shared" ref="O15" si="111">+N15/N12</f>
        <v>0.58987479907389662</v>
      </c>
      <c r="P15" s="31">
        <v>2400</v>
      </c>
      <c r="Q15" s="32">
        <f t="shared" ref="Q15" si="112">+P15/P12</f>
        <v>0.58987479907389662</v>
      </c>
      <c r="R15" s="31">
        <v>2400</v>
      </c>
      <c r="S15" s="32">
        <f t="shared" ref="S15" si="113">+R15/R12</f>
        <v>0.58987479907389662</v>
      </c>
      <c r="T15" s="31">
        <v>2400</v>
      </c>
      <c r="U15" s="32">
        <f t="shared" ref="U15" si="114">+T15/T12</f>
        <v>0.58987479907389662</v>
      </c>
      <c r="V15" s="31">
        <v>2400</v>
      </c>
      <c r="W15" s="32">
        <f t="shared" ref="W15" si="115">+V15/V12</f>
        <v>0.58987479907389662</v>
      </c>
      <c r="X15" s="31">
        <v>2400</v>
      </c>
      <c r="Y15" s="32">
        <f t="shared" ref="Y15" si="116">+X15/X12</f>
        <v>0.58987479907389662</v>
      </c>
      <c r="Z15" s="31">
        <v>2400</v>
      </c>
      <c r="AA15" s="32">
        <f t="shared" ref="AA15" si="117">+Z15/Z12</f>
        <v>0.58987479907389662</v>
      </c>
      <c r="AB15" s="31">
        <v>2400</v>
      </c>
      <c r="AC15" s="32">
        <f t="shared" ref="AC15:AI15" si="118">+AB15/AB12</f>
        <v>0.58987479907389662</v>
      </c>
      <c r="AD15" s="31">
        <v>2400</v>
      </c>
      <c r="AE15" s="32">
        <f t="shared" si="118"/>
        <v>0.58987479907389662</v>
      </c>
      <c r="AF15" s="31">
        <v>2400</v>
      </c>
      <c r="AG15" s="32">
        <f t="shared" si="118"/>
        <v>0.58987479907389662</v>
      </c>
      <c r="AH15" s="31">
        <v>2500</v>
      </c>
      <c r="AI15" s="32">
        <f t="shared" si="118"/>
        <v>0.61445291570197558</v>
      </c>
      <c r="AJ15" s="31">
        <v>2400</v>
      </c>
      <c r="AK15" s="32">
        <f t="shared" ref="AK15" si="119">+AJ15/AJ12</f>
        <v>0.58987479907389662</v>
      </c>
      <c r="AL15" s="31">
        <v>2400</v>
      </c>
      <c r="AM15" s="32">
        <f t="shared" ref="AM15" si="120">+AL15/AL12</f>
        <v>0.58987479907389662</v>
      </c>
      <c r="AN15" s="31">
        <v>2400</v>
      </c>
      <c r="AO15" s="32">
        <f t="shared" ref="AO15" si="121">+AN15/AN12</f>
        <v>0.58987479907389662</v>
      </c>
      <c r="AP15" s="31">
        <v>2400</v>
      </c>
      <c r="AQ15" s="32">
        <f t="shared" ref="AQ15" si="122">+AP15/AP12</f>
        <v>0.58987479907389662</v>
      </c>
      <c r="AR15" s="31">
        <v>2000</v>
      </c>
      <c r="AS15" s="32">
        <f t="shared" ref="AS15" si="123">+AR15/AR12</f>
        <v>0.4915623325615805</v>
      </c>
      <c r="AT15" s="31">
        <v>2000</v>
      </c>
      <c r="AU15" s="32">
        <f t="shared" ref="AU15" si="124">+AT15/AT12</f>
        <v>0.4915623325615805</v>
      </c>
      <c r="AV15" s="31">
        <v>2000</v>
      </c>
      <c r="AW15" s="32">
        <f t="shared" ref="AW15" si="125">+AV15/AV12</f>
        <v>0.4915623325615805</v>
      </c>
      <c r="AX15" s="31">
        <v>2000</v>
      </c>
      <c r="AY15" s="32">
        <f t="shared" ref="AY15" si="126">+AX15/AX12</f>
        <v>0.4915623325615805</v>
      </c>
      <c r="AZ15" s="31">
        <v>2000</v>
      </c>
      <c r="BA15" s="32">
        <f t="shared" ref="BA15" si="127">+AZ15/AZ12</f>
        <v>0.4915623325615805</v>
      </c>
    </row>
    <row r="16" spans="1:53" s="4" customFormat="1" ht="18" customHeight="1" x14ac:dyDescent="0.45">
      <c r="A16" s="561"/>
      <c r="B16" s="1194"/>
      <c r="C16" s="33" t="s">
        <v>30</v>
      </c>
      <c r="D16" s="20"/>
      <c r="E16" s="30"/>
      <c r="F16" s="31">
        <f>+F15*F10</f>
        <v>28800</v>
      </c>
      <c r="G16" s="32">
        <f>+G15*G10</f>
        <v>7.0784975888867594</v>
      </c>
      <c r="H16" s="31">
        <f t="shared" ref="H16:BA16" si="128">+H15*H10</f>
        <v>28800</v>
      </c>
      <c r="I16" s="32">
        <f t="shared" si="128"/>
        <v>7.0784975888867594</v>
      </c>
      <c r="J16" s="31">
        <f t="shared" si="128"/>
        <v>28800</v>
      </c>
      <c r="K16" s="32">
        <f t="shared" si="128"/>
        <v>7.0784975888867594</v>
      </c>
      <c r="L16" s="31">
        <f t="shared" si="128"/>
        <v>28800</v>
      </c>
      <c r="M16" s="32">
        <f t="shared" si="128"/>
        <v>7.0784975888867594</v>
      </c>
      <c r="N16" s="31">
        <f t="shared" si="128"/>
        <v>28800</v>
      </c>
      <c r="O16" s="32">
        <f t="shared" si="128"/>
        <v>7.0784975888867594</v>
      </c>
      <c r="P16" s="31">
        <f t="shared" si="128"/>
        <v>28800</v>
      </c>
      <c r="Q16" s="32">
        <f t="shared" si="128"/>
        <v>7.0784975888867594</v>
      </c>
      <c r="R16" s="31">
        <f t="shared" si="128"/>
        <v>28800</v>
      </c>
      <c r="S16" s="32">
        <f t="shared" si="128"/>
        <v>7.0784975888867594</v>
      </c>
      <c r="T16" s="31">
        <f t="shared" si="128"/>
        <v>28800</v>
      </c>
      <c r="U16" s="32">
        <f t="shared" si="128"/>
        <v>7.0784975888867594</v>
      </c>
      <c r="V16" s="31">
        <f t="shared" si="128"/>
        <v>28800</v>
      </c>
      <c r="W16" s="32">
        <f t="shared" si="128"/>
        <v>7.0784975888867594</v>
      </c>
      <c r="X16" s="31">
        <f t="shared" si="128"/>
        <v>28800</v>
      </c>
      <c r="Y16" s="32">
        <f t="shared" si="128"/>
        <v>7.0784975888867594</v>
      </c>
      <c r="Z16" s="31">
        <f t="shared" si="128"/>
        <v>28800</v>
      </c>
      <c r="AA16" s="32">
        <f t="shared" si="128"/>
        <v>7.0784975888867594</v>
      </c>
      <c r="AB16" s="31">
        <f t="shared" si="128"/>
        <v>28800</v>
      </c>
      <c r="AC16" s="32">
        <f t="shared" si="128"/>
        <v>7.0784975888867594</v>
      </c>
      <c r="AD16" s="31">
        <f t="shared" si="128"/>
        <v>28800</v>
      </c>
      <c r="AE16" s="32">
        <f t="shared" si="128"/>
        <v>7.0784975888867594</v>
      </c>
      <c r="AF16" s="31">
        <f t="shared" si="128"/>
        <v>28800</v>
      </c>
      <c r="AG16" s="32">
        <f t="shared" si="128"/>
        <v>7.0784975888867594</v>
      </c>
      <c r="AH16" s="31">
        <f t="shared" si="128"/>
        <v>30000</v>
      </c>
      <c r="AI16" s="32">
        <f t="shared" si="128"/>
        <v>7.3734349884237069</v>
      </c>
      <c r="AJ16" s="31">
        <f t="shared" si="128"/>
        <v>28800</v>
      </c>
      <c r="AK16" s="32">
        <f t="shared" si="128"/>
        <v>7.0784975888867594</v>
      </c>
      <c r="AL16" s="31">
        <f t="shared" si="128"/>
        <v>28800</v>
      </c>
      <c r="AM16" s="32">
        <f t="shared" si="128"/>
        <v>7.0784975888867594</v>
      </c>
      <c r="AN16" s="31">
        <f t="shared" si="128"/>
        <v>28800</v>
      </c>
      <c r="AO16" s="32">
        <f t="shared" si="128"/>
        <v>7.0784975888867594</v>
      </c>
      <c r="AP16" s="31">
        <f t="shared" si="128"/>
        <v>28800</v>
      </c>
      <c r="AQ16" s="32">
        <f t="shared" si="128"/>
        <v>7.0784975888867594</v>
      </c>
      <c r="AR16" s="31">
        <f t="shared" si="128"/>
        <v>24000</v>
      </c>
      <c r="AS16" s="32">
        <f t="shared" si="128"/>
        <v>5.8987479907389657</v>
      </c>
      <c r="AT16" s="31">
        <f t="shared" si="128"/>
        <v>24000</v>
      </c>
      <c r="AU16" s="32">
        <f t="shared" si="128"/>
        <v>5.8987479907389657</v>
      </c>
      <c r="AV16" s="31">
        <f t="shared" si="128"/>
        <v>24000</v>
      </c>
      <c r="AW16" s="32">
        <f t="shared" si="128"/>
        <v>5.8987479907389657</v>
      </c>
      <c r="AX16" s="31">
        <f t="shared" si="128"/>
        <v>24000</v>
      </c>
      <c r="AY16" s="32">
        <f t="shared" si="128"/>
        <v>5.8987479907389657</v>
      </c>
      <c r="AZ16" s="31">
        <f t="shared" si="128"/>
        <v>24000</v>
      </c>
      <c r="BA16" s="32">
        <f t="shared" si="128"/>
        <v>5.8987479907389657</v>
      </c>
    </row>
    <row r="17" spans="1:53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23">
        <v>0</v>
      </c>
      <c r="O17" s="24">
        <v>0</v>
      </c>
      <c r="P17" s="23">
        <v>0</v>
      </c>
      <c r="Q17" s="24">
        <v>0</v>
      </c>
      <c r="R17" s="23">
        <v>0</v>
      </c>
      <c r="S17" s="24">
        <v>0</v>
      </c>
      <c r="T17" s="23">
        <v>0</v>
      </c>
      <c r="U17" s="24">
        <v>0</v>
      </c>
      <c r="V17" s="23">
        <v>0</v>
      </c>
      <c r="W17" s="24">
        <v>0</v>
      </c>
      <c r="X17" s="23">
        <v>0</v>
      </c>
      <c r="Y17" s="24">
        <v>0</v>
      </c>
      <c r="Z17" s="23">
        <v>0</v>
      </c>
      <c r="AA17" s="24">
        <v>0</v>
      </c>
      <c r="AB17" s="23">
        <v>0</v>
      </c>
      <c r="AC17" s="24">
        <v>0</v>
      </c>
      <c r="AD17" s="23">
        <v>0</v>
      </c>
      <c r="AE17" s="24">
        <v>0</v>
      </c>
      <c r="AF17" s="23">
        <v>0</v>
      </c>
      <c r="AG17" s="24">
        <v>0</v>
      </c>
      <c r="AH17" s="23">
        <v>0</v>
      </c>
      <c r="AI17" s="24">
        <v>0</v>
      </c>
      <c r="AJ17" s="23">
        <v>0</v>
      </c>
      <c r="AK17" s="24">
        <v>0</v>
      </c>
      <c r="AL17" s="23">
        <v>0</v>
      </c>
      <c r="AM17" s="24">
        <v>0</v>
      </c>
      <c r="AN17" s="23">
        <v>0</v>
      </c>
      <c r="AO17" s="24">
        <v>0</v>
      </c>
      <c r="AP17" s="23">
        <v>0</v>
      </c>
      <c r="AQ17" s="24">
        <v>0</v>
      </c>
      <c r="AR17" s="23">
        <v>0</v>
      </c>
      <c r="AS17" s="24">
        <v>0</v>
      </c>
      <c r="AT17" s="23">
        <v>0</v>
      </c>
      <c r="AU17" s="24">
        <v>0</v>
      </c>
      <c r="AV17" s="23">
        <v>0</v>
      </c>
      <c r="AW17" s="24">
        <v>0</v>
      </c>
      <c r="AX17" s="23">
        <v>0</v>
      </c>
      <c r="AY17" s="24">
        <v>0</v>
      </c>
      <c r="AZ17" s="23">
        <v>0</v>
      </c>
      <c r="BA17" s="24">
        <v>0</v>
      </c>
    </row>
    <row r="18" spans="1:53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6">
        <v>0</v>
      </c>
      <c r="O18" s="37">
        <v>0</v>
      </c>
      <c r="P18" s="36">
        <v>0</v>
      </c>
      <c r="Q18" s="37">
        <v>0</v>
      </c>
      <c r="R18" s="36">
        <v>0</v>
      </c>
      <c r="S18" s="37">
        <v>0</v>
      </c>
      <c r="T18" s="36">
        <v>0</v>
      </c>
      <c r="U18" s="37">
        <v>0</v>
      </c>
      <c r="V18" s="36">
        <v>0</v>
      </c>
      <c r="W18" s="37">
        <v>0</v>
      </c>
      <c r="X18" s="36">
        <v>0</v>
      </c>
      <c r="Y18" s="37">
        <v>0</v>
      </c>
      <c r="Z18" s="36">
        <v>0</v>
      </c>
      <c r="AA18" s="37">
        <v>0</v>
      </c>
      <c r="AB18" s="36">
        <v>0</v>
      </c>
      <c r="AC18" s="37">
        <v>0</v>
      </c>
      <c r="AD18" s="36">
        <v>0</v>
      </c>
      <c r="AE18" s="37">
        <v>0</v>
      </c>
      <c r="AF18" s="36">
        <v>0</v>
      </c>
      <c r="AG18" s="37">
        <v>0</v>
      </c>
      <c r="AH18" s="36">
        <v>0</v>
      </c>
      <c r="AI18" s="37">
        <v>0</v>
      </c>
      <c r="AJ18" s="36">
        <v>0</v>
      </c>
      <c r="AK18" s="37">
        <v>0</v>
      </c>
      <c r="AL18" s="36">
        <v>0</v>
      </c>
      <c r="AM18" s="37">
        <v>0</v>
      </c>
      <c r="AN18" s="36">
        <v>0</v>
      </c>
      <c r="AO18" s="37">
        <v>0</v>
      </c>
      <c r="AP18" s="36">
        <v>0</v>
      </c>
      <c r="AQ18" s="37">
        <v>0</v>
      </c>
      <c r="AR18" s="36">
        <v>0</v>
      </c>
      <c r="AS18" s="37">
        <v>0</v>
      </c>
      <c r="AT18" s="36">
        <v>0</v>
      </c>
      <c r="AU18" s="37">
        <v>0</v>
      </c>
      <c r="AV18" s="36">
        <v>0</v>
      </c>
      <c r="AW18" s="37">
        <v>0</v>
      </c>
      <c r="AX18" s="36">
        <v>0</v>
      </c>
      <c r="AY18" s="37">
        <v>0</v>
      </c>
      <c r="AZ18" s="36">
        <v>0</v>
      </c>
      <c r="BA18" s="37">
        <v>0</v>
      </c>
    </row>
    <row r="19" spans="1:53" s="4" customFormat="1" ht="18" customHeight="1" x14ac:dyDescent="0.45">
      <c r="A19" s="561"/>
      <c r="B19" s="1194"/>
      <c r="C19" s="19" t="s">
        <v>34</v>
      </c>
      <c r="D19" s="20"/>
      <c r="E19" s="30"/>
      <c r="F19" s="38">
        <f>F15-F17</f>
        <v>2400</v>
      </c>
      <c r="G19" s="32">
        <f>G15-G17</f>
        <v>0.58987479907389662</v>
      </c>
      <c r="H19" s="38">
        <f t="shared" ref="H19:BA19" si="129">H15-H17</f>
        <v>2400</v>
      </c>
      <c r="I19" s="32">
        <f t="shared" si="129"/>
        <v>0.58987479907389662</v>
      </c>
      <c r="J19" s="38">
        <f t="shared" si="129"/>
        <v>2400</v>
      </c>
      <c r="K19" s="32">
        <f t="shared" si="129"/>
        <v>0.58987479907389662</v>
      </c>
      <c r="L19" s="38">
        <f t="shared" si="129"/>
        <v>2400</v>
      </c>
      <c r="M19" s="32">
        <f t="shared" si="129"/>
        <v>0.58987479907389662</v>
      </c>
      <c r="N19" s="38">
        <f t="shared" si="129"/>
        <v>2400</v>
      </c>
      <c r="O19" s="32">
        <f t="shared" si="129"/>
        <v>0.58987479907389662</v>
      </c>
      <c r="P19" s="38">
        <f t="shared" si="129"/>
        <v>2400</v>
      </c>
      <c r="Q19" s="32">
        <f t="shared" si="129"/>
        <v>0.58987479907389662</v>
      </c>
      <c r="R19" s="38">
        <f t="shared" si="129"/>
        <v>2400</v>
      </c>
      <c r="S19" s="32">
        <f t="shared" si="129"/>
        <v>0.58987479907389662</v>
      </c>
      <c r="T19" s="38">
        <f t="shared" si="129"/>
        <v>2400</v>
      </c>
      <c r="U19" s="32">
        <f t="shared" si="129"/>
        <v>0.58987479907389662</v>
      </c>
      <c r="V19" s="38">
        <f t="shared" si="129"/>
        <v>2400</v>
      </c>
      <c r="W19" s="32">
        <f t="shared" si="129"/>
        <v>0.58987479907389662</v>
      </c>
      <c r="X19" s="38">
        <f t="shared" si="129"/>
        <v>2400</v>
      </c>
      <c r="Y19" s="32">
        <f t="shared" si="129"/>
        <v>0.58987479907389662</v>
      </c>
      <c r="Z19" s="38">
        <f t="shared" si="129"/>
        <v>2400</v>
      </c>
      <c r="AA19" s="32">
        <f t="shared" si="129"/>
        <v>0.58987479907389662</v>
      </c>
      <c r="AB19" s="38">
        <f t="shared" si="129"/>
        <v>2400</v>
      </c>
      <c r="AC19" s="32">
        <f t="shared" si="129"/>
        <v>0.58987479907389662</v>
      </c>
      <c r="AD19" s="38">
        <f t="shared" si="129"/>
        <v>2400</v>
      </c>
      <c r="AE19" s="32">
        <f t="shared" si="129"/>
        <v>0.58987479907389662</v>
      </c>
      <c r="AF19" s="38">
        <f t="shared" si="129"/>
        <v>2400</v>
      </c>
      <c r="AG19" s="32">
        <f t="shared" si="129"/>
        <v>0.58987479907389662</v>
      </c>
      <c r="AH19" s="38">
        <v>2400</v>
      </c>
      <c r="AI19" s="32">
        <f t="shared" si="129"/>
        <v>0.61445291570197558</v>
      </c>
      <c r="AJ19" s="38">
        <f t="shared" si="129"/>
        <v>2400</v>
      </c>
      <c r="AK19" s="32">
        <f t="shared" si="129"/>
        <v>0.58987479907389662</v>
      </c>
      <c r="AL19" s="38">
        <f t="shared" si="129"/>
        <v>2400</v>
      </c>
      <c r="AM19" s="32">
        <f t="shared" si="129"/>
        <v>0.58987479907389662</v>
      </c>
      <c r="AN19" s="38">
        <f t="shared" si="129"/>
        <v>2400</v>
      </c>
      <c r="AO19" s="32">
        <f t="shared" si="129"/>
        <v>0.58987479907389662</v>
      </c>
      <c r="AP19" s="38">
        <f t="shared" si="129"/>
        <v>2400</v>
      </c>
      <c r="AQ19" s="32">
        <f t="shared" si="129"/>
        <v>0.58987479907389662</v>
      </c>
      <c r="AR19" s="38">
        <f t="shared" si="129"/>
        <v>2000</v>
      </c>
      <c r="AS19" s="32">
        <f t="shared" si="129"/>
        <v>0.4915623325615805</v>
      </c>
      <c r="AT19" s="38">
        <f t="shared" si="129"/>
        <v>2000</v>
      </c>
      <c r="AU19" s="32">
        <f t="shared" si="129"/>
        <v>0.4915623325615805</v>
      </c>
      <c r="AV19" s="38">
        <f t="shared" si="129"/>
        <v>2000</v>
      </c>
      <c r="AW19" s="32">
        <f t="shared" si="129"/>
        <v>0.4915623325615805</v>
      </c>
      <c r="AX19" s="38">
        <f t="shared" si="129"/>
        <v>2000</v>
      </c>
      <c r="AY19" s="32">
        <f t="shared" si="129"/>
        <v>0.4915623325615805</v>
      </c>
      <c r="AZ19" s="38">
        <f t="shared" si="129"/>
        <v>2000</v>
      </c>
      <c r="BA19" s="32">
        <f t="shared" si="129"/>
        <v>0.4915623325615805</v>
      </c>
    </row>
    <row r="20" spans="1:53" s="4" customFormat="1" ht="18" customHeight="1" x14ac:dyDescent="0.45">
      <c r="A20" s="561"/>
      <c r="B20" s="1194"/>
      <c r="C20" s="19" t="s">
        <v>35</v>
      </c>
      <c r="D20" s="20"/>
      <c r="E20" s="30"/>
      <c r="F20" s="39">
        <f>1/(1+F18)*F16</f>
        <v>28800</v>
      </c>
      <c r="G20" s="40">
        <f>1/(1+G18)*G16</f>
        <v>7.0784975888867594</v>
      </c>
      <c r="H20" s="39">
        <f t="shared" ref="H20:BA20" si="130">1/(1+H18)*H16</f>
        <v>28800</v>
      </c>
      <c r="I20" s="40">
        <f t="shared" si="130"/>
        <v>7.0784975888867594</v>
      </c>
      <c r="J20" s="39">
        <f t="shared" si="130"/>
        <v>28800</v>
      </c>
      <c r="K20" s="40">
        <f t="shared" si="130"/>
        <v>7.0784975888867594</v>
      </c>
      <c r="L20" s="39">
        <f t="shared" si="130"/>
        <v>28800</v>
      </c>
      <c r="M20" s="40">
        <f t="shared" si="130"/>
        <v>7.0784975888867594</v>
      </c>
      <c r="N20" s="39">
        <f t="shared" si="130"/>
        <v>28800</v>
      </c>
      <c r="O20" s="40">
        <f t="shared" si="130"/>
        <v>7.0784975888867594</v>
      </c>
      <c r="P20" s="39">
        <f t="shared" si="130"/>
        <v>28800</v>
      </c>
      <c r="Q20" s="40">
        <f t="shared" si="130"/>
        <v>7.0784975888867594</v>
      </c>
      <c r="R20" s="39">
        <f t="shared" si="130"/>
        <v>28800</v>
      </c>
      <c r="S20" s="40">
        <f t="shared" si="130"/>
        <v>7.0784975888867594</v>
      </c>
      <c r="T20" s="39">
        <f t="shared" si="130"/>
        <v>28800</v>
      </c>
      <c r="U20" s="40">
        <f t="shared" si="130"/>
        <v>7.0784975888867594</v>
      </c>
      <c r="V20" s="39">
        <f t="shared" si="130"/>
        <v>28800</v>
      </c>
      <c r="W20" s="40">
        <f t="shared" si="130"/>
        <v>7.0784975888867594</v>
      </c>
      <c r="X20" s="39">
        <f t="shared" si="130"/>
        <v>28800</v>
      </c>
      <c r="Y20" s="40">
        <f t="shared" si="130"/>
        <v>7.0784975888867594</v>
      </c>
      <c r="Z20" s="39">
        <f t="shared" si="130"/>
        <v>28800</v>
      </c>
      <c r="AA20" s="40">
        <f t="shared" si="130"/>
        <v>7.0784975888867594</v>
      </c>
      <c r="AB20" s="39">
        <f t="shared" si="130"/>
        <v>28800</v>
      </c>
      <c r="AC20" s="40">
        <f t="shared" si="130"/>
        <v>7.0784975888867594</v>
      </c>
      <c r="AD20" s="39">
        <f t="shared" si="130"/>
        <v>28800</v>
      </c>
      <c r="AE20" s="40">
        <f t="shared" si="130"/>
        <v>7.0784975888867594</v>
      </c>
      <c r="AF20" s="39">
        <f t="shared" si="130"/>
        <v>28800</v>
      </c>
      <c r="AG20" s="40">
        <f t="shared" si="130"/>
        <v>7.0784975888867594</v>
      </c>
      <c r="AH20" s="39">
        <f t="shared" si="130"/>
        <v>30000</v>
      </c>
      <c r="AI20" s="40">
        <f t="shared" si="130"/>
        <v>7.3734349884237069</v>
      </c>
      <c r="AJ20" s="39">
        <f t="shared" si="130"/>
        <v>28800</v>
      </c>
      <c r="AK20" s="40">
        <f t="shared" si="130"/>
        <v>7.0784975888867594</v>
      </c>
      <c r="AL20" s="39">
        <f t="shared" si="130"/>
        <v>28800</v>
      </c>
      <c r="AM20" s="40">
        <f t="shared" si="130"/>
        <v>7.0784975888867594</v>
      </c>
      <c r="AN20" s="39">
        <f t="shared" si="130"/>
        <v>28800</v>
      </c>
      <c r="AO20" s="40">
        <f t="shared" si="130"/>
        <v>7.0784975888867594</v>
      </c>
      <c r="AP20" s="39">
        <f t="shared" si="130"/>
        <v>28800</v>
      </c>
      <c r="AQ20" s="40">
        <f t="shared" si="130"/>
        <v>7.0784975888867594</v>
      </c>
      <c r="AR20" s="39">
        <f t="shared" si="130"/>
        <v>24000</v>
      </c>
      <c r="AS20" s="40">
        <f t="shared" si="130"/>
        <v>5.8987479907389657</v>
      </c>
      <c r="AT20" s="39">
        <f t="shared" si="130"/>
        <v>24000</v>
      </c>
      <c r="AU20" s="40">
        <f t="shared" si="130"/>
        <v>5.8987479907389657</v>
      </c>
      <c r="AV20" s="39">
        <f t="shared" si="130"/>
        <v>24000</v>
      </c>
      <c r="AW20" s="40">
        <f t="shared" si="130"/>
        <v>5.8987479907389657</v>
      </c>
      <c r="AX20" s="39">
        <f t="shared" si="130"/>
        <v>24000</v>
      </c>
      <c r="AY20" s="40">
        <f t="shared" si="130"/>
        <v>5.8987479907389657</v>
      </c>
      <c r="AZ20" s="39">
        <f t="shared" si="130"/>
        <v>24000</v>
      </c>
      <c r="BA20" s="40">
        <f t="shared" si="130"/>
        <v>5.8987479907389657</v>
      </c>
    </row>
    <row r="21" spans="1:53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27"/>
      <c r="O21" s="41"/>
      <c r="P21" s="27"/>
      <c r="Q21" s="41"/>
      <c r="R21" s="27"/>
      <c r="S21" s="41"/>
      <c r="T21" s="27"/>
      <c r="U21" s="41"/>
      <c r="V21" s="27"/>
      <c r="W21" s="41"/>
      <c r="X21" s="27"/>
      <c r="Y21" s="41"/>
      <c r="Z21" s="27"/>
      <c r="AA21" s="41"/>
      <c r="AB21" s="27"/>
      <c r="AC21" s="41"/>
      <c r="AD21" s="27"/>
      <c r="AE21" s="41"/>
      <c r="AF21" s="27"/>
      <c r="AG21" s="41"/>
      <c r="AH21" s="27"/>
      <c r="AI21" s="41"/>
      <c r="AJ21" s="27"/>
      <c r="AK21" s="41"/>
      <c r="AL21" s="27"/>
      <c r="AM21" s="41"/>
      <c r="AN21" s="27"/>
      <c r="AO21" s="41"/>
      <c r="AP21" s="27"/>
      <c r="AQ21" s="41"/>
      <c r="AR21" s="27"/>
      <c r="AS21" s="41"/>
      <c r="AT21" s="27"/>
      <c r="AU21" s="41"/>
      <c r="AV21" s="27"/>
      <c r="AW21" s="41"/>
      <c r="AX21" s="27"/>
      <c r="AY21" s="41"/>
      <c r="AZ21" s="27"/>
      <c r="BA21" s="41"/>
    </row>
    <row r="22" spans="1:53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42"/>
      <c r="O22" s="43"/>
      <c r="P22" s="42"/>
      <c r="Q22" s="43"/>
      <c r="R22" s="42"/>
      <c r="S22" s="43"/>
      <c r="T22" s="42"/>
      <c r="U22" s="43"/>
      <c r="V22" s="42"/>
      <c r="W22" s="43"/>
      <c r="X22" s="42"/>
      <c r="Y22" s="43"/>
      <c r="Z22" s="42"/>
      <c r="AA22" s="43"/>
      <c r="AB22" s="42"/>
      <c r="AC22" s="43"/>
      <c r="AD22" s="42"/>
      <c r="AE22" s="43"/>
      <c r="AF22" s="42"/>
      <c r="AG22" s="43"/>
      <c r="AH22" s="42"/>
      <c r="AI22" s="43"/>
      <c r="AJ22" s="42"/>
      <c r="AK22" s="43"/>
      <c r="AL22" s="42"/>
      <c r="AM22" s="43"/>
      <c r="AN22" s="42"/>
      <c r="AO22" s="43"/>
      <c r="AP22" s="42"/>
      <c r="AQ22" s="43"/>
      <c r="AR22" s="42"/>
      <c r="AS22" s="43"/>
      <c r="AT22" s="42"/>
      <c r="AU22" s="43"/>
      <c r="AV22" s="42"/>
      <c r="AW22" s="43"/>
      <c r="AX22" s="42"/>
      <c r="AY22" s="43"/>
      <c r="AZ22" s="42"/>
      <c r="BA22" s="43"/>
    </row>
    <row r="23" spans="1:53" s="49" customFormat="1" ht="18" customHeight="1" x14ac:dyDescent="0.45">
      <c r="A23" s="561"/>
      <c r="B23" s="1187"/>
      <c r="C23" s="44" t="s">
        <v>37</v>
      </c>
      <c r="D23" s="45"/>
      <c r="E23" s="46"/>
      <c r="F23" s="47">
        <f>F24/F20</f>
        <v>0.29166666666666702</v>
      </c>
      <c r="G23" s="48">
        <f>G24/G20</f>
        <v>0.29166666666666702</v>
      </c>
      <c r="H23" s="47">
        <f t="shared" ref="H23:BA23" si="131">H24/H20</f>
        <v>0.29166666666666702</v>
      </c>
      <c r="I23" s="48">
        <f t="shared" si="131"/>
        <v>0.29166666666666702</v>
      </c>
      <c r="J23" s="47">
        <f t="shared" si="131"/>
        <v>0.29166666666666702</v>
      </c>
      <c r="K23" s="48">
        <f t="shared" si="131"/>
        <v>0.29166666666666702</v>
      </c>
      <c r="L23" s="47">
        <f t="shared" si="131"/>
        <v>0.29166666666666702</v>
      </c>
      <c r="M23" s="48">
        <f t="shared" si="131"/>
        <v>0.29166666666666702</v>
      </c>
      <c r="N23" s="47">
        <f t="shared" si="131"/>
        <v>0.29166666666666702</v>
      </c>
      <c r="O23" s="48">
        <f t="shared" si="131"/>
        <v>0.29166666666666702</v>
      </c>
      <c r="P23" s="47">
        <f t="shared" si="131"/>
        <v>0.29166666666666702</v>
      </c>
      <c r="Q23" s="48">
        <f t="shared" si="131"/>
        <v>0.29166666666666702</v>
      </c>
      <c r="R23" s="47">
        <f t="shared" si="131"/>
        <v>0.29166666666666702</v>
      </c>
      <c r="S23" s="48">
        <f t="shared" si="131"/>
        <v>0.29166666666666702</v>
      </c>
      <c r="T23" s="47">
        <f t="shared" si="131"/>
        <v>0.29166666666666702</v>
      </c>
      <c r="U23" s="48">
        <f t="shared" si="131"/>
        <v>0.29166666666666702</v>
      </c>
      <c r="V23" s="47">
        <f t="shared" si="131"/>
        <v>0.29166666666666702</v>
      </c>
      <c r="W23" s="48">
        <f t="shared" si="131"/>
        <v>0.29166666666666702</v>
      </c>
      <c r="X23" s="47">
        <f t="shared" si="131"/>
        <v>0.29166666666666702</v>
      </c>
      <c r="Y23" s="48">
        <f t="shared" si="131"/>
        <v>0.29166666666666702</v>
      </c>
      <c r="Z23" s="47">
        <f t="shared" si="131"/>
        <v>0.29166666666666702</v>
      </c>
      <c r="AA23" s="48">
        <f t="shared" si="131"/>
        <v>0.29166666666666702</v>
      </c>
      <c r="AB23" s="47">
        <f t="shared" si="131"/>
        <v>0.29166666666666702</v>
      </c>
      <c r="AC23" s="48">
        <f t="shared" si="131"/>
        <v>0.29166666666666702</v>
      </c>
      <c r="AD23" s="47">
        <f t="shared" si="131"/>
        <v>0.29166666666666702</v>
      </c>
      <c r="AE23" s="48">
        <f t="shared" si="131"/>
        <v>0.29166666666666702</v>
      </c>
      <c r="AF23" s="47">
        <f t="shared" si="131"/>
        <v>0.29166666666666702</v>
      </c>
      <c r="AG23" s="48">
        <f t="shared" si="131"/>
        <v>0.29166666666666702</v>
      </c>
      <c r="AH23" s="47">
        <f t="shared" si="131"/>
        <v>0.41435954545454551</v>
      </c>
      <c r="AI23" s="48">
        <f t="shared" si="131"/>
        <v>0.41435954545454556</v>
      </c>
      <c r="AJ23" s="47">
        <f t="shared" si="131"/>
        <v>0.29166666666666702</v>
      </c>
      <c r="AK23" s="48">
        <f t="shared" si="131"/>
        <v>0.29166666666666702</v>
      </c>
      <c r="AL23" s="47">
        <f t="shared" si="131"/>
        <v>0.29166666666666702</v>
      </c>
      <c r="AM23" s="48">
        <f t="shared" si="131"/>
        <v>0.29166666666666702</v>
      </c>
      <c r="AN23" s="47">
        <f t="shared" si="131"/>
        <v>0.29166666666666702</v>
      </c>
      <c r="AO23" s="48">
        <f t="shared" si="131"/>
        <v>0.29166666666666702</v>
      </c>
      <c r="AP23" s="47">
        <f t="shared" si="131"/>
        <v>0.29166666666666702</v>
      </c>
      <c r="AQ23" s="48">
        <f t="shared" si="131"/>
        <v>0.29166666666666702</v>
      </c>
      <c r="AR23" s="47">
        <f t="shared" si="131"/>
        <v>0.25</v>
      </c>
      <c r="AS23" s="48">
        <f t="shared" si="131"/>
        <v>0.24999999999999997</v>
      </c>
      <c r="AT23" s="47">
        <f t="shared" si="131"/>
        <v>0.25</v>
      </c>
      <c r="AU23" s="48">
        <f t="shared" si="131"/>
        <v>0.24999999999999997</v>
      </c>
      <c r="AV23" s="47">
        <f t="shared" si="131"/>
        <v>0.25</v>
      </c>
      <c r="AW23" s="48">
        <f t="shared" si="131"/>
        <v>0.24999999999999997</v>
      </c>
      <c r="AX23" s="47">
        <f t="shared" si="131"/>
        <v>0.25</v>
      </c>
      <c r="AY23" s="48">
        <f t="shared" si="131"/>
        <v>0.24999999999999997</v>
      </c>
      <c r="AZ23" s="47">
        <f t="shared" si="131"/>
        <v>0.25</v>
      </c>
      <c r="BA23" s="48">
        <f t="shared" si="131"/>
        <v>0.24999999999999997</v>
      </c>
    </row>
    <row r="24" spans="1:53" s="4" customFormat="1" ht="18" customHeight="1" x14ac:dyDescent="0.45">
      <c r="A24" s="561"/>
      <c r="B24" s="1187"/>
      <c r="C24" s="15" t="s">
        <v>38</v>
      </c>
      <c r="D24" s="16"/>
      <c r="E24" s="35"/>
      <c r="F24" s="50">
        <f>F20-F26</f>
        <v>8400.0000000000109</v>
      </c>
      <c r="G24" s="24">
        <f>G20-G26</f>
        <v>2.0645617967586407</v>
      </c>
      <c r="H24" s="50">
        <f t="shared" ref="H24:BA24" si="132">H20-H26</f>
        <v>8400.0000000000109</v>
      </c>
      <c r="I24" s="24">
        <f t="shared" si="132"/>
        <v>2.0645617967586407</v>
      </c>
      <c r="J24" s="50">
        <f t="shared" si="132"/>
        <v>8400.0000000000109</v>
      </c>
      <c r="K24" s="24">
        <f t="shared" si="132"/>
        <v>2.0645617967586407</v>
      </c>
      <c r="L24" s="50">
        <f t="shared" si="132"/>
        <v>8400.0000000000109</v>
      </c>
      <c r="M24" s="24">
        <f t="shared" si="132"/>
        <v>2.0645617967586407</v>
      </c>
      <c r="N24" s="50">
        <f t="shared" si="132"/>
        <v>8400.0000000000109</v>
      </c>
      <c r="O24" s="24">
        <f t="shared" si="132"/>
        <v>2.0645617967586407</v>
      </c>
      <c r="P24" s="50">
        <f t="shared" si="132"/>
        <v>8400.0000000000109</v>
      </c>
      <c r="Q24" s="24">
        <f t="shared" si="132"/>
        <v>2.0645617967586407</v>
      </c>
      <c r="R24" s="50">
        <f t="shared" si="132"/>
        <v>8400.0000000000109</v>
      </c>
      <c r="S24" s="24">
        <f t="shared" si="132"/>
        <v>2.0645617967586407</v>
      </c>
      <c r="T24" s="50">
        <f t="shared" si="132"/>
        <v>8400.0000000000109</v>
      </c>
      <c r="U24" s="24">
        <f t="shared" si="132"/>
        <v>2.0645617967586407</v>
      </c>
      <c r="V24" s="50">
        <f t="shared" si="132"/>
        <v>8400.0000000000109</v>
      </c>
      <c r="W24" s="24">
        <f t="shared" si="132"/>
        <v>2.0645617967586407</v>
      </c>
      <c r="X24" s="50">
        <f t="shared" si="132"/>
        <v>8400.0000000000109</v>
      </c>
      <c r="Y24" s="24">
        <f t="shared" si="132"/>
        <v>2.0645617967586407</v>
      </c>
      <c r="Z24" s="50">
        <f t="shared" si="132"/>
        <v>8400.0000000000109</v>
      </c>
      <c r="AA24" s="24">
        <f t="shared" si="132"/>
        <v>2.0645617967586407</v>
      </c>
      <c r="AB24" s="50">
        <f t="shared" si="132"/>
        <v>8400.0000000000109</v>
      </c>
      <c r="AC24" s="24">
        <f t="shared" si="132"/>
        <v>2.0645617967586407</v>
      </c>
      <c r="AD24" s="50">
        <f t="shared" si="132"/>
        <v>8400.0000000000109</v>
      </c>
      <c r="AE24" s="24">
        <f t="shared" si="132"/>
        <v>2.0645617967586407</v>
      </c>
      <c r="AF24" s="50">
        <f t="shared" si="132"/>
        <v>8400.0000000000109</v>
      </c>
      <c r="AG24" s="24">
        <f t="shared" si="132"/>
        <v>2.0645617967586407</v>
      </c>
      <c r="AH24" s="50">
        <f t="shared" si="132"/>
        <v>12430.786363636365</v>
      </c>
      <c r="AI24" s="24">
        <f t="shared" si="132"/>
        <v>3.0552531702418895</v>
      </c>
      <c r="AJ24" s="50">
        <f t="shared" si="132"/>
        <v>8400.0000000000109</v>
      </c>
      <c r="AK24" s="24">
        <f t="shared" si="132"/>
        <v>2.0645617967586407</v>
      </c>
      <c r="AL24" s="50">
        <f t="shared" si="132"/>
        <v>8400.0000000000109</v>
      </c>
      <c r="AM24" s="24">
        <f t="shared" si="132"/>
        <v>2.0645617967586407</v>
      </c>
      <c r="AN24" s="50">
        <f t="shared" si="132"/>
        <v>8400.0000000000109</v>
      </c>
      <c r="AO24" s="24">
        <f t="shared" si="132"/>
        <v>2.0645617967586407</v>
      </c>
      <c r="AP24" s="50">
        <f t="shared" si="132"/>
        <v>8400.0000000000109</v>
      </c>
      <c r="AQ24" s="24">
        <f t="shared" si="132"/>
        <v>2.0645617967586407</v>
      </c>
      <c r="AR24" s="50">
        <f t="shared" si="132"/>
        <v>6000</v>
      </c>
      <c r="AS24" s="24">
        <f t="shared" si="132"/>
        <v>1.4746869976847412</v>
      </c>
      <c r="AT24" s="50">
        <f t="shared" si="132"/>
        <v>6000</v>
      </c>
      <c r="AU24" s="24">
        <f t="shared" si="132"/>
        <v>1.4746869976847412</v>
      </c>
      <c r="AV24" s="50">
        <f t="shared" si="132"/>
        <v>6000</v>
      </c>
      <c r="AW24" s="24">
        <f t="shared" si="132"/>
        <v>1.4746869976847412</v>
      </c>
      <c r="AX24" s="50">
        <f t="shared" si="132"/>
        <v>6000</v>
      </c>
      <c r="AY24" s="24">
        <f t="shared" si="132"/>
        <v>1.4746869976847412</v>
      </c>
      <c r="AZ24" s="50">
        <f t="shared" si="132"/>
        <v>6000</v>
      </c>
      <c r="BA24" s="24">
        <f t="shared" si="132"/>
        <v>1.4746869976847412</v>
      </c>
    </row>
    <row r="25" spans="1:53" s="4" customFormat="1" ht="18" customHeight="1" x14ac:dyDescent="0.45">
      <c r="A25" s="561"/>
      <c r="B25" s="1187"/>
      <c r="C25" s="51" t="s">
        <v>39</v>
      </c>
      <c r="D25" s="52"/>
      <c r="E25" s="53"/>
      <c r="F25" s="54">
        <f>F26</f>
        <v>20399.999999999989</v>
      </c>
      <c r="G25" s="55">
        <f>G26</f>
        <v>5.0139357921281187</v>
      </c>
      <c r="H25" s="54">
        <f t="shared" ref="H25:BA25" si="133">H26</f>
        <v>20399.999999999989</v>
      </c>
      <c r="I25" s="55">
        <f t="shared" si="133"/>
        <v>5.0139357921281187</v>
      </c>
      <c r="J25" s="54">
        <f t="shared" si="133"/>
        <v>20399.999999999989</v>
      </c>
      <c r="K25" s="55">
        <f t="shared" si="133"/>
        <v>5.0139357921281187</v>
      </c>
      <c r="L25" s="54">
        <f t="shared" si="133"/>
        <v>20399.999999999989</v>
      </c>
      <c r="M25" s="55">
        <f t="shared" si="133"/>
        <v>5.0139357921281187</v>
      </c>
      <c r="N25" s="54">
        <f t="shared" si="133"/>
        <v>20399.999999999989</v>
      </c>
      <c r="O25" s="55">
        <f t="shared" si="133"/>
        <v>5.0139357921281187</v>
      </c>
      <c r="P25" s="54">
        <f t="shared" si="133"/>
        <v>20399.999999999989</v>
      </c>
      <c r="Q25" s="55">
        <f t="shared" si="133"/>
        <v>5.0139357921281187</v>
      </c>
      <c r="R25" s="54">
        <f t="shared" si="133"/>
        <v>20399.999999999989</v>
      </c>
      <c r="S25" s="55">
        <f t="shared" si="133"/>
        <v>5.0139357921281187</v>
      </c>
      <c r="T25" s="54">
        <f t="shared" si="133"/>
        <v>20399.999999999989</v>
      </c>
      <c r="U25" s="55">
        <f t="shared" si="133"/>
        <v>5.0139357921281187</v>
      </c>
      <c r="V25" s="54">
        <f t="shared" si="133"/>
        <v>20399.999999999989</v>
      </c>
      <c r="W25" s="55">
        <f t="shared" si="133"/>
        <v>5.0139357921281187</v>
      </c>
      <c r="X25" s="54">
        <f t="shared" si="133"/>
        <v>20399.999999999989</v>
      </c>
      <c r="Y25" s="55">
        <f t="shared" si="133"/>
        <v>5.0139357921281187</v>
      </c>
      <c r="Z25" s="54">
        <f t="shared" si="133"/>
        <v>20399.999999999989</v>
      </c>
      <c r="AA25" s="55">
        <f t="shared" si="133"/>
        <v>5.0139357921281187</v>
      </c>
      <c r="AB25" s="54">
        <f t="shared" si="133"/>
        <v>20399.999999999989</v>
      </c>
      <c r="AC25" s="55">
        <f t="shared" si="133"/>
        <v>5.0139357921281187</v>
      </c>
      <c r="AD25" s="54">
        <f t="shared" si="133"/>
        <v>20399.999999999989</v>
      </c>
      <c r="AE25" s="55">
        <f t="shared" si="133"/>
        <v>5.0139357921281187</v>
      </c>
      <c r="AF25" s="54">
        <f t="shared" si="133"/>
        <v>20399.999999999989</v>
      </c>
      <c r="AG25" s="55">
        <f t="shared" si="133"/>
        <v>5.0139357921281187</v>
      </c>
      <c r="AH25" s="54">
        <f t="shared" si="133"/>
        <v>17569.213636363635</v>
      </c>
      <c r="AI25" s="55">
        <f t="shared" si="133"/>
        <v>4.3181818181818175</v>
      </c>
      <c r="AJ25" s="54">
        <f t="shared" si="133"/>
        <v>20399.999999999989</v>
      </c>
      <c r="AK25" s="55">
        <f t="shared" si="133"/>
        <v>5.0139357921281187</v>
      </c>
      <c r="AL25" s="54">
        <f t="shared" si="133"/>
        <v>20399.999999999989</v>
      </c>
      <c r="AM25" s="55">
        <f t="shared" si="133"/>
        <v>5.0139357921281187</v>
      </c>
      <c r="AN25" s="54">
        <f t="shared" si="133"/>
        <v>20399.999999999989</v>
      </c>
      <c r="AO25" s="55">
        <f t="shared" si="133"/>
        <v>5.0139357921281187</v>
      </c>
      <c r="AP25" s="54">
        <f t="shared" si="133"/>
        <v>20399.999999999989</v>
      </c>
      <c r="AQ25" s="55">
        <f t="shared" si="133"/>
        <v>5.0139357921281187</v>
      </c>
      <c r="AR25" s="54">
        <f t="shared" si="133"/>
        <v>18000</v>
      </c>
      <c r="AS25" s="55">
        <f t="shared" si="133"/>
        <v>4.4240609930542245</v>
      </c>
      <c r="AT25" s="54">
        <f t="shared" si="133"/>
        <v>18000</v>
      </c>
      <c r="AU25" s="55">
        <f t="shared" si="133"/>
        <v>4.4240609930542245</v>
      </c>
      <c r="AV25" s="54">
        <f t="shared" si="133"/>
        <v>18000</v>
      </c>
      <c r="AW25" s="55">
        <f t="shared" si="133"/>
        <v>4.4240609930542245</v>
      </c>
      <c r="AX25" s="54">
        <f t="shared" si="133"/>
        <v>18000</v>
      </c>
      <c r="AY25" s="55">
        <f t="shared" si="133"/>
        <v>4.4240609930542245</v>
      </c>
      <c r="AZ25" s="54">
        <f t="shared" si="133"/>
        <v>18000</v>
      </c>
      <c r="BA25" s="55">
        <f t="shared" si="133"/>
        <v>4.4240609930542245</v>
      </c>
    </row>
    <row r="26" spans="1:53" s="4" customFormat="1" ht="18" customHeight="1" x14ac:dyDescent="0.45">
      <c r="A26" s="561"/>
      <c r="B26" s="1187"/>
      <c r="C26" s="56" t="s">
        <v>40</v>
      </c>
      <c r="D26" s="52"/>
      <c r="E26" s="53"/>
      <c r="F26" s="54">
        <v>20399.999999999989</v>
      </c>
      <c r="G26" s="57">
        <f>+F26/F12</f>
        <v>5.0139357921281187</v>
      </c>
      <c r="H26" s="54">
        <v>20399.999999999989</v>
      </c>
      <c r="I26" s="57">
        <f t="shared" ref="I26" si="134">+H26/H12</f>
        <v>5.0139357921281187</v>
      </c>
      <c r="J26" s="54">
        <v>20399.999999999989</v>
      </c>
      <c r="K26" s="57">
        <f t="shared" ref="K26" si="135">+J26/J12</f>
        <v>5.0139357921281187</v>
      </c>
      <c r="L26" s="54">
        <v>20399.999999999989</v>
      </c>
      <c r="M26" s="57">
        <f t="shared" ref="M26" si="136">+L26/L12</f>
        <v>5.0139357921281187</v>
      </c>
      <c r="N26" s="54">
        <v>20399.999999999989</v>
      </c>
      <c r="O26" s="57">
        <f t="shared" ref="O26" si="137">+N26/N12</f>
        <v>5.0139357921281187</v>
      </c>
      <c r="P26" s="54">
        <v>20399.999999999989</v>
      </c>
      <c r="Q26" s="57">
        <f t="shared" ref="Q26" si="138">+P26/P12</f>
        <v>5.0139357921281187</v>
      </c>
      <c r="R26" s="54">
        <v>20399.999999999989</v>
      </c>
      <c r="S26" s="57">
        <f t="shared" ref="S26" si="139">+R26/R12</f>
        <v>5.0139357921281187</v>
      </c>
      <c r="T26" s="54">
        <v>20399.999999999989</v>
      </c>
      <c r="U26" s="57">
        <f t="shared" ref="U26" si="140">+T26/T12</f>
        <v>5.0139357921281187</v>
      </c>
      <c r="V26" s="54">
        <v>20399.999999999989</v>
      </c>
      <c r="W26" s="57">
        <f t="shared" ref="W26" si="141">+V26/V12</f>
        <v>5.0139357921281187</v>
      </c>
      <c r="X26" s="54">
        <v>20399.999999999989</v>
      </c>
      <c r="Y26" s="57">
        <f t="shared" ref="Y26" si="142">+X26/X12</f>
        <v>5.0139357921281187</v>
      </c>
      <c r="Z26" s="54">
        <v>20399.999999999989</v>
      </c>
      <c r="AA26" s="57">
        <f t="shared" ref="AA26" si="143">+Z26/Z12</f>
        <v>5.0139357921281187</v>
      </c>
      <c r="AB26" s="54">
        <v>20399.999999999989</v>
      </c>
      <c r="AC26" s="57">
        <f t="shared" ref="AC26:AI26" si="144">+AB26/AB12</f>
        <v>5.0139357921281187</v>
      </c>
      <c r="AD26" s="54">
        <v>20399.999999999989</v>
      </c>
      <c r="AE26" s="57">
        <f t="shared" si="144"/>
        <v>5.0139357921281187</v>
      </c>
      <c r="AF26" s="54">
        <v>20399.999999999989</v>
      </c>
      <c r="AG26" s="57">
        <f t="shared" si="144"/>
        <v>5.0139357921281187</v>
      </c>
      <c r="AH26" s="54">
        <f>4.75*AH12*10/11</f>
        <v>17569.213636363635</v>
      </c>
      <c r="AI26" s="57">
        <f t="shared" si="144"/>
        <v>4.3181818181818175</v>
      </c>
      <c r="AJ26" s="54">
        <v>20399.999999999989</v>
      </c>
      <c r="AK26" s="57">
        <f t="shared" ref="AK26" si="145">+AJ26/AJ12</f>
        <v>5.0139357921281187</v>
      </c>
      <c r="AL26" s="54">
        <v>20399.999999999989</v>
      </c>
      <c r="AM26" s="57">
        <f t="shared" ref="AM26" si="146">+AL26/AL12</f>
        <v>5.0139357921281187</v>
      </c>
      <c r="AN26" s="54">
        <v>20399.999999999989</v>
      </c>
      <c r="AO26" s="57">
        <f t="shared" ref="AO26" si="147">+AN26/AN12</f>
        <v>5.0139357921281187</v>
      </c>
      <c r="AP26" s="54">
        <v>20399.999999999989</v>
      </c>
      <c r="AQ26" s="57">
        <f t="shared" ref="AQ26" si="148">+AP26/AP12</f>
        <v>5.0139357921281187</v>
      </c>
      <c r="AR26" s="54">
        <f>1500*12</f>
        <v>18000</v>
      </c>
      <c r="AS26" s="57">
        <f t="shared" ref="AS26" si="149">+AR26/AR12</f>
        <v>4.4240609930542245</v>
      </c>
      <c r="AT26" s="54">
        <f>1500*12</f>
        <v>18000</v>
      </c>
      <c r="AU26" s="57">
        <f t="shared" ref="AU26" si="150">+AT26/AT12</f>
        <v>4.4240609930542245</v>
      </c>
      <c r="AV26" s="54">
        <f>1500*12</f>
        <v>18000</v>
      </c>
      <c r="AW26" s="57">
        <f t="shared" ref="AW26" si="151">+AV26/AV12</f>
        <v>4.4240609930542245</v>
      </c>
      <c r="AX26" s="54">
        <f>1500*12</f>
        <v>18000</v>
      </c>
      <c r="AY26" s="57">
        <f t="shared" ref="AY26" si="152">+AX26/AX12</f>
        <v>4.4240609930542245</v>
      </c>
      <c r="AZ26" s="54">
        <f>1500*12</f>
        <v>18000</v>
      </c>
      <c r="BA26" s="57">
        <f t="shared" ref="BA26" si="153">+AZ26/AZ12</f>
        <v>4.4240609930542245</v>
      </c>
    </row>
    <row r="27" spans="1:53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42"/>
      <c r="O27" s="18"/>
      <c r="P27" s="42"/>
      <c r="Q27" s="18"/>
      <c r="R27" s="42"/>
      <c r="S27" s="18"/>
      <c r="T27" s="42"/>
      <c r="U27" s="18"/>
      <c r="V27" s="42"/>
      <c r="W27" s="18"/>
      <c r="X27" s="42"/>
      <c r="Y27" s="18"/>
      <c r="Z27" s="42"/>
      <c r="AA27" s="18"/>
      <c r="AB27" s="42"/>
      <c r="AC27" s="18"/>
      <c r="AD27" s="42"/>
      <c r="AE27" s="18"/>
      <c r="AF27" s="42"/>
      <c r="AG27" s="18"/>
      <c r="AH27" s="42"/>
      <c r="AI27" s="18"/>
      <c r="AJ27" s="42"/>
      <c r="AK27" s="18"/>
      <c r="AL27" s="42"/>
      <c r="AM27" s="18"/>
      <c r="AN27" s="42"/>
      <c r="AO27" s="18"/>
      <c r="AP27" s="42"/>
      <c r="AQ27" s="18"/>
      <c r="AR27" s="42"/>
      <c r="AS27" s="18"/>
      <c r="AT27" s="42"/>
      <c r="AU27" s="18"/>
      <c r="AV27" s="42"/>
      <c r="AW27" s="18"/>
      <c r="AX27" s="42"/>
      <c r="AY27" s="18"/>
      <c r="AZ27" s="42"/>
      <c r="BA27" s="18"/>
    </row>
    <row r="28" spans="1:53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60"/>
      <c r="O28" s="43"/>
      <c r="P28" s="60"/>
      <c r="Q28" s="43"/>
      <c r="R28" s="60"/>
      <c r="S28" s="43"/>
      <c r="T28" s="60"/>
      <c r="U28" s="43"/>
      <c r="V28" s="60"/>
      <c r="W28" s="43"/>
      <c r="X28" s="60"/>
      <c r="Y28" s="43"/>
      <c r="Z28" s="60"/>
      <c r="AA28" s="43"/>
      <c r="AB28" s="60"/>
      <c r="AC28" s="43"/>
      <c r="AD28" s="60"/>
      <c r="AE28" s="43"/>
      <c r="AF28" s="60"/>
      <c r="AG28" s="43"/>
      <c r="AH28" s="60"/>
      <c r="AI28" s="43"/>
      <c r="AJ28" s="60"/>
      <c r="AK28" s="43"/>
      <c r="AL28" s="60"/>
      <c r="AM28" s="43"/>
      <c r="AN28" s="60"/>
      <c r="AO28" s="43"/>
      <c r="AP28" s="60"/>
      <c r="AQ28" s="43"/>
      <c r="AR28" s="60"/>
      <c r="AS28" s="43"/>
      <c r="AT28" s="60"/>
      <c r="AU28" s="43"/>
      <c r="AV28" s="60"/>
      <c r="AW28" s="43"/>
      <c r="AX28" s="60"/>
      <c r="AY28" s="43"/>
      <c r="AZ28" s="60"/>
      <c r="BA28" s="43"/>
    </row>
    <row r="29" spans="1:53" s="49" customFormat="1" ht="18" customHeight="1" x14ac:dyDescent="0.45">
      <c r="A29" s="561"/>
      <c r="B29" s="1194"/>
      <c r="C29" s="44" t="s">
        <v>42</v>
      </c>
      <c r="D29" s="45"/>
      <c r="E29" s="46"/>
      <c r="F29" s="47">
        <f>F30/F26</f>
        <v>0.13876403743315471</v>
      </c>
      <c r="G29" s="48">
        <f>G30/G26</f>
        <v>0.13876403743315469</v>
      </c>
      <c r="H29" s="47">
        <f t="shared" ref="H29:BA29" si="154">H30/H26</f>
        <v>0.13876403743315471</v>
      </c>
      <c r="I29" s="48">
        <f t="shared" si="154"/>
        <v>0.13876403743315469</v>
      </c>
      <c r="J29" s="47">
        <f t="shared" si="154"/>
        <v>0.13876403743315471</v>
      </c>
      <c r="K29" s="48">
        <f t="shared" si="154"/>
        <v>0.13876403743315469</v>
      </c>
      <c r="L29" s="47">
        <f t="shared" si="154"/>
        <v>0.13876403743315471</v>
      </c>
      <c r="M29" s="48">
        <f t="shared" si="154"/>
        <v>0.13876403743315469</v>
      </c>
      <c r="N29" s="47">
        <f t="shared" si="154"/>
        <v>0.13876403743315471</v>
      </c>
      <c r="O29" s="48">
        <f t="shared" si="154"/>
        <v>0.13876403743315469</v>
      </c>
      <c r="P29" s="47">
        <f t="shared" si="154"/>
        <v>0.13876403743315471</v>
      </c>
      <c r="Q29" s="48">
        <f t="shared" si="154"/>
        <v>0.13876403743315469</v>
      </c>
      <c r="R29" s="47">
        <f t="shared" si="154"/>
        <v>0.13876403743315471</v>
      </c>
      <c r="S29" s="48">
        <f t="shared" si="154"/>
        <v>0.13876403743315469</v>
      </c>
      <c r="T29" s="47">
        <f t="shared" si="154"/>
        <v>0.13876403743315471</v>
      </c>
      <c r="U29" s="48">
        <f t="shared" si="154"/>
        <v>0.13876403743315469</v>
      </c>
      <c r="V29" s="47">
        <f t="shared" si="154"/>
        <v>0.13876403743315471</v>
      </c>
      <c r="W29" s="48">
        <f t="shared" si="154"/>
        <v>0.13876403743315469</v>
      </c>
      <c r="X29" s="47">
        <f t="shared" si="154"/>
        <v>0.13876403743315471</v>
      </c>
      <c r="Y29" s="48">
        <f t="shared" si="154"/>
        <v>0.13876403743315469</v>
      </c>
      <c r="Z29" s="47">
        <f t="shared" si="154"/>
        <v>0.13876403743315471</v>
      </c>
      <c r="AA29" s="48">
        <f t="shared" si="154"/>
        <v>0.13876403743315469</v>
      </c>
      <c r="AB29" s="47">
        <f t="shared" si="154"/>
        <v>0.13876403743315471</v>
      </c>
      <c r="AC29" s="48">
        <f t="shared" si="154"/>
        <v>0.13876403743315469</v>
      </c>
      <c r="AD29" s="47">
        <f t="shared" si="154"/>
        <v>0.13876403743315471</v>
      </c>
      <c r="AE29" s="48">
        <f t="shared" si="154"/>
        <v>0.13876403743315469</v>
      </c>
      <c r="AF29" s="47">
        <f t="shared" si="154"/>
        <v>0.13876403743315471</v>
      </c>
      <c r="AG29" s="48">
        <f t="shared" si="154"/>
        <v>0.13876403743315469</v>
      </c>
      <c r="AH29" s="47">
        <f t="shared" si="154"/>
        <v>0</v>
      </c>
      <c r="AI29" s="48">
        <f t="shared" si="154"/>
        <v>0</v>
      </c>
      <c r="AJ29" s="47">
        <f t="shared" si="154"/>
        <v>0.13876403743315471</v>
      </c>
      <c r="AK29" s="48">
        <f t="shared" si="154"/>
        <v>0.13876403743315469</v>
      </c>
      <c r="AL29" s="47">
        <f t="shared" si="154"/>
        <v>0.13876403743315471</v>
      </c>
      <c r="AM29" s="48">
        <f t="shared" si="154"/>
        <v>0.13876403743315469</v>
      </c>
      <c r="AN29" s="47">
        <f t="shared" si="154"/>
        <v>0.13876403743315471</v>
      </c>
      <c r="AO29" s="48">
        <f t="shared" si="154"/>
        <v>0.13876403743315469</v>
      </c>
      <c r="AP29" s="47">
        <f t="shared" si="154"/>
        <v>0.13876403743315471</v>
      </c>
      <c r="AQ29" s="48">
        <f t="shared" si="154"/>
        <v>0.13876403743315469</v>
      </c>
      <c r="AR29" s="47">
        <f t="shared" si="154"/>
        <v>2.3932575757575857E-2</v>
      </c>
      <c r="AS29" s="48">
        <f t="shared" si="154"/>
        <v>2.3932575757575781E-2</v>
      </c>
      <c r="AT29" s="47">
        <f t="shared" si="154"/>
        <v>0.10527152777777782</v>
      </c>
      <c r="AU29" s="48">
        <f t="shared" si="154"/>
        <v>0.1052715277777778</v>
      </c>
      <c r="AV29" s="47">
        <f t="shared" si="154"/>
        <v>0.10527152777777782</v>
      </c>
      <c r="AW29" s="48">
        <f t="shared" si="154"/>
        <v>0.1052715277777778</v>
      </c>
      <c r="AX29" s="47">
        <f t="shared" si="154"/>
        <v>0.10527152777777782</v>
      </c>
      <c r="AY29" s="48">
        <f t="shared" si="154"/>
        <v>0.1052715277777778</v>
      </c>
      <c r="AZ29" s="47">
        <f t="shared" si="154"/>
        <v>0.10527152777777782</v>
      </c>
      <c r="BA29" s="48">
        <f t="shared" si="154"/>
        <v>0.1052715277777778</v>
      </c>
    </row>
    <row r="30" spans="1:53" s="4" customFormat="1" ht="18" customHeight="1" x14ac:dyDescent="0.45">
      <c r="A30" s="561"/>
      <c r="B30" s="1194"/>
      <c r="C30" s="15" t="s">
        <v>43</v>
      </c>
      <c r="D30" s="16"/>
      <c r="E30" s="35"/>
      <c r="F30" s="50">
        <f>F26-F32</f>
        <v>2830.7863636363545</v>
      </c>
      <c r="G30" s="24">
        <f>G26-G32</f>
        <v>0.69575397394630034</v>
      </c>
      <c r="H30" s="50">
        <f t="shared" ref="H30:BA30" si="155">H26-H32</f>
        <v>2830.7863636363545</v>
      </c>
      <c r="I30" s="24">
        <f t="shared" si="155"/>
        <v>0.69575397394630034</v>
      </c>
      <c r="J30" s="50">
        <f t="shared" si="155"/>
        <v>2830.7863636363545</v>
      </c>
      <c r="K30" s="24">
        <f t="shared" si="155"/>
        <v>0.69575397394630034</v>
      </c>
      <c r="L30" s="50">
        <f t="shared" si="155"/>
        <v>2830.7863636363545</v>
      </c>
      <c r="M30" s="24">
        <f t="shared" si="155"/>
        <v>0.69575397394630034</v>
      </c>
      <c r="N30" s="50">
        <f t="shared" si="155"/>
        <v>2830.7863636363545</v>
      </c>
      <c r="O30" s="24">
        <f t="shared" si="155"/>
        <v>0.69575397394630034</v>
      </c>
      <c r="P30" s="50">
        <f t="shared" si="155"/>
        <v>2830.7863636363545</v>
      </c>
      <c r="Q30" s="24">
        <f t="shared" si="155"/>
        <v>0.69575397394630034</v>
      </c>
      <c r="R30" s="50">
        <f t="shared" si="155"/>
        <v>2830.7863636363545</v>
      </c>
      <c r="S30" s="24">
        <f t="shared" si="155"/>
        <v>0.69575397394630034</v>
      </c>
      <c r="T30" s="50">
        <f t="shared" si="155"/>
        <v>2830.7863636363545</v>
      </c>
      <c r="U30" s="24">
        <f t="shared" si="155"/>
        <v>0.69575397394630034</v>
      </c>
      <c r="V30" s="50">
        <f t="shared" si="155"/>
        <v>2830.7863636363545</v>
      </c>
      <c r="W30" s="24">
        <f t="shared" si="155"/>
        <v>0.69575397394630034</v>
      </c>
      <c r="X30" s="50">
        <f t="shared" si="155"/>
        <v>2830.7863636363545</v>
      </c>
      <c r="Y30" s="24">
        <f t="shared" si="155"/>
        <v>0.69575397394630034</v>
      </c>
      <c r="Z30" s="50">
        <f t="shared" si="155"/>
        <v>2830.7863636363545</v>
      </c>
      <c r="AA30" s="24">
        <f t="shared" si="155"/>
        <v>0.69575397394630034</v>
      </c>
      <c r="AB30" s="50">
        <f t="shared" si="155"/>
        <v>2830.7863636363545</v>
      </c>
      <c r="AC30" s="24">
        <f t="shared" si="155"/>
        <v>0.69575397394630034</v>
      </c>
      <c r="AD30" s="50">
        <f t="shared" si="155"/>
        <v>2830.7863636363545</v>
      </c>
      <c r="AE30" s="24">
        <f t="shared" si="155"/>
        <v>0.69575397394630034</v>
      </c>
      <c r="AF30" s="50">
        <f t="shared" si="155"/>
        <v>2830.7863636363545</v>
      </c>
      <c r="AG30" s="24">
        <f t="shared" si="155"/>
        <v>0.69575397394630034</v>
      </c>
      <c r="AH30" s="50">
        <f t="shared" si="155"/>
        <v>0</v>
      </c>
      <c r="AI30" s="24">
        <f t="shared" si="155"/>
        <v>0</v>
      </c>
      <c r="AJ30" s="50">
        <f t="shared" si="155"/>
        <v>2830.7863636363545</v>
      </c>
      <c r="AK30" s="24">
        <f t="shared" si="155"/>
        <v>0.69575397394630034</v>
      </c>
      <c r="AL30" s="50">
        <f t="shared" si="155"/>
        <v>2830.7863636363545</v>
      </c>
      <c r="AM30" s="24">
        <f t="shared" si="155"/>
        <v>0.69575397394630034</v>
      </c>
      <c r="AN30" s="50">
        <f t="shared" si="155"/>
        <v>2830.7863636363545</v>
      </c>
      <c r="AO30" s="24">
        <f t="shared" si="155"/>
        <v>0.69575397394630034</v>
      </c>
      <c r="AP30" s="50">
        <f t="shared" si="155"/>
        <v>2830.7863636363545</v>
      </c>
      <c r="AQ30" s="24">
        <f t="shared" si="155"/>
        <v>0.69575397394630034</v>
      </c>
      <c r="AR30" s="50">
        <f t="shared" si="155"/>
        <v>430.78636363636542</v>
      </c>
      <c r="AS30" s="24">
        <f t="shared" si="155"/>
        <v>0.10587917487240617</v>
      </c>
      <c r="AT30" s="50">
        <f t="shared" si="155"/>
        <v>1894.8875000000007</v>
      </c>
      <c r="AU30" s="24">
        <f t="shared" si="155"/>
        <v>0.46572765972089103</v>
      </c>
      <c r="AV30" s="50">
        <f t="shared" si="155"/>
        <v>1894.8875000000007</v>
      </c>
      <c r="AW30" s="24">
        <f t="shared" si="155"/>
        <v>0.46572765972089103</v>
      </c>
      <c r="AX30" s="50">
        <f t="shared" si="155"/>
        <v>1894.8875000000007</v>
      </c>
      <c r="AY30" s="24">
        <f t="shared" si="155"/>
        <v>0.46572765972089103</v>
      </c>
      <c r="AZ30" s="50">
        <f t="shared" si="155"/>
        <v>1894.8875000000007</v>
      </c>
      <c r="BA30" s="24">
        <f t="shared" si="155"/>
        <v>0.46572765972089103</v>
      </c>
    </row>
    <row r="31" spans="1:53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17569.213636363635</v>
      </c>
      <c r="G31" s="55">
        <f>G32</f>
        <v>4.3181818181818183</v>
      </c>
      <c r="H31" s="54">
        <f t="shared" ref="H31" si="156">+H32</f>
        <v>17569.213636363635</v>
      </c>
      <c r="I31" s="55">
        <f t="shared" ref="I31" si="157">I32</f>
        <v>4.3181818181818183</v>
      </c>
      <c r="J31" s="54">
        <f t="shared" ref="J31" si="158">+J32</f>
        <v>17569.213636363635</v>
      </c>
      <c r="K31" s="55">
        <f t="shared" ref="K31" si="159">K32</f>
        <v>4.3181818181818183</v>
      </c>
      <c r="L31" s="54">
        <f t="shared" ref="L31" si="160">+L32</f>
        <v>17569.213636363635</v>
      </c>
      <c r="M31" s="55">
        <f t="shared" ref="M31" si="161">M32</f>
        <v>4.3181818181818183</v>
      </c>
      <c r="N31" s="54">
        <f t="shared" ref="N31" si="162">+N32</f>
        <v>17569.213636363635</v>
      </c>
      <c r="O31" s="55">
        <f t="shared" ref="O31" si="163">O32</f>
        <v>4.3181818181818183</v>
      </c>
      <c r="P31" s="54">
        <f t="shared" ref="P31" si="164">+P32</f>
        <v>17569.213636363635</v>
      </c>
      <c r="Q31" s="55">
        <f t="shared" ref="Q31" si="165">Q32</f>
        <v>4.3181818181818183</v>
      </c>
      <c r="R31" s="54">
        <f t="shared" ref="R31" si="166">+R32</f>
        <v>17569.213636363635</v>
      </c>
      <c r="S31" s="55">
        <f t="shared" ref="S31" si="167">S32</f>
        <v>4.3181818181818183</v>
      </c>
      <c r="T31" s="54">
        <f t="shared" ref="T31" si="168">+T32</f>
        <v>17569.213636363635</v>
      </c>
      <c r="U31" s="55">
        <f t="shared" ref="U31" si="169">U32</f>
        <v>4.3181818181818183</v>
      </c>
      <c r="V31" s="54">
        <f t="shared" ref="V31" si="170">+V32</f>
        <v>17569.213636363635</v>
      </c>
      <c r="W31" s="55">
        <f t="shared" ref="W31" si="171">W32</f>
        <v>4.3181818181818183</v>
      </c>
      <c r="X31" s="54">
        <f t="shared" ref="X31" si="172">+X32</f>
        <v>17569.213636363635</v>
      </c>
      <c r="Y31" s="55">
        <f t="shared" ref="Y31" si="173">Y32</f>
        <v>4.3181818181818183</v>
      </c>
      <c r="Z31" s="54">
        <f t="shared" ref="Z31" si="174">+Z32</f>
        <v>17569.213636363635</v>
      </c>
      <c r="AA31" s="55">
        <f t="shared" ref="AA31" si="175">AA32</f>
        <v>4.3181818181818183</v>
      </c>
      <c r="AB31" s="54">
        <f t="shared" ref="AB31" si="176">+AB32</f>
        <v>17569.213636363635</v>
      </c>
      <c r="AC31" s="55">
        <f t="shared" ref="AC31" si="177">AC32</f>
        <v>4.3181818181818183</v>
      </c>
      <c r="AD31" s="54">
        <f t="shared" ref="AD31" si="178">+AD32</f>
        <v>17569.213636363635</v>
      </c>
      <c r="AE31" s="55">
        <f t="shared" ref="AE31" si="179">AE32</f>
        <v>4.3181818181818183</v>
      </c>
      <c r="AF31" s="54">
        <f t="shared" ref="AF31" si="180">+AF32</f>
        <v>17569.213636363635</v>
      </c>
      <c r="AG31" s="55">
        <f t="shared" ref="AG31" si="181">AG32</f>
        <v>4.3181818181818183</v>
      </c>
      <c r="AH31" s="54">
        <f t="shared" ref="AH31" si="182">+AH32</f>
        <v>17569.213636363635</v>
      </c>
      <c r="AI31" s="55">
        <f t="shared" ref="AI31" si="183">AI32</f>
        <v>4.3181818181818183</v>
      </c>
      <c r="AJ31" s="54">
        <f t="shared" ref="AJ31" si="184">+AJ32</f>
        <v>17569.213636363635</v>
      </c>
      <c r="AK31" s="55">
        <f t="shared" ref="AK31" si="185">AK32</f>
        <v>4.3181818181818183</v>
      </c>
      <c r="AL31" s="54">
        <f t="shared" ref="AL31" si="186">+AL32</f>
        <v>17569.213636363635</v>
      </c>
      <c r="AM31" s="55">
        <f t="shared" ref="AM31" si="187">AM32</f>
        <v>4.3181818181818183</v>
      </c>
      <c r="AN31" s="54">
        <f t="shared" ref="AN31:AZ31" si="188">+AN32</f>
        <v>17569.213636363635</v>
      </c>
      <c r="AO31" s="55">
        <f t="shared" ref="AO31:BA31" si="189">AO32</f>
        <v>4.3181818181818183</v>
      </c>
      <c r="AP31" s="54">
        <f t="shared" si="188"/>
        <v>17569.213636363635</v>
      </c>
      <c r="AQ31" s="55">
        <f t="shared" si="189"/>
        <v>4.3181818181818183</v>
      </c>
      <c r="AR31" s="54">
        <f t="shared" si="188"/>
        <v>17569.213636363635</v>
      </c>
      <c r="AS31" s="55">
        <f t="shared" si="189"/>
        <v>4.3181818181818183</v>
      </c>
      <c r="AT31" s="54">
        <f t="shared" si="188"/>
        <v>16105.112499999999</v>
      </c>
      <c r="AU31" s="55">
        <f t="shared" si="189"/>
        <v>3.9583333333333335</v>
      </c>
      <c r="AV31" s="54">
        <f t="shared" si="188"/>
        <v>16105.112499999999</v>
      </c>
      <c r="AW31" s="55">
        <f t="shared" si="189"/>
        <v>3.9583333333333335</v>
      </c>
      <c r="AX31" s="54">
        <f t="shared" si="188"/>
        <v>16105.112499999999</v>
      </c>
      <c r="AY31" s="55">
        <f t="shared" si="189"/>
        <v>3.9583333333333335</v>
      </c>
      <c r="AZ31" s="54">
        <f t="shared" si="188"/>
        <v>16105.112499999999</v>
      </c>
      <c r="BA31" s="55">
        <f t="shared" si="189"/>
        <v>3.9583333333333335</v>
      </c>
    </row>
    <row r="32" spans="1:53" s="4" customFormat="1" ht="18" customHeight="1" x14ac:dyDescent="0.45">
      <c r="A32" s="561"/>
      <c r="B32" s="1194"/>
      <c r="C32" s="56" t="s">
        <v>45</v>
      </c>
      <c r="D32" s="52"/>
      <c r="E32" s="53"/>
      <c r="F32" s="54">
        <f>G32*F12</f>
        <v>17569.213636363635</v>
      </c>
      <c r="G32" s="55">
        <f>4.75*10/11</f>
        <v>4.3181818181818183</v>
      </c>
      <c r="H32" s="54">
        <f t="shared" ref="H32" si="190">I32*H12</f>
        <v>17569.213636363635</v>
      </c>
      <c r="I32" s="55">
        <f t="shared" ref="I32" si="191">4.75*10/11</f>
        <v>4.3181818181818183</v>
      </c>
      <c r="J32" s="54">
        <f t="shared" ref="J32" si="192">K32*J12</f>
        <v>17569.213636363635</v>
      </c>
      <c r="K32" s="55">
        <f t="shared" ref="K32" si="193">4.75*10/11</f>
        <v>4.3181818181818183</v>
      </c>
      <c r="L32" s="54">
        <f t="shared" ref="L32" si="194">M32*L12</f>
        <v>17569.213636363635</v>
      </c>
      <c r="M32" s="55">
        <f t="shared" ref="M32" si="195">4.75*10/11</f>
        <v>4.3181818181818183</v>
      </c>
      <c r="N32" s="54">
        <f t="shared" ref="N32" si="196">O32*N12</f>
        <v>17569.213636363635</v>
      </c>
      <c r="O32" s="55">
        <f t="shared" ref="O32" si="197">4.75*10/11</f>
        <v>4.3181818181818183</v>
      </c>
      <c r="P32" s="54">
        <f t="shared" ref="P32" si="198">Q32*P12</f>
        <v>17569.213636363635</v>
      </c>
      <c r="Q32" s="55">
        <f t="shared" ref="Q32" si="199">4.75*10/11</f>
        <v>4.3181818181818183</v>
      </c>
      <c r="R32" s="54">
        <f t="shared" ref="R32" si="200">S32*R12</f>
        <v>17569.213636363635</v>
      </c>
      <c r="S32" s="55">
        <f t="shared" ref="S32" si="201">4.75*10/11</f>
        <v>4.3181818181818183</v>
      </c>
      <c r="T32" s="54">
        <f t="shared" ref="T32" si="202">U32*T12</f>
        <v>17569.213636363635</v>
      </c>
      <c r="U32" s="55">
        <f t="shared" ref="U32" si="203">4.75*10/11</f>
        <v>4.3181818181818183</v>
      </c>
      <c r="V32" s="54">
        <f t="shared" ref="V32" si="204">W32*V12</f>
        <v>17569.213636363635</v>
      </c>
      <c r="W32" s="55">
        <f t="shared" ref="W32" si="205">4.75*10/11</f>
        <v>4.3181818181818183</v>
      </c>
      <c r="X32" s="54">
        <f t="shared" ref="X32" si="206">Y32*X12</f>
        <v>17569.213636363635</v>
      </c>
      <c r="Y32" s="55">
        <f t="shared" ref="Y32" si="207">4.75*10/11</f>
        <v>4.3181818181818183</v>
      </c>
      <c r="Z32" s="54">
        <f t="shared" ref="Z32" si="208">AA32*Z12</f>
        <v>17569.213636363635</v>
      </c>
      <c r="AA32" s="55">
        <f t="shared" ref="AA32" si="209">4.75*10/11</f>
        <v>4.3181818181818183</v>
      </c>
      <c r="AB32" s="54">
        <f t="shared" ref="AB32" si="210">AC32*AB12</f>
        <v>17569.213636363635</v>
      </c>
      <c r="AC32" s="55">
        <f t="shared" ref="AC32:AS32" si="211">4.75*10/11</f>
        <v>4.3181818181818183</v>
      </c>
      <c r="AD32" s="54">
        <f t="shared" ref="AD32" si="212">AE32*AD12</f>
        <v>17569.213636363635</v>
      </c>
      <c r="AE32" s="55">
        <f t="shared" si="211"/>
        <v>4.3181818181818183</v>
      </c>
      <c r="AF32" s="54">
        <f t="shared" ref="AF32" si="213">AG32*AF12</f>
        <v>17569.213636363635</v>
      </c>
      <c r="AG32" s="55">
        <f t="shared" si="211"/>
        <v>4.3181818181818183</v>
      </c>
      <c r="AH32" s="54">
        <f t="shared" ref="AH32" si="214">AI32*AH12</f>
        <v>17569.213636363635</v>
      </c>
      <c r="AI32" s="55">
        <f t="shared" si="211"/>
        <v>4.3181818181818183</v>
      </c>
      <c r="AJ32" s="54">
        <f t="shared" ref="AJ32" si="215">AK32*AJ12</f>
        <v>17569.213636363635</v>
      </c>
      <c r="AK32" s="55">
        <f t="shared" si="211"/>
        <v>4.3181818181818183</v>
      </c>
      <c r="AL32" s="54">
        <f t="shared" ref="AL32" si="216">AM32*AL12</f>
        <v>17569.213636363635</v>
      </c>
      <c r="AM32" s="55">
        <f t="shared" si="211"/>
        <v>4.3181818181818183</v>
      </c>
      <c r="AN32" s="54">
        <f t="shared" ref="AN32" si="217">AO32*AN12</f>
        <v>17569.213636363635</v>
      </c>
      <c r="AO32" s="55">
        <f t="shared" si="211"/>
        <v>4.3181818181818183</v>
      </c>
      <c r="AP32" s="54">
        <f t="shared" ref="AP32" si="218">AQ32*AP12</f>
        <v>17569.213636363635</v>
      </c>
      <c r="AQ32" s="55">
        <f t="shared" si="211"/>
        <v>4.3181818181818183</v>
      </c>
      <c r="AR32" s="54">
        <f t="shared" ref="AR32" si="219">AS32*AR12</f>
        <v>17569.213636363635</v>
      </c>
      <c r="AS32" s="55">
        <f t="shared" si="211"/>
        <v>4.3181818181818183</v>
      </c>
      <c r="AT32" s="54">
        <f t="shared" ref="AT32" si="220">AU32*AT12</f>
        <v>16105.112499999999</v>
      </c>
      <c r="AU32" s="55">
        <f>4.75*5/6</f>
        <v>3.9583333333333335</v>
      </c>
      <c r="AV32" s="54">
        <f t="shared" ref="AV32" si="221">AW32*AV12</f>
        <v>16105.112499999999</v>
      </c>
      <c r="AW32" s="55">
        <f>4.75*5/6</f>
        <v>3.9583333333333335</v>
      </c>
      <c r="AX32" s="54">
        <f t="shared" ref="AX32" si="222">AY32*AX12</f>
        <v>16105.112499999999</v>
      </c>
      <c r="AY32" s="55">
        <f>4.75*5/6</f>
        <v>3.9583333333333335</v>
      </c>
      <c r="AZ32" s="54">
        <f t="shared" ref="AZ32" si="223">BA32*AZ12</f>
        <v>16105.112499999999</v>
      </c>
      <c r="BA32" s="55">
        <f>4.75*5/6</f>
        <v>3.9583333333333335</v>
      </c>
    </row>
    <row r="33" spans="1:53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61"/>
      <c r="O33" s="41"/>
      <c r="P33" s="61"/>
      <c r="Q33" s="41"/>
      <c r="R33" s="61"/>
      <c r="S33" s="41"/>
      <c r="T33" s="61"/>
      <c r="U33" s="41"/>
      <c r="V33" s="61"/>
      <c r="W33" s="41"/>
      <c r="X33" s="61"/>
      <c r="Y33" s="41"/>
      <c r="Z33" s="61"/>
      <c r="AA33" s="41"/>
      <c r="AB33" s="61"/>
      <c r="AC33" s="41"/>
      <c r="AD33" s="61"/>
      <c r="AE33" s="41"/>
      <c r="AF33" s="61"/>
      <c r="AG33" s="41"/>
      <c r="AH33" s="61"/>
      <c r="AI33" s="41"/>
      <c r="AJ33" s="61"/>
      <c r="AK33" s="41"/>
      <c r="AL33" s="61"/>
      <c r="AM33" s="41"/>
      <c r="AN33" s="61"/>
      <c r="AO33" s="41"/>
      <c r="AP33" s="61"/>
      <c r="AQ33" s="41"/>
      <c r="AR33" s="61"/>
      <c r="AS33" s="41"/>
      <c r="AT33" s="61"/>
      <c r="AU33" s="41"/>
      <c r="AV33" s="61"/>
      <c r="AW33" s="41"/>
      <c r="AX33" s="61"/>
      <c r="AY33" s="41"/>
      <c r="AZ33" s="61"/>
      <c r="BA33" s="41"/>
    </row>
    <row r="34" spans="1:53" s="4" customFormat="1" ht="18" customHeight="1" outlineLevel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60"/>
      <c r="O34" s="43"/>
      <c r="P34" s="60"/>
      <c r="Q34" s="43"/>
      <c r="R34" s="60"/>
      <c r="S34" s="43"/>
      <c r="T34" s="60"/>
      <c r="U34" s="43"/>
      <c r="V34" s="60"/>
      <c r="W34" s="43"/>
      <c r="X34" s="60"/>
      <c r="Y34" s="43"/>
      <c r="Z34" s="60"/>
      <c r="AA34" s="43"/>
      <c r="AB34" s="60"/>
      <c r="AC34" s="43"/>
      <c r="AD34" s="60"/>
      <c r="AE34" s="43"/>
      <c r="AF34" s="60"/>
      <c r="AG34" s="43"/>
      <c r="AH34" s="60"/>
      <c r="AI34" s="43"/>
      <c r="AJ34" s="60"/>
      <c r="AK34" s="43"/>
      <c r="AL34" s="60"/>
      <c r="AM34" s="43"/>
      <c r="AN34" s="60"/>
      <c r="AO34" s="43"/>
      <c r="AP34" s="60"/>
      <c r="AQ34" s="43"/>
      <c r="AR34" s="60"/>
      <c r="AS34" s="43"/>
      <c r="AT34" s="60"/>
      <c r="AU34" s="43"/>
      <c r="AV34" s="60"/>
      <c r="AW34" s="43"/>
      <c r="AX34" s="60"/>
      <c r="AY34" s="43"/>
      <c r="AZ34" s="60"/>
      <c r="BA34" s="43"/>
    </row>
    <row r="35" spans="1:53" s="49" customFormat="1" ht="18" customHeight="1" outlineLevel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47"/>
      <c r="M35" s="48"/>
      <c r="N35" s="47"/>
      <c r="O35" s="48"/>
      <c r="P35" s="47"/>
      <c r="Q35" s="48"/>
      <c r="R35" s="47"/>
      <c r="S35" s="48"/>
      <c r="T35" s="47"/>
      <c r="U35" s="48"/>
      <c r="V35" s="47"/>
      <c r="W35" s="48"/>
      <c r="X35" s="47"/>
      <c r="Y35" s="48"/>
      <c r="Z35" s="47"/>
      <c r="AA35" s="48"/>
      <c r="AB35" s="47"/>
      <c r="AC35" s="48"/>
      <c r="AD35" s="47"/>
      <c r="AE35" s="48"/>
      <c r="AF35" s="47"/>
      <c r="AG35" s="48"/>
      <c r="AH35" s="47"/>
      <c r="AI35" s="48"/>
      <c r="AJ35" s="47"/>
      <c r="AK35" s="48"/>
      <c r="AL35" s="47"/>
      <c r="AM35" s="48"/>
      <c r="AN35" s="47"/>
      <c r="AO35" s="48"/>
      <c r="AP35" s="47"/>
      <c r="AQ35" s="1144">
        <f>4.75*9/11</f>
        <v>3.8863636363636362</v>
      </c>
      <c r="AR35" s="47"/>
      <c r="AS35" s="1144"/>
      <c r="AT35" s="47"/>
      <c r="AU35" s="1144"/>
      <c r="AV35" s="47"/>
      <c r="AW35" s="1144"/>
      <c r="AX35" s="47"/>
      <c r="AY35" s="1144"/>
      <c r="AZ35" s="47"/>
      <c r="BA35" s="1144"/>
    </row>
    <row r="36" spans="1:53" s="4" customFormat="1" ht="18" customHeight="1" outlineLevel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50"/>
      <c r="M36" s="24"/>
      <c r="N36" s="50"/>
      <c r="O36" s="24"/>
      <c r="P36" s="50"/>
      <c r="Q36" s="24"/>
      <c r="R36" s="50"/>
      <c r="S36" s="24"/>
      <c r="T36" s="50"/>
      <c r="U36" s="24"/>
      <c r="V36" s="50"/>
      <c r="W36" s="24"/>
      <c r="X36" s="50"/>
      <c r="Y36" s="24"/>
      <c r="Z36" s="50"/>
      <c r="AA36" s="24"/>
      <c r="AB36" s="50"/>
      <c r="AC36" s="24"/>
      <c r="AD36" s="50"/>
      <c r="AE36" s="24"/>
      <c r="AF36" s="50"/>
      <c r="AG36" s="24"/>
      <c r="AH36" s="50"/>
      <c r="AI36" s="24"/>
      <c r="AJ36" s="50"/>
      <c r="AK36" s="24"/>
      <c r="AL36" s="50"/>
      <c r="AM36" s="24"/>
      <c r="AN36" s="50"/>
      <c r="AO36" s="24"/>
      <c r="AP36" s="50"/>
      <c r="AQ36" s="24"/>
      <c r="AR36" s="50"/>
      <c r="AS36" s="24"/>
      <c r="AT36" s="50"/>
      <c r="AU36" s="24"/>
      <c r="AV36" s="50"/>
      <c r="AW36" s="24"/>
      <c r="AX36" s="50"/>
      <c r="AY36" s="24"/>
      <c r="AZ36" s="50"/>
      <c r="BA36" s="24"/>
    </row>
    <row r="37" spans="1:53" s="4" customFormat="1" ht="18" customHeight="1" outlineLevel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/>
      <c r="M37" s="55"/>
      <c r="N37" s="54"/>
      <c r="O37" s="55"/>
      <c r="P37" s="54"/>
      <c r="Q37" s="55"/>
      <c r="R37" s="54"/>
      <c r="S37" s="55"/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/>
      <c r="AE37" s="55"/>
      <c r="AF37" s="54"/>
      <c r="AG37" s="55"/>
      <c r="AH37" s="54"/>
      <c r="AI37" s="55"/>
      <c r="AJ37" s="54"/>
      <c r="AK37" s="55"/>
      <c r="AL37" s="54"/>
      <c r="AM37" s="55"/>
      <c r="AN37" s="54"/>
      <c r="AO37" s="55"/>
      <c r="AP37" s="54"/>
      <c r="AQ37" s="55"/>
      <c r="AR37" s="54"/>
      <c r="AS37" s="55"/>
      <c r="AT37" s="54"/>
      <c r="AU37" s="55"/>
      <c r="AV37" s="54"/>
      <c r="AW37" s="55"/>
      <c r="AX37" s="54"/>
      <c r="AY37" s="55"/>
      <c r="AZ37" s="54"/>
      <c r="BA37" s="55"/>
    </row>
    <row r="38" spans="1:53" s="4" customFormat="1" ht="18" customHeight="1" outlineLevel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/>
      <c r="M38" s="55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/>
      <c r="AE38" s="55"/>
      <c r="AF38" s="54"/>
      <c r="AG38" s="55"/>
      <c r="AH38" s="54"/>
      <c r="AI38" s="55"/>
      <c r="AJ38" s="54"/>
      <c r="AK38" s="55"/>
      <c r="AL38" s="54"/>
      <c r="AM38" s="55"/>
      <c r="AN38" s="54"/>
      <c r="AO38" s="55"/>
      <c r="AP38" s="54"/>
      <c r="AQ38" s="55"/>
      <c r="AR38" s="54"/>
      <c r="AS38" s="55"/>
      <c r="AT38" s="54"/>
      <c r="AU38" s="55"/>
      <c r="AV38" s="54"/>
      <c r="AW38" s="55"/>
      <c r="AX38" s="54"/>
      <c r="AY38" s="55"/>
      <c r="AZ38" s="54"/>
      <c r="BA38" s="55"/>
    </row>
    <row r="39" spans="1:53" s="4" customFormat="1" ht="18" customHeight="1" outlineLevel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61"/>
      <c r="O39" s="41"/>
      <c r="P39" s="61"/>
      <c r="Q39" s="41"/>
      <c r="R39" s="61"/>
      <c r="S39" s="41"/>
      <c r="T39" s="61"/>
      <c r="U39" s="41"/>
      <c r="V39" s="61"/>
      <c r="W39" s="41"/>
      <c r="X39" s="61"/>
      <c r="Y39" s="41"/>
      <c r="Z39" s="61"/>
      <c r="AA39" s="41"/>
      <c r="AB39" s="61"/>
      <c r="AC39" s="41"/>
      <c r="AD39" s="61"/>
      <c r="AE39" s="41"/>
      <c r="AF39" s="61"/>
      <c r="AG39" s="41"/>
      <c r="AH39" s="61"/>
      <c r="AI39" s="41"/>
      <c r="AJ39" s="61"/>
      <c r="AK39" s="41"/>
      <c r="AL39" s="61"/>
      <c r="AM39" s="41"/>
      <c r="AN39" s="61"/>
      <c r="AO39" s="41"/>
      <c r="AP39" s="61"/>
      <c r="AQ39" s="41"/>
      <c r="AR39" s="61"/>
      <c r="AS39" s="41"/>
      <c r="AT39" s="61"/>
      <c r="AU39" s="41"/>
      <c r="AV39" s="61"/>
      <c r="AW39" s="41"/>
      <c r="AX39" s="61"/>
      <c r="AY39" s="41"/>
      <c r="AZ39" s="61"/>
      <c r="BA39" s="41"/>
    </row>
    <row r="40" spans="1:53" s="4" customFormat="1" ht="18" customHeight="1" outlineLevel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60"/>
      <c r="O40" s="43"/>
      <c r="P40" s="60"/>
      <c r="Q40" s="43"/>
      <c r="R40" s="60"/>
      <c r="S40" s="43"/>
      <c r="T40" s="60"/>
      <c r="U40" s="43"/>
      <c r="V40" s="60"/>
      <c r="W40" s="43"/>
      <c r="X40" s="60"/>
      <c r="Y40" s="43"/>
      <c r="Z40" s="60"/>
      <c r="AA40" s="43"/>
      <c r="AB40" s="60"/>
      <c r="AC40" s="43"/>
      <c r="AD40" s="60"/>
      <c r="AE40" s="43"/>
      <c r="AF40" s="60"/>
      <c r="AG40" s="43"/>
      <c r="AH40" s="60"/>
      <c r="AI40" s="43"/>
      <c r="AJ40" s="60"/>
      <c r="AK40" s="43"/>
      <c r="AL40" s="60"/>
      <c r="AM40" s="43"/>
      <c r="AN40" s="60"/>
      <c r="AO40" s="43"/>
      <c r="AP40" s="60"/>
      <c r="AQ40" s="43"/>
      <c r="AR40" s="60"/>
      <c r="AS40" s="43"/>
      <c r="AT40" s="60"/>
      <c r="AU40" s="43"/>
      <c r="AV40" s="60"/>
      <c r="AW40" s="43"/>
      <c r="AX40" s="60"/>
      <c r="AY40" s="43"/>
      <c r="AZ40" s="60"/>
      <c r="BA40" s="43"/>
    </row>
    <row r="41" spans="1:53" s="4" customFormat="1" ht="18" customHeight="1" outlineLevel="1" x14ac:dyDescent="0.45">
      <c r="A41" s="561"/>
      <c r="B41" s="1194"/>
      <c r="C41" s="71" t="s">
        <v>177</v>
      </c>
      <c r="D41" s="16"/>
      <c r="E41" s="16"/>
      <c r="F41" s="430">
        <f>F42-G54*F12</f>
        <v>166.05008466942263</v>
      </c>
      <c r="G41" s="24">
        <f>G42-G54</f>
        <v>4.0811983471074509E-2</v>
      </c>
      <c r="H41" s="430">
        <f t="shared" ref="H41" si="224">H42-I54*H12</f>
        <v>166.05008466942263</v>
      </c>
      <c r="I41" s="24">
        <f t="shared" ref="I41" si="225">I42-I54</f>
        <v>4.0811983471074509E-2</v>
      </c>
      <c r="J41" s="430">
        <f t="shared" ref="J41" si="226">J42-K54*J12</f>
        <v>166.05008466942263</v>
      </c>
      <c r="K41" s="24">
        <f t="shared" ref="K41" si="227">K42-K54</f>
        <v>4.0811983471074509E-2</v>
      </c>
      <c r="L41" s="430">
        <f t="shared" ref="L41" si="228">L42-M54*L12</f>
        <v>166.05008466942263</v>
      </c>
      <c r="M41" s="24">
        <f t="shared" ref="M41" si="229">M42-M54</f>
        <v>4.0811983471074509E-2</v>
      </c>
      <c r="N41" s="430">
        <f t="shared" ref="N41" si="230">N42-O54*N12</f>
        <v>166.05008466942263</v>
      </c>
      <c r="O41" s="24">
        <f t="shared" ref="O41" si="231">O42-O54</f>
        <v>4.0811983471074509E-2</v>
      </c>
      <c r="P41" s="430">
        <f t="shared" ref="P41" si="232">P42-Q54*P12</f>
        <v>166.05008466942263</v>
      </c>
      <c r="Q41" s="24">
        <f t="shared" ref="Q41" si="233">Q42-Q54</f>
        <v>4.0811983471074509E-2</v>
      </c>
      <c r="R41" s="430">
        <f t="shared" ref="R41" si="234">R42-S54*R12</f>
        <v>166.05008466942263</v>
      </c>
      <c r="S41" s="24">
        <f t="shared" ref="S41" si="235">S42-S54</f>
        <v>4.0811983471074509E-2</v>
      </c>
      <c r="T41" s="430">
        <f t="shared" ref="T41" si="236">T42-U54*T12</f>
        <v>166.05008466942263</v>
      </c>
      <c r="U41" s="24">
        <f t="shared" ref="U41" si="237">U42-U54</f>
        <v>4.0811983471074509E-2</v>
      </c>
      <c r="V41" s="430">
        <f t="shared" ref="V41" si="238">V42-W54*V12</f>
        <v>166.05008466942263</v>
      </c>
      <c r="W41" s="24">
        <f t="shared" ref="W41" si="239">W42-W54</f>
        <v>4.0811983471074509E-2</v>
      </c>
      <c r="X41" s="430">
        <f t="shared" ref="X41" si="240">X42-Y54*X12</f>
        <v>166.05008466942263</v>
      </c>
      <c r="Y41" s="24">
        <f t="shared" ref="Y41" si="241">Y42-Y54</f>
        <v>4.0811983471074509E-2</v>
      </c>
      <c r="Z41" s="430">
        <f t="shared" ref="Z41" si="242">Z42-AA54*Z12</f>
        <v>166.05008466942263</v>
      </c>
      <c r="AA41" s="24">
        <f t="shared" ref="AA41" si="243">AA42-AA54</f>
        <v>4.0811983471074509E-2</v>
      </c>
      <c r="AB41" s="430">
        <f t="shared" ref="AB41" si="244">AB42-AC54*AB12</f>
        <v>104.76117485778423</v>
      </c>
      <c r="AC41" s="24">
        <f t="shared" ref="AC41" si="245">AC42-AC54</f>
        <v>2.5748323737491863E-2</v>
      </c>
      <c r="AD41" s="430">
        <f t="shared" ref="AD41" si="246">AD42-AE54*AD12</f>
        <v>166.05008466942263</v>
      </c>
      <c r="AE41" s="24">
        <f t="shared" ref="AE41" si="247">AE42-AE54</f>
        <v>4.0811983471074509E-2</v>
      </c>
      <c r="AF41" s="430">
        <f t="shared" ref="AF41" si="248">AF42-AG54*AF12</f>
        <v>166.05008466942263</v>
      </c>
      <c r="AG41" s="24">
        <f t="shared" ref="AG41" si="249">AG42-AG54</f>
        <v>4.0811983471074509E-2</v>
      </c>
      <c r="AH41" s="430">
        <f t="shared" ref="AH41" si="250">AH42-AI54*AH12</f>
        <v>166.05008466942263</v>
      </c>
      <c r="AI41" s="24">
        <f t="shared" ref="AI41" si="251">AI42-AI54</f>
        <v>4.0811983471074509E-2</v>
      </c>
      <c r="AJ41" s="430">
        <f t="shared" ref="AJ41" si="252">AJ42-AK54*AJ12</f>
        <v>166.05008466942263</v>
      </c>
      <c r="AK41" s="24">
        <f t="shared" ref="AK41" si="253">AK42-AK54</f>
        <v>4.0811983471074509E-2</v>
      </c>
      <c r="AL41" s="430">
        <f t="shared" ref="AL41" si="254">AL42-AM54*AL12</f>
        <v>166.05008466942263</v>
      </c>
      <c r="AM41" s="24">
        <f t="shared" ref="AM41" si="255">AM42-AM54</f>
        <v>4.0811983471074509E-2</v>
      </c>
      <c r="AN41" s="430">
        <f t="shared" ref="AN41" si="256">AN42-AO54*AN12</f>
        <v>166.05008466942263</v>
      </c>
      <c r="AO41" s="24">
        <f t="shared" ref="AO41:AQ41" si="257">AO42-AO54</f>
        <v>4.0811983471074509E-2</v>
      </c>
      <c r="AP41" s="430">
        <f t="shared" ref="AP41" si="258">AP42-AQ54*AP12</f>
        <v>166.05008466942263</v>
      </c>
      <c r="AQ41" s="24">
        <f t="shared" si="257"/>
        <v>4.0811983471074509E-2</v>
      </c>
      <c r="AR41" s="430">
        <f t="shared" ref="AR41" si="259">AR42-AS54*AR12</f>
        <v>166.05008466942263</v>
      </c>
      <c r="AS41" s="24">
        <f t="shared" ref="AS41:AU41" si="260">AS42-AS54</f>
        <v>4.0811983471074509E-2</v>
      </c>
      <c r="AT41" s="430">
        <f t="shared" ref="AT41" si="261">AT42-AU54*AT12</f>
        <v>161.11277136363719</v>
      </c>
      <c r="AU41" s="24">
        <f t="shared" si="260"/>
        <v>3.9598484848485327E-2</v>
      </c>
      <c r="AV41" s="430">
        <f t="shared" ref="AV41" si="262">AV42-AW54*AV12</f>
        <v>161.11277136363719</v>
      </c>
      <c r="AW41" s="24">
        <f t="shared" ref="AW41" si="263">AW42-AW54</f>
        <v>3.9598484848485327E-2</v>
      </c>
      <c r="AX41" s="430">
        <f t="shared" ref="AX41" si="264">AX42-AY54*AX12</f>
        <v>161.11277136363719</v>
      </c>
      <c r="AY41" s="24">
        <f t="shared" ref="AY41" si="265">AY42-AY54</f>
        <v>3.9598484848485327E-2</v>
      </c>
      <c r="AZ41" s="430">
        <f t="shared" ref="AZ41" si="266">AZ42-BA54*AZ12</f>
        <v>161.11277136363697</v>
      </c>
      <c r="BA41" s="24">
        <f t="shared" ref="BA41" si="267">BA42-BA54</f>
        <v>3.9598484848485271E-2</v>
      </c>
    </row>
    <row r="42" spans="1:53" s="4" customFormat="1" ht="18" customHeight="1" outlineLevel="1" x14ac:dyDescent="0.45">
      <c r="A42" s="561"/>
      <c r="B42" s="1194"/>
      <c r="C42" s="71" t="s">
        <v>378</v>
      </c>
      <c r="D42" s="16"/>
      <c r="E42" s="16"/>
      <c r="F42" s="42">
        <f>F32-F32/1.1</f>
        <v>1597.2012396694226</v>
      </c>
      <c r="G42" s="24">
        <f>G32-G32/1.1</f>
        <v>0.39256198347107452</v>
      </c>
      <c r="H42" s="42">
        <f t="shared" ref="H42:BA42" si="268">H32-H32/1.1</f>
        <v>1597.2012396694226</v>
      </c>
      <c r="I42" s="24">
        <f t="shared" si="268"/>
        <v>0.39256198347107452</v>
      </c>
      <c r="J42" s="42">
        <f t="shared" si="268"/>
        <v>1597.2012396694226</v>
      </c>
      <c r="K42" s="24">
        <f t="shared" si="268"/>
        <v>0.39256198347107452</v>
      </c>
      <c r="L42" s="42">
        <f t="shared" si="268"/>
        <v>1597.2012396694226</v>
      </c>
      <c r="M42" s="24">
        <f t="shared" si="268"/>
        <v>0.39256198347107452</v>
      </c>
      <c r="N42" s="42">
        <f t="shared" si="268"/>
        <v>1597.2012396694226</v>
      </c>
      <c r="O42" s="24">
        <f t="shared" si="268"/>
        <v>0.39256198347107452</v>
      </c>
      <c r="P42" s="42">
        <f t="shared" si="268"/>
        <v>1597.2012396694226</v>
      </c>
      <c r="Q42" s="24">
        <f t="shared" si="268"/>
        <v>0.39256198347107452</v>
      </c>
      <c r="R42" s="42">
        <f t="shared" si="268"/>
        <v>1597.2012396694226</v>
      </c>
      <c r="S42" s="24">
        <f t="shared" si="268"/>
        <v>0.39256198347107452</v>
      </c>
      <c r="T42" s="42">
        <f t="shared" si="268"/>
        <v>1597.2012396694226</v>
      </c>
      <c r="U42" s="24">
        <f t="shared" si="268"/>
        <v>0.39256198347107452</v>
      </c>
      <c r="V42" s="42">
        <f t="shared" si="268"/>
        <v>1597.2012396694226</v>
      </c>
      <c r="W42" s="24">
        <f t="shared" si="268"/>
        <v>0.39256198347107452</v>
      </c>
      <c r="X42" s="42">
        <f t="shared" si="268"/>
        <v>1597.2012396694226</v>
      </c>
      <c r="Y42" s="24">
        <f t="shared" si="268"/>
        <v>0.39256198347107452</v>
      </c>
      <c r="Z42" s="42">
        <f t="shared" si="268"/>
        <v>1597.2012396694226</v>
      </c>
      <c r="AA42" s="24">
        <f t="shared" si="268"/>
        <v>0.39256198347107452</v>
      </c>
      <c r="AB42" s="42">
        <f t="shared" si="268"/>
        <v>1597.2012396694226</v>
      </c>
      <c r="AC42" s="24">
        <f t="shared" si="268"/>
        <v>0.39256198347107452</v>
      </c>
      <c r="AD42" s="42">
        <f t="shared" si="268"/>
        <v>1597.2012396694226</v>
      </c>
      <c r="AE42" s="24">
        <f t="shared" si="268"/>
        <v>0.39256198347107452</v>
      </c>
      <c r="AF42" s="42">
        <f t="shared" si="268"/>
        <v>1597.2012396694226</v>
      </c>
      <c r="AG42" s="24">
        <f t="shared" si="268"/>
        <v>0.39256198347107452</v>
      </c>
      <c r="AH42" s="42">
        <f t="shared" si="268"/>
        <v>1597.2012396694226</v>
      </c>
      <c r="AI42" s="24">
        <f t="shared" si="268"/>
        <v>0.39256198347107452</v>
      </c>
      <c r="AJ42" s="42">
        <f t="shared" si="268"/>
        <v>1597.2012396694226</v>
      </c>
      <c r="AK42" s="24">
        <f t="shared" si="268"/>
        <v>0.39256198347107452</v>
      </c>
      <c r="AL42" s="42">
        <f t="shared" si="268"/>
        <v>1597.2012396694226</v>
      </c>
      <c r="AM42" s="24">
        <f t="shared" si="268"/>
        <v>0.39256198347107452</v>
      </c>
      <c r="AN42" s="42">
        <f t="shared" si="268"/>
        <v>1597.2012396694226</v>
      </c>
      <c r="AO42" s="24">
        <f t="shared" si="268"/>
        <v>0.39256198347107452</v>
      </c>
      <c r="AP42" s="42">
        <f t="shared" si="268"/>
        <v>1597.2012396694226</v>
      </c>
      <c r="AQ42" s="24">
        <f t="shared" si="268"/>
        <v>0.39256198347107452</v>
      </c>
      <c r="AR42" s="42">
        <f t="shared" si="268"/>
        <v>1597.2012396694226</v>
      </c>
      <c r="AS42" s="24">
        <f t="shared" si="268"/>
        <v>0.39256198347107452</v>
      </c>
      <c r="AT42" s="42">
        <f t="shared" si="268"/>
        <v>1464.1011363636371</v>
      </c>
      <c r="AU42" s="24">
        <f t="shared" si="268"/>
        <v>0.35984848484848531</v>
      </c>
      <c r="AV42" s="42">
        <f t="shared" si="268"/>
        <v>1464.1011363636371</v>
      </c>
      <c r="AW42" s="24">
        <f t="shared" si="268"/>
        <v>0.35984848484848531</v>
      </c>
      <c r="AX42" s="42">
        <f t="shared" si="268"/>
        <v>1464.1011363636371</v>
      </c>
      <c r="AY42" s="24">
        <f t="shared" si="268"/>
        <v>0.35984848484848531</v>
      </c>
      <c r="AZ42" s="42">
        <f t="shared" si="268"/>
        <v>1464.1011363636371</v>
      </c>
      <c r="BA42" s="24">
        <f t="shared" si="268"/>
        <v>0.35984848484848531</v>
      </c>
    </row>
    <row r="43" spans="1:53" s="65" customFormat="1" ht="18" customHeight="1" outlineLevel="1" x14ac:dyDescent="0.45">
      <c r="A43" s="561"/>
      <c r="B43" s="1194"/>
      <c r="C43" s="62" t="s">
        <v>47</v>
      </c>
      <c r="D43" s="63"/>
      <c r="E43" s="64"/>
      <c r="F43" s="47">
        <f>+F44/F32</f>
        <v>7.6698564593301773E-3</v>
      </c>
      <c r="G43" s="48">
        <f>+G44/G32</f>
        <v>7.6698564593303386E-3</v>
      </c>
      <c r="H43" s="47">
        <f t="shared" ref="H43:BA43" si="269">+H44/H32</f>
        <v>7.6698564593301773E-3</v>
      </c>
      <c r="I43" s="48">
        <f t="shared" si="269"/>
        <v>7.6698564593303386E-3</v>
      </c>
      <c r="J43" s="47">
        <f t="shared" si="269"/>
        <v>7.6698564593301773E-3</v>
      </c>
      <c r="K43" s="48">
        <f t="shared" si="269"/>
        <v>7.6698564593303386E-3</v>
      </c>
      <c r="L43" s="47">
        <f t="shared" si="269"/>
        <v>7.6698564593301773E-3</v>
      </c>
      <c r="M43" s="48">
        <f t="shared" si="269"/>
        <v>7.6698564593303386E-3</v>
      </c>
      <c r="N43" s="47">
        <f t="shared" si="269"/>
        <v>7.6698564593301773E-3</v>
      </c>
      <c r="O43" s="48">
        <f t="shared" si="269"/>
        <v>7.6698564593303386E-3</v>
      </c>
      <c r="P43" s="47">
        <f t="shared" si="269"/>
        <v>7.6698564593301773E-3</v>
      </c>
      <c r="Q43" s="48">
        <f t="shared" si="269"/>
        <v>7.6698564593303386E-3</v>
      </c>
      <c r="R43" s="47">
        <f t="shared" si="269"/>
        <v>7.6698564593301773E-3</v>
      </c>
      <c r="S43" s="48">
        <f t="shared" si="269"/>
        <v>7.6698564593303386E-3</v>
      </c>
      <c r="T43" s="47">
        <f t="shared" si="269"/>
        <v>7.6698564593301773E-3</v>
      </c>
      <c r="U43" s="48">
        <f t="shared" si="269"/>
        <v>7.6698564593303386E-3</v>
      </c>
      <c r="V43" s="47">
        <f t="shared" si="269"/>
        <v>7.6698564593301773E-3</v>
      </c>
      <c r="W43" s="48">
        <f t="shared" si="269"/>
        <v>7.6698564593303386E-3</v>
      </c>
      <c r="X43" s="47">
        <f t="shared" si="269"/>
        <v>7.6698564593301773E-3</v>
      </c>
      <c r="Y43" s="48">
        <f t="shared" si="269"/>
        <v>7.6698564593303386E-3</v>
      </c>
      <c r="Z43" s="47">
        <f t="shared" si="269"/>
        <v>7.6698564593301773E-3</v>
      </c>
      <c r="AA43" s="48">
        <f t="shared" si="269"/>
        <v>7.6698564593303386E-3</v>
      </c>
      <c r="AB43" s="47">
        <f t="shared" si="269"/>
        <v>-2.7214408186861185E-2</v>
      </c>
      <c r="AC43" s="48">
        <f t="shared" si="269"/>
        <v>-2.721440818686114E-2</v>
      </c>
      <c r="AD43" s="47">
        <f t="shared" si="269"/>
        <v>7.6698564593301773E-3</v>
      </c>
      <c r="AE43" s="48">
        <f t="shared" si="269"/>
        <v>7.6698564593303386E-3</v>
      </c>
      <c r="AF43" s="47">
        <f t="shared" si="269"/>
        <v>7.6698564593301773E-3</v>
      </c>
      <c r="AG43" s="48">
        <f t="shared" si="269"/>
        <v>7.6698564593303386E-3</v>
      </c>
      <c r="AH43" s="47">
        <f t="shared" si="269"/>
        <v>7.6698564593301773E-3</v>
      </c>
      <c r="AI43" s="48">
        <f t="shared" si="269"/>
        <v>7.6698564593303386E-3</v>
      </c>
      <c r="AJ43" s="47">
        <f t="shared" si="269"/>
        <v>7.6698564593301773E-3</v>
      </c>
      <c r="AK43" s="48">
        <f t="shared" si="269"/>
        <v>7.6698564593303386E-3</v>
      </c>
      <c r="AL43" s="47">
        <f t="shared" si="269"/>
        <v>7.6698564593301773E-3</v>
      </c>
      <c r="AM43" s="48">
        <f t="shared" si="269"/>
        <v>7.6698564593303386E-3</v>
      </c>
      <c r="AN43" s="47">
        <f t="shared" si="269"/>
        <v>7.6698564593301773E-3</v>
      </c>
      <c r="AO43" s="48">
        <f t="shared" si="269"/>
        <v>7.6698564593303386E-3</v>
      </c>
      <c r="AP43" s="47">
        <f t="shared" si="269"/>
        <v>7.6698564593301773E-3</v>
      </c>
      <c r="AQ43" s="48">
        <f t="shared" si="269"/>
        <v>7.6698564593303386E-3</v>
      </c>
      <c r="AR43" s="47">
        <f t="shared" si="269"/>
        <v>7.6698564593301773E-3</v>
      </c>
      <c r="AS43" s="48">
        <f t="shared" si="269"/>
        <v>7.6698564593303386E-3</v>
      </c>
      <c r="AT43" s="47">
        <f t="shared" si="269"/>
        <v>5.3014354066985613E-3</v>
      </c>
      <c r="AU43" s="48">
        <f t="shared" si="269"/>
        <v>5.3014354066985249E-3</v>
      </c>
      <c r="AV43" s="47">
        <f t="shared" si="269"/>
        <v>5.3014354066985613E-3</v>
      </c>
      <c r="AW43" s="48">
        <f t="shared" si="269"/>
        <v>5.3014354066985249E-3</v>
      </c>
      <c r="AX43" s="47">
        <f t="shared" si="269"/>
        <v>5.3014354066985613E-3</v>
      </c>
      <c r="AY43" s="48">
        <f t="shared" si="269"/>
        <v>5.3014354066985249E-3</v>
      </c>
      <c r="AZ43" s="47">
        <f t="shared" si="269"/>
        <v>5.3014354066983497E-3</v>
      </c>
      <c r="BA43" s="48">
        <f t="shared" si="269"/>
        <v>5.301435406698315E-3</v>
      </c>
    </row>
    <row r="44" spans="1:53" s="4" customFormat="1" ht="18" customHeight="1" outlineLevel="1" x14ac:dyDescent="0.45">
      <c r="A44" s="561" t="s">
        <v>379</v>
      </c>
      <c r="B44" s="1194"/>
      <c r="C44" s="15" t="s">
        <v>48</v>
      </c>
      <c r="D44" s="16"/>
      <c r="E44" s="35"/>
      <c r="F44" s="42">
        <f>+F32-F45-F41</f>
        <v>134.75334669421545</v>
      </c>
      <c r="G44" s="24">
        <f>+G32-G45-G41</f>
        <v>3.3119834710744644E-2</v>
      </c>
      <c r="H44" s="42">
        <f t="shared" ref="H44:BA44" si="270">+H32-H45-H41</f>
        <v>134.75334669421545</v>
      </c>
      <c r="I44" s="24">
        <f t="shared" si="270"/>
        <v>3.3119834710744644E-2</v>
      </c>
      <c r="J44" s="42">
        <f t="shared" si="270"/>
        <v>134.75334669421545</v>
      </c>
      <c r="K44" s="24">
        <f t="shared" si="270"/>
        <v>3.3119834710744644E-2</v>
      </c>
      <c r="L44" s="42">
        <f t="shared" si="270"/>
        <v>134.75334669421545</v>
      </c>
      <c r="M44" s="24">
        <f t="shared" si="270"/>
        <v>3.3119834710744644E-2</v>
      </c>
      <c r="N44" s="42">
        <f t="shared" si="270"/>
        <v>134.75334669421545</v>
      </c>
      <c r="O44" s="24">
        <f t="shared" si="270"/>
        <v>3.3119834710744644E-2</v>
      </c>
      <c r="P44" s="42">
        <f t="shared" si="270"/>
        <v>134.75334669421545</v>
      </c>
      <c r="Q44" s="24">
        <f t="shared" si="270"/>
        <v>3.3119834710744644E-2</v>
      </c>
      <c r="R44" s="42">
        <f t="shared" si="270"/>
        <v>134.75334669421545</v>
      </c>
      <c r="S44" s="24">
        <f t="shared" si="270"/>
        <v>3.3119834710744644E-2</v>
      </c>
      <c r="T44" s="42">
        <f t="shared" si="270"/>
        <v>134.75334669421545</v>
      </c>
      <c r="U44" s="24">
        <f t="shared" si="270"/>
        <v>3.3119834710744644E-2</v>
      </c>
      <c r="V44" s="42">
        <f t="shared" si="270"/>
        <v>134.75334669421545</v>
      </c>
      <c r="W44" s="24">
        <f t="shared" si="270"/>
        <v>3.3119834710744644E-2</v>
      </c>
      <c r="X44" s="42">
        <f t="shared" si="270"/>
        <v>134.75334669421545</v>
      </c>
      <c r="Y44" s="24">
        <f t="shared" si="270"/>
        <v>3.3119834710744644E-2</v>
      </c>
      <c r="Z44" s="42">
        <f t="shared" si="270"/>
        <v>134.75334669421545</v>
      </c>
      <c r="AA44" s="24">
        <f t="shared" si="270"/>
        <v>3.3119834710744644E-2</v>
      </c>
      <c r="AB44" s="42">
        <f t="shared" si="270"/>
        <v>-478.13575142216769</v>
      </c>
      <c r="AC44" s="24">
        <f t="shared" si="270"/>
        <v>-0.11751676262508221</v>
      </c>
      <c r="AD44" s="42">
        <f t="shared" si="270"/>
        <v>134.75334669421545</v>
      </c>
      <c r="AE44" s="24">
        <f t="shared" si="270"/>
        <v>3.3119834710744644E-2</v>
      </c>
      <c r="AF44" s="42">
        <f t="shared" si="270"/>
        <v>134.75334669421545</v>
      </c>
      <c r="AG44" s="24">
        <f t="shared" si="270"/>
        <v>3.3119834710744644E-2</v>
      </c>
      <c r="AH44" s="42">
        <f t="shared" si="270"/>
        <v>134.75334669421545</v>
      </c>
      <c r="AI44" s="24">
        <f t="shared" si="270"/>
        <v>3.3119834710744644E-2</v>
      </c>
      <c r="AJ44" s="42">
        <f t="shared" si="270"/>
        <v>134.75334669421545</v>
      </c>
      <c r="AK44" s="24">
        <f t="shared" si="270"/>
        <v>3.3119834710744644E-2</v>
      </c>
      <c r="AL44" s="42">
        <f t="shared" si="270"/>
        <v>134.75334669421545</v>
      </c>
      <c r="AM44" s="24">
        <f t="shared" si="270"/>
        <v>3.3119834710744644E-2</v>
      </c>
      <c r="AN44" s="42">
        <f t="shared" si="270"/>
        <v>134.75334669421545</v>
      </c>
      <c r="AO44" s="24">
        <f t="shared" si="270"/>
        <v>3.3119834710744644E-2</v>
      </c>
      <c r="AP44" s="42">
        <f t="shared" si="270"/>
        <v>134.75334669421545</v>
      </c>
      <c r="AQ44" s="24">
        <f t="shared" si="270"/>
        <v>3.3119834710744644E-2</v>
      </c>
      <c r="AR44" s="42">
        <f t="shared" si="270"/>
        <v>134.75334669421545</v>
      </c>
      <c r="AS44" s="24">
        <f t="shared" si="270"/>
        <v>3.3119834710744644E-2</v>
      </c>
      <c r="AT44" s="42">
        <f t="shared" si="270"/>
        <v>85.380213636363578</v>
      </c>
      <c r="AU44" s="24">
        <f t="shared" si="270"/>
        <v>2.0984848484848329E-2</v>
      </c>
      <c r="AV44" s="42">
        <f t="shared" si="270"/>
        <v>85.380213636363578</v>
      </c>
      <c r="AW44" s="24">
        <f t="shared" si="270"/>
        <v>2.0984848484848329E-2</v>
      </c>
      <c r="AX44" s="42">
        <f t="shared" si="270"/>
        <v>85.380213636363578</v>
      </c>
      <c r="AY44" s="24">
        <f t="shared" si="270"/>
        <v>2.0984848484848329E-2</v>
      </c>
      <c r="AZ44" s="42">
        <f t="shared" si="270"/>
        <v>85.380213636360168</v>
      </c>
      <c r="BA44" s="24">
        <f t="shared" si="270"/>
        <v>2.0984848484847496E-2</v>
      </c>
    </row>
    <row r="45" spans="1:53" s="4" customFormat="1" ht="18" customHeight="1" outlineLevel="1" x14ac:dyDescent="0.45">
      <c r="A45" s="561"/>
      <c r="B45" s="1194"/>
      <c r="C45" s="19" t="s">
        <v>49</v>
      </c>
      <c r="D45" s="20"/>
      <c r="E45" s="30"/>
      <c r="F45" s="66">
        <f>+G49*F12</f>
        <v>17268.410204999996</v>
      </c>
      <c r="G45" s="32">
        <f>+G49</f>
        <v>4.2442499999999992</v>
      </c>
      <c r="H45" s="66">
        <f t="shared" ref="H45" si="271">+I49*H12</f>
        <v>17268.410204999996</v>
      </c>
      <c r="I45" s="32">
        <f t="shared" ref="I45" si="272">+I49</f>
        <v>4.2442499999999992</v>
      </c>
      <c r="J45" s="66">
        <f t="shared" ref="J45" si="273">+K49*J12</f>
        <v>17268.410204999996</v>
      </c>
      <c r="K45" s="32">
        <f t="shared" ref="K45" si="274">+K49</f>
        <v>4.2442499999999992</v>
      </c>
      <c r="L45" s="66">
        <f t="shared" ref="L45" si="275">+M49*L12</f>
        <v>17268.410204999996</v>
      </c>
      <c r="M45" s="32">
        <f t="shared" ref="M45" si="276">+M49</f>
        <v>4.2442499999999992</v>
      </c>
      <c r="N45" s="66">
        <f t="shared" ref="N45" si="277">+O49*N12</f>
        <v>17268.410204999996</v>
      </c>
      <c r="O45" s="32">
        <f t="shared" ref="O45" si="278">+O49</f>
        <v>4.2442499999999992</v>
      </c>
      <c r="P45" s="66">
        <f t="shared" ref="P45" si="279">+Q49*P12</f>
        <v>17268.410204999996</v>
      </c>
      <c r="Q45" s="32">
        <f t="shared" ref="Q45" si="280">+Q49</f>
        <v>4.2442499999999992</v>
      </c>
      <c r="R45" s="66">
        <f t="shared" ref="R45" si="281">+S49*R12</f>
        <v>17268.410204999996</v>
      </c>
      <c r="S45" s="32">
        <f t="shared" ref="S45" si="282">+S49</f>
        <v>4.2442499999999992</v>
      </c>
      <c r="T45" s="66">
        <f t="shared" ref="T45" si="283">+U49*T12</f>
        <v>17268.410204999996</v>
      </c>
      <c r="U45" s="32">
        <f t="shared" ref="U45" si="284">+U49</f>
        <v>4.2442499999999992</v>
      </c>
      <c r="V45" s="66">
        <f t="shared" ref="V45" si="285">+W49*V12</f>
        <v>17268.410204999996</v>
      </c>
      <c r="W45" s="32">
        <f t="shared" ref="W45" si="286">+W49</f>
        <v>4.2442499999999992</v>
      </c>
      <c r="X45" s="66">
        <f t="shared" ref="X45" si="287">+Y49*X12</f>
        <v>17268.410204999996</v>
      </c>
      <c r="Y45" s="32">
        <f t="shared" ref="Y45" si="288">+Y49</f>
        <v>4.2442499999999992</v>
      </c>
      <c r="Z45" s="66">
        <f t="shared" ref="Z45" si="289">+AA49*Z12</f>
        <v>17268.410204999996</v>
      </c>
      <c r="AA45" s="32">
        <f t="shared" ref="AA45" si="290">+AA49</f>
        <v>4.2442499999999992</v>
      </c>
      <c r="AB45" s="66">
        <f t="shared" ref="AB45" si="291">+AC49*AB12</f>
        <v>17942.588212928018</v>
      </c>
      <c r="AC45" s="32">
        <f t="shared" ref="AC45:AI45" si="292">+AC49</f>
        <v>4.4099502570694087</v>
      </c>
      <c r="AD45" s="66">
        <f t="shared" ref="AD45" si="293">+AE49*AD12</f>
        <v>17268.410204999996</v>
      </c>
      <c r="AE45" s="32">
        <f t="shared" si="292"/>
        <v>4.2442499999999992</v>
      </c>
      <c r="AF45" s="66">
        <f t="shared" ref="AF45" si="294">+AG49*AF12</f>
        <v>17268.410204999996</v>
      </c>
      <c r="AG45" s="32">
        <f t="shared" si="292"/>
        <v>4.2442499999999992</v>
      </c>
      <c r="AH45" s="66">
        <f t="shared" ref="AH45" si="295">+AI49*AH12</f>
        <v>17268.410204999996</v>
      </c>
      <c r="AI45" s="32">
        <f t="shared" si="292"/>
        <v>4.2442499999999992</v>
      </c>
      <c r="AJ45" s="66">
        <f t="shared" ref="AJ45" si="296">+AK49*AJ12</f>
        <v>17268.410204999996</v>
      </c>
      <c r="AK45" s="32">
        <f t="shared" ref="AK45" si="297">+AK49</f>
        <v>4.2442499999999992</v>
      </c>
      <c r="AL45" s="66">
        <f t="shared" ref="AL45" si="298">+AM49*AL12</f>
        <v>17268.410204999996</v>
      </c>
      <c r="AM45" s="32">
        <f t="shared" ref="AM45" si="299">+AM49</f>
        <v>4.2442499999999992</v>
      </c>
      <c r="AN45" s="66">
        <f t="shared" ref="AN45" si="300">+AO49*AN12</f>
        <v>17268.410204999996</v>
      </c>
      <c r="AO45" s="32">
        <f t="shared" ref="AO45:AQ45" si="301">+AO49</f>
        <v>4.2442499999999992</v>
      </c>
      <c r="AP45" s="66">
        <f t="shared" ref="AP45" si="302">+AQ49*AP12</f>
        <v>17268.410204999996</v>
      </c>
      <c r="AQ45" s="32">
        <f t="shared" si="301"/>
        <v>4.2442499999999992</v>
      </c>
      <c r="AR45" s="66">
        <f t="shared" ref="AR45" si="303">+AS49*AR12</f>
        <v>17268.410204999996</v>
      </c>
      <c r="AS45" s="32">
        <f t="shared" ref="AS45:AU45" si="304">+AS49</f>
        <v>4.2442499999999992</v>
      </c>
      <c r="AT45" s="66">
        <f t="shared" ref="AT45" si="305">+AU49*AT12</f>
        <v>15858.619514999999</v>
      </c>
      <c r="AU45" s="32">
        <f t="shared" si="304"/>
        <v>3.8977499999999998</v>
      </c>
      <c r="AV45" s="66">
        <f t="shared" ref="AV45" si="306">+AW49*AV12</f>
        <v>15858.619514999999</v>
      </c>
      <c r="AW45" s="32">
        <f t="shared" ref="AW45" si="307">+AW49</f>
        <v>3.8977499999999998</v>
      </c>
      <c r="AX45" s="66">
        <f t="shared" ref="AX45" si="308">+AY49*AX12</f>
        <v>15858.619514999999</v>
      </c>
      <c r="AY45" s="32">
        <f t="shared" ref="AY45" si="309">+AY49</f>
        <v>3.8977499999999998</v>
      </c>
      <c r="AZ45" s="66">
        <f t="shared" ref="AZ45" si="310">+BA49*AZ12</f>
        <v>15858.619515000002</v>
      </c>
      <c r="BA45" s="32">
        <f t="shared" ref="BA45" si="311">+BA49</f>
        <v>3.8977500000000007</v>
      </c>
    </row>
    <row r="46" spans="1:53" s="4" customFormat="1" ht="18" customHeight="1" outlineLevel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27">
        <v>0</v>
      </c>
      <c r="O46" s="41"/>
      <c r="P46" s="27">
        <v>0</v>
      </c>
      <c r="Q46" s="41"/>
      <c r="R46" s="27">
        <v>0</v>
      </c>
      <c r="S46" s="41"/>
      <c r="T46" s="27">
        <v>0</v>
      </c>
      <c r="U46" s="41"/>
      <c r="V46" s="27">
        <v>0</v>
      </c>
      <c r="W46" s="41"/>
      <c r="X46" s="27">
        <v>0</v>
      </c>
      <c r="Y46" s="41"/>
      <c r="Z46" s="27">
        <v>0</v>
      </c>
      <c r="AA46" s="41"/>
      <c r="AB46" s="27">
        <v>0</v>
      </c>
      <c r="AC46" s="41"/>
      <c r="AD46" s="27">
        <v>0</v>
      </c>
      <c r="AE46" s="41"/>
      <c r="AF46" s="27">
        <v>0</v>
      </c>
      <c r="AG46" s="41"/>
      <c r="AH46" s="27">
        <v>0</v>
      </c>
      <c r="AI46" s="41"/>
      <c r="AJ46" s="27">
        <v>0</v>
      </c>
      <c r="AK46" s="41"/>
      <c r="AL46" s="27">
        <v>0</v>
      </c>
      <c r="AM46" s="41"/>
      <c r="AN46" s="27">
        <v>0</v>
      </c>
      <c r="AO46" s="41"/>
      <c r="AP46" s="27">
        <v>0</v>
      </c>
      <c r="AQ46" s="41"/>
      <c r="AR46" s="27">
        <v>0</v>
      </c>
      <c r="AS46" s="41"/>
      <c r="AT46" s="27">
        <v>0</v>
      </c>
      <c r="AU46" s="41"/>
      <c r="AV46" s="27">
        <v>0</v>
      </c>
      <c r="AW46" s="41"/>
      <c r="AX46" s="27">
        <v>0</v>
      </c>
      <c r="AY46" s="41"/>
      <c r="AZ46" s="27">
        <v>0</v>
      </c>
      <c r="BA46" s="41"/>
    </row>
    <row r="47" spans="1:53" s="4" customFormat="1" ht="18" customHeight="1" outlineLevel="1" x14ac:dyDescent="0.45">
      <c r="A47" s="561"/>
      <c r="B47" s="1183" t="s">
        <v>51</v>
      </c>
      <c r="C47" s="554" t="s">
        <v>380</v>
      </c>
      <c r="D47" s="555"/>
      <c r="E47" s="555"/>
      <c r="F47" s="60"/>
      <c r="G47" s="68"/>
      <c r="H47" s="60"/>
      <c r="I47" s="68"/>
      <c r="J47" s="60"/>
      <c r="K47" s="68"/>
      <c r="L47" s="60"/>
      <c r="M47" s="68"/>
      <c r="N47" s="60"/>
      <c r="O47" s="68"/>
      <c r="P47" s="60"/>
      <c r="Q47" s="68"/>
      <c r="R47" s="60"/>
      <c r="S47" s="68"/>
      <c r="T47" s="60"/>
      <c r="U47" s="68"/>
      <c r="V47" s="60"/>
      <c r="W47" s="68"/>
      <c r="X47" s="60"/>
      <c r="Y47" s="68"/>
      <c r="Z47" s="60"/>
      <c r="AA47" s="68"/>
      <c r="AB47" s="60"/>
      <c r="AC47" s="68"/>
      <c r="AD47" s="60"/>
      <c r="AE47" s="68"/>
      <c r="AF47" s="60"/>
      <c r="AG47" s="68"/>
      <c r="AH47" s="60"/>
      <c r="AI47" s="68"/>
      <c r="AJ47" s="60"/>
      <c r="AK47" s="68"/>
      <c r="AL47" s="60"/>
      <c r="AM47" s="68"/>
      <c r="AN47" s="60"/>
      <c r="AO47" s="68"/>
      <c r="AP47" s="60"/>
      <c r="AQ47" s="68"/>
      <c r="AR47" s="60"/>
      <c r="AS47" s="68"/>
      <c r="AT47" s="60"/>
      <c r="AU47" s="68"/>
      <c r="AV47" s="60"/>
      <c r="AW47" s="68"/>
      <c r="AX47" s="60"/>
      <c r="AY47" s="68"/>
      <c r="AZ47" s="60"/>
      <c r="BA47" s="68"/>
    </row>
    <row r="48" spans="1:53" s="4" customFormat="1" ht="18" customHeight="1" outlineLevel="1" x14ac:dyDescent="0.45">
      <c r="A48" s="561"/>
      <c r="B48" s="1184"/>
      <c r="C48" s="19" t="s">
        <v>52</v>
      </c>
      <c r="D48" s="20"/>
      <c r="E48" s="30" t="s">
        <v>53</v>
      </c>
      <c r="F48" s="69">
        <f>+F49/F10</f>
        <v>1439.0341837499998</v>
      </c>
      <c r="G48" s="70">
        <f>+G49/G10</f>
        <v>0.35368749999999993</v>
      </c>
      <c r="H48" s="69">
        <f t="shared" ref="H48:BA48" si="312">+H49/H10</f>
        <v>1439.0341837499998</v>
      </c>
      <c r="I48" s="70">
        <f t="shared" si="312"/>
        <v>0.35368749999999993</v>
      </c>
      <c r="J48" s="69">
        <f t="shared" si="312"/>
        <v>1439.0341837499998</v>
      </c>
      <c r="K48" s="70">
        <f t="shared" si="312"/>
        <v>0.35368749999999993</v>
      </c>
      <c r="L48" s="69">
        <f t="shared" si="312"/>
        <v>1439.0341837499998</v>
      </c>
      <c r="M48" s="70">
        <f t="shared" si="312"/>
        <v>0.35368749999999993</v>
      </c>
      <c r="N48" s="69">
        <f t="shared" si="312"/>
        <v>1439.0341837499998</v>
      </c>
      <c r="O48" s="70">
        <f t="shared" si="312"/>
        <v>0.35368749999999993</v>
      </c>
      <c r="P48" s="69">
        <f t="shared" si="312"/>
        <v>1439.0341837499998</v>
      </c>
      <c r="Q48" s="70">
        <f t="shared" si="312"/>
        <v>0.35368749999999993</v>
      </c>
      <c r="R48" s="69">
        <f t="shared" si="312"/>
        <v>1439.0341837499998</v>
      </c>
      <c r="S48" s="70">
        <f t="shared" si="312"/>
        <v>0.35368749999999993</v>
      </c>
      <c r="T48" s="69">
        <f t="shared" si="312"/>
        <v>1439.0341837499998</v>
      </c>
      <c r="U48" s="70">
        <f t="shared" si="312"/>
        <v>0.35368749999999993</v>
      </c>
      <c r="V48" s="69">
        <f t="shared" si="312"/>
        <v>1439.0341837499998</v>
      </c>
      <c r="W48" s="70">
        <f t="shared" si="312"/>
        <v>0.35368749999999993</v>
      </c>
      <c r="X48" s="69">
        <f t="shared" si="312"/>
        <v>1439.0341837499998</v>
      </c>
      <c r="Y48" s="70">
        <f t="shared" si="312"/>
        <v>0.35368749999999993</v>
      </c>
      <c r="Z48" s="69">
        <f t="shared" si="312"/>
        <v>1439.0341837499998</v>
      </c>
      <c r="AA48" s="70">
        <f t="shared" si="312"/>
        <v>0.35368749999999993</v>
      </c>
      <c r="AB48" s="69">
        <f t="shared" si="312"/>
        <v>1495.2156844106682</v>
      </c>
      <c r="AC48" s="70">
        <f t="shared" si="312"/>
        <v>0.36749585475578406</v>
      </c>
      <c r="AD48" s="69">
        <f t="shared" si="312"/>
        <v>1439.0341837499998</v>
      </c>
      <c r="AE48" s="70">
        <f t="shared" si="312"/>
        <v>0.35368749999999993</v>
      </c>
      <c r="AF48" s="69">
        <f t="shared" si="312"/>
        <v>1439.0341837499998</v>
      </c>
      <c r="AG48" s="70">
        <f t="shared" si="312"/>
        <v>0.35368749999999993</v>
      </c>
      <c r="AH48" s="69">
        <f t="shared" si="312"/>
        <v>1439.0341837499998</v>
      </c>
      <c r="AI48" s="70">
        <f t="shared" si="312"/>
        <v>0.35368749999999993</v>
      </c>
      <c r="AJ48" s="69">
        <f t="shared" si="312"/>
        <v>1439.0341837499998</v>
      </c>
      <c r="AK48" s="70">
        <f t="shared" si="312"/>
        <v>0.35368749999999993</v>
      </c>
      <c r="AL48" s="69">
        <f t="shared" si="312"/>
        <v>1439.0341837499998</v>
      </c>
      <c r="AM48" s="70">
        <f t="shared" si="312"/>
        <v>0.35368749999999993</v>
      </c>
      <c r="AN48" s="69">
        <f t="shared" si="312"/>
        <v>1439.0341837499998</v>
      </c>
      <c r="AO48" s="70">
        <f t="shared" si="312"/>
        <v>0.35368749999999993</v>
      </c>
      <c r="AP48" s="69">
        <f t="shared" si="312"/>
        <v>1439.0341837499998</v>
      </c>
      <c r="AQ48" s="70">
        <f t="shared" si="312"/>
        <v>0.35368749999999993</v>
      </c>
      <c r="AR48" s="69">
        <f t="shared" si="312"/>
        <v>1439.0341837499998</v>
      </c>
      <c r="AS48" s="70">
        <f t="shared" si="312"/>
        <v>0.35368749999999993</v>
      </c>
      <c r="AT48" s="69">
        <f t="shared" si="312"/>
        <v>1321.5516262499998</v>
      </c>
      <c r="AU48" s="70">
        <f t="shared" si="312"/>
        <v>0.3248125</v>
      </c>
      <c r="AV48" s="69">
        <f t="shared" si="312"/>
        <v>1321.5516262499998</v>
      </c>
      <c r="AW48" s="70">
        <f t="shared" si="312"/>
        <v>0.3248125</v>
      </c>
      <c r="AX48" s="69">
        <f t="shared" si="312"/>
        <v>1321.5516262499998</v>
      </c>
      <c r="AY48" s="70">
        <f t="shared" si="312"/>
        <v>0.3248125</v>
      </c>
      <c r="AZ48" s="69">
        <f t="shared" si="312"/>
        <v>1321.5516262500003</v>
      </c>
      <c r="BA48" s="70">
        <f t="shared" si="312"/>
        <v>0.32481250000000006</v>
      </c>
    </row>
    <row r="49" spans="1:53" s="4" customFormat="1" ht="18" customHeight="1" outlineLevel="1" x14ac:dyDescent="0.45">
      <c r="A49" s="561"/>
      <c r="B49" s="1184"/>
      <c r="C49" s="19" t="s">
        <v>54</v>
      </c>
      <c r="D49" s="20"/>
      <c r="E49" s="30" t="s">
        <v>53</v>
      </c>
      <c r="F49" s="69">
        <f>+G49*F12</f>
        <v>17268.410204999996</v>
      </c>
      <c r="G49" s="70">
        <f>+G50+G52+G56+G54</f>
        <v>4.2442499999999992</v>
      </c>
      <c r="H49" s="69">
        <f t="shared" ref="H49" si="313">+I49*H12</f>
        <v>17268.410204999996</v>
      </c>
      <c r="I49" s="70">
        <f t="shared" ref="I49" si="314">+I50+I52+I56+I54</f>
        <v>4.2442499999999992</v>
      </c>
      <c r="J49" s="69">
        <f t="shared" ref="J49" si="315">+K49*J12</f>
        <v>17268.410204999996</v>
      </c>
      <c r="K49" s="70">
        <f t="shared" ref="K49" si="316">+K50+K52+K56+K54</f>
        <v>4.2442499999999992</v>
      </c>
      <c r="L49" s="69">
        <f t="shared" ref="L49" si="317">+M49*L12</f>
        <v>17268.410204999996</v>
      </c>
      <c r="M49" s="70">
        <f t="shared" ref="M49" si="318">+M50+M52+M56+M54</f>
        <v>4.2442499999999992</v>
      </c>
      <c r="N49" s="69">
        <f t="shared" ref="N49" si="319">+O49*N12</f>
        <v>17268.410204999996</v>
      </c>
      <c r="O49" s="70">
        <f t="shared" ref="O49" si="320">+O50+O52+O56+O54</f>
        <v>4.2442499999999992</v>
      </c>
      <c r="P49" s="69">
        <f t="shared" ref="P49" si="321">+Q49*P12</f>
        <v>17268.410204999996</v>
      </c>
      <c r="Q49" s="70">
        <f t="shared" ref="Q49" si="322">+Q50+Q52+Q56+Q54</f>
        <v>4.2442499999999992</v>
      </c>
      <c r="R49" s="69">
        <f t="shared" ref="R49" si="323">+S49*R12</f>
        <v>17268.410204999996</v>
      </c>
      <c r="S49" s="70">
        <f t="shared" ref="S49" si="324">+S50+S52+S56+S54</f>
        <v>4.2442499999999992</v>
      </c>
      <c r="T49" s="69">
        <f t="shared" ref="T49" si="325">+U49*T12</f>
        <v>17268.410204999996</v>
      </c>
      <c r="U49" s="70">
        <f t="shared" ref="U49" si="326">+U50+U52+U56+U54</f>
        <v>4.2442499999999992</v>
      </c>
      <c r="V49" s="69">
        <f t="shared" ref="V49" si="327">+W49*V12</f>
        <v>17268.410204999996</v>
      </c>
      <c r="W49" s="70">
        <f t="shared" ref="W49" si="328">+W50+W52+W56+W54</f>
        <v>4.2442499999999992</v>
      </c>
      <c r="X49" s="69">
        <f t="shared" ref="X49" si="329">+Y49*X12</f>
        <v>17268.410204999996</v>
      </c>
      <c r="Y49" s="70">
        <f t="shared" ref="Y49" si="330">+Y50+Y52+Y56+Y54</f>
        <v>4.2442499999999992</v>
      </c>
      <c r="Z49" s="69">
        <f t="shared" ref="Z49" si="331">+AA49*Z12</f>
        <v>17268.410204999996</v>
      </c>
      <c r="AA49" s="70">
        <f t="shared" ref="AA49" si="332">+AA50+AA52+AA56+AA54</f>
        <v>4.2442499999999992</v>
      </c>
      <c r="AB49" s="69">
        <f t="shared" ref="AB49" si="333">+AC49*AB12</f>
        <v>17942.588212928018</v>
      </c>
      <c r="AC49" s="70">
        <f t="shared" ref="AC49" si="334">+AC50+AC52+AC56+AC54</f>
        <v>4.4099502570694087</v>
      </c>
      <c r="AD49" s="69">
        <f t="shared" ref="AD49" si="335">+AE49*AD12</f>
        <v>17268.410204999996</v>
      </c>
      <c r="AE49" s="70">
        <f t="shared" ref="AE49" si="336">+AE50+AE52+AE56+AE54</f>
        <v>4.2442499999999992</v>
      </c>
      <c r="AF49" s="69">
        <f t="shared" ref="AF49" si="337">+AG49*AF12</f>
        <v>17268.410204999996</v>
      </c>
      <c r="AG49" s="70">
        <f t="shared" ref="AG49" si="338">+AG50+AG52+AG56+AG54</f>
        <v>4.2442499999999992</v>
      </c>
      <c r="AH49" s="69">
        <f t="shared" ref="AH49" si="339">+AI49*AH12</f>
        <v>17268.410204999996</v>
      </c>
      <c r="AI49" s="70">
        <f t="shared" ref="AI49" si="340">+AI50+AI52+AI56+AI54</f>
        <v>4.2442499999999992</v>
      </c>
      <c r="AJ49" s="69">
        <f t="shared" ref="AJ49" si="341">+AK49*AJ12</f>
        <v>17268.410204999996</v>
      </c>
      <c r="AK49" s="70">
        <f t="shared" ref="AK49" si="342">+AK50+AK52+AK56+AK54</f>
        <v>4.2442499999999992</v>
      </c>
      <c r="AL49" s="69">
        <f t="shared" ref="AL49" si="343">+AM49*AL12</f>
        <v>17268.410204999996</v>
      </c>
      <c r="AM49" s="70">
        <f t="shared" ref="AM49" si="344">+AM50+AM52+AM56+AM54</f>
        <v>4.2442499999999992</v>
      </c>
      <c r="AN49" s="69">
        <f t="shared" ref="AN49" si="345">+AO49*AN12</f>
        <v>17268.410204999996</v>
      </c>
      <c r="AO49" s="70">
        <f t="shared" ref="AO49:AQ49" si="346">+AO50+AO52+AO56+AO54</f>
        <v>4.2442499999999992</v>
      </c>
      <c r="AP49" s="69">
        <f t="shared" ref="AP49" si="347">+AQ49*AP12</f>
        <v>17268.410204999996</v>
      </c>
      <c r="AQ49" s="70">
        <f t="shared" si="346"/>
        <v>4.2442499999999992</v>
      </c>
      <c r="AR49" s="69">
        <f t="shared" ref="AR49" si="348">+AS49*AR12</f>
        <v>17268.410204999996</v>
      </c>
      <c r="AS49" s="70">
        <f t="shared" ref="AS49:AU49" si="349">+AS50+AS52+AS56+AS54</f>
        <v>4.2442499999999992</v>
      </c>
      <c r="AT49" s="69">
        <f t="shared" ref="AT49" si="350">+AU49*AT12</f>
        <v>15858.619514999999</v>
      </c>
      <c r="AU49" s="70">
        <f t="shared" si="349"/>
        <v>3.8977499999999998</v>
      </c>
      <c r="AV49" s="69">
        <f t="shared" ref="AV49" si="351">+AW49*AV12</f>
        <v>15858.619514999999</v>
      </c>
      <c r="AW49" s="70">
        <f t="shared" ref="AW49" si="352">+AW50+AW52+AW56+AW54</f>
        <v>3.8977499999999998</v>
      </c>
      <c r="AX49" s="69">
        <f t="shared" ref="AX49" si="353">+AY49*AX12</f>
        <v>15858.619514999999</v>
      </c>
      <c r="AY49" s="70">
        <f t="shared" ref="AY49" si="354">+AY50+AY52+AY56+AY54</f>
        <v>3.8977499999999998</v>
      </c>
      <c r="AZ49" s="69">
        <f t="shared" ref="AZ49" si="355">+BA49*AZ12</f>
        <v>15858.619515000002</v>
      </c>
      <c r="BA49" s="70">
        <f t="shared" ref="BA49" si="356">+BA50+BA52+BA56+BA54</f>
        <v>3.8977500000000007</v>
      </c>
    </row>
    <row r="50" spans="1:53" s="4" customFormat="1" ht="18" customHeight="1" outlineLevel="1" x14ac:dyDescent="0.45">
      <c r="A50" s="561"/>
      <c r="B50" s="1184"/>
      <c r="C50" s="71" t="s">
        <v>55</v>
      </c>
      <c r="D50" s="16"/>
      <c r="E50" s="35" t="s">
        <v>53</v>
      </c>
      <c r="F50" s="50"/>
      <c r="G50" s="72">
        <f>+G51*G56</f>
        <v>0.16749999999999998</v>
      </c>
      <c r="H50" s="50"/>
      <c r="I50" s="72">
        <f t="shared" ref="I50" si="357">+I51*I56</f>
        <v>0.16749999999999998</v>
      </c>
      <c r="J50" s="50"/>
      <c r="K50" s="72">
        <f t="shared" ref="K50" si="358">+K51*K56</f>
        <v>0.16749999999999998</v>
      </c>
      <c r="L50" s="50"/>
      <c r="M50" s="72">
        <f t="shared" ref="M50" si="359">+M51*M56</f>
        <v>0.16749999999999998</v>
      </c>
      <c r="N50" s="50"/>
      <c r="O50" s="72">
        <f t="shared" ref="O50" si="360">+O51*O56</f>
        <v>0.16749999999999998</v>
      </c>
      <c r="P50" s="50"/>
      <c r="Q50" s="72">
        <f t="shared" ref="Q50" si="361">+Q51*Q56</f>
        <v>0.16749999999999998</v>
      </c>
      <c r="R50" s="50"/>
      <c r="S50" s="72">
        <f t="shared" ref="S50" si="362">+S51*S56</f>
        <v>0.16749999999999998</v>
      </c>
      <c r="T50" s="50"/>
      <c r="U50" s="72">
        <f t="shared" ref="U50" si="363">+U51*U56</f>
        <v>0.16749999999999998</v>
      </c>
      <c r="V50" s="50"/>
      <c r="W50" s="72">
        <f t="shared" ref="W50" si="364">+W51*W56</f>
        <v>0.16749999999999998</v>
      </c>
      <c r="X50" s="50"/>
      <c r="Y50" s="72">
        <f t="shared" ref="Y50" si="365">+Y51*Y56</f>
        <v>0.16749999999999998</v>
      </c>
      <c r="Z50" s="50"/>
      <c r="AA50" s="72">
        <f t="shared" ref="AA50" si="366">+AA51*AA56</f>
        <v>0.16749999999999998</v>
      </c>
      <c r="AB50" s="50"/>
      <c r="AC50" s="72">
        <f t="shared" ref="AC50" si="367">+AC51*AC56</f>
        <v>0.17467317130170601</v>
      </c>
      <c r="AD50" s="50"/>
      <c r="AE50" s="72">
        <f t="shared" ref="AE50" si="368">+AE51*AE56</f>
        <v>0.16749999999999998</v>
      </c>
      <c r="AF50" s="50"/>
      <c r="AG50" s="72">
        <f t="shared" ref="AG50" si="369">+AG51*AG56</f>
        <v>0.16749999999999998</v>
      </c>
      <c r="AH50" s="50"/>
      <c r="AI50" s="72">
        <f t="shared" ref="AI50" si="370">+AI51*AI56</f>
        <v>0.16749999999999998</v>
      </c>
      <c r="AJ50" s="50"/>
      <c r="AK50" s="72">
        <f t="shared" ref="AK50" si="371">+AK51*AK56</f>
        <v>0.16749999999999998</v>
      </c>
      <c r="AL50" s="50"/>
      <c r="AM50" s="72">
        <f t="shared" ref="AM50" si="372">+AM51*AM56</f>
        <v>0.16749999999999998</v>
      </c>
      <c r="AN50" s="50"/>
      <c r="AO50" s="72">
        <f t="shared" ref="AO50:AQ50" si="373">+AO51*AO56</f>
        <v>0.16749999999999998</v>
      </c>
      <c r="AP50" s="50"/>
      <c r="AQ50" s="72">
        <f t="shared" si="373"/>
        <v>0.16749999999999998</v>
      </c>
      <c r="AR50" s="50"/>
      <c r="AS50" s="72">
        <f t="shared" ref="AS50:AU50" si="374">+AS51*AS56</f>
        <v>0.16749999999999998</v>
      </c>
      <c r="AT50" s="50"/>
      <c r="AU50" s="72">
        <f t="shared" si="374"/>
        <v>0.1525</v>
      </c>
      <c r="AV50" s="50"/>
      <c r="AW50" s="72">
        <f t="shared" ref="AW50" si="375">+AW51*AW56</f>
        <v>0.1525</v>
      </c>
      <c r="AX50" s="50"/>
      <c r="AY50" s="72">
        <f t="shared" ref="AY50" si="376">+AY51*AY56</f>
        <v>0.1525</v>
      </c>
      <c r="AZ50" s="50"/>
      <c r="BA50" s="72">
        <f t="shared" ref="BA50" si="377">+BA51*BA56</f>
        <v>0.15250000000000002</v>
      </c>
    </row>
    <row r="51" spans="1:53" s="4" customFormat="1" ht="18" customHeight="1" outlineLevel="1" x14ac:dyDescent="0.45">
      <c r="A51" s="561"/>
      <c r="B51" s="1184"/>
      <c r="C51" s="15" t="s">
        <v>56</v>
      </c>
      <c r="D51" s="16"/>
      <c r="E51" s="16"/>
      <c r="F51" s="47"/>
      <c r="G51" s="1082">
        <v>0.05</v>
      </c>
      <c r="H51" s="47"/>
      <c r="I51" s="1082">
        <v>0.05</v>
      </c>
      <c r="J51" s="47"/>
      <c r="K51" s="1082">
        <v>0.05</v>
      </c>
      <c r="L51" s="47"/>
      <c r="M51" s="1082">
        <v>0.05</v>
      </c>
      <c r="N51" s="47"/>
      <c r="O51" s="1082">
        <v>0.05</v>
      </c>
      <c r="P51" s="47"/>
      <c r="Q51" s="1082">
        <v>0.05</v>
      </c>
      <c r="R51" s="47"/>
      <c r="S51" s="1082">
        <v>0.05</v>
      </c>
      <c r="T51" s="47"/>
      <c r="U51" s="1082">
        <v>0.05</v>
      </c>
      <c r="V51" s="47"/>
      <c r="W51" s="1082">
        <v>0.05</v>
      </c>
      <c r="X51" s="47"/>
      <c r="Y51" s="1082">
        <v>0.05</v>
      </c>
      <c r="Z51" s="47"/>
      <c r="AA51" s="1082">
        <v>0.05</v>
      </c>
      <c r="AB51" s="47"/>
      <c r="AC51" s="1082">
        <v>0.05</v>
      </c>
      <c r="AD51" s="47"/>
      <c r="AE51" s="1082">
        <v>0.05</v>
      </c>
      <c r="AF51" s="47"/>
      <c r="AG51" s="1082">
        <v>0.05</v>
      </c>
      <c r="AH51" s="47"/>
      <c r="AI51" s="1082">
        <v>0.05</v>
      </c>
      <c r="AJ51" s="47"/>
      <c r="AK51" s="1082">
        <v>0.05</v>
      </c>
      <c r="AL51" s="47"/>
      <c r="AM51" s="1082">
        <v>0.05</v>
      </c>
      <c r="AN51" s="47"/>
      <c r="AO51" s="1082">
        <v>0.05</v>
      </c>
      <c r="AP51" s="47"/>
      <c r="AQ51" s="1082">
        <v>0.05</v>
      </c>
      <c r="AR51" s="47"/>
      <c r="AS51" s="1082">
        <v>0.05</v>
      </c>
      <c r="AT51" s="47"/>
      <c r="AU51" s="1082">
        <v>0.05</v>
      </c>
      <c r="AV51" s="47"/>
      <c r="AW51" s="1082">
        <v>0.05</v>
      </c>
      <c r="AX51" s="47"/>
      <c r="AY51" s="1082">
        <v>0.05</v>
      </c>
      <c r="AZ51" s="47"/>
      <c r="BA51" s="1082">
        <v>0.05</v>
      </c>
    </row>
    <row r="52" spans="1:53" s="4" customFormat="1" ht="18" customHeight="1" outlineLevel="1" x14ac:dyDescent="0.45">
      <c r="A52" s="561"/>
      <c r="B52" s="1184"/>
      <c r="C52" s="71" t="s">
        <v>57</v>
      </c>
      <c r="D52" s="526">
        <v>651</v>
      </c>
      <c r="E52" s="35" t="s">
        <v>53</v>
      </c>
      <c r="F52" s="50"/>
      <c r="G52" s="72">
        <f>$D$53/G66</f>
        <v>0.375</v>
      </c>
      <c r="H52" s="50"/>
      <c r="I52" s="72">
        <f t="shared" ref="I52" si="378">$D$53/I66</f>
        <v>0.375</v>
      </c>
      <c r="J52" s="50"/>
      <c r="K52" s="72">
        <f t="shared" ref="K52" si="379">$D$53/K66</f>
        <v>0.375</v>
      </c>
      <c r="L52" s="50"/>
      <c r="M52" s="72">
        <f t="shared" ref="M52" si="380">$D$53/M66</f>
        <v>0.375</v>
      </c>
      <c r="N52" s="50"/>
      <c r="O52" s="72">
        <f t="shared" ref="O52" si="381">$D$53/O66</f>
        <v>0.375</v>
      </c>
      <c r="P52" s="50"/>
      <c r="Q52" s="72">
        <f t="shared" ref="Q52" si="382">$D$53/Q66</f>
        <v>0.375</v>
      </c>
      <c r="R52" s="50"/>
      <c r="S52" s="72">
        <f t="shared" ref="S52" si="383">$D$53/S66</f>
        <v>0.375</v>
      </c>
      <c r="T52" s="50"/>
      <c r="U52" s="72">
        <f t="shared" ref="U52" si="384">$D$53/U66</f>
        <v>0.375</v>
      </c>
      <c r="V52" s="50"/>
      <c r="W52" s="72">
        <f t="shared" ref="W52" si="385">$D$53/W66</f>
        <v>0.375</v>
      </c>
      <c r="X52" s="50"/>
      <c r="Y52" s="72">
        <f t="shared" ref="Y52" si="386">$D$53/Y66</f>
        <v>0.375</v>
      </c>
      <c r="Z52" s="50"/>
      <c r="AA52" s="72">
        <f t="shared" ref="AA52" si="387">$D$53/AA66</f>
        <v>0.375</v>
      </c>
      <c r="AB52" s="50"/>
      <c r="AC52" s="72">
        <f t="shared" ref="AC52:AI52" si="388">$D$53/AC66</f>
        <v>0.375</v>
      </c>
      <c r="AD52" s="50"/>
      <c r="AE52" s="72">
        <f t="shared" si="388"/>
        <v>0.375</v>
      </c>
      <c r="AF52" s="50"/>
      <c r="AG52" s="72">
        <f t="shared" si="388"/>
        <v>0.375</v>
      </c>
      <c r="AH52" s="50"/>
      <c r="AI52" s="72">
        <f t="shared" si="388"/>
        <v>0.375</v>
      </c>
      <c r="AJ52" s="50"/>
      <c r="AK52" s="72">
        <f t="shared" ref="AK52" si="389">$D$53/AK66</f>
        <v>0.375</v>
      </c>
      <c r="AL52" s="50"/>
      <c r="AM52" s="72">
        <f t="shared" ref="AM52" si="390">$D$53/AM66</f>
        <v>0.375</v>
      </c>
      <c r="AN52" s="50"/>
      <c r="AO52" s="72">
        <f t="shared" ref="AO52:AQ52" si="391">$D$53/AO66</f>
        <v>0.375</v>
      </c>
      <c r="AP52" s="50"/>
      <c r="AQ52" s="72">
        <f t="shared" si="391"/>
        <v>0.375</v>
      </c>
      <c r="AR52" s="50"/>
      <c r="AS52" s="72">
        <f t="shared" ref="AS52:AU52" si="392">$D$53/AS66</f>
        <v>0.375</v>
      </c>
      <c r="AT52" s="50"/>
      <c r="AU52" s="72">
        <f t="shared" si="392"/>
        <v>0.375</v>
      </c>
      <c r="AV52" s="50"/>
      <c r="AW52" s="72">
        <f t="shared" ref="AW52" si="393">$D$53/AW66</f>
        <v>0.375</v>
      </c>
      <c r="AX52" s="50"/>
      <c r="AY52" s="72">
        <f t="shared" ref="AY52" si="394">$D$53/AY66</f>
        <v>0.375</v>
      </c>
      <c r="AZ52" s="50"/>
      <c r="BA52" s="72">
        <f t="shared" ref="BA52" si="395">$D$53/BA66</f>
        <v>0.375</v>
      </c>
    </row>
    <row r="53" spans="1:53" s="4" customFormat="1" ht="18" customHeight="1" outlineLevel="1" x14ac:dyDescent="0.45">
      <c r="A53" s="561"/>
      <c r="B53" s="1184"/>
      <c r="C53" s="71" t="s">
        <v>58</v>
      </c>
      <c r="D53" s="76">
        <v>1800</v>
      </c>
      <c r="E53" s="16"/>
      <c r="F53" s="47"/>
      <c r="G53" s="1082">
        <f>G52/G56</f>
        <v>0.1119402985074627</v>
      </c>
      <c r="H53" s="47"/>
      <c r="I53" s="1082">
        <f t="shared" ref="I53" si="396">I52/I56</f>
        <v>0.1119402985074627</v>
      </c>
      <c r="J53" s="47"/>
      <c r="K53" s="1082">
        <f t="shared" ref="K53" si="397">K52/K56</f>
        <v>0.1119402985074627</v>
      </c>
      <c r="L53" s="47"/>
      <c r="M53" s="1082">
        <f t="shared" ref="M53" si="398">M52/M56</f>
        <v>0.1119402985074627</v>
      </c>
      <c r="N53" s="47"/>
      <c r="O53" s="1082">
        <f t="shared" ref="O53" si="399">O52/O56</f>
        <v>0.1119402985074627</v>
      </c>
      <c r="P53" s="47"/>
      <c r="Q53" s="1082">
        <f t="shared" ref="Q53" si="400">Q52/Q56</f>
        <v>0.1119402985074627</v>
      </c>
      <c r="R53" s="47"/>
      <c r="S53" s="1082">
        <f t="shared" ref="S53" si="401">S52/S56</f>
        <v>0.1119402985074627</v>
      </c>
      <c r="T53" s="47"/>
      <c r="U53" s="1082">
        <f t="shared" ref="U53" si="402">U52/U56</f>
        <v>0.1119402985074627</v>
      </c>
      <c r="V53" s="47"/>
      <c r="W53" s="1082">
        <f t="shared" ref="W53" si="403">W52/W56</f>
        <v>0.1119402985074627</v>
      </c>
      <c r="X53" s="47"/>
      <c r="Y53" s="1082">
        <f t="shared" ref="Y53" si="404">Y52/Y56</f>
        <v>0.1119402985074627</v>
      </c>
      <c r="Z53" s="47"/>
      <c r="AA53" s="1082">
        <f t="shared" ref="AA53" si="405">AA52/AA56</f>
        <v>0.1119402985074627</v>
      </c>
      <c r="AB53" s="47"/>
      <c r="AC53" s="1082">
        <f t="shared" ref="AC53" si="406">AC52/AC56</f>
        <v>0.10734333074890975</v>
      </c>
      <c r="AD53" s="47"/>
      <c r="AE53" s="1082">
        <f t="shared" ref="AE53" si="407">AE52/AE56</f>
        <v>0.1119402985074627</v>
      </c>
      <c r="AF53" s="47"/>
      <c r="AG53" s="1082">
        <f t="shared" ref="AG53" si="408">AG52/AG56</f>
        <v>0.1119402985074627</v>
      </c>
      <c r="AH53" s="47"/>
      <c r="AI53" s="1082">
        <f t="shared" ref="AI53" si="409">AI52/AI56</f>
        <v>0.1119402985074627</v>
      </c>
      <c r="AJ53" s="47"/>
      <c r="AK53" s="1082">
        <f t="shared" ref="AK53" si="410">AK52/AK56</f>
        <v>0.1119402985074627</v>
      </c>
      <c r="AL53" s="47"/>
      <c r="AM53" s="1082">
        <f t="shared" ref="AM53" si="411">AM52/AM56</f>
        <v>0.1119402985074627</v>
      </c>
      <c r="AN53" s="47"/>
      <c r="AO53" s="1082">
        <f t="shared" ref="AO53:AQ53" si="412">AO52/AO56</f>
        <v>0.1119402985074627</v>
      </c>
      <c r="AP53" s="47"/>
      <c r="AQ53" s="1082">
        <f t="shared" si="412"/>
        <v>0.1119402985074627</v>
      </c>
      <c r="AR53" s="47"/>
      <c r="AS53" s="1082">
        <f t="shared" ref="AS53:AU53" si="413">AS52/AS56</f>
        <v>0.1119402985074627</v>
      </c>
      <c r="AT53" s="47"/>
      <c r="AU53" s="1082">
        <f t="shared" si="413"/>
        <v>0.12295081967213116</v>
      </c>
      <c r="AV53" s="47"/>
      <c r="AW53" s="1082">
        <f t="shared" ref="AW53" si="414">AW52/AW56</f>
        <v>0.12295081967213116</v>
      </c>
      <c r="AX53" s="47"/>
      <c r="AY53" s="1082">
        <f t="shared" ref="AY53" si="415">AY52/AY56</f>
        <v>0.12295081967213116</v>
      </c>
      <c r="AZ53" s="47"/>
      <c r="BA53" s="1082">
        <f t="shared" ref="BA53" si="416">BA52/BA56</f>
        <v>0.12295081967213113</v>
      </c>
    </row>
    <row r="54" spans="1:53" s="4" customFormat="1" ht="18" customHeight="1" outlineLevel="1" x14ac:dyDescent="0.45">
      <c r="A54" s="561"/>
      <c r="B54" s="1184"/>
      <c r="C54" s="77" t="s">
        <v>59</v>
      </c>
      <c r="D54" s="76"/>
      <c r="E54" s="16"/>
      <c r="F54" s="73"/>
      <c r="G54" s="72">
        <f>(G55*(G56+G50))</f>
        <v>0.35175000000000001</v>
      </c>
      <c r="H54" s="73"/>
      <c r="I54" s="72">
        <f t="shared" ref="I54" si="417">(I55*(I56+I50))</f>
        <v>0.35175000000000001</v>
      </c>
      <c r="J54" s="73"/>
      <c r="K54" s="72">
        <f t="shared" ref="K54" si="418">(K55*(K56+K50))</f>
        <v>0.35175000000000001</v>
      </c>
      <c r="L54" s="73"/>
      <c r="M54" s="72">
        <f t="shared" ref="M54" si="419">(M55*(M56+M50))</f>
        <v>0.35175000000000001</v>
      </c>
      <c r="N54" s="73"/>
      <c r="O54" s="72">
        <f t="shared" ref="O54" si="420">(O55*(O56+O50))</f>
        <v>0.35175000000000001</v>
      </c>
      <c r="P54" s="73"/>
      <c r="Q54" s="72">
        <f t="shared" ref="Q54" si="421">(Q55*(Q56+Q50))</f>
        <v>0.35175000000000001</v>
      </c>
      <c r="R54" s="73"/>
      <c r="S54" s="72">
        <f t="shared" ref="S54" si="422">(S55*(S56+S50))</f>
        <v>0.35175000000000001</v>
      </c>
      <c r="T54" s="73"/>
      <c r="U54" s="72">
        <f t="shared" ref="U54" si="423">(U55*(U56+U50))</f>
        <v>0.35175000000000001</v>
      </c>
      <c r="V54" s="73"/>
      <c r="W54" s="72">
        <f t="shared" ref="W54" si="424">(W55*(W56+W50))</f>
        <v>0.35175000000000001</v>
      </c>
      <c r="X54" s="73"/>
      <c r="Y54" s="72">
        <f t="shared" ref="Y54" si="425">(Y55*(Y56+Y50))</f>
        <v>0.35175000000000001</v>
      </c>
      <c r="Z54" s="73"/>
      <c r="AA54" s="72">
        <f t="shared" ref="AA54" si="426">(AA55*(AA56+AA50))</f>
        <v>0.35175000000000001</v>
      </c>
      <c r="AB54" s="73"/>
      <c r="AC54" s="72">
        <f t="shared" ref="AC54" si="427">(AC55*(AC56+AC50))</f>
        <v>0.36681365973358265</v>
      </c>
      <c r="AD54" s="73"/>
      <c r="AE54" s="72">
        <f t="shared" ref="AE54" si="428">(AE55*(AE56+AE50))</f>
        <v>0.35175000000000001</v>
      </c>
      <c r="AF54" s="73"/>
      <c r="AG54" s="72">
        <f t="shared" ref="AG54" si="429">(AG55*(AG56+AG50))</f>
        <v>0.35175000000000001</v>
      </c>
      <c r="AH54" s="73"/>
      <c r="AI54" s="72">
        <f t="shared" ref="AI54" si="430">(AI55*(AI56+AI50))</f>
        <v>0.35175000000000001</v>
      </c>
      <c r="AJ54" s="73"/>
      <c r="AK54" s="72">
        <f t="shared" ref="AK54" si="431">(AK55*(AK56+AK50))</f>
        <v>0.35175000000000001</v>
      </c>
      <c r="AL54" s="73"/>
      <c r="AM54" s="72">
        <f t="shared" ref="AM54" si="432">(AM55*(AM56+AM50))</f>
        <v>0.35175000000000001</v>
      </c>
      <c r="AN54" s="73"/>
      <c r="AO54" s="72">
        <f t="shared" ref="AO54:AQ54" si="433">(AO55*(AO56+AO50))</f>
        <v>0.35175000000000001</v>
      </c>
      <c r="AP54" s="73"/>
      <c r="AQ54" s="72">
        <f t="shared" si="433"/>
        <v>0.35175000000000001</v>
      </c>
      <c r="AR54" s="73"/>
      <c r="AS54" s="72">
        <f t="shared" ref="AS54:AU54" si="434">(AS55*(AS56+AS50))</f>
        <v>0.35175000000000001</v>
      </c>
      <c r="AT54" s="73"/>
      <c r="AU54" s="72">
        <f t="shared" si="434"/>
        <v>0.32024999999999998</v>
      </c>
      <c r="AV54" s="73"/>
      <c r="AW54" s="72">
        <f t="shared" ref="AW54" si="435">(AW55*(AW56+AW50))</f>
        <v>0.32024999999999998</v>
      </c>
      <c r="AX54" s="73"/>
      <c r="AY54" s="72">
        <f t="shared" ref="AY54" si="436">(AY55*(AY56+AY50))</f>
        <v>0.32024999999999998</v>
      </c>
      <c r="AZ54" s="73"/>
      <c r="BA54" s="72">
        <f t="shared" ref="BA54" si="437">(BA55*(BA56+BA50))</f>
        <v>0.32025000000000003</v>
      </c>
    </row>
    <row r="55" spans="1:53" s="4" customFormat="1" ht="18" customHeight="1" outlineLevel="1" x14ac:dyDescent="0.45">
      <c r="A55" s="561"/>
      <c r="B55" s="1184"/>
      <c r="C55" s="77" t="s">
        <v>60</v>
      </c>
      <c r="D55" s="76"/>
      <c r="E55" s="16"/>
      <c r="F55" s="47"/>
      <c r="G55" s="1082">
        <v>0.1</v>
      </c>
      <c r="H55" s="47"/>
      <c r="I55" s="1082">
        <v>0.1</v>
      </c>
      <c r="J55" s="47"/>
      <c r="K55" s="1082">
        <v>0.1</v>
      </c>
      <c r="L55" s="47"/>
      <c r="M55" s="1082">
        <v>0.1</v>
      </c>
      <c r="N55" s="47"/>
      <c r="O55" s="1082">
        <v>0.1</v>
      </c>
      <c r="P55" s="47"/>
      <c r="Q55" s="1082">
        <v>0.1</v>
      </c>
      <c r="R55" s="47"/>
      <c r="S55" s="1082">
        <v>0.1</v>
      </c>
      <c r="T55" s="47"/>
      <c r="U55" s="1082">
        <v>0.1</v>
      </c>
      <c r="V55" s="47"/>
      <c r="W55" s="1082">
        <v>0.1</v>
      </c>
      <c r="X55" s="47"/>
      <c r="Y55" s="1082">
        <v>0.1</v>
      </c>
      <c r="Z55" s="47"/>
      <c r="AA55" s="1082">
        <v>0.1</v>
      </c>
      <c r="AB55" s="47"/>
      <c r="AC55" s="1082">
        <v>0.1</v>
      </c>
      <c r="AD55" s="47"/>
      <c r="AE55" s="1082">
        <v>0.1</v>
      </c>
      <c r="AF55" s="47"/>
      <c r="AG55" s="1082">
        <v>0.1</v>
      </c>
      <c r="AH55" s="47"/>
      <c r="AI55" s="1082">
        <v>0.1</v>
      </c>
      <c r="AJ55" s="47"/>
      <c r="AK55" s="1082">
        <v>0.1</v>
      </c>
      <c r="AL55" s="47"/>
      <c r="AM55" s="1082">
        <v>0.1</v>
      </c>
      <c r="AN55" s="47"/>
      <c r="AO55" s="1082">
        <v>0.1</v>
      </c>
      <c r="AP55" s="47"/>
      <c r="AQ55" s="1082">
        <v>0.1</v>
      </c>
      <c r="AR55" s="47"/>
      <c r="AS55" s="1082">
        <v>0.1</v>
      </c>
      <c r="AT55" s="47"/>
      <c r="AU55" s="1082">
        <v>0.1</v>
      </c>
      <c r="AV55" s="47"/>
      <c r="AW55" s="1082">
        <v>0.1</v>
      </c>
      <c r="AX55" s="47"/>
      <c r="AY55" s="1082">
        <v>0.1</v>
      </c>
      <c r="AZ55" s="47"/>
      <c r="BA55" s="1082">
        <v>0.1</v>
      </c>
    </row>
    <row r="56" spans="1:53" s="4" customFormat="1" ht="18" customHeight="1" outlineLevel="1" x14ac:dyDescent="0.45">
      <c r="A56" s="561"/>
      <c r="B56" s="1184"/>
      <c r="C56" s="78" t="s">
        <v>61</v>
      </c>
      <c r="D56" s="79"/>
      <c r="E56" s="80" t="s">
        <v>53</v>
      </c>
      <c r="F56" s="81"/>
      <c r="G56" s="82">
        <f>G60-G57+G58</f>
        <v>3.3499999999999996</v>
      </c>
      <c r="H56" s="81"/>
      <c r="I56" s="82">
        <f t="shared" ref="I56" si="438">I60-I57+I58</f>
        <v>3.3499999999999996</v>
      </c>
      <c r="J56" s="81"/>
      <c r="K56" s="82">
        <f t="shared" ref="K56" si="439">K60-K57+K58</f>
        <v>3.3499999999999996</v>
      </c>
      <c r="L56" s="81"/>
      <c r="M56" s="82">
        <f t="shared" ref="M56" si="440">M60-M57+M58</f>
        <v>3.3499999999999996</v>
      </c>
      <c r="N56" s="81"/>
      <c r="O56" s="82">
        <f t="shared" ref="O56" si="441">O60-O57+O58</f>
        <v>3.3499999999999996</v>
      </c>
      <c r="P56" s="81"/>
      <c r="Q56" s="82">
        <f t="shared" ref="Q56" si="442">Q60-Q57+Q58</f>
        <v>3.3499999999999996</v>
      </c>
      <c r="R56" s="81"/>
      <c r="S56" s="82">
        <f t="shared" ref="S56" si="443">S60-S57+S58</f>
        <v>3.3499999999999996</v>
      </c>
      <c r="T56" s="81"/>
      <c r="U56" s="82">
        <f t="shared" ref="U56" si="444">U60-U57+U58</f>
        <v>3.3499999999999996</v>
      </c>
      <c r="V56" s="81"/>
      <c r="W56" s="82">
        <f t="shared" ref="W56" si="445">W60-W57+W58</f>
        <v>3.3499999999999996</v>
      </c>
      <c r="X56" s="81"/>
      <c r="Y56" s="82">
        <f t="shared" ref="Y56" si="446">Y60-Y57+Y58</f>
        <v>3.3499999999999996</v>
      </c>
      <c r="Z56" s="81"/>
      <c r="AA56" s="82">
        <f t="shared" ref="AA56" si="447">AA60-AA57+AA58</f>
        <v>3.3499999999999996</v>
      </c>
      <c r="AB56" s="81"/>
      <c r="AC56" s="82">
        <f t="shared" ref="AC56" si="448">AC60-AC57+AC58</f>
        <v>3.4934634260341202</v>
      </c>
      <c r="AD56" s="81"/>
      <c r="AE56" s="82">
        <f t="shared" ref="AE56" si="449">AE60-AE57+AE58</f>
        <v>3.3499999999999996</v>
      </c>
      <c r="AF56" s="81"/>
      <c r="AG56" s="82">
        <f t="shared" ref="AG56" si="450">AG60-AG57+AG58</f>
        <v>3.3499999999999996</v>
      </c>
      <c r="AH56" s="81"/>
      <c r="AI56" s="82">
        <f t="shared" ref="AI56" si="451">AI60-AI57+AI58</f>
        <v>3.3499999999999996</v>
      </c>
      <c r="AJ56" s="81"/>
      <c r="AK56" s="82">
        <f t="shared" ref="AK56" si="452">AK60-AK57+AK58</f>
        <v>3.3499999999999996</v>
      </c>
      <c r="AL56" s="81"/>
      <c r="AM56" s="82">
        <f t="shared" ref="AM56" si="453">AM60-AM57+AM58</f>
        <v>3.3499999999999996</v>
      </c>
      <c r="AN56" s="81"/>
      <c r="AO56" s="82">
        <f t="shared" ref="AO56:AQ56" si="454">AO60-AO57+AO58</f>
        <v>3.3499999999999996</v>
      </c>
      <c r="AP56" s="81"/>
      <c r="AQ56" s="82">
        <f t="shared" si="454"/>
        <v>3.3499999999999996</v>
      </c>
      <c r="AR56" s="81"/>
      <c r="AS56" s="82">
        <f t="shared" ref="AS56:AU56" si="455">AS60-AS57+AS58</f>
        <v>3.3499999999999996</v>
      </c>
      <c r="AT56" s="81"/>
      <c r="AU56" s="82">
        <f t="shared" si="455"/>
        <v>3.05</v>
      </c>
      <c r="AV56" s="81"/>
      <c r="AW56" s="82">
        <f t="shared" ref="AW56" si="456">AW60-AW57+AW58</f>
        <v>3.05</v>
      </c>
      <c r="AX56" s="81"/>
      <c r="AY56" s="82">
        <f t="shared" ref="AY56" si="457">AY60-AY57+AY58</f>
        <v>3.05</v>
      </c>
      <c r="AZ56" s="81"/>
      <c r="BA56" s="82">
        <f t="shared" ref="BA56" si="458">BA60-BA57+BA58</f>
        <v>3.0500000000000003</v>
      </c>
    </row>
    <row r="57" spans="1:53" s="4" customFormat="1" ht="18" customHeight="1" outlineLevel="1" x14ac:dyDescent="0.45">
      <c r="A57" s="561"/>
      <c r="B57" s="1184"/>
      <c r="C57" s="83" t="s">
        <v>62</v>
      </c>
      <c r="D57" s="83"/>
      <c r="E57" s="84" t="str">
        <f>+E56</f>
        <v xml:space="preserve">USD </v>
      </c>
      <c r="F57" s="85"/>
      <c r="G57" s="86">
        <v>1.03</v>
      </c>
      <c r="H57" s="85"/>
      <c r="I57" s="86">
        <v>1.03</v>
      </c>
      <c r="J57" s="85"/>
      <c r="K57" s="86">
        <v>1.03</v>
      </c>
      <c r="L57" s="85"/>
      <c r="M57" s="86">
        <v>1.03</v>
      </c>
      <c r="N57" s="85"/>
      <c r="O57" s="86">
        <v>1.03</v>
      </c>
      <c r="P57" s="85"/>
      <c r="Q57" s="86">
        <v>1.03</v>
      </c>
      <c r="R57" s="85"/>
      <c r="S57" s="86">
        <v>1.03</v>
      </c>
      <c r="T57" s="85"/>
      <c r="U57" s="86">
        <v>1.03</v>
      </c>
      <c r="V57" s="85"/>
      <c r="W57" s="86">
        <v>1.03</v>
      </c>
      <c r="X57" s="85"/>
      <c r="Y57" s="86">
        <v>1.03</v>
      </c>
      <c r="Z57" s="85"/>
      <c r="AA57" s="86">
        <v>1.03</v>
      </c>
      <c r="AB57" s="85"/>
      <c r="AC57" s="86">
        <v>0.88653657396587981</v>
      </c>
      <c r="AD57" s="85"/>
      <c r="AE57" s="86">
        <v>1.03</v>
      </c>
      <c r="AF57" s="85"/>
      <c r="AG57" s="86">
        <v>1.03</v>
      </c>
      <c r="AH57" s="85"/>
      <c r="AI57" s="86">
        <v>1.03</v>
      </c>
      <c r="AJ57" s="85"/>
      <c r="AK57" s="86">
        <v>1.03</v>
      </c>
      <c r="AL57" s="85"/>
      <c r="AM57" s="86">
        <v>1.03</v>
      </c>
      <c r="AN57" s="85"/>
      <c r="AO57" s="86">
        <v>1.03</v>
      </c>
      <c r="AP57" s="85"/>
      <c r="AQ57" s="86">
        <v>1.03</v>
      </c>
      <c r="AR57" s="85"/>
      <c r="AS57" s="86">
        <v>1.03</v>
      </c>
      <c r="AT57" s="85"/>
      <c r="AU57" s="86">
        <v>1.33</v>
      </c>
      <c r="AV57" s="85"/>
      <c r="AW57" s="86">
        <v>1.33</v>
      </c>
      <c r="AX57" s="85"/>
      <c r="AY57" s="86">
        <v>1.33</v>
      </c>
      <c r="AZ57" s="85"/>
      <c r="BA57" s="86">
        <v>1.35</v>
      </c>
    </row>
    <row r="58" spans="1:53" s="4" customFormat="1" ht="18" customHeight="1" outlineLevel="1" x14ac:dyDescent="0.45">
      <c r="A58" s="561"/>
      <c r="B58" s="1184"/>
      <c r="C58" s="87" t="s">
        <v>63</v>
      </c>
      <c r="D58" s="83"/>
      <c r="E58" s="84" t="str">
        <f>+E57</f>
        <v xml:space="preserve">USD </v>
      </c>
      <c r="F58" s="85"/>
      <c r="G58" s="86">
        <v>0</v>
      </c>
      <c r="H58" s="85"/>
      <c r="I58" s="86">
        <v>0</v>
      </c>
      <c r="J58" s="85"/>
      <c r="K58" s="86">
        <v>0</v>
      </c>
      <c r="L58" s="85"/>
      <c r="M58" s="86">
        <v>0</v>
      </c>
      <c r="N58" s="85"/>
      <c r="O58" s="86">
        <v>0</v>
      </c>
      <c r="P58" s="85"/>
      <c r="Q58" s="86">
        <v>0</v>
      </c>
      <c r="R58" s="85"/>
      <c r="S58" s="86">
        <v>0</v>
      </c>
      <c r="T58" s="85"/>
      <c r="U58" s="86">
        <v>0</v>
      </c>
      <c r="V58" s="85"/>
      <c r="W58" s="86">
        <v>0</v>
      </c>
      <c r="X58" s="85"/>
      <c r="Y58" s="86">
        <v>0</v>
      </c>
      <c r="Z58" s="85"/>
      <c r="AA58" s="86">
        <v>0</v>
      </c>
      <c r="AB58" s="85"/>
      <c r="AC58" s="86">
        <v>0</v>
      </c>
      <c r="AD58" s="85"/>
      <c r="AE58" s="86">
        <v>0</v>
      </c>
      <c r="AF58" s="85"/>
      <c r="AG58" s="86">
        <v>0</v>
      </c>
      <c r="AH58" s="85"/>
      <c r="AI58" s="86">
        <v>0</v>
      </c>
      <c r="AJ58" s="85"/>
      <c r="AK58" s="86">
        <v>0</v>
      </c>
      <c r="AL58" s="85"/>
      <c r="AM58" s="86">
        <v>0</v>
      </c>
      <c r="AN58" s="85"/>
      <c r="AO58" s="86">
        <v>0</v>
      </c>
      <c r="AP58" s="85"/>
      <c r="AQ58" s="86">
        <v>0</v>
      </c>
      <c r="AR58" s="85"/>
      <c r="AS58" s="86">
        <v>0</v>
      </c>
      <c r="AT58" s="85"/>
      <c r="AU58" s="86">
        <v>0</v>
      </c>
      <c r="AV58" s="85"/>
      <c r="AW58" s="86">
        <v>0</v>
      </c>
      <c r="AX58" s="85"/>
      <c r="AY58" s="86">
        <v>0</v>
      </c>
      <c r="AZ58" s="85"/>
      <c r="BA58" s="86">
        <v>0</v>
      </c>
    </row>
    <row r="59" spans="1:53" s="4" customFormat="1" ht="18" customHeight="1" outlineLevel="1" x14ac:dyDescent="0.45">
      <c r="A59" s="561"/>
      <c r="B59" s="1184"/>
      <c r="C59" s="87" t="s">
        <v>64</v>
      </c>
      <c r="D59" s="83"/>
      <c r="E59" s="84" t="s">
        <v>53</v>
      </c>
      <c r="F59" s="85"/>
      <c r="G59" s="86">
        <f>+G62+G65+G67</f>
        <v>4.38</v>
      </c>
      <c r="H59" s="85"/>
      <c r="I59" s="86">
        <f t="shared" ref="I59" si="459">+I62+I65+I67</f>
        <v>4.38</v>
      </c>
      <c r="J59" s="85"/>
      <c r="K59" s="86">
        <f t="shared" ref="K59" si="460">+K62+K65+K67</f>
        <v>4.38</v>
      </c>
      <c r="L59" s="85"/>
      <c r="M59" s="86">
        <f t="shared" ref="M59" si="461">+M62+M65+M67</f>
        <v>4.38</v>
      </c>
      <c r="N59" s="85"/>
      <c r="O59" s="86">
        <f t="shared" ref="O59" si="462">+O62+O65+O67</f>
        <v>4.38</v>
      </c>
      <c r="P59" s="85"/>
      <c r="Q59" s="86">
        <f t="shared" ref="Q59" si="463">+Q62+Q65+Q67</f>
        <v>4.38</v>
      </c>
      <c r="R59" s="85"/>
      <c r="S59" s="86">
        <f t="shared" ref="S59" si="464">+S62+S65+S67</f>
        <v>4.38</v>
      </c>
      <c r="T59" s="85"/>
      <c r="U59" s="86">
        <f t="shared" ref="U59" si="465">+U62+U65+U67</f>
        <v>4.38</v>
      </c>
      <c r="V59" s="85"/>
      <c r="W59" s="86">
        <f t="shared" ref="W59" si="466">+W62+W65+W67</f>
        <v>4.38</v>
      </c>
      <c r="X59" s="85"/>
      <c r="Y59" s="86">
        <f t="shared" ref="Y59" si="467">+Y62+Y65+Y67</f>
        <v>4.38</v>
      </c>
      <c r="Z59" s="85"/>
      <c r="AA59" s="86">
        <f t="shared" ref="AA59" si="468">+AA62+AA65+AA67</f>
        <v>4.38</v>
      </c>
      <c r="AB59" s="85"/>
      <c r="AC59" s="86">
        <f t="shared" ref="AC59:AI59" si="469">+AC62+AC65+AC67</f>
        <v>4.38</v>
      </c>
      <c r="AD59" s="85"/>
      <c r="AE59" s="86">
        <f t="shared" si="469"/>
        <v>4.38</v>
      </c>
      <c r="AF59" s="85"/>
      <c r="AG59" s="86">
        <f t="shared" si="469"/>
        <v>4.38</v>
      </c>
      <c r="AH59" s="85"/>
      <c r="AI59" s="86">
        <f t="shared" si="469"/>
        <v>4.38</v>
      </c>
      <c r="AJ59" s="85"/>
      <c r="AK59" s="86">
        <f t="shared" ref="AK59" si="470">+AK62+AK65+AK67</f>
        <v>4.38</v>
      </c>
      <c r="AL59" s="85"/>
      <c r="AM59" s="86">
        <f t="shared" ref="AM59" si="471">+AM62+AM65+AM67</f>
        <v>4.38</v>
      </c>
      <c r="AN59" s="85"/>
      <c r="AO59" s="86">
        <f t="shared" ref="AO59:AQ59" si="472">+AO62+AO65+AO67</f>
        <v>4.38</v>
      </c>
      <c r="AP59" s="85"/>
      <c r="AQ59" s="86">
        <f t="shared" si="472"/>
        <v>4.38</v>
      </c>
      <c r="AR59" s="85"/>
      <c r="AS59" s="86">
        <f t="shared" ref="AS59:AU59" si="473">+AS62+AS65+AS67</f>
        <v>4.38</v>
      </c>
      <c r="AT59" s="85"/>
      <c r="AU59" s="86">
        <f t="shared" si="473"/>
        <v>4.38</v>
      </c>
      <c r="AV59" s="85"/>
      <c r="AW59" s="86">
        <f t="shared" ref="AW59" si="474">+AW62+AW65+AW67</f>
        <v>4.38</v>
      </c>
      <c r="AX59" s="85"/>
      <c r="AY59" s="86">
        <f t="shared" ref="AY59" si="475">+AY62+AY65+AY67</f>
        <v>4.38</v>
      </c>
      <c r="AZ59" s="85"/>
      <c r="BA59" s="86">
        <f>+BA62+BA65+BA67</f>
        <v>4.4000000000000004</v>
      </c>
    </row>
    <row r="60" spans="1:53" s="4" customFormat="1" ht="18" customHeight="1" outlineLevel="1" x14ac:dyDescent="0.45">
      <c r="A60" s="561"/>
      <c r="B60" s="1184"/>
      <c r="C60" s="78" t="s">
        <v>65</v>
      </c>
      <c r="D60" s="79"/>
      <c r="E60" s="80" t="s">
        <v>53</v>
      </c>
      <c r="F60" s="81"/>
      <c r="G60" s="82">
        <f>G65+G67</f>
        <v>4.38</v>
      </c>
      <c r="H60" s="81"/>
      <c r="I60" s="82">
        <f t="shared" ref="I60" si="476">I65+I67</f>
        <v>4.38</v>
      </c>
      <c r="J60" s="81"/>
      <c r="K60" s="82">
        <f t="shared" ref="K60" si="477">K65+K67</f>
        <v>4.38</v>
      </c>
      <c r="L60" s="81"/>
      <c r="M60" s="82">
        <f t="shared" ref="M60" si="478">M65+M67</f>
        <v>4.38</v>
      </c>
      <c r="N60" s="81"/>
      <c r="O60" s="82">
        <f t="shared" ref="O60" si="479">O65+O67</f>
        <v>4.38</v>
      </c>
      <c r="P60" s="81"/>
      <c r="Q60" s="82">
        <f t="shared" ref="Q60" si="480">Q65+Q67</f>
        <v>4.38</v>
      </c>
      <c r="R60" s="81"/>
      <c r="S60" s="82">
        <f t="shared" ref="S60" si="481">S65+S67</f>
        <v>4.38</v>
      </c>
      <c r="T60" s="81"/>
      <c r="U60" s="82">
        <f t="shared" ref="U60" si="482">U65+U67</f>
        <v>4.38</v>
      </c>
      <c r="V60" s="81"/>
      <c r="W60" s="82">
        <f t="shared" ref="W60" si="483">W65+W67</f>
        <v>4.38</v>
      </c>
      <c r="X60" s="81"/>
      <c r="Y60" s="82">
        <f t="shared" ref="Y60" si="484">Y65+Y67</f>
        <v>4.38</v>
      </c>
      <c r="Z60" s="81"/>
      <c r="AA60" s="82">
        <f t="shared" ref="AA60" si="485">AA65+AA67</f>
        <v>4.38</v>
      </c>
      <c r="AB60" s="81"/>
      <c r="AC60" s="82">
        <f t="shared" ref="AC60:AI60" si="486">AC65+AC67</f>
        <v>4.38</v>
      </c>
      <c r="AD60" s="81"/>
      <c r="AE60" s="82">
        <f t="shared" si="486"/>
        <v>4.38</v>
      </c>
      <c r="AF60" s="81"/>
      <c r="AG60" s="82">
        <f t="shared" si="486"/>
        <v>4.38</v>
      </c>
      <c r="AH60" s="81"/>
      <c r="AI60" s="82">
        <f t="shared" si="486"/>
        <v>4.38</v>
      </c>
      <c r="AJ60" s="81"/>
      <c r="AK60" s="82">
        <f t="shared" ref="AK60" si="487">AK65+AK67</f>
        <v>4.38</v>
      </c>
      <c r="AL60" s="81"/>
      <c r="AM60" s="82">
        <f t="shared" ref="AM60" si="488">AM65+AM67</f>
        <v>4.38</v>
      </c>
      <c r="AN60" s="81"/>
      <c r="AO60" s="82">
        <f t="shared" ref="AO60:AQ60" si="489">AO65+AO67</f>
        <v>4.38</v>
      </c>
      <c r="AP60" s="81"/>
      <c r="AQ60" s="82">
        <f t="shared" si="489"/>
        <v>4.38</v>
      </c>
      <c r="AR60" s="81"/>
      <c r="AS60" s="82">
        <f t="shared" ref="AS60:AU60" si="490">AS65+AS67</f>
        <v>4.38</v>
      </c>
      <c r="AT60" s="81"/>
      <c r="AU60" s="82">
        <f t="shared" si="490"/>
        <v>4.38</v>
      </c>
      <c r="AV60" s="81"/>
      <c r="AW60" s="82">
        <f t="shared" ref="AW60" si="491">AW65+AW67</f>
        <v>4.38</v>
      </c>
      <c r="AX60" s="81"/>
      <c r="AY60" s="82">
        <f t="shared" ref="AY60" si="492">AY65+AY67</f>
        <v>4.38</v>
      </c>
      <c r="AZ60" s="81"/>
      <c r="BA60" s="82">
        <f>BA65+BA67+BA62</f>
        <v>4.4000000000000004</v>
      </c>
    </row>
    <row r="61" spans="1:53" s="4" customFormat="1" ht="18" customHeight="1" outlineLevel="2" x14ac:dyDescent="0.45">
      <c r="A61" s="561"/>
      <c r="B61" s="1184"/>
      <c r="C61" s="12" t="s">
        <v>66</v>
      </c>
      <c r="D61" s="11"/>
      <c r="E61" s="16"/>
      <c r="F61" s="42"/>
      <c r="G61" s="88"/>
      <c r="H61" s="42"/>
      <c r="I61" s="88"/>
      <c r="J61" s="42"/>
      <c r="K61" s="88"/>
      <c r="L61" s="42"/>
      <c r="M61" s="88"/>
      <c r="N61" s="42"/>
      <c r="O61" s="88"/>
      <c r="P61" s="42"/>
      <c r="Q61" s="88"/>
      <c r="R61" s="42"/>
      <c r="S61" s="88"/>
      <c r="T61" s="42"/>
      <c r="U61" s="88"/>
      <c r="V61" s="42"/>
      <c r="W61" s="88"/>
      <c r="X61" s="42"/>
      <c r="Y61" s="88"/>
      <c r="Z61" s="42"/>
      <c r="AA61" s="88"/>
      <c r="AB61" s="42"/>
      <c r="AC61" s="88"/>
      <c r="AD61" s="42"/>
      <c r="AE61" s="88"/>
      <c r="AF61" s="42"/>
      <c r="AG61" s="88"/>
      <c r="AH61" s="42"/>
      <c r="AI61" s="88"/>
      <c r="AJ61" s="42"/>
      <c r="AK61" s="88"/>
      <c r="AL61" s="42"/>
      <c r="AM61" s="88"/>
      <c r="AN61" s="42"/>
      <c r="AO61" s="88"/>
      <c r="AP61" s="42"/>
      <c r="AQ61" s="88"/>
      <c r="AR61" s="42"/>
      <c r="AS61" s="88"/>
      <c r="AT61" s="42"/>
      <c r="AU61" s="88"/>
      <c r="AV61" s="42"/>
      <c r="AW61" s="88"/>
      <c r="AX61" s="42"/>
      <c r="AY61" s="88"/>
      <c r="AZ61" s="42"/>
      <c r="BA61" s="88"/>
    </row>
    <row r="62" spans="1:53" s="4" customFormat="1" ht="18" customHeight="1" outlineLevel="2" x14ac:dyDescent="0.45">
      <c r="A62" s="561"/>
      <c r="B62" s="1184"/>
      <c r="C62" s="71" t="s">
        <v>385</v>
      </c>
      <c r="D62" s="16"/>
      <c r="E62" s="35" t="s">
        <v>68</v>
      </c>
      <c r="F62" s="89"/>
      <c r="G62" s="374">
        <v>0</v>
      </c>
      <c r="H62" s="89"/>
      <c r="I62" s="374">
        <v>0</v>
      </c>
      <c r="J62" s="89"/>
      <c r="K62" s="374">
        <v>0</v>
      </c>
      <c r="L62" s="89"/>
      <c r="M62" s="374">
        <v>0</v>
      </c>
      <c r="N62" s="89"/>
      <c r="O62" s="374">
        <v>0</v>
      </c>
      <c r="P62" s="89"/>
      <c r="Q62" s="374">
        <v>0</v>
      </c>
      <c r="R62" s="89"/>
      <c r="S62" s="374">
        <v>0</v>
      </c>
      <c r="T62" s="89"/>
      <c r="U62" s="374">
        <v>0</v>
      </c>
      <c r="V62" s="89"/>
      <c r="W62" s="374">
        <v>0</v>
      </c>
      <c r="X62" s="89"/>
      <c r="Y62" s="374">
        <v>0</v>
      </c>
      <c r="Z62" s="89"/>
      <c r="AA62" s="374">
        <v>0</v>
      </c>
      <c r="AB62" s="89"/>
      <c r="AC62" s="374">
        <v>0</v>
      </c>
      <c r="AD62" s="89"/>
      <c r="AE62" s="374">
        <v>0</v>
      </c>
      <c r="AF62" s="89"/>
      <c r="AG62" s="374">
        <v>0</v>
      </c>
      <c r="AH62" s="89"/>
      <c r="AI62" s="374">
        <v>0</v>
      </c>
      <c r="AJ62" s="89"/>
      <c r="AK62" s="374">
        <v>0</v>
      </c>
      <c r="AL62" s="89"/>
      <c r="AM62" s="374">
        <v>0</v>
      </c>
      <c r="AN62" s="89"/>
      <c r="AO62" s="374">
        <v>0</v>
      </c>
      <c r="AP62" s="89"/>
      <c r="AQ62" s="374">
        <v>0</v>
      </c>
      <c r="AR62" s="89"/>
      <c r="AS62" s="374">
        <v>0</v>
      </c>
      <c r="AT62" s="89"/>
      <c r="AU62" s="374">
        <v>0</v>
      </c>
      <c r="AV62" s="89"/>
      <c r="AW62" s="374">
        <v>0</v>
      </c>
      <c r="AX62" s="89"/>
      <c r="AY62" s="374">
        <v>0</v>
      </c>
      <c r="AZ62" s="89">
        <f>4.4-BA60</f>
        <v>0</v>
      </c>
      <c r="BA62" s="374">
        <v>-6.2499999999996447E-3</v>
      </c>
    </row>
    <row r="63" spans="1:53" s="4" customFormat="1" ht="18" customHeight="1" outlineLevel="2" x14ac:dyDescent="0.45">
      <c r="A63" s="561"/>
      <c r="B63" s="1184"/>
      <c r="C63" s="15" t="s">
        <v>67</v>
      </c>
      <c r="D63" s="16"/>
      <c r="E63" s="35" t="s">
        <v>68</v>
      </c>
      <c r="F63" s="89"/>
      <c r="G63" s="90">
        <f>0.0425/100*(6.2-G57)</f>
        <v>2.19725E-3</v>
      </c>
      <c r="H63" s="89"/>
      <c r="I63" s="90">
        <f t="shared" ref="I63" si="493">0.0425/100*(6.2-I57)</f>
        <v>2.19725E-3</v>
      </c>
      <c r="J63" s="89"/>
      <c r="K63" s="90">
        <f t="shared" ref="K63" si="494">0.0425/100*(6.2-K57)</f>
        <v>2.19725E-3</v>
      </c>
      <c r="L63" s="89"/>
      <c r="M63" s="90">
        <f t="shared" ref="M63" si="495">0.0425/100*(6.2-M57)</f>
        <v>2.19725E-3</v>
      </c>
      <c r="N63" s="89"/>
      <c r="O63" s="90">
        <f t="shared" ref="O63" si="496">0.0425/100*(6.2-O57)</f>
        <v>2.19725E-3</v>
      </c>
      <c r="P63" s="89"/>
      <c r="Q63" s="90">
        <f t="shared" ref="Q63" si="497">0.0425/100*(6.2-Q57)</f>
        <v>2.19725E-3</v>
      </c>
      <c r="R63" s="89"/>
      <c r="S63" s="90">
        <f t="shared" ref="S63" si="498">0.0425/100*(6.2-S57)</f>
        <v>2.19725E-3</v>
      </c>
      <c r="T63" s="89"/>
      <c r="U63" s="90">
        <f t="shared" ref="U63" si="499">0.0425/100*(6.2-U57)</f>
        <v>2.19725E-3</v>
      </c>
      <c r="V63" s="89"/>
      <c r="W63" s="90">
        <f t="shared" ref="W63" si="500">0.0425/100*(6.2-W57)</f>
        <v>2.19725E-3</v>
      </c>
      <c r="X63" s="89"/>
      <c r="Y63" s="90">
        <f t="shared" ref="Y63" si="501">0.0425/100*(6.2-Y57)</f>
        <v>2.19725E-3</v>
      </c>
      <c r="Z63" s="89"/>
      <c r="AA63" s="90">
        <f t="shared" ref="AA63" si="502">0.0425/100*(6.2-AA57)</f>
        <v>2.19725E-3</v>
      </c>
      <c r="AB63" s="89"/>
      <c r="AC63" s="90">
        <f t="shared" ref="AC63:AI63" si="503">0.0425/100*(6.2-AC57)</f>
        <v>2.2582219560645014E-3</v>
      </c>
      <c r="AD63" s="89"/>
      <c r="AE63" s="90">
        <f t="shared" si="503"/>
        <v>2.19725E-3</v>
      </c>
      <c r="AF63" s="89"/>
      <c r="AG63" s="90">
        <f t="shared" si="503"/>
        <v>2.19725E-3</v>
      </c>
      <c r="AH63" s="89"/>
      <c r="AI63" s="90">
        <f t="shared" si="503"/>
        <v>2.19725E-3</v>
      </c>
      <c r="AJ63" s="89"/>
      <c r="AK63" s="90">
        <f t="shared" ref="AK63" si="504">0.0425/100*(6.2-AK57)</f>
        <v>2.19725E-3</v>
      </c>
      <c r="AL63" s="89"/>
      <c r="AM63" s="90">
        <f t="shared" ref="AM63" si="505">0.0425/100*(6.2-AM57)</f>
        <v>2.19725E-3</v>
      </c>
      <c r="AN63" s="89"/>
      <c r="AO63" s="90">
        <f t="shared" ref="AO63:AQ63" si="506">0.0425/100*(6.2-AO57)</f>
        <v>2.19725E-3</v>
      </c>
      <c r="AP63" s="89"/>
      <c r="AQ63" s="90">
        <f t="shared" si="506"/>
        <v>2.19725E-3</v>
      </c>
      <c r="AR63" s="89"/>
      <c r="AS63" s="90">
        <f t="shared" ref="AS63:AU63" si="507">0.0425/100*(6.2-AS57)</f>
        <v>2.19725E-3</v>
      </c>
      <c r="AT63" s="89"/>
      <c r="AU63" s="90">
        <f t="shared" si="507"/>
        <v>2.0697500000000004E-3</v>
      </c>
      <c r="AV63" s="89"/>
      <c r="AW63" s="90">
        <f t="shared" ref="AW63" si="508">0.0425/100*(6.2-AW57)</f>
        <v>2.0697500000000004E-3</v>
      </c>
      <c r="AX63" s="89"/>
      <c r="AY63" s="90">
        <f t="shared" ref="AY63:BA63" si="509">0.0425/100*(6.2-AY57)</f>
        <v>2.0697500000000004E-3</v>
      </c>
      <c r="BA63" s="90">
        <f t="shared" si="509"/>
        <v>2.0612500000000001E-3</v>
      </c>
    </row>
    <row r="64" spans="1:53" s="4" customFormat="1" ht="18" customHeight="1" outlineLevel="2" x14ac:dyDescent="0.45">
      <c r="A64" s="561"/>
      <c r="B64" s="1184"/>
      <c r="C64" s="15" t="s">
        <v>69</v>
      </c>
      <c r="D64" s="34" t="s">
        <v>70</v>
      </c>
      <c r="E64" s="16"/>
      <c r="F64" s="42"/>
      <c r="G64" s="91">
        <v>1200</v>
      </c>
      <c r="H64" s="42"/>
      <c r="I64" s="91">
        <v>1200</v>
      </c>
      <c r="J64" s="42"/>
      <c r="K64" s="91">
        <v>1200</v>
      </c>
      <c r="L64" s="42"/>
      <c r="M64" s="91">
        <v>1200</v>
      </c>
      <c r="N64" s="42"/>
      <c r="O64" s="91">
        <v>1200</v>
      </c>
      <c r="P64" s="42"/>
      <c r="Q64" s="91">
        <v>1200</v>
      </c>
      <c r="R64" s="42"/>
      <c r="S64" s="91">
        <v>1200</v>
      </c>
      <c r="T64" s="42"/>
      <c r="U64" s="91">
        <v>1200</v>
      </c>
      <c r="V64" s="42"/>
      <c r="W64" s="91">
        <v>1200</v>
      </c>
      <c r="X64" s="42"/>
      <c r="Y64" s="91">
        <v>1200</v>
      </c>
      <c r="Z64" s="42"/>
      <c r="AA64" s="91">
        <v>1200</v>
      </c>
      <c r="AB64" s="42"/>
      <c r="AC64" s="91">
        <v>1200</v>
      </c>
      <c r="AD64" s="42"/>
      <c r="AE64" s="91">
        <v>1200</v>
      </c>
      <c r="AF64" s="42"/>
      <c r="AG64" s="91">
        <v>1200</v>
      </c>
      <c r="AH64" s="42"/>
      <c r="AI64" s="91">
        <v>1200</v>
      </c>
      <c r="AJ64" s="42"/>
      <c r="AK64" s="91">
        <v>1200</v>
      </c>
      <c r="AL64" s="42"/>
      <c r="AM64" s="91">
        <v>1200</v>
      </c>
      <c r="AN64" s="42"/>
      <c r="AO64" s="91">
        <v>1200</v>
      </c>
      <c r="AP64" s="42"/>
      <c r="AQ64" s="91">
        <v>1200</v>
      </c>
      <c r="AR64" s="42"/>
      <c r="AS64" s="91">
        <v>1200</v>
      </c>
      <c r="AT64" s="42"/>
      <c r="AU64" s="91">
        <v>1200</v>
      </c>
      <c r="AV64" s="42"/>
      <c r="AW64" s="91">
        <v>1200</v>
      </c>
      <c r="AX64" s="42"/>
      <c r="AY64" s="91">
        <v>1200</v>
      </c>
      <c r="AZ64" s="42"/>
      <c r="BA64" s="91">
        <v>750</v>
      </c>
    </row>
    <row r="65" spans="1:56" s="97" customFormat="1" ht="18" customHeight="1" outlineLevel="2" x14ac:dyDescent="0.45">
      <c r="A65" s="561"/>
      <c r="B65" s="1184"/>
      <c r="C65" s="92" t="str">
        <f>+C64</f>
        <v>Freight cost</v>
      </c>
      <c r="D65" s="93"/>
      <c r="E65" s="94" t="str">
        <f>+E62</f>
        <v xml:space="preserve">per carton USD </v>
      </c>
      <c r="F65" s="95"/>
      <c r="G65" s="96">
        <f>+G64/G66</f>
        <v>0.25</v>
      </c>
      <c r="H65" s="95"/>
      <c r="I65" s="96">
        <f t="shared" ref="I65" si="510">+I64/I66</f>
        <v>0.25</v>
      </c>
      <c r="J65" s="95"/>
      <c r="K65" s="96">
        <f t="shared" ref="K65" si="511">+K64/K66</f>
        <v>0.25</v>
      </c>
      <c r="L65" s="95"/>
      <c r="M65" s="96">
        <f t="shared" ref="M65" si="512">+M64/M66</f>
        <v>0.25</v>
      </c>
      <c r="N65" s="95"/>
      <c r="O65" s="96">
        <f t="shared" ref="O65" si="513">+O64/O66</f>
        <v>0.25</v>
      </c>
      <c r="P65" s="95"/>
      <c r="Q65" s="96">
        <f t="shared" ref="Q65" si="514">+Q64/Q66</f>
        <v>0.25</v>
      </c>
      <c r="R65" s="95"/>
      <c r="S65" s="96">
        <f t="shared" ref="S65" si="515">+S64/S66</f>
        <v>0.25</v>
      </c>
      <c r="T65" s="95"/>
      <c r="U65" s="96">
        <f t="shared" ref="U65" si="516">+U64/U66</f>
        <v>0.25</v>
      </c>
      <c r="V65" s="95"/>
      <c r="W65" s="96">
        <f t="shared" ref="W65" si="517">+W64/W66</f>
        <v>0.25</v>
      </c>
      <c r="X65" s="95"/>
      <c r="Y65" s="96">
        <f t="shared" ref="Y65" si="518">+Y64/Y66</f>
        <v>0.25</v>
      </c>
      <c r="Z65" s="95"/>
      <c r="AA65" s="96">
        <f t="shared" ref="AA65" si="519">+AA64/AA66</f>
        <v>0.25</v>
      </c>
      <c r="AB65" s="95"/>
      <c r="AC65" s="96">
        <f t="shared" ref="AC65" si="520">+AC64/AC66</f>
        <v>0.25</v>
      </c>
      <c r="AD65" s="95"/>
      <c r="AE65" s="96">
        <f t="shared" ref="AE65" si="521">+AE64/AE66</f>
        <v>0.25</v>
      </c>
      <c r="AF65" s="95"/>
      <c r="AG65" s="96">
        <f t="shared" ref="AG65" si="522">+AG64/AG66</f>
        <v>0.25</v>
      </c>
      <c r="AH65" s="95"/>
      <c r="AI65" s="96">
        <f t="shared" ref="AI65" si="523">+AI64/AI66</f>
        <v>0.25</v>
      </c>
      <c r="AJ65" s="95"/>
      <c r="AK65" s="96">
        <f t="shared" ref="AK65" si="524">+AK64/AK66</f>
        <v>0.25</v>
      </c>
      <c r="AL65" s="95"/>
      <c r="AM65" s="96">
        <f t="shared" ref="AM65" si="525">+AM64/AM66</f>
        <v>0.25</v>
      </c>
      <c r="AN65" s="95"/>
      <c r="AO65" s="96">
        <f t="shared" ref="AO65:AQ65" si="526">+AO64/AO66</f>
        <v>0.25</v>
      </c>
      <c r="AP65" s="95"/>
      <c r="AQ65" s="96">
        <f t="shared" si="526"/>
        <v>0.25</v>
      </c>
      <c r="AR65" s="95"/>
      <c r="AS65" s="96">
        <f t="shared" ref="AS65:AU65" si="527">+AS64/AS66</f>
        <v>0.25</v>
      </c>
      <c r="AT65" s="95"/>
      <c r="AU65" s="96">
        <f t="shared" si="527"/>
        <v>0.25</v>
      </c>
      <c r="AV65" s="95"/>
      <c r="AW65" s="96">
        <f t="shared" ref="AW65" si="528">+AW64/AW66</f>
        <v>0.25</v>
      </c>
      <c r="AX65" s="95"/>
      <c r="AY65" s="96">
        <f t="shared" ref="AY65" si="529">+AY64/AY66</f>
        <v>0.25</v>
      </c>
      <c r="AZ65" s="95"/>
      <c r="BA65" s="96">
        <f t="shared" ref="BA65" si="530">+BA64/BA66</f>
        <v>0.15625</v>
      </c>
      <c r="BC65" s="4"/>
      <c r="BD65" s="4"/>
    </row>
    <row r="66" spans="1:56" s="4" customFormat="1" ht="18" customHeight="1" outlineLevel="2" x14ac:dyDescent="0.45">
      <c r="A66" s="561"/>
      <c r="B66" s="1184"/>
      <c r="C66" s="15" t="s">
        <v>71</v>
      </c>
      <c r="D66" s="16"/>
      <c r="E66" s="35" t="s">
        <v>68</v>
      </c>
      <c r="F66" s="42"/>
      <c r="G66" s="88">
        <v>4800</v>
      </c>
      <c r="H66" s="42"/>
      <c r="I66" s="88">
        <v>4800</v>
      </c>
      <c r="J66" s="42"/>
      <c r="K66" s="88">
        <v>4800</v>
      </c>
      <c r="L66" s="42"/>
      <c r="M66" s="88">
        <v>4800</v>
      </c>
      <c r="N66" s="42"/>
      <c r="O66" s="88">
        <v>4800</v>
      </c>
      <c r="P66" s="42"/>
      <c r="Q66" s="88">
        <v>4800</v>
      </c>
      <c r="R66" s="42"/>
      <c r="S66" s="88">
        <v>4800</v>
      </c>
      <c r="T66" s="42"/>
      <c r="U66" s="88">
        <v>4800</v>
      </c>
      <c r="V66" s="42"/>
      <c r="W66" s="88">
        <v>4800</v>
      </c>
      <c r="X66" s="42"/>
      <c r="Y66" s="88">
        <v>4800</v>
      </c>
      <c r="Z66" s="42"/>
      <c r="AA66" s="88">
        <v>4800</v>
      </c>
      <c r="AB66" s="42"/>
      <c r="AC66" s="88">
        <v>4800</v>
      </c>
      <c r="AD66" s="42"/>
      <c r="AE66" s="88">
        <v>4800</v>
      </c>
      <c r="AF66" s="42"/>
      <c r="AG66" s="88">
        <v>4800</v>
      </c>
      <c r="AH66" s="42"/>
      <c r="AI66" s="88">
        <v>4800</v>
      </c>
      <c r="AJ66" s="42"/>
      <c r="AK66" s="88">
        <v>4800</v>
      </c>
      <c r="AL66" s="42"/>
      <c r="AM66" s="88">
        <v>4800</v>
      </c>
      <c r="AN66" s="42"/>
      <c r="AO66" s="88">
        <v>4800</v>
      </c>
      <c r="AP66" s="42"/>
      <c r="AQ66" s="88">
        <v>4800</v>
      </c>
      <c r="AR66" s="42"/>
      <c r="AS66" s="88">
        <v>4800</v>
      </c>
      <c r="AT66" s="42"/>
      <c r="AU66" s="88">
        <v>4800</v>
      </c>
      <c r="AV66" s="42"/>
      <c r="AW66" s="88">
        <v>4800</v>
      </c>
      <c r="AX66" s="42"/>
      <c r="AY66" s="88">
        <v>4800</v>
      </c>
      <c r="AZ66" s="42"/>
      <c r="BA66" s="88">
        <v>4800</v>
      </c>
    </row>
    <row r="67" spans="1:56" s="7" customFormat="1" ht="18" customHeight="1" outlineLevel="2" x14ac:dyDescent="0.45">
      <c r="A67" s="561"/>
      <c r="B67" s="1184"/>
      <c r="C67" s="78" t="s">
        <v>72</v>
      </c>
      <c r="D67" s="79"/>
      <c r="E67" s="80" t="s">
        <v>68</v>
      </c>
      <c r="F67" s="81"/>
      <c r="G67" s="82">
        <v>4.13</v>
      </c>
      <c r="H67" s="81"/>
      <c r="I67" s="82">
        <v>4.13</v>
      </c>
      <c r="J67" s="81"/>
      <c r="K67" s="82">
        <v>4.13</v>
      </c>
      <c r="L67" s="81"/>
      <c r="M67" s="82">
        <v>4.13</v>
      </c>
      <c r="N67" s="81"/>
      <c r="O67" s="82">
        <v>4.13</v>
      </c>
      <c r="P67" s="81"/>
      <c r="Q67" s="82">
        <v>4.13</v>
      </c>
      <c r="R67" s="81"/>
      <c r="S67" s="82">
        <v>4.13</v>
      </c>
      <c r="T67" s="81"/>
      <c r="U67" s="82">
        <v>4.13</v>
      </c>
      <c r="V67" s="81"/>
      <c r="W67" s="82">
        <v>4.13</v>
      </c>
      <c r="X67" s="81"/>
      <c r="Y67" s="82">
        <v>4.13</v>
      </c>
      <c r="Z67" s="81"/>
      <c r="AA67" s="82">
        <v>4.13</v>
      </c>
      <c r="AB67" s="81"/>
      <c r="AC67" s="82">
        <v>4.13</v>
      </c>
      <c r="AD67" s="81"/>
      <c r="AE67" s="82">
        <v>4.13</v>
      </c>
      <c r="AF67" s="81"/>
      <c r="AG67" s="82">
        <v>4.13</v>
      </c>
      <c r="AH67" s="81"/>
      <c r="AI67" s="82">
        <v>4.13</v>
      </c>
      <c r="AJ67" s="81"/>
      <c r="AK67" s="82">
        <v>4.13</v>
      </c>
      <c r="AL67" s="81"/>
      <c r="AM67" s="82">
        <v>4.13</v>
      </c>
      <c r="AN67" s="81"/>
      <c r="AO67" s="82">
        <v>4.13</v>
      </c>
      <c r="AP67" s="81"/>
      <c r="AQ67" s="82">
        <v>4.13</v>
      </c>
      <c r="AR67" s="81"/>
      <c r="AS67" s="82">
        <v>4.13</v>
      </c>
      <c r="AT67" s="81"/>
      <c r="AU67" s="82">
        <v>4.13</v>
      </c>
      <c r="AV67" s="81"/>
      <c r="AW67" s="82">
        <v>4.13</v>
      </c>
      <c r="AX67" s="81"/>
      <c r="AY67" s="82">
        <v>4.13</v>
      </c>
      <c r="AZ67" s="81"/>
      <c r="BA67" s="82">
        <f>4.13+0.12</f>
        <v>4.25</v>
      </c>
      <c r="BC67" s="4"/>
      <c r="BD67" s="4"/>
    </row>
    <row r="68" spans="1:56" s="7" customFormat="1" ht="18" customHeight="1" outlineLevel="2" x14ac:dyDescent="0.45">
      <c r="A68" s="561"/>
      <c r="B68" s="1184"/>
      <c r="C68" s="78" t="s">
        <v>73</v>
      </c>
      <c r="D68" s="79"/>
      <c r="E68" s="80" t="s">
        <v>68</v>
      </c>
      <c r="F68" s="81"/>
      <c r="G68" s="82">
        <f>G56-G65</f>
        <v>3.0999999999999996</v>
      </c>
      <c r="H68" s="81"/>
      <c r="I68" s="82">
        <f t="shared" ref="I68" si="531">I56-I65</f>
        <v>3.0999999999999996</v>
      </c>
      <c r="J68" s="81"/>
      <c r="K68" s="82">
        <f t="shared" ref="K68" si="532">K56-K65</f>
        <v>3.0999999999999996</v>
      </c>
      <c r="L68" s="81"/>
      <c r="M68" s="82">
        <f t="shared" ref="M68" si="533">M56-M65</f>
        <v>3.0999999999999996</v>
      </c>
      <c r="N68" s="81"/>
      <c r="O68" s="82">
        <f t="shared" ref="O68" si="534">O56-O65</f>
        <v>3.0999999999999996</v>
      </c>
      <c r="P68" s="81"/>
      <c r="Q68" s="82">
        <f t="shared" ref="Q68" si="535">Q56-Q65</f>
        <v>3.0999999999999996</v>
      </c>
      <c r="R68" s="81"/>
      <c r="S68" s="82">
        <f t="shared" ref="S68" si="536">S56-S65</f>
        <v>3.0999999999999996</v>
      </c>
      <c r="T68" s="81"/>
      <c r="U68" s="82">
        <f t="shared" ref="U68" si="537">U56-U65</f>
        <v>3.0999999999999996</v>
      </c>
      <c r="V68" s="81"/>
      <c r="W68" s="82">
        <f t="shared" ref="W68" si="538">W56-W65</f>
        <v>3.0999999999999996</v>
      </c>
      <c r="X68" s="81"/>
      <c r="Y68" s="82">
        <f t="shared" ref="Y68" si="539">Y56-Y65</f>
        <v>3.0999999999999996</v>
      </c>
      <c r="Z68" s="81"/>
      <c r="AA68" s="82">
        <f t="shared" ref="AA68" si="540">AA56-AA65</f>
        <v>3.0999999999999996</v>
      </c>
      <c r="AB68" s="81"/>
      <c r="AC68" s="82">
        <f t="shared" ref="AC68:AI68" si="541">AC56-AC65</f>
        <v>3.2434634260341202</v>
      </c>
      <c r="AD68" s="81"/>
      <c r="AE68" s="82">
        <f t="shared" si="541"/>
        <v>3.0999999999999996</v>
      </c>
      <c r="AF68" s="81"/>
      <c r="AG68" s="82">
        <f t="shared" si="541"/>
        <v>3.0999999999999996</v>
      </c>
      <c r="AH68" s="81"/>
      <c r="AI68" s="82">
        <f t="shared" si="541"/>
        <v>3.0999999999999996</v>
      </c>
      <c r="AJ68" s="81"/>
      <c r="AK68" s="82">
        <f t="shared" ref="AK68" si="542">AK56-AK65</f>
        <v>3.0999999999999996</v>
      </c>
      <c r="AL68" s="81"/>
      <c r="AM68" s="82">
        <f t="shared" ref="AM68" si="543">AM56-AM65</f>
        <v>3.0999999999999996</v>
      </c>
      <c r="AN68" s="81"/>
      <c r="AO68" s="82">
        <f t="shared" ref="AO68:AQ68" si="544">AO56-AO65</f>
        <v>3.0999999999999996</v>
      </c>
      <c r="AP68" s="81"/>
      <c r="AQ68" s="82">
        <f t="shared" si="544"/>
        <v>3.0999999999999996</v>
      </c>
      <c r="AR68" s="81"/>
      <c r="AS68" s="82">
        <f t="shared" ref="AS68:AU68" si="545">AS56-AS65</f>
        <v>3.0999999999999996</v>
      </c>
      <c r="AT68" s="81"/>
      <c r="AU68" s="82">
        <f t="shared" si="545"/>
        <v>2.8</v>
      </c>
      <c r="AV68" s="81"/>
      <c r="AW68" s="82">
        <f t="shared" ref="AW68" si="546">AW56-AW65</f>
        <v>2.8</v>
      </c>
      <c r="AX68" s="81"/>
      <c r="AY68" s="82">
        <f t="shared" ref="AY68" si="547">AY56-AY65</f>
        <v>2.8</v>
      </c>
      <c r="AZ68" s="81"/>
      <c r="BA68" s="82">
        <f t="shared" ref="BA68" si="548">BA56-BA65</f>
        <v>2.8937500000000003</v>
      </c>
    </row>
    <row r="69" spans="1:56" s="103" customFormat="1" ht="18" customHeight="1" outlineLevel="2" x14ac:dyDescent="0.45">
      <c r="A69" s="561"/>
      <c r="B69" s="1184"/>
      <c r="C69" s="98"/>
      <c r="D69" s="99"/>
      <c r="E69" s="100" t="s">
        <v>74</v>
      </c>
      <c r="F69" s="101"/>
      <c r="G69" s="102">
        <f>+G67/G10</f>
        <v>0.34416666666666668</v>
      </c>
      <c r="H69" s="101"/>
      <c r="I69" s="102">
        <f t="shared" ref="I69" si="549">+I67/I10</f>
        <v>0.34416666666666668</v>
      </c>
      <c r="J69" s="101"/>
      <c r="K69" s="102">
        <f t="shared" ref="K69" si="550">+K67/K10</f>
        <v>0.34416666666666668</v>
      </c>
      <c r="L69" s="101"/>
      <c r="M69" s="102">
        <f t="shared" ref="M69" si="551">+M67/M10</f>
        <v>0.34416666666666668</v>
      </c>
      <c r="N69" s="101"/>
      <c r="O69" s="102">
        <f t="shared" ref="O69" si="552">+O67/O10</f>
        <v>0.34416666666666668</v>
      </c>
      <c r="P69" s="101"/>
      <c r="Q69" s="102">
        <f t="shared" ref="Q69" si="553">+Q67/Q10</f>
        <v>0.34416666666666668</v>
      </c>
      <c r="R69" s="101"/>
      <c r="S69" s="102">
        <f t="shared" ref="S69" si="554">+S67/S10</f>
        <v>0.34416666666666668</v>
      </c>
      <c r="T69" s="101"/>
      <c r="U69" s="102">
        <f t="shared" ref="U69" si="555">+U67/U10</f>
        <v>0.34416666666666668</v>
      </c>
      <c r="V69" s="101"/>
      <c r="W69" s="102">
        <f t="shared" ref="W69" si="556">+W67/W10</f>
        <v>0.34416666666666668</v>
      </c>
      <c r="X69" s="101"/>
      <c r="Y69" s="102">
        <f t="shared" ref="Y69" si="557">+Y67/Y10</f>
        <v>0.34416666666666668</v>
      </c>
      <c r="Z69" s="101"/>
      <c r="AA69" s="102">
        <f t="shared" ref="AA69" si="558">+AA67/AA10</f>
        <v>0.34416666666666668</v>
      </c>
      <c r="AB69" s="101"/>
      <c r="AC69" s="102">
        <f t="shared" ref="AC69:AI69" si="559">+AC67/AC10</f>
        <v>0.34416666666666668</v>
      </c>
      <c r="AD69" s="101"/>
      <c r="AE69" s="102">
        <f t="shared" si="559"/>
        <v>0.34416666666666668</v>
      </c>
      <c r="AF69" s="101"/>
      <c r="AG69" s="102">
        <f t="shared" si="559"/>
        <v>0.34416666666666668</v>
      </c>
      <c r="AH69" s="101"/>
      <c r="AI69" s="102">
        <f t="shared" si="559"/>
        <v>0.34416666666666668</v>
      </c>
      <c r="AJ69" s="101"/>
      <c r="AK69" s="102">
        <f t="shared" ref="AK69" si="560">+AK67/AK10</f>
        <v>0.34416666666666668</v>
      </c>
      <c r="AL69" s="101"/>
      <c r="AM69" s="102">
        <f t="shared" ref="AM69" si="561">+AM67/AM10</f>
        <v>0.34416666666666668</v>
      </c>
      <c r="AN69" s="101"/>
      <c r="AO69" s="102">
        <f t="shared" ref="AO69:AQ69" si="562">+AO67/AO10</f>
        <v>0.34416666666666668</v>
      </c>
      <c r="AP69" s="101"/>
      <c r="AQ69" s="102">
        <f t="shared" si="562"/>
        <v>0.34416666666666668</v>
      </c>
      <c r="AR69" s="101"/>
      <c r="AS69" s="102">
        <f t="shared" ref="AS69:AU69" si="563">+AS67/AS10</f>
        <v>0.34416666666666668</v>
      </c>
      <c r="AT69" s="101"/>
      <c r="AU69" s="102">
        <f t="shared" si="563"/>
        <v>0.34416666666666668</v>
      </c>
      <c r="AV69" s="101"/>
      <c r="AW69" s="102">
        <f t="shared" ref="AW69" si="564">+AW67/AW10</f>
        <v>0.34416666666666668</v>
      </c>
      <c r="AX69" s="101"/>
      <c r="AY69" s="102">
        <f t="shared" ref="AY69" si="565">+AY67/AY10</f>
        <v>0.34416666666666668</v>
      </c>
      <c r="AZ69" s="101"/>
      <c r="BA69" s="102">
        <f t="shared" ref="BA69" si="566">+BA67/BA10</f>
        <v>0.35416666666666669</v>
      </c>
    </row>
    <row r="70" spans="1:56" s="4" customFormat="1" ht="18" customHeight="1" outlineLevel="2" thickBot="1" x14ac:dyDescent="0.5">
      <c r="A70" s="561"/>
      <c r="B70" s="1184"/>
      <c r="C70" s="104"/>
      <c r="D70" s="105"/>
      <c r="E70" s="105"/>
      <c r="F70" s="106"/>
      <c r="G70" s="107"/>
      <c r="H70" s="106"/>
      <c r="I70" s="107"/>
      <c r="J70" s="106"/>
      <c r="K70" s="107"/>
      <c r="L70" s="106"/>
      <c r="M70" s="107"/>
      <c r="N70" s="106"/>
      <c r="O70" s="107"/>
      <c r="P70" s="106"/>
      <c r="Q70" s="107"/>
      <c r="R70" s="106"/>
      <c r="S70" s="107"/>
      <c r="T70" s="106"/>
      <c r="U70" s="107"/>
      <c r="V70" s="106"/>
      <c r="W70" s="107"/>
      <c r="X70" s="106"/>
      <c r="Y70" s="107"/>
      <c r="Z70" s="106"/>
      <c r="AA70" s="107"/>
      <c r="AB70" s="106"/>
      <c r="AC70" s="107"/>
      <c r="AD70" s="106"/>
      <c r="AE70" s="107"/>
      <c r="AF70" s="106"/>
      <c r="AG70" s="107"/>
      <c r="AH70" s="106"/>
      <c r="AI70" s="107"/>
      <c r="AJ70" s="106"/>
      <c r="AK70" s="107"/>
      <c r="AL70" s="106"/>
      <c r="AM70" s="107"/>
      <c r="AN70" s="106"/>
      <c r="AO70" s="107"/>
      <c r="AP70" s="106"/>
      <c r="AQ70" s="107"/>
      <c r="AR70" s="106"/>
      <c r="AS70" s="107"/>
      <c r="AT70" s="106"/>
      <c r="AU70" s="107"/>
      <c r="AV70" s="106"/>
      <c r="AW70" s="107"/>
      <c r="AX70" s="106"/>
      <c r="AY70" s="107"/>
      <c r="AZ70" s="106"/>
      <c r="BA70" s="107"/>
    </row>
    <row r="71" spans="1:56" s="4" customFormat="1" ht="18" customHeight="1" outlineLevel="1" thickTop="1" x14ac:dyDescent="0.45">
      <c r="A71" s="561"/>
      <c r="B71" s="1240" t="s">
        <v>75</v>
      </c>
      <c r="C71" s="110" t="s">
        <v>76</v>
      </c>
      <c r="D71" s="109"/>
      <c r="E71" s="110" t="s">
        <v>77</v>
      </c>
      <c r="F71" s="111"/>
      <c r="G71" s="112">
        <f>G74+G72</f>
        <v>2.6321636936412749</v>
      </c>
      <c r="H71" s="111"/>
      <c r="I71" s="112">
        <f t="shared" ref="I71" si="567">I74+I72</f>
        <v>2.7731379431141159</v>
      </c>
      <c r="J71" s="111"/>
      <c r="K71" s="112">
        <f t="shared" ref="K71" si="568">K74+K72</f>
        <v>2.7888729696645194</v>
      </c>
      <c r="L71" s="111"/>
      <c r="M71" s="112">
        <f t="shared" ref="M71" si="569">M74+M72</f>
        <v>2.7832685224048026</v>
      </c>
      <c r="N71" s="111"/>
      <c r="O71" s="112">
        <f t="shared" ref="O71" si="570">O74+O72</f>
        <v>3.0626421242258033</v>
      </c>
      <c r="P71" s="111"/>
      <c r="Q71" s="112">
        <f t="shared" ref="Q71" si="571">Q74+Q72</f>
        <v>2.8483807139658475</v>
      </c>
      <c r="R71" s="111"/>
      <c r="S71" s="112">
        <f t="shared" ref="S71" si="572">S74+S72</f>
        <v>2.9499839530282932</v>
      </c>
      <c r="T71" s="111"/>
      <c r="U71" s="112">
        <f t="shared" ref="U71" si="573">U74+U72</f>
        <v>2.841120156500335</v>
      </c>
      <c r="V71" s="111"/>
      <c r="W71" s="112">
        <f t="shared" ref="W71" si="574">W74+W72</f>
        <v>2.6814020034459154</v>
      </c>
      <c r="X71" s="111"/>
      <c r="Y71" s="112">
        <f t="shared" ref="Y71" si="575">Y74+Y72</f>
        <v>2.6639262637453816</v>
      </c>
      <c r="Z71" s="111"/>
      <c r="AA71" s="112">
        <f t="shared" ref="AA71" si="576">AA74+AA72</f>
        <v>2.6365944774294792</v>
      </c>
      <c r="AB71" s="111"/>
      <c r="AC71" s="112">
        <f t="shared" ref="AC71" si="577">AC74+AC72</f>
        <v>2.4731286226689022</v>
      </c>
      <c r="AD71" s="111"/>
      <c r="AE71" s="112">
        <f t="shared" ref="AE71" si="578">AE74+AE72</f>
        <v>2.4692732458435036</v>
      </c>
      <c r="AF71" s="111"/>
      <c r="AG71" s="112">
        <f t="shared" ref="AG71" si="579">AG74+AG72</f>
        <v>2.6807325290912183</v>
      </c>
      <c r="AH71" s="111"/>
      <c r="AI71" s="112">
        <f t="shared" ref="AI71" si="580">AI74+AI72</f>
        <v>2.4368727957320435</v>
      </c>
      <c r="AJ71" s="111"/>
      <c r="AK71" s="112">
        <f t="shared" ref="AK71" si="581">AK74+AK72</f>
        <v>2.9285253047884545</v>
      </c>
      <c r="AL71" s="111"/>
      <c r="AM71" s="112">
        <f t="shared" ref="AM71" si="582">AM74+AM72</f>
        <v>2.6130343614573626</v>
      </c>
      <c r="AN71" s="111"/>
      <c r="AO71" s="112">
        <f t="shared" ref="AO71:AQ71" si="583">AO74+AO72</f>
        <v>2.4329129006518428</v>
      </c>
      <c r="AP71" s="111"/>
      <c r="AQ71" s="112">
        <f t="shared" si="583"/>
        <v>2.4034701155880058</v>
      </c>
      <c r="AR71" s="111"/>
      <c r="AS71" s="112">
        <f t="shared" ref="AS71:AU71" si="584">AS74+AS72</f>
        <v>2.3473017575888764</v>
      </c>
      <c r="AT71" s="111"/>
      <c r="AU71" s="112">
        <f t="shared" si="584"/>
        <v>2.3488174222993954</v>
      </c>
      <c r="AV71" s="111"/>
      <c r="AW71" s="112">
        <f t="shared" ref="AW71" si="585">AW74+AW72</f>
        <v>2.2418293820590685</v>
      </c>
      <c r="AX71" s="111"/>
      <c r="AY71" s="112">
        <f t="shared" ref="AY71" si="586">AY74+AY72</f>
        <v>2.2418293820590685</v>
      </c>
      <c r="AZ71" s="111"/>
      <c r="BA71" s="112">
        <f t="shared" ref="BA71" si="587">BA74+BA72</f>
        <v>2.6583166016744872</v>
      </c>
    </row>
    <row r="72" spans="1:56" s="4" customFormat="1" ht="18" customHeight="1" outlineLevel="1" x14ac:dyDescent="0.45">
      <c r="A72" s="561"/>
      <c r="B72" s="1241"/>
      <c r="C72" s="115" t="s">
        <v>78</v>
      </c>
      <c r="D72" s="114"/>
      <c r="E72" s="115" t="s">
        <v>77</v>
      </c>
      <c r="F72" s="116"/>
      <c r="G72" s="117">
        <v>3.2174117587233694E-2</v>
      </c>
      <c r="H72" s="116"/>
      <c r="I72" s="117">
        <v>4.2385511597152363E-2</v>
      </c>
      <c r="J72" s="116"/>
      <c r="K72" s="117">
        <v>4.7008795934724318E-2</v>
      </c>
      <c r="L72" s="116"/>
      <c r="M72" s="117">
        <v>3.27102564144914E-2</v>
      </c>
      <c r="N72" s="116"/>
      <c r="O72" s="117">
        <v>3.9379634930487628E-2</v>
      </c>
      <c r="P72" s="116"/>
      <c r="Q72" s="117">
        <v>5.5289409910073459E-2</v>
      </c>
      <c r="R72" s="116"/>
      <c r="S72" s="117">
        <v>3.7026555104111576E-2</v>
      </c>
      <c r="T72" s="116"/>
      <c r="U72" s="117">
        <v>4.6053911221776087E-2</v>
      </c>
      <c r="V72" s="116"/>
      <c r="W72" s="117">
        <v>3.6437002896041883E-2</v>
      </c>
      <c r="X72" s="116"/>
      <c r="Y72" s="117">
        <v>3.6232045313884506E-2</v>
      </c>
      <c r="Z72" s="116"/>
      <c r="AA72" s="117">
        <v>3.762920411638352E-2</v>
      </c>
      <c r="AB72" s="116"/>
      <c r="AC72" s="117">
        <v>3.7290225820679868E-2</v>
      </c>
      <c r="AD72" s="116"/>
      <c r="AE72" s="117">
        <v>3.7674571848760982E-2</v>
      </c>
      <c r="AF72" s="116"/>
      <c r="AG72" s="117">
        <v>3.5916699060394838E-2</v>
      </c>
      <c r="AH72" s="116"/>
      <c r="AI72" s="117">
        <v>3.4515512472343586E-2</v>
      </c>
      <c r="AJ72" s="116"/>
      <c r="AK72" s="117">
        <v>3.8525334961093421E-2</v>
      </c>
      <c r="AL72" s="116"/>
      <c r="AM72" s="117">
        <v>3.4823995077044194E-2</v>
      </c>
      <c r="AN72" s="116"/>
      <c r="AO72" s="117">
        <v>3.9421599686285703E-2</v>
      </c>
      <c r="AP72" s="116"/>
      <c r="AQ72" s="117">
        <v>3.4949016182977286E-2</v>
      </c>
      <c r="AR72" s="116"/>
      <c r="AS72" s="117">
        <v>3.4515512472343586E-2</v>
      </c>
      <c r="AT72" s="116"/>
      <c r="AU72" s="117">
        <v>3.6031177182862521E-2</v>
      </c>
      <c r="AV72" s="116"/>
      <c r="AW72" s="117">
        <v>3.8316601674487173E-2</v>
      </c>
      <c r="AX72" s="116"/>
      <c r="AY72" s="117">
        <f>AW72</f>
        <v>3.8316601674487173E-2</v>
      </c>
      <c r="AZ72" s="116"/>
      <c r="BA72" s="117">
        <f>AY72</f>
        <v>3.8316601674487173E-2</v>
      </c>
    </row>
    <row r="73" spans="1:56" s="4" customFormat="1" ht="18" customHeight="1" outlineLevel="1" x14ac:dyDescent="0.45">
      <c r="A73" s="561"/>
      <c r="B73" s="1241"/>
      <c r="C73" s="16"/>
      <c r="D73" s="16"/>
      <c r="E73" s="16"/>
      <c r="F73" s="42"/>
      <c r="G73" s="118"/>
      <c r="H73" s="42"/>
      <c r="I73" s="118"/>
      <c r="J73" s="42"/>
      <c r="K73" s="118"/>
      <c r="L73" s="42"/>
      <c r="M73" s="118"/>
      <c r="N73" s="42"/>
      <c r="O73" s="118"/>
      <c r="P73" s="42"/>
      <c r="Q73" s="118"/>
      <c r="R73" s="42"/>
      <c r="S73" s="118"/>
      <c r="T73" s="42"/>
      <c r="U73" s="118"/>
      <c r="V73" s="42"/>
      <c r="W73" s="118"/>
      <c r="X73" s="42"/>
      <c r="Y73" s="118"/>
      <c r="Z73" s="42"/>
      <c r="AA73" s="118"/>
      <c r="AB73" s="42"/>
      <c r="AC73" s="118"/>
      <c r="AD73" s="42"/>
      <c r="AE73" s="118"/>
      <c r="AF73" s="42"/>
      <c r="AG73" s="118"/>
      <c r="AH73" s="42"/>
      <c r="AI73" s="118"/>
      <c r="AJ73" s="42"/>
      <c r="AK73" s="118"/>
      <c r="AL73" s="42"/>
      <c r="AM73" s="118"/>
      <c r="AN73" s="42"/>
      <c r="AO73" s="118"/>
      <c r="AP73" s="42"/>
      <c r="AQ73" s="118"/>
      <c r="AR73" s="42"/>
      <c r="AS73" s="118"/>
      <c r="AT73" s="42"/>
      <c r="AU73" s="118"/>
      <c r="AV73" s="42"/>
      <c r="AW73" s="118"/>
      <c r="AX73" s="42"/>
      <c r="AY73" s="118"/>
      <c r="AZ73" s="42"/>
      <c r="BA73" s="118"/>
    </row>
    <row r="74" spans="1:56" s="4" customFormat="1" ht="18" customHeight="1" outlineLevel="1" x14ac:dyDescent="0.45">
      <c r="A74" s="561"/>
      <c r="B74" s="1241"/>
      <c r="C74" s="20" t="s">
        <v>79</v>
      </c>
      <c r="D74" s="20"/>
      <c r="E74" s="30" t="str">
        <f>+E67</f>
        <v xml:space="preserve">per carton USD </v>
      </c>
      <c r="F74" s="66"/>
      <c r="G74" s="70">
        <v>2.5999895760540412</v>
      </c>
      <c r="H74" s="66"/>
      <c r="I74" s="70">
        <v>2.7307524315169633</v>
      </c>
      <c r="J74" s="66"/>
      <c r="K74" s="70">
        <v>2.7418641737297951</v>
      </c>
      <c r="L74" s="66"/>
      <c r="M74" s="70">
        <v>2.7505582659903114</v>
      </c>
      <c r="N74" s="66"/>
      <c r="O74" s="70">
        <v>3.0232624892953157</v>
      </c>
      <c r="P74" s="66"/>
      <c r="Q74" s="70">
        <v>2.7930913040557739</v>
      </c>
      <c r="R74" s="66"/>
      <c r="S74" s="70">
        <v>2.9129573979241816</v>
      </c>
      <c r="T74" s="66"/>
      <c r="U74" s="70">
        <v>2.7950662452785591</v>
      </c>
      <c r="V74" s="66"/>
      <c r="W74" s="70">
        <v>2.6449650005498735</v>
      </c>
      <c r="X74" s="66"/>
      <c r="Y74" s="70">
        <v>2.6276942184314969</v>
      </c>
      <c r="Z74" s="66"/>
      <c r="AA74" s="70">
        <v>2.5989652733130955</v>
      </c>
      <c r="AB74" s="66"/>
      <c r="AC74" s="70">
        <v>2.4358383968482222</v>
      </c>
      <c r="AD74" s="66"/>
      <c r="AE74" s="70">
        <v>2.4315986739947428</v>
      </c>
      <c r="AF74" s="66"/>
      <c r="AG74" s="70">
        <v>2.6448158300308235</v>
      </c>
      <c r="AH74" s="66"/>
      <c r="AI74" s="70">
        <v>2.4023572832597</v>
      </c>
      <c r="AJ74" s="66"/>
      <c r="AK74" s="70">
        <v>2.8899999698273611</v>
      </c>
      <c r="AL74" s="66"/>
      <c r="AM74" s="70">
        <v>2.5782103663803184</v>
      </c>
      <c r="AN74" s="66"/>
      <c r="AO74" s="70">
        <v>2.393491300965557</v>
      </c>
      <c r="AP74" s="66"/>
      <c r="AQ74" s="70">
        <v>2.3685210994050285</v>
      </c>
      <c r="AR74" s="66"/>
      <c r="AS74" s="70">
        <v>2.3127862451165329</v>
      </c>
      <c r="AT74" s="66"/>
      <c r="AU74" s="70">
        <v>2.3127862451165329</v>
      </c>
      <c r="AV74" s="66"/>
      <c r="AW74" s="70">
        <v>2.2035127803845813</v>
      </c>
      <c r="AX74" s="66"/>
      <c r="AY74" s="70">
        <f>AW74</f>
        <v>2.2035127803845813</v>
      </c>
      <c r="AZ74" s="66"/>
      <c r="BA74" s="70">
        <v>2.62</v>
      </c>
    </row>
    <row r="75" spans="1:56" s="97" customFormat="1" ht="18" customHeight="1" outlineLevel="1" x14ac:dyDescent="0.45">
      <c r="A75" s="561"/>
      <c r="B75" s="1241"/>
      <c r="C75" s="122"/>
      <c r="D75" s="122"/>
      <c r="E75" s="123" t="str">
        <f>+E69</f>
        <v xml:space="preserve">per pack USD </v>
      </c>
      <c r="F75" s="124"/>
      <c r="G75" s="125">
        <f>+G74/G10</f>
        <v>0.21666579800450345</v>
      </c>
      <c r="H75" s="124"/>
      <c r="I75" s="125">
        <f t="shared" ref="I75" si="588">+I74/I10</f>
        <v>0.22756270262641362</v>
      </c>
      <c r="J75" s="124"/>
      <c r="K75" s="125">
        <f t="shared" ref="K75" si="589">+K74/K10</f>
        <v>0.22848868114414958</v>
      </c>
      <c r="L75" s="124"/>
      <c r="M75" s="125">
        <f t="shared" ref="M75" si="590">+M74/M10</f>
        <v>0.22921318883252595</v>
      </c>
      <c r="N75" s="124"/>
      <c r="O75" s="125">
        <f t="shared" ref="O75" si="591">+O74/O10</f>
        <v>0.25193854077460964</v>
      </c>
      <c r="P75" s="124"/>
      <c r="Q75" s="125">
        <f t="shared" ref="Q75" si="592">+Q74/Q10</f>
        <v>0.23275760867131448</v>
      </c>
      <c r="R75" s="124"/>
      <c r="S75" s="125">
        <f t="shared" ref="S75" si="593">+S74/S10</f>
        <v>0.24274644982701513</v>
      </c>
      <c r="T75" s="124"/>
      <c r="U75" s="125">
        <f t="shared" ref="U75" si="594">+U74/U10</f>
        <v>0.23292218710654658</v>
      </c>
      <c r="V75" s="124"/>
      <c r="W75" s="125">
        <f t="shared" ref="W75" si="595">+W74/W10</f>
        <v>0.22041375004582278</v>
      </c>
      <c r="X75" s="124"/>
      <c r="Y75" s="125">
        <f t="shared" ref="Y75" si="596">+Y74/Y10</f>
        <v>0.21897451820262473</v>
      </c>
      <c r="Z75" s="124"/>
      <c r="AA75" s="125">
        <f t="shared" ref="AA75" si="597">+AA74/AA10</f>
        <v>0.21658043944275795</v>
      </c>
      <c r="AB75" s="124"/>
      <c r="AC75" s="125">
        <f t="shared" ref="AC75" si="598">+AC74/AC10</f>
        <v>0.20298653307068518</v>
      </c>
      <c r="AD75" s="124"/>
      <c r="AE75" s="125">
        <f t="shared" ref="AE75" si="599">+AE74/AE10</f>
        <v>0.20263322283289523</v>
      </c>
      <c r="AF75" s="124"/>
      <c r="AG75" s="125">
        <f t="shared" ref="AG75" si="600">+AG74/AG10</f>
        <v>0.2204013191692353</v>
      </c>
      <c r="AH75" s="124"/>
      <c r="AI75" s="125">
        <f t="shared" ref="AI75" si="601">+AI74/AI10</f>
        <v>0.20019644027164166</v>
      </c>
      <c r="AJ75" s="124"/>
      <c r="AK75" s="125">
        <f t="shared" ref="AK75" si="602">+AK74/AK10</f>
        <v>0.24083333081894676</v>
      </c>
      <c r="AL75" s="124"/>
      <c r="AM75" s="125">
        <f t="shared" ref="AM75" si="603">+AM74/AM10</f>
        <v>0.21485086386502653</v>
      </c>
      <c r="AN75" s="124"/>
      <c r="AO75" s="125">
        <f t="shared" ref="AO75:AQ75" si="604">+AO74/AO10</f>
        <v>0.19945760841379642</v>
      </c>
      <c r="AP75" s="124"/>
      <c r="AQ75" s="125">
        <f t="shared" si="604"/>
        <v>0.19737675828375237</v>
      </c>
      <c r="AR75" s="124"/>
      <c r="AS75" s="125">
        <f t="shared" ref="AS75:AU75" si="605">+AS74/AS10</f>
        <v>0.1927321870930444</v>
      </c>
      <c r="AT75" s="124"/>
      <c r="AU75" s="125">
        <f t="shared" si="605"/>
        <v>0.1927321870930444</v>
      </c>
      <c r="AV75" s="124"/>
      <c r="AW75" s="125">
        <f t="shared" ref="AW75" si="606">+AW74/AW10</f>
        <v>0.18362606503204845</v>
      </c>
      <c r="AX75" s="124"/>
      <c r="AY75" s="125">
        <f t="shared" ref="AY75" si="607">+AY74/AY10</f>
        <v>0.18362606503204845</v>
      </c>
      <c r="AZ75" s="124"/>
      <c r="BA75" s="125">
        <f t="shared" ref="BA75" si="608">+BA74/BA10</f>
        <v>0.21833333333333335</v>
      </c>
    </row>
    <row r="76" spans="1:56" s="4" customFormat="1" ht="18" customHeight="1" outlineLevel="1" x14ac:dyDescent="0.45">
      <c r="A76" s="561"/>
      <c r="B76" s="1241"/>
      <c r="C76" s="258" t="s">
        <v>141</v>
      </c>
      <c r="D76" s="16"/>
      <c r="E76" s="126" t="s">
        <v>81</v>
      </c>
      <c r="F76" s="127"/>
      <c r="G76" s="374">
        <f>G77*G10</f>
        <v>37255.25063527836</v>
      </c>
      <c r="H76" s="127"/>
      <c r="I76" s="374">
        <f t="shared" ref="I76" si="609">I77*I10</f>
        <v>39194.489649562973</v>
      </c>
      <c r="J76" s="127"/>
      <c r="K76" s="374">
        <f t="shared" ref="K76" si="610">K77*K10</f>
        <v>39337.525300501373</v>
      </c>
      <c r="L76" s="127"/>
      <c r="M76" s="374">
        <f t="shared" ref="M76" si="611">M77*M10</f>
        <v>39517.270607482802</v>
      </c>
      <c r="N76" s="127"/>
      <c r="O76" s="374">
        <f t="shared" ref="O76" si="612">O77*O10</f>
        <v>44191.027806029633</v>
      </c>
      <c r="P76" s="127"/>
      <c r="Q76" s="374">
        <f t="shared" ref="Q76" si="613">Q77*Q10</f>
        <v>40983.028704410368</v>
      </c>
      <c r="R76" s="127"/>
      <c r="S76" s="374">
        <f t="shared" ref="S76" si="614">S77*S10</f>
        <v>43633.188863506315</v>
      </c>
      <c r="T76" s="127"/>
      <c r="U76" s="374">
        <f t="shared" ref="U76" si="615">U77*U10</f>
        <v>41515.11894112244</v>
      </c>
      <c r="V76" s="127"/>
      <c r="W76" s="374">
        <f t="shared" ref="W76" si="616">W77*W10</f>
        <v>39772.338713268451</v>
      </c>
      <c r="X76" s="127"/>
      <c r="Y76" s="374">
        <f t="shared" ref="Y76" si="617">Y77*Y10</f>
        <v>40513.789459776817</v>
      </c>
      <c r="Z76" s="127"/>
      <c r="AA76" s="374">
        <f t="shared" ref="AA76" si="618">AA77*AA10</f>
        <v>40660.81170098338</v>
      </c>
      <c r="AB76" s="127"/>
      <c r="AC76" s="374">
        <f t="shared" ref="AC76" si="619">AC77*AC10</f>
        <v>38055.103273959779</v>
      </c>
      <c r="AD76" s="127"/>
      <c r="AE76" s="374">
        <f t="shared" ref="AE76" si="620">AE77*AE10</f>
        <v>37278.839271013399</v>
      </c>
      <c r="AF76" s="127"/>
      <c r="AG76" s="374">
        <f t="shared" ref="AG76" si="621">AG77*AG10</f>
        <v>39912.915690995156</v>
      </c>
      <c r="AH76" s="127"/>
      <c r="AI76" s="374">
        <f t="shared" ref="AI76" si="622">AI77*AI10</f>
        <v>36696.007501791915</v>
      </c>
      <c r="AJ76" s="127"/>
      <c r="AK76" s="374">
        <f t="shared" ref="AK76" si="623">AK77*AK10</f>
        <v>42936.729551725104</v>
      </c>
      <c r="AL76" s="127"/>
      <c r="AM76" s="374">
        <f t="shared" ref="AM76" si="624">AM77*AM10</f>
        <v>38108.527425467488</v>
      </c>
      <c r="AN76" s="127"/>
      <c r="AO76" s="374">
        <f t="shared" ref="AO76:AQ76" si="625">AO77*AO10</f>
        <v>35737.21861471673</v>
      </c>
      <c r="AP76" s="127"/>
      <c r="AQ76" s="374">
        <f t="shared" si="625"/>
        <v>35584.660997461149</v>
      </c>
      <c r="AR76" s="127"/>
      <c r="AS76" s="374">
        <f t="shared" ref="AS76:AU76" si="626">AS77*AS10</f>
        <v>35237.611230595496</v>
      </c>
      <c r="AT76" s="127"/>
      <c r="AU76" s="374">
        <f t="shared" si="626"/>
        <v>35237.611230595496</v>
      </c>
      <c r="AV76" s="127"/>
      <c r="AW76" s="374">
        <f t="shared" ref="AW76" si="627">AW77*AW10</f>
        <v>33790.868487197557</v>
      </c>
      <c r="AX76" s="127"/>
      <c r="AY76" s="374">
        <f t="shared" ref="AY76" si="628">AY77*AY10</f>
        <v>34623.796318182925</v>
      </c>
      <c r="AZ76" s="127"/>
      <c r="BA76" s="374">
        <f t="shared" ref="BA76" si="629">BA77*BA10</f>
        <v>41105.18</v>
      </c>
    </row>
    <row r="77" spans="1:56" s="4" customFormat="1" ht="18" customHeight="1" outlineLevel="1" x14ac:dyDescent="0.45">
      <c r="A77" s="561"/>
      <c r="B77" s="1241"/>
      <c r="C77" s="16" t="s">
        <v>80</v>
      </c>
      <c r="D77" s="16"/>
      <c r="E77" s="126" t="s">
        <v>81</v>
      </c>
      <c r="F77" s="127"/>
      <c r="G77" s="90">
        <f>G74*G79/G10</f>
        <v>3104.60421960653</v>
      </c>
      <c r="H77" s="127"/>
      <c r="I77" s="90">
        <f t="shared" ref="I77" si="630">I74*I79/I10</f>
        <v>3266.2074707969145</v>
      </c>
      <c r="J77" s="127"/>
      <c r="K77" s="90">
        <f t="shared" ref="K77" si="631">K74*K79/K10</f>
        <v>3278.1271083751144</v>
      </c>
      <c r="L77" s="127"/>
      <c r="M77" s="90">
        <f t="shared" ref="M77" si="632">M74*M79/M10</f>
        <v>3293.1058839569</v>
      </c>
      <c r="N77" s="127"/>
      <c r="O77" s="90">
        <f t="shared" ref="O77" si="633">O74*O79/O10</f>
        <v>3682.5856505024694</v>
      </c>
      <c r="P77" s="127"/>
      <c r="Q77" s="90">
        <f t="shared" ref="Q77" si="634">Q74*Q79/Q10</f>
        <v>3415.2523920341973</v>
      </c>
      <c r="R77" s="127"/>
      <c r="S77" s="90">
        <f t="shared" ref="S77" si="635">S74*S79/S10</f>
        <v>3636.0990719588594</v>
      </c>
      <c r="T77" s="127"/>
      <c r="U77" s="90">
        <f t="shared" ref="U77" si="636">U74*U79/U10</f>
        <v>3459.5932450935366</v>
      </c>
      <c r="V77" s="127"/>
      <c r="W77" s="90">
        <f t="shared" ref="W77" si="637">W74*W79/W10</f>
        <v>3314.3615594390376</v>
      </c>
      <c r="X77" s="127"/>
      <c r="Y77" s="90">
        <f t="shared" ref="Y77" si="638">Y74*Y79/Y10</f>
        <v>3376.1491216480681</v>
      </c>
      <c r="Z77" s="127"/>
      <c r="AA77" s="90">
        <f t="shared" ref="AA77" si="639">AA74*AA79/AA10</f>
        <v>3388.4009750819482</v>
      </c>
      <c r="AB77" s="127"/>
      <c r="AC77" s="90">
        <f t="shared" ref="AC77:AI77" si="640">AC74*AC79/AC10</f>
        <v>3171.2586061633151</v>
      </c>
      <c r="AD77" s="127"/>
      <c r="AE77" s="90">
        <f t="shared" si="640"/>
        <v>3106.5699392511165</v>
      </c>
      <c r="AF77" s="127"/>
      <c r="AG77" s="90">
        <f t="shared" si="640"/>
        <v>3326.0763075829295</v>
      </c>
      <c r="AH77" s="127"/>
      <c r="AI77" s="90">
        <f t="shared" si="640"/>
        <v>3058.0006251493264</v>
      </c>
      <c r="AJ77" s="127"/>
      <c r="AK77" s="90">
        <f t="shared" ref="AK77" si="641">AK74*AK79/AK10</f>
        <v>3578.0607959770919</v>
      </c>
      <c r="AL77" s="127"/>
      <c r="AM77" s="90">
        <f t="shared" ref="AM77" si="642">AM74*AM79/AM10</f>
        <v>3175.7106187889572</v>
      </c>
      <c r="AN77" s="127"/>
      <c r="AO77" s="90">
        <f t="shared" ref="AO77:AQ77" si="643">AO74*AO79/AO10</f>
        <v>2978.1015512263943</v>
      </c>
      <c r="AP77" s="127"/>
      <c r="AQ77" s="90">
        <f t="shared" si="643"/>
        <v>2965.3884164550959</v>
      </c>
      <c r="AR77" s="127"/>
      <c r="AS77" s="90">
        <f t="shared" ref="AS77:AU77" si="644">AS74*AS79/AS10</f>
        <v>2936.4676025496246</v>
      </c>
      <c r="AT77" s="127"/>
      <c r="AU77" s="90">
        <f t="shared" si="644"/>
        <v>2936.4676025496246</v>
      </c>
      <c r="AV77" s="127"/>
      <c r="AW77" s="90">
        <f t="shared" ref="AW77" si="645">AW74*AW79/AW10</f>
        <v>2815.9057072664632</v>
      </c>
      <c r="AX77" s="127"/>
      <c r="AY77" s="90">
        <f t="shared" ref="AY77" si="646">AY74*AY79/AY10</f>
        <v>2885.3163598485771</v>
      </c>
      <c r="AZ77" s="127"/>
      <c r="BA77" s="90">
        <f t="shared" ref="BA77" si="647">BA74*BA79/BA10</f>
        <v>3425.4316666666668</v>
      </c>
    </row>
    <row r="78" spans="1:56" s="4" customFormat="1" ht="18" customHeight="1" outlineLevel="1" x14ac:dyDescent="0.45">
      <c r="A78" s="561"/>
      <c r="B78" s="1241"/>
      <c r="C78" s="259"/>
      <c r="D78" s="16"/>
      <c r="E78" s="126"/>
      <c r="F78" s="127"/>
      <c r="G78" s="90"/>
      <c r="H78" s="127"/>
      <c r="I78" s="90"/>
      <c r="J78" s="127"/>
      <c r="K78" s="90"/>
      <c r="L78" s="127"/>
      <c r="M78" s="90"/>
      <c r="N78" s="127"/>
      <c r="O78" s="90"/>
      <c r="P78" s="127"/>
      <c r="Q78" s="90"/>
      <c r="R78" s="127"/>
      <c r="S78" s="90"/>
      <c r="T78" s="127"/>
      <c r="U78" s="90"/>
      <c r="V78" s="127"/>
      <c r="W78" s="90"/>
      <c r="X78" s="127"/>
      <c r="Y78" s="90"/>
      <c r="Z78" s="127"/>
      <c r="AA78" s="90"/>
      <c r="AB78" s="127"/>
      <c r="AC78" s="90"/>
      <c r="AD78" s="127"/>
      <c r="AE78" s="90"/>
      <c r="AF78" s="127"/>
      <c r="AG78" s="90"/>
      <c r="AH78" s="127"/>
      <c r="AI78" s="90"/>
      <c r="AJ78" s="127"/>
      <c r="AK78" s="90"/>
      <c r="AL78" s="127"/>
      <c r="AM78" s="90"/>
      <c r="AN78" s="127"/>
      <c r="AO78" s="90"/>
      <c r="AP78" s="127"/>
      <c r="AQ78" s="90"/>
      <c r="AR78" s="127"/>
      <c r="AS78" s="90"/>
      <c r="AT78" s="127"/>
      <c r="AU78" s="90"/>
      <c r="AV78" s="127"/>
      <c r="AW78" s="90"/>
      <c r="AX78" s="127"/>
      <c r="AY78" s="90"/>
      <c r="AZ78" s="127"/>
      <c r="BA78" s="90"/>
    </row>
    <row r="79" spans="1:56" s="4" customFormat="1" ht="18" customHeight="1" outlineLevel="1" x14ac:dyDescent="0.45">
      <c r="A79" s="561"/>
      <c r="B79" s="1241"/>
      <c r="C79" s="16" t="s">
        <v>82</v>
      </c>
      <c r="D79" s="16"/>
      <c r="E79" s="35" t="s">
        <v>83</v>
      </c>
      <c r="F79" s="42"/>
      <c r="G79" s="88">
        <f>'Pricing Structure - CGSS'!G79</f>
        <v>14329</v>
      </c>
      <c r="H79" s="42"/>
      <c r="I79" s="88">
        <f>'Pricing Structure - CGSS'!I79</f>
        <v>14353</v>
      </c>
      <c r="J79" s="42"/>
      <c r="K79" s="88">
        <f>'Pricing Structure - CGSS'!K79</f>
        <v>14347</v>
      </c>
      <c r="L79" s="42"/>
      <c r="M79" s="88">
        <f>'Pricing Structure - CGSS'!M79</f>
        <v>14367</v>
      </c>
      <c r="N79" s="42"/>
      <c r="O79" s="88">
        <f>'Pricing Structure - CGSS'!O79</f>
        <v>14617</v>
      </c>
      <c r="P79" s="42"/>
      <c r="Q79" s="88">
        <f>'Pricing Structure - CGSS'!Q79</f>
        <v>14673</v>
      </c>
      <c r="R79" s="42"/>
      <c r="S79" s="88">
        <f>'Pricing Structure - CGSS'!S79</f>
        <v>14979</v>
      </c>
      <c r="T79" s="42"/>
      <c r="U79" s="88">
        <f>'Pricing Structure - CGSS'!U79</f>
        <v>14853</v>
      </c>
      <c r="V79" s="42"/>
      <c r="W79" s="88">
        <f>'Pricing Structure - CGSS'!W79</f>
        <v>15037</v>
      </c>
      <c r="X79" s="42"/>
      <c r="Y79" s="88">
        <f>'Pricing Structure - CGSS'!Y79</f>
        <v>15418</v>
      </c>
      <c r="Z79" s="42"/>
      <c r="AA79" s="88">
        <f>'Pricing Structure - CGSS'!AA79</f>
        <v>15645</v>
      </c>
      <c r="AB79" s="42"/>
      <c r="AC79" s="88">
        <f>'Pricing Structure - CGSS'!AC79</f>
        <v>15623</v>
      </c>
      <c r="AD79" s="42"/>
      <c r="AE79" s="88">
        <f>'Pricing Structure - CGSS'!AE79</f>
        <v>15331</v>
      </c>
      <c r="AF79" s="42"/>
      <c r="AG79" s="88">
        <f>'Pricing Structure - CGSS'!AG79</f>
        <v>15091</v>
      </c>
      <c r="AH79" s="42"/>
      <c r="AI79" s="88">
        <f>'Pricing Structure - CGSS'!AI79</f>
        <v>15275</v>
      </c>
      <c r="AJ79" s="42"/>
      <c r="AK79" s="88">
        <f>'Pricing Structure - GSS'!AW79</f>
        <v>14857</v>
      </c>
      <c r="AL79" s="42"/>
      <c r="AM79" s="88">
        <f>'Pricing Structure - GSS'!AY79</f>
        <v>14781</v>
      </c>
      <c r="AN79" s="42"/>
      <c r="AO79" s="88">
        <f>'Pricing Structure - GSS'!BA79</f>
        <v>14931</v>
      </c>
      <c r="AP79" s="42"/>
      <c r="AQ79" s="88">
        <f>'Pricing Structure - GSS'!BC79</f>
        <v>15024</v>
      </c>
      <c r="AR79" s="42"/>
      <c r="AS79" s="88">
        <f>'Pricing Structure - GSS'!BE79</f>
        <v>15236</v>
      </c>
      <c r="AT79" s="42"/>
      <c r="AU79" s="88">
        <f>'Pricing Structure - GSS'!BE79</f>
        <v>15236</v>
      </c>
      <c r="AV79" s="42"/>
      <c r="AW79" s="88">
        <f>'Pricing Structure - GSS'!BG79</f>
        <v>15335</v>
      </c>
      <c r="AX79" s="42"/>
      <c r="AY79" s="88">
        <f>'Pricing Structure - GSS'!BI79</f>
        <v>15713</v>
      </c>
      <c r="AZ79" s="42"/>
      <c r="BA79" s="88">
        <f>'Pricing Structure - GSS'!BK79</f>
        <v>15689</v>
      </c>
    </row>
    <row r="80" spans="1:56" s="4" customFormat="1" ht="18" customHeight="1" outlineLevel="1" x14ac:dyDescent="0.45">
      <c r="A80" s="561"/>
      <c r="B80" s="1241"/>
      <c r="C80" s="16" t="s">
        <v>84</v>
      </c>
      <c r="D80" s="16"/>
      <c r="E80" s="35" t="str">
        <f>+E74</f>
        <v xml:space="preserve">per carton USD </v>
      </c>
      <c r="F80" s="50"/>
      <c r="G80" s="72">
        <f>+G67-G74</f>
        <v>1.5300104239459587</v>
      </c>
      <c r="H80" s="50"/>
      <c r="I80" s="72">
        <f t="shared" ref="I80" si="648">+I67-I74</f>
        <v>1.3992475684830366</v>
      </c>
      <c r="J80" s="50"/>
      <c r="K80" s="72">
        <f t="shared" ref="K80" si="649">+K67-K74</f>
        <v>1.3881358262702048</v>
      </c>
      <c r="L80" s="50"/>
      <c r="M80" s="72">
        <f t="shared" ref="M80" si="650">+M67-M74</f>
        <v>1.3794417340096885</v>
      </c>
      <c r="N80" s="50"/>
      <c r="O80" s="72">
        <f t="shared" ref="O80" si="651">+O67-O74</f>
        <v>1.1067375107046842</v>
      </c>
      <c r="P80" s="50"/>
      <c r="Q80" s="72">
        <f t="shared" ref="Q80" si="652">+Q67-Q74</f>
        <v>1.336908695944226</v>
      </c>
      <c r="R80" s="50"/>
      <c r="S80" s="72">
        <f t="shared" ref="S80" si="653">+S67-S74</f>
        <v>1.2170426020758183</v>
      </c>
      <c r="T80" s="50"/>
      <c r="U80" s="72">
        <f t="shared" ref="U80" si="654">+U67-U74</f>
        <v>1.3349337547214408</v>
      </c>
      <c r="V80" s="50"/>
      <c r="W80" s="72">
        <f t="shared" ref="W80" si="655">+W67-W74</f>
        <v>1.4850349994501264</v>
      </c>
      <c r="X80" s="50"/>
      <c r="Y80" s="72">
        <f t="shared" ref="Y80" si="656">+Y67-Y74</f>
        <v>1.502305781568503</v>
      </c>
      <c r="Z80" s="50"/>
      <c r="AA80" s="72">
        <f t="shared" ref="AA80" si="657">+AA67-AA74</f>
        <v>1.5310347266869044</v>
      </c>
      <c r="AB80" s="50"/>
      <c r="AC80" s="72">
        <f t="shared" ref="AC80:AI80" si="658">+AC67-AC74</f>
        <v>1.6941616031517777</v>
      </c>
      <c r="AD80" s="50"/>
      <c r="AE80" s="72">
        <f t="shared" si="658"/>
        <v>1.6984013260052571</v>
      </c>
      <c r="AF80" s="50"/>
      <c r="AG80" s="72">
        <f t="shared" si="658"/>
        <v>1.4851841699691763</v>
      </c>
      <c r="AH80" s="50"/>
      <c r="AI80" s="72">
        <f t="shared" si="658"/>
        <v>1.7276427167402999</v>
      </c>
      <c r="AJ80" s="50"/>
      <c r="AK80" s="72">
        <f t="shared" ref="AK80" si="659">+AK67-AK74</f>
        <v>1.2400000301726388</v>
      </c>
      <c r="AL80" s="50"/>
      <c r="AM80" s="72">
        <f t="shared" ref="AM80" si="660">+AM67-AM74</f>
        <v>1.5517896336196815</v>
      </c>
      <c r="AN80" s="50"/>
      <c r="AO80" s="72">
        <f t="shared" ref="AO80:AQ80" si="661">+AO67-AO74</f>
        <v>1.7365086990344429</v>
      </c>
      <c r="AP80" s="50"/>
      <c r="AQ80" s="72">
        <f t="shared" si="661"/>
        <v>1.7614789005949714</v>
      </c>
      <c r="AR80" s="50"/>
      <c r="AS80" s="72">
        <f t="shared" ref="AS80:AU80" si="662">+AS67-AS74</f>
        <v>1.817213754883467</v>
      </c>
      <c r="AT80" s="50"/>
      <c r="AU80" s="72">
        <f t="shared" si="662"/>
        <v>1.817213754883467</v>
      </c>
      <c r="AV80" s="50"/>
      <c r="AW80" s="72">
        <f t="shared" ref="AW80" si="663">+AW67-AW74</f>
        <v>1.9264872196154186</v>
      </c>
      <c r="AX80" s="50"/>
      <c r="AY80" s="72">
        <f t="shared" ref="AY80" si="664">+AY67-AY74</f>
        <v>1.9264872196154186</v>
      </c>
      <c r="AZ80" s="50"/>
      <c r="BA80" s="72">
        <f t="shared" ref="BA80" si="665">+BA67-BA74</f>
        <v>1.63</v>
      </c>
    </row>
    <row r="81" spans="1:53" s="4" customFormat="1" ht="18" customHeight="1" outlineLevel="1" x14ac:dyDescent="0.45">
      <c r="A81" s="561"/>
      <c r="B81" s="1241"/>
      <c r="C81" s="16"/>
      <c r="D81" s="16"/>
      <c r="E81" s="35" t="str">
        <f>+E75</f>
        <v xml:space="preserve">per pack USD </v>
      </c>
      <c r="F81" s="50"/>
      <c r="G81" s="72">
        <f>+G80/G10</f>
        <v>0.12750086866216323</v>
      </c>
      <c r="H81" s="50"/>
      <c r="I81" s="72">
        <f t="shared" ref="I81" si="666">+I80/I10</f>
        <v>0.11660396404025304</v>
      </c>
      <c r="J81" s="50"/>
      <c r="K81" s="72">
        <f t="shared" ref="K81" si="667">+K80/K10</f>
        <v>0.11567798552251707</v>
      </c>
      <c r="L81" s="50"/>
      <c r="M81" s="72">
        <f t="shared" ref="M81" si="668">+M80/M10</f>
        <v>0.11495347783414071</v>
      </c>
      <c r="N81" s="50"/>
      <c r="O81" s="72">
        <f t="shared" ref="O81" si="669">+O80/O10</f>
        <v>9.222812589205702E-2</v>
      </c>
      <c r="P81" s="50"/>
      <c r="Q81" s="72">
        <f t="shared" ref="Q81" si="670">+Q80/Q10</f>
        <v>0.11140905799535217</v>
      </c>
      <c r="R81" s="50"/>
      <c r="S81" s="72">
        <f t="shared" ref="S81" si="671">+S80/S10</f>
        <v>0.10142021683965152</v>
      </c>
      <c r="T81" s="50"/>
      <c r="U81" s="72">
        <f t="shared" ref="U81" si="672">+U80/U10</f>
        <v>0.11124447956012007</v>
      </c>
      <c r="V81" s="50"/>
      <c r="W81" s="72">
        <f t="shared" ref="W81" si="673">+W80/W10</f>
        <v>0.12375291662084387</v>
      </c>
      <c r="X81" s="50"/>
      <c r="Y81" s="72">
        <f t="shared" ref="Y81" si="674">+Y80/Y10</f>
        <v>0.12519214846404192</v>
      </c>
      <c r="Z81" s="50"/>
      <c r="AA81" s="72">
        <f t="shared" ref="AA81" si="675">+AA80/AA10</f>
        <v>0.12758622722390869</v>
      </c>
      <c r="AB81" s="50"/>
      <c r="AC81" s="72">
        <f t="shared" ref="AC81" si="676">+AC80/AC10</f>
        <v>0.14118013359598147</v>
      </c>
      <c r="AD81" s="50"/>
      <c r="AE81" s="72">
        <f t="shared" ref="AE81" si="677">+AE80/AE10</f>
        <v>0.14153344383377142</v>
      </c>
      <c r="AF81" s="50"/>
      <c r="AG81" s="72">
        <f t="shared" ref="AG81" si="678">+AG80/AG10</f>
        <v>0.12376534749743136</v>
      </c>
      <c r="AH81" s="50"/>
      <c r="AI81" s="72">
        <f t="shared" ref="AI81" si="679">+AI80/AI10</f>
        <v>0.14397022639502499</v>
      </c>
      <c r="AJ81" s="50"/>
      <c r="AK81" s="72">
        <f t="shared" ref="AK81" si="680">+AK80/AK10</f>
        <v>0.10333333584771991</v>
      </c>
      <c r="AL81" s="50"/>
      <c r="AM81" s="72">
        <f t="shared" ref="AM81" si="681">+AM80/AM10</f>
        <v>0.12931580280164012</v>
      </c>
      <c r="AN81" s="50"/>
      <c r="AO81" s="72">
        <f t="shared" ref="AO81:AQ81" si="682">+AO80/AO10</f>
        <v>0.14470905825287025</v>
      </c>
      <c r="AP81" s="50"/>
      <c r="AQ81" s="72">
        <f t="shared" si="682"/>
        <v>0.14678990838291428</v>
      </c>
      <c r="AR81" s="50"/>
      <c r="AS81" s="72">
        <f t="shared" ref="AS81:AU81" si="683">+AS80/AS10</f>
        <v>0.15143447957362224</v>
      </c>
      <c r="AT81" s="50"/>
      <c r="AU81" s="72">
        <f t="shared" si="683"/>
        <v>0.15143447957362224</v>
      </c>
      <c r="AV81" s="50"/>
      <c r="AW81" s="72">
        <f t="shared" ref="AW81" si="684">+AW80/AW10</f>
        <v>0.16054060163461822</v>
      </c>
      <c r="AX81" s="50"/>
      <c r="AY81" s="72">
        <f t="shared" ref="AY81" si="685">+AY80/AY10</f>
        <v>0.16054060163461822</v>
      </c>
      <c r="AZ81" s="50"/>
      <c r="BA81" s="72">
        <f t="shared" ref="BA81" si="686">+BA80/BA10</f>
        <v>0.13583333333333333</v>
      </c>
    </row>
    <row r="82" spans="1:53" s="65" customFormat="1" ht="18" customHeight="1" outlineLevel="1" x14ac:dyDescent="0.45">
      <c r="A82" s="561"/>
      <c r="B82" s="1241"/>
      <c r="C82" s="131" t="s">
        <v>85</v>
      </c>
      <c r="D82" s="131"/>
      <c r="E82" s="131"/>
      <c r="F82" s="132"/>
      <c r="G82" s="133">
        <f>+G80/G67</f>
        <v>0.37046257238400937</v>
      </c>
      <c r="H82" s="132"/>
      <c r="I82" s="133">
        <f t="shared" ref="I82" si="687">+I80/I67</f>
        <v>0.33880086403947618</v>
      </c>
      <c r="J82" s="132"/>
      <c r="K82" s="133">
        <f t="shared" ref="K82" si="688">+K80/K67</f>
        <v>0.33611036955695034</v>
      </c>
      <c r="L82" s="132"/>
      <c r="M82" s="133">
        <f t="shared" ref="M82" si="689">+M80/M67</f>
        <v>0.33400526247207957</v>
      </c>
      <c r="N82" s="132"/>
      <c r="O82" s="133">
        <f t="shared" ref="O82" si="690">+O80/O67</f>
        <v>0.26797518418999616</v>
      </c>
      <c r="P82" s="132"/>
      <c r="Q82" s="133">
        <f t="shared" ref="Q82" si="691">+Q80/Q67</f>
        <v>0.3237067060397642</v>
      </c>
      <c r="R82" s="132"/>
      <c r="S82" s="133">
        <f t="shared" ref="S82" si="692">+S80/S67</f>
        <v>0.29468343875927805</v>
      </c>
      <c r="T82" s="132"/>
      <c r="U82" s="133">
        <f t="shared" ref="U82" si="693">+U80/U67</f>
        <v>0.32322851203908981</v>
      </c>
      <c r="V82" s="132"/>
      <c r="W82" s="133">
        <f t="shared" ref="W82" si="694">+W80/W67</f>
        <v>0.35957263909204029</v>
      </c>
      <c r="X82" s="132"/>
      <c r="Y82" s="133">
        <f t="shared" ref="Y82" si="695">+Y80/Y67</f>
        <v>0.36375442652990392</v>
      </c>
      <c r="Z82" s="132"/>
      <c r="AA82" s="133">
        <f t="shared" ref="AA82" si="696">+AA80/AA67</f>
        <v>0.37071058757552167</v>
      </c>
      <c r="AB82" s="132"/>
      <c r="AC82" s="133">
        <f t="shared" ref="AC82:AI82" si="697">+AC80/AC67</f>
        <v>0.41020862061786384</v>
      </c>
      <c r="AD82" s="132"/>
      <c r="AE82" s="1143">
        <f t="shared" si="697"/>
        <v>0.4112351878947354</v>
      </c>
      <c r="AF82" s="132"/>
      <c r="AG82" s="1143">
        <f t="shared" si="697"/>
        <v>0.35960875786178603</v>
      </c>
      <c r="AH82" s="132"/>
      <c r="AI82" s="1143">
        <f t="shared" si="697"/>
        <v>0.41831542778215497</v>
      </c>
      <c r="AJ82" s="132"/>
      <c r="AK82" s="1143">
        <f t="shared" ref="AK82" si="698">+AK80/AK67</f>
        <v>0.30024213805632904</v>
      </c>
      <c r="AL82" s="132"/>
      <c r="AM82" s="1143">
        <f t="shared" ref="AM82" si="699">+AM80/AM67</f>
        <v>0.37573598876989867</v>
      </c>
      <c r="AN82" s="132"/>
      <c r="AO82" s="1143">
        <f t="shared" ref="AO82:AQ82" si="700">+AO80/AO67</f>
        <v>0.42046215472988935</v>
      </c>
      <c r="AP82" s="132"/>
      <c r="AQ82" s="133">
        <f t="shared" si="700"/>
        <v>0.42650820837650638</v>
      </c>
      <c r="AR82" s="132"/>
      <c r="AS82" s="133">
        <f t="shared" ref="AS82:AU82" si="701">+AS80/AS67</f>
        <v>0.44000333048025836</v>
      </c>
      <c r="AT82" s="132"/>
      <c r="AU82" s="133">
        <f t="shared" si="701"/>
        <v>0.44000333048025836</v>
      </c>
      <c r="AV82" s="132"/>
      <c r="AW82" s="133">
        <f t="shared" ref="AW82" si="702">+AW80/AW67</f>
        <v>0.4664617965170505</v>
      </c>
      <c r="AX82" s="132"/>
      <c r="AY82" s="133">
        <f t="shared" ref="AY82" si="703">+AY80/AY67</f>
        <v>0.4664617965170505</v>
      </c>
      <c r="AZ82" s="132"/>
      <c r="BA82" s="133">
        <f t="shared" ref="BA82" si="704">+BA80/BA67</f>
        <v>0.38352941176470584</v>
      </c>
    </row>
    <row r="83" spans="1:53" s="65" customFormat="1" ht="18" customHeight="1" outlineLevel="1" x14ac:dyDescent="0.45">
      <c r="A83" s="561"/>
      <c r="B83" s="1241"/>
      <c r="C83" s="260" t="s">
        <v>86</v>
      </c>
      <c r="D83" s="135"/>
      <c r="E83" s="136" t="str">
        <f>E80</f>
        <v xml:space="preserve">per carton USD </v>
      </c>
      <c r="F83" s="137"/>
      <c r="G83" s="138">
        <f>G80-G57</f>
        <v>0.50001042394595863</v>
      </c>
      <c r="H83" s="137"/>
      <c r="I83" s="138">
        <f t="shared" ref="I83" si="705">I80-I57</f>
        <v>0.36924756848303653</v>
      </c>
      <c r="J83" s="137"/>
      <c r="K83" s="138">
        <f t="shared" ref="K83" si="706">K80-K57</f>
        <v>0.35813582627020479</v>
      </c>
      <c r="L83" s="137"/>
      <c r="M83" s="138">
        <f t="shared" ref="M83" si="707">M80-M57</f>
        <v>0.34944173400968848</v>
      </c>
      <c r="N83" s="137"/>
      <c r="O83" s="138">
        <f t="shared" ref="O83" si="708">O80-O57</f>
        <v>7.6737510704684153E-2</v>
      </c>
      <c r="P83" s="137"/>
      <c r="Q83" s="138">
        <f t="shared" ref="Q83" si="709">Q80-Q57</f>
        <v>0.30690869594422598</v>
      </c>
      <c r="R83" s="137"/>
      <c r="S83" s="138">
        <f t="shared" ref="S83" si="710">S80-S57</f>
        <v>0.18704260207581824</v>
      </c>
      <c r="T83" s="137"/>
      <c r="U83" s="138">
        <f t="shared" ref="U83" si="711">U80-U57</f>
        <v>0.3049337547214408</v>
      </c>
      <c r="V83" s="137"/>
      <c r="W83" s="138">
        <f t="shared" ref="W83" si="712">W80-W57</f>
        <v>0.45503499945012638</v>
      </c>
      <c r="X83" s="137"/>
      <c r="Y83" s="138">
        <f t="shared" ref="Y83" si="713">Y80-Y57</f>
        <v>0.472305781568503</v>
      </c>
      <c r="Z83" s="137"/>
      <c r="AA83" s="138">
        <f t="shared" ref="AA83" si="714">AA80-AA57</f>
        <v>0.50103472668690441</v>
      </c>
      <c r="AB83" s="137"/>
      <c r="AC83" s="138">
        <f t="shared" ref="AC83:AI83" si="715">AC80-AC57</f>
        <v>0.80762502918589785</v>
      </c>
      <c r="AD83" s="137"/>
      <c r="AE83" s="138">
        <f t="shared" si="715"/>
        <v>0.66840132600525703</v>
      </c>
      <c r="AF83" s="137"/>
      <c r="AG83" s="138">
        <f t="shared" si="715"/>
        <v>0.45518416996917632</v>
      </c>
      <c r="AH83" s="137"/>
      <c r="AI83" s="138">
        <f t="shared" si="715"/>
        <v>0.69764271674029987</v>
      </c>
      <c r="AJ83" s="137"/>
      <c r="AK83" s="138">
        <f t="shared" ref="AK83" si="716">AK80-AK57</f>
        <v>0.2100000301726388</v>
      </c>
      <c r="AL83" s="137"/>
      <c r="AM83" s="138">
        <f t="shared" ref="AM83" si="717">AM80-AM57</f>
        <v>0.52178963361968145</v>
      </c>
      <c r="AN83" s="137"/>
      <c r="AO83" s="138">
        <f t="shared" ref="AO83:AQ83" si="718">AO80-AO57</f>
        <v>0.70650869903444291</v>
      </c>
      <c r="AP83" s="137"/>
      <c r="AQ83" s="138">
        <f t="shared" si="718"/>
        <v>0.73147890059497134</v>
      </c>
      <c r="AR83" s="137"/>
      <c r="AS83" s="138">
        <f t="shared" ref="AS83:AU83" si="719">AS80-AS57</f>
        <v>0.78721375488346701</v>
      </c>
      <c r="AT83" s="137"/>
      <c r="AU83" s="138">
        <f t="shared" si="719"/>
        <v>0.48721375488346697</v>
      </c>
      <c r="AV83" s="137"/>
      <c r="AW83" s="138">
        <f t="shared" ref="AW83" si="720">AW80-AW57</f>
        <v>0.59648721961541851</v>
      </c>
      <c r="AX83" s="137"/>
      <c r="AY83" s="138">
        <f t="shared" ref="AY83" si="721">AY80-AY57</f>
        <v>0.59648721961541851</v>
      </c>
      <c r="AZ83" s="137"/>
      <c r="BA83" s="138">
        <f t="shared" ref="BA83" si="722">BA80-BA57</f>
        <v>0.2799999999999998</v>
      </c>
    </row>
    <row r="84" spans="1:53" s="65" customFormat="1" ht="18" customHeight="1" outlineLevel="1" x14ac:dyDescent="0.45">
      <c r="A84" s="561"/>
      <c r="B84" s="1241"/>
      <c r="C84" s="131" t="s">
        <v>87</v>
      </c>
      <c r="D84" s="131"/>
      <c r="E84" s="131"/>
      <c r="F84" s="132"/>
      <c r="G84" s="133">
        <f>G83/G67</f>
        <v>0.12106789926052268</v>
      </c>
      <c r="H84" s="132"/>
      <c r="I84" s="133">
        <f t="shared" ref="I84" si="723">I83/I67</f>
        <v>8.9406190915989475E-2</v>
      </c>
      <c r="J84" s="132"/>
      <c r="K84" s="133">
        <f t="shared" ref="K84" si="724">K83/K67</f>
        <v>8.6715696433463635E-2</v>
      </c>
      <c r="L84" s="132"/>
      <c r="M84" s="133">
        <f t="shared" ref="M84" si="725">M83/M67</f>
        <v>8.4610589348592849E-2</v>
      </c>
      <c r="N84" s="132"/>
      <c r="O84" s="133">
        <f t="shared" ref="O84" si="726">O83/O67</f>
        <v>1.8580511066509479E-2</v>
      </c>
      <c r="P84" s="132"/>
      <c r="Q84" s="133">
        <f t="shared" ref="Q84" si="727">Q83/Q67</f>
        <v>7.4312032916277485E-2</v>
      </c>
      <c r="R84" s="132"/>
      <c r="S84" s="133">
        <f t="shared" ref="S84" si="728">S83/S67</f>
        <v>4.5288765635791345E-2</v>
      </c>
      <c r="T84" s="132"/>
      <c r="U84" s="133">
        <f t="shared" ref="U84" si="729">U83/U67</f>
        <v>7.3833838915603106E-2</v>
      </c>
      <c r="V84" s="132"/>
      <c r="W84" s="133">
        <f t="shared" ref="W84" si="730">W83/W67</f>
        <v>0.1101779659685536</v>
      </c>
      <c r="X84" s="132"/>
      <c r="Y84" s="133">
        <f t="shared" ref="Y84" si="731">Y83/Y67</f>
        <v>0.1143597534064172</v>
      </c>
      <c r="Z84" s="132"/>
      <c r="AA84" s="133">
        <f t="shared" ref="AA84" si="732">AA83/AA67</f>
        <v>0.12131591445203496</v>
      </c>
      <c r="AB84" s="132"/>
      <c r="AC84" s="133">
        <f t="shared" ref="AC84" si="733">AC83/AC67</f>
        <v>0.19555085452443047</v>
      </c>
      <c r="AD84" s="132"/>
      <c r="AE84" s="1143">
        <f t="shared" ref="AE84" si="734">AE83/AE67</f>
        <v>0.16184051477124869</v>
      </c>
      <c r="AF84" s="132"/>
      <c r="AG84" s="1143">
        <f t="shared" ref="AG84" si="735">AG83/AG67</f>
        <v>0.11021408473829936</v>
      </c>
      <c r="AH84" s="132"/>
      <c r="AI84" s="1143">
        <f t="shared" ref="AI84" si="736">AI83/AI67</f>
        <v>0.16892075465866827</v>
      </c>
      <c r="AJ84" s="132"/>
      <c r="AK84" s="1143">
        <f t="shared" ref="AK84" si="737">AK83/AK67</f>
        <v>5.0847464932842326E-2</v>
      </c>
      <c r="AL84" s="132"/>
      <c r="AM84" s="1143">
        <f t="shared" ref="AM84" si="738">AM83/AM67</f>
        <v>0.12634131564641199</v>
      </c>
      <c r="AN84" s="132"/>
      <c r="AO84" s="1143">
        <f t="shared" ref="AO84:AQ84" si="739">AO83/AO67</f>
        <v>0.17106748160640264</v>
      </c>
      <c r="AP84" s="132"/>
      <c r="AQ84" s="133">
        <f t="shared" si="739"/>
        <v>0.1771135352530197</v>
      </c>
      <c r="AR84" s="132"/>
      <c r="AS84" s="133">
        <f t="shared" ref="AS84:AU84" si="740">AS83/AS67</f>
        <v>0.19060865735677168</v>
      </c>
      <c r="AT84" s="132"/>
      <c r="AU84" s="133">
        <f t="shared" si="740"/>
        <v>0.1179694321751736</v>
      </c>
      <c r="AV84" s="132"/>
      <c r="AW84" s="133">
        <f t="shared" ref="AW84" si="741">AW83/AW67</f>
        <v>0.14442789821196575</v>
      </c>
      <c r="AX84" s="132"/>
      <c r="AY84" s="133">
        <f t="shared" ref="AY84" si="742">AY83/AY67</f>
        <v>0.14442789821196575</v>
      </c>
      <c r="AZ84" s="132"/>
      <c r="BA84" s="133">
        <f t="shared" ref="BA84" si="743">BA83/BA67</f>
        <v>6.588235294117642E-2</v>
      </c>
    </row>
    <row r="85" spans="1:53" s="65" customFormat="1" ht="6.75" customHeight="1" outlineLevel="1" x14ac:dyDescent="0.45">
      <c r="A85" s="561"/>
      <c r="B85" s="266"/>
      <c r="C85" s="131"/>
      <c r="D85" s="131"/>
      <c r="E85" s="131"/>
      <c r="F85" s="132"/>
      <c r="G85" s="133"/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  <c r="T85" s="132"/>
      <c r="U85" s="133"/>
      <c r="V85" s="132"/>
      <c r="W85" s="133"/>
      <c r="X85" s="132"/>
      <c r="Y85" s="133"/>
      <c r="Z85" s="132"/>
      <c r="AA85" s="133"/>
      <c r="AB85" s="132"/>
      <c r="AC85" s="133"/>
      <c r="AD85" s="132"/>
      <c r="AE85" s="133"/>
      <c r="AF85" s="132"/>
      <c r="AG85" s="133"/>
      <c r="AH85" s="132"/>
      <c r="AI85" s="133"/>
      <c r="AJ85" s="132"/>
      <c r="AK85" s="133"/>
      <c r="AL85" s="132"/>
      <c r="AM85" s="133"/>
      <c r="AN85" s="132"/>
      <c r="AO85" s="133"/>
      <c r="AP85" s="132"/>
      <c r="AQ85" s="133"/>
      <c r="AR85" s="132"/>
      <c r="AS85" s="133"/>
      <c r="AT85" s="132"/>
      <c r="AU85" s="133"/>
      <c r="AV85" s="132"/>
      <c r="AW85" s="133"/>
      <c r="AX85" s="132"/>
      <c r="AY85" s="133"/>
      <c r="AZ85" s="132"/>
      <c r="BA85" s="133"/>
    </row>
    <row r="86" spans="1:53" s="65" customFormat="1" ht="18" customHeight="1" outlineLevel="1" x14ac:dyDescent="0.45">
      <c r="A86" s="561"/>
      <c r="B86" s="266"/>
      <c r="C86" s="261" t="s">
        <v>88</v>
      </c>
      <c r="D86" s="140"/>
      <c r="E86" s="136" t="str">
        <f>E83</f>
        <v xml:space="preserve">per carton USD </v>
      </c>
      <c r="F86" s="141"/>
      <c r="G86" s="142">
        <f>G83-G72</f>
        <v>0.46783630635872492</v>
      </c>
      <c r="H86" s="141"/>
      <c r="I86" s="142">
        <f t="shared" ref="I86" si="744">I83-I72</f>
        <v>0.32686205688588416</v>
      </c>
      <c r="J86" s="141"/>
      <c r="K86" s="142">
        <f t="shared" ref="K86" si="745">K83-K72</f>
        <v>0.3111270303354805</v>
      </c>
      <c r="L86" s="141"/>
      <c r="M86" s="142">
        <f t="shared" ref="M86" si="746">M83-M72</f>
        <v>0.3167314775951971</v>
      </c>
      <c r="N86" s="141"/>
      <c r="O86" s="142">
        <f t="shared" ref="O86" si="747">O83-O72</f>
        <v>3.7357875774196525E-2</v>
      </c>
      <c r="P86" s="141"/>
      <c r="Q86" s="142">
        <f t="shared" ref="Q86" si="748">Q83-Q72</f>
        <v>0.25161928603415251</v>
      </c>
      <c r="R86" s="141"/>
      <c r="S86" s="142">
        <f t="shared" ref="S86" si="749">S83-S72</f>
        <v>0.15001604697170667</v>
      </c>
      <c r="T86" s="141"/>
      <c r="U86" s="142">
        <f t="shared" ref="U86" si="750">U83-U72</f>
        <v>0.2588798434996647</v>
      </c>
      <c r="V86" s="141"/>
      <c r="W86" s="142">
        <f t="shared" ref="W86" si="751">W83-W72</f>
        <v>0.41859799655408447</v>
      </c>
      <c r="X86" s="141"/>
      <c r="Y86" s="142">
        <f t="shared" ref="Y86" si="752">Y83-Y72</f>
        <v>0.43607373625461848</v>
      </c>
      <c r="Z86" s="141"/>
      <c r="AA86" s="142">
        <f t="shared" ref="AA86" si="753">AA83-AA72</f>
        <v>0.46340552257052087</v>
      </c>
      <c r="AB86" s="141"/>
      <c r="AC86" s="142">
        <f t="shared" ref="AC86:AI86" si="754">AC83-AC72</f>
        <v>0.77033480336521798</v>
      </c>
      <c r="AD86" s="141"/>
      <c r="AE86" s="142">
        <f t="shared" si="754"/>
        <v>0.63072675415649604</v>
      </c>
      <c r="AF86" s="141"/>
      <c r="AG86" s="142">
        <f t="shared" si="754"/>
        <v>0.41926747090878147</v>
      </c>
      <c r="AH86" s="141"/>
      <c r="AI86" s="142">
        <f t="shared" si="754"/>
        <v>0.66312720426795624</v>
      </c>
      <c r="AJ86" s="141"/>
      <c r="AK86" s="142">
        <f t="shared" ref="AK86" si="755">AK83-AK72</f>
        <v>0.17147469521154537</v>
      </c>
      <c r="AL86" s="141"/>
      <c r="AM86" s="142">
        <f t="shared" ref="AM86" si="756">AM83-AM72</f>
        <v>0.48696563854263725</v>
      </c>
      <c r="AN86" s="141"/>
      <c r="AO86" s="142">
        <f t="shared" ref="AO86:AQ86" si="757">AO83-AO72</f>
        <v>0.66708709934815724</v>
      </c>
      <c r="AP86" s="141"/>
      <c r="AQ86" s="142">
        <f t="shared" si="757"/>
        <v>0.69652988441199404</v>
      </c>
      <c r="AR86" s="141"/>
      <c r="AS86" s="142">
        <f t="shared" ref="AS86:AU86" si="758">AS83-AS72</f>
        <v>0.75269824241112337</v>
      </c>
      <c r="AT86" s="141"/>
      <c r="AU86" s="142">
        <f t="shared" si="758"/>
        <v>0.45118257770060444</v>
      </c>
      <c r="AV86" s="141"/>
      <c r="AW86" s="142">
        <f t="shared" ref="AW86" si="759">AW83-AW72</f>
        <v>0.55817061794093137</v>
      </c>
      <c r="AX86" s="141"/>
      <c r="AY86" s="142">
        <f t="shared" ref="AY86" si="760">AY83-AY72</f>
        <v>0.55817061794093137</v>
      </c>
      <c r="AZ86" s="141"/>
      <c r="BA86" s="142">
        <f t="shared" ref="BA86" si="761">BA83-BA72</f>
        <v>0.24168339832551264</v>
      </c>
    </row>
    <row r="87" spans="1:53" s="65" customFormat="1" ht="18" customHeight="1" outlineLevel="1" x14ac:dyDescent="0.45">
      <c r="A87" s="561"/>
      <c r="B87" s="266"/>
      <c r="C87" s="131" t="s">
        <v>89</v>
      </c>
      <c r="D87" s="131"/>
      <c r="E87" s="131"/>
      <c r="F87" s="132"/>
      <c r="G87" s="133">
        <f>G86/G67</f>
        <v>0.11327755601906173</v>
      </c>
      <c r="H87" s="132"/>
      <c r="I87" s="133">
        <f t="shared" ref="I87" si="762">I86/I67</f>
        <v>7.9143355178180191E-2</v>
      </c>
      <c r="J87" s="132"/>
      <c r="K87" s="133">
        <f t="shared" ref="K87" si="763">K86/K67</f>
        <v>7.5333421388736208E-2</v>
      </c>
      <c r="L87" s="132"/>
      <c r="M87" s="133">
        <f t="shared" ref="M87" si="764">M86/M67</f>
        <v>7.6690430410459351E-2</v>
      </c>
      <c r="N87" s="132"/>
      <c r="O87" s="133">
        <f t="shared" ref="O87" si="765">O86/O67</f>
        <v>9.0454905022267617E-3</v>
      </c>
      <c r="P87" s="132"/>
      <c r="Q87" s="133">
        <f t="shared" ref="Q87" si="766">Q86/Q67</f>
        <v>6.0924766594225792E-2</v>
      </c>
      <c r="R87" s="132"/>
      <c r="S87" s="133">
        <f t="shared" ref="S87" si="767">S86/S67</f>
        <v>3.6323498056103312E-2</v>
      </c>
      <c r="T87" s="132"/>
      <c r="U87" s="133">
        <f t="shared" ref="U87" si="768">U86/U67</f>
        <v>6.268277082316337E-2</v>
      </c>
      <c r="V87" s="132"/>
      <c r="W87" s="133">
        <f t="shared" ref="W87" si="769">W86/W67</f>
        <v>0.1013554471075265</v>
      </c>
      <c r="X87" s="132"/>
      <c r="Y87" s="133">
        <f t="shared" ref="Y87" si="770">Y86/Y67</f>
        <v>0.10558686107860012</v>
      </c>
      <c r="Z87" s="132"/>
      <c r="AA87" s="133">
        <f t="shared" ref="AA87" si="771">AA86/AA67</f>
        <v>0.11220472701465396</v>
      </c>
      <c r="AB87" s="132"/>
      <c r="AC87" s="133">
        <f t="shared" ref="AC87" si="772">AC86/AC67</f>
        <v>0.18652174415622713</v>
      </c>
      <c r="AD87" s="132"/>
      <c r="AE87" s="1143">
        <f t="shared" ref="AE87" si="773">AE86/AE67</f>
        <v>0.15271834241077387</v>
      </c>
      <c r="AF87" s="132"/>
      <c r="AG87" s="1143">
        <f t="shared" ref="AG87" si="774">AG86/AG67</f>
        <v>0.10151754743554031</v>
      </c>
      <c r="AH87" s="132"/>
      <c r="AI87" s="1143">
        <f t="shared" ref="AI87" si="775">AI86/AI67</f>
        <v>0.16056348771621218</v>
      </c>
      <c r="AJ87" s="132"/>
      <c r="AK87" s="1143">
        <f t="shared" ref="AK87" si="776">AK86/AK67</f>
        <v>4.1519296661391134E-2</v>
      </c>
      <c r="AL87" s="132"/>
      <c r="AM87" s="1143">
        <f t="shared" ref="AM87" si="777">AM86/AM67</f>
        <v>0.11790935557933105</v>
      </c>
      <c r="AN87" s="132"/>
      <c r="AO87" s="1143">
        <f t="shared" ref="AO87:AQ87" si="778">AO86/AO67</f>
        <v>0.16152230008429957</v>
      </c>
      <c r="AP87" s="132"/>
      <c r="AQ87" s="133">
        <f t="shared" si="778"/>
        <v>0.16865130373171769</v>
      </c>
      <c r="AR87" s="132"/>
      <c r="AS87" s="133">
        <f t="shared" ref="AS87:AU87" si="779">AS86/AS67</f>
        <v>0.18225139041431559</v>
      </c>
      <c r="AT87" s="132"/>
      <c r="AU87" s="133">
        <f t="shared" si="779"/>
        <v>0.10924517619869357</v>
      </c>
      <c r="AV87" s="132"/>
      <c r="AW87" s="133">
        <f t="shared" ref="AW87" si="780">AW86/AW67</f>
        <v>0.13515027068787686</v>
      </c>
      <c r="AX87" s="132"/>
      <c r="AY87" s="133">
        <f t="shared" ref="AY87" si="781">AY86/AY67</f>
        <v>0.13515027068787686</v>
      </c>
      <c r="AZ87" s="132"/>
      <c r="BA87" s="133">
        <f t="shared" ref="BA87" si="782">BA86/BA67</f>
        <v>5.6866681958944149E-2</v>
      </c>
    </row>
    <row r="88" spans="1:53" s="65" customFormat="1" ht="6.75" customHeight="1" outlineLevel="1" x14ac:dyDescent="0.45">
      <c r="A88" s="561"/>
      <c r="B88" s="266"/>
      <c r="C88" s="131"/>
      <c r="D88" s="131"/>
      <c r="E88" s="131"/>
      <c r="F88" s="132"/>
      <c r="G88" s="133"/>
      <c r="H88" s="132"/>
      <c r="I88" s="133"/>
      <c r="J88" s="132"/>
      <c r="K88" s="133"/>
      <c r="L88" s="132"/>
      <c r="M88" s="133"/>
      <c r="N88" s="132"/>
      <c r="O88" s="133"/>
      <c r="P88" s="132"/>
      <c r="Q88" s="133"/>
      <c r="R88" s="132"/>
      <c r="S88" s="133"/>
      <c r="T88" s="132"/>
      <c r="U88" s="133"/>
      <c r="V88" s="132"/>
      <c r="W88" s="133"/>
      <c r="X88" s="132"/>
      <c r="Y88" s="133"/>
      <c r="Z88" s="132"/>
      <c r="AA88" s="133"/>
      <c r="AB88" s="132"/>
      <c r="AC88" s="133"/>
      <c r="AD88" s="132"/>
      <c r="AE88" s="133"/>
      <c r="AF88" s="132"/>
      <c r="AG88" s="133"/>
      <c r="AH88" s="132"/>
      <c r="AI88" s="133"/>
      <c r="AJ88" s="132"/>
      <c r="AK88" s="133"/>
      <c r="AL88" s="132"/>
      <c r="AM88" s="133"/>
      <c r="AN88" s="132"/>
      <c r="AO88" s="133"/>
      <c r="AP88" s="132"/>
      <c r="AQ88" s="133"/>
      <c r="AR88" s="132"/>
      <c r="AS88" s="133"/>
      <c r="AT88" s="132"/>
      <c r="AU88" s="133"/>
      <c r="AV88" s="132"/>
      <c r="AW88" s="133"/>
      <c r="AX88" s="132"/>
      <c r="AY88" s="133"/>
      <c r="AZ88" s="132"/>
      <c r="BA88" s="133"/>
    </row>
    <row r="89" spans="1:53" s="65" customFormat="1" ht="18" customHeight="1" outlineLevel="1" x14ac:dyDescent="0.45">
      <c r="A89" s="561"/>
      <c r="B89" s="266"/>
      <c r="C89" s="148" t="s">
        <v>90</v>
      </c>
      <c r="D89" s="144"/>
      <c r="E89" s="145" t="str">
        <f>E86</f>
        <v xml:space="preserve">per carton USD </v>
      </c>
      <c r="F89" s="146"/>
      <c r="G89" s="147">
        <f>G86</f>
        <v>0.46783630635872492</v>
      </c>
      <c r="H89" s="146"/>
      <c r="I89" s="147">
        <f t="shared" ref="I89" si="783">I86</f>
        <v>0.32686205688588416</v>
      </c>
      <c r="J89" s="146"/>
      <c r="K89" s="147">
        <f t="shared" ref="K89" si="784">K86</f>
        <v>0.3111270303354805</v>
      </c>
      <c r="L89" s="146"/>
      <c r="M89" s="147">
        <f t="shared" ref="M89" si="785">M86</f>
        <v>0.3167314775951971</v>
      </c>
      <c r="N89" s="146"/>
      <c r="O89" s="147">
        <f t="shared" ref="O89" si="786">O86</f>
        <v>3.7357875774196525E-2</v>
      </c>
      <c r="P89" s="146"/>
      <c r="Q89" s="147">
        <f t="shared" ref="Q89" si="787">Q86</f>
        <v>0.25161928603415251</v>
      </c>
      <c r="R89" s="146"/>
      <c r="S89" s="147">
        <f t="shared" ref="S89" si="788">S86</f>
        <v>0.15001604697170667</v>
      </c>
      <c r="T89" s="146"/>
      <c r="U89" s="147">
        <f t="shared" ref="U89" si="789">U86</f>
        <v>0.2588798434996647</v>
      </c>
      <c r="V89" s="146"/>
      <c r="W89" s="147">
        <f t="shared" ref="W89" si="790">W86</f>
        <v>0.41859799655408447</v>
      </c>
      <c r="X89" s="146"/>
      <c r="Y89" s="147">
        <f t="shared" ref="Y89" si="791">Y86</f>
        <v>0.43607373625461848</v>
      </c>
      <c r="Z89" s="146"/>
      <c r="AA89" s="147">
        <f t="shared" ref="AA89" si="792">AA86</f>
        <v>0.46340552257052087</v>
      </c>
      <c r="AB89" s="146"/>
      <c r="AC89" s="147">
        <f t="shared" ref="AC89:AI89" si="793">AC86</f>
        <v>0.77033480336521798</v>
      </c>
      <c r="AD89" s="146"/>
      <c r="AE89" s="147">
        <f t="shared" si="793"/>
        <v>0.63072675415649604</v>
      </c>
      <c r="AF89" s="146"/>
      <c r="AG89" s="147">
        <f t="shared" si="793"/>
        <v>0.41926747090878147</v>
      </c>
      <c r="AH89" s="146"/>
      <c r="AI89" s="147">
        <f t="shared" si="793"/>
        <v>0.66312720426795624</v>
      </c>
      <c r="AJ89" s="146"/>
      <c r="AK89" s="147">
        <f t="shared" ref="AK89" si="794">AK86</f>
        <v>0.17147469521154537</v>
      </c>
      <c r="AL89" s="146"/>
      <c r="AM89" s="147">
        <f t="shared" ref="AM89" si="795">AM86</f>
        <v>0.48696563854263725</v>
      </c>
      <c r="AN89" s="146"/>
      <c r="AO89" s="147">
        <f t="shared" ref="AO89:AQ89" si="796">AO86</f>
        <v>0.66708709934815724</v>
      </c>
      <c r="AP89" s="146"/>
      <c r="AQ89" s="147">
        <f t="shared" si="796"/>
        <v>0.69652988441199404</v>
      </c>
      <c r="AR89" s="146"/>
      <c r="AS89" s="147">
        <f t="shared" ref="AS89:AU89" si="797">AS86</f>
        <v>0.75269824241112337</v>
      </c>
      <c r="AT89" s="146"/>
      <c r="AU89" s="147">
        <f t="shared" si="797"/>
        <v>0.45118257770060444</v>
      </c>
      <c r="AV89" s="146"/>
      <c r="AW89" s="147">
        <f t="shared" ref="AW89" si="798">AW86</f>
        <v>0.55817061794093137</v>
      </c>
      <c r="AX89" s="146"/>
      <c r="AY89" s="147">
        <f t="shared" ref="AY89" si="799">AY86</f>
        <v>0.55817061794093137</v>
      </c>
      <c r="AZ89" s="146"/>
      <c r="BA89" s="147">
        <f t="shared" ref="BA89" si="800">BA86</f>
        <v>0.24168339832551264</v>
      </c>
    </row>
    <row r="90" spans="1:53" s="283" customFormat="1" ht="18" customHeight="1" outlineLevel="1" x14ac:dyDescent="0.45">
      <c r="A90" s="561"/>
      <c r="B90" s="266"/>
      <c r="C90" s="132" t="s">
        <v>91</v>
      </c>
      <c r="D90" s="131"/>
      <c r="E90" s="131"/>
      <c r="F90" s="132"/>
      <c r="G90" s="133">
        <f>G89/G67</f>
        <v>0.11327755601906173</v>
      </c>
      <c r="H90" s="132"/>
      <c r="I90" s="133">
        <f t="shared" ref="I90" si="801">I89/I67</f>
        <v>7.9143355178180191E-2</v>
      </c>
      <c r="J90" s="132"/>
      <c r="K90" s="133">
        <f t="shared" ref="K90" si="802">K89/K67</f>
        <v>7.5333421388736208E-2</v>
      </c>
      <c r="L90" s="132"/>
      <c r="M90" s="133">
        <f t="shared" ref="M90" si="803">M89/M67</f>
        <v>7.6690430410459351E-2</v>
      </c>
      <c r="N90" s="132"/>
      <c r="O90" s="133">
        <f t="shared" ref="O90" si="804">O89/O67</f>
        <v>9.0454905022267617E-3</v>
      </c>
      <c r="P90" s="132"/>
      <c r="Q90" s="133">
        <f t="shared" ref="Q90" si="805">Q89/Q67</f>
        <v>6.0924766594225792E-2</v>
      </c>
      <c r="R90" s="132"/>
      <c r="S90" s="133">
        <f t="shared" ref="S90" si="806">S89/S67</f>
        <v>3.6323498056103312E-2</v>
      </c>
      <c r="T90" s="132"/>
      <c r="U90" s="133">
        <f t="shared" ref="U90" si="807">U89/U67</f>
        <v>6.268277082316337E-2</v>
      </c>
      <c r="V90" s="132"/>
      <c r="W90" s="133">
        <f t="shared" ref="W90" si="808">W89/W67</f>
        <v>0.1013554471075265</v>
      </c>
      <c r="X90" s="132"/>
      <c r="Y90" s="133">
        <f t="shared" ref="Y90" si="809">Y89/Y67</f>
        <v>0.10558686107860012</v>
      </c>
      <c r="Z90" s="132"/>
      <c r="AA90" s="133">
        <f t="shared" ref="AA90" si="810">AA89/AA67</f>
        <v>0.11220472701465396</v>
      </c>
      <c r="AB90" s="132"/>
      <c r="AC90" s="133">
        <f t="shared" ref="AC90" si="811">AC89/AC67</f>
        <v>0.18652174415622713</v>
      </c>
      <c r="AD90" s="132"/>
      <c r="AE90" s="1143">
        <f t="shared" ref="AE90" si="812">AE89/AE67</f>
        <v>0.15271834241077387</v>
      </c>
      <c r="AF90" s="132"/>
      <c r="AG90" s="1143">
        <f t="shared" ref="AG90" si="813">AG89/AG67</f>
        <v>0.10151754743554031</v>
      </c>
      <c r="AH90" s="132"/>
      <c r="AI90" s="1143">
        <f t="shared" ref="AI90" si="814">AI89/AI67</f>
        <v>0.16056348771621218</v>
      </c>
      <c r="AJ90" s="132"/>
      <c r="AK90" s="1143">
        <f t="shared" ref="AK90" si="815">AK89/AK67</f>
        <v>4.1519296661391134E-2</v>
      </c>
      <c r="AL90" s="132"/>
      <c r="AM90" s="1143">
        <f t="shared" ref="AM90" si="816">AM89/AM67</f>
        <v>0.11790935557933105</v>
      </c>
      <c r="AN90" s="132"/>
      <c r="AO90" s="1143">
        <f t="shared" ref="AO90:AQ90" si="817">AO89/AO67</f>
        <v>0.16152230008429957</v>
      </c>
      <c r="AP90" s="132"/>
      <c r="AQ90" s="133">
        <f t="shared" si="817"/>
        <v>0.16865130373171769</v>
      </c>
      <c r="AR90" s="132"/>
      <c r="AS90" s="133">
        <f t="shared" ref="AS90:AU90" si="818">AS89/AS67</f>
        <v>0.18225139041431559</v>
      </c>
      <c r="AT90" s="132"/>
      <c r="AU90" s="133">
        <f t="shared" si="818"/>
        <v>0.10924517619869357</v>
      </c>
      <c r="AV90" s="132"/>
      <c r="AW90" s="133">
        <f t="shared" ref="AW90" si="819">AW89/AW67</f>
        <v>0.13515027068787686</v>
      </c>
      <c r="AX90" s="132"/>
      <c r="AY90" s="133">
        <f t="shared" ref="AY90" si="820">AY89/AY67</f>
        <v>0.13515027068787686</v>
      </c>
      <c r="AZ90" s="132"/>
      <c r="BA90" s="133">
        <f t="shared" ref="BA90" si="821">BA89/BA67</f>
        <v>5.6866681958944149E-2</v>
      </c>
    </row>
    <row r="91" spans="1:53" s="283" customFormat="1" ht="6.75" customHeight="1" outlineLevel="1" x14ac:dyDescent="0.45">
      <c r="A91" s="561"/>
      <c r="B91" s="266"/>
      <c r="C91" s="131"/>
      <c r="D91" s="131"/>
      <c r="E91" s="131"/>
      <c r="F91" s="132"/>
      <c r="G91" s="133"/>
      <c r="H91" s="132"/>
      <c r="I91" s="133"/>
      <c r="J91" s="132"/>
      <c r="K91" s="133"/>
      <c r="L91" s="132"/>
      <c r="M91" s="133"/>
      <c r="N91" s="132"/>
      <c r="O91" s="133"/>
      <c r="P91" s="132"/>
      <c r="Q91" s="133"/>
      <c r="R91" s="132"/>
      <c r="S91" s="133"/>
      <c r="T91" s="132"/>
      <c r="U91" s="133"/>
      <c r="V91" s="132"/>
      <c r="W91" s="133"/>
      <c r="X91" s="132"/>
      <c r="Y91" s="133"/>
      <c r="Z91" s="132"/>
      <c r="AA91" s="133"/>
      <c r="AB91" s="132"/>
      <c r="AC91" s="133"/>
      <c r="AD91" s="132"/>
      <c r="AE91" s="133"/>
      <c r="AF91" s="132"/>
      <c r="AG91" s="133"/>
      <c r="AH91" s="132"/>
      <c r="AI91" s="133"/>
      <c r="AJ91" s="132"/>
      <c r="AK91" s="133"/>
      <c r="AL91" s="132"/>
      <c r="AM91" s="133"/>
      <c r="AN91" s="132"/>
      <c r="AO91" s="133"/>
      <c r="AP91" s="132"/>
      <c r="AQ91" s="133"/>
      <c r="AR91" s="132"/>
      <c r="AS91" s="133"/>
      <c r="AT91" s="132"/>
      <c r="AU91" s="133"/>
      <c r="AV91" s="132"/>
      <c r="AW91" s="133"/>
      <c r="AX91" s="132"/>
      <c r="AY91" s="133"/>
      <c r="AZ91" s="132"/>
      <c r="BA91" s="133"/>
    </row>
    <row r="92" spans="1:53" s="65" customFormat="1" ht="18" customHeight="1" outlineLevel="1" x14ac:dyDescent="0.45">
      <c r="A92" s="561"/>
      <c r="B92" s="266"/>
      <c r="C92" s="255" t="s">
        <v>142</v>
      </c>
      <c r="D92" s="254"/>
      <c r="E92" s="255" t="s">
        <v>77</v>
      </c>
      <c r="F92" s="256"/>
      <c r="G92" s="257">
        <v>0</v>
      </c>
      <c r="H92" s="256"/>
      <c r="I92" s="257">
        <v>0</v>
      </c>
      <c r="J92" s="256"/>
      <c r="K92" s="257">
        <v>0</v>
      </c>
      <c r="L92" s="256"/>
      <c r="M92" s="257">
        <v>0</v>
      </c>
      <c r="N92" s="256"/>
      <c r="O92" s="257">
        <v>0</v>
      </c>
      <c r="P92" s="256"/>
      <c r="Q92" s="257">
        <v>0</v>
      </c>
      <c r="R92" s="256"/>
      <c r="S92" s="257">
        <v>0</v>
      </c>
      <c r="T92" s="256"/>
      <c r="U92" s="257">
        <v>0</v>
      </c>
      <c r="V92" s="256"/>
      <c r="W92" s="257">
        <v>0</v>
      </c>
      <c r="X92" s="256"/>
      <c r="Y92" s="257">
        <v>0</v>
      </c>
      <c r="Z92" s="256"/>
      <c r="AA92" s="257">
        <v>0</v>
      </c>
      <c r="AB92" s="256"/>
      <c r="AC92" s="257">
        <v>0</v>
      </c>
      <c r="AD92" s="256"/>
      <c r="AE92" s="257">
        <v>0</v>
      </c>
      <c r="AF92" s="256"/>
      <c r="AG92" s="257">
        <v>0</v>
      </c>
      <c r="AH92" s="256"/>
      <c r="AI92" s="257">
        <v>0</v>
      </c>
      <c r="AJ92" s="256"/>
      <c r="AK92" s="257">
        <v>0</v>
      </c>
      <c r="AL92" s="256"/>
      <c r="AM92" s="257">
        <v>0</v>
      </c>
      <c r="AN92" s="256"/>
      <c r="AO92" s="257">
        <v>0</v>
      </c>
      <c r="AP92" s="256"/>
      <c r="AQ92" s="257">
        <v>0</v>
      </c>
      <c r="AR92" s="256"/>
      <c r="AS92" s="257">
        <v>0</v>
      </c>
      <c r="AT92" s="256"/>
      <c r="AU92" s="257">
        <v>0</v>
      </c>
      <c r="AV92" s="256"/>
      <c r="AW92" s="257">
        <v>0</v>
      </c>
      <c r="AX92" s="256"/>
      <c r="AY92" s="257">
        <v>0</v>
      </c>
      <c r="AZ92" s="256"/>
      <c r="BA92" s="257">
        <v>0</v>
      </c>
    </row>
    <row r="93" spans="1:53" s="65" customFormat="1" ht="18" customHeight="1" outlineLevel="1" x14ac:dyDescent="0.45">
      <c r="A93" s="561"/>
      <c r="B93" s="266"/>
      <c r="C93" s="148" t="s">
        <v>92</v>
      </c>
      <c r="D93" s="144"/>
      <c r="E93" s="148" t="s">
        <v>77</v>
      </c>
      <c r="F93" s="146"/>
      <c r="G93" s="147">
        <f>G89-G92</f>
        <v>0.46783630635872492</v>
      </c>
      <c r="H93" s="146"/>
      <c r="I93" s="147">
        <f t="shared" ref="I93" si="822">I89-I92</f>
        <v>0.32686205688588416</v>
      </c>
      <c r="J93" s="146"/>
      <c r="K93" s="147">
        <f t="shared" ref="K93" si="823">K89-K92</f>
        <v>0.3111270303354805</v>
      </c>
      <c r="L93" s="146"/>
      <c r="M93" s="147">
        <f t="shared" ref="M93" si="824">M89-M92</f>
        <v>0.3167314775951971</v>
      </c>
      <c r="N93" s="146"/>
      <c r="O93" s="147">
        <f t="shared" ref="O93" si="825">O89-O92</f>
        <v>3.7357875774196525E-2</v>
      </c>
      <c r="P93" s="146"/>
      <c r="Q93" s="147">
        <f t="shared" ref="Q93" si="826">Q89-Q92</f>
        <v>0.25161928603415251</v>
      </c>
      <c r="R93" s="146"/>
      <c r="S93" s="147">
        <f t="shared" ref="S93" si="827">S89-S92</f>
        <v>0.15001604697170667</v>
      </c>
      <c r="T93" s="146"/>
      <c r="U93" s="147">
        <f t="shared" ref="U93" si="828">U89-U92</f>
        <v>0.2588798434996647</v>
      </c>
      <c r="V93" s="146"/>
      <c r="W93" s="147">
        <f t="shared" ref="W93" si="829">W89-W92</f>
        <v>0.41859799655408447</v>
      </c>
      <c r="X93" s="146"/>
      <c r="Y93" s="147">
        <f t="shared" ref="Y93" si="830">Y89-Y92</f>
        <v>0.43607373625461848</v>
      </c>
      <c r="Z93" s="146"/>
      <c r="AA93" s="147">
        <f t="shared" ref="AA93" si="831">AA89-AA92</f>
        <v>0.46340552257052087</v>
      </c>
      <c r="AB93" s="146"/>
      <c r="AC93" s="147">
        <f t="shared" ref="AC93" si="832">AC89-AC92</f>
        <v>0.77033480336521798</v>
      </c>
      <c r="AD93" s="146"/>
      <c r="AE93" s="147">
        <f t="shared" ref="AE93" si="833">AE89-AE92</f>
        <v>0.63072675415649604</v>
      </c>
      <c r="AF93" s="146"/>
      <c r="AG93" s="147">
        <f t="shared" ref="AG93" si="834">AG89-AG92</f>
        <v>0.41926747090878147</v>
      </c>
      <c r="AH93" s="146"/>
      <c r="AI93" s="147">
        <f t="shared" ref="AI93" si="835">AI89-AI92</f>
        <v>0.66312720426795624</v>
      </c>
      <c r="AJ93" s="146"/>
      <c r="AK93" s="147">
        <f t="shared" ref="AK93" si="836">AK89-AK92</f>
        <v>0.17147469521154537</v>
      </c>
      <c r="AL93" s="146"/>
      <c r="AM93" s="147">
        <f t="shared" ref="AM93" si="837">AM89-AM92</f>
        <v>0.48696563854263725</v>
      </c>
      <c r="AN93" s="146"/>
      <c r="AO93" s="147">
        <f t="shared" ref="AO93:AQ93" si="838">AO89-AO92</f>
        <v>0.66708709934815724</v>
      </c>
      <c r="AP93" s="146"/>
      <c r="AQ93" s="147">
        <f t="shared" si="838"/>
        <v>0.69652988441199404</v>
      </c>
      <c r="AR93" s="146"/>
      <c r="AS93" s="147">
        <f t="shared" ref="AS93:AU93" si="839">AS89-AS92</f>
        <v>0.75269824241112337</v>
      </c>
      <c r="AT93" s="146"/>
      <c r="AU93" s="147">
        <f t="shared" si="839"/>
        <v>0.45118257770060444</v>
      </c>
      <c r="AV93" s="146"/>
      <c r="AW93" s="147">
        <f t="shared" ref="AW93" si="840">AW89-AW92</f>
        <v>0.55817061794093137</v>
      </c>
      <c r="AX93" s="146"/>
      <c r="AY93" s="147">
        <f t="shared" ref="AY93" si="841">AY89-AY92</f>
        <v>0.55817061794093137</v>
      </c>
      <c r="AZ93" s="146"/>
      <c r="BA93" s="147">
        <f t="shared" ref="BA93" si="842">BA89-BA92</f>
        <v>0.24168339832551264</v>
      </c>
    </row>
    <row r="94" spans="1:53" s="65" customFormat="1" ht="18" customHeight="1" outlineLevel="1" x14ac:dyDescent="0.45">
      <c r="A94" s="561"/>
      <c r="B94" s="266"/>
      <c r="C94" s="131" t="s">
        <v>93</v>
      </c>
      <c r="D94" s="131"/>
      <c r="E94" s="149"/>
      <c r="F94" s="132"/>
      <c r="G94" s="133">
        <f>G93/G67</f>
        <v>0.11327755601906173</v>
      </c>
      <c r="H94" s="132"/>
      <c r="I94" s="133">
        <f t="shared" ref="I94" si="843">I93/I67</f>
        <v>7.9143355178180191E-2</v>
      </c>
      <c r="J94" s="132"/>
      <c r="K94" s="133">
        <f t="shared" ref="K94" si="844">K93/K67</f>
        <v>7.5333421388736208E-2</v>
      </c>
      <c r="L94" s="132"/>
      <c r="M94" s="133">
        <f t="shared" ref="M94" si="845">M93/M67</f>
        <v>7.6690430410459351E-2</v>
      </c>
      <c r="N94" s="132"/>
      <c r="O94" s="133">
        <f t="shared" ref="O94" si="846">O93/O67</f>
        <v>9.0454905022267617E-3</v>
      </c>
      <c r="P94" s="132"/>
      <c r="Q94" s="133">
        <f t="shared" ref="Q94" si="847">Q93/Q67</f>
        <v>6.0924766594225792E-2</v>
      </c>
      <c r="R94" s="132"/>
      <c r="S94" s="133">
        <f t="shared" ref="S94" si="848">S93/S67</f>
        <v>3.6323498056103312E-2</v>
      </c>
      <c r="T94" s="132"/>
      <c r="U94" s="133">
        <f t="shared" ref="U94" si="849">U93/U67</f>
        <v>6.268277082316337E-2</v>
      </c>
      <c r="V94" s="132"/>
      <c r="W94" s="133">
        <f t="shared" ref="W94" si="850">W93/W67</f>
        <v>0.1013554471075265</v>
      </c>
      <c r="X94" s="132"/>
      <c r="Y94" s="133">
        <f t="shared" ref="Y94" si="851">Y93/Y67</f>
        <v>0.10558686107860012</v>
      </c>
      <c r="Z94" s="132"/>
      <c r="AA94" s="133">
        <f t="shared" ref="AA94" si="852">AA93/AA67</f>
        <v>0.11220472701465396</v>
      </c>
      <c r="AB94" s="132"/>
      <c r="AC94" s="133">
        <f t="shared" ref="AC94" si="853">AC93/AC67</f>
        <v>0.18652174415622713</v>
      </c>
      <c r="AD94" s="132"/>
      <c r="AE94" s="1143">
        <f t="shared" ref="AE94" si="854">AE93/AE67</f>
        <v>0.15271834241077387</v>
      </c>
      <c r="AF94" s="132"/>
      <c r="AG94" s="1143">
        <f t="shared" ref="AG94" si="855">AG93/AG67</f>
        <v>0.10151754743554031</v>
      </c>
      <c r="AH94" s="132"/>
      <c r="AI94" s="1143">
        <f t="shared" ref="AI94" si="856">AI93/AI67</f>
        <v>0.16056348771621218</v>
      </c>
      <c r="AJ94" s="132"/>
      <c r="AK94" s="1143">
        <f t="shared" ref="AK94" si="857">AK93/AK67</f>
        <v>4.1519296661391134E-2</v>
      </c>
      <c r="AL94" s="132"/>
      <c r="AM94" s="1143">
        <f t="shared" ref="AM94" si="858">AM93/AM67</f>
        <v>0.11790935557933105</v>
      </c>
      <c r="AN94" s="132"/>
      <c r="AO94" s="1143">
        <f t="shared" ref="AO94:AQ94" si="859">AO93/AO67</f>
        <v>0.16152230008429957</v>
      </c>
      <c r="AP94" s="132"/>
      <c r="AQ94" s="133">
        <f t="shared" si="859"/>
        <v>0.16865130373171769</v>
      </c>
      <c r="AR94" s="132"/>
      <c r="AS94" s="133">
        <f t="shared" ref="AS94:AU94" si="860">AS93/AS67</f>
        <v>0.18225139041431559</v>
      </c>
      <c r="AT94" s="132"/>
      <c r="AU94" s="133">
        <f t="shared" si="860"/>
        <v>0.10924517619869357</v>
      </c>
      <c r="AV94" s="132"/>
      <c r="AW94" s="133">
        <f t="shared" ref="AW94" si="861">AW93/AW67</f>
        <v>0.13515027068787686</v>
      </c>
      <c r="AX94" s="132"/>
      <c r="AY94" s="133">
        <f t="shared" ref="AY94" si="862">AY93/AY67</f>
        <v>0.13515027068787686</v>
      </c>
      <c r="AZ94" s="132"/>
      <c r="BA94" s="133">
        <f t="shared" ref="BA94" si="863">BA93/BA67</f>
        <v>5.6866681958944149E-2</v>
      </c>
    </row>
    <row r="95" spans="1:53" s="65" customFormat="1" ht="6.6" customHeight="1" outlineLevel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132"/>
      <c r="O95" s="133"/>
      <c r="P95" s="132"/>
      <c r="Q95" s="133"/>
      <c r="R95" s="132"/>
      <c r="S95" s="133"/>
      <c r="T95" s="132"/>
      <c r="U95" s="133"/>
      <c r="V95" s="132"/>
      <c r="W95" s="133"/>
      <c r="X95" s="132"/>
      <c r="Y95" s="133"/>
      <c r="Z95" s="132"/>
      <c r="AA95" s="133"/>
      <c r="AB95" s="132"/>
      <c r="AC95" s="133"/>
      <c r="AD95" s="132"/>
      <c r="AE95" s="133"/>
      <c r="AF95" s="132"/>
      <c r="AG95" s="133"/>
      <c r="AH95" s="132"/>
      <c r="AI95" s="133"/>
      <c r="AJ95" s="132"/>
      <c r="AK95" s="133"/>
      <c r="AL95" s="132"/>
      <c r="AM95" s="133"/>
      <c r="AN95" s="132"/>
      <c r="AO95" s="133"/>
      <c r="AP95" s="132"/>
      <c r="AQ95" s="133"/>
      <c r="AR95" s="132"/>
      <c r="AS95" s="133"/>
      <c r="AT95" s="132"/>
      <c r="AU95" s="133"/>
      <c r="AV95" s="132"/>
      <c r="AW95" s="133"/>
      <c r="AX95" s="132"/>
      <c r="AY95" s="133"/>
      <c r="AZ95" s="132"/>
      <c r="BA95" s="133"/>
    </row>
    <row r="96" spans="1:53" s="65" customFormat="1" ht="18" customHeight="1" outlineLevel="1" x14ac:dyDescent="0.45">
      <c r="A96" s="561"/>
      <c r="B96" s="266"/>
      <c r="C96" s="262" t="s">
        <v>94</v>
      </c>
      <c r="D96" s="131"/>
      <c r="E96" s="131"/>
      <c r="F96" s="132"/>
      <c r="G96" s="383">
        <f>(G136-G135)/G66</f>
        <v>1.6780493010351116E-2</v>
      </c>
      <c r="H96" s="132"/>
      <c r="I96" s="383">
        <f t="shared" ref="I96" si="864">(I136-I135)/I66</f>
        <v>0.12166034741204479</v>
      </c>
      <c r="J96" s="132"/>
      <c r="K96" s="383">
        <f t="shared" ref="K96" si="865">(K136-K135)/K66</f>
        <v>5.782438067206281E-2</v>
      </c>
      <c r="L96" s="132"/>
      <c r="M96" s="383">
        <f t="shared" ref="M96" si="866">(M136-M135)/M66</f>
        <v>-1.416110273530047E-2</v>
      </c>
      <c r="N96" s="132"/>
      <c r="O96" s="383">
        <f t="shared" ref="O96" si="867">(O136-O135)/O66</f>
        <v>7.9012961116650099E-2</v>
      </c>
      <c r="P96" s="132"/>
      <c r="Q96" s="383">
        <f t="shared" ref="Q96" si="868">(Q136-Q135)/Q66</f>
        <v>1.9753438034014199E-2</v>
      </c>
      <c r="R96" s="132"/>
      <c r="S96" s="383">
        <f t="shared" ref="S96" si="869">(S136-S135)/S66</f>
        <v>2.0579328615456329E-2</v>
      </c>
      <c r="T96" s="132"/>
      <c r="U96" s="383">
        <f t="shared" ref="U96" si="870">(U136-U135)/U66</f>
        <v>6.5365329512893783E-3</v>
      </c>
      <c r="V96" s="132"/>
      <c r="W96" s="383">
        <f t="shared" ref="W96" si="871">(W136-W135)/W66</f>
        <v>-3.9708584930427948E-2</v>
      </c>
      <c r="X96" s="132"/>
      <c r="Y96" s="383">
        <f t="shared" ref="Y96" si="872">(Y136-Y135)/Y66</f>
        <v>-0.10063736641057557</v>
      </c>
      <c r="Z96" s="132"/>
      <c r="AA96" s="383">
        <f t="shared" ref="AA96" si="873">(AA136-AA135)/AA66</f>
        <v>-0.12500256553109124</v>
      </c>
      <c r="AB96" s="132"/>
      <c r="AC96" s="383">
        <f t="shared" ref="AC96:AI96" si="874">(AC136-AC135)/AC66</f>
        <v>-0.13071303643763227</v>
      </c>
      <c r="AD96" s="132"/>
      <c r="AE96" s="383">
        <f t="shared" si="874"/>
        <v>-0.16616921530115975</v>
      </c>
      <c r="AF96" s="132"/>
      <c r="AG96" s="383">
        <f t="shared" si="874"/>
        <v>-0.2171711292200233</v>
      </c>
      <c r="AH96" s="132"/>
      <c r="AI96" s="383">
        <f t="shared" si="874"/>
        <v>-0.11009587966923297</v>
      </c>
      <c r="AJ96" s="132"/>
      <c r="AK96" s="383">
        <f t="shared" ref="AK96" si="875">(AK136-AK135)/AK66</f>
        <v>-0.24513752052545157</v>
      </c>
      <c r="AL96" s="132"/>
      <c r="AM96" s="383">
        <f t="shared" ref="AM96" si="876">(AM136-AM135)/AM66</f>
        <v>-0.15416666666666667</v>
      </c>
      <c r="AN96" s="132"/>
      <c r="AO96" s="383">
        <f t="shared" ref="AO96:AQ96" si="877">(AO136-AO135)/AO66</f>
        <v>-0.21875</v>
      </c>
      <c r="AP96" s="132"/>
      <c r="AQ96" s="383">
        <f t="shared" si="877"/>
        <v>-0.22812499999999999</v>
      </c>
      <c r="AR96" s="132"/>
      <c r="AS96" s="383">
        <f t="shared" ref="AS96:AU96" si="878">(AS136-AS135)/AS66</f>
        <v>-0.22812499999999999</v>
      </c>
      <c r="AT96" s="132"/>
      <c r="AU96" s="383">
        <f t="shared" si="878"/>
        <v>-0.22812499999999999</v>
      </c>
      <c r="AV96" s="132"/>
      <c r="AW96" s="383">
        <f t="shared" ref="AW96" si="879">(AW136-AW135)/AW66</f>
        <v>-0.22812499999999999</v>
      </c>
      <c r="AX96" s="132"/>
      <c r="AY96" s="383">
        <f t="shared" ref="AY96" si="880">(AY136-AY135)/AY66</f>
        <v>-0.22812499999999999</v>
      </c>
      <c r="AZ96" s="132"/>
      <c r="BA96" s="383">
        <f t="shared" ref="BA96" si="881">(BA136-BA135)/BA66</f>
        <v>-0.13437499999999999</v>
      </c>
    </row>
    <row r="97" spans="1:53" s="65" customFormat="1" ht="6.75" customHeight="1" outlineLevel="1" x14ac:dyDescent="0.45">
      <c r="A97" s="561"/>
      <c r="B97" s="266"/>
      <c r="C97" s="131"/>
      <c r="D97" s="131"/>
      <c r="E97" s="131"/>
      <c r="F97" s="132"/>
      <c r="G97" s="133"/>
      <c r="H97" s="132"/>
      <c r="I97" s="133"/>
      <c r="J97" s="132"/>
      <c r="K97" s="133"/>
      <c r="L97" s="132"/>
      <c r="M97" s="133"/>
      <c r="N97" s="132"/>
      <c r="O97" s="133"/>
      <c r="P97" s="132"/>
      <c r="Q97" s="133"/>
      <c r="R97" s="132"/>
      <c r="S97" s="133"/>
      <c r="T97" s="132"/>
      <c r="U97" s="133"/>
      <c r="V97" s="132"/>
      <c r="W97" s="133"/>
      <c r="X97" s="132"/>
      <c r="Y97" s="133"/>
      <c r="Z97" s="132"/>
      <c r="AA97" s="133"/>
      <c r="AB97" s="132"/>
      <c r="AC97" s="133"/>
      <c r="AD97" s="132"/>
      <c r="AE97" s="133"/>
      <c r="AF97" s="132"/>
      <c r="AG97" s="133"/>
      <c r="AH97" s="132"/>
      <c r="AI97" s="133"/>
      <c r="AJ97" s="132"/>
      <c r="AK97" s="133"/>
      <c r="AL97" s="132"/>
      <c r="AM97" s="133"/>
      <c r="AN97" s="132"/>
      <c r="AO97" s="133"/>
      <c r="AP97" s="132"/>
      <c r="AQ97" s="133"/>
      <c r="AR97" s="132"/>
      <c r="AS97" s="133"/>
      <c r="AT97" s="132"/>
      <c r="AU97" s="133"/>
      <c r="AV97" s="132"/>
      <c r="AW97" s="133"/>
      <c r="AX97" s="132"/>
      <c r="AY97" s="133"/>
      <c r="AZ97" s="132"/>
      <c r="BA97" s="133"/>
    </row>
    <row r="98" spans="1:53" s="65" customFormat="1" ht="18" customHeight="1" outlineLevel="1" x14ac:dyDescent="0.45">
      <c r="A98" s="561"/>
      <c r="B98" s="266"/>
      <c r="C98" s="154" t="s">
        <v>95</v>
      </c>
      <c r="D98" s="154"/>
      <c r="E98" s="154" t="s">
        <v>77</v>
      </c>
      <c r="F98" s="591"/>
      <c r="G98" s="590">
        <f>G93-G96</f>
        <v>0.4510558133483738</v>
      </c>
      <c r="H98" s="591"/>
      <c r="I98" s="590">
        <f t="shared" ref="I98" si="882">I93-I96</f>
        <v>0.20520170947383937</v>
      </c>
      <c r="J98" s="591"/>
      <c r="K98" s="590">
        <f t="shared" ref="K98" si="883">K93-K96</f>
        <v>0.2533026496634177</v>
      </c>
      <c r="L98" s="591"/>
      <c r="M98" s="590">
        <f t="shared" ref="M98" si="884">M93-M96</f>
        <v>0.33089258033049757</v>
      </c>
      <c r="N98" s="591"/>
      <c r="O98" s="590">
        <f t="shared" ref="O98" si="885">O93-O96</f>
        <v>-4.1655085342453574E-2</v>
      </c>
      <c r="P98" s="591"/>
      <c r="Q98" s="590">
        <f t="shared" ref="Q98" si="886">Q93-Q96</f>
        <v>0.23186584800013832</v>
      </c>
      <c r="R98" s="591"/>
      <c r="S98" s="590">
        <f t="shared" ref="S98" si="887">S93-S96</f>
        <v>0.12943671835625034</v>
      </c>
      <c r="T98" s="591"/>
      <c r="U98" s="590">
        <f t="shared" ref="U98" si="888">U93-U96</f>
        <v>0.25234331054837533</v>
      </c>
      <c r="V98" s="591"/>
      <c r="W98" s="590">
        <f t="shared" ref="W98" si="889">W93-W96</f>
        <v>0.45830658148451242</v>
      </c>
      <c r="X98" s="591"/>
      <c r="Y98" s="590">
        <f t="shared" ref="Y98" si="890">Y93-Y96</f>
        <v>0.53671110266519406</v>
      </c>
      <c r="Z98" s="591"/>
      <c r="AA98" s="590">
        <f t="shared" ref="AA98" si="891">AA93-AA96</f>
        <v>0.58840808810161205</v>
      </c>
      <c r="AB98" s="591"/>
      <c r="AC98" s="590">
        <f t="shared" ref="AC98:AI98" si="892">AC93-AC96</f>
        <v>0.9010478398028503</v>
      </c>
      <c r="AD98" s="591"/>
      <c r="AE98" s="590">
        <f t="shared" si="892"/>
        <v>0.79689596945765584</v>
      </c>
      <c r="AF98" s="591"/>
      <c r="AG98" s="590">
        <f t="shared" si="892"/>
        <v>0.63643860012880471</v>
      </c>
      <c r="AH98" s="591"/>
      <c r="AI98" s="590">
        <f t="shared" si="892"/>
        <v>0.77322308393718919</v>
      </c>
      <c r="AJ98" s="591"/>
      <c r="AK98" s="590">
        <f t="shared" ref="AK98" si="893">AK93-AK96</f>
        <v>0.41661221573699692</v>
      </c>
      <c r="AL98" s="591"/>
      <c r="AM98" s="590">
        <f t="shared" ref="AM98" si="894">AM93-AM96</f>
        <v>0.64113230520930387</v>
      </c>
      <c r="AN98" s="591"/>
      <c r="AO98" s="590">
        <f t="shared" ref="AO98" si="895">AO93-AO96</f>
        <v>0.88583709934815724</v>
      </c>
      <c r="AP98" s="591"/>
      <c r="AQ98" s="590">
        <f>AQ93-AQ96</f>
        <v>0.92465488441199406</v>
      </c>
      <c r="AR98" s="591"/>
      <c r="AS98" s="590">
        <f t="shared" ref="AS98:AU98" si="896">AS93-AS96</f>
        <v>0.9808232424111234</v>
      </c>
      <c r="AT98" s="591"/>
      <c r="AU98" s="590">
        <f t="shared" si="896"/>
        <v>0.67930757770060446</v>
      </c>
      <c r="AV98" s="591"/>
      <c r="AW98" s="590">
        <f t="shared" ref="AW98" si="897">AW93-AW96</f>
        <v>0.78629561794093139</v>
      </c>
      <c r="AX98" s="591"/>
      <c r="AY98" s="590">
        <f t="shared" ref="AY98" si="898">AY93-AY96</f>
        <v>0.78629561794093139</v>
      </c>
      <c r="AZ98" s="591"/>
      <c r="BA98" s="590">
        <f t="shared" ref="BA98" si="899">BA93-BA96</f>
        <v>0.37605839832551263</v>
      </c>
    </row>
    <row r="99" spans="1:53" s="65" customFormat="1" ht="18" customHeight="1" outlineLevel="1" thickBot="1" x14ac:dyDescent="0.5">
      <c r="A99" s="561"/>
      <c r="B99" s="267"/>
      <c r="C99" s="158" t="s">
        <v>96</v>
      </c>
      <c r="D99" s="158"/>
      <c r="E99" s="158"/>
      <c r="F99" s="159"/>
      <c r="G99" s="1097">
        <f>G98/G67</f>
        <v>0.10921448265093797</v>
      </c>
      <c r="H99" s="159"/>
      <c r="I99" s="1097">
        <f t="shared" ref="I99" si="900">I98/I67</f>
        <v>4.9685643940396942E-2</v>
      </c>
      <c r="J99" s="159"/>
      <c r="K99" s="1097">
        <f t="shared" ref="K99" si="901">K98/K67</f>
        <v>6.1332360693321479E-2</v>
      </c>
      <c r="L99" s="159"/>
      <c r="M99" s="1097">
        <f t="shared" ref="M99" si="902">M98/M67</f>
        <v>8.0119268845156799E-2</v>
      </c>
      <c r="N99" s="159"/>
      <c r="O99" s="1097">
        <f t="shared" ref="O99" si="903">O98/O67</f>
        <v>-1.0085977080497233E-2</v>
      </c>
      <c r="P99" s="159"/>
      <c r="Q99" s="1097">
        <f t="shared" ref="Q99" si="904">Q98/Q67</f>
        <v>5.6141851816014124E-2</v>
      </c>
      <c r="R99" s="159"/>
      <c r="S99" s="1097">
        <f t="shared" ref="S99" si="905">S98/S67</f>
        <v>3.134060977148919E-2</v>
      </c>
      <c r="T99" s="159"/>
      <c r="U99" s="1097">
        <f t="shared" ref="U99" si="906">U98/U67</f>
        <v>6.1100075193311218E-2</v>
      </c>
      <c r="V99" s="159"/>
      <c r="W99" s="1097">
        <f t="shared" ref="W99" si="907">W98/W67</f>
        <v>0.1109701165822064</v>
      </c>
      <c r="X99" s="159"/>
      <c r="Y99" s="1097">
        <f t="shared" ref="Y99" si="908">Y98/Y67</f>
        <v>0.1299542621465361</v>
      </c>
      <c r="Z99" s="159"/>
      <c r="AA99" s="1097">
        <f t="shared" ref="AA99" si="909">AA98/AA67</f>
        <v>0.14247169203428864</v>
      </c>
      <c r="AB99" s="159"/>
      <c r="AC99" s="1097">
        <f>AC98/AC67</f>
        <v>0.21817138978277248</v>
      </c>
      <c r="AD99" s="159"/>
      <c r="AE99" s="1097">
        <f t="shared" ref="AE99" si="910">AE98/AE67</f>
        <v>0.19295301923914185</v>
      </c>
      <c r="AF99" s="159"/>
      <c r="AG99" s="1097">
        <f t="shared" ref="AG99" si="911">AG98/AG67</f>
        <v>0.15410135596339097</v>
      </c>
      <c r="AH99" s="159"/>
      <c r="AI99" s="1097">
        <f t="shared" ref="AI99" si="912">AI98/AI67</f>
        <v>0.18722108569907728</v>
      </c>
      <c r="AJ99" s="159"/>
      <c r="AK99" s="1097">
        <f t="shared" ref="AK99" si="913">AK98/AK67</f>
        <v>0.10087462850774744</v>
      </c>
      <c r="AL99" s="159"/>
      <c r="AM99" s="1097">
        <f t="shared" ref="AM99" si="914">AM98/AM67</f>
        <v>0.15523784629765228</v>
      </c>
      <c r="AN99" s="159"/>
      <c r="AO99" s="1097">
        <f t="shared" ref="AO99:AQ99" si="915">AO98/AO67</f>
        <v>0.21448840177921483</v>
      </c>
      <c r="AP99" s="159"/>
      <c r="AQ99" s="1097">
        <f t="shared" si="915"/>
        <v>0.22388738121355789</v>
      </c>
      <c r="AR99" s="159"/>
      <c r="AS99" s="1097">
        <f t="shared" ref="AS99:AU99" si="916">AS98/AS67</f>
        <v>0.2374874678961558</v>
      </c>
      <c r="AT99" s="159"/>
      <c r="AU99" s="1097">
        <f t="shared" si="916"/>
        <v>0.16448125368053376</v>
      </c>
      <c r="AV99" s="159"/>
      <c r="AW99" s="1097">
        <f t="shared" ref="AW99" si="917">AW98/AW67</f>
        <v>0.19038634816971706</v>
      </c>
      <c r="AX99" s="159"/>
      <c r="AY99" s="1097">
        <f t="shared" ref="AY99" si="918">AY98/AY67</f>
        <v>0.19038634816971706</v>
      </c>
      <c r="AZ99" s="159"/>
      <c r="BA99" s="1097">
        <f t="shared" ref="BA99" si="919">BA98/BA67</f>
        <v>8.8484329017767677E-2</v>
      </c>
    </row>
    <row r="100" spans="1:53" s="4" customFormat="1" ht="18" hidden="1" customHeight="1" outlineLevel="2" thickBot="1" x14ac:dyDescent="0.5">
      <c r="A100" s="561"/>
      <c r="B100" s="1235" t="s">
        <v>97</v>
      </c>
      <c r="C100" s="248" t="s">
        <v>98</v>
      </c>
      <c r="D100" s="249"/>
      <c r="E100" s="250" t="s">
        <v>99</v>
      </c>
      <c r="F100" s="251"/>
      <c r="G100" s="167">
        <v>620</v>
      </c>
      <c r="H100" s="251"/>
      <c r="I100" s="167">
        <v>620</v>
      </c>
      <c r="J100" s="251"/>
      <c r="K100" s="167">
        <v>620</v>
      </c>
      <c r="L100" s="251"/>
      <c r="M100" s="167">
        <v>620</v>
      </c>
      <c r="N100" s="251"/>
      <c r="O100" s="167">
        <v>620</v>
      </c>
      <c r="P100" s="251"/>
      <c r="Q100" s="167">
        <v>620</v>
      </c>
      <c r="R100" s="251"/>
      <c r="S100" s="167">
        <v>620</v>
      </c>
      <c r="T100" s="251"/>
      <c r="U100" s="167">
        <v>620</v>
      </c>
      <c r="V100" s="251"/>
      <c r="W100" s="167">
        <v>620</v>
      </c>
      <c r="X100" s="251"/>
      <c r="Y100" s="167">
        <v>620</v>
      </c>
      <c r="Z100" s="251"/>
      <c r="AA100" s="167">
        <v>620</v>
      </c>
      <c r="AB100" s="251"/>
      <c r="AC100" s="167">
        <v>620</v>
      </c>
      <c r="AD100" s="251"/>
      <c r="AE100" s="167">
        <v>620</v>
      </c>
      <c r="AF100" s="251"/>
      <c r="AG100" s="167">
        <v>620</v>
      </c>
      <c r="AH100" s="251"/>
      <c r="AI100" s="167">
        <v>620</v>
      </c>
      <c r="AJ100" s="251"/>
      <c r="AK100" s="167">
        <v>620</v>
      </c>
      <c r="AL100" s="251"/>
      <c r="AM100" s="167">
        <v>620</v>
      </c>
      <c r="AN100" s="251"/>
      <c r="AO100" s="167">
        <v>620</v>
      </c>
      <c r="AP100" s="251"/>
      <c r="AQ100" s="167">
        <v>620</v>
      </c>
      <c r="AR100" s="251"/>
      <c r="AS100" s="167">
        <v>620</v>
      </c>
      <c r="AT100" s="251"/>
      <c r="AU100" s="167">
        <v>620</v>
      </c>
      <c r="AV100" s="251"/>
      <c r="AW100" s="167">
        <v>620</v>
      </c>
      <c r="AX100" s="251"/>
      <c r="AY100" s="167">
        <v>620</v>
      </c>
      <c r="AZ100" s="251"/>
      <c r="BA100" s="167">
        <v>620</v>
      </c>
    </row>
    <row r="101" spans="1:53" s="4" customFormat="1" ht="18" hidden="1" customHeight="1" outlineLevel="2" x14ac:dyDescent="0.45">
      <c r="A101" s="561"/>
      <c r="B101" s="1187"/>
      <c r="C101" s="161" t="s">
        <v>143</v>
      </c>
      <c r="D101" s="162"/>
      <c r="E101" s="163" t="s">
        <v>99</v>
      </c>
      <c r="F101" s="164"/>
      <c r="G101" s="168">
        <v>1150</v>
      </c>
      <c r="H101" s="164"/>
      <c r="I101" s="168">
        <v>1150</v>
      </c>
      <c r="J101" s="164"/>
      <c r="K101" s="168">
        <v>1150</v>
      </c>
      <c r="L101" s="164"/>
      <c r="M101" s="168">
        <v>1150</v>
      </c>
      <c r="N101" s="164"/>
      <c r="O101" s="168">
        <v>1150</v>
      </c>
      <c r="P101" s="164"/>
      <c r="Q101" s="168">
        <v>1150</v>
      </c>
      <c r="R101" s="164"/>
      <c r="S101" s="168">
        <v>1150</v>
      </c>
      <c r="T101" s="164"/>
      <c r="U101" s="168">
        <v>1150</v>
      </c>
      <c r="V101" s="164"/>
      <c r="W101" s="168">
        <v>1150</v>
      </c>
      <c r="X101" s="164"/>
      <c r="Y101" s="168">
        <v>1150</v>
      </c>
      <c r="Z101" s="164"/>
      <c r="AA101" s="168">
        <v>1150</v>
      </c>
      <c r="AB101" s="164"/>
      <c r="AC101" s="168">
        <v>1150</v>
      </c>
      <c r="AD101" s="164"/>
      <c r="AE101" s="168">
        <v>1150</v>
      </c>
      <c r="AF101" s="164"/>
      <c r="AG101" s="168">
        <v>1150</v>
      </c>
      <c r="AH101" s="164"/>
      <c r="AI101" s="168">
        <v>1150</v>
      </c>
      <c r="AJ101" s="164"/>
      <c r="AK101" s="168">
        <v>1150</v>
      </c>
      <c r="AL101" s="164"/>
      <c r="AM101" s="168">
        <v>1150</v>
      </c>
      <c r="AN101" s="164"/>
      <c r="AO101" s="168">
        <v>1150</v>
      </c>
      <c r="AP101" s="164"/>
      <c r="AQ101" s="168">
        <v>1150</v>
      </c>
      <c r="AR101" s="164"/>
      <c r="AS101" s="168">
        <v>1150</v>
      </c>
      <c r="AT101" s="164"/>
      <c r="AU101" s="168">
        <v>1150</v>
      </c>
      <c r="AV101" s="164"/>
      <c r="AW101" s="168">
        <v>1150</v>
      </c>
      <c r="AX101" s="164"/>
      <c r="AY101" s="168">
        <v>1150</v>
      </c>
      <c r="AZ101" s="164"/>
      <c r="BA101" s="168">
        <v>1150</v>
      </c>
    </row>
    <row r="102" spans="1:53" s="4" customFormat="1" ht="18" hidden="1" customHeight="1" outlineLevel="2" thickTop="1" x14ac:dyDescent="0.45">
      <c r="A102" s="561"/>
      <c r="B102" s="1187"/>
      <c r="C102" s="161" t="s">
        <v>101</v>
      </c>
      <c r="D102" s="162"/>
      <c r="E102" s="163" t="s">
        <v>99</v>
      </c>
      <c r="F102" s="164"/>
      <c r="G102" s="168">
        <v>750</v>
      </c>
      <c r="H102" s="164"/>
      <c r="I102" s="168">
        <v>750</v>
      </c>
      <c r="J102" s="164"/>
      <c r="K102" s="168">
        <v>750</v>
      </c>
      <c r="L102" s="164"/>
      <c r="M102" s="168">
        <v>750</v>
      </c>
      <c r="N102" s="164"/>
      <c r="O102" s="168">
        <v>750</v>
      </c>
      <c r="P102" s="164"/>
      <c r="Q102" s="168">
        <v>750</v>
      </c>
      <c r="R102" s="164"/>
      <c r="S102" s="168">
        <v>750</v>
      </c>
      <c r="T102" s="164"/>
      <c r="U102" s="168">
        <v>750</v>
      </c>
      <c r="V102" s="164"/>
      <c r="W102" s="168">
        <v>750</v>
      </c>
      <c r="X102" s="164"/>
      <c r="Y102" s="168">
        <v>750</v>
      </c>
      <c r="Z102" s="164"/>
      <c r="AA102" s="168">
        <v>750</v>
      </c>
      <c r="AB102" s="164"/>
      <c r="AC102" s="168">
        <v>750</v>
      </c>
      <c r="AD102" s="164"/>
      <c r="AE102" s="168">
        <v>750</v>
      </c>
      <c r="AF102" s="164"/>
      <c r="AG102" s="168">
        <v>750</v>
      </c>
      <c r="AH102" s="164"/>
      <c r="AI102" s="168">
        <v>750</v>
      </c>
      <c r="AJ102" s="164"/>
      <c r="AK102" s="168">
        <v>750</v>
      </c>
      <c r="AL102" s="164"/>
      <c r="AM102" s="168">
        <v>750</v>
      </c>
      <c r="AN102" s="164"/>
      <c r="AO102" s="168">
        <v>750</v>
      </c>
      <c r="AP102" s="164"/>
      <c r="AQ102" s="168">
        <v>750</v>
      </c>
      <c r="AR102" s="164"/>
      <c r="AS102" s="168">
        <v>750</v>
      </c>
      <c r="AT102" s="164"/>
      <c r="AU102" s="168">
        <v>750</v>
      </c>
      <c r="AV102" s="164"/>
      <c r="AW102" s="168">
        <v>750</v>
      </c>
      <c r="AX102" s="164"/>
      <c r="AY102" s="168">
        <v>750</v>
      </c>
      <c r="AZ102" s="164"/>
      <c r="BA102" s="168">
        <v>750</v>
      </c>
    </row>
    <row r="103" spans="1:53" s="4" customFormat="1" ht="18" hidden="1" customHeight="1" outlineLevel="2" thickTop="1" x14ac:dyDescent="0.45">
      <c r="A103" s="561"/>
      <c r="B103" s="1187"/>
      <c r="C103" s="170"/>
      <c r="D103" s="162"/>
      <c r="E103" s="162"/>
      <c r="F103" s="164"/>
      <c r="G103" s="171"/>
      <c r="H103" s="164"/>
      <c r="I103" s="171"/>
      <c r="J103" s="164"/>
      <c r="K103" s="171"/>
      <c r="L103" s="164"/>
      <c r="M103" s="171"/>
      <c r="N103" s="164"/>
      <c r="O103" s="171"/>
      <c r="P103" s="164"/>
      <c r="Q103" s="171"/>
      <c r="R103" s="164"/>
      <c r="S103" s="171"/>
      <c r="T103" s="164"/>
      <c r="U103" s="171"/>
      <c r="V103" s="164"/>
      <c r="W103" s="171"/>
      <c r="X103" s="164"/>
      <c r="Y103" s="171"/>
      <c r="Z103" s="164"/>
      <c r="AA103" s="171"/>
      <c r="AB103" s="164"/>
      <c r="AC103" s="171"/>
      <c r="AD103" s="164"/>
      <c r="AE103" s="171"/>
      <c r="AF103" s="164"/>
      <c r="AG103" s="171"/>
      <c r="AH103" s="164"/>
      <c r="AI103" s="171"/>
      <c r="AJ103" s="164"/>
      <c r="AK103" s="171"/>
      <c r="AL103" s="164"/>
      <c r="AM103" s="171"/>
      <c r="AN103" s="164"/>
      <c r="AO103" s="171"/>
      <c r="AP103" s="164"/>
      <c r="AQ103" s="171"/>
      <c r="AR103" s="164"/>
      <c r="AS103" s="171"/>
      <c r="AT103" s="164"/>
      <c r="AU103" s="171"/>
      <c r="AV103" s="164"/>
      <c r="AW103" s="171"/>
      <c r="AX103" s="164"/>
      <c r="AY103" s="171"/>
      <c r="AZ103" s="164"/>
      <c r="BA103" s="171"/>
    </row>
    <row r="104" spans="1:53" s="4" customFormat="1" ht="18" hidden="1" customHeight="1" outlineLevel="2" thickTop="1" x14ac:dyDescent="0.45">
      <c r="A104" s="561"/>
      <c r="B104" s="1187"/>
      <c r="C104" s="161" t="s">
        <v>102</v>
      </c>
      <c r="D104" s="162"/>
      <c r="E104" s="163" t="s">
        <v>99</v>
      </c>
      <c r="F104" s="173"/>
      <c r="G104" s="165">
        <f>G101-G100</f>
        <v>530</v>
      </c>
      <c r="H104" s="173"/>
      <c r="I104" s="165">
        <f t="shared" ref="I104" si="920">I101-I100</f>
        <v>530</v>
      </c>
      <c r="J104" s="173"/>
      <c r="K104" s="165">
        <f t="shared" ref="K104" si="921">K101-K100</f>
        <v>530</v>
      </c>
      <c r="L104" s="173"/>
      <c r="M104" s="165">
        <f t="shared" ref="M104" si="922">M101-M100</f>
        <v>530</v>
      </c>
      <c r="N104" s="173"/>
      <c r="O104" s="165">
        <f t="shared" ref="O104" si="923">O101-O100</f>
        <v>530</v>
      </c>
      <c r="P104" s="173"/>
      <c r="Q104" s="165">
        <f t="shared" ref="Q104" si="924">Q101-Q100</f>
        <v>530</v>
      </c>
      <c r="R104" s="173"/>
      <c r="S104" s="165">
        <f t="shared" ref="S104" si="925">S101-S100</f>
        <v>530</v>
      </c>
      <c r="T104" s="173"/>
      <c r="U104" s="165">
        <f t="shared" ref="U104" si="926">U101-U100</f>
        <v>530</v>
      </c>
      <c r="V104" s="173"/>
      <c r="W104" s="165">
        <f t="shared" ref="W104" si="927">W101-W100</f>
        <v>530</v>
      </c>
      <c r="X104" s="173"/>
      <c r="Y104" s="165">
        <f t="shared" ref="Y104" si="928">Y101-Y100</f>
        <v>530</v>
      </c>
      <c r="Z104" s="173"/>
      <c r="AA104" s="165">
        <f t="shared" ref="AA104" si="929">AA101-AA100</f>
        <v>530</v>
      </c>
      <c r="AB104" s="173"/>
      <c r="AC104" s="165">
        <f t="shared" ref="AC104:AI104" si="930">AC101-AC100</f>
        <v>530</v>
      </c>
      <c r="AD104" s="173"/>
      <c r="AE104" s="165">
        <f t="shared" si="930"/>
        <v>530</v>
      </c>
      <c r="AF104" s="173"/>
      <c r="AG104" s="165">
        <f t="shared" si="930"/>
        <v>530</v>
      </c>
      <c r="AH104" s="173"/>
      <c r="AI104" s="165">
        <f t="shared" si="930"/>
        <v>530</v>
      </c>
      <c r="AJ104" s="173"/>
      <c r="AK104" s="165">
        <f t="shared" ref="AK104" si="931">AK101-AK100</f>
        <v>530</v>
      </c>
      <c r="AL104" s="173"/>
      <c r="AM104" s="165">
        <f t="shared" ref="AM104" si="932">AM101-AM100</f>
        <v>530</v>
      </c>
      <c r="AN104" s="173"/>
      <c r="AO104" s="165">
        <f t="shared" ref="AO104:AQ104" si="933">AO101-AO100</f>
        <v>530</v>
      </c>
      <c r="AP104" s="173"/>
      <c r="AQ104" s="165">
        <f t="shared" si="933"/>
        <v>530</v>
      </c>
      <c r="AR104" s="173"/>
      <c r="AS104" s="165">
        <f t="shared" ref="AS104:AU104" si="934">AS101-AS100</f>
        <v>530</v>
      </c>
      <c r="AT104" s="173"/>
      <c r="AU104" s="165">
        <f t="shared" si="934"/>
        <v>530</v>
      </c>
      <c r="AV104" s="173"/>
      <c r="AW104" s="165">
        <f t="shared" ref="AW104" si="935">AW101-AW100</f>
        <v>530</v>
      </c>
      <c r="AX104" s="173"/>
      <c r="AY104" s="165">
        <f t="shared" ref="AY104" si="936">AY101-AY100</f>
        <v>530</v>
      </c>
      <c r="AZ104" s="173"/>
      <c r="BA104" s="165">
        <f t="shared" ref="BA104" si="937">BA101-BA100</f>
        <v>530</v>
      </c>
    </row>
    <row r="105" spans="1:53" s="97" customFormat="1" ht="18" hidden="1" customHeight="1" outlineLevel="2" thickTop="1" x14ac:dyDescent="0.45">
      <c r="A105" s="561"/>
      <c r="B105" s="1187"/>
      <c r="C105" s="174" t="s">
        <v>103</v>
      </c>
      <c r="D105" s="175"/>
      <c r="E105" s="176" t="s">
        <v>104</v>
      </c>
      <c r="F105" s="177"/>
      <c r="G105" s="178">
        <f>G104/G66</f>
        <v>0.11041666666666666</v>
      </c>
      <c r="H105" s="177"/>
      <c r="I105" s="178">
        <f t="shared" ref="I105" si="938">I104/I66</f>
        <v>0.11041666666666666</v>
      </c>
      <c r="J105" s="177"/>
      <c r="K105" s="178">
        <f t="shared" ref="K105" si="939">K104/K66</f>
        <v>0.11041666666666666</v>
      </c>
      <c r="L105" s="177"/>
      <c r="M105" s="178">
        <f t="shared" ref="M105" si="940">M104/M66</f>
        <v>0.11041666666666666</v>
      </c>
      <c r="N105" s="177"/>
      <c r="O105" s="178">
        <f t="shared" ref="O105" si="941">O104/O66</f>
        <v>0.11041666666666666</v>
      </c>
      <c r="P105" s="177"/>
      <c r="Q105" s="178">
        <f t="shared" ref="Q105" si="942">Q104/Q66</f>
        <v>0.11041666666666666</v>
      </c>
      <c r="R105" s="177"/>
      <c r="S105" s="178">
        <f t="shared" ref="S105" si="943">S104/S66</f>
        <v>0.11041666666666666</v>
      </c>
      <c r="T105" s="177"/>
      <c r="U105" s="178">
        <f t="shared" ref="U105" si="944">U104/U66</f>
        <v>0.11041666666666666</v>
      </c>
      <c r="V105" s="177"/>
      <c r="W105" s="178">
        <f t="shared" ref="W105" si="945">W104/W66</f>
        <v>0.11041666666666666</v>
      </c>
      <c r="X105" s="177"/>
      <c r="Y105" s="178">
        <f t="shared" ref="Y105" si="946">Y104/Y66</f>
        <v>0.11041666666666666</v>
      </c>
      <c r="Z105" s="177"/>
      <c r="AA105" s="178">
        <f t="shared" ref="AA105" si="947">AA104/AA66</f>
        <v>0.11041666666666666</v>
      </c>
      <c r="AB105" s="177"/>
      <c r="AC105" s="178">
        <f t="shared" ref="AC105" si="948">AC104/AC66</f>
        <v>0.11041666666666666</v>
      </c>
      <c r="AD105" s="177"/>
      <c r="AE105" s="178">
        <f t="shared" ref="AE105" si="949">AE104/AE66</f>
        <v>0.11041666666666666</v>
      </c>
      <c r="AF105" s="177"/>
      <c r="AG105" s="178">
        <f t="shared" ref="AG105" si="950">AG104/AG66</f>
        <v>0.11041666666666666</v>
      </c>
      <c r="AH105" s="177"/>
      <c r="AI105" s="178">
        <f t="shared" ref="AI105" si="951">AI104/AI66</f>
        <v>0.11041666666666666</v>
      </c>
      <c r="AJ105" s="177"/>
      <c r="AK105" s="178">
        <f t="shared" ref="AK105" si="952">AK104/AK66</f>
        <v>0.11041666666666666</v>
      </c>
      <c r="AL105" s="177"/>
      <c r="AM105" s="178">
        <f t="shared" ref="AM105" si="953">AM104/AM66</f>
        <v>0.11041666666666666</v>
      </c>
      <c r="AN105" s="177"/>
      <c r="AO105" s="178">
        <f t="shared" ref="AO105:AQ105" si="954">AO104/AO66</f>
        <v>0.11041666666666666</v>
      </c>
      <c r="AP105" s="177"/>
      <c r="AQ105" s="178">
        <f t="shared" si="954"/>
        <v>0.11041666666666666</v>
      </c>
      <c r="AR105" s="177"/>
      <c r="AS105" s="178">
        <f t="shared" ref="AS105:AU105" si="955">AS104/AS66</f>
        <v>0.11041666666666666</v>
      </c>
      <c r="AT105" s="177"/>
      <c r="AU105" s="178">
        <f t="shared" si="955"/>
        <v>0.11041666666666666</v>
      </c>
      <c r="AV105" s="177"/>
      <c r="AW105" s="178">
        <f t="shared" ref="AW105" si="956">AW104/AW66</f>
        <v>0.11041666666666666</v>
      </c>
      <c r="AX105" s="177"/>
      <c r="AY105" s="178">
        <f t="shared" ref="AY105" si="957">AY104/AY66</f>
        <v>0.11041666666666666</v>
      </c>
      <c r="AZ105" s="177"/>
      <c r="BA105" s="178">
        <f t="shared" ref="BA105" si="958">BA104/BA66</f>
        <v>0.11041666666666666</v>
      </c>
    </row>
    <row r="106" spans="1:53" s="97" customFormat="1" ht="18" hidden="1" customHeight="1" outlineLevel="2" thickTop="1" x14ac:dyDescent="0.45">
      <c r="A106" s="561"/>
      <c r="B106" s="1187"/>
      <c r="C106" s="174" t="s">
        <v>105</v>
      </c>
      <c r="D106" s="175"/>
      <c r="E106" s="176" t="s">
        <v>104</v>
      </c>
      <c r="F106" s="177"/>
      <c r="G106" s="178">
        <f>(G101-G102)/G66</f>
        <v>8.3333333333333329E-2</v>
      </c>
      <c r="H106" s="177"/>
      <c r="I106" s="178">
        <f t="shared" ref="I106" si="959">(I101-I102)/I66</f>
        <v>8.3333333333333329E-2</v>
      </c>
      <c r="J106" s="177"/>
      <c r="K106" s="178">
        <f t="shared" ref="K106" si="960">(K101-K102)/K66</f>
        <v>8.3333333333333329E-2</v>
      </c>
      <c r="L106" s="177"/>
      <c r="M106" s="178">
        <f t="shared" ref="M106" si="961">(M101-M102)/M66</f>
        <v>8.3333333333333329E-2</v>
      </c>
      <c r="N106" s="177"/>
      <c r="O106" s="178">
        <f t="shared" ref="O106" si="962">(O101-O102)/O66</f>
        <v>8.3333333333333329E-2</v>
      </c>
      <c r="P106" s="177"/>
      <c r="Q106" s="178">
        <f t="shared" ref="Q106" si="963">(Q101-Q102)/Q66</f>
        <v>8.3333333333333329E-2</v>
      </c>
      <c r="R106" s="177"/>
      <c r="S106" s="178">
        <f t="shared" ref="S106" si="964">(S101-S102)/S66</f>
        <v>8.3333333333333329E-2</v>
      </c>
      <c r="T106" s="177"/>
      <c r="U106" s="178">
        <f t="shared" ref="U106" si="965">(U101-U102)/U66</f>
        <v>8.3333333333333329E-2</v>
      </c>
      <c r="V106" s="177"/>
      <c r="W106" s="178">
        <f t="shared" ref="W106" si="966">(W101-W102)/W66</f>
        <v>8.3333333333333329E-2</v>
      </c>
      <c r="X106" s="177"/>
      <c r="Y106" s="178">
        <f t="shared" ref="Y106" si="967">(Y101-Y102)/Y66</f>
        <v>8.3333333333333329E-2</v>
      </c>
      <c r="Z106" s="177"/>
      <c r="AA106" s="178">
        <f t="shared" ref="AA106" si="968">(AA101-AA102)/AA66</f>
        <v>8.3333333333333329E-2</v>
      </c>
      <c r="AB106" s="177"/>
      <c r="AC106" s="178">
        <f t="shared" ref="AC106:AI106" si="969">(AC101-AC102)/AC66</f>
        <v>8.3333333333333329E-2</v>
      </c>
      <c r="AD106" s="177"/>
      <c r="AE106" s="178">
        <f t="shared" si="969"/>
        <v>8.3333333333333329E-2</v>
      </c>
      <c r="AF106" s="177"/>
      <c r="AG106" s="178">
        <f t="shared" si="969"/>
        <v>8.3333333333333329E-2</v>
      </c>
      <c r="AH106" s="177"/>
      <c r="AI106" s="178">
        <f t="shared" si="969"/>
        <v>8.3333333333333329E-2</v>
      </c>
      <c r="AJ106" s="177"/>
      <c r="AK106" s="178">
        <f t="shared" ref="AK106" si="970">(AK101-AK102)/AK66</f>
        <v>8.3333333333333329E-2</v>
      </c>
      <c r="AL106" s="177"/>
      <c r="AM106" s="178">
        <f t="shared" ref="AM106" si="971">(AM101-AM102)/AM66</f>
        <v>8.3333333333333329E-2</v>
      </c>
      <c r="AN106" s="177"/>
      <c r="AO106" s="178">
        <f t="shared" ref="AO106:AQ106" si="972">(AO101-AO102)/AO66</f>
        <v>8.3333333333333329E-2</v>
      </c>
      <c r="AP106" s="177"/>
      <c r="AQ106" s="178">
        <f t="shared" si="972"/>
        <v>8.3333333333333329E-2</v>
      </c>
      <c r="AR106" s="177"/>
      <c r="AS106" s="178">
        <f t="shared" ref="AS106:AU106" si="973">(AS101-AS102)/AS66</f>
        <v>8.3333333333333329E-2</v>
      </c>
      <c r="AT106" s="177"/>
      <c r="AU106" s="178">
        <f t="shared" si="973"/>
        <v>8.3333333333333329E-2</v>
      </c>
      <c r="AV106" s="177"/>
      <c r="AW106" s="178">
        <f t="shared" ref="AW106" si="974">(AW101-AW102)/AW66</f>
        <v>8.3333333333333329E-2</v>
      </c>
      <c r="AX106" s="177"/>
      <c r="AY106" s="178">
        <f t="shared" ref="AY106" si="975">(AY101-AY102)/AY66</f>
        <v>8.3333333333333329E-2</v>
      </c>
      <c r="AZ106" s="177"/>
      <c r="BA106" s="178">
        <f t="shared" ref="BA106" si="976">(BA101-BA102)/BA66</f>
        <v>8.3333333333333329E-2</v>
      </c>
    </row>
    <row r="107" spans="1:53" s="4" customFormat="1" ht="18" hidden="1" customHeight="1" outlineLevel="2" thickTop="1" x14ac:dyDescent="0.45">
      <c r="A107" s="561"/>
      <c r="B107" s="1187"/>
      <c r="C107" s="170"/>
      <c r="D107" s="162"/>
      <c r="E107" s="179"/>
      <c r="F107" s="180"/>
      <c r="G107" s="181"/>
      <c r="H107" s="180"/>
      <c r="I107" s="181"/>
      <c r="J107" s="180"/>
      <c r="K107" s="181"/>
      <c r="L107" s="180"/>
      <c r="M107" s="181"/>
      <c r="N107" s="180"/>
      <c r="O107" s="181"/>
      <c r="P107" s="180"/>
      <c r="Q107" s="181"/>
      <c r="R107" s="180"/>
      <c r="S107" s="181"/>
      <c r="T107" s="180"/>
      <c r="U107" s="181"/>
      <c r="V107" s="180"/>
      <c r="W107" s="181"/>
      <c r="X107" s="180"/>
      <c r="Y107" s="181"/>
      <c r="Z107" s="180"/>
      <c r="AA107" s="181"/>
      <c r="AB107" s="180"/>
      <c r="AC107" s="181"/>
      <c r="AD107" s="180"/>
      <c r="AE107" s="181"/>
      <c r="AF107" s="180"/>
      <c r="AG107" s="181"/>
      <c r="AH107" s="180"/>
      <c r="AI107" s="181"/>
      <c r="AJ107" s="180"/>
      <c r="AK107" s="181"/>
      <c r="AL107" s="180"/>
      <c r="AM107" s="181"/>
      <c r="AN107" s="180"/>
      <c r="AO107" s="181"/>
      <c r="AP107" s="180"/>
      <c r="AQ107" s="181"/>
      <c r="AR107" s="180"/>
      <c r="AS107" s="181"/>
      <c r="AT107" s="180"/>
      <c r="AU107" s="181"/>
      <c r="AV107" s="180"/>
      <c r="AW107" s="181"/>
      <c r="AX107" s="180"/>
      <c r="AY107" s="181"/>
      <c r="AZ107" s="180"/>
      <c r="BA107" s="181"/>
    </row>
    <row r="108" spans="1:53" s="4" customFormat="1" ht="18" hidden="1" customHeight="1" outlineLevel="2" thickTop="1" x14ac:dyDescent="0.45">
      <c r="A108" s="561"/>
      <c r="B108" s="1187"/>
      <c r="C108" s="183" t="s">
        <v>106</v>
      </c>
      <c r="D108" s="184"/>
      <c r="E108" s="185"/>
      <c r="F108" s="186"/>
      <c r="G108" s="187">
        <f>G60-(G101/G66)-G74</f>
        <v>1.5404270906126256</v>
      </c>
      <c r="H108" s="186"/>
      <c r="I108" s="187">
        <f t="shared" ref="I108" si="977">I60-(I101/I66)-I74</f>
        <v>1.4096642351497035</v>
      </c>
      <c r="J108" s="186"/>
      <c r="K108" s="187">
        <f t="shared" ref="K108" si="978">K60-(K101/K66)-K74</f>
        <v>1.3985524929368718</v>
      </c>
      <c r="L108" s="186"/>
      <c r="M108" s="187">
        <f t="shared" ref="M108" si="979">M60-(M101/M66)-M74</f>
        <v>1.3898584006763555</v>
      </c>
      <c r="N108" s="186"/>
      <c r="O108" s="187">
        <f t="shared" ref="O108" si="980">O60-(O101/O66)-O74</f>
        <v>1.1171541773713511</v>
      </c>
      <c r="P108" s="186"/>
      <c r="Q108" s="187">
        <f t="shared" ref="Q108" si="981">Q60-(Q101/Q66)-Q74</f>
        <v>1.347325362610893</v>
      </c>
      <c r="R108" s="186"/>
      <c r="S108" s="187">
        <f t="shared" ref="S108" si="982">S60-(S101/S66)-S74</f>
        <v>1.2274592687424852</v>
      </c>
      <c r="T108" s="186"/>
      <c r="U108" s="187">
        <f t="shared" ref="U108" si="983">U60-(U101/U66)-U74</f>
        <v>1.3453504213881078</v>
      </c>
      <c r="V108" s="186"/>
      <c r="W108" s="187">
        <f t="shared" ref="W108" si="984">W60-(W101/W66)-W74</f>
        <v>1.4954516661167934</v>
      </c>
      <c r="X108" s="186"/>
      <c r="Y108" s="187">
        <f t="shared" ref="Y108" si="985">Y60-(Y101/Y66)-Y74</f>
        <v>1.51272244823517</v>
      </c>
      <c r="Z108" s="186"/>
      <c r="AA108" s="187">
        <f t="shared" ref="AA108" si="986">AA60-(AA101/AA66)-AA74</f>
        <v>1.5414513933535714</v>
      </c>
      <c r="AB108" s="186"/>
      <c r="AC108" s="187">
        <f t="shared" ref="AC108:AI108" si="987">AC60-(AC101/AC66)-AC74</f>
        <v>1.7045782698184446</v>
      </c>
      <c r="AD108" s="186"/>
      <c r="AE108" s="187">
        <f t="shared" si="987"/>
        <v>1.708817992671924</v>
      </c>
      <c r="AF108" s="186"/>
      <c r="AG108" s="187">
        <f t="shared" si="987"/>
        <v>1.4956008366358433</v>
      </c>
      <c r="AH108" s="186"/>
      <c r="AI108" s="187">
        <f t="shared" si="987"/>
        <v>1.7380593834069669</v>
      </c>
      <c r="AJ108" s="186"/>
      <c r="AK108" s="187">
        <f t="shared" ref="AK108" si="988">AK60-(AK101/AK66)-AK74</f>
        <v>1.2504166968393058</v>
      </c>
      <c r="AL108" s="186"/>
      <c r="AM108" s="187">
        <f t="shared" ref="AM108" si="989">AM60-(AM101/AM66)-AM74</f>
        <v>1.5622063002863484</v>
      </c>
      <c r="AN108" s="186"/>
      <c r="AO108" s="187">
        <f t="shared" ref="AO108:AQ108" si="990">AO60-(AO101/AO66)-AO74</f>
        <v>1.7469253657011099</v>
      </c>
      <c r="AP108" s="186"/>
      <c r="AQ108" s="187">
        <f t="shared" si="990"/>
        <v>1.7718955672616383</v>
      </c>
      <c r="AR108" s="186"/>
      <c r="AS108" s="187">
        <f t="shared" ref="AS108:AU108" si="991">AS60-(AS101/AS66)-AS74</f>
        <v>1.827630421550134</v>
      </c>
      <c r="AT108" s="186"/>
      <c r="AU108" s="187">
        <f t="shared" si="991"/>
        <v>1.827630421550134</v>
      </c>
      <c r="AV108" s="186"/>
      <c r="AW108" s="187">
        <f t="shared" ref="AW108" si="992">AW60-(AW101/AW66)-AW74</f>
        <v>1.9369038862820855</v>
      </c>
      <c r="AX108" s="186"/>
      <c r="AY108" s="187">
        <f t="shared" ref="AY108" si="993">AY60-(AY101/AY66)-AY74</f>
        <v>1.9369038862820855</v>
      </c>
      <c r="AZ108" s="186"/>
      <c r="BA108" s="187">
        <f t="shared" ref="BA108" si="994">BA60-(BA101/BA66)-BA74</f>
        <v>1.5404166666666672</v>
      </c>
    </row>
    <row r="109" spans="1:53" s="4" customFormat="1" ht="18" hidden="1" customHeight="1" outlineLevel="2" thickTop="1" x14ac:dyDescent="0.45">
      <c r="A109" s="561"/>
      <c r="B109" s="1187"/>
      <c r="C109" s="190" t="s">
        <v>107</v>
      </c>
      <c r="D109" s="184"/>
      <c r="E109" s="191"/>
      <c r="F109" s="192"/>
      <c r="G109" s="193">
        <f>G108/G67</f>
        <v>0.37298476770281491</v>
      </c>
      <c r="H109" s="192"/>
      <c r="I109" s="193">
        <f t="shared" ref="I109" si="995">I108/I67</f>
        <v>0.34132305935828172</v>
      </c>
      <c r="J109" s="192"/>
      <c r="K109" s="193">
        <f t="shared" ref="K109" si="996">K108/K67</f>
        <v>0.33863256487575588</v>
      </c>
      <c r="L109" s="192"/>
      <c r="M109" s="193">
        <f t="shared" ref="M109" si="997">M108/M67</f>
        <v>0.33652745779088511</v>
      </c>
      <c r="N109" s="192"/>
      <c r="O109" s="193">
        <f t="shared" ref="O109" si="998">O108/O67</f>
        <v>0.27049737950880176</v>
      </c>
      <c r="P109" s="192"/>
      <c r="Q109" s="193">
        <f t="shared" ref="Q109" si="999">Q108/Q67</f>
        <v>0.32622890135856975</v>
      </c>
      <c r="R109" s="192"/>
      <c r="S109" s="193">
        <f t="shared" ref="S109" si="1000">S108/S67</f>
        <v>0.29720563407808359</v>
      </c>
      <c r="T109" s="192"/>
      <c r="U109" s="193">
        <f t="shared" ref="U109" si="1001">U108/U67</f>
        <v>0.32575070735789535</v>
      </c>
      <c r="V109" s="192"/>
      <c r="W109" s="193">
        <f t="shared" ref="W109" si="1002">W108/W67</f>
        <v>0.36209483441084583</v>
      </c>
      <c r="X109" s="192"/>
      <c r="Y109" s="193">
        <f t="shared" ref="Y109" si="1003">Y108/Y67</f>
        <v>0.36627662184870946</v>
      </c>
      <c r="Z109" s="192"/>
      <c r="AA109" s="193">
        <f t="shared" ref="AA109" si="1004">AA108/AA67</f>
        <v>0.37323278289432721</v>
      </c>
      <c r="AB109" s="192"/>
      <c r="AC109" s="193">
        <f t="shared" ref="AC109" si="1005">AC108/AC67</f>
        <v>0.41273081593666944</v>
      </c>
      <c r="AD109" s="192"/>
      <c r="AE109" s="193">
        <f t="shared" ref="AE109" si="1006">AE108/AE67</f>
        <v>0.41375738321354094</v>
      </c>
      <c r="AF109" s="192"/>
      <c r="AG109" s="193">
        <f t="shared" ref="AG109" si="1007">AG108/AG67</f>
        <v>0.36213095318059163</v>
      </c>
      <c r="AH109" s="192"/>
      <c r="AI109" s="193">
        <f t="shared" ref="AI109" si="1008">AI108/AI67</f>
        <v>0.42083762310096051</v>
      </c>
      <c r="AJ109" s="192"/>
      <c r="AK109" s="193">
        <f t="shared" ref="AK109" si="1009">AK108/AK67</f>
        <v>0.30276433337513459</v>
      </c>
      <c r="AL109" s="192"/>
      <c r="AM109" s="193">
        <f t="shared" ref="AM109" si="1010">AM108/AM67</f>
        <v>0.37825818408870421</v>
      </c>
      <c r="AN109" s="192"/>
      <c r="AO109" s="193">
        <f t="shared" ref="AO109:AQ109" si="1011">AO108/AO67</f>
        <v>0.42298435004869489</v>
      </c>
      <c r="AP109" s="192"/>
      <c r="AQ109" s="193">
        <f t="shared" si="1011"/>
        <v>0.42903040369531198</v>
      </c>
      <c r="AR109" s="192"/>
      <c r="AS109" s="193">
        <f t="shared" ref="AS109:AU109" si="1012">AS108/AS67</f>
        <v>0.44252552579906396</v>
      </c>
      <c r="AT109" s="192"/>
      <c r="AU109" s="193">
        <f t="shared" si="1012"/>
        <v>0.44252552579906396</v>
      </c>
      <c r="AV109" s="192"/>
      <c r="AW109" s="193">
        <f t="shared" ref="AW109" si="1013">AW108/AW67</f>
        <v>0.4689839918358561</v>
      </c>
      <c r="AX109" s="192"/>
      <c r="AY109" s="193">
        <f t="shared" ref="AY109" si="1014">AY108/AY67</f>
        <v>0.4689839918358561</v>
      </c>
      <c r="AZ109" s="192"/>
      <c r="BA109" s="193">
        <f t="shared" ref="BA109" si="1015">BA108/BA67</f>
        <v>0.36245098039215701</v>
      </c>
    </row>
    <row r="110" spans="1:53" s="162" customFormat="1" ht="18" hidden="1" customHeight="1" outlineLevel="2" thickTop="1" x14ac:dyDescent="0.45">
      <c r="A110" s="561"/>
      <c r="B110" s="1187"/>
      <c r="C110" s="196"/>
      <c r="E110" s="197"/>
      <c r="F110" s="164"/>
      <c r="G110" s="198"/>
      <c r="H110" s="164"/>
      <c r="I110" s="198"/>
      <c r="J110" s="164"/>
      <c r="K110" s="198"/>
      <c r="L110" s="164"/>
      <c r="M110" s="198"/>
      <c r="N110" s="164"/>
      <c r="O110" s="198"/>
      <c r="P110" s="164"/>
      <c r="Q110" s="198"/>
      <c r="R110" s="164"/>
      <c r="S110" s="198"/>
      <c r="T110" s="164"/>
      <c r="U110" s="198"/>
      <c r="V110" s="164"/>
      <c r="W110" s="198"/>
      <c r="X110" s="164"/>
      <c r="Y110" s="198"/>
      <c r="Z110" s="164"/>
      <c r="AA110" s="198"/>
      <c r="AB110" s="164"/>
      <c r="AC110" s="198"/>
      <c r="AD110" s="164"/>
      <c r="AE110" s="198"/>
      <c r="AF110" s="164"/>
      <c r="AG110" s="198"/>
      <c r="AH110" s="164"/>
      <c r="AI110" s="198"/>
      <c r="AJ110" s="164"/>
      <c r="AK110" s="198"/>
      <c r="AL110" s="164"/>
      <c r="AM110" s="198"/>
      <c r="AN110" s="164"/>
      <c r="AO110" s="198"/>
      <c r="AP110" s="164"/>
      <c r="AQ110" s="198"/>
      <c r="AR110" s="164"/>
      <c r="AS110" s="198"/>
      <c r="AT110" s="164"/>
      <c r="AU110" s="198"/>
      <c r="AV110" s="164"/>
      <c r="AW110" s="198"/>
      <c r="AX110" s="164"/>
      <c r="AY110" s="198"/>
      <c r="AZ110" s="164"/>
      <c r="BA110" s="198"/>
    </row>
    <row r="111" spans="1:53" s="4" customFormat="1" ht="18" hidden="1" customHeight="1" outlineLevel="2" thickTop="1" x14ac:dyDescent="0.45">
      <c r="A111" s="561"/>
      <c r="B111" s="1187"/>
      <c r="C111" s="183" t="s">
        <v>108</v>
      </c>
      <c r="D111" s="184"/>
      <c r="E111" s="185"/>
      <c r="F111" s="186"/>
      <c r="G111" s="187">
        <f>G60-(G102/G66)-G74</f>
        <v>1.6237604239459587</v>
      </c>
      <c r="H111" s="186"/>
      <c r="I111" s="187">
        <f t="shared" ref="I111" si="1016">I60-(I102/I66)-I74</f>
        <v>1.4929975684830366</v>
      </c>
      <c r="J111" s="186"/>
      <c r="K111" s="187">
        <f t="shared" ref="K111" si="1017">K60-(K102/K66)-K74</f>
        <v>1.4818858262702048</v>
      </c>
      <c r="L111" s="186"/>
      <c r="M111" s="187">
        <f t="shared" ref="M111" si="1018">M60-(M102/M66)-M74</f>
        <v>1.4731917340096885</v>
      </c>
      <c r="N111" s="186"/>
      <c r="O111" s="187">
        <f t="shared" ref="O111" si="1019">O60-(O102/O66)-O74</f>
        <v>1.2004875107046842</v>
      </c>
      <c r="P111" s="186"/>
      <c r="Q111" s="187">
        <f t="shared" ref="Q111" si="1020">Q60-(Q102/Q66)-Q74</f>
        <v>1.430658695944226</v>
      </c>
      <c r="R111" s="186"/>
      <c r="S111" s="187">
        <f t="shared" ref="S111" si="1021">S60-(S102/S66)-S74</f>
        <v>1.3107926020758183</v>
      </c>
      <c r="T111" s="186"/>
      <c r="U111" s="187">
        <f t="shared" ref="U111" si="1022">U60-(U102/U66)-U74</f>
        <v>1.4286837547214408</v>
      </c>
      <c r="V111" s="186"/>
      <c r="W111" s="187">
        <f t="shared" ref="W111" si="1023">W60-(W102/W66)-W74</f>
        <v>1.5787849994501264</v>
      </c>
      <c r="X111" s="186"/>
      <c r="Y111" s="187">
        <f t="shared" ref="Y111" si="1024">Y60-(Y102/Y66)-Y74</f>
        <v>1.596055781568503</v>
      </c>
      <c r="Z111" s="186"/>
      <c r="AA111" s="187">
        <f t="shared" ref="AA111" si="1025">AA60-(AA102/AA66)-AA74</f>
        <v>1.6247847266869044</v>
      </c>
      <c r="AB111" s="186"/>
      <c r="AC111" s="187">
        <f t="shared" ref="AC111:AI111" si="1026">AC60-(AC102/AC66)-AC74</f>
        <v>1.7879116031517777</v>
      </c>
      <c r="AD111" s="186"/>
      <c r="AE111" s="187">
        <f t="shared" si="1026"/>
        <v>1.7921513260052571</v>
      </c>
      <c r="AF111" s="186"/>
      <c r="AG111" s="187">
        <f t="shared" si="1026"/>
        <v>1.5789341699691763</v>
      </c>
      <c r="AH111" s="186"/>
      <c r="AI111" s="187">
        <f t="shared" si="1026"/>
        <v>1.8213927167402999</v>
      </c>
      <c r="AJ111" s="186"/>
      <c r="AK111" s="187">
        <f t="shared" ref="AK111" si="1027">AK60-(AK102/AK66)-AK74</f>
        <v>1.3337500301726388</v>
      </c>
      <c r="AL111" s="186"/>
      <c r="AM111" s="187">
        <f t="shared" ref="AM111" si="1028">AM60-(AM102/AM66)-AM74</f>
        <v>1.6455396336196815</v>
      </c>
      <c r="AN111" s="186"/>
      <c r="AO111" s="187">
        <f t="shared" ref="AO111:AQ111" si="1029">AO60-(AO102/AO66)-AO74</f>
        <v>1.8302586990344429</v>
      </c>
      <c r="AP111" s="186"/>
      <c r="AQ111" s="187">
        <f t="shared" si="1029"/>
        <v>1.8552289005949714</v>
      </c>
      <c r="AR111" s="186"/>
      <c r="AS111" s="187">
        <f t="shared" ref="AS111:AU111" si="1030">AS60-(AS102/AS66)-AS74</f>
        <v>1.910963754883467</v>
      </c>
      <c r="AT111" s="186"/>
      <c r="AU111" s="187">
        <f t="shared" si="1030"/>
        <v>1.910963754883467</v>
      </c>
      <c r="AV111" s="186"/>
      <c r="AW111" s="187">
        <f t="shared" ref="AW111" si="1031">AW60-(AW102/AW66)-AW74</f>
        <v>2.0202372196154186</v>
      </c>
      <c r="AX111" s="186"/>
      <c r="AY111" s="187">
        <f t="shared" ref="AY111" si="1032">AY60-(AY102/AY66)-AY74</f>
        <v>2.0202372196154186</v>
      </c>
      <c r="AZ111" s="186"/>
      <c r="BA111" s="187">
        <f t="shared" ref="BA111" si="1033">BA60-(BA102/BA66)-BA74</f>
        <v>1.6237500000000002</v>
      </c>
    </row>
    <row r="112" spans="1:53" s="4" customFormat="1" ht="18" hidden="1" customHeight="1" outlineLevel="2" thickTop="1" x14ac:dyDescent="0.45">
      <c r="A112" s="561"/>
      <c r="B112" s="1187"/>
      <c r="C112" s="190" t="s">
        <v>109</v>
      </c>
      <c r="D112" s="184"/>
      <c r="E112" s="191"/>
      <c r="F112" s="192"/>
      <c r="G112" s="193">
        <f>G111/G67</f>
        <v>0.39316233025325875</v>
      </c>
      <c r="H112" s="192"/>
      <c r="I112" s="193">
        <f t="shared" ref="I112" si="1034">I111/I67</f>
        <v>0.36150062190872556</v>
      </c>
      <c r="J112" s="192"/>
      <c r="K112" s="193">
        <f t="shared" ref="K112" si="1035">K111/K67</f>
        <v>0.35881012742619972</v>
      </c>
      <c r="L112" s="192"/>
      <c r="M112" s="193">
        <f t="shared" ref="M112" si="1036">M111/M67</f>
        <v>0.35670502034132895</v>
      </c>
      <c r="N112" s="192"/>
      <c r="O112" s="193">
        <f t="shared" ref="O112" si="1037">O111/O67</f>
        <v>0.29067494205924554</v>
      </c>
      <c r="P112" s="192"/>
      <c r="Q112" s="193">
        <f t="shared" ref="Q112" si="1038">Q111/Q67</f>
        <v>0.34640646390901358</v>
      </c>
      <c r="R112" s="192"/>
      <c r="S112" s="193">
        <f t="shared" ref="S112" si="1039">S111/S67</f>
        <v>0.31738319662852743</v>
      </c>
      <c r="T112" s="192"/>
      <c r="U112" s="193">
        <f t="shared" ref="U112" si="1040">U111/U67</f>
        <v>0.34592826990833919</v>
      </c>
      <c r="V112" s="192"/>
      <c r="W112" s="193">
        <f t="shared" ref="W112" si="1041">W111/W67</f>
        <v>0.38227239696128967</v>
      </c>
      <c r="X112" s="192"/>
      <c r="Y112" s="193">
        <f t="shared" ref="Y112" si="1042">Y111/Y67</f>
        <v>0.3864541843991533</v>
      </c>
      <c r="Z112" s="192"/>
      <c r="AA112" s="193">
        <f t="shared" ref="AA112" si="1043">AA111/AA67</f>
        <v>0.39341034544477105</v>
      </c>
      <c r="AB112" s="192"/>
      <c r="AC112" s="193">
        <f t="shared" ref="AC112" si="1044">AC111/AC67</f>
        <v>0.43290837848711322</v>
      </c>
      <c r="AD112" s="192"/>
      <c r="AE112" s="193">
        <f t="shared" ref="AE112" si="1045">AE111/AE67</f>
        <v>0.43393494576398478</v>
      </c>
      <c r="AF112" s="192"/>
      <c r="AG112" s="193">
        <f t="shared" ref="AG112" si="1046">AG111/AG67</f>
        <v>0.38230851573103547</v>
      </c>
      <c r="AH112" s="192"/>
      <c r="AI112" s="193">
        <f t="shared" ref="AI112" si="1047">AI111/AI67</f>
        <v>0.44101518565140435</v>
      </c>
      <c r="AJ112" s="192"/>
      <c r="AK112" s="193">
        <f t="shared" ref="AK112" si="1048">AK111/AK67</f>
        <v>0.32294189592557843</v>
      </c>
      <c r="AL112" s="192"/>
      <c r="AM112" s="193">
        <f t="shared" ref="AM112" si="1049">AM111/AM67</f>
        <v>0.39843574663914805</v>
      </c>
      <c r="AN112" s="192"/>
      <c r="AO112" s="193">
        <f t="shared" ref="AO112:AQ112" si="1050">AO111/AO67</f>
        <v>0.44316191259913873</v>
      </c>
      <c r="AP112" s="192"/>
      <c r="AQ112" s="193">
        <f t="shared" si="1050"/>
        <v>0.44920796624575576</v>
      </c>
      <c r="AR112" s="192"/>
      <c r="AS112" s="193">
        <f t="shared" ref="AS112:AU112" si="1051">AS111/AS67</f>
        <v>0.4627030883495078</v>
      </c>
      <c r="AT112" s="192"/>
      <c r="AU112" s="193">
        <f t="shared" si="1051"/>
        <v>0.4627030883495078</v>
      </c>
      <c r="AV112" s="192"/>
      <c r="AW112" s="193">
        <f t="shared" ref="AW112" si="1052">AW111/AW67</f>
        <v>0.48916155438629993</v>
      </c>
      <c r="AX112" s="192"/>
      <c r="AY112" s="193">
        <f t="shared" ref="AY112" si="1053">AY111/AY67</f>
        <v>0.48916155438629993</v>
      </c>
      <c r="AZ112" s="192"/>
      <c r="BA112" s="193">
        <f t="shared" ref="BA112" si="1054">BA111/BA67</f>
        <v>0.38205882352941184</v>
      </c>
    </row>
    <row r="113" spans="1:53" s="4" customFormat="1" ht="18" hidden="1" customHeight="1" outlineLevel="2" thickTop="1" x14ac:dyDescent="0.45">
      <c r="A113" s="561"/>
      <c r="B113" s="1187"/>
      <c r="C113" s="170"/>
      <c r="D113" s="162"/>
      <c r="E113" s="197"/>
      <c r="F113" s="173"/>
      <c r="G113" s="165"/>
      <c r="H113" s="173"/>
      <c r="I113" s="165"/>
      <c r="J113" s="173"/>
      <c r="K113" s="165"/>
      <c r="L113" s="173"/>
      <c r="M113" s="165"/>
      <c r="N113" s="173"/>
      <c r="O113" s="165"/>
      <c r="P113" s="173"/>
      <c r="Q113" s="165"/>
      <c r="R113" s="173"/>
      <c r="S113" s="165"/>
      <c r="T113" s="173"/>
      <c r="U113" s="165"/>
      <c r="V113" s="173"/>
      <c r="W113" s="165"/>
      <c r="X113" s="173"/>
      <c r="Y113" s="165"/>
      <c r="Z113" s="173"/>
      <c r="AA113" s="165"/>
      <c r="AB113" s="173"/>
      <c r="AC113" s="165"/>
      <c r="AD113" s="173"/>
      <c r="AE113" s="165"/>
      <c r="AF113" s="173"/>
      <c r="AG113" s="165"/>
      <c r="AH113" s="173"/>
      <c r="AI113" s="165"/>
      <c r="AJ113" s="173"/>
      <c r="AK113" s="165"/>
      <c r="AL113" s="173"/>
      <c r="AM113" s="165"/>
      <c r="AN113" s="173"/>
      <c r="AO113" s="165"/>
      <c r="AP113" s="173"/>
      <c r="AQ113" s="165"/>
      <c r="AR113" s="173"/>
      <c r="AS113" s="165"/>
      <c r="AT113" s="173"/>
      <c r="AU113" s="165"/>
      <c r="AV113" s="173"/>
      <c r="AW113" s="165"/>
      <c r="AX113" s="173"/>
      <c r="AY113" s="165"/>
      <c r="AZ113" s="173"/>
      <c r="BA113" s="165"/>
    </row>
    <row r="114" spans="1:53" s="65" customFormat="1" ht="18" hidden="1" customHeight="1" outlineLevel="3" thickTop="1" x14ac:dyDescent="0.45">
      <c r="A114" s="561"/>
      <c r="B114" s="199"/>
      <c r="C114" s="200" t="s">
        <v>110</v>
      </c>
      <c r="D114" s="201"/>
      <c r="E114" s="201"/>
      <c r="F114" s="202" t="s">
        <v>111</v>
      </c>
      <c r="G114" s="203">
        <f>G116/G79</f>
        <v>459.73724614418319</v>
      </c>
      <c r="H114" s="202" t="s">
        <v>111</v>
      </c>
      <c r="I114" s="203">
        <f t="shared" ref="I114" si="1055">I116/I79</f>
        <v>459.26113007733579</v>
      </c>
      <c r="J114" s="202" t="s">
        <v>111</v>
      </c>
      <c r="K114" s="203">
        <f t="shared" ref="K114" si="1056">K116/K79</f>
        <v>459.38000975813765</v>
      </c>
      <c r="L114" s="202" t="s">
        <v>111</v>
      </c>
      <c r="M114" s="203">
        <f t="shared" ref="M114" si="1057">M116/M79</f>
        <v>458.98413029860097</v>
      </c>
      <c r="N114" s="202" t="s">
        <v>111</v>
      </c>
      <c r="O114" s="203">
        <f t="shared" ref="O114" si="1058">O116/O79</f>
        <v>454.12704385304789</v>
      </c>
      <c r="P114" s="202" t="s">
        <v>111</v>
      </c>
      <c r="Q114" s="203">
        <f t="shared" ref="Q114" si="1059">Q116/Q79</f>
        <v>453.06174606419955</v>
      </c>
      <c r="R114" s="202" t="s">
        <v>111</v>
      </c>
      <c r="S114" s="203">
        <f t="shared" ref="S114" si="1060">S116/S79</f>
        <v>447.38133386741436</v>
      </c>
      <c r="T114" s="202" t="s">
        <v>111</v>
      </c>
      <c r="U114" s="203">
        <f t="shared" ref="U114" si="1061">U116/U79</f>
        <v>449.69198141789536</v>
      </c>
      <c r="V114" s="202" t="s">
        <v>111</v>
      </c>
      <c r="W114" s="203">
        <f t="shared" ref="W114" si="1062">W116/W79</f>
        <v>446.3307175633438</v>
      </c>
      <c r="X114" s="202" t="s">
        <v>111</v>
      </c>
      <c r="Y114" s="203">
        <f t="shared" ref="Y114" si="1063">Y116/Y79</f>
        <v>439.62576209625121</v>
      </c>
      <c r="Z114" s="202" t="s">
        <v>111</v>
      </c>
      <c r="AA114" s="203">
        <f t="shared" ref="AA114" si="1064">AA116/AA79</f>
        <v>435.78619367209973</v>
      </c>
      <c r="AB114" s="202" t="s">
        <v>111</v>
      </c>
      <c r="AC114" s="203">
        <f t="shared" ref="AC114:AI114" si="1065">AC116/AC79</f>
        <v>436.1534276387377</v>
      </c>
      <c r="AD114" s="202" t="s">
        <v>111</v>
      </c>
      <c r="AE114" s="203">
        <f t="shared" si="1065"/>
        <v>441.12745417780974</v>
      </c>
      <c r="AF114" s="202" t="s">
        <v>111</v>
      </c>
      <c r="AG114" s="203">
        <f t="shared" si="1065"/>
        <v>445.35981710953553</v>
      </c>
      <c r="AH114" s="202" t="s">
        <v>111</v>
      </c>
      <c r="AI114" s="203">
        <f t="shared" si="1065"/>
        <v>442.10310965630106</v>
      </c>
      <c r="AJ114" s="202" t="s">
        <v>111</v>
      </c>
      <c r="AK114" s="203">
        <f t="shared" ref="AK114" si="1066">AK116/AK79</f>
        <v>449.61802517331904</v>
      </c>
      <c r="AL114" s="202" t="s">
        <v>111</v>
      </c>
      <c r="AM114" s="203">
        <f t="shared" ref="AM114" si="1067">AM116/AM79</f>
        <v>451.03003856302007</v>
      </c>
      <c r="AN114" s="202" t="s">
        <v>111</v>
      </c>
      <c r="AO114" s="203">
        <f t="shared" ref="AO114:AQ114" si="1068">AO116/AO79</f>
        <v>448.25698211774159</v>
      </c>
      <c r="AP114" s="202" t="s">
        <v>111</v>
      </c>
      <c r="AQ114" s="203">
        <f t="shared" si="1068"/>
        <v>446.56549520766771</v>
      </c>
      <c r="AR114" s="202" t="s">
        <v>111</v>
      </c>
      <c r="AS114" s="203">
        <f t="shared" ref="AS114:AU114" si="1069">AS116/AS79</f>
        <v>442.78682068784451</v>
      </c>
      <c r="AT114" s="202" t="s">
        <v>111</v>
      </c>
      <c r="AU114" s="203">
        <f t="shared" si="1069"/>
        <v>442.78682068784451</v>
      </c>
      <c r="AV114" s="202" t="s">
        <v>111</v>
      </c>
      <c r="AW114" s="203">
        <f t="shared" ref="AW114" si="1070">AW116/AW79</f>
        <v>441.05803716987276</v>
      </c>
      <c r="AX114" s="202" t="s">
        <v>111</v>
      </c>
      <c r="AY114" s="203">
        <f t="shared" ref="AY114" si="1071">AY116/AY79</f>
        <v>434.65760834977402</v>
      </c>
      <c r="AZ114" s="202" t="s">
        <v>111</v>
      </c>
      <c r="BA114" s="203">
        <f t="shared" ref="BA114" si="1072">BA116/BA79</f>
        <v>435.05481547581104</v>
      </c>
    </row>
    <row r="115" spans="1:53" s="65" customFormat="1" ht="18" hidden="1" customHeight="1" outlineLevel="3" thickTop="1" x14ac:dyDescent="0.45">
      <c r="A115" s="561"/>
      <c r="B115" s="199"/>
      <c r="C115" s="200" t="s">
        <v>112</v>
      </c>
      <c r="D115" s="201"/>
      <c r="E115" s="201"/>
      <c r="F115" s="202" t="s">
        <v>111</v>
      </c>
      <c r="G115" s="203">
        <f>G114/G66</f>
        <v>9.5778592946704835E-2</v>
      </c>
      <c r="H115" s="202" t="s">
        <v>111</v>
      </c>
      <c r="I115" s="203">
        <f t="shared" ref="I115" si="1073">I114/I66</f>
        <v>9.5679402099444963E-2</v>
      </c>
      <c r="J115" s="202" t="s">
        <v>111</v>
      </c>
      <c r="K115" s="203">
        <f t="shared" ref="K115" si="1074">K114/K66</f>
        <v>9.5704168699612013E-2</v>
      </c>
      <c r="L115" s="202" t="s">
        <v>111</v>
      </c>
      <c r="M115" s="203">
        <f t="shared" ref="M115" si="1075">M114/M66</f>
        <v>9.562169381220853E-2</v>
      </c>
      <c r="N115" s="202" t="s">
        <v>111</v>
      </c>
      <c r="O115" s="203">
        <f t="shared" ref="O115" si="1076">O114/O66</f>
        <v>9.4609800802718316E-2</v>
      </c>
      <c r="P115" s="202" t="s">
        <v>111</v>
      </c>
      <c r="Q115" s="203">
        <f t="shared" ref="Q115" si="1077">Q114/Q66</f>
        <v>9.4387863763374907E-2</v>
      </c>
      <c r="R115" s="202" t="s">
        <v>111</v>
      </c>
      <c r="S115" s="203">
        <f t="shared" ref="S115" si="1078">S114/S66</f>
        <v>9.3204444555711322E-2</v>
      </c>
      <c r="T115" s="202" t="s">
        <v>111</v>
      </c>
      <c r="U115" s="203">
        <f t="shared" ref="U115" si="1079">U114/U66</f>
        <v>9.368582946206154E-2</v>
      </c>
      <c r="V115" s="202" t="s">
        <v>111</v>
      </c>
      <c r="W115" s="203">
        <f t="shared" ref="W115" si="1080">W114/W66</f>
        <v>9.2985566159029961E-2</v>
      </c>
      <c r="X115" s="202" t="s">
        <v>111</v>
      </c>
      <c r="Y115" s="203">
        <f t="shared" ref="Y115" si="1081">Y114/Y66</f>
        <v>9.1588700436719003E-2</v>
      </c>
      <c r="Z115" s="202" t="s">
        <v>111</v>
      </c>
      <c r="AA115" s="203">
        <f t="shared" ref="AA115" si="1082">AA114/AA66</f>
        <v>9.0788790348354104E-2</v>
      </c>
      <c r="AB115" s="202" t="s">
        <v>111</v>
      </c>
      <c r="AC115" s="203">
        <f t="shared" ref="AC115" si="1083">AC114/AC66</f>
        <v>9.0865297424737021E-2</v>
      </c>
      <c r="AD115" s="202" t="s">
        <v>111</v>
      </c>
      <c r="AE115" s="203">
        <f t="shared" ref="AE115" si="1084">AE114/AE66</f>
        <v>9.1901552953710358E-2</v>
      </c>
      <c r="AF115" s="202" t="s">
        <v>111</v>
      </c>
      <c r="AG115" s="203">
        <f t="shared" ref="AG115" si="1085">AG114/AG66</f>
        <v>9.2783295231153237E-2</v>
      </c>
      <c r="AH115" s="202" t="s">
        <v>111</v>
      </c>
      <c r="AI115" s="203">
        <f t="shared" ref="AI115" si="1086">AI114/AI66</f>
        <v>9.2104814511729388E-2</v>
      </c>
      <c r="AJ115" s="202" t="s">
        <v>111</v>
      </c>
      <c r="AK115" s="203">
        <f t="shared" ref="AK115" si="1087">AK114/AK66</f>
        <v>9.3670421911108137E-2</v>
      </c>
      <c r="AL115" s="202" t="s">
        <v>111</v>
      </c>
      <c r="AM115" s="203">
        <f t="shared" ref="AM115" si="1088">AM114/AM66</f>
        <v>9.3964591367295847E-2</v>
      </c>
      <c r="AN115" s="202" t="s">
        <v>111</v>
      </c>
      <c r="AO115" s="203">
        <f t="shared" ref="AO115:AQ115" si="1089">AO114/AO66</f>
        <v>9.3386871274529493E-2</v>
      </c>
      <c r="AP115" s="202" t="s">
        <v>111</v>
      </c>
      <c r="AQ115" s="203">
        <f t="shared" si="1089"/>
        <v>9.3034478168264101E-2</v>
      </c>
      <c r="AR115" s="202" t="s">
        <v>111</v>
      </c>
      <c r="AS115" s="203">
        <f t="shared" ref="AS115:AU115" si="1090">AS114/AS66</f>
        <v>9.2247254309967608E-2</v>
      </c>
      <c r="AT115" s="202" t="s">
        <v>111</v>
      </c>
      <c r="AU115" s="203">
        <f t="shared" si="1090"/>
        <v>9.2247254309967608E-2</v>
      </c>
      <c r="AV115" s="202" t="s">
        <v>111</v>
      </c>
      <c r="AW115" s="203">
        <f t="shared" ref="AW115" si="1091">AW114/AW66</f>
        <v>9.1887091077056823E-2</v>
      </c>
      <c r="AX115" s="202" t="s">
        <v>111</v>
      </c>
      <c r="AY115" s="203">
        <f t="shared" ref="AY115" si="1092">AY114/AY66</f>
        <v>9.0553668406202922E-2</v>
      </c>
      <c r="AZ115" s="202" t="s">
        <v>111</v>
      </c>
      <c r="BA115" s="203">
        <f t="shared" ref="BA115" si="1093">BA114/BA66</f>
        <v>9.0636419890793962E-2</v>
      </c>
    </row>
    <row r="116" spans="1:53" s="65" customFormat="1" ht="18" hidden="1" customHeight="1" outlineLevel="3" thickTop="1" x14ac:dyDescent="0.45">
      <c r="A116" s="561"/>
      <c r="B116" s="199"/>
      <c r="C116" s="200" t="s">
        <v>113</v>
      </c>
      <c r="D116" s="201"/>
      <c r="E116" s="201"/>
      <c r="F116" s="202" t="s">
        <v>114</v>
      </c>
      <c r="G116" s="204">
        <f>G117*G66</f>
        <v>6587575.0000000009</v>
      </c>
      <c r="H116" s="202" t="s">
        <v>114</v>
      </c>
      <c r="I116" s="204">
        <f t="shared" ref="I116" si="1094">I117*I66</f>
        <v>6591775.0000000009</v>
      </c>
      <c r="J116" s="202" t="s">
        <v>114</v>
      </c>
      <c r="K116" s="204">
        <f t="shared" ref="K116" si="1095">K117*K66</f>
        <v>6590725.0000000009</v>
      </c>
      <c r="L116" s="202" t="s">
        <v>114</v>
      </c>
      <c r="M116" s="204">
        <f t="shared" ref="M116" si="1096">M117*M66</f>
        <v>6594225</v>
      </c>
      <c r="N116" s="202" t="s">
        <v>114</v>
      </c>
      <c r="O116" s="204">
        <f t="shared" ref="O116" si="1097">O117*O66</f>
        <v>6637975.0000000009</v>
      </c>
      <c r="P116" s="202" t="s">
        <v>114</v>
      </c>
      <c r="Q116" s="204">
        <f t="shared" ref="Q116" si="1098">Q117*Q66</f>
        <v>6647775</v>
      </c>
      <c r="R116" s="202" t="s">
        <v>114</v>
      </c>
      <c r="S116" s="204">
        <f t="shared" ref="S116" si="1099">S117*S66</f>
        <v>6701325</v>
      </c>
      <c r="T116" s="202" t="s">
        <v>114</v>
      </c>
      <c r="U116" s="204">
        <f t="shared" ref="U116" si="1100">U117*U66</f>
        <v>6679275</v>
      </c>
      <c r="V116" s="202" t="s">
        <v>114</v>
      </c>
      <c r="W116" s="204">
        <f t="shared" ref="W116" si="1101">W117*W66</f>
        <v>6711475.0000000009</v>
      </c>
      <c r="X116" s="202" t="s">
        <v>114</v>
      </c>
      <c r="Y116" s="204">
        <f t="shared" ref="Y116" si="1102">Y117*Y66</f>
        <v>6778150.0000000009</v>
      </c>
      <c r="Z116" s="202" t="s">
        <v>114</v>
      </c>
      <c r="AA116" s="204">
        <f t="shared" ref="AA116" si="1103">AA117*AA66</f>
        <v>6817875</v>
      </c>
      <c r="AB116" s="202" t="s">
        <v>114</v>
      </c>
      <c r="AC116" s="204">
        <f t="shared" ref="AC116" si="1104">AC117*AC66</f>
        <v>6814024.9999999991</v>
      </c>
      <c r="AD116" s="202" t="s">
        <v>114</v>
      </c>
      <c r="AE116" s="204">
        <f t="shared" ref="AE116" si="1105">AE117*AE66</f>
        <v>6762925.0000000009</v>
      </c>
      <c r="AF116" s="202" t="s">
        <v>114</v>
      </c>
      <c r="AG116" s="204">
        <f t="shared" ref="AG116" si="1106">AG117*AG66</f>
        <v>6720925.0000000009</v>
      </c>
      <c r="AH116" s="202" t="s">
        <v>114</v>
      </c>
      <c r="AI116" s="204">
        <f t="shared" ref="AI116" si="1107">AI117*AI66</f>
        <v>6753124.9999999991</v>
      </c>
      <c r="AJ116" s="202" t="s">
        <v>114</v>
      </c>
      <c r="AK116" s="204">
        <f t="shared" ref="AK116" si="1108">AK117*AK66</f>
        <v>6679975.0000000009</v>
      </c>
      <c r="AL116" s="202" t="s">
        <v>114</v>
      </c>
      <c r="AM116" s="204">
        <f t="shared" ref="AM116" si="1109">AM117*AM66</f>
        <v>6666675</v>
      </c>
      <c r="AN116" s="202" t="s">
        <v>114</v>
      </c>
      <c r="AO116" s="204">
        <f t="shared" ref="AO116:AQ116" si="1110">AO117*AO66</f>
        <v>6692925</v>
      </c>
      <c r="AP116" s="202" t="s">
        <v>114</v>
      </c>
      <c r="AQ116" s="204">
        <f t="shared" si="1110"/>
        <v>6709200</v>
      </c>
      <c r="AR116" s="202" t="s">
        <v>114</v>
      </c>
      <c r="AS116" s="204">
        <f t="shared" ref="AS116:AU116" si="1111">AS117*AS66</f>
        <v>6746299.9999999991</v>
      </c>
      <c r="AT116" s="202" t="s">
        <v>114</v>
      </c>
      <c r="AU116" s="204">
        <f t="shared" si="1111"/>
        <v>6746299.9999999991</v>
      </c>
      <c r="AV116" s="202" t="s">
        <v>114</v>
      </c>
      <c r="AW116" s="204">
        <f t="shared" ref="AW116" si="1112">AW117*AW66</f>
        <v>6763624.9999999991</v>
      </c>
      <c r="AX116" s="202" t="s">
        <v>114</v>
      </c>
      <c r="AY116" s="204">
        <f t="shared" ref="AY116" si="1113">AY117*AY66</f>
        <v>6829774.9999999991</v>
      </c>
      <c r="AZ116" s="202" t="s">
        <v>114</v>
      </c>
      <c r="BA116" s="204">
        <f t="shared" ref="BA116" si="1114">BA117*BA66</f>
        <v>6825574.9999999991</v>
      </c>
    </row>
    <row r="117" spans="1:53" s="65" customFormat="1" ht="18" hidden="1" customHeight="1" outlineLevel="3" thickTop="1" x14ac:dyDescent="0.45">
      <c r="A117" s="561"/>
      <c r="B117" s="199"/>
      <c r="C117" s="200" t="s">
        <v>115</v>
      </c>
      <c r="D117" s="201"/>
      <c r="E117" s="201"/>
      <c r="F117" s="202" t="s">
        <v>114</v>
      </c>
      <c r="G117" s="204">
        <f>SUM(G118:G123)</f>
        <v>1372.4114583333335</v>
      </c>
      <c r="H117" s="202" t="s">
        <v>114</v>
      </c>
      <c r="I117" s="204">
        <f t="shared" ref="I117" si="1115">SUM(I118:I123)</f>
        <v>1373.2864583333335</v>
      </c>
      <c r="J117" s="202" t="s">
        <v>114</v>
      </c>
      <c r="K117" s="204">
        <f t="shared" ref="K117" si="1116">SUM(K118:K123)</f>
        <v>1373.0677083333335</v>
      </c>
      <c r="L117" s="202" t="s">
        <v>114</v>
      </c>
      <c r="M117" s="204">
        <f t="shared" ref="M117" si="1117">SUM(M118:M123)</f>
        <v>1373.796875</v>
      </c>
      <c r="N117" s="202" t="s">
        <v>114</v>
      </c>
      <c r="O117" s="204">
        <f t="shared" ref="O117" si="1118">SUM(O118:O123)</f>
        <v>1382.9114583333335</v>
      </c>
      <c r="P117" s="202" t="s">
        <v>114</v>
      </c>
      <c r="Q117" s="204">
        <f t="shared" ref="Q117" si="1119">SUM(Q118:Q123)</f>
        <v>1384.953125</v>
      </c>
      <c r="R117" s="202" t="s">
        <v>114</v>
      </c>
      <c r="S117" s="204">
        <f t="shared" ref="S117" si="1120">SUM(S118:S123)</f>
        <v>1396.109375</v>
      </c>
      <c r="T117" s="202" t="s">
        <v>114</v>
      </c>
      <c r="U117" s="204">
        <f t="shared" ref="U117" si="1121">SUM(U118:U123)</f>
        <v>1391.515625</v>
      </c>
      <c r="V117" s="202" t="s">
        <v>114</v>
      </c>
      <c r="W117" s="204">
        <f t="shared" ref="W117" si="1122">SUM(W118:W123)</f>
        <v>1398.2239583333335</v>
      </c>
      <c r="X117" s="202" t="s">
        <v>114</v>
      </c>
      <c r="Y117" s="204">
        <f t="shared" ref="Y117" si="1123">SUM(Y118:Y123)</f>
        <v>1412.1145833333335</v>
      </c>
      <c r="Z117" s="202" t="s">
        <v>114</v>
      </c>
      <c r="AA117" s="204">
        <f t="shared" ref="AA117" si="1124">SUM(AA118:AA123)</f>
        <v>1420.390625</v>
      </c>
      <c r="AB117" s="202" t="s">
        <v>114</v>
      </c>
      <c r="AC117" s="204">
        <f t="shared" ref="AC117" si="1125">SUM(AC118:AC123)</f>
        <v>1419.5885416666665</v>
      </c>
      <c r="AD117" s="202" t="s">
        <v>114</v>
      </c>
      <c r="AE117" s="204">
        <f t="shared" ref="AE117" si="1126">SUM(AE118:AE123)</f>
        <v>1408.9427083333335</v>
      </c>
      <c r="AF117" s="202" t="s">
        <v>114</v>
      </c>
      <c r="AG117" s="204">
        <f t="shared" ref="AG117" si="1127">SUM(AG118:AG123)</f>
        <v>1400.1927083333335</v>
      </c>
      <c r="AH117" s="202" t="s">
        <v>114</v>
      </c>
      <c r="AI117" s="204">
        <f t="shared" ref="AI117" si="1128">SUM(AI118:AI123)</f>
        <v>1406.9010416666665</v>
      </c>
      <c r="AJ117" s="202" t="s">
        <v>114</v>
      </c>
      <c r="AK117" s="204">
        <f t="shared" ref="AK117" si="1129">SUM(AK118:AK123)</f>
        <v>1391.6614583333335</v>
      </c>
      <c r="AL117" s="202" t="s">
        <v>114</v>
      </c>
      <c r="AM117" s="204">
        <f t="shared" ref="AM117" si="1130">SUM(AM118:AM123)</f>
        <v>1388.890625</v>
      </c>
      <c r="AN117" s="202" t="s">
        <v>114</v>
      </c>
      <c r="AO117" s="204">
        <f t="shared" ref="AO117:AQ117" si="1131">SUM(AO118:AO123)</f>
        <v>1394.359375</v>
      </c>
      <c r="AP117" s="202" t="s">
        <v>114</v>
      </c>
      <c r="AQ117" s="204">
        <f t="shared" si="1131"/>
        <v>1397.75</v>
      </c>
      <c r="AR117" s="202" t="s">
        <v>114</v>
      </c>
      <c r="AS117" s="204">
        <f t="shared" ref="AS117:AU117" si="1132">SUM(AS118:AS123)</f>
        <v>1405.4791666666665</v>
      </c>
      <c r="AT117" s="202" t="s">
        <v>114</v>
      </c>
      <c r="AU117" s="204">
        <f t="shared" si="1132"/>
        <v>1405.4791666666665</v>
      </c>
      <c r="AV117" s="202" t="s">
        <v>114</v>
      </c>
      <c r="AW117" s="204">
        <f t="shared" ref="AW117" si="1133">SUM(AW118:AW123)</f>
        <v>1409.0885416666665</v>
      </c>
      <c r="AX117" s="202" t="s">
        <v>114</v>
      </c>
      <c r="AY117" s="204">
        <f t="shared" ref="AY117" si="1134">SUM(AY118:AY123)</f>
        <v>1422.8697916666665</v>
      </c>
      <c r="AZ117" s="202" t="s">
        <v>114</v>
      </c>
      <c r="BA117" s="204">
        <f t="shared" ref="BA117" si="1135">SUM(BA118:BA123)</f>
        <v>1421.9947916666665</v>
      </c>
    </row>
    <row r="118" spans="1:53" s="65" customFormat="1" ht="18" hidden="1" customHeight="1" outlineLevel="3" thickTop="1" x14ac:dyDescent="0.45">
      <c r="A118" s="561"/>
      <c r="B118" s="199"/>
      <c r="C118" s="200" t="s">
        <v>116</v>
      </c>
      <c r="D118" s="201"/>
      <c r="E118" s="201"/>
      <c r="F118" s="202" t="s">
        <v>114</v>
      </c>
      <c r="G118" s="204">
        <v>75</v>
      </c>
      <c r="H118" s="202" t="s">
        <v>114</v>
      </c>
      <c r="I118" s="204">
        <v>75</v>
      </c>
      <c r="J118" s="202" t="s">
        <v>114</v>
      </c>
      <c r="K118" s="204">
        <v>75</v>
      </c>
      <c r="L118" s="202" t="s">
        <v>114</v>
      </c>
      <c r="M118" s="204">
        <v>75</v>
      </c>
      <c r="N118" s="202" t="s">
        <v>114</v>
      </c>
      <c r="O118" s="204">
        <v>75</v>
      </c>
      <c r="P118" s="202" t="s">
        <v>114</v>
      </c>
      <c r="Q118" s="204">
        <v>75</v>
      </c>
      <c r="R118" s="202" t="s">
        <v>114</v>
      </c>
      <c r="S118" s="204">
        <v>75</v>
      </c>
      <c r="T118" s="202" t="s">
        <v>114</v>
      </c>
      <c r="U118" s="204">
        <v>75</v>
      </c>
      <c r="V118" s="202" t="s">
        <v>114</v>
      </c>
      <c r="W118" s="204">
        <v>75</v>
      </c>
      <c r="X118" s="202" t="s">
        <v>114</v>
      </c>
      <c r="Y118" s="204">
        <v>75</v>
      </c>
      <c r="Z118" s="202" t="s">
        <v>114</v>
      </c>
      <c r="AA118" s="204">
        <v>75</v>
      </c>
      <c r="AB118" s="202" t="s">
        <v>114</v>
      </c>
      <c r="AC118" s="204">
        <v>75</v>
      </c>
      <c r="AD118" s="202" t="s">
        <v>114</v>
      </c>
      <c r="AE118" s="204">
        <v>75</v>
      </c>
      <c r="AF118" s="202" t="s">
        <v>114</v>
      </c>
      <c r="AG118" s="204">
        <v>75</v>
      </c>
      <c r="AH118" s="202" t="s">
        <v>114</v>
      </c>
      <c r="AI118" s="204">
        <v>75</v>
      </c>
      <c r="AJ118" s="202" t="s">
        <v>114</v>
      </c>
      <c r="AK118" s="204">
        <v>75</v>
      </c>
      <c r="AL118" s="202" t="s">
        <v>114</v>
      </c>
      <c r="AM118" s="204">
        <v>75</v>
      </c>
      <c r="AN118" s="202" t="s">
        <v>114</v>
      </c>
      <c r="AO118" s="204">
        <v>75</v>
      </c>
      <c r="AP118" s="202" t="s">
        <v>114</v>
      </c>
      <c r="AQ118" s="204">
        <v>75</v>
      </c>
      <c r="AR118" s="202" t="s">
        <v>114</v>
      </c>
      <c r="AS118" s="204">
        <v>75</v>
      </c>
      <c r="AT118" s="202" t="s">
        <v>114</v>
      </c>
      <c r="AU118" s="204">
        <v>75</v>
      </c>
      <c r="AV118" s="202" t="s">
        <v>114</v>
      </c>
      <c r="AW118" s="204">
        <v>75</v>
      </c>
      <c r="AX118" s="202" t="s">
        <v>114</v>
      </c>
      <c r="AY118" s="204">
        <v>75</v>
      </c>
      <c r="AZ118" s="202" t="s">
        <v>114</v>
      </c>
      <c r="BA118" s="204">
        <v>75</v>
      </c>
    </row>
    <row r="119" spans="1:53" s="65" customFormat="1" ht="18" hidden="1" customHeight="1" outlineLevel="3" thickTop="1" x14ac:dyDescent="0.45">
      <c r="A119" s="561"/>
      <c r="B119" s="199"/>
      <c r="C119" s="200" t="s">
        <v>117</v>
      </c>
      <c r="D119" s="201"/>
      <c r="E119" s="201"/>
      <c r="F119" s="202" t="s">
        <v>114</v>
      </c>
      <c r="G119" s="204">
        <f>1940000/G66</f>
        <v>404.16666666666669</v>
      </c>
      <c r="H119" s="202" t="s">
        <v>114</v>
      </c>
      <c r="I119" s="204">
        <f t="shared" ref="I119" si="1136">1940000/I66</f>
        <v>404.16666666666669</v>
      </c>
      <c r="J119" s="202" t="s">
        <v>114</v>
      </c>
      <c r="K119" s="204">
        <f t="shared" ref="K119" si="1137">1940000/K66</f>
        <v>404.16666666666669</v>
      </c>
      <c r="L119" s="202" t="s">
        <v>114</v>
      </c>
      <c r="M119" s="204">
        <f t="shared" ref="M119" si="1138">1940000/M66</f>
        <v>404.16666666666669</v>
      </c>
      <c r="N119" s="202" t="s">
        <v>114</v>
      </c>
      <c r="O119" s="204">
        <f t="shared" ref="O119" si="1139">1940000/O66</f>
        <v>404.16666666666669</v>
      </c>
      <c r="P119" s="202" t="s">
        <v>114</v>
      </c>
      <c r="Q119" s="204">
        <f t="shared" ref="Q119" si="1140">1940000/Q66</f>
        <v>404.16666666666669</v>
      </c>
      <c r="R119" s="202" t="s">
        <v>114</v>
      </c>
      <c r="S119" s="204">
        <f t="shared" ref="S119" si="1141">1940000/S66</f>
        <v>404.16666666666669</v>
      </c>
      <c r="T119" s="202" t="s">
        <v>114</v>
      </c>
      <c r="U119" s="204">
        <f t="shared" ref="U119" si="1142">1940000/U66</f>
        <v>404.16666666666669</v>
      </c>
      <c r="V119" s="202" t="s">
        <v>114</v>
      </c>
      <c r="W119" s="204">
        <f t="shared" ref="W119" si="1143">1940000/W66</f>
        <v>404.16666666666669</v>
      </c>
      <c r="X119" s="202" t="s">
        <v>114</v>
      </c>
      <c r="Y119" s="204">
        <f t="shared" ref="Y119" si="1144">1940000/Y66</f>
        <v>404.16666666666669</v>
      </c>
      <c r="Z119" s="202" t="s">
        <v>114</v>
      </c>
      <c r="AA119" s="204">
        <f t="shared" ref="AA119" si="1145">1940000/AA66</f>
        <v>404.16666666666669</v>
      </c>
      <c r="AB119" s="202" t="s">
        <v>114</v>
      </c>
      <c r="AC119" s="204">
        <f t="shared" ref="AC119:AI119" si="1146">1940000/AC66</f>
        <v>404.16666666666669</v>
      </c>
      <c r="AD119" s="202" t="s">
        <v>114</v>
      </c>
      <c r="AE119" s="204">
        <f t="shared" si="1146"/>
        <v>404.16666666666669</v>
      </c>
      <c r="AF119" s="202" t="s">
        <v>114</v>
      </c>
      <c r="AG119" s="204">
        <f t="shared" si="1146"/>
        <v>404.16666666666669</v>
      </c>
      <c r="AH119" s="202" t="s">
        <v>114</v>
      </c>
      <c r="AI119" s="204">
        <f t="shared" si="1146"/>
        <v>404.16666666666669</v>
      </c>
      <c r="AJ119" s="202" t="s">
        <v>114</v>
      </c>
      <c r="AK119" s="204">
        <f t="shared" ref="AK119" si="1147">1940000/AK66</f>
        <v>404.16666666666669</v>
      </c>
      <c r="AL119" s="202" t="s">
        <v>114</v>
      </c>
      <c r="AM119" s="204">
        <f t="shared" ref="AM119" si="1148">1940000/AM66</f>
        <v>404.16666666666669</v>
      </c>
      <c r="AN119" s="202" t="s">
        <v>114</v>
      </c>
      <c r="AO119" s="204">
        <f t="shared" ref="AO119:AQ119" si="1149">1940000/AO66</f>
        <v>404.16666666666669</v>
      </c>
      <c r="AP119" s="202" t="s">
        <v>114</v>
      </c>
      <c r="AQ119" s="204">
        <f t="shared" si="1149"/>
        <v>404.16666666666669</v>
      </c>
      <c r="AR119" s="202" t="s">
        <v>114</v>
      </c>
      <c r="AS119" s="204">
        <f t="shared" ref="AS119:AU119" si="1150">1940000/AS66</f>
        <v>404.16666666666669</v>
      </c>
      <c r="AT119" s="202" t="s">
        <v>114</v>
      </c>
      <c r="AU119" s="204">
        <f t="shared" si="1150"/>
        <v>404.16666666666669</v>
      </c>
      <c r="AV119" s="202" t="s">
        <v>114</v>
      </c>
      <c r="AW119" s="204">
        <f t="shared" ref="AW119" si="1151">1940000/AW66</f>
        <v>404.16666666666669</v>
      </c>
      <c r="AX119" s="202" t="s">
        <v>114</v>
      </c>
      <c r="AY119" s="204">
        <f t="shared" ref="AY119" si="1152">1940000/AY66</f>
        <v>404.16666666666669</v>
      </c>
      <c r="AZ119" s="202" t="s">
        <v>114</v>
      </c>
      <c r="BA119" s="204">
        <f t="shared" ref="BA119" si="1153">1940000/BA66</f>
        <v>404.16666666666669</v>
      </c>
    </row>
    <row r="120" spans="1:53" s="65" customFormat="1" ht="18" hidden="1" customHeight="1" outlineLevel="3" thickTop="1" x14ac:dyDescent="0.45">
      <c r="A120" s="561"/>
      <c r="B120" s="199"/>
      <c r="C120" s="200" t="s">
        <v>118</v>
      </c>
      <c r="D120" s="201"/>
      <c r="E120" s="201"/>
      <c r="F120" s="202" t="s">
        <v>114</v>
      </c>
      <c r="G120" s="204">
        <f>275000/G66</f>
        <v>57.291666666666664</v>
      </c>
      <c r="H120" s="202" t="s">
        <v>114</v>
      </c>
      <c r="I120" s="204">
        <f t="shared" ref="I120" si="1154">275000/I66</f>
        <v>57.291666666666664</v>
      </c>
      <c r="J120" s="202" t="s">
        <v>114</v>
      </c>
      <c r="K120" s="204">
        <f t="shared" ref="K120" si="1155">275000/K66</f>
        <v>57.291666666666664</v>
      </c>
      <c r="L120" s="202" t="s">
        <v>114</v>
      </c>
      <c r="M120" s="204">
        <f t="shared" ref="M120" si="1156">275000/M66</f>
        <v>57.291666666666664</v>
      </c>
      <c r="N120" s="202" t="s">
        <v>114</v>
      </c>
      <c r="O120" s="204">
        <f t="shared" ref="O120" si="1157">275000/O66</f>
        <v>57.291666666666664</v>
      </c>
      <c r="P120" s="202" t="s">
        <v>114</v>
      </c>
      <c r="Q120" s="204">
        <f t="shared" ref="Q120" si="1158">275000/Q66</f>
        <v>57.291666666666664</v>
      </c>
      <c r="R120" s="202" t="s">
        <v>114</v>
      </c>
      <c r="S120" s="204">
        <f t="shared" ref="S120" si="1159">275000/S66</f>
        <v>57.291666666666664</v>
      </c>
      <c r="T120" s="202" t="s">
        <v>114</v>
      </c>
      <c r="U120" s="204">
        <f t="shared" ref="U120" si="1160">275000/U66</f>
        <v>57.291666666666664</v>
      </c>
      <c r="V120" s="202" t="s">
        <v>114</v>
      </c>
      <c r="W120" s="204">
        <f t="shared" ref="W120" si="1161">275000/W66</f>
        <v>57.291666666666664</v>
      </c>
      <c r="X120" s="202" t="s">
        <v>114</v>
      </c>
      <c r="Y120" s="204">
        <f t="shared" ref="Y120" si="1162">275000/Y66</f>
        <v>57.291666666666664</v>
      </c>
      <c r="Z120" s="202" t="s">
        <v>114</v>
      </c>
      <c r="AA120" s="204">
        <f t="shared" ref="AA120" si="1163">275000/AA66</f>
        <v>57.291666666666664</v>
      </c>
      <c r="AB120" s="202" t="s">
        <v>114</v>
      </c>
      <c r="AC120" s="204">
        <f t="shared" ref="AC120:AI120" si="1164">275000/AC66</f>
        <v>57.291666666666664</v>
      </c>
      <c r="AD120" s="202" t="s">
        <v>114</v>
      </c>
      <c r="AE120" s="204">
        <f t="shared" si="1164"/>
        <v>57.291666666666664</v>
      </c>
      <c r="AF120" s="202" t="s">
        <v>114</v>
      </c>
      <c r="AG120" s="204">
        <f t="shared" si="1164"/>
        <v>57.291666666666664</v>
      </c>
      <c r="AH120" s="202" t="s">
        <v>114</v>
      </c>
      <c r="AI120" s="204">
        <f t="shared" si="1164"/>
        <v>57.291666666666664</v>
      </c>
      <c r="AJ120" s="202" t="s">
        <v>114</v>
      </c>
      <c r="AK120" s="204">
        <f t="shared" ref="AK120" si="1165">275000/AK66</f>
        <v>57.291666666666664</v>
      </c>
      <c r="AL120" s="202" t="s">
        <v>114</v>
      </c>
      <c r="AM120" s="204">
        <f t="shared" ref="AM120" si="1166">275000/AM66</f>
        <v>57.291666666666664</v>
      </c>
      <c r="AN120" s="202" t="s">
        <v>114</v>
      </c>
      <c r="AO120" s="204">
        <f t="shared" ref="AO120:AQ120" si="1167">275000/AO66</f>
        <v>57.291666666666664</v>
      </c>
      <c r="AP120" s="202" t="s">
        <v>114</v>
      </c>
      <c r="AQ120" s="204">
        <f t="shared" si="1167"/>
        <v>57.291666666666664</v>
      </c>
      <c r="AR120" s="202" t="s">
        <v>114</v>
      </c>
      <c r="AS120" s="204">
        <f t="shared" ref="AS120:AU120" si="1168">275000/AS66</f>
        <v>57.291666666666664</v>
      </c>
      <c r="AT120" s="202" t="s">
        <v>114</v>
      </c>
      <c r="AU120" s="204">
        <f t="shared" si="1168"/>
        <v>57.291666666666664</v>
      </c>
      <c r="AV120" s="202" t="s">
        <v>114</v>
      </c>
      <c r="AW120" s="204">
        <f t="shared" ref="AW120" si="1169">275000/AW66</f>
        <v>57.291666666666664</v>
      </c>
      <c r="AX120" s="202" t="s">
        <v>114</v>
      </c>
      <c r="AY120" s="204">
        <f t="shared" ref="AY120" si="1170">275000/AY66</f>
        <v>57.291666666666664</v>
      </c>
      <c r="AZ120" s="202" t="s">
        <v>114</v>
      </c>
      <c r="BA120" s="204">
        <f t="shared" ref="BA120" si="1171">275000/BA66</f>
        <v>57.291666666666664</v>
      </c>
    </row>
    <row r="121" spans="1:53" s="65" customFormat="1" ht="18" hidden="1" customHeight="1" outlineLevel="3" thickTop="1" x14ac:dyDescent="0.45">
      <c r="A121" s="561"/>
      <c r="B121" s="199"/>
      <c r="C121" s="200" t="s">
        <v>119</v>
      </c>
      <c r="D121" s="201"/>
      <c r="E121" s="201"/>
      <c r="F121" s="202" t="s">
        <v>114</v>
      </c>
      <c r="G121" s="204">
        <f>1280000/G66</f>
        <v>266.66666666666669</v>
      </c>
      <c r="H121" s="202" t="s">
        <v>114</v>
      </c>
      <c r="I121" s="204">
        <f t="shared" ref="I121" si="1172">1280000/I66</f>
        <v>266.66666666666669</v>
      </c>
      <c r="J121" s="202" t="s">
        <v>114</v>
      </c>
      <c r="K121" s="204">
        <f t="shared" ref="K121" si="1173">1280000/K66</f>
        <v>266.66666666666669</v>
      </c>
      <c r="L121" s="202" t="s">
        <v>114</v>
      </c>
      <c r="M121" s="204">
        <f t="shared" ref="M121" si="1174">1280000/M66</f>
        <v>266.66666666666669</v>
      </c>
      <c r="N121" s="202" t="s">
        <v>114</v>
      </c>
      <c r="O121" s="204">
        <f t="shared" ref="O121" si="1175">1280000/O66</f>
        <v>266.66666666666669</v>
      </c>
      <c r="P121" s="202" t="s">
        <v>114</v>
      </c>
      <c r="Q121" s="204">
        <f t="shared" ref="Q121" si="1176">1280000/Q66</f>
        <v>266.66666666666669</v>
      </c>
      <c r="R121" s="202" t="s">
        <v>114</v>
      </c>
      <c r="S121" s="204">
        <f t="shared" ref="S121" si="1177">1280000/S66</f>
        <v>266.66666666666669</v>
      </c>
      <c r="T121" s="202" t="s">
        <v>114</v>
      </c>
      <c r="U121" s="204">
        <f t="shared" ref="U121" si="1178">1280000/U66</f>
        <v>266.66666666666669</v>
      </c>
      <c r="V121" s="202" t="s">
        <v>114</v>
      </c>
      <c r="W121" s="204">
        <f t="shared" ref="W121" si="1179">1280000/W66</f>
        <v>266.66666666666669</v>
      </c>
      <c r="X121" s="202" t="s">
        <v>114</v>
      </c>
      <c r="Y121" s="204">
        <f t="shared" ref="Y121" si="1180">1280000/Y66</f>
        <v>266.66666666666669</v>
      </c>
      <c r="Z121" s="202" t="s">
        <v>114</v>
      </c>
      <c r="AA121" s="204">
        <f t="shared" ref="AA121" si="1181">1280000/AA66</f>
        <v>266.66666666666669</v>
      </c>
      <c r="AB121" s="202" t="s">
        <v>114</v>
      </c>
      <c r="AC121" s="204">
        <f t="shared" ref="AC121:AI121" si="1182">1280000/AC66</f>
        <v>266.66666666666669</v>
      </c>
      <c r="AD121" s="202" t="s">
        <v>114</v>
      </c>
      <c r="AE121" s="204">
        <f t="shared" si="1182"/>
        <v>266.66666666666669</v>
      </c>
      <c r="AF121" s="202" t="s">
        <v>114</v>
      </c>
      <c r="AG121" s="204">
        <f t="shared" si="1182"/>
        <v>266.66666666666669</v>
      </c>
      <c r="AH121" s="202" t="s">
        <v>114</v>
      </c>
      <c r="AI121" s="204">
        <f t="shared" si="1182"/>
        <v>266.66666666666669</v>
      </c>
      <c r="AJ121" s="202" t="s">
        <v>114</v>
      </c>
      <c r="AK121" s="204">
        <f t="shared" ref="AK121" si="1183">1280000/AK66</f>
        <v>266.66666666666669</v>
      </c>
      <c r="AL121" s="202" t="s">
        <v>114</v>
      </c>
      <c r="AM121" s="204">
        <f t="shared" ref="AM121" si="1184">1280000/AM66</f>
        <v>266.66666666666669</v>
      </c>
      <c r="AN121" s="202" t="s">
        <v>114</v>
      </c>
      <c r="AO121" s="204">
        <f t="shared" ref="AO121:AQ121" si="1185">1280000/AO66</f>
        <v>266.66666666666669</v>
      </c>
      <c r="AP121" s="202" t="s">
        <v>114</v>
      </c>
      <c r="AQ121" s="204">
        <f t="shared" si="1185"/>
        <v>266.66666666666669</v>
      </c>
      <c r="AR121" s="202" t="s">
        <v>114</v>
      </c>
      <c r="AS121" s="204">
        <f t="shared" ref="AS121:AU121" si="1186">1280000/AS66</f>
        <v>266.66666666666669</v>
      </c>
      <c r="AT121" s="202" t="s">
        <v>114</v>
      </c>
      <c r="AU121" s="204">
        <f t="shared" si="1186"/>
        <v>266.66666666666669</v>
      </c>
      <c r="AV121" s="202" t="s">
        <v>114</v>
      </c>
      <c r="AW121" s="204">
        <f t="shared" ref="AW121" si="1187">1280000/AW66</f>
        <v>266.66666666666669</v>
      </c>
      <c r="AX121" s="202" t="s">
        <v>114</v>
      </c>
      <c r="AY121" s="204">
        <f t="shared" ref="AY121" si="1188">1280000/AY66</f>
        <v>266.66666666666669</v>
      </c>
      <c r="AZ121" s="202" t="s">
        <v>114</v>
      </c>
      <c r="BA121" s="204">
        <f t="shared" ref="BA121" si="1189">1280000/BA66</f>
        <v>266.66666666666669</v>
      </c>
    </row>
    <row r="122" spans="1:53" s="65" customFormat="1" ht="18" hidden="1" customHeight="1" outlineLevel="3" thickTop="1" x14ac:dyDescent="0.45">
      <c r="A122" s="561"/>
      <c r="B122" s="199"/>
      <c r="C122" s="200" t="s">
        <v>120</v>
      </c>
      <c r="D122" s="201"/>
      <c r="E122" s="201"/>
      <c r="F122" s="202" t="s">
        <v>114</v>
      </c>
      <c r="G122" s="204">
        <f>225000/G66</f>
        <v>46.875</v>
      </c>
      <c r="H122" s="202" t="s">
        <v>114</v>
      </c>
      <c r="I122" s="204">
        <f t="shared" ref="I122" si="1190">225000/I66</f>
        <v>46.875</v>
      </c>
      <c r="J122" s="202" t="s">
        <v>114</v>
      </c>
      <c r="K122" s="204">
        <f t="shared" ref="K122" si="1191">225000/K66</f>
        <v>46.875</v>
      </c>
      <c r="L122" s="202" t="s">
        <v>114</v>
      </c>
      <c r="M122" s="204">
        <f t="shared" ref="M122" si="1192">225000/M66</f>
        <v>46.875</v>
      </c>
      <c r="N122" s="202" t="s">
        <v>114</v>
      </c>
      <c r="O122" s="204">
        <f t="shared" ref="O122" si="1193">225000/O66</f>
        <v>46.875</v>
      </c>
      <c r="P122" s="202" t="s">
        <v>114</v>
      </c>
      <c r="Q122" s="204">
        <f t="shared" ref="Q122" si="1194">225000/Q66</f>
        <v>46.875</v>
      </c>
      <c r="R122" s="202" t="s">
        <v>114</v>
      </c>
      <c r="S122" s="204">
        <f t="shared" ref="S122" si="1195">225000/S66</f>
        <v>46.875</v>
      </c>
      <c r="T122" s="202" t="s">
        <v>114</v>
      </c>
      <c r="U122" s="204">
        <f t="shared" ref="U122" si="1196">225000/U66</f>
        <v>46.875</v>
      </c>
      <c r="V122" s="202" t="s">
        <v>114</v>
      </c>
      <c r="W122" s="204">
        <f t="shared" ref="W122" si="1197">225000/W66</f>
        <v>46.875</v>
      </c>
      <c r="X122" s="202" t="s">
        <v>114</v>
      </c>
      <c r="Y122" s="204">
        <f t="shared" ref="Y122" si="1198">225000/Y66</f>
        <v>46.875</v>
      </c>
      <c r="Z122" s="202" t="s">
        <v>114</v>
      </c>
      <c r="AA122" s="204">
        <f t="shared" ref="AA122" si="1199">225000/AA66</f>
        <v>46.875</v>
      </c>
      <c r="AB122" s="202" t="s">
        <v>114</v>
      </c>
      <c r="AC122" s="204">
        <f t="shared" ref="AC122:AI122" si="1200">225000/AC66</f>
        <v>46.875</v>
      </c>
      <c r="AD122" s="202" t="s">
        <v>114</v>
      </c>
      <c r="AE122" s="204">
        <f t="shared" si="1200"/>
        <v>46.875</v>
      </c>
      <c r="AF122" s="202" t="s">
        <v>114</v>
      </c>
      <c r="AG122" s="204">
        <f t="shared" si="1200"/>
        <v>46.875</v>
      </c>
      <c r="AH122" s="202" t="s">
        <v>114</v>
      </c>
      <c r="AI122" s="204">
        <f t="shared" si="1200"/>
        <v>46.875</v>
      </c>
      <c r="AJ122" s="202" t="s">
        <v>114</v>
      </c>
      <c r="AK122" s="204">
        <f t="shared" ref="AK122" si="1201">225000/AK66</f>
        <v>46.875</v>
      </c>
      <c r="AL122" s="202" t="s">
        <v>114</v>
      </c>
      <c r="AM122" s="204">
        <f t="shared" ref="AM122" si="1202">225000/AM66</f>
        <v>46.875</v>
      </c>
      <c r="AN122" s="202" t="s">
        <v>114</v>
      </c>
      <c r="AO122" s="204">
        <f t="shared" ref="AO122:AQ122" si="1203">225000/AO66</f>
        <v>46.875</v>
      </c>
      <c r="AP122" s="202" t="s">
        <v>114</v>
      </c>
      <c r="AQ122" s="204">
        <f t="shared" si="1203"/>
        <v>46.875</v>
      </c>
      <c r="AR122" s="202" t="s">
        <v>114</v>
      </c>
      <c r="AS122" s="204">
        <f t="shared" ref="AS122:AU122" si="1204">225000/AS66</f>
        <v>46.875</v>
      </c>
      <c r="AT122" s="202" t="s">
        <v>114</v>
      </c>
      <c r="AU122" s="204">
        <f t="shared" si="1204"/>
        <v>46.875</v>
      </c>
      <c r="AV122" s="202" t="s">
        <v>114</v>
      </c>
      <c r="AW122" s="204">
        <f t="shared" ref="AW122" si="1205">225000/AW66</f>
        <v>46.875</v>
      </c>
      <c r="AX122" s="202" t="s">
        <v>114</v>
      </c>
      <c r="AY122" s="204">
        <f t="shared" ref="AY122" si="1206">225000/AY66</f>
        <v>46.875</v>
      </c>
      <c r="AZ122" s="202" t="s">
        <v>114</v>
      </c>
      <c r="BA122" s="204">
        <f t="shared" ref="BA122" si="1207">225000/BA66</f>
        <v>46.875</v>
      </c>
    </row>
    <row r="123" spans="1:53" s="4" customFormat="1" ht="18" hidden="1" customHeight="1" outlineLevel="3" thickTop="1" x14ac:dyDescent="0.45">
      <c r="A123" s="561"/>
      <c r="B123" s="205"/>
      <c r="C123" s="206" t="s">
        <v>121</v>
      </c>
      <c r="D123" s="207"/>
      <c r="E123" s="207"/>
      <c r="F123" s="208" t="s">
        <v>114</v>
      </c>
      <c r="G123" s="209">
        <f>(175*G79)/G66</f>
        <v>522.41145833333337</v>
      </c>
      <c r="H123" s="208" t="s">
        <v>114</v>
      </c>
      <c r="I123" s="209">
        <f t="shared" ref="I123" si="1208">(175*I79)/I66</f>
        <v>523.28645833333337</v>
      </c>
      <c r="J123" s="208" t="s">
        <v>114</v>
      </c>
      <c r="K123" s="209">
        <f t="shared" ref="K123" si="1209">(175*K79)/K66</f>
        <v>523.06770833333337</v>
      </c>
      <c r="L123" s="208" t="s">
        <v>114</v>
      </c>
      <c r="M123" s="209">
        <f t="shared" ref="M123" si="1210">(175*M79)/M66</f>
        <v>523.796875</v>
      </c>
      <c r="N123" s="208" t="s">
        <v>114</v>
      </c>
      <c r="O123" s="209">
        <f t="shared" ref="O123" si="1211">(175*O79)/O66</f>
        <v>532.91145833333337</v>
      </c>
      <c r="P123" s="208" t="s">
        <v>114</v>
      </c>
      <c r="Q123" s="209">
        <f t="shared" ref="Q123" si="1212">(175*Q79)/Q66</f>
        <v>534.953125</v>
      </c>
      <c r="R123" s="208" t="s">
        <v>114</v>
      </c>
      <c r="S123" s="209">
        <f t="shared" ref="S123" si="1213">(175*S79)/S66</f>
        <v>546.109375</v>
      </c>
      <c r="T123" s="208" t="s">
        <v>114</v>
      </c>
      <c r="U123" s="209">
        <f t="shared" ref="U123" si="1214">(175*U79)/U66</f>
        <v>541.515625</v>
      </c>
      <c r="V123" s="208" t="s">
        <v>114</v>
      </c>
      <c r="W123" s="209">
        <f t="shared" ref="W123" si="1215">(175*W79)/W66</f>
        <v>548.22395833333337</v>
      </c>
      <c r="X123" s="208" t="s">
        <v>114</v>
      </c>
      <c r="Y123" s="209">
        <f t="shared" ref="Y123" si="1216">(175*Y79)/Y66</f>
        <v>562.11458333333337</v>
      </c>
      <c r="Z123" s="208" t="s">
        <v>114</v>
      </c>
      <c r="AA123" s="209">
        <f t="shared" ref="AA123" si="1217">(175*AA79)/AA66</f>
        <v>570.390625</v>
      </c>
      <c r="AB123" s="208" t="s">
        <v>114</v>
      </c>
      <c r="AC123" s="209">
        <f t="shared" ref="AC123:AI123" si="1218">(175*AC79)/AC66</f>
        <v>569.58854166666663</v>
      </c>
      <c r="AD123" s="208" t="s">
        <v>114</v>
      </c>
      <c r="AE123" s="209">
        <f t="shared" si="1218"/>
        <v>558.94270833333337</v>
      </c>
      <c r="AF123" s="208" t="s">
        <v>114</v>
      </c>
      <c r="AG123" s="209">
        <f t="shared" si="1218"/>
        <v>550.19270833333337</v>
      </c>
      <c r="AH123" s="208" t="s">
        <v>114</v>
      </c>
      <c r="AI123" s="209">
        <f t="shared" si="1218"/>
        <v>556.90104166666663</v>
      </c>
      <c r="AJ123" s="208" t="s">
        <v>114</v>
      </c>
      <c r="AK123" s="209">
        <f t="shared" ref="AK123" si="1219">(175*AK79)/AK66</f>
        <v>541.66145833333337</v>
      </c>
      <c r="AL123" s="208" t="s">
        <v>114</v>
      </c>
      <c r="AM123" s="209">
        <f t="shared" ref="AM123" si="1220">(175*AM79)/AM66</f>
        <v>538.890625</v>
      </c>
      <c r="AN123" s="208" t="s">
        <v>114</v>
      </c>
      <c r="AO123" s="209">
        <f t="shared" ref="AO123:AQ123" si="1221">(175*AO79)/AO66</f>
        <v>544.359375</v>
      </c>
      <c r="AP123" s="208" t="s">
        <v>114</v>
      </c>
      <c r="AQ123" s="209">
        <f t="shared" si="1221"/>
        <v>547.75</v>
      </c>
      <c r="AR123" s="208" t="s">
        <v>114</v>
      </c>
      <c r="AS123" s="209">
        <f t="shared" ref="AS123:AU123" si="1222">(175*AS79)/AS66</f>
        <v>555.47916666666663</v>
      </c>
      <c r="AT123" s="208" t="s">
        <v>114</v>
      </c>
      <c r="AU123" s="209">
        <f t="shared" si="1222"/>
        <v>555.47916666666663</v>
      </c>
      <c r="AV123" s="208" t="s">
        <v>114</v>
      </c>
      <c r="AW123" s="209">
        <f t="shared" ref="AW123" si="1223">(175*AW79)/AW66</f>
        <v>559.08854166666663</v>
      </c>
      <c r="AX123" s="208" t="s">
        <v>114</v>
      </c>
      <c r="AY123" s="209">
        <f t="shared" ref="AY123" si="1224">(175*AY79)/AY66</f>
        <v>572.86979166666663</v>
      </c>
      <c r="AZ123" s="208" t="s">
        <v>114</v>
      </c>
      <c r="BA123" s="209">
        <f t="shared" ref="BA123" si="1225">(175*BA79)/BA66</f>
        <v>571.99479166666663</v>
      </c>
    </row>
    <row r="124" spans="1:53" ht="15" hidden="1" customHeight="1" outlineLevel="2" collapsed="1" thickTop="1" x14ac:dyDescent="0.45">
      <c r="A124" s="561"/>
      <c r="B124" s="1187"/>
      <c r="C124" s="161"/>
      <c r="D124" s="162"/>
      <c r="E124" s="210"/>
      <c r="F124" s="164"/>
      <c r="G124" s="165"/>
      <c r="H124" s="164"/>
      <c r="I124" s="165"/>
      <c r="J124" s="164"/>
      <c r="K124" s="165"/>
      <c r="L124" s="164"/>
      <c r="M124" s="165"/>
      <c r="N124" s="164"/>
      <c r="O124" s="165"/>
      <c r="P124" s="164"/>
      <c r="Q124" s="165"/>
      <c r="R124" s="164"/>
      <c r="S124" s="165"/>
      <c r="T124" s="164"/>
      <c r="U124" s="165"/>
      <c r="V124" s="164"/>
      <c r="W124" s="165"/>
      <c r="X124" s="164"/>
      <c r="Y124" s="165"/>
      <c r="Z124" s="164"/>
      <c r="AA124" s="165"/>
      <c r="AB124" s="164"/>
      <c r="AC124" s="165"/>
      <c r="AD124" s="164"/>
      <c r="AE124" s="165"/>
      <c r="AF124" s="164"/>
      <c r="AG124" s="165"/>
      <c r="AH124" s="164"/>
      <c r="AI124" s="165"/>
      <c r="AJ124" s="164"/>
      <c r="AK124" s="165"/>
      <c r="AL124" s="164"/>
      <c r="AM124" s="165"/>
      <c r="AN124" s="164"/>
      <c r="AO124" s="165"/>
      <c r="AP124" s="164"/>
      <c r="AQ124" s="165"/>
      <c r="AR124" s="164"/>
      <c r="AS124" s="165"/>
      <c r="AT124" s="164"/>
      <c r="AU124" s="165"/>
      <c r="AV124" s="164"/>
      <c r="AW124" s="165"/>
      <c r="AX124" s="164"/>
      <c r="AY124" s="165"/>
      <c r="AZ124" s="164"/>
      <c r="BA124" s="165"/>
    </row>
    <row r="125" spans="1:53" ht="15" hidden="1" customHeight="1" outlineLevel="4" thickTop="1" x14ac:dyDescent="0.45">
      <c r="A125" s="561"/>
      <c r="B125" s="1187"/>
      <c r="C125" s="211" t="s">
        <v>122</v>
      </c>
      <c r="D125" s="212"/>
      <c r="E125" s="213" t="s">
        <v>123</v>
      </c>
      <c r="F125" s="214"/>
      <c r="G125" s="215">
        <v>291156</v>
      </c>
      <c r="H125" s="214"/>
      <c r="I125" s="215">
        <v>291156</v>
      </c>
      <c r="J125" s="214"/>
      <c r="K125" s="215">
        <v>291156</v>
      </c>
      <c r="L125" s="214"/>
      <c r="M125" s="215">
        <v>291156</v>
      </c>
      <c r="N125" s="214"/>
      <c r="O125" s="215">
        <v>291156</v>
      </c>
      <c r="P125" s="214"/>
      <c r="Q125" s="215">
        <v>291156</v>
      </c>
      <c r="R125" s="214"/>
      <c r="S125" s="215">
        <v>291156</v>
      </c>
      <c r="T125" s="214"/>
      <c r="U125" s="215">
        <v>291156</v>
      </c>
      <c r="V125" s="214"/>
      <c r="W125" s="215">
        <v>291156</v>
      </c>
      <c r="X125" s="214"/>
      <c r="Y125" s="215">
        <v>291156</v>
      </c>
      <c r="Z125" s="214"/>
      <c r="AA125" s="215">
        <v>291156</v>
      </c>
      <c r="AB125" s="214"/>
      <c r="AC125" s="215">
        <v>291156</v>
      </c>
      <c r="AD125" s="214"/>
      <c r="AE125" s="215">
        <v>291156</v>
      </c>
      <c r="AF125" s="214"/>
      <c r="AG125" s="215">
        <v>291156</v>
      </c>
      <c r="AH125" s="214"/>
      <c r="AI125" s="215">
        <v>291156</v>
      </c>
      <c r="AJ125" s="214"/>
      <c r="AK125" s="215">
        <v>291156</v>
      </c>
      <c r="AL125" s="214"/>
      <c r="AM125" s="215">
        <v>291156</v>
      </c>
      <c r="AN125" s="214"/>
      <c r="AO125" s="215">
        <v>291156</v>
      </c>
      <c r="AP125" s="214"/>
      <c r="AQ125" s="215">
        <v>291156</v>
      </c>
      <c r="AR125" s="214"/>
      <c r="AS125" s="215">
        <v>291156</v>
      </c>
      <c r="AT125" s="214"/>
      <c r="AU125" s="215">
        <v>291156</v>
      </c>
      <c r="AV125" s="214"/>
      <c r="AW125" s="215">
        <v>291156</v>
      </c>
      <c r="AX125" s="214"/>
      <c r="AY125" s="215">
        <v>291156</v>
      </c>
      <c r="AZ125" s="214"/>
      <c r="BA125" s="215">
        <v>291156</v>
      </c>
    </row>
    <row r="126" spans="1:53" ht="15" hidden="1" customHeight="1" outlineLevel="4" thickTop="1" x14ac:dyDescent="0.45">
      <c r="A126" s="561"/>
      <c r="B126" s="1187"/>
      <c r="C126" s="211"/>
      <c r="D126" s="212"/>
      <c r="E126" s="213" t="s">
        <v>125</v>
      </c>
      <c r="F126" s="214"/>
      <c r="G126" s="215"/>
      <c r="H126" s="214"/>
      <c r="I126" s="215"/>
      <c r="J126" s="214"/>
      <c r="K126" s="215"/>
      <c r="L126" s="214"/>
      <c r="M126" s="215"/>
      <c r="N126" s="214"/>
      <c r="O126" s="215"/>
      <c r="P126" s="214"/>
      <c r="Q126" s="215"/>
      <c r="R126" s="214"/>
      <c r="S126" s="215"/>
      <c r="T126" s="214"/>
      <c r="U126" s="215"/>
      <c r="V126" s="214"/>
      <c r="W126" s="215"/>
      <c r="X126" s="214"/>
      <c r="Y126" s="215"/>
      <c r="Z126" s="214"/>
      <c r="AA126" s="215"/>
      <c r="AB126" s="214"/>
      <c r="AC126" s="215"/>
      <c r="AD126" s="214"/>
      <c r="AE126" s="215"/>
      <c r="AF126" s="214"/>
      <c r="AG126" s="215"/>
      <c r="AH126" s="214"/>
      <c r="AI126" s="215"/>
      <c r="AJ126" s="214"/>
      <c r="AK126" s="215"/>
      <c r="AL126" s="214"/>
      <c r="AM126" s="215"/>
      <c r="AN126" s="214"/>
      <c r="AO126" s="215"/>
      <c r="AP126" s="214"/>
      <c r="AQ126" s="215"/>
      <c r="AR126" s="214"/>
      <c r="AS126" s="215"/>
      <c r="AT126" s="214"/>
      <c r="AU126" s="215"/>
      <c r="AV126" s="214"/>
      <c r="AW126" s="215"/>
      <c r="AX126" s="214"/>
      <c r="AY126" s="215"/>
      <c r="AZ126" s="214"/>
      <c r="BA126" s="215"/>
    </row>
    <row r="127" spans="1:53" ht="15" hidden="1" customHeight="1" outlineLevel="4" thickTop="1" x14ac:dyDescent="0.45">
      <c r="A127" s="561"/>
      <c r="B127" s="1187"/>
      <c r="C127" s="211"/>
      <c r="D127" s="212"/>
      <c r="E127" s="213" t="s">
        <v>126</v>
      </c>
      <c r="F127" s="214"/>
      <c r="G127" s="215"/>
      <c r="H127" s="214"/>
      <c r="I127" s="215"/>
      <c r="J127" s="214"/>
      <c r="K127" s="215"/>
      <c r="L127" s="214"/>
      <c r="M127" s="215"/>
      <c r="N127" s="214"/>
      <c r="O127" s="215"/>
      <c r="P127" s="214"/>
      <c r="Q127" s="215"/>
      <c r="R127" s="214"/>
      <c r="S127" s="215"/>
      <c r="T127" s="214"/>
      <c r="U127" s="215"/>
      <c r="V127" s="214"/>
      <c r="W127" s="215"/>
      <c r="X127" s="214"/>
      <c r="Y127" s="215"/>
      <c r="Z127" s="214"/>
      <c r="AA127" s="215"/>
      <c r="AB127" s="214"/>
      <c r="AC127" s="215"/>
      <c r="AD127" s="214"/>
      <c r="AE127" s="215"/>
      <c r="AF127" s="214"/>
      <c r="AG127" s="215"/>
      <c r="AH127" s="214"/>
      <c r="AI127" s="215"/>
      <c r="AJ127" s="214"/>
      <c r="AK127" s="215"/>
      <c r="AL127" s="214"/>
      <c r="AM127" s="215"/>
      <c r="AN127" s="214"/>
      <c r="AO127" s="215"/>
      <c r="AP127" s="214"/>
      <c r="AQ127" s="215"/>
      <c r="AR127" s="214"/>
      <c r="AS127" s="215"/>
      <c r="AT127" s="214"/>
      <c r="AU127" s="215"/>
      <c r="AV127" s="214"/>
      <c r="AW127" s="215"/>
      <c r="AX127" s="214"/>
      <c r="AY127" s="215"/>
      <c r="AZ127" s="214"/>
      <c r="BA127" s="215"/>
    </row>
    <row r="128" spans="1:53" ht="15" hidden="1" customHeight="1" outlineLevel="4" thickTop="1" x14ac:dyDescent="0.45">
      <c r="A128" s="561"/>
      <c r="B128" s="1187"/>
      <c r="C128" s="216" t="s">
        <v>124</v>
      </c>
      <c r="D128" s="217"/>
      <c r="E128" s="218" t="s">
        <v>123</v>
      </c>
      <c r="F128" s="219"/>
      <c r="G128" s="220">
        <v>413556</v>
      </c>
      <c r="H128" s="219"/>
      <c r="I128" s="220">
        <v>413556</v>
      </c>
      <c r="J128" s="219"/>
      <c r="K128" s="220">
        <v>413556</v>
      </c>
      <c r="L128" s="219"/>
      <c r="M128" s="220">
        <v>413556</v>
      </c>
      <c r="N128" s="219"/>
      <c r="O128" s="220">
        <v>413556</v>
      </c>
      <c r="P128" s="219"/>
      <c r="Q128" s="220">
        <v>413556</v>
      </c>
      <c r="R128" s="219"/>
      <c r="S128" s="220">
        <v>413556</v>
      </c>
      <c r="T128" s="219"/>
      <c r="U128" s="220">
        <v>413556</v>
      </c>
      <c r="V128" s="219"/>
      <c r="W128" s="220">
        <v>413556</v>
      </c>
      <c r="X128" s="219"/>
      <c r="Y128" s="220">
        <v>413556</v>
      </c>
      <c r="Z128" s="219"/>
      <c r="AA128" s="220">
        <v>413556</v>
      </c>
      <c r="AB128" s="219"/>
      <c r="AC128" s="220">
        <v>413556</v>
      </c>
      <c r="AD128" s="219"/>
      <c r="AE128" s="220">
        <v>413556</v>
      </c>
      <c r="AF128" s="219"/>
      <c r="AG128" s="220">
        <v>413556</v>
      </c>
      <c r="AH128" s="219"/>
      <c r="AI128" s="220">
        <v>413556</v>
      </c>
      <c r="AJ128" s="219"/>
      <c r="AK128" s="220">
        <v>413556</v>
      </c>
      <c r="AL128" s="219"/>
      <c r="AM128" s="220">
        <v>413556</v>
      </c>
      <c r="AN128" s="219"/>
      <c r="AO128" s="220">
        <v>413556</v>
      </c>
      <c r="AP128" s="219"/>
      <c r="AQ128" s="220">
        <v>413556</v>
      </c>
      <c r="AR128" s="219"/>
      <c r="AS128" s="220">
        <v>413556</v>
      </c>
      <c r="AT128" s="219"/>
      <c r="AU128" s="220">
        <v>413556</v>
      </c>
      <c r="AV128" s="219"/>
      <c r="AW128" s="220">
        <v>413556</v>
      </c>
      <c r="AX128" s="219"/>
      <c r="AY128" s="220">
        <v>413556</v>
      </c>
      <c r="AZ128" s="219"/>
      <c r="BA128" s="220">
        <v>413556</v>
      </c>
    </row>
    <row r="129" spans="1:53" ht="15" hidden="1" customHeight="1" outlineLevel="4" thickTop="1" x14ac:dyDescent="0.45">
      <c r="A129" s="561"/>
      <c r="B129" s="1187"/>
      <c r="C129" s="216"/>
      <c r="D129" s="217"/>
      <c r="E129" s="218" t="s">
        <v>125</v>
      </c>
      <c r="F129" s="219"/>
      <c r="G129" s="221">
        <f>G128/G10</f>
        <v>34463</v>
      </c>
      <c r="H129" s="219"/>
      <c r="I129" s="221">
        <f t="shared" ref="I129" si="1226">I128/I10</f>
        <v>34463</v>
      </c>
      <c r="J129" s="219"/>
      <c r="K129" s="221">
        <f t="shared" ref="K129" si="1227">K128/K10</f>
        <v>34463</v>
      </c>
      <c r="L129" s="219"/>
      <c r="M129" s="221">
        <f t="shared" ref="M129" si="1228">M128/M10</f>
        <v>34463</v>
      </c>
      <c r="N129" s="219"/>
      <c r="O129" s="221">
        <f t="shared" ref="O129" si="1229">O128/O10</f>
        <v>34463</v>
      </c>
      <c r="P129" s="219"/>
      <c r="Q129" s="221">
        <f t="shared" ref="Q129" si="1230">Q128/Q10</f>
        <v>34463</v>
      </c>
      <c r="R129" s="219"/>
      <c r="S129" s="221">
        <f t="shared" ref="S129" si="1231">S128/S10</f>
        <v>34463</v>
      </c>
      <c r="T129" s="219"/>
      <c r="U129" s="221">
        <f t="shared" ref="U129" si="1232">U128/U10</f>
        <v>34463</v>
      </c>
      <c r="V129" s="219"/>
      <c r="W129" s="221">
        <f t="shared" ref="W129" si="1233">W128/W10</f>
        <v>34463</v>
      </c>
      <c r="X129" s="219"/>
      <c r="Y129" s="221">
        <f t="shared" ref="Y129" si="1234">Y128/Y10</f>
        <v>34463</v>
      </c>
      <c r="Z129" s="219"/>
      <c r="AA129" s="221">
        <f t="shared" ref="AA129" si="1235">AA128/AA10</f>
        <v>34463</v>
      </c>
      <c r="AB129" s="219"/>
      <c r="AC129" s="221">
        <f t="shared" ref="AC129" si="1236">AC128/AC10</f>
        <v>34463</v>
      </c>
      <c r="AD129" s="219"/>
      <c r="AE129" s="221">
        <f t="shared" ref="AE129" si="1237">AE128/AE10</f>
        <v>34463</v>
      </c>
      <c r="AF129" s="219"/>
      <c r="AG129" s="221">
        <f t="shared" ref="AG129" si="1238">AG128/AG10</f>
        <v>34463</v>
      </c>
      <c r="AH129" s="219"/>
      <c r="AI129" s="221">
        <f t="shared" ref="AI129" si="1239">AI128/AI10</f>
        <v>34463</v>
      </c>
      <c r="AJ129" s="219"/>
      <c r="AK129" s="221">
        <f t="shared" ref="AK129" si="1240">AK128/AK10</f>
        <v>34463</v>
      </c>
      <c r="AL129" s="219"/>
      <c r="AM129" s="221">
        <f t="shared" ref="AM129" si="1241">AM128/AM10</f>
        <v>34463</v>
      </c>
      <c r="AN129" s="219"/>
      <c r="AO129" s="221">
        <f t="shared" ref="AO129:AQ129" si="1242">AO128/AO10</f>
        <v>34463</v>
      </c>
      <c r="AP129" s="219"/>
      <c r="AQ129" s="221">
        <f t="shared" si="1242"/>
        <v>34463</v>
      </c>
      <c r="AR129" s="219"/>
      <c r="AS129" s="221">
        <f t="shared" ref="AS129:AU129" si="1243">AS128/AS10</f>
        <v>34463</v>
      </c>
      <c r="AT129" s="219"/>
      <c r="AU129" s="221">
        <f t="shared" si="1243"/>
        <v>34463</v>
      </c>
      <c r="AV129" s="219"/>
      <c r="AW129" s="221">
        <f t="shared" ref="AW129" si="1244">AW128/AW10</f>
        <v>34463</v>
      </c>
      <c r="AX129" s="219"/>
      <c r="AY129" s="221">
        <f t="shared" ref="AY129" si="1245">AY128/AY10</f>
        <v>34463</v>
      </c>
      <c r="AZ129" s="219"/>
      <c r="BA129" s="221">
        <f t="shared" ref="BA129" si="1246">BA128/BA10</f>
        <v>34463</v>
      </c>
    </row>
    <row r="130" spans="1:53" ht="15" hidden="1" customHeight="1" outlineLevel="4" thickTop="1" x14ac:dyDescent="0.45">
      <c r="A130" s="561"/>
      <c r="B130" s="1187"/>
      <c r="C130" s="216"/>
      <c r="D130" s="217"/>
      <c r="E130" s="218" t="s">
        <v>126</v>
      </c>
      <c r="F130" s="222"/>
      <c r="G130" s="220">
        <f>G129/G66</f>
        <v>7.1797916666666666</v>
      </c>
      <c r="H130" s="222"/>
      <c r="I130" s="220">
        <f t="shared" ref="I130" si="1247">I129/I66</f>
        <v>7.1797916666666666</v>
      </c>
      <c r="J130" s="222"/>
      <c r="K130" s="220">
        <f t="shared" ref="K130" si="1248">K129/K66</f>
        <v>7.1797916666666666</v>
      </c>
      <c r="L130" s="222"/>
      <c r="M130" s="220">
        <f t="shared" ref="M130" si="1249">M129/M66</f>
        <v>7.1797916666666666</v>
      </c>
      <c r="N130" s="222"/>
      <c r="O130" s="220">
        <f t="shared" ref="O130" si="1250">O129/O66</f>
        <v>7.1797916666666666</v>
      </c>
      <c r="P130" s="222"/>
      <c r="Q130" s="220">
        <f t="shared" ref="Q130" si="1251">Q129/Q66</f>
        <v>7.1797916666666666</v>
      </c>
      <c r="R130" s="222"/>
      <c r="S130" s="220">
        <f t="shared" ref="S130" si="1252">S129/S66</f>
        <v>7.1797916666666666</v>
      </c>
      <c r="T130" s="222"/>
      <c r="U130" s="220">
        <f t="shared" ref="U130" si="1253">U129/U66</f>
        <v>7.1797916666666666</v>
      </c>
      <c r="V130" s="222"/>
      <c r="W130" s="220">
        <f t="shared" ref="W130" si="1254">W129/W66</f>
        <v>7.1797916666666666</v>
      </c>
      <c r="X130" s="222"/>
      <c r="Y130" s="220">
        <f t="shared" ref="Y130" si="1255">Y129/Y66</f>
        <v>7.1797916666666666</v>
      </c>
      <c r="Z130" s="222"/>
      <c r="AA130" s="220">
        <f t="shared" ref="AA130" si="1256">AA129/AA66</f>
        <v>7.1797916666666666</v>
      </c>
      <c r="AB130" s="222"/>
      <c r="AC130" s="220">
        <f t="shared" ref="AC130" si="1257">AC129/AC66</f>
        <v>7.1797916666666666</v>
      </c>
      <c r="AD130" s="222"/>
      <c r="AE130" s="220">
        <f t="shared" ref="AE130" si="1258">AE129/AE66</f>
        <v>7.1797916666666666</v>
      </c>
      <c r="AF130" s="222"/>
      <c r="AG130" s="220">
        <f t="shared" ref="AG130" si="1259">AG129/AG66</f>
        <v>7.1797916666666666</v>
      </c>
      <c r="AH130" s="222"/>
      <c r="AI130" s="220">
        <f t="shared" ref="AI130" si="1260">AI129/AI66</f>
        <v>7.1797916666666666</v>
      </c>
      <c r="AJ130" s="222"/>
      <c r="AK130" s="220">
        <f t="shared" ref="AK130" si="1261">AK129/AK66</f>
        <v>7.1797916666666666</v>
      </c>
      <c r="AL130" s="222"/>
      <c r="AM130" s="220">
        <f t="shared" ref="AM130" si="1262">AM129/AM66</f>
        <v>7.1797916666666666</v>
      </c>
      <c r="AN130" s="222"/>
      <c r="AO130" s="220">
        <f t="shared" ref="AO130:AQ130" si="1263">AO129/AO66</f>
        <v>7.1797916666666666</v>
      </c>
      <c r="AP130" s="222"/>
      <c r="AQ130" s="220">
        <f t="shared" si="1263"/>
        <v>7.1797916666666666</v>
      </c>
      <c r="AR130" s="222"/>
      <c r="AS130" s="220">
        <f t="shared" ref="AS130:AU130" si="1264">AS129/AS66</f>
        <v>7.1797916666666666</v>
      </c>
      <c r="AT130" s="222"/>
      <c r="AU130" s="220">
        <f t="shared" si="1264"/>
        <v>7.1797916666666666</v>
      </c>
      <c r="AV130" s="222"/>
      <c r="AW130" s="220">
        <f t="shared" ref="AW130" si="1265">AW129/AW66</f>
        <v>7.1797916666666666</v>
      </c>
      <c r="AX130" s="222"/>
      <c r="AY130" s="220">
        <f t="shared" ref="AY130" si="1266">AY129/AY66</f>
        <v>7.1797916666666666</v>
      </c>
      <c r="AZ130" s="222"/>
      <c r="BA130" s="220">
        <f t="shared" ref="BA130" si="1267">BA129/BA66</f>
        <v>7.1797916666666666</v>
      </c>
    </row>
    <row r="131" spans="1:53" ht="15" hidden="1" customHeight="1" outlineLevel="3" collapsed="1" thickTop="1" x14ac:dyDescent="0.45">
      <c r="A131" s="561"/>
      <c r="B131" s="1187"/>
      <c r="C131" s="582" t="s">
        <v>387</v>
      </c>
      <c r="D131" s="583"/>
      <c r="E131" s="584" t="s">
        <v>123</v>
      </c>
      <c r="F131" s="585"/>
      <c r="G131" s="586">
        <f>INDEX(Table5[#All],MATCH(F$4,Table5[[#All],[SKU]],0),MATCH(LEFT(F$3,3),Table5[#Headers],0))</f>
        <v>28800</v>
      </c>
      <c r="H131" s="585"/>
      <c r="I131" s="586">
        <f>INDEX(Table5[#All],MATCH(H$4,Table5[[#All],[SKU]],0),MATCH(LEFT(H$3,3),Table5[#Headers],0))</f>
        <v>28500</v>
      </c>
      <c r="J131" s="585"/>
      <c r="K131" s="586">
        <f>INDEX(Table5[#All],MATCH(J$4,Table5[[#All],[SKU]],0),MATCH(LEFT(J$3,3),Table5[#Headers],0))</f>
        <v>28800</v>
      </c>
      <c r="L131" s="585"/>
      <c r="M131" s="586">
        <f>INDEX(Table5[#All],MATCH(L$4,Table5[[#All],[SKU]],0),MATCH(LEFT(L$3,3),Table5[#Headers],0))</f>
        <v>55716</v>
      </c>
      <c r="N131" s="585"/>
      <c r="O131" s="586">
        <f>INDEX(Table5[#All],MATCH(N$4,Table5[[#All],[SKU]],0),MATCH(LEFT(N$3,3),Table5[#Headers],0))</f>
        <v>55452</v>
      </c>
      <c r="P131" s="585"/>
      <c r="Q131" s="586">
        <f>INDEX(Table5[#All],MATCH(P$4,Table5[[#All],[SKU]],0),MATCH(LEFT(P$3,3),Table5[#Headers],0))</f>
        <v>54540</v>
      </c>
      <c r="R131" s="585"/>
      <c r="S131" s="586">
        <f>INDEX(Table5[#All],MATCH(R$4,Table5[[#All],[SKU]],0),MATCH(LEFT(R$3,3),Table5[#Headers],0))</f>
        <v>115500</v>
      </c>
      <c r="T131" s="585"/>
      <c r="U131" s="586">
        <f>INDEX(Table5[#All],MATCH(T$4,Table5[[#All],[SKU]],0),MATCH(LEFT(T$3,3),Table5[#Headers],0))</f>
        <v>28620</v>
      </c>
      <c r="V131" s="585"/>
      <c r="W131" s="586">
        <f>INDEX(Table5[#All],MATCH(V$4,Table5[[#All],[SKU]],0),MATCH(LEFT(V$3,3),Table5[#Headers],0))</f>
        <v>28800</v>
      </c>
      <c r="X131" s="585"/>
      <c r="Y131" s="586">
        <f>INDEX(Table5[#All],MATCH(X$4,Table5[[#All],[SKU]],0),MATCH(LEFT(X$3,3),Table5[#Headers],0))</f>
        <v>27900</v>
      </c>
      <c r="Z131" s="585"/>
      <c r="AA131" s="586">
        <f>INDEX(Table5[#All],MATCH(Z$4,Table5[[#All],[SKU]],0),MATCH(LEFT(Z$3,3),Table5[#Headers],0))</f>
        <v>103644</v>
      </c>
      <c r="AB131" s="585"/>
      <c r="AC131" s="586">
        <f>INDEX(Table5[#All],MATCH(AB$4,Table5[[#All],[SKU]],0),MATCH(LEFT(AB$3,3),Table5[#Headers],0))</f>
        <v>205392</v>
      </c>
      <c r="AD131" s="585"/>
      <c r="AE131" s="586">
        <f>'Sales Volume'!P10</f>
        <v>56424</v>
      </c>
      <c r="AF131" s="585"/>
      <c r="AG131" s="586">
        <f>'Sales Volume'!Q10</f>
        <v>28800</v>
      </c>
      <c r="AH131" s="585"/>
      <c r="AI131" s="586">
        <f>'Sales Volume'!R10</f>
        <v>112212</v>
      </c>
      <c r="AJ131" s="585"/>
      <c r="AK131" s="586">
        <f>'Sales Volume'!S10</f>
        <v>4944</v>
      </c>
      <c r="AL131" s="585"/>
      <c r="AM131" s="586">
        <f>'Sales Volume'!T10</f>
        <v>113400</v>
      </c>
      <c r="AN131" s="585"/>
      <c r="AO131" s="586">
        <f>'Sales Volume'!U10</f>
        <v>139344</v>
      </c>
      <c r="AP131" s="585"/>
      <c r="AQ131" s="586">
        <f>'Sales Volume'!V10</f>
        <v>110028</v>
      </c>
      <c r="AR131" s="585"/>
      <c r="AS131" s="586">
        <f>'Sales Volume'!V10</f>
        <v>110028</v>
      </c>
      <c r="AT131" s="585"/>
      <c r="AU131" s="586">
        <f>'Sales Volume'!X10</f>
        <v>277500</v>
      </c>
      <c r="AV131" s="585"/>
      <c r="AW131" s="586">
        <f>'Sales Volume'!Z10</f>
        <v>0</v>
      </c>
      <c r="AX131" s="585"/>
      <c r="AY131" s="586">
        <f>'Sales Volume'!AB10</f>
        <v>0</v>
      </c>
      <c r="AZ131" s="585"/>
      <c r="BA131" s="586">
        <f>'Sales Volume'!AD10</f>
        <v>0</v>
      </c>
    </row>
    <row r="132" spans="1:53" ht="15" hidden="1" customHeight="1" outlineLevel="3" thickTop="1" x14ac:dyDescent="0.45">
      <c r="A132" s="561"/>
      <c r="B132" s="1187"/>
      <c r="C132" s="582"/>
      <c r="D132" s="583"/>
      <c r="E132" s="584" t="s">
        <v>125</v>
      </c>
      <c r="F132" s="585"/>
      <c r="G132" s="586">
        <f>G131/G10</f>
        <v>2400</v>
      </c>
      <c r="H132" s="585"/>
      <c r="I132" s="586">
        <f t="shared" ref="I132" si="1268">I131/I10</f>
        <v>2375</v>
      </c>
      <c r="J132" s="585"/>
      <c r="K132" s="586">
        <f t="shared" ref="K132" si="1269">K131/K10</f>
        <v>2400</v>
      </c>
      <c r="L132" s="585"/>
      <c r="M132" s="586">
        <f t="shared" ref="M132" si="1270">M131/M10</f>
        <v>4643</v>
      </c>
      <c r="N132" s="585"/>
      <c r="O132" s="586">
        <f t="shared" ref="O132" si="1271">O131/O10</f>
        <v>4621</v>
      </c>
      <c r="P132" s="585"/>
      <c r="Q132" s="586">
        <f t="shared" ref="Q132" si="1272">Q131/Q10</f>
        <v>4545</v>
      </c>
      <c r="R132" s="585"/>
      <c r="S132" s="586">
        <f t="shared" ref="S132" si="1273">S131/S10</f>
        <v>9625</v>
      </c>
      <c r="T132" s="585"/>
      <c r="U132" s="586">
        <f t="shared" ref="U132" si="1274">U131/U10</f>
        <v>2385</v>
      </c>
      <c r="V132" s="585"/>
      <c r="W132" s="586">
        <f t="shared" ref="W132" si="1275">W131/W10</f>
        <v>2400</v>
      </c>
      <c r="X132" s="585"/>
      <c r="Y132" s="586">
        <f t="shared" ref="Y132" si="1276">Y131/Y10</f>
        <v>2325</v>
      </c>
      <c r="Z132" s="585"/>
      <c r="AA132" s="586">
        <f t="shared" ref="AA132" si="1277">AA131/AA10</f>
        <v>8637</v>
      </c>
      <c r="AB132" s="585"/>
      <c r="AC132" s="586">
        <f t="shared" ref="AC132" si="1278">AC131/AC10</f>
        <v>17116</v>
      </c>
      <c r="AD132" s="585"/>
      <c r="AE132" s="586">
        <f t="shared" ref="AE132" si="1279">AE131/AE10</f>
        <v>4702</v>
      </c>
      <c r="AF132" s="585"/>
      <c r="AG132" s="586">
        <f t="shared" ref="AG132" si="1280">AG131/AG10</f>
        <v>2400</v>
      </c>
      <c r="AH132" s="585"/>
      <c r="AI132" s="586">
        <f t="shared" ref="AI132" si="1281">AI131/AI10</f>
        <v>9351</v>
      </c>
      <c r="AJ132" s="585"/>
      <c r="AK132" s="586">
        <f t="shared" ref="AK132" si="1282">AK131/AK10</f>
        <v>412</v>
      </c>
      <c r="AL132" s="585"/>
      <c r="AM132" s="586">
        <f t="shared" ref="AM132" si="1283">AM131/AM10</f>
        <v>9450</v>
      </c>
      <c r="AN132" s="585"/>
      <c r="AO132" s="586">
        <f t="shared" ref="AO132:AQ132" si="1284">AO131/AO10</f>
        <v>11612</v>
      </c>
      <c r="AP132" s="585"/>
      <c r="AQ132" s="586">
        <f t="shared" si="1284"/>
        <v>9169</v>
      </c>
      <c r="AR132" s="585"/>
      <c r="AS132" s="586">
        <f t="shared" ref="AS132:AU132" si="1285">AS131/AS10</f>
        <v>9169</v>
      </c>
      <c r="AT132" s="585"/>
      <c r="AU132" s="586">
        <f t="shared" si="1285"/>
        <v>23125</v>
      </c>
      <c r="AV132" s="585"/>
      <c r="AW132" s="586">
        <f t="shared" ref="AW132" si="1286">AW131/AW10</f>
        <v>0</v>
      </c>
      <c r="AX132" s="585"/>
      <c r="AY132" s="586">
        <f t="shared" ref="AY132" si="1287">AY131/AY10</f>
        <v>0</v>
      </c>
      <c r="AZ132" s="585"/>
      <c r="BA132" s="586">
        <f t="shared" ref="BA132" si="1288">BA131/BA10</f>
        <v>0</v>
      </c>
    </row>
    <row r="133" spans="1:53" ht="15" hidden="1" customHeight="1" outlineLevel="3" thickTop="1" x14ac:dyDescent="0.45">
      <c r="A133" s="561"/>
      <c r="B133" s="1187"/>
      <c r="C133" s="582"/>
      <c r="D133" s="583"/>
      <c r="E133" s="584" t="s">
        <v>126</v>
      </c>
      <c r="F133" s="585"/>
      <c r="G133" s="586">
        <f>G132/G66</f>
        <v>0.5</v>
      </c>
      <c r="H133" s="585"/>
      <c r="I133" s="586">
        <f t="shared" ref="I133" si="1289">I132/I66</f>
        <v>0.49479166666666669</v>
      </c>
      <c r="J133" s="585"/>
      <c r="K133" s="586">
        <f t="shared" ref="K133" si="1290">K132/K66</f>
        <v>0.5</v>
      </c>
      <c r="L133" s="585"/>
      <c r="M133" s="586">
        <f t="shared" ref="M133" si="1291">M132/M66</f>
        <v>0.96729166666666666</v>
      </c>
      <c r="N133" s="585"/>
      <c r="O133" s="586">
        <f t="shared" ref="O133" si="1292">O132/O66</f>
        <v>0.96270833333333339</v>
      </c>
      <c r="P133" s="585"/>
      <c r="Q133" s="586">
        <f t="shared" ref="Q133" si="1293">Q132/Q66</f>
        <v>0.94687500000000002</v>
      </c>
      <c r="R133" s="585"/>
      <c r="S133" s="586">
        <f t="shared" ref="S133" si="1294">S132/S66</f>
        <v>2.0052083333333335</v>
      </c>
      <c r="T133" s="585"/>
      <c r="U133" s="586">
        <f t="shared" ref="U133" si="1295">U132/U66</f>
        <v>0.49687500000000001</v>
      </c>
      <c r="V133" s="585"/>
      <c r="W133" s="586">
        <f t="shared" ref="W133" si="1296">W132/W66</f>
        <v>0.5</v>
      </c>
      <c r="X133" s="585"/>
      <c r="Y133" s="586">
        <f t="shared" ref="Y133" si="1297">Y132/Y66</f>
        <v>0.484375</v>
      </c>
      <c r="Z133" s="585"/>
      <c r="AA133" s="586">
        <f t="shared" ref="AA133" si="1298">AA132/AA66</f>
        <v>1.7993749999999999</v>
      </c>
      <c r="AB133" s="585"/>
      <c r="AC133" s="586">
        <f t="shared" ref="AC133" si="1299">AC132/AC66</f>
        <v>3.5658333333333334</v>
      </c>
      <c r="AD133" s="585"/>
      <c r="AE133" s="586">
        <f t="shared" ref="AE133" si="1300">AE132/AE66</f>
        <v>0.97958333333333336</v>
      </c>
      <c r="AF133" s="585"/>
      <c r="AG133" s="586">
        <f t="shared" ref="AG133" si="1301">AG132/AG66</f>
        <v>0.5</v>
      </c>
      <c r="AH133" s="585"/>
      <c r="AI133" s="586">
        <f t="shared" ref="AI133" si="1302">AI132/AI66</f>
        <v>1.9481250000000001</v>
      </c>
      <c r="AJ133" s="585"/>
      <c r="AK133" s="586">
        <f t="shared" ref="AK133" si="1303">AK132/AK66</f>
        <v>8.5833333333333331E-2</v>
      </c>
      <c r="AL133" s="585"/>
      <c r="AM133" s="586">
        <f t="shared" ref="AM133" si="1304">AM132/AM66</f>
        <v>1.96875</v>
      </c>
      <c r="AN133" s="585"/>
      <c r="AO133" s="586">
        <f t="shared" ref="AO133:AQ133" si="1305">AO132/AO66</f>
        <v>2.4191666666666665</v>
      </c>
      <c r="AP133" s="585"/>
      <c r="AQ133" s="586">
        <f t="shared" si="1305"/>
        <v>1.9102083333333333</v>
      </c>
      <c r="AR133" s="585"/>
      <c r="AS133" s="586">
        <f t="shared" ref="AS133:AU133" si="1306">AS132/AS66</f>
        <v>1.9102083333333333</v>
      </c>
      <c r="AT133" s="585"/>
      <c r="AU133" s="586">
        <f t="shared" si="1306"/>
        <v>4.817708333333333</v>
      </c>
      <c r="AV133" s="585"/>
      <c r="AW133" s="586">
        <f t="shared" ref="AW133" si="1307">AW132/AW66</f>
        <v>0</v>
      </c>
      <c r="AX133" s="585"/>
      <c r="AY133" s="586">
        <f t="shared" ref="AY133" si="1308">AY132/AY66</f>
        <v>0</v>
      </c>
      <c r="AZ133" s="585"/>
      <c r="BA133" s="586">
        <f t="shared" ref="BA133" si="1309">BA132/BA66</f>
        <v>0</v>
      </c>
    </row>
    <row r="134" spans="1:53" ht="14.65" hidden="1" outlineLevel="2" collapsed="1" thickTop="1" x14ac:dyDescent="0.45">
      <c r="A134" s="561"/>
      <c r="B134" s="1187"/>
      <c r="C134" s="223"/>
      <c r="D134" s="175"/>
      <c r="E134" s="176"/>
      <c r="F134" s="177"/>
      <c r="G134" s="178"/>
      <c r="H134" s="177"/>
      <c r="I134" s="178"/>
      <c r="J134" s="177"/>
      <c r="K134" s="178"/>
      <c r="L134" s="177"/>
      <c r="M134" s="178"/>
      <c r="N134" s="177"/>
      <c r="O134" s="178"/>
      <c r="P134" s="177"/>
      <c r="Q134" s="178"/>
      <c r="R134" s="177"/>
      <c r="S134" s="178"/>
      <c r="T134" s="177"/>
      <c r="U134" s="178"/>
      <c r="V134" s="177"/>
      <c r="W134" s="178"/>
      <c r="X134" s="177"/>
      <c r="Y134" s="178"/>
      <c r="Z134" s="177"/>
      <c r="AA134" s="178"/>
      <c r="AB134" s="177"/>
      <c r="AC134" s="178"/>
      <c r="AD134" s="177"/>
      <c r="AE134" s="178"/>
      <c r="AF134" s="177"/>
      <c r="AG134" s="178"/>
      <c r="AH134" s="177"/>
      <c r="AI134" s="178"/>
      <c r="AJ134" s="177"/>
      <c r="AK134" s="178"/>
      <c r="AL134" s="177"/>
      <c r="AM134" s="178"/>
      <c r="AN134" s="177"/>
      <c r="AO134" s="178"/>
      <c r="AP134" s="177"/>
      <c r="AQ134" s="178"/>
      <c r="AR134" s="177"/>
      <c r="AS134" s="178"/>
      <c r="AT134" s="177"/>
      <c r="AU134" s="178"/>
      <c r="AV134" s="177"/>
      <c r="AW134" s="178"/>
      <c r="AX134" s="177"/>
      <c r="AY134" s="178"/>
      <c r="AZ134" s="177"/>
      <c r="BA134" s="178"/>
    </row>
    <row r="135" spans="1:53" ht="14.65" hidden="1" outlineLevel="3" thickTop="1" x14ac:dyDescent="0.45">
      <c r="A135" s="561"/>
      <c r="B135" s="1187"/>
      <c r="C135" s="161" t="s">
        <v>127</v>
      </c>
      <c r="D135" s="162"/>
      <c r="E135" s="179" t="s">
        <v>128</v>
      </c>
      <c r="F135" s="180"/>
      <c r="G135" s="384">
        <f>G64</f>
        <v>1200</v>
      </c>
      <c r="H135" s="180"/>
      <c r="I135" s="384">
        <f t="shared" ref="I135" si="1310">I64</f>
        <v>1200</v>
      </c>
      <c r="J135" s="180"/>
      <c r="K135" s="384">
        <f t="shared" ref="K135" si="1311">K64</f>
        <v>1200</v>
      </c>
      <c r="L135" s="180"/>
      <c r="M135" s="384">
        <f t="shared" ref="M135" si="1312">M64</f>
        <v>1200</v>
      </c>
      <c r="N135" s="180"/>
      <c r="O135" s="384">
        <f t="shared" ref="O135" si="1313">O64</f>
        <v>1200</v>
      </c>
      <c r="P135" s="180"/>
      <c r="Q135" s="384">
        <f t="shared" ref="Q135" si="1314">Q64</f>
        <v>1200</v>
      </c>
      <c r="R135" s="180"/>
      <c r="S135" s="384">
        <f t="shared" ref="S135" si="1315">S64</f>
        <v>1200</v>
      </c>
      <c r="T135" s="180"/>
      <c r="U135" s="384">
        <f t="shared" ref="U135" si="1316">U64</f>
        <v>1200</v>
      </c>
      <c r="V135" s="180"/>
      <c r="W135" s="384">
        <f t="shared" ref="W135" si="1317">W64</f>
        <v>1200</v>
      </c>
      <c r="X135" s="180"/>
      <c r="Y135" s="384">
        <f t="shared" ref="Y135" si="1318">Y64</f>
        <v>1200</v>
      </c>
      <c r="Z135" s="180"/>
      <c r="AA135" s="384">
        <f t="shared" ref="AA135" si="1319">AA64</f>
        <v>1200</v>
      </c>
      <c r="AB135" s="180"/>
      <c r="AC135" s="384">
        <f t="shared" ref="AC135:AI135" si="1320">AC64</f>
        <v>1200</v>
      </c>
      <c r="AD135" s="180"/>
      <c r="AE135" s="384">
        <f t="shared" si="1320"/>
        <v>1200</v>
      </c>
      <c r="AF135" s="180"/>
      <c r="AG135" s="384">
        <f t="shared" si="1320"/>
        <v>1200</v>
      </c>
      <c r="AH135" s="180"/>
      <c r="AI135" s="384">
        <f t="shared" si="1320"/>
        <v>1200</v>
      </c>
      <c r="AJ135" s="180"/>
      <c r="AK135" s="384">
        <f t="shared" ref="AK135" si="1321">AK64</f>
        <v>1200</v>
      </c>
      <c r="AL135" s="180"/>
      <c r="AM135" s="384">
        <f t="shared" ref="AM135" si="1322">AM64</f>
        <v>1200</v>
      </c>
      <c r="AN135" s="180"/>
      <c r="AO135" s="384">
        <f t="shared" ref="AO135:AQ135" si="1323">AO64</f>
        <v>1200</v>
      </c>
      <c r="AP135" s="180"/>
      <c r="AQ135" s="384">
        <f t="shared" si="1323"/>
        <v>1200</v>
      </c>
      <c r="AR135" s="180"/>
      <c r="AS135" s="384">
        <f t="shared" ref="AS135:AU135" si="1324">AS64</f>
        <v>1200</v>
      </c>
      <c r="AT135" s="180"/>
      <c r="AU135" s="384">
        <f t="shared" si="1324"/>
        <v>1200</v>
      </c>
      <c r="AV135" s="180"/>
      <c r="AW135" s="384">
        <f t="shared" ref="AW135" si="1325">AW64</f>
        <v>1200</v>
      </c>
      <c r="AX135" s="180"/>
      <c r="AY135" s="384">
        <f t="shared" ref="AY135" si="1326">AY64</f>
        <v>1200</v>
      </c>
      <c r="AZ135" s="180"/>
      <c r="BA135" s="384">
        <f t="shared" ref="BA135" si="1327">BA64</f>
        <v>750</v>
      </c>
    </row>
    <row r="136" spans="1:53" ht="14.65" hidden="1" outlineLevel="3" thickTop="1" x14ac:dyDescent="0.45">
      <c r="A136" s="561"/>
      <c r="B136" s="1187"/>
      <c r="C136" s="161" t="s">
        <v>388</v>
      </c>
      <c r="D136" s="162"/>
      <c r="E136" s="179"/>
      <c r="F136" s="180"/>
      <c r="G136" s="224">
        <v>1280.5463664496854</v>
      </c>
      <c r="H136" s="180"/>
      <c r="I136" s="224">
        <v>1783.969667577815</v>
      </c>
      <c r="J136" s="180"/>
      <c r="K136" s="224">
        <v>1477.5570272259015</v>
      </c>
      <c r="L136" s="180"/>
      <c r="M136" s="224">
        <v>1132.0267068705577</v>
      </c>
      <c r="N136" s="180"/>
      <c r="O136" s="224">
        <v>1579.2622133599205</v>
      </c>
      <c r="P136" s="180"/>
      <c r="Q136" s="224">
        <v>1294.8165025632682</v>
      </c>
      <c r="R136" s="180"/>
      <c r="S136" s="224">
        <v>1298.7807773541904</v>
      </c>
      <c r="T136" s="180"/>
      <c r="U136" s="224">
        <v>1231.375358166189</v>
      </c>
      <c r="V136" s="180"/>
      <c r="W136" s="224">
        <v>1009.3987923339458</v>
      </c>
      <c r="X136" s="180"/>
      <c r="Y136" s="224">
        <v>716.94064122923726</v>
      </c>
      <c r="Z136" s="180"/>
      <c r="AA136" s="224">
        <v>599.98768545076211</v>
      </c>
      <c r="AB136" s="180"/>
      <c r="AC136" s="224">
        <v>572.57742509936509</v>
      </c>
      <c r="AD136" s="180"/>
      <c r="AE136" s="384">
        <v>402.3877665544332</v>
      </c>
      <c r="AF136" s="380"/>
      <c r="AG136" s="384">
        <v>157.57857974388824</v>
      </c>
      <c r="AH136" s="380"/>
      <c r="AI136" s="384">
        <v>671.53977758768178</v>
      </c>
      <c r="AJ136" s="380"/>
      <c r="AK136" s="384">
        <v>23.339901477832512</v>
      </c>
      <c r="AL136" s="380"/>
      <c r="AM136" s="384">
        <v>460</v>
      </c>
      <c r="AN136" s="380"/>
      <c r="AO136" s="384">
        <v>150</v>
      </c>
      <c r="AP136" s="380"/>
      <c r="AQ136" s="384">
        <v>105</v>
      </c>
      <c r="AR136" s="380"/>
      <c r="AS136" s="384">
        <v>105</v>
      </c>
      <c r="AT136" s="380"/>
      <c r="AU136" s="384">
        <v>105</v>
      </c>
      <c r="AV136" s="380"/>
      <c r="AW136" s="384">
        <v>105</v>
      </c>
      <c r="AX136" s="380"/>
      <c r="AY136" s="384">
        <v>105</v>
      </c>
      <c r="AZ136" s="380"/>
      <c r="BA136" s="384">
        <v>105</v>
      </c>
    </row>
    <row r="137" spans="1:53" ht="14.45" hidden="1" customHeight="1" outlineLevel="4" thickTop="1" x14ac:dyDescent="0.45">
      <c r="A137" s="561"/>
      <c r="B137" s="1187"/>
      <c r="C137" s="225" t="s">
        <v>389</v>
      </c>
      <c r="D137" s="162"/>
      <c r="E137" s="179" t="s">
        <v>128</v>
      </c>
      <c r="F137" s="180"/>
      <c r="G137" s="224" t="e">
        <f>#REF!</f>
        <v>#REF!</v>
      </c>
      <c r="H137" s="180"/>
      <c r="I137" s="224" t="e">
        <f>#REF!</f>
        <v>#REF!</v>
      </c>
      <c r="J137" s="180"/>
      <c r="K137" s="224" t="e">
        <f>#REF!</f>
        <v>#REF!</v>
      </c>
      <c r="L137" s="180"/>
      <c r="M137" s="224" t="e">
        <f>#REF!</f>
        <v>#REF!</v>
      </c>
      <c r="N137" s="180"/>
      <c r="O137" s="224" t="e">
        <f>#REF!</f>
        <v>#REF!</v>
      </c>
      <c r="P137" s="180"/>
      <c r="Q137" s="224" t="e">
        <f>#REF!</f>
        <v>#REF!</v>
      </c>
      <c r="R137" s="180"/>
      <c r="S137" s="224" t="e">
        <f>#REF!</f>
        <v>#REF!</v>
      </c>
      <c r="T137" s="180"/>
      <c r="U137" s="224" t="e">
        <f>#REF!</f>
        <v>#REF!</v>
      </c>
      <c r="V137" s="180"/>
      <c r="W137" s="224" t="e">
        <f>#REF!</f>
        <v>#REF!</v>
      </c>
      <c r="X137" s="180"/>
      <c r="Y137" s="224" t="e">
        <f>#REF!</f>
        <v>#REF!</v>
      </c>
      <c r="Z137" s="180"/>
      <c r="AA137" s="224" t="e">
        <f>#REF!</f>
        <v>#REF!</v>
      </c>
      <c r="AB137" s="180"/>
      <c r="AC137" s="224" t="e">
        <f>#REF!</f>
        <v>#REF!</v>
      </c>
      <c r="AD137" s="180"/>
      <c r="AE137" s="224" t="e">
        <f>#REF!</f>
        <v>#REF!</v>
      </c>
      <c r="AF137" s="180"/>
      <c r="AG137" s="224" t="e">
        <f>#REF!</f>
        <v>#REF!</v>
      </c>
      <c r="AH137" s="180"/>
      <c r="AI137" s="224" t="e">
        <f>#REF!</f>
        <v>#REF!</v>
      </c>
      <c r="AJ137" s="180"/>
      <c r="AK137" s="224" t="e">
        <f>#REF!</f>
        <v>#REF!</v>
      </c>
      <c r="AL137" s="180"/>
      <c r="AM137" s="224" t="e">
        <f>#REF!</f>
        <v>#REF!</v>
      </c>
      <c r="AN137" s="180"/>
      <c r="AO137" s="224" t="e">
        <f>#REF!</f>
        <v>#REF!</v>
      </c>
      <c r="AP137" s="180"/>
      <c r="AQ137" s="224" t="e">
        <f>#REF!</f>
        <v>#REF!</v>
      </c>
      <c r="AR137" s="180"/>
      <c r="AS137" s="224" t="e">
        <f>#REF!</f>
        <v>#REF!</v>
      </c>
      <c r="AT137" s="180"/>
      <c r="AU137" s="224" t="e">
        <f>#REF!</f>
        <v>#REF!</v>
      </c>
      <c r="AV137" s="180"/>
      <c r="AW137" s="224" t="e">
        <f>#REF!</f>
        <v>#REF!</v>
      </c>
      <c r="AX137" s="180"/>
      <c r="AY137" s="224" t="e">
        <f>#REF!</f>
        <v>#REF!</v>
      </c>
      <c r="AZ137" s="180"/>
      <c r="BA137" s="224" t="e">
        <f>#REF!</f>
        <v>#REF!</v>
      </c>
    </row>
    <row r="138" spans="1:53" ht="14.45" hidden="1" customHeight="1" outlineLevel="4" thickTop="1" x14ac:dyDescent="0.45">
      <c r="A138" s="561"/>
      <c r="B138" s="1187"/>
      <c r="C138" s="225" t="s">
        <v>390</v>
      </c>
      <c r="D138" s="162"/>
      <c r="E138" s="179" t="s">
        <v>128</v>
      </c>
      <c r="F138" s="180"/>
      <c r="G138" s="224">
        <v>750</v>
      </c>
      <c r="H138" s="180"/>
      <c r="I138" s="224">
        <v>750</v>
      </c>
      <c r="J138" s="180"/>
      <c r="K138" s="224">
        <v>750</v>
      </c>
      <c r="L138" s="180"/>
      <c r="M138" s="224">
        <v>750</v>
      </c>
      <c r="N138" s="180"/>
      <c r="O138" s="224">
        <v>750</v>
      </c>
      <c r="P138" s="180"/>
      <c r="Q138" s="224">
        <v>750</v>
      </c>
      <c r="R138" s="180"/>
      <c r="S138" s="224">
        <v>750</v>
      </c>
      <c r="T138" s="180"/>
      <c r="U138" s="224">
        <v>750</v>
      </c>
      <c r="V138" s="180"/>
      <c r="W138" s="224">
        <v>750</v>
      </c>
      <c r="X138" s="180"/>
      <c r="Y138" s="224">
        <v>750</v>
      </c>
      <c r="Z138" s="180"/>
      <c r="AA138" s="224">
        <v>750</v>
      </c>
      <c r="AB138" s="180"/>
      <c r="AC138" s="224">
        <v>750</v>
      </c>
      <c r="AD138" s="180"/>
      <c r="AE138" s="224">
        <v>750</v>
      </c>
      <c r="AF138" s="180"/>
      <c r="AG138" s="224">
        <v>750</v>
      </c>
      <c r="AH138" s="180"/>
      <c r="AI138" s="224">
        <v>750</v>
      </c>
      <c r="AJ138" s="180"/>
      <c r="AK138" s="224">
        <v>750</v>
      </c>
      <c r="AL138" s="180"/>
      <c r="AM138" s="224">
        <v>750</v>
      </c>
      <c r="AN138" s="180"/>
      <c r="AO138" s="224">
        <v>750</v>
      </c>
      <c r="AP138" s="180"/>
      <c r="AQ138" s="224">
        <v>750</v>
      </c>
      <c r="AR138" s="180"/>
      <c r="AS138" s="224">
        <v>750</v>
      </c>
      <c r="AT138" s="180"/>
      <c r="AU138" s="224">
        <v>750</v>
      </c>
      <c r="AV138" s="180"/>
      <c r="AW138" s="224">
        <v>750</v>
      </c>
      <c r="AX138" s="180"/>
      <c r="AY138" s="224">
        <v>750</v>
      </c>
      <c r="AZ138" s="180"/>
      <c r="BA138" s="224">
        <v>750</v>
      </c>
    </row>
    <row r="139" spans="1:53" ht="14.45" hidden="1" customHeight="1" outlineLevel="4" thickTop="1" x14ac:dyDescent="0.45">
      <c r="A139" s="561"/>
      <c r="B139" s="1187"/>
      <c r="C139" s="225" t="s">
        <v>130</v>
      </c>
      <c r="D139" s="162"/>
      <c r="E139" s="179"/>
      <c r="F139" s="164"/>
      <c r="G139" s="171"/>
      <c r="H139" s="164"/>
      <c r="I139" s="171"/>
      <c r="J139" s="164"/>
      <c r="K139" s="171"/>
      <c r="L139" s="164"/>
      <c r="M139" s="171"/>
      <c r="N139" s="164"/>
      <c r="O139" s="171"/>
      <c r="P139" s="164"/>
      <c r="Q139" s="171"/>
      <c r="R139" s="164"/>
      <c r="S139" s="171"/>
      <c r="T139" s="164"/>
      <c r="U139" s="171"/>
      <c r="V139" s="164"/>
      <c r="W139" s="171"/>
      <c r="X139" s="164"/>
      <c r="Y139" s="171"/>
      <c r="Z139" s="164"/>
      <c r="AA139" s="171"/>
      <c r="AB139" s="164"/>
      <c r="AC139" s="171"/>
      <c r="AD139" s="164"/>
      <c r="AE139" s="171"/>
      <c r="AF139" s="164"/>
      <c r="AG139" s="171"/>
      <c r="AH139" s="164"/>
      <c r="AI139" s="171"/>
      <c r="AJ139" s="164"/>
      <c r="AK139" s="171"/>
      <c r="AL139" s="164"/>
      <c r="AM139" s="171"/>
      <c r="AN139" s="164"/>
      <c r="AO139" s="171"/>
      <c r="AP139" s="164"/>
      <c r="AQ139" s="171"/>
      <c r="AR139" s="164"/>
      <c r="AS139" s="171"/>
      <c r="AT139" s="164"/>
      <c r="AU139" s="171"/>
      <c r="AV139" s="164"/>
      <c r="AW139" s="171"/>
      <c r="AX139" s="164"/>
      <c r="AY139" s="171"/>
      <c r="AZ139" s="164"/>
      <c r="BA139" s="171"/>
    </row>
    <row r="140" spans="1:53" ht="14.65" hidden="1" outlineLevel="3" collapsed="1" thickTop="1" x14ac:dyDescent="0.45">
      <c r="A140" s="561"/>
      <c r="B140" s="1187"/>
      <c r="C140" s="170"/>
      <c r="D140" s="162"/>
      <c r="E140" s="176"/>
      <c r="F140" s="177"/>
      <c r="G140" s="178"/>
      <c r="H140" s="177"/>
      <c r="I140" s="178"/>
      <c r="J140" s="177"/>
      <c r="K140" s="178"/>
      <c r="L140" s="177"/>
      <c r="M140" s="178"/>
      <c r="N140" s="177"/>
      <c r="O140" s="178"/>
      <c r="P140" s="177"/>
      <c r="Q140" s="178"/>
      <c r="R140" s="177"/>
      <c r="S140" s="178"/>
      <c r="T140" s="177"/>
      <c r="U140" s="178"/>
      <c r="V140" s="177"/>
      <c r="W140" s="178"/>
      <c r="X140" s="177"/>
      <c r="Y140" s="178"/>
      <c r="Z140" s="177"/>
      <c r="AA140" s="178"/>
      <c r="AB140" s="177"/>
      <c r="AC140" s="178"/>
      <c r="AD140" s="177"/>
      <c r="AE140" s="178"/>
      <c r="AF140" s="177"/>
      <c r="AG140" s="178"/>
      <c r="AH140" s="177"/>
      <c r="AI140" s="178"/>
      <c r="AJ140" s="177"/>
      <c r="AK140" s="178"/>
      <c r="AL140" s="177"/>
      <c r="AM140" s="178"/>
      <c r="AN140" s="177"/>
      <c r="AO140" s="178"/>
      <c r="AP140" s="177"/>
      <c r="AQ140" s="178"/>
      <c r="AR140" s="177"/>
      <c r="AS140" s="178"/>
      <c r="AT140" s="177"/>
      <c r="AU140" s="178"/>
      <c r="AV140" s="177"/>
      <c r="AW140" s="178"/>
      <c r="AX140" s="177"/>
      <c r="AY140" s="178"/>
      <c r="AZ140" s="177"/>
      <c r="BA140" s="178"/>
    </row>
    <row r="141" spans="1:53" ht="14.65" hidden="1" outlineLevel="3" thickTop="1" x14ac:dyDescent="0.45">
      <c r="A141" s="561"/>
      <c r="B141" s="1187"/>
      <c r="C141" s="226" t="s">
        <v>131</v>
      </c>
      <c r="D141" s="227"/>
      <c r="E141" s="228" t="s">
        <v>132</v>
      </c>
      <c r="F141" s="229"/>
      <c r="G141" s="230">
        <f>G136-G135</f>
        <v>80.546366449685365</v>
      </c>
      <c r="H141" s="229"/>
      <c r="I141" s="230">
        <f t="shared" ref="I141" si="1328">I136-I135</f>
        <v>583.96966757781502</v>
      </c>
      <c r="J141" s="229"/>
      <c r="K141" s="230">
        <f t="shared" ref="K141" si="1329">K136-K135</f>
        <v>277.55702722590149</v>
      </c>
      <c r="L141" s="229"/>
      <c r="M141" s="230">
        <f t="shared" ref="M141" si="1330">M136-M135</f>
        <v>-67.973293129442254</v>
      </c>
      <c r="N141" s="229"/>
      <c r="O141" s="230">
        <f t="shared" ref="O141" si="1331">O136-O135</f>
        <v>379.26221335992045</v>
      </c>
      <c r="P141" s="229"/>
      <c r="Q141" s="230">
        <f t="shared" ref="Q141" si="1332">Q136-Q135</f>
        <v>94.816502563268159</v>
      </c>
      <c r="R141" s="229"/>
      <c r="S141" s="230">
        <f t="shared" ref="S141" si="1333">S136-S135</f>
        <v>98.780777354190377</v>
      </c>
      <c r="T141" s="229"/>
      <c r="U141" s="230">
        <f t="shared" ref="U141" si="1334">U136-U135</f>
        <v>31.375358166189017</v>
      </c>
      <c r="V141" s="229"/>
      <c r="W141" s="230">
        <f t="shared" ref="W141" si="1335">W136-W135</f>
        <v>-190.60120766605417</v>
      </c>
      <c r="X141" s="229"/>
      <c r="Y141" s="230">
        <f t="shared" ref="Y141" si="1336">Y136-Y135</f>
        <v>-483.05935877076274</v>
      </c>
      <c r="Z141" s="229"/>
      <c r="AA141" s="230">
        <f t="shared" ref="AA141" si="1337">AA136-AA135</f>
        <v>-600.01231454923789</v>
      </c>
      <c r="AB141" s="229"/>
      <c r="AC141" s="230">
        <f t="shared" ref="AC141:AI141" si="1338">AC136-AC135</f>
        <v>-627.42257490063491</v>
      </c>
      <c r="AD141" s="229"/>
      <c r="AE141" s="230">
        <f t="shared" si="1338"/>
        <v>-797.61223344556674</v>
      </c>
      <c r="AF141" s="229"/>
      <c r="AG141" s="230">
        <f t="shared" si="1338"/>
        <v>-1042.4214202561118</v>
      </c>
      <c r="AH141" s="229"/>
      <c r="AI141" s="230">
        <f t="shared" si="1338"/>
        <v>-528.46022241231822</v>
      </c>
      <c r="AJ141" s="229"/>
      <c r="AK141" s="230">
        <f t="shared" ref="AK141" si="1339">AK136-AK135</f>
        <v>-1176.6600985221676</v>
      </c>
      <c r="AL141" s="229"/>
      <c r="AM141" s="230">
        <f t="shared" ref="AM141" si="1340">AM136-AM135</f>
        <v>-740</v>
      </c>
      <c r="AN141" s="229"/>
      <c r="AO141" s="230">
        <f t="shared" ref="AO141:AQ141" si="1341">AO136-AO135</f>
        <v>-1050</v>
      </c>
      <c r="AP141" s="229"/>
      <c r="AQ141" s="230">
        <f t="shared" si="1341"/>
        <v>-1095</v>
      </c>
      <c r="AR141" s="229"/>
      <c r="AS141" s="230">
        <f t="shared" ref="AS141:AU141" si="1342">AS136-AS135</f>
        <v>-1095</v>
      </c>
      <c r="AT141" s="229"/>
      <c r="AU141" s="230">
        <f t="shared" si="1342"/>
        <v>-1095</v>
      </c>
      <c r="AV141" s="229"/>
      <c r="AW141" s="230">
        <f t="shared" ref="AW141" si="1343">AW136-AW135</f>
        <v>-1095</v>
      </c>
      <c r="AX141" s="229"/>
      <c r="AY141" s="230">
        <f t="shared" ref="AY141" si="1344">AY136-AY135</f>
        <v>-1095</v>
      </c>
      <c r="AZ141" s="229"/>
      <c r="BA141" s="230">
        <f t="shared" ref="BA141" si="1345">BA136-BA135</f>
        <v>-645</v>
      </c>
    </row>
    <row r="142" spans="1:53" ht="14.65" hidden="1" outlineLevel="3" thickTop="1" x14ac:dyDescent="0.45">
      <c r="A142" s="561"/>
      <c r="B142" s="1187"/>
      <c r="C142" s="232"/>
      <c r="D142" s="227"/>
      <c r="E142" s="228" t="s">
        <v>133</v>
      </c>
      <c r="F142" s="229"/>
      <c r="G142" s="230">
        <f>G141*G130</f>
        <v>578.30613061573058</v>
      </c>
      <c r="H142" s="229"/>
      <c r="I142" s="230">
        <f t="shared" ref="I142" si="1346">I141*I130</f>
        <v>4192.7805528612998</v>
      </c>
      <c r="J142" s="229"/>
      <c r="K142" s="230">
        <f t="shared" ref="K142" si="1347">K141*K130</f>
        <v>1992.8016311013007</v>
      </c>
      <c r="L142" s="229"/>
      <c r="M142" s="230">
        <f t="shared" ref="M142" si="1348">M141*M130</f>
        <v>-488.03408356666006</v>
      </c>
      <c r="N142" s="229"/>
      <c r="O142" s="230">
        <f t="shared" ref="O142" si="1349">O141*O130</f>
        <v>2723.0236789631122</v>
      </c>
      <c r="P142" s="229"/>
      <c r="Q142" s="230">
        <f t="shared" ref="Q142" si="1350">Q141*Q130</f>
        <v>680.76273496623139</v>
      </c>
      <c r="R142" s="229"/>
      <c r="S142" s="230">
        <f t="shared" ref="S142" si="1351">S141*S130</f>
        <v>709.22540207447139</v>
      </c>
      <c r="T142" s="229"/>
      <c r="U142" s="230">
        <f t="shared" ref="U142" si="1352">U141*U130</f>
        <v>225.26853510028585</v>
      </c>
      <c r="V142" s="229"/>
      <c r="W142" s="230">
        <f t="shared" ref="W142" si="1353">W141*W130</f>
        <v>-1368.4769624573385</v>
      </c>
      <c r="X142" s="229"/>
      <c r="Y142" s="230">
        <f t="shared" ref="Y142" si="1354">Y141*Y130</f>
        <v>-3468.2655586076658</v>
      </c>
      <c r="Z142" s="229"/>
      <c r="AA142" s="230">
        <f t="shared" ref="AA142" si="1355">AA141*AA130</f>
        <v>-4307.963415897997</v>
      </c>
      <c r="AB142" s="229"/>
      <c r="AC142" s="230">
        <f t="shared" ref="AC142" si="1356">AC141*AC130</f>
        <v>-4504.7633747501213</v>
      </c>
      <c r="AD142" s="229"/>
      <c r="AE142" s="230">
        <f t="shared" ref="AE142" si="1357">AE141*AE130</f>
        <v>-5726.6896669238677</v>
      </c>
      <c r="AF142" s="229"/>
      <c r="AG142" s="230">
        <f t="shared" ref="AG142" si="1358">AG141*AG130</f>
        <v>-7484.3686263096624</v>
      </c>
      <c r="AH142" s="229"/>
      <c r="AI142" s="230">
        <f t="shared" ref="AI142" si="1359">AI141*AI130</f>
        <v>-3794.2343010407753</v>
      </c>
      <c r="AJ142" s="229"/>
      <c r="AK142" s="230">
        <f t="shared" ref="AK142" si="1360">AK141*AK130</f>
        <v>-8448.1743698686369</v>
      </c>
      <c r="AL142" s="229"/>
      <c r="AM142" s="230">
        <f t="shared" ref="AM142" si="1361">AM141*AM130</f>
        <v>-5313.0458333333336</v>
      </c>
      <c r="AN142" s="229"/>
      <c r="AO142" s="230">
        <f t="shared" ref="AO142:AQ142" si="1362">AO141*AO130</f>
        <v>-7538.78125</v>
      </c>
      <c r="AP142" s="229"/>
      <c r="AQ142" s="230">
        <f t="shared" si="1362"/>
        <v>-7861.8718749999998</v>
      </c>
      <c r="AR142" s="229"/>
      <c r="AS142" s="230">
        <f t="shared" ref="AS142:AU142" si="1363">AS141*AS130</f>
        <v>-7861.8718749999998</v>
      </c>
      <c r="AT142" s="229"/>
      <c r="AU142" s="230">
        <f t="shared" si="1363"/>
        <v>-7861.8718749999998</v>
      </c>
      <c r="AV142" s="229"/>
      <c r="AW142" s="230">
        <f t="shared" ref="AW142" si="1364">AW141*AW130</f>
        <v>-7861.8718749999998</v>
      </c>
      <c r="AX142" s="229"/>
      <c r="AY142" s="230">
        <f t="shared" ref="AY142" si="1365">AY141*AY130</f>
        <v>-7861.8718749999998</v>
      </c>
      <c r="AZ142" s="229"/>
      <c r="BA142" s="230">
        <f t="shared" ref="BA142" si="1366">BA141*BA130</f>
        <v>-4630.9656249999998</v>
      </c>
    </row>
    <row r="143" spans="1:53" ht="14.65" hidden="1" outlineLevel="2" collapsed="1" thickTop="1" x14ac:dyDescent="0.45">
      <c r="A143" s="561"/>
      <c r="B143" s="1187"/>
      <c r="C143" s="233"/>
      <c r="D143" s="234"/>
      <c r="E143" s="234"/>
      <c r="F143" s="235"/>
      <c r="G143" s="236"/>
      <c r="H143" s="235"/>
      <c r="I143" s="236"/>
      <c r="J143" s="235"/>
      <c r="K143" s="236"/>
      <c r="L143" s="235"/>
      <c r="M143" s="236"/>
      <c r="N143" s="235"/>
      <c r="O143" s="236"/>
      <c r="P143" s="235"/>
      <c r="Q143" s="236"/>
      <c r="R143" s="235"/>
      <c r="S143" s="236"/>
      <c r="T143" s="235"/>
      <c r="U143" s="236"/>
      <c r="V143" s="235"/>
      <c r="W143" s="236"/>
      <c r="X143" s="235"/>
      <c r="Y143" s="236"/>
      <c r="Z143" s="235"/>
      <c r="AA143" s="236"/>
      <c r="AB143" s="235"/>
      <c r="AC143" s="236"/>
      <c r="AD143" s="235"/>
      <c r="AE143" s="236"/>
      <c r="AF143" s="235"/>
      <c r="AG143" s="236"/>
      <c r="AH143" s="235"/>
      <c r="AI143" s="236"/>
      <c r="AJ143" s="235"/>
      <c r="AK143" s="236"/>
      <c r="AL143" s="235"/>
      <c r="AM143" s="236"/>
      <c r="AN143" s="235"/>
      <c r="AO143" s="236"/>
      <c r="AP143" s="235"/>
      <c r="AQ143" s="236"/>
      <c r="AR143" s="235"/>
      <c r="AS143" s="236"/>
      <c r="AT143" s="235"/>
      <c r="AU143" s="236"/>
      <c r="AV143" s="235"/>
      <c r="AW143" s="236"/>
      <c r="AX143" s="235"/>
      <c r="AY143" s="236"/>
      <c r="AZ143" s="235"/>
      <c r="BA143" s="236"/>
    </row>
    <row r="144" spans="1:53" ht="15.75" hidden="1" customHeight="1" outlineLevel="3" thickTop="1" x14ac:dyDescent="0.45">
      <c r="A144" s="561"/>
      <c r="B144" s="1188"/>
      <c r="C144" s="301" t="s">
        <v>391</v>
      </c>
      <c r="D144" s="302"/>
      <c r="E144" s="303"/>
      <c r="F144" s="304"/>
      <c r="G144" s="305">
        <f>G98*G129</f>
        <v>15544.736495425006</v>
      </c>
      <c r="H144" s="304"/>
      <c r="I144" s="305">
        <f t="shared" ref="I144" si="1367">I98*I129</f>
        <v>7071.8665135969259</v>
      </c>
      <c r="J144" s="304"/>
      <c r="K144" s="305">
        <f t="shared" ref="K144" si="1368">K98*K129</f>
        <v>8729.5692153503642</v>
      </c>
      <c r="L144" s="304"/>
      <c r="M144" s="305">
        <f t="shared" ref="M144" si="1369">M98*M129</f>
        <v>11403.550995929938</v>
      </c>
      <c r="N144" s="304"/>
      <c r="O144" s="305">
        <f t="shared" ref="O144" si="1370">O98*O129</f>
        <v>-1435.5592061569776</v>
      </c>
      <c r="P144" s="304"/>
      <c r="Q144" s="305">
        <f t="shared" ref="Q144" si="1371">Q98*Q129</f>
        <v>7990.7927196287665</v>
      </c>
      <c r="R144" s="304"/>
      <c r="S144" s="305">
        <f t="shared" ref="S144" si="1372">S98*S129</f>
        <v>4460.7776247114552</v>
      </c>
      <c r="T144" s="304"/>
      <c r="U144" s="305">
        <f t="shared" ref="U144" si="1373">U98*U129</f>
        <v>8696.5075114286592</v>
      </c>
      <c r="V144" s="304"/>
      <c r="W144" s="305">
        <f t="shared" ref="W144" si="1374">W98*W129</f>
        <v>15794.619717700751</v>
      </c>
      <c r="X144" s="304"/>
      <c r="Y144" s="305">
        <f t="shared" ref="Y144" si="1375">Y98*Y129</f>
        <v>18496.674731150582</v>
      </c>
      <c r="Z144" s="304"/>
      <c r="AA144" s="305">
        <f t="shared" ref="AA144" si="1376">AA98*AA129</f>
        <v>20278.307940245857</v>
      </c>
      <c r="AB144" s="304"/>
      <c r="AC144" s="305">
        <f t="shared" ref="AC144" si="1377">AC98*AC129</f>
        <v>31052.81170312563</v>
      </c>
      <c r="AD144" s="304"/>
      <c r="AE144" s="305">
        <f>AE98*AE132</f>
        <v>3747.0048483898977</v>
      </c>
      <c r="AF144" s="304"/>
      <c r="AG144" s="305">
        <f>AG98*AG132</f>
        <v>1527.4526403091313</v>
      </c>
      <c r="AH144" s="304"/>
      <c r="AI144" s="305">
        <f>AI98*AI132</f>
        <v>7230.4090578966561</v>
      </c>
      <c r="AJ144" s="304"/>
      <c r="AK144" s="305">
        <f>AK98*AK132</f>
        <v>171.64423288364273</v>
      </c>
      <c r="AL144" s="304"/>
      <c r="AM144" s="305">
        <f>AM98*AM132</f>
        <v>6058.7002842279217</v>
      </c>
      <c r="AN144" s="304"/>
      <c r="AO144" s="305">
        <f>AO98*AO132</f>
        <v>10286.340397630802</v>
      </c>
      <c r="AP144" s="304"/>
      <c r="AQ144" s="305">
        <f>AQ98*AQ132</f>
        <v>8478.1606351735736</v>
      </c>
      <c r="AR144" s="304"/>
      <c r="AS144" s="305">
        <f>AS98*AS132</f>
        <v>8993.1683096675897</v>
      </c>
      <c r="AT144" s="304"/>
      <c r="AU144" s="305">
        <f>AU98*AU132</f>
        <v>15708.987734326478</v>
      </c>
      <c r="AV144" s="304"/>
      <c r="AW144" s="305">
        <f>AW98*AW132</f>
        <v>0</v>
      </c>
      <c r="AX144" s="304"/>
      <c r="AY144" s="305">
        <f>AY98*AY132</f>
        <v>0</v>
      </c>
      <c r="AZ144" s="304"/>
      <c r="BA144" s="305">
        <f>BA98*BA132</f>
        <v>0</v>
      </c>
    </row>
    <row r="145" spans="11:11" ht="14.65" hidden="1" outlineLevel="2" collapsed="1" thickTop="1" x14ac:dyDescent="0.45"/>
    <row r="146" spans="11:11" ht="14.65" hidden="1" outlineLevel="2" thickTop="1" x14ac:dyDescent="0.45"/>
    <row r="147" spans="11:11" ht="14.65" outlineLevel="1" collapsed="1" thickTop="1" x14ac:dyDescent="0.45">
      <c r="K147" s="1105"/>
    </row>
    <row r="148" spans="11:11" x14ac:dyDescent="0.45">
      <c r="K148" s="1105"/>
    </row>
    <row r="149" spans="11:11" x14ac:dyDescent="0.45">
      <c r="K149" s="1017"/>
    </row>
    <row r="166" ht="15" hidden="1" customHeight="1" x14ac:dyDescent="0.45"/>
    <row r="167" ht="15" hidden="1" customHeight="1" x14ac:dyDescent="0.45"/>
    <row r="168" ht="15" hidden="1" customHeight="1" x14ac:dyDescent="0.45"/>
    <row r="169" ht="15" hidden="1" customHeight="1" x14ac:dyDescent="0.45"/>
    <row r="170" ht="15" hidden="1" customHeight="1" x14ac:dyDescent="0.45"/>
    <row r="171" ht="15" hidden="1" customHeight="1" x14ac:dyDescent="0.45"/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</sheetData>
  <mergeCells count="179">
    <mergeCell ref="AZ9:BA9"/>
    <mergeCell ref="D12:E12"/>
    <mergeCell ref="B15:B21"/>
    <mergeCell ref="B22:B27"/>
    <mergeCell ref="B28:B33"/>
    <mergeCell ref="B34:B39"/>
    <mergeCell ref="AN9:AO9"/>
    <mergeCell ref="AP9:AQ9"/>
    <mergeCell ref="AR9:AS9"/>
    <mergeCell ref="AT9:AU9"/>
    <mergeCell ref="AV9:AW9"/>
    <mergeCell ref="AX9:AY9"/>
    <mergeCell ref="AB9:AC9"/>
    <mergeCell ref="AD9:AE9"/>
    <mergeCell ref="AF9:AG9"/>
    <mergeCell ref="AH9:AI9"/>
    <mergeCell ref="AJ9:AK9"/>
    <mergeCell ref="AL9:AM9"/>
    <mergeCell ref="P9:Q9"/>
    <mergeCell ref="AR8:AS8"/>
    <mergeCell ref="AT8:AU8"/>
    <mergeCell ref="AV8:AW8"/>
    <mergeCell ref="AX8:AY8"/>
    <mergeCell ref="B124:B144"/>
    <mergeCell ref="B40:B46"/>
    <mergeCell ref="B47:B70"/>
    <mergeCell ref="B71:B84"/>
    <mergeCell ref="B100:B113"/>
    <mergeCell ref="AH8:AI8"/>
    <mergeCell ref="AJ8:AK8"/>
    <mergeCell ref="AL8:AM8"/>
    <mergeCell ref="AN8:AO8"/>
    <mergeCell ref="AP8:AQ8"/>
    <mergeCell ref="T8:U8"/>
    <mergeCell ref="V8:W8"/>
    <mergeCell ref="X8:Y8"/>
    <mergeCell ref="Z8:AA8"/>
    <mergeCell ref="AB8:AC8"/>
    <mergeCell ref="AD8:AE8"/>
    <mergeCell ref="AV7:AW7"/>
    <mergeCell ref="AX7:AY7"/>
    <mergeCell ref="AZ7:BA7"/>
    <mergeCell ref="F8:G8"/>
    <mergeCell ref="H8:I8"/>
    <mergeCell ref="J8:K8"/>
    <mergeCell ref="L8:M8"/>
    <mergeCell ref="N8:O8"/>
    <mergeCell ref="P8:Q8"/>
    <mergeCell ref="R8:S8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AZ8:BA8"/>
    <mergeCell ref="AF8:AG8"/>
    <mergeCell ref="AZ6:BA6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AN6:AO6"/>
    <mergeCell ref="AP6:AQ6"/>
    <mergeCell ref="AR6:AS6"/>
    <mergeCell ref="AT6:AU6"/>
    <mergeCell ref="AV6:AW6"/>
    <mergeCell ref="AX6:AY6"/>
    <mergeCell ref="AB6:AC6"/>
    <mergeCell ref="AD6:AE6"/>
    <mergeCell ref="AF6:AG6"/>
    <mergeCell ref="AH6:AI6"/>
    <mergeCell ref="AJ6:AK6"/>
    <mergeCell ref="AL6:AM6"/>
    <mergeCell ref="P6:Q6"/>
    <mergeCell ref="R6:S6"/>
    <mergeCell ref="T6:U6"/>
    <mergeCell ref="V6:W6"/>
    <mergeCell ref="X6:Y6"/>
    <mergeCell ref="Z6:AA6"/>
    <mergeCell ref="B6:B13"/>
    <mergeCell ref="F6:G6"/>
    <mergeCell ref="H6:I6"/>
    <mergeCell ref="J6:K6"/>
    <mergeCell ref="L6:M6"/>
    <mergeCell ref="N6:O6"/>
    <mergeCell ref="F9:G9"/>
    <mergeCell ref="H9:I9"/>
    <mergeCell ref="J9:K9"/>
    <mergeCell ref="L9:M9"/>
    <mergeCell ref="N9:O9"/>
    <mergeCell ref="R9:S9"/>
    <mergeCell ref="T9:U9"/>
    <mergeCell ref="V9:W9"/>
    <mergeCell ref="X9:Y9"/>
    <mergeCell ref="Z9:AA9"/>
    <mergeCell ref="AP4:AQ5"/>
    <mergeCell ref="AR4:AS5"/>
    <mergeCell ref="AT4:AU5"/>
    <mergeCell ref="AV4:AW5"/>
    <mergeCell ref="AX4:AY5"/>
    <mergeCell ref="AZ4:BA5"/>
    <mergeCell ref="AD4:AE5"/>
    <mergeCell ref="AF4:AG5"/>
    <mergeCell ref="AH4:AI5"/>
    <mergeCell ref="AJ4:AK5"/>
    <mergeCell ref="AL4:AM5"/>
    <mergeCell ref="AN4:AO5"/>
    <mergeCell ref="R4:S5"/>
    <mergeCell ref="T4:U5"/>
    <mergeCell ref="V4:W5"/>
    <mergeCell ref="X4:Y5"/>
    <mergeCell ref="Z4:AA5"/>
    <mergeCell ref="AB4:AC5"/>
    <mergeCell ref="F4:G5"/>
    <mergeCell ref="H4:I5"/>
    <mergeCell ref="J4:K5"/>
    <mergeCell ref="L4:M5"/>
    <mergeCell ref="N4:O5"/>
    <mergeCell ref="P4:Q5"/>
    <mergeCell ref="AP3:AQ3"/>
    <mergeCell ref="AR3:AS3"/>
    <mergeCell ref="AT3:AU3"/>
    <mergeCell ref="AV3:AW3"/>
    <mergeCell ref="AX3:AY3"/>
    <mergeCell ref="AZ3:BA3"/>
    <mergeCell ref="AD3:AE3"/>
    <mergeCell ref="AF3:AG3"/>
    <mergeCell ref="AH3:AI3"/>
    <mergeCell ref="AJ3:AK3"/>
    <mergeCell ref="AL3:AM3"/>
    <mergeCell ref="AN3:AO3"/>
    <mergeCell ref="R3:S3"/>
    <mergeCell ref="T3:U3"/>
    <mergeCell ref="V3:W3"/>
    <mergeCell ref="X3:Y3"/>
    <mergeCell ref="Z3:AA3"/>
    <mergeCell ref="AB3:AC3"/>
    <mergeCell ref="F3:G3"/>
    <mergeCell ref="H3:I3"/>
    <mergeCell ref="J3:K3"/>
    <mergeCell ref="L3:M3"/>
    <mergeCell ref="N3:O3"/>
    <mergeCell ref="P3:Q3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  <pageSetup paperSize="8" scale="62" fitToWidth="0" orientation="portrait" verticalDpi="598" r:id="rId1"/>
  <customProperties>
    <customPr name="_pios_id" r:id="rId2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7443-9B3C-42CD-BEAF-86927A72B186}">
  <dimension ref="B2:Y12"/>
  <sheetViews>
    <sheetView zoomScale="115" workbookViewId="0">
      <selection activeCell="Y1" sqref="Y1"/>
    </sheetView>
  </sheetViews>
  <sheetFormatPr defaultRowHeight="14.25" outlineLevelCol="1" x14ac:dyDescent="0.45"/>
  <cols>
    <col min="2" max="2" width="14.1328125" bestFit="1" customWidth="1"/>
    <col min="3" max="5" width="9.86328125" hidden="1" customWidth="1" outlineLevel="1"/>
    <col min="6" max="6" width="8.86328125" hidden="1" customWidth="1" outlineLevel="1"/>
    <col min="7" max="9" width="9.86328125" hidden="1" customWidth="1" outlineLevel="1"/>
    <col min="10" max="10" width="8.86328125" hidden="1" customWidth="1" outlineLevel="1"/>
    <col min="11" max="11" width="9.86328125" hidden="1" customWidth="1" outlineLevel="1"/>
    <col min="12" max="14" width="10.86328125" hidden="1" customWidth="1" outlineLevel="1"/>
    <col min="15" max="15" width="10.86328125" bestFit="1" customWidth="1" collapsed="1"/>
    <col min="16" max="18" width="9.86328125" bestFit="1" customWidth="1"/>
    <col min="19" max="19" width="8.86328125" bestFit="1" customWidth="1"/>
    <col min="20" max="22" width="9.86328125" bestFit="1" customWidth="1"/>
    <col min="23" max="25" width="10.1328125" bestFit="1" customWidth="1"/>
  </cols>
  <sheetData>
    <row r="2" spans="2:25" x14ac:dyDescent="0.45">
      <c r="B2" s="329" t="s">
        <v>417</v>
      </c>
    </row>
    <row r="3" spans="2:25" x14ac:dyDescent="0.45">
      <c r="C3">
        <v>2022</v>
      </c>
      <c r="P3">
        <v>2023</v>
      </c>
    </row>
    <row r="4" spans="2:25" x14ac:dyDescent="0.45">
      <c r="B4" t="s">
        <v>239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196</v>
      </c>
      <c r="K4" t="s">
        <v>197</v>
      </c>
      <c r="L4" t="s">
        <v>198</v>
      </c>
      <c r="M4" t="s">
        <v>199</v>
      </c>
      <c r="N4" t="s">
        <v>200</v>
      </c>
      <c r="O4" t="s">
        <v>419</v>
      </c>
      <c r="P4" s="1140" t="s">
        <v>521</v>
      </c>
      <c r="Q4" t="s">
        <v>522</v>
      </c>
      <c r="R4" t="s">
        <v>523</v>
      </c>
      <c r="S4" s="1140" t="s">
        <v>524</v>
      </c>
      <c r="T4" t="s">
        <v>525</v>
      </c>
      <c r="U4" t="s">
        <v>526</v>
      </c>
      <c r="V4" s="1142" t="s">
        <v>527</v>
      </c>
      <c r="W4" s="1142" t="s">
        <v>528</v>
      </c>
      <c r="X4" s="1142" t="s">
        <v>529</v>
      </c>
      <c r="Y4" s="1142" t="s">
        <v>530</v>
      </c>
    </row>
    <row r="5" spans="2:25" x14ac:dyDescent="0.45">
      <c r="B5" t="s">
        <v>2</v>
      </c>
      <c r="C5" s="334">
        <v>10376960</v>
      </c>
      <c r="D5" s="334">
        <v>4985400</v>
      </c>
      <c r="E5" s="334">
        <v>7146200</v>
      </c>
      <c r="F5" s="334">
        <v>5527520</v>
      </c>
      <c r="G5" s="334">
        <v>4849120</v>
      </c>
      <c r="H5" s="334">
        <v>7098960</v>
      </c>
      <c r="I5" s="334">
        <v>2058560</v>
      </c>
      <c r="J5" s="334">
        <v>1781120</v>
      </c>
      <c r="K5" s="334">
        <v>5540840</v>
      </c>
      <c r="L5" s="334">
        <v>4240080</v>
      </c>
      <c r="M5" s="334">
        <v>6186040</v>
      </c>
      <c r="N5" s="334">
        <v>6504960</v>
      </c>
      <c r="O5" s="1141">
        <f>SUM(Table5[[#This Row],[Jan]:[Dec]])</f>
        <v>66295760</v>
      </c>
      <c r="P5" s="334">
        <v>7615400</v>
      </c>
      <c r="Q5" s="334">
        <v>13629760</v>
      </c>
      <c r="R5" s="334">
        <v>1589760</v>
      </c>
      <c r="S5" s="334">
        <v>1567800</v>
      </c>
      <c r="T5" s="334">
        <v>6191200</v>
      </c>
      <c r="U5" s="334">
        <v>4238440</v>
      </c>
      <c r="V5" s="334">
        <v>5781760</v>
      </c>
      <c r="W5" s="334">
        <v>4707280</v>
      </c>
      <c r="X5" s="334">
        <v>4697240</v>
      </c>
      <c r="Y5" s="334">
        <v>5465360</v>
      </c>
    </row>
    <row r="6" spans="2:25" x14ac:dyDescent="0.45">
      <c r="B6" t="s">
        <v>3</v>
      </c>
      <c r="C6" s="334">
        <v>2560000</v>
      </c>
      <c r="D6" s="334">
        <v>2080000</v>
      </c>
      <c r="E6" s="334">
        <v>1600000</v>
      </c>
      <c r="F6" s="334">
        <v>995840</v>
      </c>
      <c r="G6" s="334">
        <v>1440000</v>
      </c>
      <c r="H6" s="334">
        <v>2933320</v>
      </c>
      <c r="I6" s="334">
        <v>1428840</v>
      </c>
      <c r="J6" s="334">
        <v>400000</v>
      </c>
      <c r="K6" s="334">
        <v>2160000</v>
      </c>
      <c r="L6" s="334">
        <v>1360000</v>
      </c>
      <c r="M6" s="334">
        <v>1252240</v>
      </c>
      <c r="N6" s="334">
        <v>827760</v>
      </c>
      <c r="O6" s="1141">
        <f>SUM(Table5[[#This Row],[Jan]:[Dec]])</f>
        <v>19038000</v>
      </c>
      <c r="P6" s="334">
        <v>1440000</v>
      </c>
      <c r="Q6" s="334">
        <v>2080000</v>
      </c>
      <c r="R6" s="334">
        <v>960000</v>
      </c>
      <c r="S6" s="334">
        <v>480000</v>
      </c>
      <c r="T6" s="334">
        <v>800000</v>
      </c>
      <c r="U6" s="334">
        <v>164240</v>
      </c>
      <c r="V6" s="334">
        <v>2070240</v>
      </c>
      <c r="W6" s="334">
        <v>968400</v>
      </c>
      <c r="X6" s="334">
        <v>2677000</v>
      </c>
      <c r="Y6" s="334">
        <v>1083000</v>
      </c>
    </row>
    <row r="7" spans="2:25" x14ac:dyDescent="0.45">
      <c r="B7" t="s">
        <v>4</v>
      </c>
      <c r="C7" s="334">
        <v>5677200</v>
      </c>
      <c r="D7" s="334">
        <v>5968800</v>
      </c>
      <c r="E7" s="334">
        <v>7088400</v>
      </c>
      <c r="F7" s="334">
        <v>3371360</v>
      </c>
      <c r="G7" s="334">
        <v>3760360</v>
      </c>
      <c r="H7" s="334">
        <v>9598000</v>
      </c>
      <c r="I7" s="334">
        <v>7499680</v>
      </c>
      <c r="J7" s="334">
        <v>1491000</v>
      </c>
      <c r="K7" s="334">
        <v>3754520</v>
      </c>
      <c r="L7" s="334">
        <v>2766360</v>
      </c>
      <c r="M7" s="334">
        <v>5458760</v>
      </c>
      <c r="N7" s="334">
        <v>16101120</v>
      </c>
      <c r="O7" s="1141">
        <f>SUM(Table5[[#This Row],[Jan]:[Dec]])</f>
        <v>72535560</v>
      </c>
      <c r="P7" s="334">
        <v>10101560</v>
      </c>
      <c r="Q7" s="334">
        <v>8547800</v>
      </c>
      <c r="R7" s="334">
        <v>8430080</v>
      </c>
      <c r="S7" s="334">
        <v>5128960</v>
      </c>
      <c r="T7" s="334">
        <v>6437800</v>
      </c>
      <c r="U7" s="334">
        <v>12250920</v>
      </c>
      <c r="V7" s="334">
        <v>12059800</v>
      </c>
      <c r="W7" s="334">
        <v>10033520</v>
      </c>
      <c r="X7" s="334">
        <v>10675520</v>
      </c>
      <c r="Y7" s="334">
        <v>6390280</v>
      </c>
    </row>
    <row r="8" spans="2:25" x14ac:dyDescent="0.45">
      <c r="B8" t="s">
        <v>354</v>
      </c>
      <c r="C8" s="334">
        <v>0</v>
      </c>
      <c r="D8" s="334">
        <v>13668</v>
      </c>
      <c r="E8" s="334">
        <v>24900</v>
      </c>
      <c r="F8" s="334">
        <v>18840</v>
      </c>
      <c r="G8" s="334">
        <v>9144</v>
      </c>
      <c r="H8" s="334">
        <v>0</v>
      </c>
      <c r="I8" s="334">
        <v>32592</v>
      </c>
      <c r="J8" s="334">
        <v>0</v>
      </c>
      <c r="K8" s="334">
        <v>29688</v>
      </c>
      <c r="L8" s="334">
        <v>0</v>
      </c>
      <c r="M8" s="334">
        <v>44064</v>
      </c>
      <c r="N8" s="334">
        <v>58368</v>
      </c>
      <c r="O8" s="1141">
        <f>SUM(Table5[[#This Row],[Jan]:[Dec]])</f>
        <v>231264</v>
      </c>
      <c r="P8" s="334">
        <v>167064</v>
      </c>
      <c r="Q8" s="334">
        <v>110580</v>
      </c>
      <c r="R8" s="334">
        <v>0</v>
      </c>
      <c r="S8" s="334">
        <v>53136</v>
      </c>
      <c r="T8" s="334">
        <v>0</v>
      </c>
      <c r="U8" s="334">
        <v>60312</v>
      </c>
      <c r="V8" s="334">
        <v>0</v>
      </c>
      <c r="W8" s="334">
        <v>0</v>
      </c>
      <c r="X8" s="334">
        <v>117252</v>
      </c>
      <c r="Y8" s="334">
        <v>59640</v>
      </c>
    </row>
    <row r="9" spans="2:25" x14ac:dyDescent="0.45">
      <c r="B9" t="s">
        <v>138</v>
      </c>
      <c r="C9" s="334">
        <v>28224</v>
      </c>
      <c r="D9" s="334">
        <v>0</v>
      </c>
      <c r="E9" s="334">
        <v>57600</v>
      </c>
      <c r="F9" s="334">
        <v>0</v>
      </c>
      <c r="G9" s="334">
        <v>57600</v>
      </c>
      <c r="H9" s="334">
        <v>0</v>
      </c>
      <c r="I9" s="334">
        <v>0</v>
      </c>
      <c r="J9" s="334">
        <v>57888</v>
      </c>
      <c r="K9" s="334">
        <v>56568</v>
      </c>
      <c r="L9" s="334">
        <v>0</v>
      </c>
      <c r="M9" s="334">
        <v>64800</v>
      </c>
      <c r="N9" s="334">
        <v>79200</v>
      </c>
      <c r="O9" s="1141">
        <f>SUM(Table5[[#This Row],[Jan]:[Dec]])</f>
        <v>401880</v>
      </c>
      <c r="P9" s="334">
        <v>82224</v>
      </c>
      <c r="Q9" s="334">
        <v>70224</v>
      </c>
      <c r="R9" s="334">
        <v>115824</v>
      </c>
      <c r="S9" s="334">
        <v>58224</v>
      </c>
      <c r="T9" s="334">
        <v>0</v>
      </c>
      <c r="U9" s="334">
        <v>116448</v>
      </c>
      <c r="V9" s="334">
        <v>0</v>
      </c>
      <c r="W9" s="334">
        <v>58224</v>
      </c>
      <c r="X9" s="334">
        <v>174672</v>
      </c>
      <c r="Y9" s="334">
        <v>58224</v>
      </c>
    </row>
    <row r="10" spans="2:25" x14ac:dyDescent="0.45">
      <c r="B10" t="s">
        <v>137</v>
      </c>
      <c r="C10" s="334">
        <v>28800</v>
      </c>
      <c r="D10" s="334">
        <v>28500</v>
      </c>
      <c r="E10" s="334">
        <v>28800</v>
      </c>
      <c r="F10" s="334">
        <v>55716</v>
      </c>
      <c r="G10" s="334">
        <v>55452</v>
      </c>
      <c r="H10" s="334">
        <v>54540</v>
      </c>
      <c r="I10" s="334">
        <v>115500</v>
      </c>
      <c r="J10" s="334">
        <v>28620</v>
      </c>
      <c r="K10" s="334">
        <v>28800</v>
      </c>
      <c r="L10" s="334">
        <v>27900</v>
      </c>
      <c r="M10" s="334">
        <v>103644</v>
      </c>
      <c r="N10" s="334">
        <v>205392</v>
      </c>
      <c r="O10" s="1141">
        <f>SUM(Table5[[#This Row],[Jan]:[Dec]])</f>
        <v>761664</v>
      </c>
      <c r="P10" s="334">
        <v>56424</v>
      </c>
      <c r="Q10" s="334">
        <v>28800</v>
      </c>
      <c r="R10" s="334">
        <v>112212</v>
      </c>
      <c r="S10" s="334">
        <v>4944</v>
      </c>
      <c r="T10" s="334">
        <v>113400</v>
      </c>
      <c r="U10" s="334">
        <v>139344</v>
      </c>
      <c r="V10" s="334">
        <v>110028</v>
      </c>
      <c r="W10" s="334">
        <v>109920</v>
      </c>
      <c r="X10" s="334">
        <v>277500</v>
      </c>
      <c r="Y10" s="334">
        <v>166356</v>
      </c>
    </row>
    <row r="11" spans="2:25" x14ac:dyDescent="0.45">
      <c r="C11" s="334">
        <f t="shared" ref="C11:K11" si="0">SUBTOTAL(109,C5:C10)</f>
        <v>18671184</v>
      </c>
      <c r="D11" s="334">
        <f t="shared" si="0"/>
        <v>13076368</v>
      </c>
      <c r="E11" s="334">
        <f t="shared" si="0"/>
        <v>15945900</v>
      </c>
      <c r="F11" s="334">
        <f t="shared" si="0"/>
        <v>9969276</v>
      </c>
      <c r="G11" s="334">
        <f t="shared" si="0"/>
        <v>10171676</v>
      </c>
      <c r="H11" s="334">
        <f t="shared" si="0"/>
        <v>19684820</v>
      </c>
      <c r="I11" s="334">
        <f t="shared" si="0"/>
        <v>11135172</v>
      </c>
      <c r="J11" s="334">
        <f t="shared" si="0"/>
        <v>3758628</v>
      </c>
      <c r="K11" s="334">
        <f t="shared" si="0"/>
        <v>11570416</v>
      </c>
      <c r="L11" s="334">
        <f>SUBTOTAL(109,Table5[Oct])</f>
        <v>8394340</v>
      </c>
      <c r="M11" s="334">
        <f>SUBTOTAL(109,Table5[Nov])</f>
        <v>13109548</v>
      </c>
      <c r="N11" s="334">
        <f>SUBTOTAL(109,Table5[Dec])</f>
        <v>23776800</v>
      </c>
      <c r="O11" s="334">
        <f>SUBTOTAL(109,Table5[Total])</f>
        <v>159264128</v>
      </c>
      <c r="P11" s="334">
        <f>SUM(Table5[Jan2])</f>
        <v>19462672</v>
      </c>
      <c r="Q11" s="334">
        <f>SUM(Table5[Feb2])</f>
        <v>24467164</v>
      </c>
      <c r="R11" s="334">
        <f>SUM(Table5[Mar2])</f>
        <v>11207876</v>
      </c>
      <c r="S11" s="334">
        <f>SUM(Table5[Apr2])</f>
        <v>7293064</v>
      </c>
      <c r="T11" s="334">
        <f>SUM(Table5[May2])</f>
        <v>13542400</v>
      </c>
      <c r="U11" s="334">
        <f>SUM(Table5[Jun2])</f>
        <v>16969704</v>
      </c>
      <c r="V11" s="334">
        <f>SUM(Table5[Jul2])</f>
        <v>20021828</v>
      </c>
      <c r="W11" s="334">
        <f>SUBTOTAL(109,Table5[Aug2])</f>
        <v>15877344</v>
      </c>
      <c r="X11" s="334">
        <f>SUBTOTAL(109,Table5[Sep2])</f>
        <v>18619184</v>
      </c>
      <c r="Y11" s="334">
        <f>SUBTOTAL(109,Table5[Oct2])</f>
        <v>13222860</v>
      </c>
    </row>
    <row r="12" spans="2:25" x14ac:dyDescent="0.45">
      <c r="P12" s="334"/>
      <c r="Q12" s="334"/>
      <c r="R12" s="334"/>
      <c r="S12" s="334"/>
      <c r="T12" s="334"/>
      <c r="U12" s="334"/>
    </row>
  </sheetData>
  <phoneticPr fontId="38" type="noConversion"/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7834-D93D-4240-A8AF-F9AF0256CACB}">
  <sheetPr>
    <pageSetUpPr fitToPage="1"/>
  </sheetPr>
  <dimension ref="A1:CO184"/>
  <sheetViews>
    <sheetView showGridLines="0" zoomScale="85" zoomScaleNormal="85" zoomScaleSheetLayoutView="80" workbookViewId="0">
      <pane xSplit="5" ySplit="6" topLeftCell="BC89" activePane="bottomRight" state="frozen"/>
      <selection pane="topRight" activeCell="BH99" sqref="BH99"/>
      <selection pane="bottomLeft" activeCell="BH99" sqref="BH99"/>
      <selection pane="bottomRight" activeCell="BH99" sqref="BH99"/>
    </sheetView>
  </sheetViews>
  <sheetFormatPr defaultRowHeight="14.25" outlineLevelRow="1" outlineLevelCol="2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1.86328125" customWidth="1"/>
    <col min="7" max="7" width="13" customWidth="1"/>
    <col min="8" max="9" width="11.86328125" customWidth="1"/>
    <col min="10" max="13" width="11.86328125" hidden="1" customWidth="1" outlineLevel="1"/>
    <col min="14" max="14" width="11.59765625" customWidth="1" collapsed="1"/>
    <col min="15" max="15" width="13.73046875" customWidth="1"/>
    <col min="16" max="16" width="11.59765625" hidden="1" customWidth="1" outlineLevel="1"/>
    <col min="17" max="17" width="13.73046875" hidden="1" customWidth="1" outlineLevel="1"/>
    <col min="18" max="18" width="11.59765625" hidden="1" customWidth="1" outlineLevel="1"/>
    <col min="19" max="19" width="13.73046875" hidden="1" customWidth="1" outlineLevel="1"/>
    <col min="20" max="20" width="11.59765625" customWidth="1" collapsed="1"/>
    <col min="21" max="21" width="13.73046875" customWidth="1"/>
    <col min="22" max="22" width="11.59765625" customWidth="1"/>
    <col min="23" max="23" width="13.73046875" customWidth="1"/>
    <col min="24" max="24" width="15.265625" hidden="1" customWidth="1" outlineLevel="1"/>
    <col min="25" max="25" width="13.73046875" hidden="1" customWidth="1" outlineLevel="1"/>
    <col min="26" max="26" width="11.59765625" hidden="1" customWidth="1" outlineLevel="1"/>
    <col min="27" max="27" width="13.73046875" hidden="1" customWidth="1" outlineLevel="1"/>
    <col min="28" max="28" width="11.59765625" hidden="1" customWidth="1" outlineLevel="1"/>
    <col min="29" max="29" width="13.73046875" hidden="1" customWidth="1" outlineLevel="1"/>
    <col min="30" max="30" width="11.59765625" hidden="1" customWidth="1" outlineLevel="1"/>
    <col min="31" max="31" width="13.73046875" hidden="1" customWidth="1" outlineLevel="1"/>
    <col min="32" max="32" width="17.1328125" hidden="1" customWidth="1" outlineLevel="2"/>
    <col min="33" max="33" width="17.86328125" hidden="1" customWidth="1" outlineLevel="2"/>
    <col min="34" max="34" width="16.86328125" hidden="1" customWidth="1" outlineLevel="2"/>
    <col min="35" max="35" width="5" hidden="1" customWidth="1" outlineLevel="1"/>
    <col min="36" max="36" width="11.59765625" hidden="1" customWidth="1" outlineLevel="1"/>
    <col min="37" max="37" width="13.73046875" hidden="1" customWidth="1" outlineLevel="1"/>
    <col min="38" max="38" width="11.59765625" hidden="1" customWidth="1" outlineLevel="1"/>
    <col min="39" max="39" width="13.73046875" hidden="1" customWidth="1" outlineLevel="1"/>
    <col min="40" max="40" width="11.59765625" hidden="1" customWidth="1" outlineLevel="1"/>
    <col min="41" max="41" width="13.73046875" hidden="1" customWidth="1" outlineLevel="1"/>
    <col min="42" max="42" width="15.86328125" hidden="1" customWidth="1" outlineLevel="2"/>
    <col min="43" max="43" width="18.1328125" hidden="1" customWidth="1" outlineLevel="2"/>
    <col min="44" max="44" width="15.86328125" hidden="1" customWidth="1" outlineLevel="2"/>
    <col min="45" max="45" width="4.86328125" hidden="1" customWidth="1" outlineLevel="1"/>
    <col min="46" max="46" width="11.59765625" hidden="1" customWidth="1" outlineLevel="1" collapsed="1"/>
    <col min="47" max="47" width="13.73046875" hidden="1" customWidth="1" outlineLevel="1"/>
    <col min="48" max="48" width="11.59765625" hidden="1" customWidth="1" outlineLevel="1"/>
    <col min="49" max="49" width="13.73046875" hidden="1" customWidth="1" outlineLevel="1"/>
    <col min="50" max="50" width="11.59765625" hidden="1" customWidth="1" outlineLevel="1"/>
    <col min="51" max="51" width="13.73046875" hidden="1" customWidth="1" outlineLevel="1"/>
    <col min="52" max="52" width="17.1328125" hidden="1" customWidth="1" outlineLevel="1"/>
    <col min="53" max="53" width="17.86328125" hidden="1" customWidth="1" outlineLevel="1"/>
    <col min="54" max="54" width="16.86328125" hidden="1" customWidth="1" outlineLevel="1"/>
    <col min="55" max="55" width="5.59765625" customWidth="1" collapsed="1"/>
    <col min="56" max="56" width="11.59765625" hidden="1" customWidth="1"/>
    <col min="57" max="57" width="13.73046875" hidden="1" customWidth="1"/>
    <col min="58" max="58" width="4.86328125" customWidth="1"/>
    <col min="59" max="59" width="15.265625" bestFit="1" customWidth="1"/>
    <col min="60" max="60" width="13.73046875" customWidth="1"/>
    <col min="61" max="61" width="15.265625" hidden="1" customWidth="1" outlineLevel="1"/>
    <col min="62" max="62" width="13.73046875" hidden="1" customWidth="1" outlineLevel="1"/>
    <col min="63" max="63" width="15.265625" hidden="1" customWidth="1" outlineLevel="1"/>
    <col min="64" max="64" width="13.73046875" hidden="1" customWidth="1" outlineLevel="1"/>
    <col min="65" max="65" width="13.73046875" customWidth="1" collapsed="1"/>
    <col min="66" max="66" width="6.1328125" bestFit="1" customWidth="1"/>
    <col min="67" max="67" width="15.265625" bestFit="1" customWidth="1"/>
    <col min="68" max="68" width="12.3984375" customWidth="1"/>
    <col min="69" max="69" width="15.265625" hidden="1" customWidth="1" outlineLevel="1"/>
    <col min="70" max="70" width="13.73046875" hidden="1" customWidth="1" outlineLevel="1"/>
    <col min="71" max="71" width="15.265625" hidden="1" customWidth="1" outlineLevel="1"/>
    <col min="72" max="72" width="13.73046875" hidden="1" customWidth="1" outlineLevel="1"/>
    <col min="73" max="73" width="5.3984375" customWidth="1" collapsed="1"/>
    <col min="74" max="74" width="10.59765625" hidden="1" customWidth="1" outlineLevel="1"/>
    <col min="75" max="75" width="11.59765625" hidden="1" customWidth="1" outlineLevel="1"/>
    <col min="76" max="76" width="9.1328125" hidden="1" customWidth="1" outlineLevel="1"/>
    <col min="77" max="82" width="13" hidden="1" customWidth="1" outlineLevel="1"/>
    <col min="83" max="83" width="11.265625" bestFit="1" customWidth="1" collapsed="1"/>
    <col min="86" max="86" width="15.265625" bestFit="1" customWidth="1"/>
    <col min="87" max="87" width="12.3984375" customWidth="1"/>
    <col min="88" max="88" width="15.265625" hidden="1" customWidth="1" outlineLevel="1"/>
    <col min="89" max="89" width="13.73046875" hidden="1" customWidth="1" outlineLevel="1"/>
    <col min="90" max="90" width="15.265625" hidden="1" customWidth="1" outlineLevel="1"/>
    <col min="91" max="91" width="13.73046875" hidden="1" customWidth="1" outlineLevel="1"/>
    <col min="92" max="92" width="5.3984375" customWidth="1" collapsed="1"/>
  </cols>
  <sheetData>
    <row r="1" spans="1:91" x14ac:dyDescent="0.45">
      <c r="N1" s="1330" t="s">
        <v>284</v>
      </c>
      <c r="O1" s="1330"/>
      <c r="P1" s="1330"/>
      <c r="Q1" s="1330"/>
      <c r="R1" s="1330"/>
      <c r="S1" s="1330"/>
      <c r="T1" s="708"/>
      <c r="U1" s="708"/>
      <c r="V1" s="708"/>
      <c r="W1" s="708"/>
      <c r="Z1" s="1330" t="s">
        <v>286</v>
      </c>
      <c r="AA1" s="1330"/>
      <c r="AB1" s="1330"/>
      <c r="AC1" s="1330"/>
      <c r="AD1" s="1330"/>
      <c r="AE1" s="1330"/>
      <c r="AJ1" s="1330" t="s">
        <v>287</v>
      </c>
      <c r="AK1" s="1330"/>
      <c r="AL1" s="1330"/>
      <c r="AM1" s="1330"/>
      <c r="AN1" s="1330"/>
      <c r="AO1" s="1330"/>
      <c r="AT1" s="1330" t="s">
        <v>421</v>
      </c>
      <c r="AU1" s="1330"/>
      <c r="AV1" s="1330"/>
      <c r="AW1" s="1330"/>
      <c r="AX1" s="1330"/>
      <c r="AY1" s="1330"/>
    </row>
    <row r="2" spans="1:91" ht="15.75" customHeight="1" thickBot="1" x14ac:dyDescent="0.5">
      <c r="F2" s="1273" t="str">
        <f>F4</f>
        <v>GSS LOKAL 40</v>
      </c>
      <c r="G2" s="1273"/>
      <c r="H2" s="1273" t="str">
        <f>H4</f>
        <v>GSS LOKAL 40</v>
      </c>
      <c r="I2" s="1273"/>
      <c r="J2" s="1273" t="str">
        <f>J4</f>
        <v>GSS LOKAL 40</v>
      </c>
      <c r="K2" s="1273"/>
      <c r="L2" s="1273" t="str">
        <f>L4</f>
        <v>GSS LOKAL 40</v>
      </c>
      <c r="M2" s="1273"/>
      <c r="N2" s="1273" t="str">
        <f>N4</f>
        <v>GSS LOKAL 40</v>
      </c>
      <c r="O2" s="1273"/>
      <c r="P2" s="1273" t="str">
        <f>P4</f>
        <v>GSS LOKAL 40</v>
      </c>
      <c r="Q2" s="1273"/>
      <c r="R2" s="1273" t="str">
        <f>R4</f>
        <v>GSS LOKAL 40</v>
      </c>
      <c r="S2" s="1273"/>
      <c r="T2" s="1273" t="str">
        <f>T4</f>
        <v>GSS LOKAL 40</v>
      </c>
      <c r="U2" s="1273"/>
      <c r="V2" s="1273" t="str">
        <f>V4</f>
        <v>GSS LOKAL 40</v>
      </c>
      <c r="W2" s="1273"/>
      <c r="X2" s="1273" t="str">
        <f>X4</f>
        <v>GSS LOKAL 40</v>
      </c>
      <c r="Y2" s="1273"/>
      <c r="Z2" s="1273" t="str">
        <f>Z4</f>
        <v>GSS LOKAL 40</v>
      </c>
      <c r="AA2" s="1273"/>
      <c r="AB2" s="1273" t="str">
        <f>AB4</f>
        <v>GSS LOKAL 40</v>
      </c>
      <c r="AC2" s="1273"/>
      <c r="AD2" s="1273" t="str">
        <f>AD4</f>
        <v>GSS LOKAL 40</v>
      </c>
      <c r="AE2" s="1273"/>
      <c r="AF2" s="705"/>
      <c r="AG2" s="705"/>
      <c r="AH2" s="705"/>
      <c r="AI2" s="705"/>
      <c r="AJ2" s="707" t="str">
        <f>AJ4</f>
        <v>GSS LOKAL 40</v>
      </c>
      <c r="AK2" s="707"/>
      <c r="AL2" s="707" t="str">
        <f>AL4</f>
        <v>GSS LOKAL 40</v>
      </c>
      <c r="AM2" s="707"/>
      <c r="AN2" s="707" t="str">
        <f>AN4</f>
        <v>GSS LOKAL 40</v>
      </c>
      <c r="AO2" s="707"/>
      <c r="AS2" s="705"/>
      <c r="AT2" s="707" t="str">
        <f>AT4</f>
        <v>GSS LOKAL 40</v>
      </c>
      <c r="AU2" s="707"/>
      <c r="AV2" s="707" t="str">
        <f>AV4</f>
        <v>GSS LOKAL 40</v>
      </c>
      <c r="AW2" s="707"/>
      <c r="AX2" s="707" t="str">
        <f>AX4</f>
        <v>GSS LOKAL 40</v>
      </c>
      <c r="AY2" s="707"/>
      <c r="AZ2" s="705"/>
      <c r="BA2" s="705"/>
      <c r="BB2" s="705"/>
      <c r="BD2" s="1273" t="str">
        <f>BD4</f>
        <v>GSS LOKAL 40</v>
      </c>
      <c r="BE2" s="1273"/>
      <c r="BG2" s="1273" t="str">
        <f>BG4</f>
        <v>GSS LOKAL 40</v>
      </c>
      <c r="BH2" s="1273"/>
      <c r="BI2" s="1273" t="str">
        <f t="shared" ref="BI2" si="0">BI4</f>
        <v>GSS LOKAL 40</v>
      </c>
      <c r="BJ2" s="1273"/>
      <c r="BK2" s="1273" t="str">
        <f t="shared" ref="BK2" si="1">BK4</f>
        <v>GSS LOKAL 40</v>
      </c>
      <c r="BL2" s="1273"/>
      <c r="BO2" s="1273" t="str">
        <f>BO4</f>
        <v>GSS LOKAL 40</v>
      </c>
      <c r="BP2" s="1273"/>
      <c r="BQ2" s="1273" t="str">
        <f t="shared" ref="BQ2" si="2">BQ4</f>
        <v>GSS LOKAL 40</v>
      </c>
      <c r="BR2" s="1273"/>
      <c r="BS2" s="1273" t="str">
        <f t="shared" ref="BS2" si="3">BS4</f>
        <v>GSS LOKAL 40</v>
      </c>
      <c r="BT2" s="1273"/>
      <c r="BV2" s="1231" t="str">
        <f>BV4</f>
        <v>GSS LOKAL 40</v>
      </c>
      <c r="BW2" s="1231"/>
      <c r="BY2" s="1273" t="str">
        <f>BY4</f>
        <v>GSS Vietnam 40</v>
      </c>
      <c r="BZ2" s="1273"/>
      <c r="CA2" s="1273" t="str">
        <f>CA4</f>
        <v>GSS Vietnam 40</v>
      </c>
      <c r="CB2" s="1273"/>
      <c r="CC2" s="1273" t="str">
        <f>CC4</f>
        <v>GSS Vietnam 40</v>
      </c>
      <c r="CD2" s="1273"/>
      <c r="CH2" s="1273" t="str">
        <f>CH4</f>
        <v>GSS LOKAL 40</v>
      </c>
      <c r="CI2" s="1273"/>
      <c r="CJ2" s="1273" t="str">
        <f t="shared" ref="CJ2" si="4">CJ4</f>
        <v>GSS LOKAL 40</v>
      </c>
      <c r="CK2" s="1273"/>
      <c r="CL2" s="1273" t="str">
        <f t="shared" ref="CL2" si="5">CL4</f>
        <v>GSS LOKAL 40</v>
      </c>
      <c r="CM2" s="1273"/>
    </row>
    <row r="3" spans="1:91" s="4" customFormat="1" ht="3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39" t="s">
        <v>392</v>
      </c>
      <c r="I3" s="1340"/>
      <c r="J3" s="1339" t="s">
        <v>393</v>
      </c>
      <c r="K3" s="1340"/>
      <c r="L3" s="1339" t="s">
        <v>394</v>
      </c>
      <c r="M3" s="1340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406</v>
      </c>
      <c r="W3" s="1264"/>
      <c r="X3" s="1343" t="s">
        <v>423</v>
      </c>
      <c r="Y3" s="1344"/>
      <c r="Z3" s="1323" t="s">
        <v>327</v>
      </c>
      <c r="AA3" s="1324"/>
      <c r="AB3" s="1323" t="s">
        <v>424</v>
      </c>
      <c r="AC3" s="1324"/>
      <c r="AD3" s="1323" t="s">
        <v>425</v>
      </c>
      <c r="AE3" s="1324"/>
      <c r="AF3" s="756" t="s">
        <v>426</v>
      </c>
      <c r="AG3" s="757" t="s">
        <v>427</v>
      </c>
      <c r="AH3" s="758" t="s">
        <v>428</v>
      </c>
      <c r="AI3" s="706"/>
      <c r="AJ3" s="1323" t="s">
        <v>429</v>
      </c>
      <c r="AK3" s="1324"/>
      <c r="AL3" s="1323" t="s">
        <v>430</v>
      </c>
      <c r="AM3" s="1324"/>
      <c r="AN3" s="1323" t="s">
        <v>431</v>
      </c>
      <c r="AO3" s="1324"/>
      <c r="AP3" s="756" t="s">
        <v>426</v>
      </c>
      <c r="AQ3" s="757" t="s">
        <v>427</v>
      </c>
      <c r="AR3" s="758" t="s">
        <v>428</v>
      </c>
      <c r="AS3" s="706"/>
      <c r="AT3" s="1323" t="s">
        <v>432</v>
      </c>
      <c r="AU3" s="1324"/>
      <c r="AV3" s="1323" t="s">
        <v>433</v>
      </c>
      <c r="AW3" s="1324"/>
      <c r="AX3" s="1323" t="s">
        <v>434</v>
      </c>
      <c r="AY3" s="1324"/>
      <c r="AZ3" s="756" t="s">
        <v>426</v>
      </c>
      <c r="BA3" s="757" t="s">
        <v>427</v>
      </c>
      <c r="BB3" s="923" t="s">
        <v>428</v>
      </c>
      <c r="BD3" s="1323" t="s">
        <v>435</v>
      </c>
      <c r="BE3" s="1324"/>
      <c r="BG3" s="1343" t="s">
        <v>531</v>
      </c>
      <c r="BH3" s="1344"/>
      <c r="BI3" s="1343" t="s">
        <v>532</v>
      </c>
      <c r="BJ3" s="1344"/>
      <c r="BK3" s="1343" t="s">
        <v>533</v>
      </c>
      <c r="BL3" s="1344"/>
      <c r="BM3"/>
      <c r="BO3" s="1343" t="s">
        <v>534</v>
      </c>
      <c r="BP3" s="1344"/>
      <c r="BQ3" s="1343" t="s">
        <v>532</v>
      </c>
      <c r="BR3" s="1344"/>
      <c r="BS3" s="1343" t="s">
        <v>533</v>
      </c>
      <c r="BT3" s="1344"/>
      <c r="BV3" s="1367" t="s">
        <v>439</v>
      </c>
      <c r="BW3" s="1368"/>
      <c r="BY3" s="1341" t="s">
        <v>440</v>
      </c>
      <c r="BZ3" s="1342"/>
      <c r="CA3" s="1341" t="s">
        <v>441</v>
      </c>
      <c r="CB3" s="1342"/>
      <c r="CC3" s="1341" t="s">
        <v>442</v>
      </c>
      <c r="CD3" s="1342"/>
      <c r="CH3" s="1343" t="s">
        <v>534</v>
      </c>
      <c r="CI3" s="1344"/>
      <c r="CJ3" s="1343" t="s">
        <v>532</v>
      </c>
      <c r="CK3" s="1344"/>
      <c r="CL3" s="1343" t="s">
        <v>533</v>
      </c>
      <c r="CM3" s="1344"/>
    </row>
    <row r="4" spans="1:91" s="4" customFormat="1" ht="22.5" customHeight="1" thickTop="1" x14ac:dyDescent="0.45">
      <c r="A4" s="561"/>
      <c r="B4" s="2"/>
      <c r="C4" s="3"/>
      <c r="D4" s="6"/>
      <c r="E4" s="245"/>
      <c r="F4" s="1305" t="s">
        <v>2</v>
      </c>
      <c r="G4" s="1306"/>
      <c r="H4" s="1305" t="s">
        <v>2</v>
      </c>
      <c r="I4" s="1306"/>
      <c r="J4" s="1305" t="s">
        <v>2</v>
      </c>
      <c r="K4" s="1306"/>
      <c r="L4" s="1305" t="s">
        <v>2</v>
      </c>
      <c r="M4" s="1306"/>
      <c r="N4" s="1305" t="s">
        <v>2</v>
      </c>
      <c r="O4" s="1306"/>
      <c r="P4" s="1305" t="s">
        <v>2</v>
      </c>
      <c r="Q4" s="1306"/>
      <c r="R4" s="1305" t="s">
        <v>2</v>
      </c>
      <c r="S4" s="1306"/>
      <c r="T4" s="1305" t="s">
        <v>2</v>
      </c>
      <c r="U4" s="1306"/>
      <c r="V4" s="1305" t="s">
        <v>2</v>
      </c>
      <c r="W4" s="1306"/>
      <c r="X4" s="1345" t="s">
        <v>2</v>
      </c>
      <c r="Y4" s="1346"/>
      <c r="Z4" s="1345" t="s">
        <v>2</v>
      </c>
      <c r="AA4" s="1346"/>
      <c r="AB4" s="1345" t="s">
        <v>2</v>
      </c>
      <c r="AC4" s="1346"/>
      <c r="AD4" s="1345" t="s">
        <v>2</v>
      </c>
      <c r="AE4" s="1346"/>
      <c r="AF4" s="759"/>
      <c r="AG4" s="760"/>
      <c r="AH4" s="761"/>
      <c r="AI4" s="687"/>
      <c r="AJ4" s="1345" t="s">
        <v>2</v>
      </c>
      <c r="AK4" s="1346"/>
      <c r="AL4" s="1345" t="s">
        <v>2</v>
      </c>
      <c r="AM4" s="1346"/>
      <c r="AN4" s="1345" t="s">
        <v>2</v>
      </c>
      <c r="AO4" s="1346"/>
      <c r="AP4" s="759"/>
      <c r="AQ4" s="760"/>
      <c r="AR4" s="761"/>
      <c r="AS4" s="687"/>
      <c r="AT4" s="1345" t="s">
        <v>2</v>
      </c>
      <c r="AU4" s="1346"/>
      <c r="AV4" s="1345" t="s">
        <v>2</v>
      </c>
      <c r="AW4" s="1346"/>
      <c r="AX4" s="1345" t="s">
        <v>2</v>
      </c>
      <c r="AY4" s="1346"/>
      <c r="AZ4" s="759"/>
      <c r="BA4" s="760"/>
      <c r="BB4" s="760"/>
      <c r="BD4" s="1345" t="s">
        <v>2</v>
      </c>
      <c r="BE4" s="1346"/>
      <c r="BG4" s="1345" t="s">
        <v>2</v>
      </c>
      <c r="BH4" s="1346"/>
      <c r="BI4" s="1345" t="s">
        <v>2</v>
      </c>
      <c r="BJ4" s="1346"/>
      <c r="BK4" s="1345" t="s">
        <v>2</v>
      </c>
      <c r="BL4" s="1346"/>
      <c r="BM4"/>
      <c r="BO4" s="1345" t="s">
        <v>2</v>
      </c>
      <c r="BP4" s="1346"/>
      <c r="BQ4" s="1345" t="s">
        <v>2</v>
      </c>
      <c r="BR4" s="1346"/>
      <c r="BS4" s="1345" t="s">
        <v>2</v>
      </c>
      <c r="BT4" s="1346"/>
      <c r="BV4" s="1345" t="s">
        <v>2</v>
      </c>
      <c r="BW4" s="1346"/>
      <c r="BY4" s="1349" t="s">
        <v>443</v>
      </c>
      <c r="BZ4" s="1350"/>
      <c r="CA4" s="1349" t="s">
        <v>443</v>
      </c>
      <c r="CB4" s="1350"/>
      <c r="CC4" s="1349" t="s">
        <v>443</v>
      </c>
      <c r="CD4" s="1350"/>
      <c r="CH4" s="1345" t="s">
        <v>2</v>
      </c>
      <c r="CI4" s="1346"/>
      <c r="CJ4" s="1345" t="s">
        <v>2</v>
      </c>
      <c r="CK4" s="1346"/>
      <c r="CL4" s="1345" t="s">
        <v>2</v>
      </c>
      <c r="CM4" s="1346"/>
    </row>
    <row r="5" spans="1:91" s="4" customFormat="1" ht="14.65" thickBot="1" x14ac:dyDescent="0.5">
      <c r="A5" s="561"/>
      <c r="B5" s="7"/>
      <c r="E5" s="245"/>
      <c r="F5" s="1307"/>
      <c r="G5" s="1308"/>
      <c r="H5" s="1307"/>
      <c r="I5" s="1308"/>
      <c r="J5" s="1307"/>
      <c r="K5" s="1308"/>
      <c r="L5" s="1307"/>
      <c r="M5" s="1308"/>
      <c r="N5" s="1307"/>
      <c r="O5" s="1308"/>
      <c r="P5" s="1307"/>
      <c r="Q5" s="1308"/>
      <c r="R5" s="1307"/>
      <c r="S5" s="1308"/>
      <c r="T5" s="1307"/>
      <c r="U5" s="1308"/>
      <c r="V5" s="1307"/>
      <c r="W5" s="1308"/>
      <c r="X5" s="1347"/>
      <c r="Y5" s="1348"/>
      <c r="Z5" s="1347"/>
      <c r="AA5" s="1348"/>
      <c r="AB5" s="1347"/>
      <c r="AC5" s="1348"/>
      <c r="AD5" s="1347"/>
      <c r="AE5" s="1348"/>
      <c r="AF5" s="762"/>
      <c r="AG5" s="763"/>
      <c r="AH5" s="764"/>
      <c r="AI5" s="688"/>
      <c r="AJ5" s="1347"/>
      <c r="AK5" s="1348"/>
      <c r="AL5" s="1347"/>
      <c r="AM5" s="1348"/>
      <c r="AN5" s="1347"/>
      <c r="AO5" s="1348"/>
      <c r="AP5" s="762"/>
      <c r="AQ5" s="763"/>
      <c r="AR5" s="764"/>
      <c r="AS5" s="688"/>
      <c r="AT5" s="1347"/>
      <c r="AU5" s="1348"/>
      <c r="AV5" s="1347"/>
      <c r="AW5" s="1348"/>
      <c r="AX5" s="1347"/>
      <c r="AY5" s="1348"/>
      <c r="AZ5" s="762"/>
      <c r="BA5" s="763"/>
      <c r="BB5" s="763"/>
      <c r="BD5" s="1347"/>
      <c r="BE5" s="1348"/>
      <c r="BG5" s="1347"/>
      <c r="BH5" s="1348"/>
      <c r="BI5" s="1347"/>
      <c r="BJ5" s="1348"/>
      <c r="BK5" s="1347"/>
      <c r="BL5" s="1348"/>
      <c r="BM5"/>
      <c r="BO5" s="1347"/>
      <c r="BP5" s="1348"/>
      <c r="BQ5" s="1347"/>
      <c r="BR5" s="1348"/>
      <c r="BS5" s="1347"/>
      <c r="BT5" s="1348"/>
      <c r="BV5" s="1347"/>
      <c r="BW5" s="1348"/>
      <c r="BY5" s="1351"/>
      <c r="BZ5" s="1352"/>
      <c r="CA5" s="1351"/>
      <c r="CB5" s="1352"/>
      <c r="CC5" s="1351"/>
      <c r="CD5" s="1352"/>
      <c r="CH5" s="1347"/>
      <c r="CI5" s="1348"/>
      <c r="CJ5" s="1347"/>
      <c r="CK5" s="1348"/>
      <c r="CL5" s="1347"/>
      <c r="CM5" s="1348"/>
    </row>
    <row r="6" spans="1:91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265"/>
      <c r="G6" s="1266"/>
      <c r="H6" s="1265"/>
      <c r="I6" s="1266"/>
      <c r="J6" s="1265"/>
      <c r="K6" s="1266"/>
      <c r="L6" s="1265"/>
      <c r="M6" s="1266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765"/>
      <c r="AG6" s="765"/>
      <c r="AH6" s="766"/>
      <c r="AI6" s="623"/>
      <c r="AJ6" s="1234"/>
      <c r="AK6" s="1206"/>
      <c r="AL6" s="1234"/>
      <c r="AM6" s="1206"/>
      <c r="AN6" s="1234"/>
      <c r="AO6" s="1206"/>
      <c r="AP6" s="765"/>
      <c r="AQ6" s="765"/>
      <c r="AR6" s="766"/>
      <c r="AS6" s="623"/>
      <c r="AT6" s="1234"/>
      <c r="AU6" s="1206"/>
      <c r="AV6" s="1234"/>
      <c r="AW6" s="1206"/>
      <c r="AX6" s="1234"/>
      <c r="AY6" s="1206"/>
      <c r="AZ6" s="765"/>
      <c r="BA6" s="765"/>
      <c r="BB6" s="765"/>
      <c r="BD6" s="1234"/>
      <c r="BE6" s="1206"/>
      <c r="BG6" s="1234"/>
      <c r="BH6" s="1206"/>
      <c r="BI6" s="1234"/>
      <c r="BJ6" s="1206"/>
      <c r="BK6" s="1234"/>
      <c r="BL6" s="1206"/>
      <c r="BM6"/>
      <c r="BO6" s="1234"/>
      <c r="BP6" s="1206"/>
      <c r="BQ6" s="1234"/>
      <c r="BR6" s="1206"/>
      <c r="BS6" s="1234"/>
      <c r="BT6" s="1206"/>
      <c r="BV6" s="1234"/>
      <c r="BW6" s="1206"/>
      <c r="BY6" s="1234"/>
      <c r="BZ6" s="1206"/>
      <c r="CA6" s="1234"/>
      <c r="CB6" s="1206"/>
      <c r="CC6" s="1234"/>
      <c r="CD6" s="1206"/>
      <c r="CH6" s="1234"/>
      <c r="CI6" s="1206"/>
      <c r="CJ6" s="1234"/>
      <c r="CK6" s="1206"/>
      <c r="CL6" s="1234"/>
      <c r="CM6" s="1206"/>
    </row>
    <row r="7" spans="1:91" s="7" customFormat="1" ht="36.75" customHeight="1" x14ac:dyDescent="0.45">
      <c r="A7" s="561"/>
      <c r="B7" s="1203"/>
      <c r="C7" s="10" t="s">
        <v>11</v>
      </c>
      <c r="D7" s="11"/>
      <c r="E7" s="247"/>
      <c r="F7" s="1200">
        <v>100493</v>
      </c>
      <c r="G7" s="1201"/>
      <c r="H7" s="1200">
        <v>100493</v>
      </c>
      <c r="I7" s="1201"/>
      <c r="J7" s="1200">
        <v>100493</v>
      </c>
      <c r="K7" s="1201"/>
      <c r="L7" s="1200">
        <v>100493</v>
      </c>
      <c r="M7" s="1201"/>
      <c r="N7" s="1267">
        <v>100493</v>
      </c>
      <c r="O7" s="1268"/>
      <c r="P7" s="1267">
        <v>100493</v>
      </c>
      <c r="Q7" s="1268"/>
      <c r="R7" s="1267">
        <v>100493</v>
      </c>
      <c r="S7" s="1268"/>
      <c r="T7" s="1267">
        <v>100493</v>
      </c>
      <c r="U7" s="1268"/>
      <c r="V7" s="1267">
        <v>100493</v>
      </c>
      <c r="W7" s="1268"/>
      <c r="X7" s="1267">
        <v>100493</v>
      </c>
      <c r="Y7" s="1268"/>
      <c r="Z7" s="1267">
        <v>100493</v>
      </c>
      <c r="AA7" s="1268"/>
      <c r="AB7" s="1267">
        <v>100493</v>
      </c>
      <c r="AC7" s="1268"/>
      <c r="AD7" s="1267">
        <v>100493</v>
      </c>
      <c r="AE7" s="1268"/>
      <c r="AF7" s="767"/>
      <c r="AG7" s="768"/>
      <c r="AH7" s="769"/>
      <c r="AI7" s="625"/>
      <c r="AJ7" s="1267">
        <v>100493</v>
      </c>
      <c r="AK7" s="1268"/>
      <c r="AL7" s="1267">
        <v>100493</v>
      </c>
      <c r="AM7" s="1268"/>
      <c r="AN7" s="1267">
        <v>100493</v>
      </c>
      <c r="AO7" s="1268"/>
      <c r="AP7" s="767"/>
      <c r="AQ7" s="768"/>
      <c r="AR7" s="769"/>
      <c r="AS7" s="625"/>
      <c r="AT7" s="1267">
        <v>100493</v>
      </c>
      <c r="AU7" s="1268"/>
      <c r="AV7" s="1267">
        <v>100493</v>
      </c>
      <c r="AW7" s="1268"/>
      <c r="AX7" s="1267">
        <v>100493</v>
      </c>
      <c r="AY7" s="1268"/>
      <c r="AZ7" s="767"/>
      <c r="BA7" s="768"/>
      <c r="BB7" s="768"/>
      <c r="BD7" s="1267">
        <v>100493</v>
      </c>
      <c r="BE7" s="1268"/>
      <c r="BG7" s="1267">
        <v>100493</v>
      </c>
      <c r="BH7" s="1268"/>
      <c r="BI7" s="1267">
        <v>100493</v>
      </c>
      <c r="BJ7" s="1268"/>
      <c r="BK7" s="1267">
        <v>100493</v>
      </c>
      <c r="BL7" s="1268"/>
      <c r="BM7"/>
      <c r="BO7" s="1267">
        <v>100493</v>
      </c>
      <c r="BP7" s="1268"/>
      <c r="BQ7" s="1267">
        <v>100493</v>
      </c>
      <c r="BR7" s="1268"/>
      <c r="BS7" s="1267">
        <v>100493</v>
      </c>
      <c r="BT7" s="1268"/>
      <c r="BV7" s="1267">
        <v>100493</v>
      </c>
      <c r="BW7" s="1268"/>
      <c r="BY7" s="1267">
        <v>100493</v>
      </c>
      <c r="BZ7" s="1268"/>
      <c r="CA7" s="1267">
        <v>100493</v>
      </c>
      <c r="CB7" s="1268"/>
      <c r="CC7" s="1267">
        <v>100493</v>
      </c>
      <c r="CD7" s="1268"/>
      <c r="CH7" s="1267">
        <v>100493</v>
      </c>
      <c r="CI7" s="1268"/>
      <c r="CJ7" s="1267">
        <v>100493</v>
      </c>
      <c r="CK7" s="1268"/>
      <c r="CL7" s="1267">
        <v>100493</v>
      </c>
      <c r="CM7" s="1268"/>
    </row>
    <row r="8" spans="1:91" s="7" customFormat="1" ht="15" customHeight="1" x14ac:dyDescent="0.45">
      <c r="A8" s="561"/>
      <c r="B8" s="1203"/>
      <c r="C8" s="12" t="s">
        <v>12</v>
      </c>
      <c r="D8" s="11"/>
      <c r="E8" s="11"/>
      <c r="F8" s="1232">
        <f>G67</f>
        <v>5.6</v>
      </c>
      <c r="G8" s="1233"/>
      <c r="H8" s="1232">
        <f>I67</f>
        <v>5.6</v>
      </c>
      <c r="I8" s="1233"/>
      <c r="J8" s="1232">
        <f>K67</f>
        <v>5.6</v>
      </c>
      <c r="K8" s="1233"/>
      <c r="L8" s="1232">
        <f>M67</f>
        <v>5.6</v>
      </c>
      <c r="M8" s="1233"/>
      <c r="N8" s="1269">
        <f>O67</f>
        <v>6.0499173553719015</v>
      </c>
      <c r="O8" s="1270"/>
      <c r="P8" s="1269">
        <f>Q67</f>
        <v>6.0499173553719015</v>
      </c>
      <c r="Q8" s="1270"/>
      <c r="R8" s="1269">
        <f>S67</f>
        <v>6.0499173553719015</v>
      </c>
      <c r="S8" s="1270"/>
      <c r="T8" s="1269">
        <f>U67</f>
        <v>6.0499173553719015</v>
      </c>
      <c r="U8" s="1270"/>
      <c r="V8" s="1269">
        <f>W67</f>
        <v>6.0499173553719015</v>
      </c>
      <c r="W8" s="1270"/>
      <c r="X8" s="1269">
        <f>Y67</f>
        <v>6.8997025000000001</v>
      </c>
      <c r="Y8" s="1270"/>
      <c r="Z8" s="1269">
        <f>AA67</f>
        <v>6.2</v>
      </c>
      <c r="AA8" s="1270"/>
      <c r="AB8" s="1269">
        <f>AC67</f>
        <v>6.2</v>
      </c>
      <c r="AC8" s="1270"/>
      <c r="AD8" s="1269">
        <f>AE67</f>
        <v>6.2</v>
      </c>
      <c r="AE8" s="1270"/>
      <c r="AF8" s="770"/>
      <c r="AG8" s="771"/>
      <c r="AH8" s="772"/>
      <c r="AI8" s="626"/>
      <c r="AJ8" s="1269">
        <f>AK67</f>
        <v>6.2</v>
      </c>
      <c r="AK8" s="1270"/>
      <c r="AL8" s="1269">
        <f>AM67</f>
        <v>6.2</v>
      </c>
      <c r="AM8" s="1270"/>
      <c r="AN8" s="1269">
        <f>AO67</f>
        <v>6.2</v>
      </c>
      <c r="AO8" s="1270"/>
      <c r="AP8" s="770"/>
      <c r="AQ8" s="771"/>
      <c r="AR8" s="772"/>
      <c r="AS8" s="626"/>
      <c r="AT8" s="1269">
        <f>AU67</f>
        <v>6.2</v>
      </c>
      <c r="AU8" s="1270"/>
      <c r="AV8" s="1269">
        <f>AW67</f>
        <v>6.2</v>
      </c>
      <c r="AW8" s="1270"/>
      <c r="AX8" s="1269">
        <f>AY67</f>
        <v>6.2</v>
      </c>
      <c r="AY8" s="1270"/>
      <c r="AZ8" s="770"/>
      <c r="BA8" s="771"/>
      <c r="BB8" s="771"/>
      <c r="BD8" s="1269">
        <f>BE67</f>
        <v>6.2</v>
      </c>
      <c r="BE8" s="1270"/>
      <c r="BG8" s="1269">
        <f>BH67</f>
        <v>7.15</v>
      </c>
      <c r="BH8" s="1270"/>
      <c r="BI8" s="1269">
        <f t="shared" ref="BI8" si="6">BJ67</f>
        <v>7.15</v>
      </c>
      <c r="BJ8" s="1270"/>
      <c r="BK8" s="1269">
        <f t="shared" ref="BK8" si="7">BL67</f>
        <v>7.15</v>
      </c>
      <c r="BL8" s="1270"/>
      <c r="BM8"/>
      <c r="BO8" s="1269">
        <f>BP67</f>
        <v>6.6030387499999996</v>
      </c>
      <c r="BP8" s="1270"/>
      <c r="BQ8" s="1269">
        <f t="shared" ref="BQ8" si="8">BR67</f>
        <v>6.990031694214875</v>
      </c>
      <c r="BR8" s="1270"/>
      <c r="BS8" s="1269">
        <f t="shared" ref="BS8" si="9">BT67</f>
        <v>6.990031694214875</v>
      </c>
      <c r="BT8" s="1270"/>
      <c r="BV8" s="1269">
        <f>BW67</f>
        <v>6.9001699999999992</v>
      </c>
      <c r="BW8" s="1270"/>
      <c r="BY8" s="1269">
        <f>BZ67</f>
        <v>5.6019549999999994</v>
      </c>
      <c r="BZ8" s="1270"/>
      <c r="CA8" s="1269">
        <f>CB67</f>
        <v>6.1018699999999999</v>
      </c>
      <c r="CB8" s="1270"/>
      <c r="CC8" s="1269">
        <f>CD67</f>
        <v>6.7018699999999995</v>
      </c>
      <c r="CD8" s="1270"/>
      <c r="CH8" s="1269">
        <f>CI67</f>
        <v>7.00303875</v>
      </c>
      <c r="CI8" s="1270"/>
      <c r="CJ8" s="1269">
        <f t="shared" ref="CJ8" si="10">CK67</f>
        <v>7.3900316942148754</v>
      </c>
      <c r="CK8" s="1270"/>
      <c r="CL8" s="1269">
        <f t="shared" ref="CL8" si="11">CM67</f>
        <v>7.3900316942148754</v>
      </c>
      <c r="CM8" s="1270"/>
    </row>
    <row r="9" spans="1:91" s="7" customFormat="1" ht="39" customHeight="1" x14ac:dyDescent="0.45">
      <c r="A9" s="561"/>
      <c r="B9" s="1203"/>
      <c r="C9" s="13" t="s">
        <v>14</v>
      </c>
      <c r="D9" s="14"/>
      <c r="E9" s="14"/>
      <c r="F9" s="1190" t="str">
        <f>CONCATENATE("TP $",TEXT(G64,"#,##0.00"),"/ctn")</f>
        <v>TP $0.50/ctn</v>
      </c>
      <c r="G9" s="1191"/>
      <c r="H9" s="1190" t="str">
        <f>CONCATENATE("TP $",TEXT(I64,"#,##0.00"),"/ctn")</f>
        <v>TP $0.40/ctn</v>
      </c>
      <c r="I9" s="1191"/>
      <c r="J9" s="1190" t="str">
        <f>CONCATENATE("TP $",TEXT(K64,"#,##0.00"),"/ctn")</f>
        <v>TP $0.40/ctn</v>
      </c>
      <c r="K9" s="1191"/>
      <c r="L9" s="1190" t="str">
        <f>CONCATENATE("TP $",TEXT(M64,"#,##0.00"),"/ctn")</f>
        <v>TP $0.40/ctn</v>
      </c>
      <c r="M9" s="1191"/>
      <c r="N9" s="1271" t="str">
        <f>CONCATENATE("TP $",TEXT(O64,"#,##0.00"),"/ctn")</f>
        <v>TP $0.80/ctn</v>
      </c>
      <c r="O9" s="1272"/>
      <c r="P9" s="1271" t="str">
        <f>CONCATENATE("TP $",TEXT(Q64,"#,##0.00"),"/ctn")</f>
        <v>TP $0.80/ctn</v>
      </c>
      <c r="Q9" s="1272"/>
      <c r="R9" s="1271" t="str">
        <f>CONCATENATE("TP $",TEXT(S64,"#,##0.00"),"/ctn")</f>
        <v>TP $0.80/ctn</v>
      </c>
      <c r="S9" s="1272"/>
      <c r="T9" s="1271" t="str">
        <f>CONCATENATE("TP $",TEXT(U64,"#,##0.00"),"/ctn")</f>
        <v>TP $0.80/ctn</v>
      </c>
      <c r="U9" s="1272"/>
      <c r="V9" s="1271" t="str">
        <f>CONCATENATE("TP $",TEXT(W64,"#,##0.00"),"/ctn")</f>
        <v>TP $0.80/ctn</v>
      </c>
      <c r="W9" s="1272"/>
      <c r="X9" s="1271" t="str">
        <f>CONCATENATE("TP $",TEXT(Y64,"#,##0.00"),"/ctn")</f>
        <v>TP $1.05/ctn</v>
      </c>
      <c r="Y9" s="1272"/>
      <c r="Z9" s="1271" t="str">
        <f>CONCATENATE("TP $",TEXT(AA64,"#,##0.00"),"/ctn")</f>
        <v>TP $0.70/ctn</v>
      </c>
      <c r="AA9" s="1272"/>
      <c r="AB9" s="1271" t="str">
        <f>CONCATENATE("TP $",TEXT(AC64,"#,##0.00"),"/ctn")</f>
        <v>TP $0.70/ctn</v>
      </c>
      <c r="AC9" s="1272"/>
      <c r="AD9" s="1271" t="str">
        <f>CONCATENATE("TP $",TEXT(AE64,"#,##0.00"),"/ctn")</f>
        <v>TP $0.70/ctn</v>
      </c>
      <c r="AE9" s="1272"/>
      <c r="AF9" s="773"/>
      <c r="AG9" s="774"/>
      <c r="AH9" s="775"/>
      <c r="AI9" s="627"/>
      <c r="AJ9" s="1271" t="str">
        <f>CONCATENATE("TP $",TEXT(AK64,"#,##0.00"),"/ctn")</f>
        <v>TP $0.70/ctn</v>
      </c>
      <c r="AK9" s="1272"/>
      <c r="AL9" s="1271" t="str">
        <f>CONCATENATE("TP $",TEXT(AM64,"#,##0.00"),"/ctn")</f>
        <v>TP $0.70/ctn</v>
      </c>
      <c r="AM9" s="1272"/>
      <c r="AN9" s="1271" t="str">
        <f>CONCATENATE("TP $",TEXT(AO64,"#,##0.00"),"/ctn")</f>
        <v>TP $0.70/ctn</v>
      </c>
      <c r="AO9" s="1272"/>
      <c r="AP9" s="773"/>
      <c r="AQ9" s="774"/>
      <c r="AR9" s="775"/>
      <c r="AS9" s="627"/>
      <c r="AT9" s="1271" t="str">
        <f>CONCATENATE("TP $",TEXT(AU64,"#,##0.00"),"/ctn")</f>
        <v>TP $0.70/ctn</v>
      </c>
      <c r="AU9" s="1272"/>
      <c r="AV9" s="1271" t="str">
        <f>CONCATENATE("TP $",TEXT(AW64,"#,##0.00"),"/ctn")</f>
        <v>TP $0.70/ctn</v>
      </c>
      <c r="AW9" s="1272"/>
      <c r="AX9" s="1271" t="str">
        <f>CONCATENATE("TP $",TEXT(AY64,"#,##0.00"),"/ctn")</f>
        <v>TP $0.70/ctn</v>
      </c>
      <c r="AY9" s="1272"/>
      <c r="AZ9" s="773"/>
      <c r="BA9" s="774"/>
      <c r="BB9" s="774"/>
      <c r="BD9" s="1271" t="str">
        <f>CONCATENATE("TP $",TEXT(BE64,"#,##0.00"),"/ctn")</f>
        <v>TP $0.70/ctn</v>
      </c>
      <c r="BE9" s="1272"/>
      <c r="BG9" s="1271" t="str">
        <f>CONCATENATE("TP $",TEXT(BH64,"#,##0.00"),"/ctn")</f>
        <v>TP $1.30/ctn</v>
      </c>
      <c r="BH9" s="1272"/>
      <c r="BI9" s="1271" t="str">
        <f t="shared" ref="BI9" si="12">CONCATENATE("TP $",TEXT(BJ64,"#,##0.00"),"/ctn")</f>
        <v>TP $1.30/ctn</v>
      </c>
      <c r="BJ9" s="1272"/>
      <c r="BK9" s="1271" t="str">
        <f t="shared" ref="BK9" si="13">CONCATENATE("TP $",TEXT(BL64,"#,##0.00"),"/ctn")</f>
        <v>TP $1.30/ctn</v>
      </c>
      <c r="BL9" s="1272"/>
      <c r="BM9"/>
      <c r="BO9" s="1271" t="str">
        <f>CONCATENATE("TP $",TEXT(BP64,"#,##0.00"),"/ctn")</f>
        <v>TP $0.00/ctn</v>
      </c>
      <c r="BP9" s="1272"/>
      <c r="BQ9" s="1271" t="str">
        <f t="shared" ref="BQ9" si="14">CONCATENATE("TP $",TEXT(BR64,"#,##0.00"),"/ctn")</f>
        <v>TP $0.00/ctn</v>
      </c>
      <c r="BR9" s="1272"/>
      <c r="BS9" s="1271" t="str">
        <f t="shared" ref="BS9" si="15">CONCATENATE("TP $",TEXT(BT64,"#,##0.00"),"/ctn")</f>
        <v>TP $0.00/ctn</v>
      </c>
      <c r="BT9" s="1272"/>
      <c r="BV9" s="1271" t="str">
        <f>CONCATENATE("TP $",TEXT(BW64,"#,##0.00"),"/ctn")</f>
        <v>TP $0.30/ctn</v>
      </c>
      <c r="BW9" s="1272"/>
      <c r="BY9" s="1271" t="str">
        <f>CONCATENATE("TP $",TEXT(BZ64,"#,##0.00"),"/ctn")</f>
        <v>TP $1.60/ctn</v>
      </c>
      <c r="BZ9" s="1272"/>
      <c r="CA9" s="1271" t="str">
        <f>CONCATENATE("TP $",TEXT(CB64,"#,##0.00"),"/ctn")</f>
        <v>TP $1.80/ctn</v>
      </c>
      <c r="CB9" s="1272"/>
      <c r="CC9" s="1271" t="str">
        <f>CONCATENATE("TP $",TEXT(CD64,"#,##0.00"),"/ctn")</f>
        <v>TP $1.80/ctn</v>
      </c>
      <c r="CD9" s="1272"/>
      <c r="CH9" s="1271" t="str">
        <f>CONCATENATE("TP $",TEXT(CI64,"#,##0.00"),"/ctn")</f>
        <v>TP $0.00/ctn</v>
      </c>
      <c r="CI9" s="1272"/>
      <c r="CJ9" s="1271" t="str">
        <f t="shared" ref="CJ9" si="16">CONCATENATE("TP $",TEXT(CK64,"#,##0.00"),"/ctn")</f>
        <v>TP $0.00/ctn</v>
      </c>
      <c r="CK9" s="1272"/>
      <c r="CL9" s="1271" t="str">
        <f t="shared" ref="CL9" si="17">CONCATENATE("TP $",TEXT(CM64,"#,##0.00"),"/ctn")</f>
        <v>TP $0.00/ctn</v>
      </c>
      <c r="CM9" s="1272"/>
    </row>
    <row r="10" spans="1:91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>RIGHT(J2,2)</f>
        <v>40</v>
      </c>
      <c r="K10" s="253" t="str">
        <f>+J10</f>
        <v>40</v>
      </c>
      <c r="L10" s="252" t="str">
        <f>RIGHT(L2,2)</f>
        <v>40</v>
      </c>
      <c r="M10" s="253" t="str">
        <f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776"/>
      <c r="AG10" s="728"/>
      <c r="AH10" s="777"/>
      <c r="AI10" s="628"/>
      <c r="AJ10" s="348" t="str">
        <f>RIGHT(AJ2,2)</f>
        <v>40</v>
      </c>
      <c r="AK10" s="349" t="str">
        <f>+AJ10</f>
        <v>40</v>
      </c>
      <c r="AL10" s="348" t="str">
        <f>RIGHT(AL2,2)</f>
        <v>40</v>
      </c>
      <c r="AM10" s="349" t="str">
        <f>+AL10</f>
        <v>40</v>
      </c>
      <c r="AN10" s="348" t="str">
        <f>RIGHT(AN2,2)</f>
        <v>40</v>
      </c>
      <c r="AO10" s="349" t="str">
        <f>+AN10</f>
        <v>40</v>
      </c>
      <c r="AP10" s="776"/>
      <c r="AQ10" s="728"/>
      <c r="AR10" s="777"/>
      <c r="AS10" s="628"/>
      <c r="AT10" s="348" t="str">
        <f>RIGHT(AT2,2)</f>
        <v>40</v>
      </c>
      <c r="AU10" s="349" t="str">
        <f>+AT10</f>
        <v>40</v>
      </c>
      <c r="AV10" s="348" t="str">
        <f>RIGHT(AV2,2)</f>
        <v>40</v>
      </c>
      <c r="AW10" s="349" t="str">
        <f>+AV10</f>
        <v>40</v>
      </c>
      <c r="AX10" s="348" t="str">
        <f>RIGHT(AX2,2)</f>
        <v>40</v>
      </c>
      <c r="AY10" s="349" t="str">
        <f>+AX10</f>
        <v>40</v>
      </c>
      <c r="AZ10" s="776"/>
      <c r="BA10" s="728"/>
      <c r="BB10" s="728"/>
      <c r="BD10" s="348" t="str">
        <f>RIGHT(BD2,2)</f>
        <v>40</v>
      </c>
      <c r="BE10" s="349" t="str">
        <f>+BD10</f>
        <v>40</v>
      </c>
      <c r="BG10" s="348" t="str">
        <f>RIGHT(BG2,2)</f>
        <v>40</v>
      </c>
      <c r="BH10" s="349" t="str">
        <f>+BG10</f>
        <v>40</v>
      </c>
      <c r="BI10" s="348" t="str">
        <f t="shared" ref="BI10" si="18">RIGHT(BI2,2)</f>
        <v>40</v>
      </c>
      <c r="BJ10" s="349" t="str">
        <f t="shared" ref="BJ10" si="19">+BI10</f>
        <v>40</v>
      </c>
      <c r="BK10" s="348" t="str">
        <f t="shared" ref="BK10" si="20">RIGHT(BK2,2)</f>
        <v>40</v>
      </c>
      <c r="BL10" s="349" t="str">
        <f t="shared" ref="BL10" si="21">+BK10</f>
        <v>40</v>
      </c>
      <c r="BM10"/>
      <c r="BO10" s="348" t="str">
        <f>RIGHT(BO2,2)</f>
        <v>40</v>
      </c>
      <c r="BP10" s="349" t="str">
        <f>+BO10</f>
        <v>40</v>
      </c>
      <c r="BQ10" s="348" t="str">
        <f t="shared" ref="BQ10" si="22">RIGHT(BQ2,2)</f>
        <v>40</v>
      </c>
      <c r="BR10" s="349" t="str">
        <f t="shared" ref="BR10" si="23">+BQ10</f>
        <v>40</v>
      </c>
      <c r="BS10" s="348" t="str">
        <f t="shared" ref="BS10" si="24">RIGHT(BS2,2)</f>
        <v>40</v>
      </c>
      <c r="BT10" s="349" t="str">
        <f t="shared" ref="BT10" si="25">+BS10</f>
        <v>40</v>
      </c>
      <c r="BV10" s="348" t="str">
        <f>RIGHT(BV2,2)</f>
        <v>40</v>
      </c>
      <c r="BW10" s="349" t="str">
        <f>+BV10</f>
        <v>40</v>
      </c>
      <c r="BY10" s="348" t="str">
        <f>RIGHT(BY2,2)</f>
        <v>40</v>
      </c>
      <c r="BZ10" s="349" t="str">
        <f>+BY10</f>
        <v>40</v>
      </c>
      <c r="CA10" s="348" t="str">
        <f>RIGHT(CA2,2)</f>
        <v>40</v>
      </c>
      <c r="CB10" s="349" t="str">
        <f>+CA10</f>
        <v>40</v>
      </c>
      <c r="CC10" s="348" t="str">
        <f>RIGHT(CC2,2)</f>
        <v>40</v>
      </c>
      <c r="CD10" s="349" t="str">
        <f>+CC10</f>
        <v>40</v>
      </c>
      <c r="CH10" s="348" t="str">
        <f>RIGHT(CH2,2)</f>
        <v>40</v>
      </c>
      <c r="CI10" s="349" t="str">
        <f>+CH10</f>
        <v>40</v>
      </c>
      <c r="CJ10" s="348" t="str">
        <f t="shared" ref="CJ10" si="26">RIGHT(CJ2,2)</f>
        <v>40</v>
      </c>
      <c r="CK10" s="349" t="str">
        <f t="shared" ref="CK10" si="27">+CJ10</f>
        <v>40</v>
      </c>
      <c r="CL10" s="348" t="str">
        <f t="shared" ref="CL10" si="28">RIGHT(CL2,2)</f>
        <v>40</v>
      </c>
      <c r="CM10" s="349" t="str">
        <f t="shared" ref="CM10" si="29">+CL10</f>
        <v>40</v>
      </c>
    </row>
    <row r="11" spans="1:91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778"/>
      <c r="AG11" s="779"/>
      <c r="AH11" s="780"/>
      <c r="AI11" s="689"/>
      <c r="AJ11" s="21" t="s">
        <v>25</v>
      </c>
      <c r="AK11" s="22" t="s">
        <v>26</v>
      </c>
      <c r="AL11" s="21" t="s">
        <v>25</v>
      </c>
      <c r="AM11" s="22" t="s">
        <v>26</v>
      </c>
      <c r="AN11" s="21" t="s">
        <v>25</v>
      </c>
      <c r="AO11" s="22" t="s">
        <v>26</v>
      </c>
      <c r="AP11" s="778"/>
      <c r="AQ11" s="779"/>
      <c r="AR11" s="780"/>
      <c r="AS11" s="689"/>
      <c r="AT11" s="21" t="s">
        <v>25</v>
      </c>
      <c r="AU11" s="22" t="s">
        <v>26</v>
      </c>
      <c r="AV11" s="21" t="s">
        <v>25</v>
      </c>
      <c r="AW11" s="22" t="s">
        <v>26</v>
      </c>
      <c r="AX11" s="21" t="s">
        <v>25</v>
      </c>
      <c r="AY11" s="22" t="s">
        <v>26</v>
      </c>
      <c r="AZ11" s="778"/>
      <c r="BA11" s="779"/>
      <c r="BB11" s="779"/>
      <c r="BD11" s="21" t="s">
        <v>25</v>
      </c>
      <c r="BE11" s="22" t="s">
        <v>26</v>
      </c>
      <c r="BG11" s="21" t="s">
        <v>25</v>
      </c>
      <c r="BH11" s="22" t="s">
        <v>26</v>
      </c>
      <c r="BI11" s="21" t="s">
        <v>25</v>
      </c>
      <c r="BJ11" s="22" t="s">
        <v>26</v>
      </c>
      <c r="BK11" s="21" t="s">
        <v>25</v>
      </c>
      <c r="BL11" s="22" t="s">
        <v>26</v>
      </c>
      <c r="BM11"/>
      <c r="BO11" s="21" t="s">
        <v>25</v>
      </c>
      <c r="BP11" s="22" t="s">
        <v>26</v>
      </c>
      <c r="BQ11" s="21" t="s">
        <v>25</v>
      </c>
      <c r="BR11" s="22" t="s">
        <v>26</v>
      </c>
      <c r="BS11" s="21" t="s">
        <v>25</v>
      </c>
      <c r="BT11" s="22" t="s">
        <v>26</v>
      </c>
      <c r="BV11" s="21" t="s">
        <v>25</v>
      </c>
      <c r="BW11" s="22" t="s">
        <v>26</v>
      </c>
      <c r="BY11" s="21" t="s">
        <v>25</v>
      </c>
      <c r="BZ11" s="22" t="s">
        <v>26</v>
      </c>
      <c r="CA11" s="21" t="s">
        <v>25</v>
      </c>
      <c r="CB11" s="22" t="s">
        <v>26</v>
      </c>
      <c r="CC11" s="21" t="s">
        <v>25</v>
      </c>
      <c r="CD11" s="22" t="s">
        <v>26</v>
      </c>
      <c r="CH11" s="21" t="s">
        <v>25</v>
      </c>
      <c r="CI11" s="22" t="s">
        <v>26</v>
      </c>
      <c r="CJ11" s="21" t="s">
        <v>25</v>
      </c>
      <c r="CK11" s="22" t="s">
        <v>26</v>
      </c>
      <c r="CL11" s="21" t="s">
        <v>25</v>
      </c>
      <c r="CM11" s="22" t="s">
        <v>26</v>
      </c>
    </row>
    <row r="12" spans="1:91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745"/>
      <c r="AG12" s="725"/>
      <c r="AH12" s="746"/>
      <c r="AI12" s="630"/>
      <c r="AJ12" s="350">
        <v>4068.66</v>
      </c>
      <c r="AK12" s="351"/>
      <c r="AL12" s="350">
        <v>4068.66</v>
      </c>
      <c r="AM12" s="351"/>
      <c r="AN12" s="350">
        <v>4068.66</v>
      </c>
      <c r="AO12" s="351"/>
      <c r="AP12" s="745"/>
      <c r="AQ12" s="725"/>
      <c r="AR12" s="746"/>
      <c r="AS12" s="630"/>
      <c r="AT12" s="350">
        <v>4068.66</v>
      </c>
      <c r="AU12" s="351"/>
      <c r="AV12" s="350">
        <v>4068.66</v>
      </c>
      <c r="AW12" s="351"/>
      <c r="AX12" s="350">
        <v>4068.66</v>
      </c>
      <c r="AY12" s="351"/>
      <c r="AZ12" s="745"/>
      <c r="BA12" s="725"/>
      <c r="BB12" s="725"/>
      <c r="BD12" s="350">
        <v>4068.66</v>
      </c>
      <c r="BE12" s="351"/>
      <c r="BG12" s="350">
        <v>4068.66</v>
      </c>
      <c r="BH12" s="351"/>
      <c r="BI12" s="350">
        <v>4068.66</v>
      </c>
      <c r="BJ12" s="351"/>
      <c r="BK12" s="350">
        <v>4068.66</v>
      </c>
      <c r="BL12" s="351"/>
      <c r="BM12"/>
      <c r="BO12" s="350">
        <v>4068.66</v>
      </c>
      <c r="BP12" s="351"/>
      <c r="BQ12" s="350">
        <v>4068.66</v>
      </c>
      <c r="BR12" s="351"/>
      <c r="BS12" s="350">
        <v>4068.66</v>
      </c>
      <c r="BT12" s="351"/>
      <c r="BV12" s="350">
        <v>4068.66</v>
      </c>
      <c r="BW12" s="351"/>
      <c r="BY12" s="350">
        <v>22800</v>
      </c>
      <c r="BZ12" s="351"/>
      <c r="CA12" s="350">
        <v>22800</v>
      </c>
      <c r="CB12" s="351"/>
      <c r="CC12" s="350">
        <v>22800</v>
      </c>
      <c r="CD12" s="351"/>
      <c r="CH12" s="350">
        <v>4068.66</v>
      </c>
      <c r="CI12" s="351"/>
      <c r="CJ12" s="350">
        <v>4068.66</v>
      </c>
      <c r="CK12" s="351"/>
      <c r="CL12" s="350">
        <v>4068.66</v>
      </c>
      <c r="CM12" s="351"/>
    </row>
    <row r="13" spans="1:91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751"/>
      <c r="AG13" s="752"/>
      <c r="AH13" s="753"/>
      <c r="AI13" s="631"/>
      <c r="AJ13" s="352"/>
      <c r="AK13" s="353"/>
      <c r="AL13" s="352"/>
      <c r="AM13" s="353"/>
      <c r="AN13" s="352"/>
      <c r="AO13" s="353"/>
      <c r="AP13" s="751"/>
      <c r="AQ13" s="752"/>
      <c r="AR13" s="753"/>
      <c r="AS13" s="631"/>
      <c r="AT13" s="352"/>
      <c r="AU13" s="353"/>
      <c r="AV13" s="352"/>
      <c r="AW13" s="353"/>
      <c r="AX13" s="352"/>
      <c r="AY13" s="353"/>
      <c r="AZ13" s="751"/>
      <c r="BA13" s="752"/>
      <c r="BB13" s="752"/>
      <c r="BD13" s="352"/>
      <c r="BE13" s="353"/>
      <c r="BG13" s="352"/>
      <c r="BH13" s="353"/>
      <c r="BI13" s="352"/>
      <c r="BJ13" s="353"/>
      <c r="BK13" s="352"/>
      <c r="BL13" s="353"/>
      <c r="BM13"/>
      <c r="BO13" s="352"/>
      <c r="BP13" s="353"/>
      <c r="BQ13" s="352"/>
      <c r="BR13" s="353"/>
      <c r="BS13" s="352"/>
      <c r="BT13" s="353"/>
      <c r="BV13" s="352"/>
      <c r="BW13" s="353"/>
      <c r="BY13" s="352"/>
      <c r="BZ13" s="353"/>
      <c r="CA13" s="352"/>
      <c r="CB13" s="353"/>
      <c r="CC13" s="352"/>
      <c r="CD13" s="353"/>
      <c r="CH13" s="352"/>
      <c r="CI13" s="353"/>
      <c r="CJ13" s="352"/>
      <c r="CK13" s="353"/>
      <c r="CL13" s="352"/>
      <c r="CM13" s="353"/>
    </row>
    <row r="14" spans="1:91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745"/>
      <c r="AG14" s="725"/>
      <c r="AH14" s="746"/>
      <c r="AI14" s="632"/>
      <c r="AJ14" s="354"/>
      <c r="AK14" s="355"/>
      <c r="AL14" s="354"/>
      <c r="AM14" s="355"/>
      <c r="AN14" s="354"/>
      <c r="AO14" s="355"/>
      <c r="AP14" s="745"/>
      <c r="AQ14" s="725"/>
      <c r="AR14" s="746"/>
      <c r="AS14" s="632"/>
      <c r="AT14" s="354"/>
      <c r="AU14" s="355"/>
      <c r="AV14" s="354"/>
      <c r="AW14" s="355"/>
      <c r="AX14" s="354"/>
      <c r="AY14" s="355"/>
      <c r="AZ14" s="745"/>
      <c r="BA14" s="725"/>
      <c r="BB14" s="725"/>
      <c r="BD14" s="354"/>
      <c r="BE14" s="355"/>
      <c r="BG14" s="354"/>
      <c r="BH14" s="355"/>
      <c r="BI14" s="354"/>
      <c r="BJ14" s="355"/>
      <c r="BK14" s="354"/>
      <c r="BL14" s="355"/>
      <c r="BM14"/>
      <c r="BO14" s="354"/>
      <c r="BP14" s="355"/>
      <c r="BQ14" s="354"/>
      <c r="BR14" s="355"/>
      <c r="BS14" s="354"/>
      <c r="BT14" s="355"/>
      <c r="BV14" s="354"/>
      <c r="BW14" s="355"/>
      <c r="BY14" s="354"/>
      <c r="BZ14" s="355"/>
      <c r="CA14" s="354"/>
      <c r="CB14" s="355"/>
      <c r="CC14" s="354"/>
      <c r="CD14" s="355"/>
      <c r="CH14" s="354"/>
      <c r="CI14" s="355"/>
      <c r="CJ14" s="354"/>
      <c r="CK14" s="355"/>
      <c r="CL14" s="354"/>
      <c r="CM14" s="355"/>
    </row>
    <row r="15" spans="1:91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>+J15/J12</f>
        <v>0.24578116628079025</v>
      </c>
      <c r="L15" s="31">
        <v>1000</v>
      </c>
      <c r="M15" s="32">
        <f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1100</v>
      </c>
      <c r="Y15" s="32">
        <f>+X15/X12</f>
        <v>0.27035928290886929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781"/>
      <c r="AG15" s="726"/>
      <c r="AH15" s="782"/>
      <c r="AI15" s="630"/>
      <c r="AJ15" s="31">
        <v>1000</v>
      </c>
      <c r="AK15" s="32">
        <f>+AJ15/AJ12</f>
        <v>0.24578116628079025</v>
      </c>
      <c r="AL15" s="31">
        <v>1000</v>
      </c>
      <c r="AM15" s="32">
        <f>+AL15/AL12</f>
        <v>0.24578116628079025</v>
      </c>
      <c r="AN15" s="31">
        <v>1000</v>
      </c>
      <c r="AO15" s="32">
        <f>+AN15/AN12</f>
        <v>0.24578116628079025</v>
      </c>
      <c r="AP15" s="781"/>
      <c r="AQ15" s="726"/>
      <c r="AR15" s="782"/>
      <c r="AS15" s="630"/>
      <c r="AT15" s="31">
        <v>1000</v>
      </c>
      <c r="AU15" s="32">
        <f>+AT15/AT12</f>
        <v>0.24578116628079025</v>
      </c>
      <c r="AV15" s="31">
        <v>1000</v>
      </c>
      <c r="AW15" s="32">
        <f>+AV15/AV12</f>
        <v>0.24578116628079025</v>
      </c>
      <c r="AX15" s="31">
        <v>1000</v>
      </c>
      <c r="AY15" s="32">
        <f>+AX15/AX12</f>
        <v>0.24578116628079025</v>
      </c>
      <c r="AZ15" s="781"/>
      <c r="BA15" s="726"/>
      <c r="BB15" s="724"/>
      <c r="BD15" s="31">
        <v>1000</v>
      </c>
      <c r="BE15" s="32">
        <f>+BD15/BD12</f>
        <v>0.24578116628079025</v>
      </c>
      <c r="BG15" s="31">
        <v>1100</v>
      </c>
      <c r="BH15" s="32">
        <f>+BG15/BG12</f>
        <v>0.27035928290886929</v>
      </c>
      <c r="BI15" s="31">
        <v>1100</v>
      </c>
      <c r="BJ15" s="32">
        <f t="shared" ref="BJ15" si="30">+BI15/BI12</f>
        <v>0.27035928290886929</v>
      </c>
      <c r="BK15" s="31">
        <v>1100</v>
      </c>
      <c r="BL15" s="32">
        <f t="shared" ref="BL15" si="31">+BK15/BK12</f>
        <v>0.27035928290886929</v>
      </c>
      <c r="BM15"/>
      <c r="BO15" s="31">
        <v>1100</v>
      </c>
      <c r="BP15" s="32">
        <f>+BO15/BO12</f>
        <v>0.27035928290886929</v>
      </c>
      <c r="BQ15" s="31">
        <v>1100</v>
      </c>
      <c r="BR15" s="32">
        <f t="shared" ref="BR15" si="32">+BQ15/BQ12</f>
        <v>0.27035928290886929</v>
      </c>
      <c r="BS15" s="31">
        <v>1100</v>
      </c>
      <c r="BT15" s="32">
        <f t="shared" ref="BT15" si="33">+BS15/BS12</f>
        <v>0.27035928290886929</v>
      </c>
      <c r="BV15" s="31">
        <v>1200</v>
      </c>
      <c r="BW15" s="32">
        <f>+BV15/BV12</f>
        <v>0.29493739953694831</v>
      </c>
      <c r="BY15" s="31">
        <v>5000</v>
      </c>
      <c r="BZ15" s="32">
        <f>+BY15/BY12</f>
        <v>0.21929824561403508</v>
      </c>
      <c r="CA15" s="31">
        <v>5400</v>
      </c>
      <c r="CB15" s="32">
        <f>+CA15/CA12</f>
        <v>0.23684210526315788</v>
      </c>
      <c r="CC15" s="31">
        <v>6100</v>
      </c>
      <c r="CD15" s="32">
        <f>+CC15/CC12</f>
        <v>0.26754385964912281</v>
      </c>
      <c r="CH15" s="31">
        <v>1100</v>
      </c>
      <c r="CI15" s="32">
        <f>+CH15/CH12</f>
        <v>0.27035928290886929</v>
      </c>
      <c r="CJ15" s="31">
        <v>1100</v>
      </c>
      <c r="CK15" s="32">
        <f t="shared" ref="CK15" si="34">+CJ15/CJ12</f>
        <v>0.27035928290886929</v>
      </c>
      <c r="CL15" s="31">
        <v>1100</v>
      </c>
      <c r="CM15" s="32">
        <f t="shared" ref="CM15" si="35">+CL15/CL12</f>
        <v>0.27035928290886929</v>
      </c>
    </row>
    <row r="16" spans="1:91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AE16" si="36">+F15*F10</f>
        <v>40000</v>
      </c>
      <c r="G16" s="32">
        <f t="shared" si="36"/>
        <v>9.8312466512316092</v>
      </c>
      <c r="H16" s="31">
        <f t="shared" si="36"/>
        <v>40000</v>
      </c>
      <c r="I16" s="32">
        <f t="shared" si="36"/>
        <v>9.8312466512316092</v>
      </c>
      <c r="J16" s="31">
        <f t="shared" si="36"/>
        <v>40000</v>
      </c>
      <c r="K16" s="32">
        <f t="shared" si="36"/>
        <v>9.8312466512316092</v>
      </c>
      <c r="L16" s="31">
        <f t="shared" si="36"/>
        <v>40000</v>
      </c>
      <c r="M16" s="32">
        <f t="shared" si="36"/>
        <v>9.8312466512316092</v>
      </c>
      <c r="N16" s="31">
        <f t="shared" si="36"/>
        <v>40000</v>
      </c>
      <c r="O16" s="32">
        <f t="shared" si="36"/>
        <v>9.8312466512316092</v>
      </c>
      <c r="P16" s="31">
        <f t="shared" si="36"/>
        <v>40000</v>
      </c>
      <c r="Q16" s="32">
        <f t="shared" si="36"/>
        <v>9.8312466512316092</v>
      </c>
      <c r="R16" s="31">
        <f t="shared" si="36"/>
        <v>40000</v>
      </c>
      <c r="S16" s="32">
        <f t="shared" si="36"/>
        <v>9.8312466512316092</v>
      </c>
      <c r="T16" s="31">
        <f t="shared" si="36"/>
        <v>40000</v>
      </c>
      <c r="U16" s="32">
        <f t="shared" si="36"/>
        <v>9.8312466512316092</v>
      </c>
      <c r="V16" s="31">
        <f t="shared" si="36"/>
        <v>40000</v>
      </c>
      <c r="W16" s="32">
        <f t="shared" si="36"/>
        <v>9.8312466512316092</v>
      </c>
      <c r="X16" s="31">
        <f t="shared" si="36"/>
        <v>44000</v>
      </c>
      <c r="Y16" s="32">
        <f t="shared" si="36"/>
        <v>10.814371316354771</v>
      </c>
      <c r="Z16" s="31">
        <f t="shared" si="36"/>
        <v>40000</v>
      </c>
      <c r="AA16" s="32">
        <f t="shared" si="36"/>
        <v>9.8312466512316092</v>
      </c>
      <c r="AB16" s="31">
        <f t="shared" si="36"/>
        <v>40000</v>
      </c>
      <c r="AC16" s="32">
        <f t="shared" si="36"/>
        <v>9.8312466512316092</v>
      </c>
      <c r="AD16" s="31">
        <f t="shared" si="36"/>
        <v>40000</v>
      </c>
      <c r="AE16" s="32">
        <f t="shared" si="36"/>
        <v>9.8312466512316092</v>
      </c>
      <c r="AF16" s="781"/>
      <c r="AG16" s="726"/>
      <c r="AH16" s="782"/>
      <c r="AI16" s="630"/>
      <c r="AJ16" s="31">
        <f t="shared" ref="AJ16:AK16" si="37">+AJ15*AJ10</f>
        <v>40000</v>
      </c>
      <c r="AK16" s="32">
        <f t="shared" si="37"/>
        <v>9.8312466512316092</v>
      </c>
      <c r="AL16" s="31">
        <f>+AL15*AL10</f>
        <v>40000</v>
      </c>
      <c r="AM16" s="32">
        <f>+AM15*AM10</f>
        <v>9.8312466512316092</v>
      </c>
      <c r="AN16" s="31">
        <f t="shared" ref="AN16:AO16" si="38">+AN15*AN10</f>
        <v>40000</v>
      </c>
      <c r="AO16" s="32">
        <f t="shared" si="38"/>
        <v>9.8312466512316092</v>
      </c>
      <c r="AP16" s="781"/>
      <c r="AQ16" s="726"/>
      <c r="AR16" s="782"/>
      <c r="AS16" s="630"/>
      <c r="AT16" s="31">
        <f t="shared" ref="AT16:AU16" si="39">+AT15*AT10</f>
        <v>40000</v>
      </c>
      <c r="AU16" s="32">
        <f t="shared" si="39"/>
        <v>9.8312466512316092</v>
      </c>
      <c r="AV16" s="31">
        <f>+AV15*AV10</f>
        <v>40000</v>
      </c>
      <c r="AW16" s="32">
        <f>+AW15*AW10</f>
        <v>9.8312466512316092</v>
      </c>
      <c r="AX16" s="31">
        <f>+AX15*AX10</f>
        <v>40000</v>
      </c>
      <c r="AY16" s="32">
        <f>+AY15*AY10</f>
        <v>9.8312466512316092</v>
      </c>
      <c r="AZ16" s="781"/>
      <c r="BA16" s="726"/>
      <c r="BB16" s="724"/>
      <c r="BD16" s="31">
        <f t="shared" ref="BD16:BE16" si="40">+BD15*BD10</f>
        <v>40000</v>
      </c>
      <c r="BE16" s="32">
        <f t="shared" si="40"/>
        <v>9.8312466512316092</v>
      </c>
      <c r="BG16" s="31">
        <f t="shared" ref="BG16:BL16" si="41">+BG15*BG10</f>
        <v>44000</v>
      </c>
      <c r="BH16" s="32">
        <f t="shared" si="41"/>
        <v>10.814371316354771</v>
      </c>
      <c r="BI16" s="31">
        <f t="shared" si="41"/>
        <v>44000</v>
      </c>
      <c r="BJ16" s="32">
        <f t="shared" si="41"/>
        <v>10.814371316354771</v>
      </c>
      <c r="BK16" s="31">
        <f t="shared" si="41"/>
        <v>44000</v>
      </c>
      <c r="BL16" s="32">
        <f t="shared" si="41"/>
        <v>10.814371316354771</v>
      </c>
      <c r="BM16"/>
      <c r="BO16" s="31">
        <f t="shared" ref="BO16:BT16" si="42">+BO15*BO10</f>
        <v>44000</v>
      </c>
      <c r="BP16" s="32">
        <f t="shared" si="42"/>
        <v>10.814371316354771</v>
      </c>
      <c r="BQ16" s="31">
        <f t="shared" si="42"/>
        <v>44000</v>
      </c>
      <c r="BR16" s="32">
        <f t="shared" si="42"/>
        <v>10.814371316354771</v>
      </c>
      <c r="BS16" s="31">
        <f t="shared" si="42"/>
        <v>44000</v>
      </c>
      <c r="BT16" s="32">
        <f t="shared" si="42"/>
        <v>10.814371316354771</v>
      </c>
      <c r="BV16" s="31">
        <f t="shared" ref="BV16:BW16" si="43">+BV15*BV10</f>
        <v>48000</v>
      </c>
      <c r="BW16" s="32">
        <f t="shared" si="43"/>
        <v>11.797495981477933</v>
      </c>
      <c r="BY16" s="31">
        <f t="shared" ref="BY16:CD16" si="44">+BY15*BY10</f>
        <v>200000</v>
      </c>
      <c r="BZ16" s="32">
        <f t="shared" si="44"/>
        <v>8.7719298245614024</v>
      </c>
      <c r="CA16" s="31">
        <f t="shared" si="44"/>
        <v>216000</v>
      </c>
      <c r="CB16" s="32">
        <f t="shared" si="44"/>
        <v>9.473684210526315</v>
      </c>
      <c r="CC16" s="31">
        <f t="shared" si="44"/>
        <v>244000</v>
      </c>
      <c r="CD16" s="32">
        <f t="shared" si="44"/>
        <v>10.701754385964913</v>
      </c>
      <c r="CH16" s="31">
        <f t="shared" ref="CH16:CM16" si="45">+CH15*CH10</f>
        <v>44000</v>
      </c>
      <c r="CI16" s="32">
        <f t="shared" si="45"/>
        <v>10.814371316354771</v>
      </c>
      <c r="CJ16" s="31">
        <f t="shared" si="45"/>
        <v>44000</v>
      </c>
      <c r="CK16" s="32">
        <f t="shared" si="45"/>
        <v>10.814371316354771</v>
      </c>
      <c r="CL16" s="31">
        <f t="shared" si="45"/>
        <v>44000</v>
      </c>
      <c r="CM16" s="32">
        <f t="shared" si="45"/>
        <v>10.814371316354771</v>
      </c>
    </row>
    <row r="17" spans="1:92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745"/>
      <c r="AG17" s="725"/>
      <c r="AH17" s="746"/>
      <c r="AI17" s="630"/>
      <c r="AJ17" s="350">
        <v>0</v>
      </c>
      <c r="AK17" s="351">
        <v>0</v>
      </c>
      <c r="AL17" s="350">
        <v>0</v>
      </c>
      <c r="AM17" s="351">
        <v>0</v>
      </c>
      <c r="AN17" s="350">
        <v>0</v>
      </c>
      <c r="AO17" s="351">
        <v>0</v>
      </c>
      <c r="AP17" s="745"/>
      <c r="AQ17" s="725"/>
      <c r="AR17" s="746"/>
      <c r="AS17" s="630"/>
      <c r="AT17" s="350">
        <v>0</v>
      </c>
      <c r="AU17" s="351">
        <v>0</v>
      </c>
      <c r="AV17" s="350">
        <v>0</v>
      </c>
      <c r="AW17" s="351">
        <v>0</v>
      </c>
      <c r="AX17" s="350">
        <v>0</v>
      </c>
      <c r="AY17" s="351">
        <v>0</v>
      </c>
      <c r="AZ17" s="745"/>
      <c r="BA17" s="725"/>
      <c r="BB17" s="725"/>
      <c r="BD17" s="350">
        <v>0</v>
      </c>
      <c r="BE17" s="351">
        <v>0</v>
      </c>
      <c r="BG17" s="350">
        <v>0</v>
      </c>
      <c r="BH17" s="351">
        <v>0</v>
      </c>
      <c r="BI17" s="350">
        <v>0</v>
      </c>
      <c r="BJ17" s="351">
        <v>0</v>
      </c>
      <c r="BK17" s="350">
        <v>0</v>
      </c>
      <c r="BL17" s="351">
        <v>0</v>
      </c>
      <c r="BM17"/>
      <c r="BO17" s="350">
        <v>0</v>
      </c>
      <c r="BP17" s="351">
        <v>0</v>
      </c>
      <c r="BQ17" s="350">
        <v>0</v>
      </c>
      <c r="BR17" s="351">
        <v>0</v>
      </c>
      <c r="BS17" s="350">
        <v>0</v>
      </c>
      <c r="BT17" s="351">
        <v>0</v>
      </c>
      <c r="BV17" s="350">
        <v>0</v>
      </c>
      <c r="BW17" s="351">
        <v>0</v>
      </c>
      <c r="BY17" s="350">
        <f>BY15-BY15/1.1</f>
        <v>454.54545454545496</v>
      </c>
      <c r="BZ17" s="351">
        <f t="shared" ref="BZ17" si="46">BZ15-BZ15/1.1</f>
        <v>1.9936204146730474E-2</v>
      </c>
      <c r="CA17" s="350">
        <f>CA15-CA15/1.1</f>
        <v>490.90909090909099</v>
      </c>
      <c r="CB17" s="351">
        <f t="shared" ref="CB17:CD17" si="47">CB15-CB15/1.1</f>
        <v>2.1531100478468929E-2</v>
      </c>
      <c r="CC17" s="350">
        <f>CC15-CC15/1.1</f>
        <v>554.54545454545496</v>
      </c>
      <c r="CD17" s="351">
        <f t="shared" si="47"/>
        <v>2.4322169059011189E-2</v>
      </c>
      <c r="CH17" s="350">
        <v>0</v>
      </c>
      <c r="CI17" s="351">
        <v>0</v>
      </c>
      <c r="CJ17" s="350">
        <v>0</v>
      </c>
      <c r="CK17" s="351">
        <v>0</v>
      </c>
      <c r="CL17" s="350">
        <v>0</v>
      </c>
      <c r="CM17" s="351">
        <v>0</v>
      </c>
    </row>
    <row r="18" spans="1:92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745"/>
      <c r="AG18" s="725"/>
      <c r="AH18" s="746"/>
      <c r="AI18" s="633"/>
      <c r="AJ18" s="356">
        <v>0</v>
      </c>
      <c r="AK18" s="357">
        <v>0</v>
      </c>
      <c r="AL18" s="356">
        <v>0</v>
      </c>
      <c r="AM18" s="357">
        <v>0</v>
      </c>
      <c r="AN18" s="356">
        <v>0</v>
      </c>
      <c r="AO18" s="357">
        <v>0</v>
      </c>
      <c r="AP18" s="745"/>
      <c r="AQ18" s="725"/>
      <c r="AR18" s="746"/>
      <c r="AS18" s="633"/>
      <c r="AT18" s="356">
        <v>0</v>
      </c>
      <c r="AU18" s="357">
        <v>0</v>
      </c>
      <c r="AV18" s="356">
        <v>0</v>
      </c>
      <c r="AW18" s="357">
        <v>0</v>
      </c>
      <c r="AX18" s="356">
        <v>0</v>
      </c>
      <c r="AY18" s="357">
        <v>0</v>
      </c>
      <c r="AZ18" s="745"/>
      <c r="BA18" s="725"/>
      <c r="BB18" s="725"/>
      <c r="BD18" s="356">
        <v>0</v>
      </c>
      <c r="BE18" s="357">
        <v>0</v>
      </c>
      <c r="BG18" s="356">
        <v>0</v>
      </c>
      <c r="BH18" s="357">
        <v>0</v>
      </c>
      <c r="BI18" s="356">
        <v>0</v>
      </c>
      <c r="BJ18" s="357">
        <v>0</v>
      </c>
      <c r="BK18" s="356">
        <v>0</v>
      </c>
      <c r="BL18" s="357">
        <v>0</v>
      </c>
      <c r="BM18"/>
      <c r="BO18" s="356">
        <v>0</v>
      </c>
      <c r="BP18" s="357">
        <v>0</v>
      </c>
      <c r="BQ18" s="356">
        <v>0</v>
      </c>
      <c r="BR18" s="357">
        <v>0</v>
      </c>
      <c r="BS18" s="356">
        <v>0</v>
      </c>
      <c r="BT18" s="357">
        <v>0</v>
      </c>
      <c r="BV18" s="356">
        <v>0</v>
      </c>
      <c r="BW18" s="357">
        <v>0</v>
      </c>
      <c r="BY18" s="356">
        <v>0.1</v>
      </c>
      <c r="BZ18" s="357">
        <v>0.1</v>
      </c>
      <c r="CA18" s="356">
        <v>0.1</v>
      </c>
      <c r="CB18" s="357">
        <v>0.1</v>
      </c>
      <c r="CC18" s="356">
        <v>0.1</v>
      </c>
      <c r="CD18" s="357">
        <v>0.1</v>
      </c>
      <c r="CH18" s="356">
        <v>0</v>
      </c>
      <c r="CI18" s="357">
        <v>0</v>
      </c>
      <c r="CJ18" s="356">
        <v>0</v>
      </c>
      <c r="CK18" s="357">
        <v>0</v>
      </c>
      <c r="CL18" s="356">
        <v>0</v>
      </c>
      <c r="CM18" s="357">
        <v>0</v>
      </c>
    </row>
    <row r="19" spans="1:92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AE19" si="48">F15-F17</f>
        <v>1000</v>
      </c>
      <c r="G19" s="32">
        <f t="shared" si="48"/>
        <v>0.24578116628079025</v>
      </c>
      <c r="H19" s="38">
        <f t="shared" si="48"/>
        <v>1000</v>
      </c>
      <c r="I19" s="32">
        <f t="shared" si="48"/>
        <v>0.24578116628079025</v>
      </c>
      <c r="J19" s="38">
        <f t="shared" si="48"/>
        <v>1000</v>
      </c>
      <c r="K19" s="32">
        <f t="shared" si="48"/>
        <v>0.24578116628079025</v>
      </c>
      <c r="L19" s="38">
        <f t="shared" si="48"/>
        <v>1000</v>
      </c>
      <c r="M19" s="32">
        <f t="shared" si="48"/>
        <v>0.24578116628079025</v>
      </c>
      <c r="N19" s="38">
        <f t="shared" si="48"/>
        <v>1000</v>
      </c>
      <c r="O19" s="32">
        <f t="shared" si="48"/>
        <v>0.24578116628079025</v>
      </c>
      <c r="P19" s="38">
        <f t="shared" si="48"/>
        <v>1000</v>
      </c>
      <c r="Q19" s="32">
        <f t="shared" si="48"/>
        <v>0.24578116628079025</v>
      </c>
      <c r="R19" s="38">
        <f t="shared" si="48"/>
        <v>1000</v>
      </c>
      <c r="S19" s="32">
        <f t="shared" si="48"/>
        <v>0.24578116628079025</v>
      </c>
      <c r="T19" s="38">
        <f t="shared" si="48"/>
        <v>1000</v>
      </c>
      <c r="U19" s="32">
        <f t="shared" si="48"/>
        <v>0.24578116628079025</v>
      </c>
      <c r="V19" s="38">
        <f t="shared" si="48"/>
        <v>1000</v>
      </c>
      <c r="W19" s="32">
        <f t="shared" si="48"/>
        <v>0.24578116628079025</v>
      </c>
      <c r="X19" s="38">
        <f t="shared" si="48"/>
        <v>1100</v>
      </c>
      <c r="Y19" s="32">
        <f t="shared" si="48"/>
        <v>0.27035928290886929</v>
      </c>
      <c r="Z19" s="38">
        <f t="shared" si="48"/>
        <v>1000</v>
      </c>
      <c r="AA19" s="32">
        <f t="shared" si="48"/>
        <v>0.24578116628079025</v>
      </c>
      <c r="AB19" s="38">
        <f t="shared" si="48"/>
        <v>1000</v>
      </c>
      <c r="AC19" s="32">
        <f t="shared" si="48"/>
        <v>0.24578116628079025</v>
      </c>
      <c r="AD19" s="38">
        <f t="shared" si="48"/>
        <v>1000</v>
      </c>
      <c r="AE19" s="32">
        <f t="shared" si="48"/>
        <v>0.24578116628079025</v>
      </c>
      <c r="AF19" s="783"/>
      <c r="AG19" s="724"/>
      <c r="AH19" s="782"/>
      <c r="AI19" s="630"/>
      <c r="AJ19" s="38">
        <f t="shared" ref="AJ19:AK19" si="49">AJ15-AJ17</f>
        <v>1000</v>
      </c>
      <c r="AK19" s="32">
        <f t="shared" si="49"/>
        <v>0.24578116628079025</v>
      </c>
      <c r="AL19" s="38">
        <f>AL15-AL17</f>
        <v>1000</v>
      </c>
      <c r="AM19" s="32">
        <f>AM15-AM17</f>
        <v>0.24578116628079025</v>
      </c>
      <c r="AN19" s="38">
        <f t="shared" ref="AN19:AO19" si="50">AN15-AN17</f>
        <v>1000</v>
      </c>
      <c r="AO19" s="32">
        <f t="shared" si="50"/>
        <v>0.24578116628079025</v>
      </c>
      <c r="AP19" s="783"/>
      <c r="AQ19" s="724"/>
      <c r="AR19" s="782"/>
      <c r="AS19" s="630"/>
      <c r="AT19" s="38">
        <f t="shared" ref="AT19:AU19" si="51">AT15-AT17</f>
        <v>1000</v>
      </c>
      <c r="AU19" s="32">
        <f t="shared" si="51"/>
        <v>0.24578116628079025</v>
      </c>
      <c r="AV19" s="38">
        <f>AV15-AV17</f>
        <v>1000</v>
      </c>
      <c r="AW19" s="32">
        <f>AW15-AW17</f>
        <v>0.24578116628079025</v>
      </c>
      <c r="AX19" s="38">
        <f>AX15-AX17</f>
        <v>1000</v>
      </c>
      <c r="AY19" s="32">
        <f>AY15-AY17</f>
        <v>0.24578116628079025</v>
      </c>
      <c r="AZ19" s="783"/>
      <c r="BA19" s="724"/>
      <c r="BB19" s="724"/>
      <c r="BD19" s="38">
        <f t="shared" ref="BD19:BE19" si="52">BD15-BD17</f>
        <v>1000</v>
      </c>
      <c r="BE19" s="32">
        <f t="shared" si="52"/>
        <v>0.24578116628079025</v>
      </c>
      <c r="BG19" s="38">
        <f t="shared" ref="BG19:BL19" si="53">BG15-BG17</f>
        <v>1100</v>
      </c>
      <c r="BH19" s="32">
        <f t="shared" si="53"/>
        <v>0.27035928290886929</v>
      </c>
      <c r="BI19" s="38">
        <f t="shared" si="53"/>
        <v>1100</v>
      </c>
      <c r="BJ19" s="32">
        <f t="shared" si="53"/>
        <v>0.27035928290886929</v>
      </c>
      <c r="BK19" s="38">
        <f t="shared" si="53"/>
        <v>1100</v>
      </c>
      <c r="BL19" s="32">
        <f t="shared" si="53"/>
        <v>0.27035928290886929</v>
      </c>
      <c r="BM19"/>
      <c r="BO19" s="38">
        <f t="shared" ref="BO19:BT19" si="54">BO15-BO17</f>
        <v>1100</v>
      </c>
      <c r="BP19" s="32">
        <f t="shared" si="54"/>
        <v>0.27035928290886929</v>
      </c>
      <c r="BQ19" s="38">
        <f t="shared" si="54"/>
        <v>1100</v>
      </c>
      <c r="BR19" s="32">
        <f t="shared" si="54"/>
        <v>0.27035928290886929</v>
      </c>
      <c r="BS19" s="38">
        <f t="shared" si="54"/>
        <v>1100</v>
      </c>
      <c r="BT19" s="32">
        <f t="shared" si="54"/>
        <v>0.27035928290886929</v>
      </c>
      <c r="BV19" s="38">
        <f t="shared" ref="BV19:BW19" si="55">BV15-BV17</f>
        <v>1200</v>
      </c>
      <c r="BW19" s="32">
        <f t="shared" si="55"/>
        <v>0.29493739953694831</v>
      </c>
      <c r="BY19" s="38">
        <f t="shared" ref="BY19:CD19" si="56">BY15-BY17</f>
        <v>4545.454545454545</v>
      </c>
      <c r="BZ19" s="32">
        <f t="shared" si="56"/>
        <v>0.1993620414673046</v>
      </c>
      <c r="CA19" s="38">
        <f t="shared" si="56"/>
        <v>4909.090909090909</v>
      </c>
      <c r="CB19" s="32">
        <f t="shared" si="56"/>
        <v>0.21531100478468895</v>
      </c>
      <c r="CC19" s="38">
        <f t="shared" si="56"/>
        <v>5545.454545454545</v>
      </c>
      <c r="CD19" s="32">
        <f t="shared" si="56"/>
        <v>0.24322169059011162</v>
      </c>
      <c r="CH19" s="38">
        <f t="shared" ref="CH19:CM19" si="57">CH15-CH17</f>
        <v>1100</v>
      </c>
      <c r="CI19" s="32">
        <f t="shared" si="57"/>
        <v>0.27035928290886929</v>
      </c>
      <c r="CJ19" s="38">
        <f t="shared" si="57"/>
        <v>1100</v>
      </c>
      <c r="CK19" s="32">
        <f t="shared" si="57"/>
        <v>0.27035928290886929</v>
      </c>
      <c r="CL19" s="38">
        <f t="shared" si="57"/>
        <v>1100</v>
      </c>
      <c r="CM19" s="32">
        <f t="shared" si="57"/>
        <v>0.27035928290886929</v>
      </c>
    </row>
    <row r="20" spans="1:92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AE20" si="58">1/(1+F18)*F16</f>
        <v>40000</v>
      </c>
      <c r="G20" s="40">
        <f t="shared" si="58"/>
        <v>9.8312466512316092</v>
      </c>
      <c r="H20" s="39">
        <f t="shared" si="58"/>
        <v>40000</v>
      </c>
      <c r="I20" s="40">
        <f t="shared" si="58"/>
        <v>9.8312466512316092</v>
      </c>
      <c r="J20" s="39">
        <f t="shared" si="58"/>
        <v>40000</v>
      </c>
      <c r="K20" s="40">
        <f t="shared" si="58"/>
        <v>9.8312466512316092</v>
      </c>
      <c r="L20" s="39">
        <f t="shared" si="58"/>
        <v>40000</v>
      </c>
      <c r="M20" s="40">
        <f t="shared" si="58"/>
        <v>9.8312466512316092</v>
      </c>
      <c r="N20" s="39">
        <f t="shared" si="58"/>
        <v>40000</v>
      </c>
      <c r="O20" s="40">
        <f t="shared" si="58"/>
        <v>9.8312466512316092</v>
      </c>
      <c r="P20" s="39">
        <f t="shared" si="58"/>
        <v>40000</v>
      </c>
      <c r="Q20" s="40">
        <f t="shared" si="58"/>
        <v>9.8312466512316092</v>
      </c>
      <c r="R20" s="39">
        <f t="shared" si="58"/>
        <v>40000</v>
      </c>
      <c r="S20" s="40">
        <f t="shared" si="58"/>
        <v>9.8312466512316092</v>
      </c>
      <c r="T20" s="39">
        <f t="shared" si="58"/>
        <v>40000</v>
      </c>
      <c r="U20" s="40">
        <f t="shared" si="58"/>
        <v>9.8312466512316092</v>
      </c>
      <c r="V20" s="39">
        <f t="shared" si="58"/>
        <v>40000</v>
      </c>
      <c r="W20" s="40">
        <f t="shared" si="58"/>
        <v>9.8312466512316092</v>
      </c>
      <c r="X20" s="39">
        <f t="shared" si="58"/>
        <v>44000</v>
      </c>
      <c r="Y20" s="40">
        <f t="shared" si="58"/>
        <v>10.814371316354771</v>
      </c>
      <c r="Z20" s="39">
        <f t="shared" si="58"/>
        <v>40000</v>
      </c>
      <c r="AA20" s="40">
        <f t="shared" si="58"/>
        <v>9.8312466512316092</v>
      </c>
      <c r="AB20" s="39">
        <f t="shared" si="58"/>
        <v>40000</v>
      </c>
      <c r="AC20" s="40">
        <f t="shared" si="58"/>
        <v>9.8312466512316092</v>
      </c>
      <c r="AD20" s="39">
        <f t="shared" si="58"/>
        <v>40000</v>
      </c>
      <c r="AE20" s="40">
        <f t="shared" si="58"/>
        <v>9.8312466512316092</v>
      </c>
      <c r="AF20" s="784"/>
      <c r="AG20" s="785"/>
      <c r="AH20" s="786"/>
      <c r="AI20" s="690"/>
      <c r="AJ20" s="39">
        <f t="shared" ref="AJ20:AK20" si="59">1/(1+AJ18)*AJ16</f>
        <v>40000</v>
      </c>
      <c r="AK20" s="40">
        <f t="shared" si="59"/>
        <v>9.8312466512316092</v>
      </c>
      <c r="AL20" s="39">
        <f>1/(1+AL18)*AL16</f>
        <v>40000</v>
      </c>
      <c r="AM20" s="40">
        <f>1/(1+AM18)*AM16</f>
        <v>9.8312466512316092</v>
      </c>
      <c r="AN20" s="39">
        <f t="shared" ref="AN20:AO20" si="60">1/(1+AN18)*AN16</f>
        <v>40000</v>
      </c>
      <c r="AO20" s="40">
        <f t="shared" si="60"/>
        <v>9.8312466512316092</v>
      </c>
      <c r="AP20" s="784"/>
      <c r="AQ20" s="785"/>
      <c r="AR20" s="786"/>
      <c r="AS20" s="690"/>
      <c r="AT20" s="39">
        <f t="shared" ref="AT20:AU20" si="61">1/(1+AT18)*AT16</f>
        <v>40000</v>
      </c>
      <c r="AU20" s="40">
        <f t="shared" si="61"/>
        <v>9.8312466512316092</v>
      </c>
      <c r="AV20" s="39">
        <f>1/(1+AV18)*AV16</f>
        <v>40000</v>
      </c>
      <c r="AW20" s="40">
        <f>1/(1+AW18)*AW16</f>
        <v>9.8312466512316092</v>
      </c>
      <c r="AX20" s="39">
        <f>1/(1+AX18)*AX16</f>
        <v>40000</v>
      </c>
      <c r="AY20" s="40">
        <f>1/(1+AY18)*AY16</f>
        <v>9.8312466512316092</v>
      </c>
      <c r="AZ20" s="784"/>
      <c r="BA20" s="785"/>
      <c r="BB20" s="785"/>
      <c r="BD20" s="39">
        <f t="shared" ref="BD20:BE20" si="62">1/(1+BD18)*BD16</f>
        <v>40000</v>
      </c>
      <c r="BE20" s="40">
        <f t="shared" si="62"/>
        <v>9.8312466512316092</v>
      </c>
      <c r="BG20" s="39">
        <f t="shared" ref="BG20:BL20" si="63">1/(1+BG18)*BG16</f>
        <v>44000</v>
      </c>
      <c r="BH20" s="40">
        <f t="shared" si="63"/>
        <v>10.814371316354771</v>
      </c>
      <c r="BI20" s="39">
        <f t="shared" si="63"/>
        <v>44000</v>
      </c>
      <c r="BJ20" s="40">
        <f t="shared" si="63"/>
        <v>10.814371316354771</v>
      </c>
      <c r="BK20" s="39">
        <f t="shared" si="63"/>
        <v>44000</v>
      </c>
      <c r="BL20" s="40">
        <f t="shared" si="63"/>
        <v>10.814371316354771</v>
      </c>
      <c r="BM20"/>
      <c r="BO20" s="39">
        <f t="shared" ref="BO20:BT20" si="64">1/(1+BO18)*BO16</f>
        <v>44000</v>
      </c>
      <c r="BP20" s="40">
        <f t="shared" si="64"/>
        <v>10.814371316354771</v>
      </c>
      <c r="BQ20" s="39">
        <f t="shared" si="64"/>
        <v>44000</v>
      </c>
      <c r="BR20" s="40">
        <f t="shared" si="64"/>
        <v>10.814371316354771</v>
      </c>
      <c r="BS20" s="39">
        <f t="shared" si="64"/>
        <v>44000</v>
      </c>
      <c r="BT20" s="40">
        <f t="shared" si="64"/>
        <v>10.814371316354771</v>
      </c>
      <c r="BV20" s="39">
        <f t="shared" ref="BV20:BW20" si="65">1/(1+BV18)*BV16</f>
        <v>48000</v>
      </c>
      <c r="BW20" s="40">
        <f t="shared" si="65"/>
        <v>11.797495981477933</v>
      </c>
      <c r="BY20" s="39">
        <f t="shared" ref="BY20:CD20" si="66">1/(1+BY18)*BY16</f>
        <v>181818.18181818182</v>
      </c>
      <c r="BZ20" s="40">
        <f t="shared" si="66"/>
        <v>7.9744816586921834</v>
      </c>
      <c r="CA20" s="39">
        <f t="shared" si="66"/>
        <v>196363.63636363635</v>
      </c>
      <c r="CB20" s="40">
        <f t="shared" si="66"/>
        <v>8.6124401913875595</v>
      </c>
      <c r="CC20" s="39">
        <f t="shared" si="66"/>
        <v>221818.18181818182</v>
      </c>
      <c r="CD20" s="40">
        <f t="shared" si="66"/>
        <v>9.7288676236044651</v>
      </c>
      <c r="CH20" s="39">
        <f t="shared" ref="CH20:CM20" si="67">1/(1+CH18)*CH16</f>
        <v>44000</v>
      </c>
      <c r="CI20" s="40">
        <f t="shared" si="67"/>
        <v>10.814371316354771</v>
      </c>
      <c r="CJ20" s="39">
        <f t="shared" si="67"/>
        <v>44000</v>
      </c>
      <c r="CK20" s="40">
        <f t="shared" si="67"/>
        <v>10.814371316354771</v>
      </c>
      <c r="CL20" s="39">
        <f t="shared" si="67"/>
        <v>44000</v>
      </c>
      <c r="CM20" s="40">
        <f t="shared" si="67"/>
        <v>10.814371316354771</v>
      </c>
    </row>
    <row r="21" spans="1:92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751"/>
      <c r="AG21" s="752"/>
      <c r="AH21" s="753"/>
      <c r="AI21" s="634"/>
      <c r="AJ21" s="352"/>
      <c r="AK21" s="358"/>
      <c r="AL21" s="352"/>
      <c r="AM21" s="358"/>
      <c r="AN21" s="352"/>
      <c r="AO21" s="358"/>
      <c r="AP21" s="751"/>
      <c r="AQ21" s="752"/>
      <c r="AR21" s="753"/>
      <c r="AS21" s="634"/>
      <c r="AT21" s="352"/>
      <c r="AU21" s="358"/>
      <c r="AV21" s="352"/>
      <c r="AW21" s="358"/>
      <c r="AX21" s="352"/>
      <c r="AY21" s="358"/>
      <c r="AZ21" s="751"/>
      <c r="BA21" s="752"/>
      <c r="BB21" s="752"/>
      <c r="BD21" s="352"/>
      <c r="BE21" s="358"/>
      <c r="BG21" s="352"/>
      <c r="BH21" s="358"/>
      <c r="BI21" s="352"/>
      <c r="BJ21" s="358"/>
      <c r="BK21" s="352"/>
      <c r="BL21" s="358"/>
      <c r="BM21"/>
      <c r="BO21" s="352"/>
      <c r="BP21" s="358"/>
      <c r="BQ21" s="352"/>
      <c r="BR21" s="358"/>
      <c r="BS21" s="352"/>
      <c r="BT21" s="358"/>
      <c r="BV21" s="352"/>
      <c r="BW21" s="358"/>
      <c r="BY21" s="352"/>
      <c r="BZ21" s="358"/>
      <c r="CA21" s="352"/>
      <c r="CB21" s="358"/>
      <c r="CC21" s="352"/>
      <c r="CD21" s="358"/>
      <c r="CH21" s="352"/>
      <c r="CI21" s="358"/>
      <c r="CJ21" s="352"/>
      <c r="CK21" s="358"/>
      <c r="CL21" s="352"/>
      <c r="CM21" s="358"/>
    </row>
    <row r="22" spans="1:92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745"/>
      <c r="AG22" s="725"/>
      <c r="AH22" s="749"/>
      <c r="AI22" s="632"/>
      <c r="AJ22" s="359"/>
      <c r="AK22" s="360"/>
      <c r="AL22" s="359"/>
      <c r="AM22" s="360"/>
      <c r="AN22" s="359"/>
      <c r="AO22" s="360"/>
      <c r="AP22" s="745"/>
      <c r="AQ22" s="725"/>
      <c r="AR22" s="749"/>
      <c r="AS22" s="632"/>
      <c r="AT22" s="359"/>
      <c r="AU22" s="360"/>
      <c r="AV22" s="359"/>
      <c r="AW22" s="360"/>
      <c r="AX22" s="359"/>
      <c r="AY22" s="360"/>
      <c r="AZ22" s="745"/>
      <c r="BA22" s="725"/>
      <c r="BB22" s="748"/>
      <c r="BD22" s="359"/>
      <c r="BE22" s="360"/>
      <c r="BG22" s="359"/>
      <c r="BH22" s="360"/>
      <c r="BI22" s="359"/>
      <c r="BJ22" s="360"/>
      <c r="BK22" s="359"/>
      <c r="BL22" s="360"/>
      <c r="BM22"/>
      <c r="BO22" s="359"/>
      <c r="BP22" s="360"/>
      <c r="BQ22" s="359"/>
      <c r="BR22" s="360"/>
      <c r="BS22" s="359"/>
      <c r="BT22" s="360"/>
      <c r="BV22" s="359"/>
      <c r="BW22" s="360"/>
      <c r="BY22" s="359"/>
      <c r="BZ22" s="360"/>
      <c r="CA22" s="359"/>
      <c r="CB22" s="360"/>
      <c r="CC22" s="359"/>
      <c r="CD22" s="360"/>
      <c r="CH22" s="359"/>
      <c r="CI22" s="360"/>
      <c r="CJ22" s="359"/>
      <c r="CK22" s="360"/>
      <c r="CL22" s="359"/>
      <c r="CM22" s="360"/>
    </row>
    <row r="23" spans="1:92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AE23" si="68">F24/F20</f>
        <v>0.20152547500000009</v>
      </c>
      <c r="G23" s="48">
        <f t="shared" si="68"/>
        <v>0.20152547500000001</v>
      </c>
      <c r="H23" s="47">
        <f t="shared" si="68"/>
        <v>0.19589147499999998</v>
      </c>
      <c r="I23" s="48">
        <f t="shared" si="68"/>
        <v>0.19589147499999993</v>
      </c>
      <c r="J23" s="47">
        <f t="shared" si="68"/>
        <v>0.21678294999999997</v>
      </c>
      <c r="K23" s="48">
        <f t="shared" si="68"/>
        <v>0.21678294999999997</v>
      </c>
      <c r="L23" s="47">
        <f t="shared" si="68"/>
        <v>0.17499999999999999</v>
      </c>
      <c r="M23" s="48">
        <f t="shared" si="68"/>
        <v>0.17499999999999996</v>
      </c>
      <c r="N23" s="361">
        <f t="shared" si="68"/>
        <v>0.19589147499999998</v>
      </c>
      <c r="O23" s="362">
        <f t="shared" si="68"/>
        <v>0.19589147499999993</v>
      </c>
      <c r="P23" s="361">
        <f t="shared" si="68"/>
        <v>0.21678294999999997</v>
      </c>
      <c r="Q23" s="362">
        <f t="shared" si="68"/>
        <v>0.21678294999999997</v>
      </c>
      <c r="R23" s="361">
        <f t="shared" si="68"/>
        <v>0.17499999999999999</v>
      </c>
      <c r="S23" s="362">
        <f t="shared" si="68"/>
        <v>0.17499999999999996</v>
      </c>
      <c r="T23" s="361">
        <f t="shared" si="68"/>
        <v>0.19589147499999998</v>
      </c>
      <c r="U23" s="362">
        <f t="shared" si="68"/>
        <v>0.19589147499999993</v>
      </c>
      <c r="V23" s="361">
        <f t="shared" si="68"/>
        <v>0.19589147499999998</v>
      </c>
      <c r="W23" s="362">
        <f t="shared" si="68"/>
        <v>0.19589147499999993</v>
      </c>
      <c r="X23" s="361">
        <f t="shared" si="68"/>
        <v>0.20022526136363641</v>
      </c>
      <c r="Y23" s="362">
        <f t="shared" si="68"/>
        <v>0.20022526136363644</v>
      </c>
      <c r="Z23" s="361">
        <f t="shared" si="68"/>
        <v>0.18983139750000008</v>
      </c>
      <c r="AA23" s="362">
        <f t="shared" si="68"/>
        <v>0.18983139750000003</v>
      </c>
      <c r="AB23" s="361">
        <f t="shared" si="68"/>
        <v>0.2096627950000001</v>
      </c>
      <c r="AC23" s="362">
        <f t="shared" si="68"/>
        <v>0.20966279500000004</v>
      </c>
      <c r="AD23" s="361">
        <f t="shared" si="68"/>
        <v>0.17</v>
      </c>
      <c r="AE23" s="362">
        <f t="shared" si="68"/>
        <v>0.17</v>
      </c>
      <c r="AF23" s="745"/>
      <c r="AG23" s="725"/>
      <c r="AH23" s="746"/>
      <c r="AI23" s="635"/>
      <c r="AJ23" s="361">
        <f t="shared" ref="AJ23:AK23" si="69">AJ24/AJ20</f>
        <v>0.18220266000000002</v>
      </c>
      <c r="AK23" s="362">
        <f t="shared" si="69"/>
        <v>0.18220266000000002</v>
      </c>
      <c r="AL23" s="361">
        <f>AL24/AL20</f>
        <v>0.19440532000000002</v>
      </c>
      <c r="AM23" s="362">
        <f>AM24/AM20</f>
        <v>0.19440531999999999</v>
      </c>
      <c r="AN23" s="361">
        <f t="shared" ref="AN23:AO23" si="70">AN24/AN20</f>
        <v>0.17</v>
      </c>
      <c r="AO23" s="362">
        <f t="shared" si="70"/>
        <v>0.17</v>
      </c>
      <c r="AP23" s="745"/>
      <c r="AQ23" s="725"/>
      <c r="AR23" s="746"/>
      <c r="AS23" s="635"/>
      <c r="AT23" s="361">
        <f t="shared" ref="AT23:AU23" si="71">AT24/AT20</f>
        <v>0.17266833000000006</v>
      </c>
      <c r="AU23" s="362">
        <f t="shared" si="71"/>
        <v>0.17266833000000004</v>
      </c>
      <c r="AV23" s="361">
        <f>AV24/AV20</f>
        <v>0.19033666000000002</v>
      </c>
      <c r="AW23" s="362">
        <f>AW24/AW20</f>
        <v>0.19033665999999999</v>
      </c>
      <c r="AX23" s="361">
        <f>AX24/AX20</f>
        <v>0.155</v>
      </c>
      <c r="AY23" s="362">
        <f>AY24/AY20</f>
        <v>0.15500000000000003</v>
      </c>
      <c r="AZ23" s="745"/>
      <c r="BA23" s="725"/>
      <c r="BB23" s="725"/>
      <c r="BC23" s="924"/>
      <c r="BD23" s="361">
        <f t="shared" ref="BD23:BE23" si="72">BD24/BD20</f>
        <v>0.17266833000000006</v>
      </c>
      <c r="BE23" s="362">
        <f t="shared" si="72"/>
        <v>0.17266833000000004</v>
      </c>
      <c r="BF23" s="924"/>
      <c r="BG23" s="361">
        <f t="shared" ref="BG23:BL23" si="73">BG24/BG20</f>
        <v>0.20022526136363641</v>
      </c>
      <c r="BH23" s="362">
        <f t="shared" si="73"/>
        <v>0.20022526136363644</v>
      </c>
      <c r="BI23" s="361">
        <f t="shared" si="73"/>
        <v>0.21863234090909101</v>
      </c>
      <c r="BJ23" s="362">
        <f t="shared" si="73"/>
        <v>0.21863234090909103</v>
      </c>
      <c r="BK23" s="361">
        <f t="shared" si="73"/>
        <v>0.18181818181818182</v>
      </c>
      <c r="BL23" s="362">
        <f t="shared" si="73"/>
        <v>0.18181818181818182</v>
      </c>
      <c r="BM23"/>
      <c r="BN23" s="924"/>
      <c r="BO23" s="361">
        <f t="shared" ref="BO23:BT23" si="74">BO24/BO20</f>
        <v>0.20022526136363641</v>
      </c>
      <c r="BP23" s="362">
        <f t="shared" si="74"/>
        <v>0.20022526136363644</v>
      </c>
      <c r="BQ23" s="361">
        <f t="shared" si="74"/>
        <v>0.21863234090909101</v>
      </c>
      <c r="BR23" s="362">
        <f t="shared" si="74"/>
        <v>0.21863234090909103</v>
      </c>
      <c r="BS23" s="361">
        <f t="shared" si="74"/>
        <v>0.18181818181818182</v>
      </c>
      <c r="BT23" s="362">
        <f t="shared" si="74"/>
        <v>0.18181818181818182</v>
      </c>
      <c r="BU23" s="924"/>
      <c r="BV23" s="361">
        <f t="shared" ref="BV23:BW23" si="75">BV24/BV20</f>
        <v>0.18202981249999994</v>
      </c>
      <c r="BW23" s="362">
        <f t="shared" si="75"/>
        <v>0.18202981250000011</v>
      </c>
      <c r="BY23" s="361">
        <f t="shared" ref="BY23:CD23" si="76">BY24/BY16</f>
        <v>0.14000000000000001</v>
      </c>
      <c r="BZ23" s="362">
        <f t="shared" si="76"/>
        <v>0.13999999999999985</v>
      </c>
      <c r="CA23" s="361">
        <f t="shared" si="76"/>
        <v>0.14120370370370369</v>
      </c>
      <c r="CB23" s="362">
        <f t="shared" si="76"/>
        <v>0.14120370370370361</v>
      </c>
      <c r="CC23" s="361">
        <f t="shared" si="76"/>
        <v>0.14754098360655737</v>
      </c>
      <c r="CD23" s="362">
        <f t="shared" si="76"/>
        <v>0.1475409836065574</v>
      </c>
      <c r="CH23" s="361">
        <f t="shared" ref="CH23:CM23" si="77">CH24/CH20</f>
        <v>0.20022526136363641</v>
      </c>
      <c r="CI23" s="362">
        <f t="shared" si="77"/>
        <v>0.20022526136363644</v>
      </c>
      <c r="CJ23" s="361">
        <f t="shared" si="77"/>
        <v>0.21863234090909101</v>
      </c>
      <c r="CK23" s="362">
        <f t="shared" si="77"/>
        <v>0.21863234090909103</v>
      </c>
      <c r="CL23" s="361">
        <f t="shared" si="77"/>
        <v>0.18181818181818182</v>
      </c>
      <c r="CM23" s="362">
        <f t="shared" si="77"/>
        <v>0.18181818181818182</v>
      </c>
      <c r="CN23" s="924"/>
    </row>
    <row r="24" spans="1:92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AE24" si="78">F20-F26</f>
        <v>8061.0190000000039</v>
      </c>
      <c r="G24" s="24">
        <f t="shared" si="78"/>
        <v>1.9812466512316096</v>
      </c>
      <c r="H24" s="50">
        <f t="shared" si="78"/>
        <v>7835.6589999999997</v>
      </c>
      <c r="I24" s="24">
        <f t="shared" si="78"/>
        <v>1.9258574075985697</v>
      </c>
      <c r="J24" s="50">
        <f t="shared" si="78"/>
        <v>8671.3179999999993</v>
      </c>
      <c r="K24" s="24">
        <f t="shared" si="78"/>
        <v>2.1312466512316091</v>
      </c>
      <c r="L24" s="50">
        <f t="shared" si="78"/>
        <v>7000</v>
      </c>
      <c r="M24" s="24">
        <f t="shared" si="78"/>
        <v>1.7204681639655313</v>
      </c>
      <c r="N24" s="363">
        <f t="shared" si="78"/>
        <v>7835.6589999999997</v>
      </c>
      <c r="O24" s="351">
        <f t="shared" si="78"/>
        <v>1.9258574075985697</v>
      </c>
      <c r="P24" s="363">
        <f t="shared" si="78"/>
        <v>8671.3179999999993</v>
      </c>
      <c r="Q24" s="351">
        <f t="shared" si="78"/>
        <v>2.1312466512316091</v>
      </c>
      <c r="R24" s="363">
        <f t="shared" si="78"/>
        <v>7000</v>
      </c>
      <c r="S24" s="351">
        <f t="shared" si="78"/>
        <v>1.7204681639655313</v>
      </c>
      <c r="T24" s="363">
        <f t="shared" si="78"/>
        <v>7835.6589999999997</v>
      </c>
      <c r="U24" s="351">
        <f t="shared" si="78"/>
        <v>1.9258574075985697</v>
      </c>
      <c r="V24" s="363">
        <f t="shared" si="78"/>
        <v>7835.6589999999997</v>
      </c>
      <c r="W24" s="351">
        <f t="shared" si="78"/>
        <v>1.9258574075985697</v>
      </c>
      <c r="X24" s="363">
        <f t="shared" si="78"/>
        <v>8809.911500000002</v>
      </c>
      <c r="Y24" s="351">
        <f t="shared" si="78"/>
        <v>2.1653103233005471</v>
      </c>
      <c r="Z24" s="363">
        <f t="shared" si="78"/>
        <v>7593.2559000000037</v>
      </c>
      <c r="AA24" s="351">
        <f t="shared" si="78"/>
        <v>1.8662792909704917</v>
      </c>
      <c r="AB24" s="363">
        <f t="shared" si="78"/>
        <v>8386.5118000000039</v>
      </c>
      <c r="AC24" s="351">
        <f t="shared" si="78"/>
        <v>2.0612466512316097</v>
      </c>
      <c r="AD24" s="363">
        <f t="shared" si="78"/>
        <v>6800</v>
      </c>
      <c r="AE24" s="351">
        <f t="shared" si="78"/>
        <v>1.6713119307093738</v>
      </c>
      <c r="AF24" s="745">
        <f>AA24/$O24-1</f>
        <v>-3.0935891926894166E-2</v>
      </c>
      <c r="AG24" s="725">
        <f>AC24/$Q24-1</f>
        <v>-3.2844626387822151E-2</v>
      </c>
      <c r="AH24" s="746">
        <f>AE24/$S24-1</f>
        <v>-2.8571428571428248E-2</v>
      </c>
      <c r="AI24" s="630"/>
      <c r="AJ24" s="363">
        <f t="shared" ref="AJ24:AK24" si="79">AJ20-AJ26</f>
        <v>7288.1064000000006</v>
      </c>
      <c r="AK24" s="351">
        <f t="shared" si="79"/>
        <v>1.7912792909704915</v>
      </c>
      <c r="AL24" s="363">
        <f>AL20-AL26</f>
        <v>7776.2128000000012</v>
      </c>
      <c r="AM24" s="351">
        <f>AM20-AM26</f>
        <v>1.9112466512316093</v>
      </c>
      <c r="AN24" s="363">
        <f t="shared" ref="AN24:AO24" si="80">AN20-AN26</f>
        <v>6800</v>
      </c>
      <c r="AO24" s="351">
        <f t="shared" si="80"/>
        <v>1.6713119307093738</v>
      </c>
      <c r="AP24" s="745">
        <f>AK24/$O24-1</f>
        <v>-6.987958511211334E-2</v>
      </c>
      <c r="AQ24" s="725">
        <f>AM24/$Q24-1</f>
        <v>-0.10322596864744193</v>
      </c>
      <c r="AR24" s="746">
        <f>AO24/$S24-1</f>
        <v>-2.8571428571428248E-2</v>
      </c>
      <c r="AS24" s="630"/>
      <c r="AT24" s="363">
        <f t="shared" ref="AT24:AU24" si="81">AT20-AT26</f>
        <v>6906.7332000000024</v>
      </c>
      <c r="AU24" s="351">
        <f t="shared" si="81"/>
        <v>1.6975449410862549</v>
      </c>
      <c r="AV24" s="363">
        <f>AV20-AV26</f>
        <v>7613.4664000000012</v>
      </c>
      <c r="AW24" s="351">
        <f>AW20-AW26</f>
        <v>1.8712466512316093</v>
      </c>
      <c r="AX24" s="363">
        <f>AX20-AX26</f>
        <v>6200</v>
      </c>
      <c r="AY24" s="351">
        <f>AY20-AY26</f>
        <v>1.5238432309408996</v>
      </c>
      <c r="AZ24" s="745">
        <f>AU24/$O24-1</f>
        <v>-0.11855107528288245</v>
      </c>
      <c r="BA24" s="725">
        <f>AW24/$Q24-1</f>
        <v>-0.12199432658334053</v>
      </c>
      <c r="BB24" s="725">
        <f>AY24/$S24-1</f>
        <v>-0.11428571428571399</v>
      </c>
      <c r="BD24" s="363">
        <f t="shared" ref="BD24:BE24" si="82">BD20-BD26</f>
        <v>6906.7332000000024</v>
      </c>
      <c r="BE24" s="351">
        <f t="shared" si="82"/>
        <v>1.6975449410862549</v>
      </c>
      <c r="BG24" s="363">
        <f t="shared" ref="BG24:BL24" si="83">BG20-BG26</f>
        <v>8809.911500000002</v>
      </c>
      <c r="BH24" s="351">
        <f t="shared" si="83"/>
        <v>2.1653103233005471</v>
      </c>
      <c r="BI24" s="363">
        <f t="shared" si="83"/>
        <v>9619.823000000004</v>
      </c>
      <c r="BJ24" s="351">
        <f t="shared" si="83"/>
        <v>2.3643713163547719</v>
      </c>
      <c r="BK24" s="363">
        <f t="shared" si="83"/>
        <v>8000</v>
      </c>
      <c r="BL24" s="351">
        <f t="shared" si="83"/>
        <v>1.9662493302463222</v>
      </c>
      <c r="BM24"/>
      <c r="BO24" s="363">
        <f t="shared" ref="BO24:BT24" si="84">BO20-BO26</f>
        <v>8809.911500000002</v>
      </c>
      <c r="BP24" s="351">
        <f t="shared" si="84"/>
        <v>2.1653103233005471</v>
      </c>
      <c r="BQ24" s="363">
        <f t="shared" si="84"/>
        <v>9619.823000000004</v>
      </c>
      <c r="BR24" s="351">
        <f t="shared" si="84"/>
        <v>2.3643713163547719</v>
      </c>
      <c r="BS24" s="363">
        <f t="shared" si="84"/>
        <v>8000</v>
      </c>
      <c r="BT24" s="351">
        <f t="shared" si="84"/>
        <v>1.9662493302463222</v>
      </c>
      <c r="BV24" s="363">
        <f t="shared" ref="BV24:BW24" si="85">BV20-BV26</f>
        <v>8737.4309999999969</v>
      </c>
      <c r="BW24" s="351">
        <f t="shared" si="85"/>
        <v>2.1474959814779329</v>
      </c>
      <c r="BY24" s="363">
        <f t="shared" ref="BY24:CD24" si="86">BY16-BY25</f>
        <v>28000</v>
      </c>
      <c r="BZ24" s="351">
        <f t="shared" si="86"/>
        <v>1.228070175438595</v>
      </c>
      <c r="CA24" s="363">
        <f t="shared" si="86"/>
        <v>30500</v>
      </c>
      <c r="CB24" s="351">
        <f t="shared" si="86"/>
        <v>1.337719298245613</v>
      </c>
      <c r="CC24" s="363">
        <f t="shared" si="86"/>
        <v>36000</v>
      </c>
      <c r="CD24" s="351">
        <f t="shared" si="86"/>
        <v>1.5789473684210531</v>
      </c>
      <c r="CH24" s="363">
        <f t="shared" ref="CH24:CM24" si="87">CH20-CH26</f>
        <v>8809.911500000002</v>
      </c>
      <c r="CI24" s="351">
        <f t="shared" si="87"/>
        <v>2.1653103233005471</v>
      </c>
      <c r="CJ24" s="363">
        <f t="shared" si="87"/>
        <v>9619.823000000004</v>
      </c>
      <c r="CK24" s="351">
        <f t="shared" si="87"/>
        <v>2.3643713163547719</v>
      </c>
      <c r="CL24" s="363">
        <f t="shared" si="87"/>
        <v>8000</v>
      </c>
      <c r="CM24" s="351">
        <f t="shared" si="87"/>
        <v>1.9662493302463222</v>
      </c>
    </row>
    <row r="25" spans="1:92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AO25" si="88">F26</f>
        <v>31938.980999999996</v>
      </c>
      <c r="G25" s="55">
        <f t="shared" si="88"/>
        <v>7.85</v>
      </c>
      <c r="H25" s="54">
        <f t="shared" si="88"/>
        <v>32164.341</v>
      </c>
      <c r="I25" s="55">
        <f t="shared" si="88"/>
        <v>7.9053892436330395</v>
      </c>
      <c r="J25" s="54">
        <f t="shared" si="88"/>
        <v>31328.682000000001</v>
      </c>
      <c r="K25" s="55">
        <f t="shared" si="88"/>
        <v>7.7</v>
      </c>
      <c r="L25" s="54">
        <f t="shared" si="88"/>
        <v>33000</v>
      </c>
      <c r="M25" s="55">
        <f t="shared" si="88"/>
        <v>8.110778487266078</v>
      </c>
      <c r="N25" s="54">
        <f t="shared" si="88"/>
        <v>32164.341</v>
      </c>
      <c r="O25" s="55">
        <f t="shared" si="88"/>
        <v>7.9053892436330395</v>
      </c>
      <c r="P25" s="54">
        <f t="shared" si="88"/>
        <v>31328.682000000001</v>
      </c>
      <c r="Q25" s="55">
        <f t="shared" si="88"/>
        <v>7.7</v>
      </c>
      <c r="R25" s="54">
        <f t="shared" si="88"/>
        <v>33000</v>
      </c>
      <c r="S25" s="55">
        <f t="shared" si="88"/>
        <v>8.110778487266078</v>
      </c>
      <c r="T25" s="54">
        <f t="shared" si="88"/>
        <v>32164.341</v>
      </c>
      <c r="U25" s="55">
        <f t="shared" si="88"/>
        <v>7.9053892436330395</v>
      </c>
      <c r="V25" s="54">
        <f t="shared" si="88"/>
        <v>32164.341</v>
      </c>
      <c r="W25" s="55">
        <f t="shared" si="88"/>
        <v>7.9053892436330395</v>
      </c>
      <c r="X25" s="54">
        <f t="shared" si="88"/>
        <v>35190.088499999998</v>
      </c>
      <c r="Y25" s="55">
        <f t="shared" si="88"/>
        <v>8.6490609930542242</v>
      </c>
      <c r="Z25" s="54">
        <f t="shared" si="88"/>
        <v>32406.744099999996</v>
      </c>
      <c r="AA25" s="55">
        <f t="shared" si="88"/>
        <v>7.9649673602611175</v>
      </c>
      <c r="AB25" s="54">
        <f t="shared" si="88"/>
        <v>31613.488199999996</v>
      </c>
      <c r="AC25" s="55">
        <f t="shared" si="88"/>
        <v>7.77</v>
      </c>
      <c r="AD25" s="54">
        <f t="shared" si="88"/>
        <v>33200</v>
      </c>
      <c r="AE25" s="55">
        <f t="shared" si="88"/>
        <v>8.1599347205222355</v>
      </c>
      <c r="AF25" s="742"/>
      <c r="AG25" s="743"/>
      <c r="AH25" s="750"/>
      <c r="AI25" s="630"/>
      <c r="AJ25" s="54">
        <f t="shared" si="88"/>
        <v>32711.893599999999</v>
      </c>
      <c r="AK25" s="55">
        <f t="shared" si="88"/>
        <v>8.0399673602611177</v>
      </c>
      <c r="AL25" s="54">
        <f>AL26</f>
        <v>32223.787199999999</v>
      </c>
      <c r="AM25" s="55">
        <f>AM26</f>
        <v>7.92</v>
      </c>
      <c r="AN25" s="54">
        <f t="shared" si="88"/>
        <v>33200</v>
      </c>
      <c r="AO25" s="55">
        <f t="shared" si="88"/>
        <v>8.1599347205222355</v>
      </c>
      <c r="AP25" s="742"/>
      <c r="AQ25" s="743"/>
      <c r="AR25" s="750"/>
      <c r="AS25" s="630"/>
      <c r="AT25" s="54">
        <f t="shared" ref="AT25:AY25" si="89">AT26</f>
        <v>33093.266799999998</v>
      </c>
      <c r="AU25" s="55">
        <f t="shared" si="89"/>
        <v>8.1337017101453544</v>
      </c>
      <c r="AV25" s="54">
        <f t="shared" si="89"/>
        <v>32386.533599999999</v>
      </c>
      <c r="AW25" s="55">
        <f t="shared" si="89"/>
        <v>7.96</v>
      </c>
      <c r="AX25" s="54">
        <f t="shared" si="89"/>
        <v>33800</v>
      </c>
      <c r="AY25" s="55">
        <f t="shared" si="89"/>
        <v>8.3074034202907097</v>
      </c>
      <c r="AZ25" s="742"/>
      <c r="BA25" s="743"/>
      <c r="BB25" s="743"/>
      <c r="BD25" s="54">
        <f t="shared" ref="BD25:BT25" si="90">BD26</f>
        <v>33093.266799999998</v>
      </c>
      <c r="BE25" s="55">
        <f t="shared" si="90"/>
        <v>8.1337017101453544</v>
      </c>
      <c r="BG25" s="54">
        <f t="shared" si="90"/>
        <v>35190.088499999998</v>
      </c>
      <c r="BH25" s="55">
        <f t="shared" si="90"/>
        <v>8.6490609930542242</v>
      </c>
      <c r="BI25" s="54">
        <f t="shared" si="90"/>
        <v>34380.176999999996</v>
      </c>
      <c r="BJ25" s="55">
        <f t="shared" si="90"/>
        <v>8.4499999999999993</v>
      </c>
      <c r="BK25" s="54">
        <f t="shared" si="90"/>
        <v>36000</v>
      </c>
      <c r="BL25" s="55">
        <f t="shared" si="90"/>
        <v>8.848121986108449</v>
      </c>
      <c r="BM25"/>
      <c r="BO25" s="54">
        <f t="shared" si="90"/>
        <v>35190.088499999998</v>
      </c>
      <c r="BP25" s="55">
        <f t="shared" si="90"/>
        <v>8.6490609930542242</v>
      </c>
      <c r="BQ25" s="54">
        <f t="shared" si="90"/>
        <v>34380.176999999996</v>
      </c>
      <c r="BR25" s="55">
        <f t="shared" si="90"/>
        <v>8.4499999999999993</v>
      </c>
      <c r="BS25" s="54">
        <f t="shared" si="90"/>
        <v>36000</v>
      </c>
      <c r="BT25" s="55">
        <f t="shared" si="90"/>
        <v>8.848121986108449</v>
      </c>
      <c r="BV25" s="54">
        <f t="shared" ref="BV25:BW25" si="91">BV26</f>
        <v>39262.569000000003</v>
      </c>
      <c r="BW25" s="55">
        <f t="shared" si="91"/>
        <v>9.65</v>
      </c>
      <c r="BY25" s="54">
        <v>172000</v>
      </c>
      <c r="BZ25" s="55">
        <f>BY25/$BY$12</f>
        <v>7.5438596491228074</v>
      </c>
      <c r="CA25" s="54">
        <v>185500</v>
      </c>
      <c r="CB25" s="55">
        <f>CA25/$BY$12</f>
        <v>8.1359649122807021</v>
      </c>
      <c r="CC25" s="54">
        <v>208000</v>
      </c>
      <c r="CD25" s="55">
        <f>CC25/$BY$12</f>
        <v>9.1228070175438596</v>
      </c>
      <c r="CH25" s="54">
        <f t="shared" ref="CH25:CM25" si="92">CH26</f>
        <v>35190.088499999998</v>
      </c>
      <c r="CI25" s="55">
        <f t="shared" si="92"/>
        <v>8.6490609930542242</v>
      </c>
      <c r="CJ25" s="54">
        <f t="shared" si="92"/>
        <v>34380.176999999996</v>
      </c>
      <c r="CK25" s="55">
        <f t="shared" si="92"/>
        <v>8.4499999999999993</v>
      </c>
      <c r="CL25" s="54">
        <f t="shared" si="92"/>
        <v>36000</v>
      </c>
      <c r="CM25" s="55">
        <f t="shared" si="92"/>
        <v>8.848121986108449</v>
      </c>
    </row>
    <row r="26" spans="1:92" s="4" customFormat="1" ht="18" customHeight="1" x14ac:dyDescent="0.45">
      <c r="A26" s="561"/>
      <c r="B26" s="1187"/>
      <c r="C26" s="56" t="s">
        <v>40</v>
      </c>
      <c r="D26" s="52"/>
      <c r="E26" s="53"/>
      <c r="F26" s="54">
        <f>7.85*F12</f>
        <v>31938.980999999996</v>
      </c>
      <c r="G26" s="57">
        <f>+F26/F12</f>
        <v>7.85</v>
      </c>
      <c r="H26" s="54">
        <f>AVERAGE(J26,L26)</f>
        <v>32164.341</v>
      </c>
      <c r="I26" s="57">
        <f>+H26/H12</f>
        <v>7.9053892436330395</v>
      </c>
      <c r="J26" s="54">
        <f>J12*7.7</f>
        <v>31328.682000000001</v>
      </c>
      <c r="K26" s="57">
        <f>+J26/J12</f>
        <v>7.7</v>
      </c>
      <c r="L26" s="54">
        <v>33000</v>
      </c>
      <c r="M26" s="57">
        <f>+L26/L12</f>
        <v>8.110778487266078</v>
      </c>
      <c r="N26" s="54">
        <f>AVERAGE(P26,R26)</f>
        <v>32164.341</v>
      </c>
      <c r="O26" s="57">
        <f>+N26/N12</f>
        <v>7.9053892436330395</v>
      </c>
      <c r="P26" s="54">
        <f>P12*7.7</f>
        <v>31328.682000000001</v>
      </c>
      <c r="Q26" s="57">
        <f>+P26/P12</f>
        <v>7.7</v>
      </c>
      <c r="R26" s="54">
        <v>33000</v>
      </c>
      <c r="S26" s="57">
        <f>+R26/R12</f>
        <v>8.110778487266078</v>
      </c>
      <c r="T26" s="54">
        <f>N26</f>
        <v>32164.341</v>
      </c>
      <c r="U26" s="57">
        <f>O26</f>
        <v>7.9053892436330395</v>
      </c>
      <c r="V26" s="54">
        <f>T26</f>
        <v>32164.341</v>
      </c>
      <c r="W26" s="57">
        <f>+V26/V12</f>
        <v>7.9053892436330395</v>
      </c>
      <c r="X26" s="54">
        <f>Y26*X12</f>
        <v>35190.088499999998</v>
      </c>
      <c r="Y26" s="57">
        <f>BH26</f>
        <v>8.6490609930542242</v>
      </c>
      <c r="Z26" s="54">
        <f>AVERAGE(AB26,AD26)</f>
        <v>32406.744099999996</v>
      </c>
      <c r="AA26" s="57">
        <f>+Z26/Z12</f>
        <v>7.9649673602611175</v>
      </c>
      <c r="AB26" s="54">
        <f>AB12*7.77</f>
        <v>31613.488199999996</v>
      </c>
      <c r="AC26" s="57">
        <f>+AB26/AB12</f>
        <v>7.77</v>
      </c>
      <c r="AD26" s="54">
        <v>33200</v>
      </c>
      <c r="AE26" s="57">
        <f>+AD26/AD12</f>
        <v>8.1599347205222355</v>
      </c>
      <c r="AF26" s="742">
        <f>AA26/$O26-1</f>
        <v>7.5363925534801535E-3</v>
      </c>
      <c r="AG26" s="743">
        <f>AC26/$Q26-1</f>
        <v>9.0909090909090384E-3</v>
      </c>
      <c r="AH26" s="744">
        <f>AE26/$S26-1</f>
        <v>6.0606060606060996E-3</v>
      </c>
      <c r="AI26" s="630"/>
      <c r="AJ26" s="54">
        <f>AVERAGE(AL26,AN26)</f>
        <v>32711.893599999999</v>
      </c>
      <c r="AK26" s="57">
        <f>+AJ26/AJ12</f>
        <v>8.0399673602611177</v>
      </c>
      <c r="AL26" s="54">
        <f>AL12*7.92</f>
        <v>32223.787199999999</v>
      </c>
      <c r="AM26" s="57">
        <f>+AL26/AL12</f>
        <v>7.92</v>
      </c>
      <c r="AN26" s="54">
        <v>33200</v>
      </c>
      <c r="AO26" s="57">
        <f>+AN26/AN12</f>
        <v>8.1599347205222355</v>
      </c>
      <c r="AP26" s="742">
        <f>AK26/$O26-1</f>
        <v>1.702359143624288E-2</v>
      </c>
      <c r="AQ26" s="743">
        <f>AM26/$Q26-1</f>
        <v>2.857142857142847E-2</v>
      </c>
      <c r="AR26" s="744">
        <f>AO26/$S26-1</f>
        <v>6.0606060606060996E-3</v>
      </c>
      <c r="AS26" s="630"/>
      <c r="AT26" s="54">
        <f>AVERAGE(AV26,AX26)</f>
        <v>33093.266799999998</v>
      </c>
      <c r="AU26" s="57">
        <f>+AT26/AT12</f>
        <v>8.1337017101453544</v>
      </c>
      <c r="AV26" s="54">
        <f>AV12*7.96</f>
        <v>32386.533599999999</v>
      </c>
      <c r="AW26" s="57">
        <f>+AV26/AV12</f>
        <v>7.96</v>
      </c>
      <c r="AX26" s="54">
        <v>33800</v>
      </c>
      <c r="AY26" s="57">
        <f>+AX26/AX12</f>
        <v>8.3074034202907097</v>
      </c>
      <c r="AZ26" s="742">
        <f>AU26/$O26-1</f>
        <v>2.8880610362885806E-2</v>
      </c>
      <c r="BA26" s="743">
        <f>AW26/$Q26-1</f>
        <v>3.3766233766233666E-2</v>
      </c>
      <c r="BB26" s="852">
        <f>AY26/$S26-1</f>
        <v>2.4242424242424176E-2</v>
      </c>
      <c r="BD26" s="54">
        <f>BE26*BD12</f>
        <v>33093.266799999998</v>
      </c>
      <c r="BE26" s="57">
        <f>AU26</f>
        <v>8.1337017101453544</v>
      </c>
      <c r="BG26" s="54">
        <f>BH26*BG12</f>
        <v>35190.088499999998</v>
      </c>
      <c r="BH26" s="57">
        <f>AVERAGE(BJ26,BL26)</f>
        <v>8.6490609930542242</v>
      </c>
      <c r="BI26" s="54">
        <f t="shared" ref="BI26" si="93">BJ26*BI12</f>
        <v>34380.176999999996</v>
      </c>
      <c r="BJ26" s="57">
        <v>8.4499999999999993</v>
      </c>
      <c r="BK26" s="54">
        <v>36000</v>
      </c>
      <c r="BL26" s="57">
        <f>BK26/BK12</f>
        <v>8.848121986108449</v>
      </c>
      <c r="BM26"/>
      <c r="BO26" s="54">
        <f>BP26*BO12</f>
        <v>35190.088499999998</v>
      </c>
      <c r="BP26" s="57">
        <f>AVERAGE(BR26,BT26)</f>
        <v>8.6490609930542242</v>
      </c>
      <c r="BQ26" s="54">
        <f t="shared" ref="BQ26" si="94">BR26*BQ12</f>
        <v>34380.176999999996</v>
      </c>
      <c r="BR26" s="57">
        <v>8.4499999999999993</v>
      </c>
      <c r="BS26" s="54">
        <v>36000</v>
      </c>
      <c r="BT26" s="57">
        <f>BS26/BS12</f>
        <v>8.848121986108449</v>
      </c>
      <c r="BV26" s="54">
        <f>BW26*BV12</f>
        <v>39262.569000000003</v>
      </c>
      <c r="BW26" s="57">
        <v>9.65</v>
      </c>
      <c r="BY26" s="54">
        <f>BY25/1.1</f>
        <v>156363.63636363635</v>
      </c>
      <c r="BZ26" s="57">
        <f>BY26/$BY$12</f>
        <v>6.8580542264752786</v>
      </c>
      <c r="CA26" s="54">
        <f>CA25/1.8</f>
        <v>103055.55555555555</v>
      </c>
      <c r="CB26" s="57">
        <f>CA26/$BY$12</f>
        <v>4.5199805068226118</v>
      </c>
      <c r="CC26" s="54">
        <f>CC25/1.8</f>
        <v>115555.55555555555</v>
      </c>
      <c r="CD26" s="57">
        <f>CC26/$BY$12</f>
        <v>5.0682261208576991</v>
      </c>
      <c r="CH26" s="54">
        <f>CI26*CH12</f>
        <v>35190.088499999998</v>
      </c>
      <c r="CI26" s="57">
        <f>AVERAGE(CK26,CM26)</f>
        <v>8.6490609930542242</v>
      </c>
      <c r="CJ26" s="54">
        <f t="shared" ref="CJ26" si="95">CK26*CJ12</f>
        <v>34380.176999999996</v>
      </c>
      <c r="CK26" s="57">
        <v>8.4499999999999993</v>
      </c>
      <c r="CL26" s="54">
        <v>36000</v>
      </c>
      <c r="CM26" s="57">
        <f>CL26/CL12</f>
        <v>8.848121986108449</v>
      </c>
    </row>
    <row r="27" spans="1:92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745"/>
      <c r="AG27" s="725"/>
      <c r="AH27" s="746"/>
      <c r="AI27" s="632"/>
      <c r="AJ27" s="359"/>
      <c r="AK27" s="355"/>
      <c r="AL27" s="359"/>
      <c r="AM27" s="355"/>
      <c r="AN27" s="359"/>
      <c r="AO27" s="355"/>
      <c r="AP27" s="745"/>
      <c r="AQ27" s="725"/>
      <c r="AR27" s="746"/>
      <c r="AS27" s="632"/>
      <c r="AT27" s="359"/>
      <c r="AU27" s="355"/>
      <c r="AV27" s="359"/>
      <c r="AW27" s="355"/>
      <c r="AX27" s="359"/>
      <c r="AY27" s="355"/>
      <c r="AZ27" s="745"/>
      <c r="BA27" s="725"/>
      <c r="BB27" s="725"/>
      <c r="BD27" s="359"/>
      <c r="BE27" s="355"/>
      <c r="BG27" s="359"/>
      <c r="BH27" s="355"/>
      <c r="BI27" s="359"/>
      <c r="BJ27" s="355"/>
      <c r="BK27" s="745">
        <f>3000/R26</f>
        <v>9.0909090909090912E-2</v>
      </c>
      <c r="BL27" s="355"/>
      <c r="BM27"/>
      <c r="BO27" s="359"/>
      <c r="BP27" s="355"/>
      <c r="BQ27" s="359"/>
      <c r="BR27" s="355"/>
      <c r="BS27" s="745">
        <f>3000/Y26</f>
        <v>346.85846271742111</v>
      </c>
      <c r="BT27" s="355"/>
      <c r="BV27" s="359"/>
      <c r="BW27" s="355"/>
      <c r="BY27" s="359"/>
      <c r="BZ27" s="355"/>
      <c r="CA27" s="359"/>
      <c r="CB27" s="355"/>
      <c r="CC27" s="359"/>
      <c r="CD27" s="355"/>
      <c r="CH27" s="359"/>
      <c r="CI27" s="355"/>
      <c r="CJ27" s="359"/>
      <c r="CK27" s="355"/>
      <c r="CL27" s="745">
        <f>3000/AR26</f>
        <v>494999.9999999968</v>
      </c>
      <c r="CM27" s="355"/>
    </row>
    <row r="28" spans="1:92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747"/>
      <c r="AG28" s="748"/>
      <c r="AH28" s="749"/>
      <c r="AI28" s="637"/>
      <c r="AJ28" s="364"/>
      <c r="AK28" s="360"/>
      <c r="AL28" s="364"/>
      <c r="AM28" s="360"/>
      <c r="AN28" s="364"/>
      <c r="AO28" s="360"/>
      <c r="AP28" s="747"/>
      <c r="AQ28" s="748"/>
      <c r="AR28" s="749"/>
      <c r="AS28" s="637"/>
      <c r="AT28" s="364"/>
      <c r="AU28" s="360"/>
      <c r="AV28" s="364"/>
      <c r="AW28" s="360"/>
      <c r="AX28" s="364"/>
      <c r="AY28" s="360"/>
      <c r="AZ28" s="747"/>
      <c r="BA28" s="748"/>
      <c r="BB28" s="748"/>
      <c r="BD28" s="364"/>
      <c r="BE28" s="360"/>
      <c r="BG28" s="364"/>
      <c r="BH28" s="360"/>
      <c r="BI28" s="364"/>
      <c r="BJ28" s="360"/>
      <c r="BK28" s="364"/>
      <c r="BL28" s="360"/>
      <c r="BM28"/>
      <c r="BO28" s="364"/>
      <c r="BP28" s="360"/>
      <c r="BQ28" s="364"/>
      <c r="BR28" s="360"/>
      <c r="BS28" s="364"/>
      <c r="BT28" s="360"/>
      <c r="BV28" s="364"/>
      <c r="BW28" s="360"/>
      <c r="BY28" s="364"/>
      <c r="BZ28" s="360"/>
      <c r="CA28" s="364"/>
      <c r="CB28" s="360"/>
      <c r="CC28" s="364"/>
      <c r="CD28" s="360"/>
      <c r="CH28" s="364"/>
      <c r="CI28" s="360"/>
      <c r="CJ28" s="364"/>
      <c r="CK28" s="360"/>
      <c r="CL28" s="364"/>
      <c r="CM28" s="360"/>
    </row>
    <row r="29" spans="1:92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AE29" si="96">F30/F26</f>
        <v>6.2420382165605012E-2</v>
      </c>
      <c r="G29" s="48">
        <f t="shared" si="96"/>
        <v>6.2420382165605012E-2</v>
      </c>
      <c r="H29" s="47">
        <f t="shared" si="96"/>
        <v>6.8989549638215852E-2</v>
      </c>
      <c r="I29" s="48">
        <f t="shared" si="96"/>
        <v>6.9096713226456719E-2</v>
      </c>
      <c r="J29" s="47">
        <f t="shared" si="96"/>
        <v>1.8751973189192712E-2</v>
      </c>
      <c r="K29" s="48">
        <f t="shared" si="96"/>
        <v>1.8751973189192663E-2</v>
      </c>
      <c r="L29" s="47">
        <f t="shared" si="96"/>
        <v>3.7715299334811624E-2</v>
      </c>
      <c r="M29" s="48">
        <f t="shared" si="96"/>
        <v>3.7715299334811575E-2</v>
      </c>
      <c r="N29" s="361">
        <f t="shared" si="96"/>
        <v>7.1804444407090329E-2</v>
      </c>
      <c r="O29" s="362">
        <f t="shared" si="96"/>
        <v>7.180444440709037E-2</v>
      </c>
      <c r="P29" s="361">
        <f t="shared" si="96"/>
        <v>1.5362131322047558E-2</v>
      </c>
      <c r="Q29" s="362">
        <f t="shared" si="96"/>
        <v>1.536213132204747E-2</v>
      </c>
      <c r="R29" s="361">
        <f t="shared" si="96"/>
        <v>3.7715299334811624E-2</v>
      </c>
      <c r="S29" s="362">
        <f t="shared" si="96"/>
        <v>3.7715299334811575E-2</v>
      </c>
      <c r="T29" s="361">
        <f t="shared" si="96"/>
        <v>7.1804444407090329E-2</v>
      </c>
      <c r="U29" s="362">
        <f t="shared" si="96"/>
        <v>7.180444440709037E-2</v>
      </c>
      <c r="V29" s="361">
        <f t="shared" si="96"/>
        <v>7.1804444407090329E-2</v>
      </c>
      <c r="W29" s="362">
        <f t="shared" si="96"/>
        <v>7.180444440709037E-2</v>
      </c>
      <c r="X29" s="361">
        <f t="shared" si="96"/>
        <v>7.5297210441780241E-2</v>
      </c>
      <c r="Y29" s="362">
        <f t="shared" si="96"/>
        <v>7.5297210441780268E-2</v>
      </c>
      <c r="Z29" s="361">
        <f t="shared" si="96"/>
        <v>7.2459480812788329E-2</v>
      </c>
      <c r="AA29" s="362">
        <f t="shared" si="96"/>
        <v>7.2459480812788385E-2</v>
      </c>
      <c r="AB29" s="361">
        <f t="shared" si="96"/>
        <v>1.5642657049331744E-2</v>
      </c>
      <c r="AC29" s="362">
        <f t="shared" si="96"/>
        <v>1.5642657049331786E-2</v>
      </c>
      <c r="AD29" s="361">
        <f t="shared" si="96"/>
        <v>3.8823529411764791E-2</v>
      </c>
      <c r="AE29" s="362">
        <f t="shared" si="96"/>
        <v>3.8823529411764701E-2</v>
      </c>
      <c r="AF29" s="745"/>
      <c r="AG29" s="725"/>
      <c r="AH29" s="746"/>
      <c r="AI29" s="635"/>
      <c r="AJ29" s="361">
        <f t="shared" ref="AJ29:AK29" si="97">AJ30/AJ26</f>
        <v>7.1886779431197492E-2</v>
      </c>
      <c r="AK29" s="362">
        <f t="shared" si="97"/>
        <v>7.1886779431197478E-2</v>
      </c>
      <c r="AL29" s="361">
        <f>AL30/AL26</f>
        <v>1.5151515151515152E-2</v>
      </c>
      <c r="AM29" s="362">
        <f>AM30/AM26</f>
        <v>1.5151515151515166E-2</v>
      </c>
      <c r="AN29" s="361">
        <f t="shared" ref="AN29:AO29" si="98">AN30/AN26</f>
        <v>3.8823529411764791E-2</v>
      </c>
      <c r="AO29" s="362">
        <f t="shared" si="98"/>
        <v>3.8823529411764701E-2</v>
      </c>
      <c r="AP29" s="745"/>
      <c r="AQ29" s="725"/>
      <c r="AR29" s="746"/>
      <c r="AS29" s="635"/>
      <c r="AT29" s="361">
        <f t="shared" ref="AT29:AU29" si="99">AT30/AT26</f>
        <v>7.078411255771816E-2</v>
      </c>
      <c r="AU29" s="362">
        <f t="shared" si="99"/>
        <v>7.0784112557718118E-2</v>
      </c>
      <c r="AV29" s="361">
        <f>AV30/AV26</f>
        <v>1.4657144063963609E-2</v>
      </c>
      <c r="AW29" s="362">
        <f>AW30/AW26</f>
        <v>1.4657144063963659E-2</v>
      </c>
      <c r="AX29" s="361">
        <f>AX30/AX26</f>
        <v>3.7003550295858022E-2</v>
      </c>
      <c r="AY29" s="362">
        <f>AY30/AY26</f>
        <v>3.7003550295857952E-2</v>
      </c>
      <c r="AZ29" s="745"/>
      <c r="BA29" s="725"/>
      <c r="BB29" s="725"/>
      <c r="BC29" s="924"/>
      <c r="BD29" s="361">
        <f t="shared" ref="BD29:BE29" si="100">BD30/BD26</f>
        <v>7.078411255771816E-2</v>
      </c>
      <c r="BE29" s="362">
        <f t="shared" si="100"/>
        <v>7.0784112557718118E-2</v>
      </c>
      <c r="BF29" s="924"/>
      <c r="BG29" s="361">
        <f t="shared" ref="BG29:BL29" si="101">BG30/BG26</f>
        <v>7.5297210441780241E-2</v>
      </c>
      <c r="BH29" s="362">
        <f t="shared" si="101"/>
        <v>7.5297210441780268E-2</v>
      </c>
      <c r="BI29" s="361">
        <f t="shared" si="101"/>
        <v>2.2211935820503625E-2</v>
      </c>
      <c r="BJ29" s="362">
        <f t="shared" si="101"/>
        <v>2.2211935820503657E-2</v>
      </c>
      <c r="BK29" s="361">
        <f t="shared" si="101"/>
        <v>3.9344166666666652E-2</v>
      </c>
      <c r="BL29" s="362">
        <f t="shared" si="101"/>
        <v>3.9344166666666729E-2</v>
      </c>
      <c r="BM29"/>
      <c r="BN29" s="924"/>
      <c r="BO29" s="361">
        <f t="shared" ref="BO29:BT29" si="102">BO30/BO26</f>
        <v>7.5297210441780241E-2</v>
      </c>
      <c r="BP29" s="362">
        <f t="shared" si="102"/>
        <v>7.5297210441780268E-2</v>
      </c>
      <c r="BQ29" s="361">
        <f t="shared" si="102"/>
        <v>2.2211935820503625E-2</v>
      </c>
      <c r="BR29" s="362">
        <f t="shared" si="102"/>
        <v>2.2211935820503657E-2</v>
      </c>
      <c r="BS29" s="361">
        <f t="shared" si="102"/>
        <v>3.9344166666666652E-2</v>
      </c>
      <c r="BT29" s="362">
        <f t="shared" si="102"/>
        <v>3.9344166666666729E-2</v>
      </c>
      <c r="BU29" s="924"/>
      <c r="BV29" s="361">
        <f t="shared" ref="BV29:BW29" si="103">BV30/BV26</f>
        <v>6.632124352331624E-2</v>
      </c>
      <c r="BW29" s="362">
        <f t="shared" si="103"/>
        <v>6.6321243523316115E-2</v>
      </c>
      <c r="BY29" s="361">
        <f t="shared" ref="BY29:CD29" si="104">BY30/BY25</f>
        <v>8.1395348837209308E-2</v>
      </c>
      <c r="BZ29" s="362">
        <f t="shared" si="104"/>
        <v>8.1395348837209378E-2</v>
      </c>
      <c r="CA29" s="361">
        <f t="shared" si="104"/>
        <v>7.5471698113207544E-2</v>
      </c>
      <c r="CB29" s="362">
        <f t="shared" si="104"/>
        <v>7.5471698113207614E-2</v>
      </c>
      <c r="CC29" s="361">
        <f t="shared" si="104"/>
        <v>7.6923076923076927E-2</v>
      </c>
      <c r="CD29" s="362">
        <f t="shared" si="104"/>
        <v>7.6923076923076969E-2</v>
      </c>
      <c r="CH29" s="361">
        <f t="shared" ref="CH29:CM29" si="105">CH30/CH26</f>
        <v>7.5297210441780241E-2</v>
      </c>
      <c r="CI29" s="362">
        <f t="shared" si="105"/>
        <v>7.5297210441780268E-2</v>
      </c>
      <c r="CJ29" s="361">
        <f t="shared" si="105"/>
        <v>2.2211935820503625E-2</v>
      </c>
      <c r="CK29" s="362">
        <f t="shared" si="105"/>
        <v>2.2211935820503657E-2</v>
      </c>
      <c r="CL29" s="361">
        <f t="shared" si="105"/>
        <v>3.9344166666666652E-2</v>
      </c>
      <c r="CM29" s="362">
        <f t="shared" si="105"/>
        <v>3.9344166666666729E-2</v>
      </c>
      <c r="CN29" s="924"/>
    </row>
    <row r="30" spans="1:92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AE30" si="106">F26-F32</f>
        <v>1993.6433999999972</v>
      </c>
      <c r="G30" s="24">
        <f t="shared" si="106"/>
        <v>0.48999999999999932</v>
      </c>
      <c r="H30" s="50">
        <f t="shared" si="106"/>
        <v>2219.0034000000014</v>
      </c>
      <c r="I30" s="24">
        <f t="shared" si="106"/>
        <v>0.54623641351082775</v>
      </c>
      <c r="J30" s="50">
        <f t="shared" si="106"/>
        <v>587.47460491674428</v>
      </c>
      <c r="K30" s="24">
        <f t="shared" si="106"/>
        <v>0.14439019355678351</v>
      </c>
      <c r="L30" s="50">
        <f t="shared" si="106"/>
        <v>1244.6048780487836</v>
      </c>
      <c r="M30" s="24">
        <f t="shared" si="106"/>
        <v>0.30590043848559034</v>
      </c>
      <c r="N30" s="363">
        <f t="shared" si="106"/>
        <v>2309.5426352251961</v>
      </c>
      <c r="O30" s="351">
        <f t="shared" si="106"/>
        <v>0.56764208246085879</v>
      </c>
      <c r="P30" s="363">
        <f t="shared" si="106"/>
        <v>481.27532703066754</v>
      </c>
      <c r="Q30" s="351">
        <f t="shared" si="106"/>
        <v>0.11828841117976552</v>
      </c>
      <c r="R30" s="363">
        <f t="shared" si="106"/>
        <v>1244.6048780487836</v>
      </c>
      <c r="S30" s="351">
        <f t="shared" si="106"/>
        <v>0.30590043848559034</v>
      </c>
      <c r="T30" s="363">
        <f t="shared" si="106"/>
        <v>2309.5426352251961</v>
      </c>
      <c r="U30" s="351">
        <f t="shared" si="106"/>
        <v>0.56764208246085879</v>
      </c>
      <c r="V30" s="363">
        <f t="shared" si="106"/>
        <v>2309.5426352251961</v>
      </c>
      <c r="W30" s="351">
        <f t="shared" si="106"/>
        <v>0.56764208246085879</v>
      </c>
      <c r="X30" s="363">
        <f t="shared" si="106"/>
        <v>2649.7154992493706</v>
      </c>
      <c r="Y30" s="351">
        <f t="shared" si="106"/>
        <v>0.65125016571779692</v>
      </c>
      <c r="Z30" s="363">
        <f t="shared" si="106"/>
        <v>2348.175852318891</v>
      </c>
      <c r="AA30" s="351">
        <f t="shared" si="106"/>
        <v>0.57713739961532617</v>
      </c>
      <c r="AB30" s="363">
        <f t="shared" si="106"/>
        <v>494.51895404569586</v>
      </c>
      <c r="AC30" s="351">
        <f t="shared" si="106"/>
        <v>0.12154344527330796</v>
      </c>
      <c r="AD30" s="363">
        <f t="shared" si="106"/>
        <v>1288.941176470591</v>
      </c>
      <c r="AE30" s="351">
        <f t="shared" si="106"/>
        <v>0.316797465620275</v>
      </c>
      <c r="AF30" s="745">
        <f>AA30/$O30-1</f>
        <v>1.6727648368322079E-2</v>
      </c>
      <c r="AG30" s="725">
        <f>AC30/$Q30-1</f>
        <v>2.7517776771857072E-2</v>
      </c>
      <c r="AH30" s="746">
        <f>AE30/$S30-1</f>
        <v>3.5622790175235286E-2</v>
      </c>
      <c r="AI30" s="630"/>
      <c r="AJ30" s="363">
        <f t="shared" ref="AJ30:AK30" si="107">AJ26-AJ32</f>
        <v>2351.5526800000007</v>
      </c>
      <c r="AK30" s="351">
        <f t="shared" si="107"/>
        <v>0.57796736026111795</v>
      </c>
      <c r="AL30" s="363">
        <f>AL26-AL32</f>
        <v>488.23919999999998</v>
      </c>
      <c r="AM30" s="351">
        <f>AM26-AM32</f>
        <v>0.12000000000000011</v>
      </c>
      <c r="AN30" s="363">
        <f t="shared" ref="AN30:AO30" si="108">AN26-AN32</f>
        <v>1288.941176470591</v>
      </c>
      <c r="AO30" s="351">
        <f t="shared" si="108"/>
        <v>0.316797465620275</v>
      </c>
      <c r="AP30" s="745">
        <f>AK30/$O30-1</f>
        <v>1.8189768023358477E-2</v>
      </c>
      <c r="AQ30" s="725">
        <f>AM30/$Q30-1</f>
        <v>1.4469623889304284E-2</v>
      </c>
      <c r="AR30" s="746">
        <f>AO30/$S30-1</f>
        <v>3.5622790175235286E-2</v>
      </c>
      <c r="AS30" s="630"/>
      <c r="AT30" s="363">
        <f t="shared" ref="AT30:AU30" si="109">AT26-AT32</f>
        <v>2342.4775220737974</v>
      </c>
      <c r="AU30" s="351">
        <f t="shared" si="109"/>
        <v>0.57573685736183311</v>
      </c>
      <c r="AV30" s="363">
        <f>AV26-AV32</f>
        <v>474.69408870759798</v>
      </c>
      <c r="AW30" s="351">
        <f>AW26-AW32</f>
        <v>0.11667086674915073</v>
      </c>
      <c r="AX30" s="363">
        <f>AX26-AX32</f>
        <v>1250.7200000000012</v>
      </c>
      <c r="AY30" s="351">
        <f>AY26-AY32</f>
        <v>0.30740342029070966</v>
      </c>
      <c r="AZ30" s="745">
        <f>AU30/$O30-1</f>
        <v>1.4260350229640562E-2</v>
      </c>
      <c r="BA30" s="725">
        <f>AW30/$Q30-1</f>
        <v>-1.3674580751250165E-2</v>
      </c>
      <c r="BB30" s="725">
        <f>AY30/$S30-1</f>
        <v>4.9133038597788392E-3</v>
      </c>
      <c r="BD30" s="363">
        <f t="shared" ref="BD30:BE30" si="110">BD26-BD32</f>
        <v>2342.4775220737974</v>
      </c>
      <c r="BE30" s="351">
        <f t="shared" si="110"/>
        <v>0.57573685736183311</v>
      </c>
      <c r="BG30" s="363">
        <f t="shared" ref="BG30:BL30" si="111">BG26-BG32</f>
        <v>2649.7154992493706</v>
      </c>
      <c r="BH30" s="351">
        <f t="shared" si="111"/>
        <v>0.65125016571779692</v>
      </c>
      <c r="BI30" s="363">
        <f t="shared" si="111"/>
        <v>763.65028502155474</v>
      </c>
      <c r="BJ30" s="351">
        <f t="shared" si="111"/>
        <v>0.18769085768325589</v>
      </c>
      <c r="BK30" s="363">
        <f t="shared" si="111"/>
        <v>1416.3899999999994</v>
      </c>
      <c r="BL30" s="351">
        <f t="shared" si="111"/>
        <v>0.34812198610844902</v>
      </c>
      <c r="BM30"/>
      <c r="BO30" s="363">
        <f t="shared" ref="BO30:BT30" si="112">BO26-BO32</f>
        <v>2649.7154992493706</v>
      </c>
      <c r="BP30" s="351">
        <f t="shared" si="112"/>
        <v>0.65125016571779692</v>
      </c>
      <c r="BQ30" s="363">
        <f t="shared" si="112"/>
        <v>763.65028502155474</v>
      </c>
      <c r="BR30" s="351">
        <f t="shared" si="112"/>
        <v>0.18769085768325589</v>
      </c>
      <c r="BS30" s="363">
        <f t="shared" si="112"/>
        <v>1416.3899999999994</v>
      </c>
      <c r="BT30" s="351">
        <f t="shared" si="112"/>
        <v>0.34812198610844902</v>
      </c>
      <c r="BV30" s="363">
        <f t="shared" ref="BV30:BW30" si="113">BV26-BV32</f>
        <v>2603.9424000000072</v>
      </c>
      <c r="BW30" s="351">
        <f t="shared" si="113"/>
        <v>0.64000000000000057</v>
      </c>
      <c r="BY30" s="363">
        <f t="shared" ref="BY30:CD30" si="114">BY25-BY31</f>
        <v>14000</v>
      </c>
      <c r="BZ30" s="351">
        <f t="shared" si="114"/>
        <v>0.61403508771929882</v>
      </c>
      <c r="CA30" s="363">
        <f t="shared" si="114"/>
        <v>14000</v>
      </c>
      <c r="CB30" s="351">
        <f t="shared" si="114"/>
        <v>0.61403508771929882</v>
      </c>
      <c r="CC30" s="363">
        <f t="shared" si="114"/>
        <v>16000</v>
      </c>
      <c r="CD30" s="351">
        <f t="shared" si="114"/>
        <v>0.70175438596491269</v>
      </c>
      <c r="CH30" s="363">
        <f t="shared" ref="CH30:CM30" si="115">CH26-CH32</f>
        <v>2649.7154992493706</v>
      </c>
      <c r="CI30" s="351">
        <f t="shared" si="115"/>
        <v>0.65125016571779692</v>
      </c>
      <c r="CJ30" s="363">
        <f t="shared" si="115"/>
        <v>763.65028502155474</v>
      </c>
      <c r="CK30" s="351">
        <f t="shared" si="115"/>
        <v>0.18769085768325589</v>
      </c>
      <c r="CL30" s="363">
        <f t="shared" si="115"/>
        <v>1416.3899999999994</v>
      </c>
      <c r="CM30" s="351">
        <f t="shared" si="115"/>
        <v>0.34812198610844902</v>
      </c>
    </row>
    <row r="31" spans="1:92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7.3591528301222118</v>
      </c>
      <c r="J31" s="54">
        <f>+J32</f>
        <v>30741.207395083256</v>
      </c>
      <c r="K31" s="55">
        <f>K32</f>
        <v>7.5556098064432167</v>
      </c>
      <c r="L31" s="54">
        <f>+L32</f>
        <v>31755.395121951216</v>
      </c>
      <c r="M31" s="55">
        <f>M32</f>
        <v>7.8048780487804876</v>
      </c>
      <c r="N31" s="54">
        <f>+N32</f>
        <v>29854.798364774804</v>
      </c>
      <c r="O31" s="55">
        <f>O32</f>
        <v>7.3377471611721807</v>
      </c>
      <c r="P31" s="54">
        <f>+P32</f>
        <v>30847.406672969333</v>
      </c>
      <c r="Q31" s="55">
        <f>Q32</f>
        <v>7.5817115888202347</v>
      </c>
      <c r="R31" s="54">
        <f>+R32</f>
        <v>31755.395121951216</v>
      </c>
      <c r="S31" s="55">
        <f>S32</f>
        <v>7.8048780487804876</v>
      </c>
      <c r="T31" s="54">
        <f>+T32</f>
        <v>29854.798364774804</v>
      </c>
      <c r="U31" s="55">
        <f>U32</f>
        <v>7.3377471611721807</v>
      </c>
      <c r="V31" s="54">
        <f>+V32</f>
        <v>29854.798364774804</v>
      </c>
      <c r="W31" s="55">
        <f>W32</f>
        <v>7.3377471611721807</v>
      </c>
      <c r="X31" s="54">
        <f>+X32</f>
        <v>32540.373000750627</v>
      </c>
      <c r="Y31" s="55">
        <f>Y32</f>
        <v>7.9978108273364272</v>
      </c>
      <c r="Z31" s="54">
        <f>+Z32</f>
        <v>30058.568247681105</v>
      </c>
      <c r="AA31" s="55">
        <f>AA32</f>
        <v>7.3878299606457913</v>
      </c>
      <c r="AB31" s="54">
        <f>+AB32</f>
        <v>31118.9692459543</v>
      </c>
      <c r="AC31" s="55">
        <f>AC32</f>
        <v>7.6484565547266916</v>
      </c>
      <c r="AD31" s="54">
        <f>+AD32</f>
        <v>31911.058823529409</v>
      </c>
      <c r="AE31" s="55">
        <f>AE32</f>
        <v>7.8431372549019605</v>
      </c>
      <c r="AF31" s="742"/>
      <c r="AG31" s="743"/>
      <c r="AH31" s="750"/>
      <c r="AI31" s="630"/>
      <c r="AJ31" s="54">
        <f>+AJ32</f>
        <v>30360.340919999999</v>
      </c>
      <c r="AK31" s="55">
        <f>AK32</f>
        <v>7.4619999999999997</v>
      </c>
      <c r="AL31" s="54">
        <f>+AL32</f>
        <v>31735.547999999999</v>
      </c>
      <c r="AM31" s="55">
        <f>AM32</f>
        <v>7.8</v>
      </c>
      <c r="AN31" s="54">
        <f>+AN32</f>
        <v>31911.058823529409</v>
      </c>
      <c r="AO31" s="55">
        <f>AO32</f>
        <v>7.8431372549019605</v>
      </c>
      <c r="AP31" s="742"/>
      <c r="AQ31" s="743"/>
      <c r="AR31" s="750"/>
      <c r="AS31" s="630"/>
      <c r="AT31" s="54">
        <f>+AT32</f>
        <v>30750.7892779262</v>
      </c>
      <c r="AU31" s="55">
        <f>AU32</f>
        <v>7.5579648527835213</v>
      </c>
      <c r="AV31" s="54">
        <f>+AV32</f>
        <v>31911.839511292401</v>
      </c>
      <c r="AW31" s="55">
        <f>AW32</f>
        <v>7.8433291332508492</v>
      </c>
      <c r="AX31" s="54">
        <f>+AX32</f>
        <v>32549.279999999999</v>
      </c>
      <c r="AY31" s="55">
        <f>AY32</f>
        <v>8</v>
      </c>
      <c r="AZ31" s="742"/>
      <c r="BA31" s="743"/>
      <c r="BB31" s="743"/>
      <c r="BD31" s="54">
        <f>+BD32</f>
        <v>30750.7892779262</v>
      </c>
      <c r="BE31" s="55">
        <f>BE32</f>
        <v>7.5579648527835213</v>
      </c>
      <c r="BG31" s="54">
        <f>+BG32</f>
        <v>32540.373000750627</v>
      </c>
      <c r="BH31" s="55">
        <f>BH32</f>
        <v>7.9978108273364272</v>
      </c>
      <c r="BI31" s="54">
        <f t="shared" ref="BI31" si="116">+BI32</f>
        <v>33616.526714978441</v>
      </c>
      <c r="BJ31" s="55">
        <f t="shared" ref="BJ31" si="117">BJ32</f>
        <v>8.2623091423167434</v>
      </c>
      <c r="BK31" s="54">
        <f t="shared" ref="BK31" si="118">+BK32</f>
        <v>34583.61</v>
      </c>
      <c r="BL31" s="55">
        <f t="shared" ref="BL31" si="119">BL32</f>
        <v>8.5</v>
      </c>
      <c r="BM31"/>
      <c r="BO31" s="54">
        <f>+BO32</f>
        <v>32540.373000750627</v>
      </c>
      <c r="BP31" s="55">
        <f>BP32</f>
        <v>7.9978108273364272</v>
      </c>
      <c r="BQ31" s="54">
        <f t="shared" ref="BQ31" si="120">+BQ32</f>
        <v>33616.526714978441</v>
      </c>
      <c r="BR31" s="55">
        <f t="shared" ref="BR31" si="121">BR32</f>
        <v>8.2623091423167434</v>
      </c>
      <c r="BS31" s="54">
        <f t="shared" ref="BS31" si="122">+BS32</f>
        <v>34583.61</v>
      </c>
      <c r="BT31" s="55">
        <f t="shared" ref="BT31" si="123">BT32</f>
        <v>8.5</v>
      </c>
      <c r="BV31" s="54">
        <f>+BV32</f>
        <v>36658.626599999996</v>
      </c>
      <c r="BW31" s="55">
        <f>BW32</f>
        <v>9.01</v>
      </c>
      <c r="BY31" s="54">
        <v>158000</v>
      </c>
      <c r="BZ31" s="55">
        <f>BY31/$BY$12</f>
        <v>6.9298245614035086</v>
      </c>
      <c r="CA31" s="54">
        <v>171500</v>
      </c>
      <c r="CB31" s="55">
        <f>CA31/$BY$12</f>
        <v>7.5219298245614032</v>
      </c>
      <c r="CC31" s="54">
        <v>192000</v>
      </c>
      <c r="CD31" s="55">
        <f>CC31/$BY$12</f>
        <v>8.4210526315789469</v>
      </c>
      <c r="CH31" s="54">
        <f>+CH32</f>
        <v>32540.373000750627</v>
      </c>
      <c r="CI31" s="55">
        <f>CI32</f>
        <v>7.9978108273364272</v>
      </c>
      <c r="CJ31" s="54">
        <f t="shared" ref="CJ31" si="124">+CJ32</f>
        <v>33616.526714978441</v>
      </c>
      <c r="CK31" s="55">
        <f t="shared" ref="CK31" si="125">CK32</f>
        <v>8.2623091423167434</v>
      </c>
      <c r="CL31" s="54">
        <f t="shared" ref="CL31" si="126">+CL32</f>
        <v>34583.61</v>
      </c>
      <c r="CM31" s="55">
        <f t="shared" ref="CM31" si="127">CM32</f>
        <v>8.5</v>
      </c>
    </row>
    <row r="32" spans="1:92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v>7.3591528301222118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>+L32/L12</f>
        <v>7.8048780487804876</v>
      </c>
      <c r="N32" s="54">
        <f>O32*N12</f>
        <v>29854.798364774804</v>
      </c>
      <c r="O32" s="55">
        <v>7.3377471611721807</v>
      </c>
      <c r="P32" s="54">
        <f>Q32*P12</f>
        <v>30847.406672969333</v>
      </c>
      <c r="Q32" s="55">
        <v>7.5817115888202347</v>
      </c>
      <c r="R32" s="54">
        <f>S32*R12</f>
        <v>31755.395121951216</v>
      </c>
      <c r="S32" s="55">
        <f>8*40/41</f>
        <v>7.8048780487804876</v>
      </c>
      <c r="T32" s="54">
        <f>U32*T12</f>
        <v>29854.798364774804</v>
      </c>
      <c r="U32" s="55">
        <v>7.3377471611721807</v>
      </c>
      <c r="V32" s="54">
        <f>W32*V12</f>
        <v>29854.798364774804</v>
      </c>
      <c r="W32" s="55">
        <v>7.3377471611721807</v>
      </c>
      <c r="X32" s="54">
        <f>Y32*X12</f>
        <v>32540.373000750627</v>
      </c>
      <c r="Y32" s="55">
        <f>BH32</f>
        <v>7.9978108273364272</v>
      </c>
      <c r="Z32" s="54">
        <f>AA32*Z12</f>
        <v>30058.568247681105</v>
      </c>
      <c r="AA32" s="55">
        <v>7.3878299606457913</v>
      </c>
      <c r="AB32" s="54">
        <f>AC32*AB12</f>
        <v>31118.9692459543</v>
      </c>
      <c r="AC32" s="55">
        <v>7.6484565547266916</v>
      </c>
      <c r="AD32" s="54">
        <f>AE32*AD12</f>
        <v>31911.058823529409</v>
      </c>
      <c r="AE32" s="55">
        <f>8*50/51</f>
        <v>7.8431372549019605</v>
      </c>
      <c r="AF32" s="742">
        <f>AA32/$O32-1</f>
        <v>6.82536456674665E-3</v>
      </c>
      <c r="AG32" s="743">
        <f>AC32/$Q32-1</f>
        <v>8.8034166328454511E-3</v>
      </c>
      <c r="AH32" s="750">
        <f>AE32/$S32-1</f>
        <v>4.9019607843137081E-3</v>
      </c>
      <c r="AI32" s="630"/>
      <c r="AJ32" s="54">
        <f>AK32*AJ12</f>
        <v>30360.340919999999</v>
      </c>
      <c r="AK32" s="55">
        <f>AM32*0.48+AO38*0.52</f>
        <v>7.4619999999999997</v>
      </c>
      <c r="AL32" s="54">
        <f>AM32*AL12</f>
        <v>31735.547999999999</v>
      </c>
      <c r="AM32" s="55">
        <v>7.8</v>
      </c>
      <c r="AN32" s="54">
        <f>AO32*AN12</f>
        <v>31911.058823529409</v>
      </c>
      <c r="AO32" s="55">
        <f>8*50/51</f>
        <v>7.8431372549019605</v>
      </c>
      <c r="AP32" s="742">
        <f>AK32/$O32-1</f>
        <v>1.693337697506192E-2</v>
      </c>
      <c r="AQ32" s="743">
        <f>AM32/$Q32-1</f>
        <v>2.8791442225479358E-2</v>
      </c>
      <c r="AR32" s="750">
        <f>AO32/$S32-1</f>
        <v>4.9019607843137081E-3</v>
      </c>
      <c r="AS32" s="630"/>
      <c r="AT32" s="54">
        <f>AU32*AT12</f>
        <v>30750.7892779262</v>
      </c>
      <c r="AU32" s="55">
        <v>7.5579648527835213</v>
      </c>
      <c r="AV32" s="54">
        <f>AW32*AV12</f>
        <v>31911.839511292401</v>
      </c>
      <c r="AW32" s="55">
        <v>7.8433291332508492</v>
      </c>
      <c r="AX32" s="54">
        <f>AY32*AX12</f>
        <v>32549.279999999999</v>
      </c>
      <c r="AY32" s="55">
        <f>8.2*40/41</f>
        <v>8</v>
      </c>
      <c r="AZ32" s="742">
        <f>AU32/$O32-1</f>
        <v>3.0011621656388821E-2</v>
      </c>
      <c r="BA32" s="743">
        <f>AW32/$Q32-1</f>
        <v>3.4506396262341088E-2</v>
      </c>
      <c r="BB32" s="743">
        <f>AY32/$S32-1</f>
        <v>2.5000000000000133E-2</v>
      </c>
      <c r="BD32" s="54">
        <f>BE32*BD12</f>
        <v>30750.7892779262</v>
      </c>
      <c r="BE32" s="55">
        <f>AU32</f>
        <v>7.5579648527835213</v>
      </c>
      <c r="BG32" s="54">
        <f>BH32*BG12</f>
        <v>32540.373000750627</v>
      </c>
      <c r="BH32" s="55">
        <f>0.48*BJ32+0.52*BL38</f>
        <v>7.9978108273364272</v>
      </c>
      <c r="BI32" s="54">
        <f t="shared" ref="BI32" si="128">BJ32*BI12</f>
        <v>33616.526714978441</v>
      </c>
      <c r="BJ32" s="55">
        <v>8.2623091423167434</v>
      </c>
      <c r="BK32" s="54">
        <f t="shared" ref="BK32" si="129">BL32*BK12</f>
        <v>34583.61</v>
      </c>
      <c r="BL32" s="55">
        <v>8.5</v>
      </c>
      <c r="BM32"/>
      <c r="BO32" s="54">
        <f>BP32*BO12</f>
        <v>32540.373000750627</v>
      </c>
      <c r="BP32" s="55">
        <f>0.48*BR32+0.52*BT38</f>
        <v>7.9978108273364272</v>
      </c>
      <c r="BQ32" s="54">
        <f t="shared" ref="BQ32" si="130">BR32*BQ12</f>
        <v>33616.526714978441</v>
      </c>
      <c r="BR32" s="55">
        <v>8.2623091423167434</v>
      </c>
      <c r="BS32" s="54">
        <f t="shared" ref="BS32" si="131">BT32*BS12</f>
        <v>34583.61</v>
      </c>
      <c r="BT32" s="55">
        <v>8.5</v>
      </c>
      <c r="BV32" s="54">
        <f>BW32*BV12</f>
        <v>36658.626599999996</v>
      </c>
      <c r="BW32" s="55">
        <v>9.01</v>
      </c>
      <c r="BY32" s="54">
        <f>BY31/1.1</f>
        <v>143636.36363636362</v>
      </c>
      <c r="BZ32" s="55">
        <f>BY32/$BY$12</f>
        <v>6.2998405103668249</v>
      </c>
      <c r="CA32" s="54">
        <f>CA31/1.08</f>
        <v>158796.29629629629</v>
      </c>
      <c r="CB32" s="55">
        <f>CA32/$BY$12</f>
        <v>6.9647498375568553</v>
      </c>
      <c r="CC32" s="54">
        <f>CC31/1.08</f>
        <v>177777.77777777775</v>
      </c>
      <c r="CD32" s="55">
        <f>CC32/$BY$12</f>
        <v>7.7972709551656907</v>
      </c>
      <c r="CH32" s="54">
        <f>CI32*CH12</f>
        <v>32540.373000750627</v>
      </c>
      <c r="CI32" s="55">
        <f>0.48*CK32+0.52*CM38</f>
        <v>7.9978108273364272</v>
      </c>
      <c r="CJ32" s="54">
        <f t="shared" ref="CJ32" si="132">CK32*CJ12</f>
        <v>33616.526714978441</v>
      </c>
      <c r="CK32" s="55">
        <v>8.2623091423167434</v>
      </c>
      <c r="CL32" s="54">
        <f t="shared" ref="CL32" si="133">CM32*CL12</f>
        <v>34583.61</v>
      </c>
      <c r="CM32" s="55">
        <v>8.5</v>
      </c>
    </row>
    <row r="33" spans="1:93" s="4" customFormat="1" ht="18" customHeight="1" x14ac:dyDescent="0.45">
      <c r="A33" s="561"/>
      <c r="B33" s="1195"/>
      <c r="C33" s="25"/>
      <c r="D33" s="26"/>
      <c r="E33" s="26"/>
      <c r="F33" s="61"/>
      <c r="G33" s="41"/>
      <c r="H33" s="347"/>
      <c r="I33" s="346"/>
      <c r="J33" s="347"/>
      <c r="K33" s="346"/>
      <c r="L33" s="347"/>
      <c r="M33" s="346"/>
      <c r="N33" s="365"/>
      <c r="O33" s="358"/>
      <c r="P33" s="365"/>
      <c r="Q33" s="358"/>
      <c r="R33" s="365"/>
      <c r="S33" s="358"/>
      <c r="T33" s="365"/>
      <c r="U33" s="358"/>
      <c r="V33" s="365"/>
      <c r="W33" s="358"/>
      <c r="X33" s="365"/>
      <c r="Y33" s="358"/>
      <c r="Z33" s="365"/>
      <c r="AA33" s="358"/>
      <c r="AB33" s="365"/>
      <c r="AC33" s="358"/>
      <c r="AD33" s="365"/>
      <c r="AE33" s="358"/>
      <c r="AF33" s="751"/>
      <c r="AG33" s="752"/>
      <c r="AH33" s="753"/>
      <c r="AI33" s="634"/>
      <c r="AJ33" s="365"/>
      <c r="AK33" s="358"/>
      <c r="AL33" s="365"/>
      <c r="AM33" s="358"/>
      <c r="AN33" s="365"/>
      <c r="AO33" s="358"/>
      <c r="AP33" s="751"/>
      <c r="AQ33" s="752"/>
      <c r="AR33" s="753"/>
      <c r="AS33" s="634"/>
      <c r="AT33" s="365"/>
      <c r="AU33" s="358"/>
      <c r="AV33" s="365"/>
      <c r="AW33" s="358"/>
      <c r="AX33" s="365"/>
      <c r="AY33" s="358"/>
      <c r="AZ33" s="751"/>
      <c r="BA33" s="752"/>
      <c r="BB33" s="752"/>
      <c r="BD33" s="365"/>
      <c r="BE33" s="358"/>
      <c r="BG33" s="365"/>
      <c r="BH33" s="358"/>
      <c r="BI33" s="365"/>
      <c r="BJ33" s="358"/>
      <c r="BK33" s="365"/>
      <c r="BL33" s="358"/>
      <c r="BM33"/>
      <c r="BO33" s="365"/>
      <c r="BP33" s="358"/>
      <c r="BQ33" s="365"/>
      <c r="BR33" s="358"/>
      <c r="BS33" s="365"/>
      <c r="BT33" s="358"/>
      <c r="BV33" s="365"/>
      <c r="BW33" s="358"/>
      <c r="BY33" s="365"/>
      <c r="BZ33" s="358"/>
      <c r="CA33" s="365"/>
      <c r="CB33" s="358"/>
      <c r="CC33" s="365"/>
      <c r="CD33" s="358"/>
      <c r="CH33" s="365"/>
      <c r="CI33" s="358"/>
      <c r="CJ33" s="365"/>
      <c r="CK33" s="358"/>
      <c r="CL33" s="365"/>
      <c r="CM33" s="358"/>
    </row>
    <row r="34" spans="1:93" s="4" customFormat="1" ht="18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973"/>
      <c r="Z34" s="364"/>
      <c r="AA34" s="360"/>
      <c r="AB34" s="364"/>
      <c r="AC34" s="360"/>
      <c r="AD34" s="364"/>
      <c r="AE34" s="360"/>
      <c r="AF34" s="747"/>
      <c r="AG34" s="748"/>
      <c r="AH34" s="749"/>
      <c r="AI34" s="637"/>
      <c r="AJ34" s="364"/>
      <c r="AK34" s="360"/>
      <c r="AL34" s="364"/>
      <c r="AM34" s="360"/>
      <c r="AN34" s="364"/>
      <c r="AO34" s="360"/>
      <c r="AP34" s="747"/>
      <c r="AQ34" s="748"/>
      <c r="AR34" s="749"/>
      <c r="AS34" s="637"/>
      <c r="AT34" s="364"/>
      <c r="AU34" s="360"/>
      <c r="AV34" s="364"/>
      <c r="AW34" s="360"/>
      <c r="AX34" s="364"/>
      <c r="AY34" s="360"/>
      <c r="AZ34" s="747"/>
      <c r="BA34" s="748"/>
      <c r="BB34" s="748"/>
      <c r="BD34" s="364"/>
      <c r="BE34" s="360"/>
      <c r="BG34" s="364"/>
      <c r="BH34" s="973"/>
      <c r="BI34" s="364"/>
      <c r="BJ34" s="973"/>
      <c r="BK34" s="364"/>
      <c r="BL34" s="973"/>
      <c r="BM34"/>
      <c r="BO34" s="364"/>
      <c r="BP34" s="973"/>
      <c r="BQ34" s="364"/>
      <c r="BR34" s="973"/>
      <c r="BS34" s="364"/>
      <c r="BT34" s="973"/>
      <c r="BV34" s="364"/>
      <c r="BW34" s="360"/>
      <c r="BY34" s="364"/>
      <c r="BZ34" s="973"/>
      <c r="CA34" s="364"/>
      <c r="CB34" s="973"/>
      <c r="CC34" s="364"/>
      <c r="CD34" s="973"/>
      <c r="CH34" s="364"/>
      <c r="CI34" s="973"/>
      <c r="CJ34" s="364"/>
      <c r="CK34" s="973"/>
      <c r="CL34" s="364"/>
      <c r="CM34" s="973"/>
    </row>
    <row r="35" spans="1:93" s="49" customFormat="1" ht="18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134">L36/L32</f>
        <v>8.8374999999999884E-2</v>
      </c>
      <c r="M35" s="362">
        <f t="shared" si="134"/>
        <v>8.8374999999999967E-2</v>
      </c>
      <c r="N35" s="361"/>
      <c r="O35" s="362"/>
      <c r="P35" s="361"/>
      <c r="Q35" s="362"/>
      <c r="R35" s="361">
        <f t="shared" ref="R35:S35" si="135">R36/R32</f>
        <v>8.8374999999999884E-2</v>
      </c>
      <c r="S35" s="362">
        <f t="shared" si="135"/>
        <v>8.8374999999999967E-2</v>
      </c>
      <c r="T35" s="361"/>
      <c r="U35" s="362"/>
      <c r="V35" s="361"/>
      <c r="W35" s="362"/>
      <c r="X35" s="361"/>
      <c r="Y35" s="975"/>
      <c r="Z35" s="361"/>
      <c r="AA35" s="362"/>
      <c r="AB35" s="361"/>
      <c r="AC35" s="362"/>
      <c r="AD35" s="361">
        <f t="shared" ref="AD35:AE35" si="136">AD36/AD32</f>
        <v>8.8374999999999981E-2</v>
      </c>
      <c r="AE35" s="362">
        <f t="shared" si="136"/>
        <v>8.8375000000000023E-2</v>
      </c>
      <c r="AF35" s="745"/>
      <c r="AG35" s="725"/>
      <c r="AH35" s="746"/>
      <c r="AI35" s="635"/>
      <c r="AJ35" s="361"/>
      <c r="AK35" s="362"/>
      <c r="AL35" s="361"/>
      <c r="AM35" s="362"/>
      <c r="AN35" s="361">
        <f t="shared" ref="AN35:AO35" si="137">AN36/AN32</f>
        <v>8.837499999999987E-2</v>
      </c>
      <c r="AO35" s="362">
        <f t="shared" si="137"/>
        <v>8.8374999999999912E-2</v>
      </c>
      <c r="AP35" s="745"/>
      <c r="AQ35" s="725"/>
      <c r="AR35" s="746"/>
      <c r="AS35" s="635"/>
      <c r="AT35" s="361"/>
      <c r="AU35" s="362"/>
      <c r="AV35" s="361"/>
      <c r="AW35" s="362"/>
      <c r="AX35" s="361">
        <f t="shared" ref="AX35:AY35" si="138">AX36/AX32</f>
        <v>8.7804878048780455E-2</v>
      </c>
      <c r="AY35" s="362">
        <f t="shared" si="138"/>
        <v>8.7804878048780455E-2</v>
      </c>
      <c r="AZ35" s="745"/>
      <c r="BA35" s="725"/>
      <c r="BB35" s="725"/>
      <c r="BC35" s="924"/>
      <c r="BD35" s="361"/>
      <c r="BE35" s="362"/>
      <c r="BF35" s="924"/>
      <c r="BG35" s="361"/>
      <c r="BH35" s="975"/>
      <c r="BI35" s="549">
        <f>8.5/7.8-1</f>
        <v>8.9743589743589869E-2</v>
      </c>
      <c r="BJ35" s="974"/>
      <c r="BK35" s="361">
        <f t="shared" ref="BK35:BL35" si="139">BK36/BK32</f>
        <v>8.7804878048780469E-2</v>
      </c>
      <c r="BL35" s="362">
        <f t="shared" si="139"/>
        <v>8.7804878048780455E-2</v>
      </c>
      <c r="BM35"/>
      <c r="BN35" s="924"/>
      <c r="BO35" s="361"/>
      <c r="BP35" s="975"/>
      <c r="BQ35" s="549">
        <f>8.5/7.8-1</f>
        <v>8.9743589743589869E-2</v>
      </c>
      <c r="BR35" s="974"/>
      <c r="BS35" s="361">
        <f t="shared" ref="BS35:BT35" si="140">BS36/BS32</f>
        <v>8.7804878048780469E-2</v>
      </c>
      <c r="BT35" s="362">
        <f t="shared" si="140"/>
        <v>8.7804878048780455E-2</v>
      </c>
      <c r="BU35" s="924"/>
      <c r="BV35" s="361"/>
      <c r="BW35" s="362"/>
      <c r="BY35" s="361"/>
      <c r="BZ35" s="975"/>
      <c r="CA35" s="361"/>
      <c r="CB35" s="975"/>
      <c r="CC35" s="361"/>
      <c r="CD35" s="975"/>
      <c r="CH35" s="361"/>
      <c r="CI35" s="975"/>
      <c r="CJ35" s="549">
        <f>8.5/7.8-1</f>
        <v>8.9743589743589869E-2</v>
      </c>
      <c r="CK35" s="974"/>
      <c r="CL35" s="361">
        <f t="shared" ref="CL35:CM35" si="141">CL36/CL32</f>
        <v>8.7804878048780469E-2</v>
      </c>
      <c r="CM35" s="362">
        <f t="shared" si="141"/>
        <v>8.7804878048780455E-2</v>
      </c>
      <c r="CN35" s="924"/>
    </row>
    <row r="36" spans="1:93" s="4" customFormat="1" ht="18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142">L32-L38</f>
        <v>2806.383043902435</v>
      </c>
      <c r="M36" s="351">
        <f t="shared" si="142"/>
        <v>0.68975609756097533</v>
      </c>
      <c r="N36" s="363"/>
      <c r="O36" s="351"/>
      <c r="P36" s="363"/>
      <c r="Q36" s="351"/>
      <c r="R36" s="363">
        <f t="shared" ref="R36:S36" si="143">R32-R38</f>
        <v>2806.383043902435</v>
      </c>
      <c r="S36" s="351">
        <f t="shared" si="143"/>
        <v>0.68975609756097533</v>
      </c>
      <c r="T36" s="363"/>
      <c r="U36" s="351"/>
      <c r="V36" s="363"/>
      <c r="W36" s="351"/>
      <c r="X36" s="363"/>
      <c r="Y36" s="351"/>
      <c r="Z36" s="363"/>
      <c r="AA36" s="351"/>
      <c r="AB36" s="363"/>
      <c r="AC36" s="351"/>
      <c r="AD36" s="363">
        <f t="shared" ref="AD36:AE36" si="144">AD32-AD38</f>
        <v>2820.1398235294109</v>
      </c>
      <c r="AE36" s="351">
        <f t="shared" si="144"/>
        <v>0.69313725490196099</v>
      </c>
      <c r="AF36" s="745">
        <f>IFERROR(AA36/$O36-1,0)</f>
        <v>0</v>
      </c>
      <c r="AG36" s="725">
        <f t="shared" ref="AG36:AH36" si="145">IFERROR(AB36/$O36-1,0)</f>
        <v>0</v>
      </c>
      <c r="AH36" s="746">
        <f t="shared" si="145"/>
        <v>0</v>
      </c>
      <c r="AI36" s="630"/>
      <c r="AJ36" s="363"/>
      <c r="AK36" s="351"/>
      <c r="AL36" s="363"/>
      <c r="AM36" s="351"/>
      <c r="AN36" s="363">
        <f t="shared" ref="AN36:AO36" si="146">AN32-AN38</f>
        <v>2820.1398235294073</v>
      </c>
      <c r="AO36" s="351">
        <f t="shared" si="146"/>
        <v>0.6931372549019601</v>
      </c>
      <c r="AP36" s="745">
        <f>IFERROR(AK36/$O36-1,0)</f>
        <v>0</v>
      </c>
      <c r="AQ36" s="725">
        <f t="shared" ref="AQ36:AR36" si="147">IFERROR(AL36/$O36-1,0)</f>
        <v>0</v>
      </c>
      <c r="AR36" s="746">
        <f t="shared" si="147"/>
        <v>0</v>
      </c>
      <c r="AS36" s="630"/>
      <c r="AT36" s="363"/>
      <c r="AU36" s="351"/>
      <c r="AV36" s="363"/>
      <c r="AW36" s="351"/>
      <c r="AX36" s="363">
        <f t="shared" ref="AX36:AY36" si="148">AX32-AX38</f>
        <v>2857.9855609756087</v>
      </c>
      <c r="AY36" s="351">
        <f t="shared" si="148"/>
        <v>0.70243902439024364</v>
      </c>
      <c r="AZ36" s="745">
        <f>IFERROR(AU36/$O36-1,0)</f>
        <v>0</v>
      </c>
      <c r="BA36" s="725">
        <f>IFERROR(AV36/$O36-1,0)</f>
        <v>0</v>
      </c>
      <c r="BB36" s="725">
        <f>IFERROR(AW36/$O36-1,0)</f>
        <v>0</v>
      </c>
      <c r="BD36" s="363"/>
      <c r="BE36" s="351"/>
      <c r="BG36" s="363"/>
      <c r="BH36" s="351"/>
      <c r="BI36" s="363"/>
      <c r="BJ36" s="351"/>
      <c r="BK36" s="363">
        <f t="shared" ref="BK36:BL36" si="149">BK32-BK38</f>
        <v>3036.6096585365849</v>
      </c>
      <c r="BL36" s="351">
        <f t="shared" si="149"/>
        <v>0.74634146341463392</v>
      </c>
      <c r="BM36"/>
      <c r="BO36" s="363"/>
      <c r="BP36" s="351"/>
      <c r="BQ36" s="363"/>
      <c r="BR36" s="351"/>
      <c r="BS36" s="363">
        <f t="shared" ref="BS36:BT36" si="150">BS32-BS38</f>
        <v>3036.6096585365849</v>
      </c>
      <c r="BT36" s="351">
        <f t="shared" si="150"/>
        <v>0.74634146341463392</v>
      </c>
      <c r="BV36" s="363"/>
      <c r="BW36" s="351"/>
      <c r="BY36" s="363"/>
      <c r="BZ36" s="351"/>
      <c r="CA36" s="363"/>
      <c r="CB36" s="351"/>
      <c r="CC36" s="363"/>
      <c r="CD36" s="351"/>
      <c r="CH36" s="363"/>
      <c r="CI36" s="351"/>
      <c r="CJ36" s="363"/>
      <c r="CK36" s="351"/>
      <c r="CL36" s="363">
        <f t="shared" ref="CL36:CM36" si="151">CL32-CL38</f>
        <v>3036.6096585365849</v>
      </c>
      <c r="CM36" s="351">
        <f t="shared" si="151"/>
        <v>0.74634146341463392</v>
      </c>
    </row>
    <row r="37" spans="1:93" s="4" customFormat="1" ht="18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28949.012078048781</v>
      </c>
      <c r="S37" s="55">
        <f>S38</f>
        <v>7.1151219512195123</v>
      </c>
      <c r="T37" s="54"/>
      <c r="U37" s="55"/>
      <c r="V37" s="54"/>
      <c r="W37" s="55"/>
      <c r="X37" s="54"/>
      <c r="Y37" s="55"/>
      <c r="Z37" s="54"/>
      <c r="AA37" s="55"/>
      <c r="AB37" s="54"/>
      <c r="AC37" s="55"/>
      <c r="AD37" s="54">
        <f>+AD38</f>
        <v>29090.918999999998</v>
      </c>
      <c r="AE37" s="55">
        <f>AE38</f>
        <v>7.1499999999999995</v>
      </c>
      <c r="AF37" s="742"/>
      <c r="AG37" s="743"/>
      <c r="AH37" s="750"/>
      <c r="AI37" s="630"/>
      <c r="AJ37" s="54"/>
      <c r="AK37" s="55"/>
      <c r="AL37" s="54"/>
      <c r="AM37" s="55"/>
      <c r="AN37" s="54">
        <f>+AN38</f>
        <v>29090.919000000002</v>
      </c>
      <c r="AO37" s="55">
        <f>AO38</f>
        <v>7.15</v>
      </c>
      <c r="AP37" s="742"/>
      <c r="AQ37" s="743"/>
      <c r="AR37" s="750"/>
      <c r="AS37" s="630"/>
      <c r="AT37" s="54"/>
      <c r="AU37" s="55"/>
      <c r="AV37" s="54"/>
      <c r="AW37" s="55"/>
      <c r="AX37" s="54">
        <f>+AX38</f>
        <v>29691.29443902439</v>
      </c>
      <c r="AY37" s="55">
        <f>AY38</f>
        <v>7.2975609756097564</v>
      </c>
      <c r="AZ37" s="742"/>
      <c r="BA37" s="743"/>
      <c r="BB37" s="743"/>
      <c r="BD37" s="54"/>
      <c r="BE37" s="55"/>
      <c r="BG37" s="54"/>
      <c r="BH37" s="55"/>
      <c r="BI37" s="54"/>
      <c r="BJ37" s="55"/>
      <c r="BK37" s="54">
        <f>+BK38</f>
        <v>31547.000341463416</v>
      </c>
      <c r="BL37" s="55">
        <f>BL38</f>
        <v>7.7536585365853661</v>
      </c>
      <c r="BM37"/>
      <c r="BO37" s="54"/>
      <c r="BP37" s="55"/>
      <c r="BQ37" s="54"/>
      <c r="BR37" s="55"/>
      <c r="BS37" s="54">
        <f>+BS38</f>
        <v>31547.000341463416</v>
      </c>
      <c r="BT37" s="55">
        <f>BT38</f>
        <v>7.7536585365853661</v>
      </c>
      <c r="BV37" s="54"/>
      <c r="BW37" s="55"/>
      <c r="BY37" s="54"/>
      <c r="BZ37" s="55"/>
      <c r="CA37" s="54"/>
      <c r="CB37" s="55"/>
      <c r="CC37" s="54"/>
      <c r="CD37" s="55"/>
      <c r="CH37" s="54"/>
      <c r="CI37" s="55"/>
      <c r="CJ37" s="54"/>
      <c r="CK37" s="55"/>
      <c r="CL37" s="54">
        <f>+CL38</f>
        <v>31547.000341463416</v>
      </c>
      <c r="CM37" s="55">
        <f>CM38</f>
        <v>7.7536585365853661</v>
      </c>
    </row>
    <row r="38" spans="1:93" s="4" customFormat="1" ht="18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28949.012078048781</v>
      </c>
      <c r="S38" s="55">
        <v>7.1151219512195123</v>
      </c>
      <c r="T38" s="54"/>
      <c r="U38" s="55"/>
      <c r="V38" s="54"/>
      <c r="W38" s="55"/>
      <c r="X38" s="54"/>
      <c r="Y38" s="55"/>
      <c r="Z38" s="54"/>
      <c r="AA38" s="55"/>
      <c r="AB38" s="54"/>
      <c r="AC38" s="55"/>
      <c r="AD38" s="54">
        <f>AE38*AD12</f>
        <v>29090.918999999998</v>
      </c>
      <c r="AE38" s="55">
        <v>7.1499999999999995</v>
      </c>
      <c r="AF38" s="742"/>
      <c r="AG38" s="743"/>
      <c r="AH38" s="750"/>
      <c r="AI38" s="630"/>
      <c r="AJ38" s="54"/>
      <c r="AK38" s="55"/>
      <c r="AL38" s="54"/>
      <c r="AM38" s="55"/>
      <c r="AN38" s="54">
        <f>AO38*AN12</f>
        <v>29090.919000000002</v>
      </c>
      <c r="AO38" s="55">
        <f>7.8*(50/51)*93.5%</f>
        <v>7.15</v>
      </c>
      <c r="AP38" s="742"/>
      <c r="AQ38" s="743"/>
      <c r="AR38" s="750"/>
      <c r="AS38" s="630"/>
      <c r="AT38" s="54"/>
      <c r="AU38" s="55"/>
      <c r="AV38" s="54"/>
      <c r="AW38" s="55"/>
      <c r="AX38" s="54">
        <f>AY38*AX12</f>
        <v>29691.29443902439</v>
      </c>
      <c r="AY38" s="55">
        <v>7.2975609756097564</v>
      </c>
      <c r="AZ38" s="742"/>
      <c r="BA38" s="743"/>
      <c r="BB38" s="743"/>
      <c r="BD38" s="54"/>
      <c r="BE38" s="55"/>
      <c r="BG38" s="54"/>
      <c r="BH38" s="55"/>
      <c r="BI38" s="54"/>
      <c r="BJ38" s="55"/>
      <c r="BK38" s="54">
        <f>BL38*BK12</f>
        <v>31547.000341463416</v>
      </c>
      <c r="BL38" s="55">
        <v>7.7536585365853661</v>
      </c>
      <c r="BM38"/>
      <c r="BO38" s="54"/>
      <c r="BP38" s="55"/>
      <c r="BQ38" s="54"/>
      <c r="BR38" s="55"/>
      <c r="BS38" s="54">
        <f>BT38*BS12</f>
        <v>31547.000341463416</v>
      </c>
      <c r="BT38" s="55">
        <v>7.7536585365853661</v>
      </c>
      <c r="BV38" s="54"/>
      <c r="BW38" s="55"/>
      <c r="BY38" s="54"/>
      <c r="BZ38" s="55"/>
      <c r="CA38" s="54"/>
      <c r="CB38" s="55"/>
      <c r="CC38" s="54"/>
      <c r="CD38" s="55"/>
      <c r="CH38" s="54"/>
      <c r="CI38" s="55"/>
      <c r="CJ38" s="54"/>
      <c r="CK38" s="55"/>
      <c r="CL38" s="54">
        <f>CM38*CL12</f>
        <v>31547.000341463416</v>
      </c>
      <c r="CM38" s="55">
        <v>7.7536585365853661</v>
      </c>
    </row>
    <row r="39" spans="1:93" s="4" customFormat="1" ht="18" customHeight="1" x14ac:dyDescent="0.45">
      <c r="A39" s="561"/>
      <c r="B39" s="1195"/>
      <c r="C39" s="25"/>
      <c r="D39" s="26"/>
      <c r="E39" s="26"/>
      <c r="F39" s="61"/>
      <c r="G39" s="41"/>
      <c r="H39" s="347"/>
      <c r="I39" s="346"/>
      <c r="J39" s="347"/>
      <c r="K39" s="346"/>
      <c r="L39" s="347"/>
      <c r="M39" s="346"/>
      <c r="N39" s="858"/>
      <c r="O39" s="859">
        <f>500/(7.34*3850)</f>
        <v>1.7693478183941399E-2</v>
      </c>
      <c r="P39" s="365"/>
      <c r="Q39" s="358"/>
      <c r="R39" s="365"/>
      <c r="S39" s="358"/>
      <c r="T39" s="858"/>
      <c r="U39" s="859">
        <f>500/(7.34*3850)</f>
        <v>1.7693478183941399E-2</v>
      </c>
      <c r="V39" s="858"/>
      <c r="W39" s="859">
        <f>500/(7.34*3850)</f>
        <v>1.7693478183941399E-2</v>
      </c>
      <c r="X39" s="365"/>
      <c r="Y39" s="358"/>
      <c r="Z39" s="365"/>
      <c r="AA39" s="358"/>
      <c r="AB39" s="365"/>
      <c r="AC39" s="358"/>
      <c r="AD39" s="365"/>
      <c r="AE39" s="358"/>
      <c r="AF39" s="751"/>
      <c r="AG39" s="752"/>
      <c r="AH39" s="753"/>
      <c r="AI39" s="634"/>
      <c r="AJ39" s="365"/>
      <c r="AK39" s="358"/>
      <c r="AL39" s="365"/>
      <c r="AM39" s="358"/>
      <c r="AN39" s="365"/>
      <c r="AO39" s="358"/>
      <c r="AP39" s="751"/>
      <c r="AQ39" s="752"/>
      <c r="AR39" s="753"/>
      <c r="AS39" s="634"/>
      <c r="AT39" s="365"/>
      <c r="AU39" s="358"/>
      <c r="AV39" s="365"/>
      <c r="AW39" s="358"/>
      <c r="AX39" s="365"/>
      <c r="AY39" s="358"/>
      <c r="AZ39" s="751"/>
      <c r="BA39" s="752"/>
      <c r="BB39" s="752"/>
      <c r="BD39" s="365"/>
      <c r="BE39" s="358"/>
      <c r="BG39" s="365"/>
      <c r="BH39" s="358"/>
      <c r="BI39" s="365"/>
      <c r="BJ39" s="358"/>
      <c r="BK39" s="365"/>
      <c r="BL39" s="358"/>
      <c r="BM39"/>
      <c r="BO39" s="365"/>
      <c r="BP39" s="358"/>
      <c r="BQ39" s="365"/>
      <c r="BR39" s="358"/>
      <c r="BS39" s="365"/>
      <c r="BT39" s="358"/>
      <c r="BV39" s="365"/>
      <c r="BW39" s="358"/>
      <c r="BY39" s="365"/>
      <c r="BZ39" s="358"/>
      <c r="CA39" s="365"/>
      <c r="CB39" s="358"/>
      <c r="CC39" s="365"/>
      <c r="CD39" s="358"/>
      <c r="CH39" s="365"/>
      <c r="CI39" s="358"/>
      <c r="CJ39" s="365"/>
      <c r="CK39" s="358"/>
      <c r="CL39" s="365"/>
      <c r="CM39" s="358"/>
    </row>
    <row r="40" spans="1:93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747"/>
      <c r="AG40" s="748"/>
      <c r="AH40" s="749"/>
      <c r="AI40" s="637"/>
      <c r="AJ40" s="364"/>
      <c r="AK40" s="360"/>
      <c r="AL40" s="364"/>
      <c r="AM40" s="360"/>
      <c r="AN40" s="364"/>
      <c r="AO40" s="360"/>
      <c r="AP40" s="747"/>
      <c r="AQ40" s="748"/>
      <c r="AR40" s="749"/>
      <c r="AS40" s="637"/>
      <c r="AT40" s="364"/>
      <c r="AU40" s="360"/>
      <c r="AV40" s="364"/>
      <c r="AW40" s="360"/>
      <c r="AX40" s="364"/>
      <c r="AY40" s="360"/>
      <c r="AZ40" s="747"/>
      <c r="BA40" s="748"/>
      <c r="BB40" s="748"/>
      <c r="BD40" s="364"/>
      <c r="BE40" s="360"/>
      <c r="BG40" s="364"/>
      <c r="BH40" s="360"/>
      <c r="BI40" s="364"/>
      <c r="BJ40" s="360"/>
      <c r="BK40" s="364"/>
      <c r="BL40" s="360"/>
      <c r="BM40"/>
      <c r="BO40" s="364"/>
      <c r="BP40" s="360"/>
      <c r="BQ40" s="364"/>
      <c r="BR40" s="360"/>
      <c r="BS40" s="364"/>
      <c r="BT40" s="360"/>
      <c r="BV40" s="364"/>
      <c r="BW40" s="360"/>
      <c r="BY40" s="42"/>
      <c r="BZ40" s="360"/>
      <c r="CA40" s="42"/>
      <c r="CB40" s="360"/>
      <c r="CC40" s="42"/>
      <c r="CD40" s="360"/>
      <c r="CH40" s="364"/>
      <c r="CI40" s="360"/>
      <c r="CJ40" s="364"/>
      <c r="CK40" s="360"/>
      <c r="CL40" s="364"/>
      <c r="CM40" s="360"/>
    </row>
    <row r="41" spans="1:93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F42-G61*F12</f>
        <v>543.53598818182218</v>
      </c>
      <c r="G41" s="24">
        <f>G42-G61</f>
        <v>0.13359090909090987</v>
      </c>
      <c r="H41" s="430">
        <f>H42-I61*H12</f>
        <v>500.81505818182222</v>
      </c>
      <c r="I41" s="24">
        <f>I42-I61</f>
        <v>0.12301389364747484</v>
      </c>
      <c r="J41" s="430">
        <f>J42-K61*J12</f>
        <v>573.16685773484232</v>
      </c>
      <c r="K41" s="24">
        <f>K42-K61</f>
        <v>0.14087361876756554</v>
      </c>
      <c r="L41" s="430">
        <f>L42-M61*L12</f>
        <v>410.24001073171121</v>
      </c>
      <c r="M41" s="24">
        <f>M42-M61</f>
        <v>0.10082926829268357</v>
      </c>
      <c r="N41" s="430">
        <f>N42-O61*N12</f>
        <v>471.25906016961335</v>
      </c>
      <c r="O41" s="24">
        <f>O42-O61</f>
        <v>0.11582660142887635</v>
      </c>
      <c r="P41" s="430">
        <f>P42-Q61*P12</f>
        <v>561.49617909638937</v>
      </c>
      <c r="Q41" s="24">
        <f>Q42-Q61</f>
        <v>0.13800518576051746</v>
      </c>
      <c r="R41" s="430">
        <f>R42-S61*R12</f>
        <v>388.91485228542979</v>
      </c>
      <c r="S41" s="24">
        <f>S42-S61</f>
        <v>9.5587945978633848E-2</v>
      </c>
      <c r="T41" s="430">
        <f>T42-U61*T12</f>
        <v>471.25906016961335</v>
      </c>
      <c r="U41" s="24">
        <f>U42-U61</f>
        <v>0.11582660142887635</v>
      </c>
      <c r="V41" s="430">
        <f>V42-W61*V12</f>
        <v>471.25906016961335</v>
      </c>
      <c r="W41" s="24">
        <f>W42-W61</f>
        <v>0.11582660142887635</v>
      </c>
      <c r="X41" s="430">
        <f>X42-Y61*X12</f>
        <v>459.16841710771814</v>
      </c>
      <c r="Y41" s="24">
        <f>Y42-Y61</f>
        <v>0.11285494907603966</v>
      </c>
      <c r="Z41" s="430">
        <f>Z42-AA61*Z12</f>
        <v>382.94596342555587</v>
      </c>
      <c r="AA41" s="24">
        <f>AA42-AA61</f>
        <v>9.4120905513254471E-2</v>
      </c>
      <c r="AB41" s="430">
        <f>AB42-AC61*AB12</f>
        <v>479.34605417766716</v>
      </c>
      <c r="AC41" s="24">
        <f>AC42-AC61</f>
        <v>0.11781423224788201</v>
      </c>
      <c r="AD41" s="430">
        <f>AD42-AE61*AD12</f>
        <v>294.97785000000067</v>
      </c>
      <c r="AE41" s="24">
        <f>AE42-AE61</f>
        <v>7.2500000000000342E-2</v>
      </c>
      <c r="AF41" s="754"/>
      <c r="AG41" s="723"/>
      <c r="AH41" s="755"/>
      <c r="AI41" s="630"/>
      <c r="AJ41" s="430">
        <f>AJ42-AK61*AJ12</f>
        <v>410.37984272727545</v>
      </c>
      <c r="AK41" s="24">
        <f>AK42-AK61</f>
        <v>0.10086363636363649</v>
      </c>
      <c r="AL41" s="430">
        <f>AL42-AM61*AL12</f>
        <v>535.3986681818219</v>
      </c>
      <c r="AM41" s="24">
        <f>AM42-AM61</f>
        <v>0.13159090909090987</v>
      </c>
      <c r="AN41" s="430">
        <f>AN42-AO61*AN12</f>
        <v>294.97785000000067</v>
      </c>
      <c r="AO41" s="24">
        <f>AO42-AO61</f>
        <v>7.2500000000000342E-2</v>
      </c>
      <c r="AP41" s="754"/>
      <c r="AQ41" s="723"/>
      <c r="AR41" s="755"/>
      <c r="AS41" s="630"/>
      <c r="AT41" s="430">
        <f>AT42-AU61*AT12</f>
        <v>445.8751479932921</v>
      </c>
      <c r="AU41" s="24">
        <f>AU42-AU61</f>
        <v>0.10958771388941158</v>
      </c>
      <c r="AV41" s="430">
        <f>AV42-AW61*AV12</f>
        <v>551.42516920840126</v>
      </c>
      <c r="AW41" s="24">
        <f>AW42-AW61</f>
        <v>0.13552992120462337</v>
      </c>
      <c r="AX41" s="430">
        <f>AX42-AY61*AX12</f>
        <v>349.55743536585715</v>
      </c>
      <c r="AY41" s="24">
        <f>AY42-AY61</f>
        <v>8.5914634146342039E-2</v>
      </c>
      <c r="AZ41" s="754"/>
      <c r="BA41" s="723"/>
      <c r="BB41" s="723"/>
      <c r="BD41" s="430">
        <f>BD42-BE61*BD12</f>
        <v>445.8751479932921</v>
      </c>
      <c r="BE41" s="24">
        <f>BE42-BE61</f>
        <v>0.10958771388941158</v>
      </c>
      <c r="BG41" s="430">
        <f>BG42-BH61*BG12</f>
        <v>459.04132234096778</v>
      </c>
      <c r="BH41" s="24">
        <f>BH42-BH61</f>
        <v>0.11282371157603954</v>
      </c>
      <c r="BI41" s="430">
        <f>BI42-BJ61*BI12</f>
        <v>556.87347817986029</v>
      </c>
      <c r="BJ41" s="24">
        <f>BJ42-BJ61</f>
        <v>0.13686901293788623</v>
      </c>
      <c r="BK41" s="430">
        <f>BK42-BL61*BK12</f>
        <v>368.73471695122225</v>
      </c>
      <c r="BL41" s="24">
        <f>BL42-BL61</f>
        <v>9.0628048780487802E-2</v>
      </c>
      <c r="BM41"/>
      <c r="BO41" s="710">
        <f>BO$42-BO$49</f>
        <v>268.74988398290952</v>
      </c>
      <c r="BP41" s="24">
        <f>BP$42-BP$49</f>
        <v>6.605365992314649E-2</v>
      </c>
      <c r="BQ41" s="430">
        <f>BQ42-BR61*BQ12</f>
        <v>69.841336116509865</v>
      </c>
      <c r="BR41" s="24">
        <f>BR42-BR61</f>
        <v>1.7165685045324452E-2</v>
      </c>
      <c r="BS41" s="430">
        <f>BS42-BT61*BS12</f>
        <v>-118.29742511212817</v>
      </c>
      <c r="BT41" s="24">
        <f>BT42-BT61</f>
        <v>-2.9075279112073971E-2</v>
      </c>
      <c r="BV41" s="430">
        <f>BV42-BW61*BV12</f>
        <v>512.94841260082148</v>
      </c>
      <c r="BW41" s="24">
        <f>BW42-BW61</f>
        <v>0.12607305909091027</v>
      </c>
      <c r="BY41" s="710">
        <v>0</v>
      </c>
      <c r="BZ41" s="24">
        <v>0</v>
      </c>
      <c r="CA41" s="710">
        <v>0</v>
      </c>
      <c r="CB41" s="24">
        <v>0</v>
      </c>
      <c r="CC41" s="710">
        <v>0</v>
      </c>
      <c r="CD41" s="24">
        <v>0</v>
      </c>
      <c r="CH41" s="710">
        <f>CH$42-CH$49</f>
        <v>110.15372734096673</v>
      </c>
      <c r="CI41" s="24">
        <f>CI$42-CI$49</f>
        <v>2.707371157603955E-2</v>
      </c>
      <c r="CJ41" s="430">
        <f>CJ42-CK61*CJ12</f>
        <v>-101.04238388348995</v>
      </c>
      <c r="CK41" s="24">
        <f>CK42-CK61</f>
        <v>-2.4834314954675474E-2</v>
      </c>
      <c r="CL41" s="430">
        <f>CL42-CM61*CL12</f>
        <v>-289.18114511212798</v>
      </c>
      <c r="CM41" s="24">
        <f>CM42-CM61</f>
        <v>-7.1075279112073897E-2</v>
      </c>
    </row>
    <row r="42" spans="1:93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K42" si="152">F32-F32/1.1</f>
        <v>2722.3034181818221</v>
      </c>
      <c r="G42" s="24">
        <f t="shared" si="152"/>
        <v>0.66909090909090985</v>
      </c>
      <c r="H42" s="42">
        <f t="shared" si="152"/>
        <v>2722.3034181818221</v>
      </c>
      <c r="I42" s="24">
        <f t="shared" si="152"/>
        <v>0.66901389364747477</v>
      </c>
      <c r="J42" s="42">
        <f t="shared" si="152"/>
        <v>2794.6552177348422</v>
      </c>
      <c r="K42" s="24">
        <f t="shared" si="152"/>
        <v>0.68687361876756547</v>
      </c>
      <c r="L42" s="42">
        <f>L38-L38/1.1</f>
        <v>2631.728370731711</v>
      </c>
      <c r="M42" s="24">
        <f>M38-M38/1.1</f>
        <v>0.6468292682926835</v>
      </c>
      <c r="N42" s="42">
        <f>N32-N32/1.1</f>
        <v>2714.0725786158946</v>
      </c>
      <c r="O42" s="24">
        <f>O32-O32/1.1</f>
        <v>0.66706792374292601</v>
      </c>
      <c r="P42" s="42">
        <f>P32-P32/1.1</f>
        <v>2804.3096975426706</v>
      </c>
      <c r="Q42" s="24">
        <f>Q32-Q32/1.1</f>
        <v>0.68924650807456711</v>
      </c>
      <c r="R42" s="42">
        <f>R38-R38/1.1</f>
        <v>2631.728370731711</v>
      </c>
      <c r="S42" s="24">
        <f>S38-S38/1.1</f>
        <v>0.6468292682926835</v>
      </c>
      <c r="T42" s="42">
        <f t="shared" ref="T42:AC42" si="153">T32-T32/1.1</f>
        <v>2714.0725786158946</v>
      </c>
      <c r="U42" s="24">
        <f t="shared" si="153"/>
        <v>0.66706792374292601</v>
      </c>
      <c r="V42" s="42">
        <f t="shared" si="153"/>
        <v>2714.0725786158946</v>
      </c>
      <c r="W42" s="24">
        <f t="shared" si="153"/>
        <v>0.66706792374292601</v>
      </c>
      <c r="X42" s="42">
        <f t="shared" si="153"/>
        <v>2958.2157273409684</v>
      </c>
      <c r="Y42" s="24">
        <f t="shared" si="153"/>
        <v>0.72707371157603973</v>
      </c>
      <c r="Z42" s="42">
        <f t="shared" si="153"/>
        <v>2732.597113425556</v>
      </c>
      <c r="AA42" s="24">
        <f t="shared" si="153"/>
        <v>0.67162090551325448</v>
      </c>
      <c r="AB42" s="42">
        <f t="shared" si="153"/>
        <v>2828.9972041776673</v>
      </c>
      <c r="AC42" s="24">
        <f t="shared" si="153"/>
        <v>0.69531423224788202</v>
      </c>
      <c r="AD42" s="42">
        <f>AD38-AD38/1.1</f>
        <v>2644.6290000000008</v>
      </c>
      <c r="AE42" s="24">
        <f>AE38-AE38/1.1</f>
        <v>0.65000000000000036</v>
      </c>
      <c r="AF42" s="754"/>
      <c r="AG42" s="723"/>
      <c r="AH42" s="755"/>
      <c r="AI42" s="630"/>
      <c r="AJ42" s="42">
        <f>AJ32-AJ32/1.1</f>
        <v>2760.0309927272756</v>
      </c>
      <c r="AK42" s="24">
        <f>AK32-AK32/1.1</f>
        <v>0.6783636363636365</v>
      </c>
      <c r="AL42" s="42">
        <f>AL32-AL32/1.1</f>
        <v>2885.049818181822</v>
      </c>
      <c r="AM42" s="24">
        <f>AM32-AM32/1.1</f>
        <v>0.70909090909090988</v>
      </c>
      <c r="AN42" s="42">
        <f>AN38-AN38/1.1</f>
        <v>2644.6290000000008</v>
      </c>
      <c r="AO42" s="24">
        <f>AO38-AO38/1.1</f>
        <v>0.65000000000000036</v>
      </c>
      <c r="AP42" s="754"/>
      <c r="AQ42" s="723"/>
      <c r="AR42" s="755"/>
      <c r="AS42" s="630"/>
      <c r="AT42" s="42">
        <f>AT32-AT32/1.1</f>
        <v>2795.5262979932922</v>
      </c>
      <c r="AU42" s="24">
        <f>AU32-AU32/1.1</f>
        <v>0.68708771388941159</v>
      </c>
      <c r="AV42" s="42">
        <f>AV32-AV32/1.1</f>
        <v>2901.0763192084014</v>
      </c>
      <c r="AW42" s="24">
        <f>AW32-AW32/1.1</f>
        <v>0.71302992120462338</v>
      </c>
      <c r="AX42" s="42">
        <f>AX38-AX38/1.1</f>
        <v>2699.2085853658573</v>
      </c>
      <c r="AY42" s="24">
        <f>AY38-AY38/1.1</f>
        <v>0.66341463414634205</v>
      </c>
      <c r="AZ42" s="754"/>
      <c r="BA42" s="723"/>
      <c r="BB42" s="723"/>
      <c r="BD42" s="42">
        <f>BD32-BD32/1.1</f>
        <v>2795.5262979932922</v>
      </c>
      <c r="BE42" s="24">
        <f>BE32-BE32/1.1</f>
        <v>0.68708771388941159</v>
      </c>
      <c r="BG42" s="42">
        <f>BG32-BG32/1.1</f>
        <v>2958.2157273409684</v>
      </c>
      <c r="BH42" s="24">
        <f>BH32-BH32/1.1</f>
        <v>0.72707371157603973</v>
      </c>
      <c r="BI42" s="42">
        <f>BI32-BI32/1.1</f>
        <v>3056.0478831798609</v>
      </c>
      <c r="BJ42" s="24">
        <f>BJ32-BJ32/1.1</f>
        <v>0.75111901293788641</v>
      </c>
      <c r="BK42" s="42">
        <f>BK38-BK38/1.1</f>
        <v>2867.9091219512229</v>
      </c>
      <c r="BL42" s="24">
        <f>BL38-BL38/1.1</f>
        <v>0.70487804878048799</v>
      </c>
      <c r="BM42" s="1056">
        <f>BN44*1.1</f>
        <v>0.72969719097278918</v>
      </c>
      <c r="BO42" s="42">
        <f>BO$32-BO$32/1.1</f>
        <v>2958.2157273409684</v>
      </c>
      <c r="BP42" s="24">
        <f>BP$32-BP$32/1.1</f>
        <v>0.72707371157603973</v>
      </c>
      <c r="BQ42" s="42">
        <f>BQ32-BQ32/1.1</f>
        <v>3056.0478831798609</v>
      </c>
      <c r="BR42" s="24">
        <f>BR32-BR32/1.1</f>
        <v>0.75111901293788641</v>
      </c>
      <c r="BS42" s="42">
        <f>BS38-BS38/1.1</f>
        <v>2867.9091219512229</v>
      </c>
      <c r="BT42" s="24">
        <f>BT38-BT38/1.1</f>
        <v>0.70487804878048799</v>
      </c>
      <c r="BV42" s="42">
        <f>BV32-BV32/1.1</f>
        <v>3332.6024181818211</v>
      </c>
      <c r="BW42" s="24">
        <f>BW32-BW32/1.1</f>
        <v>0.8190909090909102</v>
      </c>
      <c r="BY42" s="42">
        <v>0</v>
      </c>
      <c r="BZ42" s="24">
        <v>0</v>
      </c>
      <c r="CA42" s="42">
        <v>0</v>
      </c>
      <c r="CB42" s="24">
        <v>0</v>
      </c>
      <c r="CC42" s="42">
        <v>0</v>
      </c>
      <c r="CD42" s="24">
        <v>0</v>
      </c>
      <c r="CH42" s="42">
        <f>CH$32-CH$32/1.1</f>
        <v>2958.2157273409684</v>
      </c>
      <c r="CI42" s="24">
        <f>CI$32-CI$32/1.1</f>
        <v>0.72707371157603973</v>
      </c>
      <c r="CJ42" s="42">
        <f>CJ32-CJ32/1.1</f>
        <v>3056.0478831798609</v>
      </c>
      <c r="CK42" s="24">
        <f>CK32-CK32/1.1</f>
        <v>0.75111901293788641</v>
      </c>
      <c r="CL42" s="42">
        <f>CL38-CL38/1.1</f>
        <v>2867.9091219512229</v>
      </c>
      <c r="CM42" s="24">
        <f>CM38-CM38/1.1</f>
        <v>0.70487804878048799</v>
      </c>
    </row>
    <row r="43" spans="1:93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K43" si="154">+F44/F32</f>
        <v>0.11834688286022271</v>
      </c>
      <c r="G43" s="48">
        <f t="shared" si="154"/>
        <v>0.11834688286022284</v>
      </c>
      <c r="H43" s="47">
        <f t="shared" si="154"/>
        <v>0.10408057851239656</v>
      </c>
      <c r="I43" s="48">
        <f t="shared" si="154"/>
        <v>0.10398790745105062</v>
      </c>
      <c r="J43" s="47">
        <f t="shared" si="154"/>
        <v>0.12492177055158434</v>
      </c>
      <c r="K43" s="48">
        <f t="shared" si="154"/>
        <v>0.12492177055158432</v>
      </c>
      <c r="L43" s="361">
        <f>+L44/L38</f>
        <v>7.6374889087577405E-2</v>
      </c>
      <c r="M43" s="362">
        <f>+M44/M38</f>
        <v>7.6374889087577391E-2</v>
      </c>
      <c r="N43" s="361">
        <f>+N44/N32</f>
        <v>9.4496303293195028E-2</v>
      </c>
      <c r="O43" s="362">
        <f>+O44/O32</f>
        <v>9.4496303293195041E-2</v>
      </c>
      <c r="P43" s="361">
        <f>+P44/P32</f>
        <v>0.12070834056742678</v>
      </c>
      <c r="Q43" s="362">
        <f>+Q44/Q32</f>
        <v>0.12070834056742689</v>
      </c>
      <c r="R43" s="361">
        <f>+R44/R38</f>
        <v>6.9008434443534022E-2</v>
      </c>
      <c r="S43" s="362">
        <f>+S44/S38</f>
        <v>6.9008434443533995E-2</v>
      </c>
      <c r="T43" s="361">
        <f t="shared" ref="T43:AC43" si="155">+T44/T32</f>
        <v>9.4496303293195028E-2</v>
      </c>
      <c r="U43" s="362">
        <f t="shared" si="155"/>
        <v>9.4496303293195041E-2</v>
      </c>
      <c r="V43" s="361">
        <f t="shared" si="155"/>
        <v>9.4496303293195028E-2</v>
      </c>
      <c r="W43" s="362">
        <f t="shared" si="155"/>
        <v>9.4496303293195041E-2</v>
      </c>
      <c r="X43" s="361">
        <f t="shared" si="155"/>
        <v>8.2981889923440966E-2</v>
      </c>
      <c r="Y43" s="362">
        <f t="shared" si="155"/>
        <v>8.2981889923440938E-2</v>
      </c>
      <c r="Z43" s="361">
        <f t="shared" si="155"/>
        <v>6.4475363484550102E-2</v>
      </c>
      <c r="AA43" s="362">
        <f t="shared" si="155"/>
        <v>6.4475363484549963E-2</v>
      </c>
      <c r="AB43" s="361">
        <f t="shared" si="155"/>
        <v>9.3256238604135844E-2</v>
      </c>
      <c r="AC43" s="362">
        <f t="shared" si="155"/>
        <v>9.3256238604135774E-2</v>
      </c>
      <c r="AD43" s="361">
        <f>+AD44/AD38</f>
        <v>3.6380974397503346E-2</v>
      </c>
      <c r="AE43" s="362">
        <f>+AE44/AE38</f>
        <v>3.6380974397503235E-2</v>
      </c>
      <c r="AF43" s="745"/>
      <c r="AG43" s="725"/>
      <c r="AH43" s="746"/>
      <c r="AI43" s="635"/>
      <c r="AJ43" s="361">
        <f>+AJ44/AJ32</f>
        <v>7.2870588391652669E-2</v>
      </c>
      <c r="AK43" s="362">
        <f>+AK44/AK32</f>
        <v>7.2870588391652683E-2</v>
      </c>
      <c r="AL43" s="361">
        <f>+AL44/AL32</f>
        <v>0.10910680228862042</v>
      </c>
      <c r="AM43" s="362">
        <f>+AM44/AM32</f>
        <v>0.10910680228862038</v>
      </c>
      <c r="AN43" s="361">
        <f>+AN44/AN38</f>
        <v>3.6380974397503464E-2</v>
      </c>
      <c r="AO43" s="362">
        <f>+AO44/AO38</f>
        <v>3.6380974397503353E-2</v>
      </c>
      <c r="AP43" s="745"/>
      <c r="AQ43" s="725"/>
      <c r="AR43" s="746"/>
      <c r="AS43" s="635"/>
      <c r="AT43" s="361">
        <f>+AT44/AT32</f>
        <v>8.348822971885983E-2</v>
      </c>
      <c r="AU43" s="362">
        <f>+AU44/AU32</f>
        <v>8.3488229718859761E-2</v>
      </c>
      <c r="AV43" s="361">
        <f>+AV44/AV32</f>
        <v>0.11352617796103114</v>
      </c>
      <c r="AW43" s="362">
        <f>+AW44/AW32</f>
        <v>0.113526177961031</v>
      </c>
      <c r="AX43" s="361">
        <f>+AX44/AX38</f>
        <v>5.4027682635789089E-2</v>
      </c>
      <c r="AY43" s="362">
        <f>+AY44/AY38</f>
        <v>5.4027682635789089E-2</v>
      </c>
      <c r="AZ43" s="745"/>
      <c r="BA43" s="725"/>
      <c r="BB43" s="725"/>
      <c r="BC43" s="283"/>
      <c r="BD43" s="361">
        <f>+BD44/BD32</f>
        <v>8.348822971885983E-2</v>
      </c>
      <c r="BE43" s="362">
        <f>+BE44/BE32</f>
        <v>8.3488229718859761E-2</v>
      </c>
      <c r="BF43" s="283"/>
      <c r="BG43" s="361">
        <f>+BG44/BG32</f>
        <v>8.2942832360472396E-2</v>
      </c>
      <c r="BH43" s="362">
        <f>+BH44/BH32</f>
        <v>8.2942832360472299E-2</v>
      </c>
      <c r="BI43" s="361">
        <f>+BI44/BI32</f>
        <v>0.10939001201153035</v>
      </c>
      <c r="BJ43" s="362">
        <f>+BJ44/BJ32</f>
        <v>0.10939001201153029</v>
      </c>
      <c r="BK43" s="361">
        <f>+BK44/BK38</f>
        <v>5.6928539303642875E-2</v>
      </c>
      <c r="BL43" s="362">
        <f>+BL44/BL38</f>
        <v>5.6928539303642882E-2</v>
      </c>
      <c r="BM43" s="344"/>
      <c r="BN43" s="283"/>
      <c r="BO43" s="361">
        <f>+BO$44/BO$32</f>
        <v>8.2589675286361547E-2</v>
      </c>
      <c r="BP43" s="362">
        <f>+BP$44/BP$32</f>
        <v>8.2589675286361561E-2</v>
      </c>
      <c r="BQ43" s="361">
        <f>+BQ44/BQ32</f>
        <v>-3.5488769247672428E-2</v>
      </c>
      <c r="BR43" s="362">
        <f>+BR44/BR32</f>
        <v>-3.5488769247672455E-2</v>
      </c>
      <c r="BS43" s="361">
        <f>+BS44/BS38</f>
        <v>-9.7454488176540732E-2</v>
      </c>
      <c r="BT43" s="362">
        <f>+BT44/BT38</f>
        <v>-9.7454488176540691E-2</v>
      </c>
      <c r="BU43" s="283"/>
      <c r="BV43" s="361">
        <f>+BV44/BV32</f>
        <v>8.8330139606130759E-2</v>
      </c>
      <c r="BW43" s="362">
        <f>+BW44/BW32</f>
        <v>8.8330139606130842E-2</v>
      </c>
      <c r="BY43" s="361">
        <f t="shared" ref="BY43:CD43" si="156">+BY44/BY31</f>
        <v>0.17721518987341772</v>
      </c>
      <c r="BZ43" s="362">
        <f t="shared" si="156"/>
        <v>0.17721518987341764</v>
      </c>
      <c r="CA43" s="361">
        <f t="shared" si="156"/>
        <v>0.17491778425655974</v>
      </c>
      <c r="CB43" s="362">
        <f t="shared" si="156"/>
        <v>0.17491778425655971</v>
      </c>
      <c r="CC43" s="361">
        <f t="shared" si="156"/>
        <v>0.16666666666666666</v>
      </c>
      <c r="CD43" s="362">
        <f t="shared" si="156"/>
        <v>0.16666666666666666</v>
      </c>
      <c r="CF43" s="65" t="s">
        <v>535</v>
      </c>
      <c r="CH43" s="361">
        <f>+CH$44/CH$32</f>
        <v>3.3851402790750128E-2</v>
      </c>
      <c r="CI43" s="362">
        <f>+CI$44/CI$32</f>
        <v>3.3851402790750072E-2</v>
      </c>
      <c r="CJ43" s="361">
        <f>+CJ44/CJ32</f>
        <v>-8.6322016075596419E-2</v>
      </c>
      <c r="CK43" s="362">
        <f>+CK44/CK32</f>
        <v>-8.6322016075596433E-2</v>
      </c>
      <c r="CL43" s="361">
        <f>+CL44/CL38</f>
        <v>-0.15162246552790906</v>
      </c>
      <c r="CM43" s="362">
        <f>+CM44/CM38</f>
        <v>-0.15162246552790901</v>
      </c>
      <c r="CN43" s="283"/>
    </row>
    <row r="44" spans="1:93" s="4" customFormat="1" ht="18" customHeight="1" x14ac:dyDescent="0.45">
      <c r="A44" s="561"/>
      <c r="B44" s="1194"/>
      <c r="C44" s="15" t="s">
        <v>48</v>
      </c>
      <c r="D44" s="16"/>
      <c r="E44" s="35"/>
      <c r="F44" s="42">
        <f t="shared" ref="F44:K44" si="157">+F32-F45-F41</f>
        <v>3543.9373611570227</v>
      </c>
      <c r="G44" s="24">
        <f t="shared" si="157"/>
        <v>0.87103305785124008</v>
      </c>
      <c r="H44" s="42">
        <f t="shared" si="157"/>
        <v>3116.7280611570209</v>
      </c>
      <c r="I44" s="24">
        <f t="shared" si="157"/>
        <v>0.76526290341688574</v>
      </c>
      <c r="J44" s="42">
        <f t="shared" si="157"/>
        <v>3840.2460566872583</v>
      </c>
      <c r="K44" s="24">
        <f t="shared" si="157"/>
        <v>0.94386015461779993</v>
      </c>
      <c r="L44" s="42">
        <f>+L38-L45-L41</f>
        <v>2210.9775866559144</v>
      </c>
      <c r="M44" s="24">
        <f>+M38-M45-M41</f>
        <v>0.54341664986897753</v>
      </c>
      <c r="N44" s="42">
        <f>+N32-N45-N41</f>
        <v>2821.168081034943</v>
      </c>
      <c r="O44" s="24">
        <f>+O32-O45-O41</f>
        <v>0.69338998123090734</v>
      </c>
      <c r="P44" s="42">
        <f>+P32-P45-P41</f>
        <v>3723.539270302696</v>
      </c>
      <c r="Q44" s="24">
        <f>+Q32-Q45-Q41</f>
        <v>0.91517582454732016</v>
      </c>
      <c r="R44" s="42">
        <f>+R38-R45-R41</f>
        <v>1997.7260021931038</v>
      </c>
      <c r="S44" s="24">
        <f>+S38-S45-S41</f>
        <v>0.49100342672848141</v>
      </c>
      <c r="T44" s="42">
        <f t="shared" ref="T44:AC44" si="158">+T32-T45-T41</f>
        <v>2821.168081034943</v>
      </c>
      <c r="U44" s="24">
        <f t="shared" si="158"/>
        <v>0.69338998123090734</v>
      </c>
      <c r="V44" s="42">
        <f t="shared" si="158"/>
        <v>2821.168081034943</v>
      </c>
      <c r="W44" s="24">
        <f t="shared" si="158"/>
        <v>0.69338998123090734</v>
      </c>
      <c r="X44" s="42">
        <f t="shared" si="158"/>
        <v>2700.2616504159992</v>
      </c>
      <c r="Y44" s="24">
        <f t="shared" si="158"/>
        <v>0.6636734577025355</v>
      </c>
      <c r="Z44" s="42">
        <f t="shared" si="158"/>
        <v>1938.0371135943956</v>
      </c>
      <c r="AA44" s="24">
        <f t="shared" si="158"/>
        <v>0.47633302207468586</v>
      </c>
      <c r="AB44" s="42">
        <f t="shared" si="158"/>
        <v>2902.0380211154793</v>
      </c>
      <c r="AC44" s="24">
        <f t="shared" si="158"/>
        <v>0.7132662894209586</v>
      </c>
      <c r="AD44" s="42">
        <f>+AD38-AD45-AD41</f>
        <v>1058.3559793388436</v>
      </c>
      <c r="AE44" s="24">
        <f>+AE38-AE45-AE41</f>
        <v>0.26012396694214812</v>
      </c>
      <c r="AF44" s="754">
        <f>AA44/$O44-1</f>
        <v>-0.31303734555105844</v>
      </c>
      <c r="AG44" s="723">
        <f>AC44/$Q44-1</f>
        <v>-0.22062376399227268</v>
      </c>
      <c r="AH44" s="755">
        <f>AE44/$S44-1</f>
        <v>-0.47021965065430527</v>
      </c>
      <c r="AI44" s="65"/>
      <c r="AJ44" s="42">
        <f>+AJ32-AJ45-AJ41</f>
        <v>2212.3759066115695</v>
      </c>
      <c r="AK44" s="24">
        <f>+AK32-AK45-AK41</f>
        <v>0.54376033057851225</v>
      </c>
      <c r="AL44" s="42">
        <f>+AL32-AL45-AL41</f>
        <v>3462.5641611570231</v>
      </c>
      <c r="AM44" s="24">
        <f>+AM32-AM45-AM41</f>
        <v>0.85103305785123895</v>
      </c>
      <c r="AN44" s="42">
        <f>+AN38-AN45-AN41</f>
        <v>1058.3559793388472</v>
      </c>
      <c r="AO44" s="24">
        <f>+AO38-AO45-AO41</f>
        <v>0.26012396694214901</v>
      </c>
      <c r="AP44" s="754">
        <f>AK44/$O44-1</f>
        <v>-0.21579436493554782</v>
      </c>
      <c r="AQ44" s="723">
        <f>AM44/$Q44-1</f>
        <v>-7.0087916415196627E-2</v>
      </c>
      <c r="AR44" s="755">
        <f>AO44/$S44-1</f>
        <v>-0.47021965065430338</v>
      </c>
      <c r="AS44" s="65"/>
      <c r="AT44" s="42">
        <f>+AT32-AT45-AT41</f>
        <v>2567.3289592717542</v>
      </c>
      <c r="AU44" s="24">
        <f>+AU32-AU45-AU41</f>
        <v>0.63100110583625868</v>
      </c>
      <c r="AV44" s="42">
        <f>+AV32-AV45-AV41</f>
        <v>3622.8291714228458</v>
      </c>
      <c r="AW44" s="24">
        <f>+AW32-AW45-AW41</f>
        <v>0.89042317898837486</v>
      </c>
      <c r="AX44" s="42">
        <f>+AX38-AX45-AX41</f>
        <v>1604.1518329973792</v>
      </c>
      <c r="AY44" s="24">
        <f>+AY38-AY45-AY41</f>
        <v>0.39427030840556332</v>
      </c>
      <c r="AZ44" s="754">
        <f>AU44/$O44-1</f>
        <v>-8.9976603474852368E-2</v>
      </c>
      <c r="BA44" s="723">
        <f>AW44/$Q44-1</f>
        <v>-2.7046874376504548E-2</v>
      </c>
      <c r="BB44" s="723">
        <f>AY44/$S44-1</f>
        <v>-0.19701108598659589</v>
      </c>
      <c r="BC44" s="283"/>
      <c r="BD44" s="42">
        <f>+BD32-BD45-BD41</f>
        <v>2567.3289592717542</v>
      </c>
      <c r="BE44" s="24">
        <f>+BE32-BE45-BE41</f>
        <v>0.63100110583625868</v>
      </c>
      <c r="BF44" s="283"/>
      <c r="BG44" s="42">
        <f>+BG32-BG45-BG41</f>
        <v>2698.9907027485015</v>
      </c>
      <c r="BH44" s="24">
        <f>+BH32-BH45-BH41</f>
        <v>0.66336108270253558</v>
      </c>
      <c r="BI44" s="42">
        <f>+BI32-BI45-BI41</f>
        <v>3677.3122611374229</v>
      </c>
      <c r="BJ44" s="24">
        <f>+BJ32-BJ45-BJ41</f>
        <v>0.90381409632100507</v>
      </c>
      <c r="BK44" s="42">
        <f>+BK38-BK45-BK41</f>
        <v>1795.9246488510353</v>
      </c>
      <c r="BL44" s="24">
        <f>+BL38-BL45-BL41</f>
        <v>0.44140445474702616</v>
      </c>
      <c r="BM44" s="344">
        <f>BH32-BH42</f>
        <v>7.2707371157603875</v>
      </c>
      <c r="BN44" s="1086">
        <f>BM44-BM45</f>
        <v>0.66336108270253558</v>
      </c>
      <c r="BO44" s="42">
        <f>+BO$32-BO$45-BO$41</f>
        <v>2687.4988398290807</v>
      </c>
      <c r="BP44" s="24">
        <f>+BP$32-BP$45-BP$41</f>
        <v>0.66053659923146224</v>
      </c>
      <c r="BQ44" s="42">
        <f>+BQ32-BQ45-BQ41</f>
        <v>-1193.0091594960854</v>
      </c>
      <c r="BR44" s="24">
        <f>+BR32-BR45-BR41</f>
        <v>-0.29321918260461344</v>
      </c>
      <c r="BS44" s="42">
        <f>+BS38-BS45-BS41</f>
        <v>-3074.396771782473</v>
      </c>
      <c r="BT44" s="24">
        <f>+BT38-BT45-BT41</f>
        <v>-0.75562882417859234</v>
      </c>
      <c r="BU44" s="283"/>
      <c r="BV44" s="42">
        <f>+BV32-BV45-BV41</f>
        <v>3238.061605347018</v>
      </c>
      <c r="BW44" s="24">
        <f>+BW32-BW45-BW41</f>
        <v>0.79585455785123882</v>
      </c>
      <c r="BY44" s="42">
        <f t="shared" ref="BY44:CD44" si="159">+BY31-BY45-BY41</f>
        <v>28000</v>
      </c>
      <c r="BZ44" s="24">
        <f t="shared" si="159"/>
        <v>1.2280701754385959</v>
      </c>
      <c r="CA44" s="42">
        <f t="shared" si="159"/>
        <v>29998.399999999994</v>
      </c>
      <c r="CB44" s="24">
        <f t="shared" si="159"/>
        <v>1.3157192982456136</v>
      </c>
      <c r="CC44" s="42">
        <f t="shared" si="159"/>
        <v>32000</v>
      </c>
      <c r="CD44" s="24">
        <f t="shared" si="159"/>
        <v>1.4035087719298245</v>
      </c>
      <c r="CF44" s="1090" t="s">
        <v>536</v>
      </c>
      <c r="CH44" s="42">
        <f>+CH$32-CH$45-CH$41</f>
        <v>1101.53727340966</v>
      </c>
      <c r="CI44" s="24">
        <f>+CI$32-CI$45-CI$41</f>
        <v>0.2707371157603875</v>
      </c>
      <c r="CJ44" s="42">
        <f>+CJ32-CJ45-CJ41</f>
        <v>-2901.8463594960854</v>
      </c>
      <c r="CK44" s="24">
        <f>+CK32-CK45-CK41</f>
        <v>-0.71321918260461326</v>
      </c>
      <c r="CL44" s="42">
        <f>+CL38-CL45-CL41</f>
        <v>-4783.2339717824725</v>
      </c>
      <c r="CM44" s="24">
        <f>+CM38-CM45-CM41</f>
        <v>-1.1756288241785922</v>
      </c>
      <c r="CN44" s="283"/>
    </row>
    <row r="45" spans="1:93" s="4" customFormat="1" ht="18" customHeight="1" x14ac:dyDescent="0.45">
      <c r="A45" s="561"/>
      <c r="B45" s="1194"/>
      <c r="C45" s="19" t="s">
        <v>49</v>
      </c>
      <c r="D45" s="20"/>
      <c r="E45" s="30"/>
      <c r="F45" s="66">
        <f>+G56*F12</f>
        <v>25857.864250661154</v>
      </c>
      <c r="G45" s="32">
        <f>+G56</f>
        <v>6.3553760330578504</v>
      </c>
      <c r="H45" s="66">
        <f>+I56*H12</f>
        <v>26327.794480661156</v>
      </c>
      <c r="I45" s="32">
        <f>+I56</f>
        <v>6.4708760330578512</v>
      </c>
      <c r="J45" s="66">
        <f>+K56*J12</f>
        <v>26327.794480661156</v>
      </c>
      <c r="K45" s="32">
        <f>+K56</f>
        <v>6.4708760330578512</v>
      </c>
      <c r="L45" s="66">
        <f>+M56*L12</f>
        <v>26327.794480661156</v>
      </c>
      <c r="M45" s="32">
        <f>+M56</f>
        <v>6.4708760330578512</v>
      </c>
      <c r="N45" s="66">
        <f>+O56*N12</f>
        <v>26562.371223570248</v>
      </c>
      <c r="O45" s="32">
        <f>+O56</f>
        <v>6.528530578512397</v>
      </c>
      <c r="P45" s="66">
        <f>+Q56*P12</f>
        <v>26562.371223570248</v>
      </c>
      <c r="Q45" s="32">
        <f>+Q56</f>
        <v>6.528530578512397</v>
      </c>
      <c r="R45" s="66">
        <f>+S56*R12</f>
        <v>26562.371223570248</v>
      </c>
      <c r="S45" s="32">
        <f>+S56</f>
        <v>6.528530578512397</v>
      </c>
      <c r="T45" s="66">
        <f>+U56*T12</f>
        <v>26562.371223570248</v>
      </c>
      <c r="U45" s="32">
        <f>+U56</f>
        <v>6.528530578512397</v>
      </c>
      <c r="V45" s="66">
        <f>+W56*V12</f>
        <v>26562.371223570248</v>
      </c>
      <c r="W45" s="32">
        <f>+W56</f>
        <v>6.528530578512397</v>
      </c>
      <c r="X45" s="66">
        <f>+Y56*X12</f>
        <v>29380.94293322691</v>
      </c>
      <c r="Y45" s="32">
        <f>+Y56</f>
        <v>7.2212824205578521</v>
      </c>
      <c r="Z45" s="66">
        <f>+AA56*Z12</f>
        <v>27737.585170661154</v>
      </c>
      <c r="AA45" s="32">
        <f>+AA56</f>
        <v>6.817376033057851</v>
      </c>
      <c r="AB45" s="66">
        <f>+AC56*AB12</f>
        <v>27737.585170661154</v>
      </c>
      <c r="AC45" s="32">
        <f>+AC56</f>
        <v>6.817376033057851</v>
      </c>
      <c r="AD45" s="66">
        <f>+AE56*AD12</f>
        <v>27737.585170661154</v>
      </c>
      <c r="AE45" s="32">
        <f>+AE56</f>
        <v>6.817376033057851</v>
      </c>
      <c r="AF45" s="783"/>
      <c r="AG45" s="724"/>
      <c r="AH45" s="782"/>
      <c r="AI45" s="630"/>
      <c r="AJ45" s="66">
        <f>+AK56*AJ12</f>
        <v>27737.585170661154</v>
      </c>
      <c r="AK45" s="32">
        <f>+AK56</f>
        <v>6.817376033057851</v>
      </c>
      <c r="AL45" s="66">
        <f>+AM56*AL12</f>
        <v>27737.585170661154</v>
      </c>
      <c r="AM45" s="32">
        <f>+AM56</f>
        <v>6.817376033057851</v>
      </c>
      <c r="AN45" s="66">
        <f>+AO56*AN12</f>
        <v>27737.585170661154</v>
      </c>
      <c r="AO45" s="32">
        <f>+AO56</f>
        <v>6.817376033057851</v>
      </c>
      <c r="AP45" s="783"/>
      <c r="AQ45" s="724"/>
      <c r="AR45" s="782"/>
      <c r="AS45" s="630"/>
      <c r="AT45" s="66">
        <f>+AU56*AT12</f>
        <v>27737.585170661154</v>
      </c>
      <c r="AU45" s="32">
        <f>+AU56</f>
        <v>6.817376033057851</v>
      </c>
      <c r="AV45" s="66">
        <f>+AW56*AV12</f>
        <v>27737.585170661154</v>
      </c>
      <c r="AW45" s="32">
        <f>+AW56</f>
        <v>6.817376033057851</v>
      </c>
      <c r="AX45" s="66">
        <f>+AY56*AX12</f>
        <v>27737.585170661154</v>
      </c>
      <c r="AY45" s="32">
        <f>+AY56</f>
        <v>6.817376033057851</v>
      </c>
      <c r="AZ45" s="783"/>
      <c r="BA45" s="724"/>
      <c r="BB45" s="724"/>
      <c r="BC45" s="630"/>
      <c r="BD45" s="66">
        <f>+BE56*BD12</f>
        <v>27737.585170661154</v>
      </c>
      <c r="BE45" s="32">
        <f>+BE56</f>
        <v>6.817376033057851</v>
      </c>
      <c r="BF45" s="630"/>
      <c r="BG45" s="66">
        <f>+BH56*BG12</f>
        <v>29382.340975661158</v>
      </c>
      <c r="BH45" s="32">
        <f>+BH56</f>
        <v>7.2216260330578521</v>
      </c>
      <c r="BI45" s="66">
        <f>+BJ56*BI12</f>
        <v>29382.340975661158</v>
      </c>
      <c r="BJ45" s="32">
        <f t="shared" ref="BJ45" si="160">+BJ56</f>
        <v>7.2216260330578521</v>
      </c>
      <c r="BK45" s="66">
        <f>+BL56*BK12</f>
        <v>29382.340975661158</v>
      </c>
      <c r="BL45" s="32">
        <f t="shared" ref="BL45" si="161">+BL56</f>
        <v>7.2216260330578521</v>
      </c>
      <c r="BM45" s="344">
        <f>BH45-BH61</f>
        <v>6.6073760330578519</v>
      </c>
      <c r="BN45" s="630"/>
      <c r="BO45" s="66">
        <f>+BP45*BO12</f>
        <v>29584.124276938637</v>
      </c>
      <c r="BP45" s="32">
        <v>7.2712205681818185</v>
      </c>
      <c r="BQ45" s="66">
        <f>+BR56*BQ12</f>
        <v>34739.694538358017</v>
      </c>
      <c r="BR45" s="32">
        <f t="shared" ref="BR45" si="162">+BR56</f>
        <v>8.5383626398760324</v>
      </c>
      <c r="BS45" s="66">
        <f>+BT56*BS12</f>
        <v>34739.694538358017</v>
      </c>
      <c r="BT45" s="32">
        <f t="shared" ref="BT45" si="163">+BT56</f>
        <v>8.5383626398760324</v>
      </c>
      <c r="BU45" s="630"/>
      <c r="BV45" s="66">
        <f>+BW56*BV12</f>
        <v>32907.616582052156</v>
      </c>
      <c r="BW45" s="32">
        <f>+BW56</f>
        <v>8.0880723830578507</v>
      </c>
      <c r="BY45" s="66">
        <v>130000</v>
      </c>
      <c r="BZ45" s="32">
        <f>BY45/BY12</f>
        <v>5.7017543859649127</v>
      </c>
      <c r="CA45" s="66">
        <v>141501.6</v>
      </c>
      <c r="CB45" s="32">
        <f>CA45/CA12</f>
        <v>6.2062105263157896</v>
      </c>
      <c r="CC45" s="66">
        <v>160000</v>
      </c>
      <c r="CD45" s="32">
        <f>CC45/CC12</f>
        <v>7.0175438596491224</v>
      </c>
      <c r="CH45" s="66">
        <f>+CI45*CH12</f>
        <v>31328.682000000001</v>
      </c>
      <c r="CI45" s="32">
        <v>7.7</v>
      </c>
      <c r="CJ45" s="66">
        <f>+CK56*CJ12</f>
        <v>36619.415458358017</v>
      </c>
      <c r="CK45" s="32">
        <f t="shared" ref="CK45" si="164">+CK56</f>
        <v>9.0003626398760321</v>
      </c>
      <c r="CL45" s="66">
        <f>+CM56*CL12</f>
        <v>36619.415458358017</v>
      </c>
      <c r="CM45" s="32">
        <f t="shared" ref="CM45" si="165">+CM56</f>
        <v>9.0003626398760321</v>
      </c>
      <c r="CN45" s="630"/>
    </row>
    <row r="46" spans="1:93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704">
        <f>Q44/AC44-1</f>
        <v>0.28307735570999015</v>
      </c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751"/>
      <c r="AG46" s="752"/>
      <c r="AH46" s="753"/>
      <c r="AI46" s="634"/>
      <c r="AJ46" s="352">
        <v>0</v>
      </c>
      <c r="AK46" s="358"/>
      <c r="AL46" s="352">
        <v>0</v>
      </c>
      <c r="AM46" s="358"/>
      <c r="AN46" s="352">
        <v>0</v>
      </c>
      <c r="AO46" s="358"/>
      <c r="AP46" s="751"/>
      <c r="AQ46" s="752"/>
      <c r="AR46" s="753"/>
      <c r="AS46" s="634"/>
      <c r="AT46" s="352">
        <v>0</v>
      </c>
      <c r="AU46" s="358"/>
      <c r="AV46" s="352">
        <v>0</v>
      </c>
      <c r="AW46" s="358"/>
      <c r="AX46" s="352">
        <v>0</v>
      </c>
      <c r="AY46" s="358"/>
      <c r="AZ46" s="751"/>
      <c r="BA46" s="752"/>
      <c r="BB46" s="752"/>
      <c r="BC46" s="632"/>
      <c r="BD46" s="352">
        <v>0</v>
      </c>
      <c r="BE46" s="358"/>
      <c r="BF46" s="632"/>
      <c r="BG46" s="352">
        <v>0</v>
      </c>
      <c r="BH46" s="358"/>
      <c r="BI46" s="352">
        <v>0</v>
      </c>
      <c r="BJ46" s="358"/>
      <c r="BK46" s="352">
        <v>0</v>
      </c>
      <c r="BL46" s="358"/>
      <c r="BM46"/>
      <c r="BN46" s="632"/>
      <c r="BO46" s="352">
        <v>0</v>
      </c>
      <c r="BP46" s="358"/>
      <c r="BQ46" s="352">
        <v>0</v>
      </c>
      <c r="BR46" s="358"/>
      <c r="BS46" s="352">
        <v>0</v>
      </c>
      <c r="BT46" s="358"/>
      <c r="BU46" s="632"/>
      <c r="BV46" s="352">
        <v>0</v>
      </c>
      <c r="BW46" s="358"/>
      <c r="BY46" s="352">
        <v>0</v>
      </c>
      <c r="BZ46" s="358"/>
      <c r="CA46" s="352">
        <v>0</v>
      </c>
      <c r="CB46" s="358"/>
      <c r="CC46" s="352">
        <v>0</v>
      </c>
      <c r="CD46" s="358"/>
      <c r="CH46" s="352">
        <v>0</v>
      </c>
      <c r="CI46" s="358"/>
      <c r="CJ46" s="352">
        <v>0</v>
      </c>
      <c r="CK46" s="358"/>
      <c r="CL46" s="352">
        <v>0</v>
      </c>
      <c r="CM46" s="358"/>
      <c r="CN46" s="632"/>
    </row>
    <row r="47" spans="1:93" s="4" customFormat="1" ht="18" customHeight="1" x14ac:dyDescent="0.45">
      <c r="A47" s="561"/>
      <c r="B47" s="1197" t="s">
        <v>413</v>
      </c>
      <c r="C47" s="58"/>
      <c r="D47" s="59"/>
      <c r="E47" s="59"/>
      <c r="F47" s="60"/>
      <c r="G47" s="43"/>
      <c r="H47" s="60"/>
      <c r="I47" s="43"/>
      <c r="J47" s="60"/>
      <c r="K47" s="43"/>
      <c r="L47" s="60"/>
      <c r="M47" s="43"/>
      <c r="N47" s="364"/>
      <c r="O47" s="360"/>
      <c r="P47" s="364"/>
      <c r="Q47" s="360"/>
      <c r="R47" s="364"/>
      <c r="S47" s="360"/>
      <c r="T47" s="364"/>
      <c r="U47" s="360"/>
      <c r="V47" s="364"/>
      <c r="W47" s="360"/>
      <c r="X47" s="364"/>
      <c r="Y47" s="360"/>
      <c r="Z47" s="364"/>
      <c r="AA47" s="360"/>
      <c r="AB47" s="364"/>
      <c r="AC47" s="360"/>
      <c r="AD47" s="364"/>
      <c r="AE47" s="360"/>
      <c r="AF47" s="747"/>
      <c r="AG47" s="748"/>
      <c r="AH47" s="749"/>
      <c r="AI47" s="637"/>
      <c r="AJ47" s="364"/>
      <c r="AK47" s="360"/>
      <c r="AL47" s="364"/>
      <c r="AM47" s="360"/>
      <c r="AN47" s="364"/>
      <c r="AO47" s="360"/>
      <c r="AP47" s="747"/>
      <c r="AQ47" s="748"/>
      <c r="AR47" s="749"/>
      <c r="AS47" s="637"/>
      <c r="AT47" s="364"/>
      <c r="AU47" s="360"/>
      <c r="AV47" s="364"/>
      <c r="AW47" s="360"/>
      <c r="AX47" s="364"/>
      <c r="AY47" s="360"/>
      <c r="AZ47" s="747"/>
      <c r="BA47" s="748"/>
      <c r="BB47" s="748"/>
      <c r="BD47" s="364"/>
      <c r="BE47" s="360"/>
      <c r="BG47" s="364"/>
      <c r="BH47" s="360"/>
      <c r="BI47" s="364"/>
      <c r="BJ47" s="360"/>
      <c r="BK47" s="364"/>
      <c r="BL47" s="360"/>
      <c r="BM47"/>
      <c r="BN47" s="1197" t="s">
        <v>537</v>
      </c>
      <c r="BO47" s="364"/>
      <c r="BP47" s="360"/>
      <c r="BQ47" s="364"/>
      <c r="BR47" s="360"/>
      <c r="BS47" s="364"/>
      <c r="BT47" s="360"/>
      <c r="BV47" s="364"/>
      <c r="BW47" s="360"/>
      <c r="BY47" s="364"/>
      <c r="BZ47" s="360"/>
      <c r="CA47" s="364"/>
      <c r="CB47" s="360"/>
      <c r="CC47" s="364"/>
      <c r="CD47" s="360"/>
      <c r="CH47" s="364"/>
      <c r="CI47" s="360"/>
      <c r="CJ47" s="364"/>
      <c r="CK47" s="360"/>
      <c r="CL47" s="364"/>
      <c r="CM47" s="360"/>
    </row>
    <row r="48" spans="1:93" s="4" customFormat="1" ht="18" customHeight="1" x14ac:dyDescent="0.45">
      <c r="A48" s="561"/>
      <c r="B48" s="1194"/>
      <c r="C48" s="71" t="s">
        <v>177</v>
      </c>
      <c r="D48" s="16"/>
      <c r="E48" s="16"/>
      <c r="F48" s="430"/>
      <c r="G48" s="24"/>
      <c r="H48" s="430"/>
      <c r="I48" s="24"/>
      <c r="J48" s="430"/>
      <c r="K48" s="24"/>
      <c r="L48" s="430"/>
      <c r="M48" s="24"/>
      <c r="N48" s="430"/>
      <c r="O48" s="24"/>
      <c r="P48" s="430"/>
      <c r="Q48" s="24"/>
      <c r="R48" s="430"/>
      <c r="S48" s="24"/>
      <c r="T48" s="430"/>
      <c r="U48" s="24"/>
      <c r="V48" s="430"/>
      <c r="W48" s="24"/>
      <c r="X48" s="430"/>
      <c r="Y48" s="24"/>
      <c r="Z48" s="430">
        <f>Z49-AA68*Z19</f>
        <v>0</v>
      </c>
      <c r="AA48" s="24">
        <f>AA49-AA68</f>
        <v>0</v>
      </c>
      <c r="AB48" s="430">
        <f>AB49-AC68*AB19</f>
        <v>0</v>
      </c>
      <c r="AC48" s="24">
        <f>AC49-AC68</f>
        <v>0</v>
      </c>
      <c r="AD48" s="430">
        <f>AD49-AE68*AD19</f>
        <v>2521.5986518782884</v>
      </c>
      <c r="AE48" s="24">
        <f>AE49-AE68</f>
        <v>0.61976145755071421</v>
      </c>
      <c r="AF48" s="754"/>
      <c r="AG48" s="723"/>
      <c r="AH48" s="755"/>
      <c r="AI48" s="630"/>
      <c r="AJ48" s="430">
        <f>AJ49-AK68*AJ19</f>
        <v>0</v>
      </c>
      <c r="AK48" s="24">
        <f>AK49-AK68</f>
        <v>0</v>
      </c>
      <c r="AL48" s="430">
        <f>AL49-AM68*AL19</f>
        <v>0</v>
      </c>
      <c r="AM48" s="24">
        <f>AM49-AM68</f>
        <v>0</v>
      </c>
      <c r="AN48" s="430">
        <f>AN49-AO68*AN19</f>
        <v>2521.5986518782884</v>
      </c>
      <c r="AO48" s="24">
        <f>AO49-AO68</f>
        <v>0.61976145755071421</v>
      </c>
      <c r="AP48" s="754"/>
      <c r="AQ48" s="723"/>
      <c r="AR48" s="755"/>
      <c r="AS48" s="630"/>
      <c r="AT48" s="430">
        <f>AT49-AU68*AT19</f>
        <v>0</v>
      </c>
      <c r="AU48" s="24">
        <f>AU49-AU68</f>
        <v>0</v>
      </c>
      <c r="AV48" s="430">
        <f>AV49-AW68*AV19</f>
        <v>0</v>
      </c>
      <c r="AW48" s="24">
        <f>AW49-AW68</f>
        <v>0</v>
      </c>
      <c r="AX48" s="430">
        <f>AX49-AY68*AX19</f>
        <v>2521.5986518782884</v>
      </c>
      <c r="AY48" s="24">
        <f>AY49-AY68</f>
        <v>0.61976145755071421</v>
      </c>
      <c r="AZ48" s="754"/>
      <c r="BA48" s="723"/>
      <c r="BB48" s="723"/>
      <c r="BD48" s="430"/>
      <c r="BE48" s="24"/>
      <c r="BG48" s="430"/>
      <c r="BH48" s="24"/>
      <c r="BI48" s="430"/>
      <c r="BJ48" s="24"/>
      <c r="BK48" s="430"/>
      <c r="BL48" s="24"/>
      <c r="BM48"/>
      <c r="BN48" s="1194"/>
      <c r="BO48" s="42">
        <f>BO$49-BP$61*BO$12</f>
        <v>2689.4658433580589</v>
      </c>
      <c r="BP48" s="24">
        <f>BP$49-BP$61</f>
        <v>0.66102005165289324</v>
      </c>
      <c r="BQ48" s="430"/>
      <c r="BR48" s="24"/>
      <c r="BS48" s="430"/>
      <c r="BT48" s="24"/>
      <c r="BV48" s="430"/>
      <c r="BW48" s="24"/>
      <c r="BY48" s="430">
        <f>BY49-BZ68*BY19</f>
        <v>0</v>
      </c>
      <c r="BZ48" s="24">
        <f>BZ49-BZ68</f>
        <v>0</v>
      </c>
      <c r="CA48" s="430">
        <f>CA49-CB68*CA19</f>
        <v>0</v>
      </c>
      <c r="CB48" s="24">
        <f>CB49-CB68</f>
        <v>0</v>
      </c>
      <c r="CC48" s="430">
        <f>CC49-CD68*CC19</f>
        <v>0</v>
      </c>
      <c r="CD48" s="24">
        <f>CD49-CD68</f>
        <v>0</v>
      </c>
      <c r="CE48" s="1087">
        <f>BP48+BP52</f>
        <v>7.2640588016528929</v>
      </c>
      <c r="CH48" s="42">
        <f>CH$49-CI$61*CH$12</f>
        <v>2848.0620000000017</v>
      </c>
      <c r="CI48" s="24">
        <f>CI$49-CI$61</f>
        <v>0.70000000000000018</v>
      </c>
      <c r="CJ48" s="430"/>
      <c r="CK48" s="24"/>
      <c r="CL48" s="430"/>
      <c r="CM48" s="24"/>
      <c r="CO48" s="1087">
        <f>CI52+CI48</f>
        <v>7.7030387500000002</v>
      </c>
    </row>
    <row r="49" spans="1:93" s="4" customFormat="1" ht="18" customHeight="1" x14ac:dyDescent="0.45">
      <c r="A49" s="561"/>
      <c r="B49" s="1194"/>
      <c r="C49" s="71" t="s">
        <v>378</v>
      </c>
      <c r="D49" s="16"/>
      <c r="E49" s="16"/>
      <c r="F49" s="42"/>
      <c r="G49" s="24"/>
      <c r="H49" s="42"/>
      <c r="I49" s="24"/>
      <c r="J49" s="42"/>
      <c r="K49" s="24"/>
      <c r="L49" s="42"/>
      <c r="M49" s="24"/>
      <c r="N49" s="42"/>
      <c r="O49" s="24"/>
      <c r="P49" s="42"/>
      <c r="Q49" s="24"/>
      <c r="R49" s="42"/>
      <c r="S49" s="24"/>
      <c r="T49" s="42"/>
      <c r="U49" s="24"/>
      <c r="V49" s="42"/>
      <c r="W49" s="24"/>
      <c r="X49" s="42"/>
      <c r="Y49" s="24"/>
      <c r="Z49" s="42">
        <f>Z39-Z39/1.1</f>
        <v>0</v>
      </c>
      <c r="AA49" s="24">
        <f>AA39-AA39/1.1</f>
        <v>0</v>
      </c>
      <c r="AB49" s="42">
        <f>AB39-AB39/1.1</f>
        <v>0</v>
      </c>
      <c r="AC49" s="24">
        <f>AC39-AC39/1.1</f>
        <v>0</v>
      </c>
      <c r="AD49" s="42">
        <f>AD45-AD45/1.1</f>
        <v>2521.5986518782884</v>
      </c>
      <c r="AE49" s="24">
        <f>AE45-AE45/1.1</f>
        <v>0.61976145755071421</v>
      </c>
      <c r="AF49" s="754"/>
      <c r="AG49" s="723"/>
      <c r="AH49" s="755"/>
      <c r="AI49" s="630"/>
      <c r="AJ49" s="42">
        <f>AJ39-AJ39/1.1</f>
        <v>0</v>
      </c>
      <c r="AK49" s="24">
        <f>AK39-AK39/1.1</f>
        <v>0</v>
      </c>
      <c r="AL49" s="42">
        <f>AL39-AL39/1.1</f>
        <v>0</v>
      </c>
      <c r="AM49" s="24">
        <f>AM39-AM39/1.1</f>
        <v>0</v>
      </c>
      <c r="AN49" s="42">
        <f>AN45-AN45/1.1</f>
        <v>2521.5986518782884</v>
      </c>
      <c r="AO49" s="24">
        <f>AO45-AO45/1.1</f>
        <v>0.61976145755071421</v>
      </c>
      <c r="AP49" s="754"/>
      <c r="AQ49" s="723"/>
      <c r="AR49" s="755"/>
      <c r="AS49" s="630"/>
      <c r="AT49" s="42">
        <f>AT39-AT39/1.1</f>
        <v>0</v>
      </c>
      <c r="AU49" s="24">
        <f>AU39-AU39/1.1</f>
        <v>0</v>
      </c>
      <c r="AV49" s="42">
        <f>AV39-AV39/1.1</f>
        <v>0</v>
      </c>
      <c r="AW49" s="24">
        <f>AW39-AW39/1.1</f>
        <v>0</v>
      </c>
      <c r="AX49" s="42">
        <f>AX45-AX45/1.1</f>
        <v>2521.5986518782884</v>
      </c>
      <c r="AY49" s="24">
        <f>AY45-AY45/1.1</f>
        <v>0.61976145755071421</v>
      </c>
      <c r="AZ49" s="754"/>
      <c r="BA49" s="723"/>
      <c r="BB49" s="723"/>
      <c r="BD49" s="42"/>
      <c r="BE49" s="24"/>
      <c r="BG49" s="42"/>
      <c r="BH49" s="24"/>
      <c r="BI49" s="42"/>
      <c r="BJ49" s="24"/>
      <c r="BK49" s="42"/>
      <c r="BL49" s="24"/>
      <c r="BM49"/>
      <c r="BN49" s="1194"/>
      <c r="BO49" s="42">
        <f>BO$45-BO$45/1.1</f>
        <v>2689.4658433580589</v>
      </c>
      <c r="BP49" s="24">
        <f>BP$45-BP$45/1.1</f>
        <v>0.66102005165289324</v>
      </c>
      <c r="BQ49" s="42"/>
      <c r="BR49" s="24"/>
      <c r="BS49" s="42"/>
      <c r="BT49" s="24"/>
      <c r="BV49" s="42"/>
      <c r="BW49" s="24"/>
      <c r="BY49" s="42">
        <v>0</v>
      </c>
      <c r="BZ49" s="24">
        <v>0</v>
      </c>
      <c r="CA49" s="42">
        <v>0</v>
      </c>
      <c r="CB49" s="24">
        <v>0</v>
      </c>
      <c r="CC49" s="42">
        <v>0</v>
      </c>
      <c r="CD49" s="24">
        <v>0</v>
      </c>
      <c r="CE49" s="861">
        <f>7.27/1.1</f>
        <v>6.6090909090909085</v>
      </c>
      <c r="CH49" s="42">
        <f>CH$45-CH$45/1.1</f>
        <v>2848.0620000000017</v>
      </c>
      <c r="CI49" s="24">
        <f>CI$45-CI$45/1.1</f>
        <v>0.70000000000000018</v>
      </c>
      <c r="CJ49" s="42"/>
      <c r="CK49" s="24"/>
      <c r="CL49" s="42"/>
      <c r="CM49" s="24"/>
      <c r="CO49" s="1091">
        <f>7.7/1.1</f>
        <v>7</v>
      </c>
    </row>
    <row r="50" spans="1:93" s="65" customFormat="1" ht="18" customHeight="1" x14ac:dyDescent="0.45">
      <c r="A50" s="561"/>
      <c r="B50" s="1194"/>
      <c r="C50" s="62" t="s">
        <v>414</v>
      </c>
      <c r="D50" s="63"/>
      <c r="E50" s="64"/>
      <c r="F50" s="47"/>
      <c r="G50" s="48"/>
      <c r="H50" s="47"/>
      <c r="I50" s="48"/>
      <c r="J50" s="47"/>
      <c r="K50" s="48"/>
      <c r="L50" s="361"/>
      <c r="M50" s="362"/>
      <c r="N50" s="361"/>
      <c r="O50" s="362"/>
      <c r="P50" s="361"/>
      <c r="Q50" s="362"/>
      <c r="R50" s="361"/>
      <c r="S50" s="362"/>
      <c r="T50" s="361"/>
      <c r="U50" s="362"/>
      <c r="V50" s="361"/>
      <c r="W50" s="362"/>
      <c r="X50" s="361"/>
      <c r="Y50" s="362"/>
      <c r="Z50" s="361" t="e">
        <f>+Z51/Z39</f>
        <v>#DIV/0!</v>
      </c>
      <c r="AA50" s="362" t="e">
        <f>+AA51/AA39</f>
        <v>#DIV/0!</v>
      </c>
      <c r="AB50" s="361" t="e">
        <f>+AB51/AB39</f>
        <v>#DIV/0!</v>
      </c>
      <c r="AC50" s="362" t="e">
        <f>+AC51/AC39</f>
        <v>#DIV/0!</v>
      </c>
      <c r="AD50" s="361">
        <f>+AD51/AD45</f>
        <v>0.71080400105042429</v>
      </c>
      <c r="AE50" s="362">
        <f>+AE51/AE45</f>
        <v>0.10232889782291066</v>
      </c>
      <c r="AF50" s="1020"/>
      <c r="AG50" s="1022"/>
      <c r="AH50" s="1023"/>
      <c r="AI50" s="635"/>
      <c r="AJ50" s="361" t="e">
        <f>+AJ51/AJ39</f>
        <v>#DIV/0!</v>
      </c>
      <c r="AK50" s="362" t="e">
        <f>+AK51/AK39</f>
        <v>#DIV/0!</v>
      </c>
      <c r="AL50" s="361" t="e">
        <f>+AL51/AL39</f>
        <v>#DIV/0!</v>
      </c>
      <c r="AM50" s="362" t="e">
        <f>+AM51/AM39</f>
        <v>#DIV/0!</v>
      </c>
      <c r="AN50" s="361">
        <f>+AN51/AN45</f>
        <v>0.71080400105042429</v>
      </c>
      <c r="AO50" s="362">
        <f>+AO51/AO45</f>
        <v>0.10232889782291066</v>
      </c>
      <c r="AP50" s="1020"/>
      <c r="AQ50" s="1022"/>
      <c r="AR50" s="1023"/>
      <c r="AS50" s="635"/>
      <c r="AT50" s="361" t="e">
        <f>+AT51/AT39</f>
        <v>#DIV/0!</v>
      </c>
      <c r="AU50" s="362" t="e">
        <f>+AU51/AU39</f>
        <v>#DIV/0!</v>
      </c>
      <c r="AV50" s="361" t="e">
        <f>+AV51/AV39</f>
        <v>#DIV/0!</v>
      </c>
      <c r="AW50" s="362" t="e">
        <f>+AW51/AW39</f>
        <v>#DIV/0!</v>
      </c>
      <c r="AX50" s="361">
        <f>+AX51/AX45</f>
        <v>0.71080400105042429</v>
      </c>
      <c r="AY50" s="362">
        <f>+AY51/AY45</f>
        <v>0.10232889782291066</v>
      </c>
      <c r="AZ50" s="1020"/>
      <c r="BA50" s="1022"/>
      <c r="BB50" s="1022"/>
      <c r="BC50" s="283"/>
      <c r="BD50" s="361"/>
      <c r="BE50" s="362"/>
      <c r="BF50" s="283"/>
      <c r="BG50" s="361"/>
      <c r="BH50" s="362"/>
      <c r="BI50" s="361"/>
      <c r="BJ50" s="362"/>
      <c r="BK50" s="361"/>
      <c r="BL50" s="362"/>
      <c r="BM50"/>
      <c r="BN50" s="1194"/>
      <c r="BO50" s="1084">
        <f>+BO$51/BO$45</f>
        <v>9.8494695103403061E-4</v>
      </c>
      <c r="BP50" s="1085">
        <f>+BP$51/BP$45</f>
        <v>9.849469510338966E-4</v>
      </c>
      <c r="BQ50" s="361"/>
      <c r="BR50" s="362"/>
      <c r="BS50" s="361"/>
      <c r="BT50" s="362"/>
      <c r="BU50" s="283"/>
      <c r="BV50" s="361"/>
      <c r="BW50" s="362"/>
      <c r="BY50" s="1020">
        <f t="shared" ref="BY50:CD50" si="166">+BY51/BY45</f>
        <v>0.14120283538461562</v>
      </c>
      <c r="BZ50" s="1021">
        <f t="shared" si="166"/>
        <v>0.14120283538461564</v>
      </c>
      <c r="CA50" s="1020">
        <f t="shared" si="166"/>
        <v>0.17268040163503459</v>
      </c>
      <c r="CB50" s="1021">
        <f t="shared" si="166"/>
        <v>0.17268040163503454</v>
      </c>
      <c r="CC50" s="1020">
        <f t="shared" si="166"/>
        <v>0.17599095699999998</v>
      </c>
      <c r="CD50" s="1021">
        <f t="shared" si="166"/>
        <v>0.175990957</v>
      </c>
      <c r="CH50" s="1084">
        <f>+CH$51/CH$45</f>
        <v>-3.9464285714286727E-4</v>
      </c>
      <c r="CI50" s="1085">
        <f>+CI$51/CI$45</f>
        <v>-3.9464285714285442E-4</v>
      </c>
      <c r="CJ50" s="361"/>
      <c r="CK50" s="362"/>
      <c r="CL50" s="361"/>
      <c r="CM50" s="362"/>
      <c r="CN50" s="283"/>
    </row>
    <row r="51" spans="1:93" s="4" customFormat="1" ht="18" customHeight="1" x14ac:dyDescent="0.45">
      <c r="A51" s="561"/>
      <c r="B51" s="1194"/>
      <c r="C51" s="15" t="s">
        <v>415</v>
      </c>
      <c r="D51" s="16"/>
      <c r="E51" s="35"/>
      <c r="F51" s="42"/>
      <c r="G51" s="24"/>
      <c r="H51" s="42"/>
      <c r="I51" s="24"/>
      <c r="J51" s="42"/>
      <c r="K51" s="24"/>
      <c r="L51" s="42"/>
      <c r="M51" s="24"/>
      <c r="N51" s="42"/>
      <c r="O51" s="24"/>
      <c r="P51" s="42"/>
      <c r="Q51" s="24"/>
      <c r="R51" s="42"/>
      <c r="S51" s="24"/>
      <c r="T51" s="42"/>
      <c r="U51" s="24"/>
      <c r="V51" s="42"/>
      <c r="W51" s="24"/>
      <c r="X51" s="42"/>
      <c r="Y51" s="24"/>
      <c r="Z51" s="42">
        <f>+Z39-Z52-Z48</f>
        <v>-5500</v>
      </c>
      <c r="AA51" s="24">
        <f>+AA39-AA52-AA48</f>
        <v>-5.5</v>
      </c>
      <c r="AB51" s="42">
        <f>+AB39-AB52-AB48</f>
        <v>-5500</v>
      </c>
      <c r="AC51" s="24">
        <f>+AC39-AC52-AC48</f>
        <v>-5.5</v>
      </c>
      <c r="AD51" s="42">
        <f>+AD45-AD52-AD48</f>
        <v>19715.986518782865</v>
      </c>
      <c r="AE51" s="24">
        <f>+AE45-AE52-AE48</f>
        <v>0.69761457550713679</v>
      </c>
      <c r="AF51" s="754" t="e">
        <f>AA51/$O51-1</f>
        <v>#DIV/0!</v>
      </c>
      <c r="AG51" s="723" t="e">
        <f>AC51/$Q51-1</f>
        <v>#DIV/0!</v>
      </c>
      <c r="AH51" s="755" t="e">
        <f>AE51/$S51-1</f>
        <v>#DIV/0!</v>
      </c>
      <c r="AI51" s="65"/>
      <c r="AJ51" s="42">
        <f>+AJ39-AJ52-AJ48</f>
        <v>-5500</v>
      </c>
      <c r="AK51" s="24">
        <f>+AK39-AK52-AK48</f>
        <v>-5.5</v>
      </c>
      <c r="AL51" s="42">
        <f>+AL39-AL52-AL48</f>
        <v>-5500</v>
      </c>
      <c r="AM51" s="24">
        <f>+AM39-AM52-AM48</f>
        <v>-5.5</v>
      </c>
      <c r="AN51" s="42">
        <f>+AN45-AN52-AN48</f>
        <v>19715.986518782865</v>
      </c>
      <c r="AO51" s="24">
        <f>+AO45-AO52-AO48</f>
        <v>0.69761457550713679</v>
      </c>
      <c r="AP51" s="754" t="e">
        <f>AK51/$O51-1</f>
        <v>#DIV/0!</v>
      </c>
      <c r="AQ51" s="723" t="e">
        <f>AM51/$Q51-1</f>
        <v>#DIV/0!</v>
      </c>
      <c r="AR51" s="755" t="e">
        <f>AO51/$S51-1</f>
        <v>#DIV/0!</v>
      </c>
      <c r="AS51" s="65"/>
      <c r="AT51" s="42">
        <f>+AT39-AT52-AT48</f>
        <v>-5500</v>
      </c>
      <c r="AU51" s="24">
        <f>+AU39-AU52-AU48</f>
        <v>-5.5</v>
      </c>
      <c r="AV51" s="42">
        <f>+AV39-AV52-AV48</f>
        <v>-5500</v>
      </c>
      <c r="AW51" s="24">
        <f>+AW39-AW52-AW48</f>
        <v>-5.5</v>
      </c>
      <c r="AX51" s="42">
        <f>+AX45-AX52-AX48</f>
        <v>19715.986518782865</v>
      </c>
      <c r="AY51" s="24">
        <f>+AY45-AY52-AY48</f>
        <v>0.69761457550713679</v>
      </c>
      <c r="AZ51" s="754" t="e">
        <f>AU51/$O51-1</f>
        <v>#DIV/0!</v>
      </c>
      <c r="BA51" s="723" t="e">
        <f>AW51/$Q51-1</f>
        <v>#DIV/0!</v>
      </c>
      <c r="BB51" s="723" t="e">
        <f>AY51/$S51-1</f>
        <v>#DIV/0!</v>
      </c>
      <c r="BC51" s="283"/>
      <c r="BD51" s="42"/>
      <c r="BE51" s="24"/>
      <c r="BF51" s="283"/>
      <c r="BG51" s="42"/>
      <c r="BH51" s="24"/>
      <c r="BI51" s="42"/>
      <c r="BJ51" s="24"/>
      <c r="BK51" s="42"/>
      <c r="BL51" s="24"/>
      <c r="BM51"/>
      <c r="BN51" s="1194"/>
      <c r="BO51" s="42">
        <f>+BO$45-BO$52-BO$48</f>
        <v>29.138793005582556</v>
      </c>
      <c r="BP51" s="24">
        <f>+BP$45-BP$52-BP$48</f>
        <v>7.1617665289256394E-3</v>
      </c>
      <c r="BQ51" s="42"/>
      <c r="BR51" s="24"/>
      <c r="BS51" s="42"/>
      <c r="BT51" s="24"/>
      <c r="BU51" s="283"/>
      <c r="BV51" s="42"/>
      <c r="BW51" s="24"/>
      <c r="BY51" s="42">
        <f t="shared" ref="BY51:CD51" si="167">+BY45-BY52-BY48</f>
        <v>18356.368600000031</v>
      </c>
      <c r="BZ51" s="24">
        <f t="shared" si="167"/>
        <v>0.80510388596491378</v>
      </c>
      <c r="CA51" s="42">
        <f t="shared" si="167"/>
        <v>24434.553120000011</v>
      </c>
      <c r="CB51" s="24">
        <f t="shared" si="167"/>
        <v>1.0716909263157897</v>
      </c>
      <c r="CC51" s="42">
        <f t="shared" si="167"/>
        <v>28158.553119999997</v>
      </c>
      <c r="CD51" s="24">
        <f t="shared" si="167"/>
        <v>1.2350242596491228</v>
      </c>
      <c r="CH51" s="42">
        <f>+CH$45-CH$52-CH$48</f>
        <v>-12.363640575000318</v>
      </c>
      <c r="CI51" s="24">
        <f>+CI$45-CI$52-CI$48</f>
        <v>-3.038749999999979E-3</v>
      </c>
      <c r="CJ51" s="42"/>
      <c r="CK51" s="24"/>
      <c r="CL51" s="42"/>
      <c r="CM51" s="24"/>
      <c r="CN51" s="283"/>
    </row>
    <row r="52" spans="1:93" s="4" customFormat="1" ht="18" customHeight="1" x14ac:dyDescent="0.45">
      <c r="A52" s="561"/>
      <c r="B52" s="1194"/>
      <c r="C52" s="19" t="s">
        <v>416</v>
      </c>
      <c r="D52" s="20"/>
      <c r="E52" s="30"/>
      <c r="F52" s="66"/>
      <c r="G52" s="32"/>
      <c r="H52" s="66"/>
      <c r="I52" s="32"/>
      <c r="J52" s="66"/>
      <c r="K52" s="32"/>
      <c r="L52" s="66"/>
      <c r="M52" s="32"/>
      <c r="N52" s="66"/>
      <c r="O52" s="32"/>
      <c r="P52" s="66"/>
      <c r="Q52" s="32"/>
      <c r="R52" s="66"/>
      <c r="S52" s="32"/>
      <c r="T52" s="66"/>
      <c r="U52" s="32"/>
      <c r="V52" s="66"/>
      <c r="W52" s="32"/>
      <c r="X52" s="66"/>
      <c r="Y52" s="32"/>
      <c r="Z52" s="66">
        <f>+AA63*Z19</f>
        <v>5500</v>
      </c>
      <c r="AA52" s="32">
        <f>+AA63</f>
        <v>5.5</v>
      </c>
      <c r="AB52" s="66">
        <f>+AC63*AB19</f>
        <v>5500</v>
      </c>
      <c r="AC52" s="32">
        <f>+AC63</f>
        <v>5.5</v>
      </c>
      <c r="AD52" s="66">
        <f>+AE63*AD19</f>
        <v>5500</v>
      </c>
      <c r="AE52" s="32">
        <f>+AE63</f>
        <v>5.5</v>
      </c>
      <c r="AF52" s="783"/>
      <c r="AG52" s="724"/>
      <c r="AH52" s="782"/>
      <c r="AI52" s="630"/>
      <c r="AJ52" s="66">
        <f>+AK63*AJ19</f>
        <v>5500</v>
      </c>
      <c r="AK52" s="32">
        <f>+AK63</f>
        <v>5.5</v>
      </c>
      <c r="AL52" s="66">
        <f>+AM63*AL19</f>
        <v>5500</v>
      </c>
      <c r="AM52" s="32">
        <f>+AM63</f>
        <v>5.5</v>
      </c>
      <c r="AN52" s="66">
        <f>+AO63*AN19</f>
        <v>5500</v>
      </c>
      <c r="AO52" s="32">
        <f>+AO63</f>
        <v>5.5</v>
      </c>
      <c r="AP52" s="783"/>
      <c r="AQ52" s="724"/>
      <c r="AR52" s="782"/>
      <c r="AS52" s="630"/>
      <c r="AT52" s="66">
        <f>+AU63*AT19</f>
        <v>5500</v>
      </c>
      <c r="AU52" s="32">
        <f>+AU63</f>
        <v>5.5</v>
      </c>
      <c r="AV52" s="66">
        <f>+AW63*AV19</f>
        <v>5500</v>
      </c>
      <c r="AW52" s="32">
        <f>+AW63</f>
        <v>5.5</v>
      </c>
      <c r="AX52" s="66">
        <f>+AY63*AX19</f>
        <v>5500</v>
      </c>
      <c r="AY52" s="32">
        <f>+AY63</f>
        <v>5.5</v>
      </c>
      <c r="AZ52" s="783"/>
      <c r="BA52" s="724"/>
      <c r="BB52" s="724"/>
      <c r="BC52" s="630"/>
      <c r="BD52" s="66"/>
      <c r="BE52" s="32"/>
      <c r="BF52" s="630"/>
      <c r="BG52" s="66"/>
      <c r="BH52" s="32"/>
      <c r="BI52" s="66"/>
      <c r="BJ52" s="32"/>
      <c r="BK52" s="66"/>
      <c r="BL52" s="32"/>
      <c r="BM52"/>
      <c r="BN52" s="1194"/>
      <c r="BO52" s="66">
        <f>+BP$56*BO$12</f>
        <v>26865.519640574996</v>
      </c>
      <c r="BP52" s="32">
        <f>+BP$56</f>
        <v>6.6030387499999996</v>
      </c>
      <c r="BQ52" s="66"/>
      <c r="BR52" s="32"/>
      <c r="BS52" s="66"/>
      <c r="BT52" s="32"/>
      <c r="BU52" s="630"/>
      <c r="BV52" s="66"/>
      <c r="BW52" s="32"/>
      <c r="BY52" s="66">
        <f>+BZ56*BY12</f>
        <v>111643.63139999997</v>
      </c>
      <c r="BZ52" s="32">
        <f>+BZ56</f>
        <v>4.8966504999999989</v>
      </c>
      <c r="CA52" s="66">
        <f>+CB56*CA12</f>
        <v>117067.04687999999</v>
      </c>
      <c r="CB52" s="32">
        <f>+CB56</f>
        <v>5.1345196</v>
      </c>
      <c r="CC52" s="66">
        <f>+CD56*CC12</f>
        <v>131841.44688</v>
      </c>
      <c r="CD52" s="32">
        <f>+CD56</f>
        <v>5.7825195999999996</v>
      </c>
      <c r="CH52" s="66">
        <f>+CI$56*CH$12</f>
        <v>28492.983640574999</v>
      </c>
      <c r="CI52" s="32">
        <f>+CI$56</f>
        <v>7.00303875</v>
      </c>
      <c r="CJ52" s="66"/>
      <c r="CK52" s="32"/>
      <c r="CL52" s="66"/>
      <c r="CM52" s="32"/>
      <c r="CN52" s="630"/>
    </row>
    <row r="53" spans="1:93" s="4" customFormat="1" ht="18" customHeight="1" x14ac:dyDescent="0.45">
      <c r="A53" s="561"/>
      <c r="B53" s="1195"/>
      <c r="C53" s="67" t="s">
        <v>50</v>
      </c>
      <c r="D53" s="26"/>
      <c r="E53" s="26"/>
      <c r="F53" s="27"/>
      <c r="G53" s="41"/>
      <c r="H53" s="27"/>
      <c r="I53" s="41"/>
      <c r="J53" s="27"/>
      <c r="K53" s="41"/>
      <c r="L53" s="27"/>
      <c r="M53" s="41"/>
      <c r="N53" s="352"/>
      <c r="O53" s="358"/>
      <c r="P53" s="352"/>
      <c r="Q53" s="704"/>
      <c r="R53" s="352"/>
      <c r="S53" s="358"/>
      <c r="T53" s="352"/>
      <c r="U53" s="358"/>
      <c r="V53" s="352"/>
      <c r="W53" s="358"/>
      <c r="X53" s="352"/>
      <c r="Y53" s="358"/>
      <c r="Z53" s="352">
        <v>0</v>
      </c>
      <c r="AA53" s="358"/>
      <c r="AB53" s="352">
        <v>0</v>
      </c>
      <c r="AC53" s="358"/>
      <c r="AD53" s="352">
        <v>0</v>
      </c>
      <c r="AE53" s="358"/>
      <c r="AF53" s="751"/>
      <c r="AG53" s="752"/>
      <c r="AH53" s="753"/>
      <c r="AI53" s="634"/>
      <c r="AJ53" s="352">
        <v>0</v>
      </c>
      <c r="AK53" s="358"/>
      <c r="AL53" s="352">
        <v>0</v>
      </c>
      <c r="AM53" s="358"/>
      <c r="AN53" s="352">
        <v>0</v>
      </c>
      <c r="AO53" s="358"/>
      <c r="AP53" s="751"/>
      <c r="AQ53" s="752"/>
      <c r="AR53" s="753"/>
      <c r="AS53" s="634"/>
      <c r="AT53" s="352">
        <v>0</v>
      </c>
      <c r="AU53" s="358"/>
      <c r="AV53" s="352">
        <v>0</v>
      </c>
      <c r="AW53" s="358"/>
      <c r="AX53" s="352">
        <v>0</v>
      </c>
      <c r="AY53" s="358"/>
      <c r="AZ53" s="751"/>
      <c r="BA53" s="752"/>
      <c r="BB53" s="752"/>
      <c r="BC53" s="632"/>
      <c r="BD53" s="352"/>
      <c r="BE53" s="358"/>
      <c r="BF53" s="632"/>
      <c r="BG53" s="352"/>
      <c r="BH53" s="358"/>
      <c r="BI53" s="352"/>
      <c r="BJ53" s="358"/>
      <c r="BK53" s="352"/>
      <c r="BL53" s="358"/>
      <c r="BM53"/>
      <c r="BN53" s="1195"/>
      <c r="BO53" s="352"/>
      <c r="BP53" s="358"/>
      <c r="BQ53" s="352"/>
      <c r="BR53" s="358"/>
      <c r="BS53" s="352"/>
      <c r="BT53" s="358"/>
      <c r="BU53" s="632"/>
      <c r="BV53" s="352"/>
      <c r="BW53" s="358"/>
      <c r="BY53" s="352">
        <v>0</v>
      </c>
      <c r="BZ53" s="358"/>
      <c r="CA53" s="352">
        <v>0</v>
      </c>
      <c r="CB53" s="358"/>
      <c r="CC53" s="352">
        <v>0</v>
      </c>
      <c r="CD53" s="358"/>
      <c r="CH53" s="352"/>
      <c r="CI53" s="358"/>
      <c r="CJ53" s="352"/>
      <c r="CK53" s="358"/>
      <c r="CL53" s="352"/>
      <c r="CM53" s="358"/>
      <c r="CN53" s="632"/>
    </row>
    <row r="54" spans="1:93" s="4" customFormat="1" ht="18" customHeight="1" x14ac:dyDescent="0.45">
      <c r="A54" s="561"/>
      <c r="B54" s="1183" t="s">
        <v>51</v>
      </c>
      <c r="C54" s="554" t="s">
        <v>380</v>
      </c>
      <c r="D54" s="555"/>
      <c r="E54" s="555"/>
      <c r="F54" s="556"/>
      <c r="G54" s="557">
        <f>55000000/40*G44</f>
        <v>1197670.4545454551</v>
      </c>
      <c r="H54" s="556"/>
      <c r="I54" s="557">
        <f>90000000/40*I44</f>
        <v>1721841.532687993</v>
      </c>
      <c r="J54" s="556"/>
      <c r="K54" s="557">
        <f>90000000/40*K44</f>
        <v>2123685.3478900497</v>
      </c>
      <c r="L54" s="556"/>
      <c r="M54" s="557">
        <f>90000000/40*M44</f>
        <v>1222687.4622051995</v>
      </c>
      <c r="N54" s="558"/>
      <c r="O54" s="557">
        <f>120000000/40*O44</f>
        <v>2080169.9436927221</v>
      </c>
      <c r="P54" s="558"/>
      <c r="Q54" s="557">
        <f>120000000/40*Q44</f>
        <v>2745527.4736419604</v>
      </c>
      <c r="R54" s="558"/>
      <c r="S54" s="557">
        <f>120000000/40*S44</f>
        <v>1473010.2801854443</v>
      </c>
      <c r="T54" s="558"/>
      <c r="U54" s="557">
        <f>120000000/40*U44</f>
        <v>2080169.9436927221</v>
      </c>
      <c r="V54" s="558"/>
      <c r="W54" s="557">
        <f>120000000/40*W44</f>
        <v>2080169.9436927221</v>
      </c>
      <c r="X54" s="558"/>
      <c r="Y54" s="709"/>
      <c r="Z54" s="558"/>
      <c r="AA54" s="709">
        <f>AA44-$O$44</f>
        <v>-0.21705695915622147</v>
      </c>
      <c r="AB54" s="558"/>
      <c r="AC54" s="709">
        <f>AC44-$Q$44</f>
        <v>-0.20190953512636156</v>
      </c>
      <c r="AD54" s="558"/>
      <c r="AE54" s="709">
        <f>AE44-$S$44</f>
        <v>-0.23087945978633329</v>
      </c>
      <c r="AF54" s="787"/>
      <c r="AG54" s="788"/>
      <c r="AH54" s="789"/>
      <c r="AI54" s="638"/>
      <c r="AJ54" s="558"/>
      <c r="AK54" s="709">
        <f>AK44-$O$44</f>
        <v>-0.14962965065239509</v>
      </c>
      <c r="AL54" s="558"/>
      <c r="AM54" s="709">
        <f>AM44-$Q$44</f>
        <v>-6.414276669608121E-2</v>
      </c>
      <c r="AN54" s="558"/>
      <c r="AO54" s="709">
        <f>AO44-$S$44</f>
        <v>-0.2308794597863324</v>
      </c>
      <c r="AP54" s="787"/>
      <c r="AQ54" s="788"/>
      <c r="AR54" s="789"/>
      <c r="AS54" s="638"/>
      <c r="AT54" s="558"/>
      <c r="AU54" s="709">
        <f>AU44-$O$44</f>
        <v>-6.2388875394648657E-2</v>
      </c>
      <c r="AV54" s="558"/>
      <c r="AW54" s="709">
        <f>AW44-$Q$44</f>
        <v>-2.4752645558945297E-2</v>
      </c>
      <c r="AX54" s="558"/>
      <c r="AY54" s="709">
        <f>AY44-$S$44</f>
        <v>-9.6733118322918088E-2</v>
      </c>
      <c r="AZ54" s="787"/>
      <c r="BA54" s="788"/>
      <c r="BB54" s="853"/>
      <c r="BC54" s="925"/>
      <c r="BD54" s="558"/>
      <c r="BE54" s="709"/>
      <c r="BF54" s="925"/>
      <c r="BG54" s="558"/>
      <c r="BH54" s="709"/>
      <c r="BI54" s="558"/>
      <c r="BJ54" s="709"/>
      <c r="BK54" s="558"/>
      <c r="BL54" s="709"/>
      <c r="BM54"/>
      <c r="BN54" s="925"/>
      <c r="BO54" s="558"/>
      <c r="BP54" s="709"/>
      <c r="BQ54" s="558"/>
      <c r="BR54" s="709"/>
      <c r="BS54" s="558"/>
      <c r="BT54" s="709"/>
      <c r="BU54" s="925"/>
      <c r="BV54" s="558"/>
      <c r="BW54" s="709"/>
      <c r="BY54" s="558"/>
      <c r="BZ54" s="709"/>
      <c r="CA54" s="558"/>
      <c r="CB54" s="709"/>
      <c r="CC54" s="558"/>
      <c r="CD54" s="709"/>
      <c r="CH54" s="558"/>
      <c r="CI54" s="709"/>
      <c r="CJ54" s="558"/>
      <c r="CK54" s="709"/>
      <c r="CL54" s="558"/>
      <c r="CM54" s="709"/>
      <c r="CN54" s="925"/>
    </row>
    <row r="55" spans="1:93" s="4" customFormat="1" ht="18" customHeight="1" x14ac:dyDescent="0.45">
      <c r="A55" s="561"/>
      <c r="B55" s="1184"/>
      <c r="C55" s="19" t="s">
        <v>52</v>
      </c>
      <c r="D55" s="20"/>
      <c r="E55" s="30" t="s">
        <v>53</v>
      </c>
      <c r="F55" s="69">
        <f t="shared" ref="F55:AE55" si="168">+F56/F10</f>
        <v>646.44660626652887</v>
      </c>
      <c r="G55" s="70">
        <f t="shared" si="168"/>
        <v>0.15888440082644625</v>
      </c>
      <c r="H55" s="69">
        <f t="shared" si="168"/>
        <v>658.19486201652887</v>
      </c>
      <c r="I55" s="70">
        <f t="shared" si="168"/>
        <v>0.16177190082644627</v>
      </c>
      <c r="J55" s="69">
        <f t="shared" si="168"/>
        <v>658.19486201652887</v>
      </c>
      <c r="K55" s="70">
        <f t="shared" si="168"/>
        <v>0.16177190082644627</v>
      </c>
      <c r="L55" s="69">
        <f t="shared" si="168"/>
        <v>658.19486201652887</v>
      </c>
      <c r="M55" s="70">
        <f t="shared" si="168"/>
        <v>0.16177190082644627</v>
      </c>
      <c r="N55" s="69">
        <f t="shared" si="168"/>
        <v>664.05928058925622</v>
      </c>
      <c r="O55" s="70">
        <f t="shared" si="168"/>
        <v>0.16321326446280993</v>
      </c>
      <c r="P55" s="69">
        <f t="shared" si="168"/>
        <v>664.05928058925622</v>
      </c>
      <c r="Q55" s="70">
        <f t="shared" si="168"/>
        <v>0.16321326446280993</v>
      </c>
      <c r="R55" s="69">
        <f t="shared" si="168"/>
        <v>664.05928058925622</v>
      </c>
      <c r="S55" s="70">
        <f t="shared" si="168"/>
        <v>0.16321326446280993</v>
      </c>
      <c r="T55" s="69">
        <f t="shared" si="168"/>
        <v>664.05928058925622</v>
      </c>
      <c r="U55" s="70">
        <f t="shared" si="168"/>
        <v>0.16321326446280993</v>
      </c>
      <c r="V55" s="69">
        <f t="shared" si="168"/>
        <v>664.05928058925622</v>
      </c>
      <c r="W55" s="70">
        <f t="shared" si="168"/>
        <v>0.16321326446280993</v>
      </c>
      <c r="X55" s="69">
        <f t="shared" si="168"/>
        <v>734.52357333067278</v>
      </c>
      <c r="Y55" s="70">
        <f t="shared" si="168"/>
        <v>0.1805320605139463</v>
      </c>
      <c r="Z55" s="69">
        <f t="shared" si="168"/>
        <v>693.43962926652887</v>
      </c>
      <c r="AA55" s="70">
        <f t="shared" si="168"/>
        <v>0.17043440082644629</v>
      </c>
      <c r="AB55" s="69">
        <f t="shared" si="168"/>
        <v>693.43962926652887</v>
      </c>
      <c r="AC55" s="70">
        <f t="shared" si="168"/>
        <v>0.17043440082644629</v>
      </c>
      <c r="AD55" s="69">
        <f t="shared" si="168"/>
        <v>693.43962926652887</v>
      </c>
      <c r="AE55" s="70">
        <f t="shared" si="168"/>
        <v>0.17043440082644629</v>
      </c>
      <c r="AF55" s="784"/>
      <c r="AG55" s="785"/>
      <c r="AH55" s="782"/>
      <c r="AI55" s="630"/>
      <c r="AJ55" s="69">
        <f t="shared" ref="AJ55:AO55" si="169">+AJ56/AJ10</f>
        <v>693.43962926652887</v>
      </c>
      <c r="AK55" s="70">
        <f t="shared" si="169"/>
        <v>0.17043440082644629</v>
      </c>
      <c r="AL55" s="69">
        <f t="shared" si="169"/>
        <v>693.43962926652887</v>
      </c>
      <c r="AM55" s="70">
        <f t="shared" si="169"/>
        <v>0.17043440082644629</v>
      </c>
      <c r="AN55" s="69">
        <f t="shared" si="169"/>
        <v>693.43962926652887</v>
      </c>
      <c r="AO55" s="70">
        <f t="shared" si="169"/>
        <v>0.17043440082644629</v>
      </c>
      <c r="AP55" s="784"/>
      <c r="AQ55" s="785"/>
      <c r="AR55" s="782"/>
      <c r="AS55" s="630"/>
      <c r="AT55" s="69">
        <f t="shared" ref="AT55:AY55" si="170">+AT56/AT10</f>
        <v>693.43962926652887</v>
      </c>
      <c r="AU55" s="70">
        <f t="shared" si="170"/>
        <v>0.17043440082644629</v>
      </c>
      <c r="AV55" s="69">
        <f t="shared" si="170"/>
        <v>693.43962926652887</v>
      </c>
      <c r="AW55" s="70">
        <f t="shared" si="170"/>
        <v>0.17043440082644629</v>
      </c>
      <c r="AX55" s="69">
        <f t="shared" si="170"/>
        <v>693.43962926652887</v>
      </c>
      <c r="AY55" s="70">
        <f t="shared" si="170"/>
        <v>0.17043440082644629</v>
      </c>
      <c r="AZ55" s="784"/>
      <c r="BA55" s="785"/>
      <c r="BB55" s="724"/>
      <c r="BC55" s="630"/>
      <c r="BD55" s="69">
        <f>+BD56/BD10</f>
        <v>693.43962926652887</v>
      </c>
      <c r="BE55" s="70">
        <f>+BE56/BE10</f>
        <v>0.17043440082644629</v>
      </c>
      <c r="BF55" s="630"/>
      <c r="BG55" s="69">
        <f t="shared" ref="BG55:BL55" si="171">+BG56/BG10</f>
        <v>734.55852439152898</v>
      </c>
      <c r="BH55" s="70">
        <f t="shared" si="171"/>
        <v>0.1805406508264463</v>
      </c>
      <c r="BI55" s="69">
        <f t="shared" si="171"/>
        <v>734.55852439152898</v>
      </c>
      <c r="BJ55" s="70">
        <f t="shared" si="171"/>
        <v>0.1805406508264463</v>
      </c>
      <c r="BK55" s="69">
        <f t="shared" si="171"/>
        <v>734.55852439152898</v>
      </c>
      <c r="BL55" s="70">
        <f t="shared" si="171"/>
        <v>0.1805406508264463</v>
      </c>
      <c r="BM55"/>
      <c r="BN55" s="630"/>
      <c r="BO55" s="69">
        <f t="shared" ref="BO55:BT55" si="172">+BO56/BO10</f>
        <v>671.63799101437485</v>
      </c>
      <c r="BP55" s="70">
        <f t="shared" si="172"/>
        <v>0.16507596875</v>
      </c>
      <c r="BQ55" s="69">
        <f t="shared" si="172"/>
        <v>868.49236345895042</v>
      </c>
      <c r="BR55" s="70">
        <f t="shared" si="172"/>
        <v>0.21345906599690082</v>
      </c>
      <c r="BS55" s="69">
        <f t="shared" si="172"/>
        <v>868.49236345895042</v>
      </c>
      <c r="BT55" s="70">
        <f t="shared" si="172"/>
        <v>0.21345906599690082</v>
      </c>
      <c r="BU55" s="630"/>
      <c r="BV55" s="69">
        <f>+BV56/BV10</f>
        <v>822.69041455130389</v>
      </c>
      <c r="BW55" s="70">
        <f>+BW56/BW10</f>
        <v>0.20220180957644626</v>
      </c>
      <c r="BY55" s="69">
        <f t="shared" ref="BY55:CD55" si="173">+BY56/BY10</f>
        <v>2791.0907849999994</v>
      </c>
      <c r="BZ55" s="70">
        <f t="shared" si="173"/>
        <v>0.12241626249999997</v>
      </c>
      <c r="CA55" s="69">
        <f t="shared" si="173"/>
        <v>2926.676172</v>
      </c>
      <c r="CB55" s="70">
        <f t="shared" si="173"/>
        <v>0.12836299000000001</v>
      </c>
      <c r="CC55" s="69">
        <f t="shared" si="173"/>
        <v>3296.0361720000001</v>
      </c>
      <c r="CD55" s="70">
        <f t="shared" si="173"/>
        <v>0.14456299</v>
      </c>
      <c r="CH55" s="69">
        <f t="shared" ref="CH55:CM55" si="174">+CH56/CH10</f>
        <v>712.32459101437496</v>
      </c>
      <c r="CI55" s="70">
        <f t="shared" si="174"/>
        <v>0.17507596875000001</v>
      </c>
      <c r="CJ55" s="69">
        <f t="shared" si="174"/>
        <v>915.48538645895042</v>
      </c>
      <c r="CK55" s="70">
        <f t="shared" si="174"/>
        <v>0.22500906599690079</v>
      </c>
      <c r="CL55" s="69">
        <f t="shared" si="174"/>
        <v>915.48538645895042</v>
      </c>
      <c r="CM55" s="70">
        <f t="shared" si="174"/>
        <v>0.22500906599690079</v>
      </c>
      <c r="CN55" s="630"/>
    </row>
    <row r="56" spans="1:93" s="4" customFormat="1" ht="18" customHeight="1" x14ac:dyDescent="0.45">
      <c r="A56" s="561"/>
      <c r="B56" s="1184"/>
      <c r="C56" s="19" t="s">
        <v>54</v>
      </c>
      <c r="D56" s="20"/>
      <c r="E56" s="30" t="s">
        <v>53</v>
      </c>
      <c r="F56" s="69">
        <f>+G56*F12</f>
        <v>25857.864250661154</v>
      </c>
      <c r="G56" s="70">
        <f>+G57+G59+G63+G61</f>
        <v>6.3553760330578504</v>
      </c>
      <c r="H56" s="69">
        <f>+I56*H12</f>
        <v>26327.794480661156</v>
      </c>
      <c r="I56" s="70">
        <f>+I57+I59+I63+I61</f>
        <v>6.4708760330578512</v>
      </c>
      <c r="J56" s="69">
        <f>+K56*J12</f>
        <v>26327.794480661156</v>
      </c>
      <c r="K56" s="70">
        <f>+K57+K59+K63+K61</f>
        <v>6.4708760330578512</v>
      </c>
      <c r="L56" s="69">
        <f>+M56*L12</f>
        <v>26327.794480661156</v>
      </c>
      <c r="M56" s="70">
        <f>+M57+M59+M63+M61</f>
        <v>6.4708760330578512</v>
      </c>
      <c r="N56" s="69">
        <f>+O56*N12</f>
        <v>26562.371223570248</v>
      </c>
      <c r="O56" s="70">
        <f>+O57+O59+O63+O61</f>
        <v>6.528530578512397</v>
      </c>
      <c r="P56" s="69">
        <f>+Q56*P12</f>
        <v>26562.371223570248</v>
      </c>
      <c r="Q56" s="70">
        <f>+Q57+Q59+Q63+Q61</f>
        <v>6.528530578512397</v>
      </c>
      <c r="R56" s="69">
        <f>+S56*R12</f>
        <v>26562.371223570248</v>
      </c>
      <c r="S56" s="70">
        <f>+S57+S59+S63+S61</f>
        <v>6.528530578512397</v>
      </c>
      <c r="T56" s="69">
        <f>+U56*T12</f>
        <v>26562.371223570248</v>
      </c>
      <c r="U56" s="70">
        <f>+U57+U59+U63+U61</f>
        <v>6.528530578512397</v>
      </c>
      <c r="V56" s="69">
        <f>+W56*V12</f>
        <v>26562.371223570248</v>
      </c>
      <c r="W56" s="70">
        <f>+W57+W59+W63+W61</f>
        <v>6.528530578512397</v>
      </c>
      <c r="X56" s="69">
        <f>+Y56*X12</f>
        <v>29380.94293322691</v>
      </c>
      <c r="Y56" s="70">
        <f>+Y57+Y59+Y63+Y61</f>
        <v>7.2212824205578521</v>
      </c>
      <c r="Z56" s="69">
        <f>+AA56*Z12</f>
        <v>27737.585170661154</v>
      </c>
      <c r="AA56" s="70">
        <f>+AA57+AA59+AA63+AA61</f>
        <v>6.817376033057851</v>
      </c>
      <c r="AB56" s="69">
        <f>+AC56*AB12</f>
        <v>27737.585170661154</v>
      </c>
      <c r="AC56" s="70">
        <f>+AC57+AC59+AC63+AC61</f>
        <v>6.817376033057851</v>
      </c>
      <c r="AD56" s="69">
        <f>+AE56*AD12</f>
        <v>27737.585170661154</v>
      </c>
      <c r="AE56" s="70">
        <f>+AE57+AE59+AE63+AE61</f>
        <v>6.817376033057851</v>
      </c>
      <c r="AF56" s="784"/>
      <c r="AG56" s="785"/>
      <c r="AH56" s="782"/>
      <c r="AI56" s="630"/>
      <c r="AJ56" s="69">
        <f>+AK56*AJ12</f>
        <v>27737.585170661154</v>
      </c>
      <c r="AK56" s="70">
        <f>+AK57+AK59+AK63+AK61</f>
        <v>6.817376033057851</v>
      </c>
      <c r="AL56" s="69">
        <f>+AM56*AL12</f>
        <v>27737.585170661154</v>
      </c>
      <c r="AM56" s="70">
        <f>+AM57+AM59+AM63+AM61</f>
        <v>6.817376033057851</v>
      </c>
      <c r="AN56" s="69">
        <f>+AO56*AN12</f>
        <v>27737.585170661154</v>
      </c>
      <c r="AO56" s="70">
        <f>+AO57+AO59+AO63+AO61</f>
        <v>6.817376033057851</v>
      </c>
      <c r="AP56" s="784"/>
      <c r="AQ56" s="785"/>
      <c r="AR56" s="782"/>
      <c r="AS56" s="630"/>
      <c r="AT56" s="69">
        <f>+AU56*AT12</f>
        <v>27737.585170661154</v>
      </c>
      <c r="AU56" s="70">
        <f>+AU57+AU59+AU63+AU61</f>
        <v>6.817376033057851</v>
      </c>
      <c r="AV56" s="69">
        <f>+AW56*AV12</f>
        <v>27737.585170661154</v>
      </c>
      <c r="AW56" s="70">
        <f>+AW57+AW59+AW63+AW61</f>
        <v>6.817376033057851</v>
      </c>
      <c r="AX56" s="69">
        <f>+AY56*AX12</f>
        <v>27737.585170661154</v>
      </c>
      <c r="AY56" s="70">
        <f>+AY57+AY59+AY63+AY61</f>
        <v>6.817376033057851</v>
      </c>
      <c r="AZ56" s="784"/>
      <c r="BA56" s="785"/>
      <c r="BB56" s="724"/>
      <c r="BC56" s="630"/>
      <c r="BD56" s="69">
        <f>+BE56*BD12</f>
        <v>27737.585170661154</v>
      </c>
      <c r="BE56" s="70">
        <f>+BE57+BE59+BE63+BE61</f>
        <v>6.817376033057851</v>
      </c>
      <c r="BF56" s="630"/>
      <c r="BG56" s="69">
        <f>+BH56*BG12</f>
        <v>29382.340975661158</v>
      </c>
      <c r="BH56" s="70">
        <f>+BH57+BH59+BH63+BH61</f>
        <v>7.2216260330578521</v>
      </c>
      <c r="BI56" s="69">
        <f>+BJ56*BI12</f>
        <v>29382.340975661158</v>
      </c>
      <c r="BJ56" s="70">
        <f t="shared" ref="BJ56" si="175">+BJ57+BJ59+BJ63+BJ61</f>
        <v>7.2216260330578521</v>
      </c>
      <c r="BK56" s="69">
        <f>+BL56*BK12</f>
        <v>29382.340975661158</v>
      </c>
      <c r="BL56" s="70">
        <f t="shared" ref="BL56" si="176">+BL57+BL59+BL63+BL61</f>
        <v>7.2216260330578521</v>
      </c>
      <c r="BM56"/>
      <c r="BN56" s="630"/>
      <c r="BO56" s="69">
        <f>+BP56*BO12</f>
        <v>26865.519640574996</v>
      </c>
      <c r="BP56" s="70">
        <f>+BP57+BP59+BP63+BP61</f>
        <v>6.6030387499999996</v>
      </c>
      <c r="BQ56" s="69">
        <f>+BR56*BQ12</f>
        <v>34739.694538358017</v>
      </c>
      <c r="BR56" s="70">
        <f t="shared" ref="BR56" si="177">+BR57+BR59+BR63+BR61</f>
        <v>8.5383626398760324</v>
      </c>
      <c r="BS56" s="69">
        <f>+BT56*BS12</f>
        <v>34739.694538358017</v>
      </c>
      <c r="BT56" s="70">
        <f t="shared" ref="BT56" si="178">+BT57+BT59+BT63+BT61</f>
        <v>8.5383626398760324</v>
      </c>
      <c r="BU56" s="630"/>
      <c r="BV56" s="69">
        <f>+BW56*BV12</f>
        <v>32907.616582052156</v>
      </c>
      <c r="BW56" s="70">
        <f>+BW57+BW59+BW63+BW61</f>
        <v>8.0880723830578507</v>
      </c>
      <c r="BY56" s="69">
        <f>+BZ56*BY12</f>
        <v>111643.63139999997</v>
      </c>
      <c r="BZ56" s="70">
        <f>+BZ57+BZ59+BZ63+BZ61</f>
        <v>4.8966504999999989</v>
      </c>
      <c r="CA56" s="69">
        <f>+CB56*CA12</f>
        <v>117067.04687999999</v>
      </c>
      <c r="CB56" s="70">
        <f>+CB57+CB59+CB63+CB61</f>
        <v>5.1345196</v>
      </c>
      <c r="CC56" s="69">
        <f>+CD56*CC12</f>
        <v>131841.44688</v>
      </c>
      <c r="CD56" s="70">
        <f>+CD57+CD59+CD63+CD61</f>
        <v>5.7825195999999996</v>
      </c>
      <c r="CH56" s="69">
        <f>+CI56*CH12</f>
        <v>28492.983640574999</v>
      </c>
      <c r="CI56" s="70">
        <f>+CI57+CI59+CI63+CI61</f>
        <v>7.00303875</v>
      </c>
      <c r="CJ56" s="69">
        <f>+CK56*CJ12</f>
        <v>36619.415458358017</v>
      </c>
      <c r="CK56" s="70">
        <f t="shared" ref="CK56" si="179">+CK57+CK59+CK63+CK61</f>
        <v>9.0003626398760321</v>
      </c>
      <c r="CL56" s="69">
        <f>+CM56*CL12</f>
        <v>36619.415458358017</v>
      </c>
      <c r="CM56" s="70">
        <f t="shared" ref="CM56" si="180">+CM57+CM59+CM63+CM61</f>
        <v>9.0003626398760321</v>
      </c>
      <c r="CN56" s="630"/>
    </row>
    <row r="57" spans="1:93" s="4" customFormat="1" ht="18" customHeight="1" x14ac:dyDescent="0.45">
      <c r="A57" s="561"/>
      <c r="B57" s="1184"/>
      <c r="C57" s="71" t="s">
        <v>55</v>
      </c>
      <c r="D57" s="16"/>
      <c r="E57" s="35" t="s">
        <v>53</v>
      </c>
      <c r="F57" s="50"/>
      <c r="G57" s="72">
        <f>+G58*G63</f>
        <v>0.255</v>
      </c>
      <c r="H57" s="50"/>
      <c r="I57" s="72">
        <f>+I58*I63</f>
        <v>0.25999999999999995</v>
      </c>
      <c r="J57" s="50"/>
      <c r="K57" s="72">
        <f>+K58*K63</f>
        <v>0.25999999999999995</v>
      </c>
      <c r="L57" s="50"/>
      <c r="M57" s="72">
        <f>+M58*M63</f>
        <v>0.25999999999999995</v>
      </c>
      <c r="N57" s="367"/>
      <c r="O57" s="368">
        <f>+O58*O63</f>
        <v>0.26249586776859507</v>
      </c>
      <c r="P57" s="367"/>
      <c r="Q57" s="368">
        <f>+Q58*Q63</f>
        <v>0.26249586776859507</v>
      </c>
      <c r="R57" s="367"/>
      <c r="S57" s="368">
        <f>+S58*S63</f>
        <v>0.26249586776859507</v>
      </c>
      <c r="T57" s="367"/>
      <c r="U57" s="368">
        <f>+U58*U63</f>
        <v>0.26249586776859507</v>
      </c>
      <c r="V57" s="367"/>
      <c r="W57" s="368">
        <f>+W58*W63</f>
        <v>0.26249586776859507</v>
      </c>
      <c r="X57" s="367"/>
      <c r="Y57" s="368">
        <f>+Y58*Y63</f>
        <v>0.29248512500000001</v>
      </c>
      <c r="Z57" s="367"/>
      <c r="AA57" s="368">
        <f>+AA58*AA63</f>
        <v>0.27500000000000002</v>
      </c>
      <c r="AB57" s="367"/>
      <c r="AC57" s="368">
        <f>+AC58*AC63</f>
        <v>0.27500000000000002</v>
      </c>
      <c r="AD57" s="367"/>
      <c r="AE57" s="368">
        <f>+AE58*AE63</f>
        <v>0.27500000000000002</v>
      </c>
      <c r="AF57" s="745"/>
      <c r="AG57" s="725"/>
      <c r="AH57" s="746"/>
      <c r="AI57" s="630"/>
      <c r="AJ57" s="367"/>
      <c r="AK57" s="368">
        <f>+AK58*AK63</f>
        <v>0.27500000000000002</v>
      </c>
      <c r="AL57" s="367"/>
      <c r="AM57" s="368">
        <f>+AM58*AM63</f>
        <v>0.27500000000000002</v>
      </c>
      <c r="AN57" s="367"/>
      <c r="AO57" s="368">
        <f>+AO58*AO63</f>
        <v>0.27500000000000002</v>
      </c>
      <c r="AP57" s="745"/>
      <c r="AQ57" s="725"/>
      <c r="AR57" s="746"/>
      <c r="AS57" s="630"/>
      <c r="AT57" s="367"/>
      <c r="AU57" s="368">
        <f>+AU58*AU63</f>
        <v>0.27500000000000002</v>
      </c>
      <c r="AV57" s="367"/>
      <c r="AW57" s="368">
        <f>+AW58*AW63</f>
        <v>0.27500000000000002</v>
      </c>
      <c r="AX57" s="367"/>
      <c r="AY57" s="368">
        <f>+AY58*AY63</f>
        <v>0.27500000000000002</v>
      </c>
      <c r="AZ57" s="745"/>
      <c r="BA57" s="725"/>
      <c r="BB57" s="725"/>
      <c r="BC57" s="630"/>
      <c r="BD57" s="367"/>
      <c r="BE57" s="368">
        <f>+BE58*BE63</f>
        <v>0.27500000000000002</v>
      </c>
      <c r="BF57" s="630"/>
      <c r="BG57" s="367"/>
      <c r="BH57" s="368">
        <f>+BH58*BH63</f>
        <v>0.29250000000000004</v>
      </c>
      <c r="BI57" s="367"/>
      <c r="BJ57" s="368">
        <f t="shared" ref="BJ57" si="181">+BJ58*BJ63</f>
        <v>0.29250000000000004</v>
      </c>
      <c r="BK57" s="367"/>
      <c r="BL57" s="368">
        <f t="shared" ref="BL57" si="182">+BL58*BL63</f>
        <v>0.29250000000000004</v>
      </c>
      <c r="BM57"/>
      <c r="BN57" s="630"/>
      <c r="BO57" s="367"/>
      <c r="BP57" s="368">
        <f>+BP58*BP63</f>
        <v>0</v>
      </c>
      <c r="BQ57" s="367"/>
      <c r="BR57" s="368">
        <f t="shared" ref="BR57" si="183">+BR58*BR63</f>
        <v>0.34950158471074377</v>
      </c>
      <c r="BS57" s="367"/>
      <c r="BT57" s="368">
        <f t="shared" ref="BT57" si="184">+BT58*BT63</f>
        <v>0.34950158471074377</v>
      </c>
      <c r="BU57" s="630"/>
      <c r="BV57" s="367"/>
      <c r="BW57" s="368">
        <f>+BW58*BW63</f>
        <v>0.33000849999999998</v>
      </c>
      <c r="BY57" s="367"/>
      <c r="BZ57" s="368">
        <f>+BZ58*BZ63</f>
        <v>0</v>
      </c>
      <c r="CA57" s="367"/>
      <c r="CB57" s="368">
        <f>+CB58*CB63</f>
        <v>0</v>
      </c>
      <c r="CC57" s="367"/>
      <c r="CD57" s="368">
        <f>+CD58*CD63</f>
        <v>0</v>
      </c>
      <c r="CH57" s="367"/>
      <c r="CI57" s="368">
        <f>+CI58*CI63</f>
        <v>0</v>
      </c>
      <c r="CJ57" s="367"/>
      <c r="CK57" s="368">
        <f t="shared" ref="CK57" si="185">+CK58*CK63</f>
        <v>0.36950158471074379</v>
      </c>
      <c r="CL57" s="367"/>
      <c r="CM57" s="368">
        <f t="shared" ref="CM57" si="186">+CM58*CM63</f>
        <v>0.36950158471074379</v>
      </c>
      <c r="CN57" s="630"/>
    </row>
    <row r="58" spans="1:93" s="4" customFormat="1" ht="18" customHeight="1" x14ac:dyDescent="0.45">
      <c r="A58" s="561"/>
      <c r="B58" s="1184"/>
      <c r="C58" s="15" t="s">
        <v>56</v>
      </c>
      <c r="D58" s="16"/>
      <c r="E58" s="16"/>
      <c r="F58" s="73"/>
      <c r="G58" s="74">
        <v>0.05</v>
      </c>
      <c r="H58" s="73"/>
      <c r="I58" s="74">
        <v>0.05</v>
      </c>
      <c r="J58" s="73"/>
      <c r="K58" s="74">
        <v>0.05</v>
      </c>
      <c r="L58" s="73"/>
      <c r="M58" s="74">
        <v>0.05</v>
      </c>
      <c r="N58" s="369"/>
      <c r="O58" s="370">
        <v>0.05</v>
      </c>
      <c r="P58" s="369"/>
      <c r="Q58" s="370">
        <v>0.05</v>
      </c>
      <c r="R58" s="369"/>
      <c r="S58" s="370">
        <v>0.05</v>
      </c>
      <c r="T58" s="369"/>
      <c r="U58" s="370">
        <v>0.05</v>
      </c>
      <c r="V58" s="369"/>
      <c r="W58" s="370">
        <v>0.05</v>
      </c>
      <c r="X58" s="369"/>
      <c r="Y58" s="370">
        <v>0.05</v>
      </c>
      <c r="Z58" s="369"/>
      <c r="AA58" s="370">
        <v>0.05</v>
      </c>
      <c r="AB58" s="369"/>
      <c r="AC58" s="370">
        <v>0.05</v>
      </c>
      <c r="AD58" s="369"/>
      <c r="AE58" s="370">
        <v>0.05</v>
      </c>
      <c r="AF58" s="745"/>
      <c r="AG58" s="725"/>
      <c r="AH58" s="746"/>
      <c r="AI58" s="633"/>
      <c r="AJ58" s="369"/>
      <c r="AK58" s="370">
        <v>0.05</v>
      </c>
      <c r="AL58" s="369"/>
      <c r="AM58" s="370">
        <v>0.05</v>
      </c>
      <c r="AN58" s="369"/>
      <c r="AO58" s="370">
        <v>0.05</v>
      </c>
      <c r="AP58" s="745"/>
      <c r="AQ58" s="725"/>
      <c r="AR58" s="746"/>
      <c r="AS58" s="633"/>
      <c r="AT58" s="369"/>
      <c r="AU58" s="370">
        <v>0.05</v>
      </c>
      <c r="AV58" s="369"/>
      <c r="AW58" s="370">
        <v>0.05</v>
      </c>
      <c r="AX58" s="369"/>
      <c r="AY58" s="370">
        <v>0.05</v>
      </c>
      <c r="AZ58" s="745"/>
      <c r="BA58" s="725"/>
      <c r="BB58" s="725"/>
      <c r="BC58" s="633"/>
      <c r="BD58" s="369"/>
      <c r="BE58" s="370">
        <v>0.05</v>
      </c>
      <c r="BF58" s="633"/>
      <c r="BG58" s="369"/>
      <c r="BH58" s="370">
        <v>0.05</v>
      </c>
      <c r="BI58" s="369"/>
      <c r="BJ58" s="370">
        <v>0.05</v>
      </c>
      <c r="BK58" s="369"/>
      <c r="BL58" s="370">
        <v>0.05</v>
      </c>
      <c r="BM58"/>
      <c r="BN58" s="633"/>
      <c r="BO58" s="369"/>
      <c r="BP58" s="370">
        <v>0</v>
      </c>
      <c r="BQ58" s="369"/>
      <c r="BR58" s="370">
        <v>0.05</v>
      </c>
      <c r="BS58" s="369"/>
      <c r="BT58" s="370">
        <v>0.05</v>
      </c>
      <c r="BU58" s="633"/>
      <c r="BV58" s="369"/>
      <c r="BW58" s="370">
        <v>0.05</v>
      </c>
      <c r="BY58" s="369"/>
      <c r="BZ58" s="370">
        <v>0</v>
      </c>
      <c r="CA58" s="369"/>
      <c r="CB58" s="370">
        <v>0</v>
      </c>
      <c r="CC58" s="369"/>
      <c r="CD58" s="370">
        <v>0</v>
      </c>
      <c r="CH58" s="369"/>
      <c r="CI58" s="370">
        <v>0</v>
      </c>
      <c r="CJ58" s="369"/>
      <c r="CK58" s="370">
        <v>0.05</v>
      </c>
      <c r="CL58" s="369"/>
      <c r="CM58" s="370">
        <v>0.05</v>
      </c>
      <c r="CN58" s="633"/>
    </row>
    <row r="59" spans="1:93" s="4" customFormat="1" ht="18" customHeight="1" x14ac:dyDescent="0.45">
      <c r="A59" s="561"/>
      <c r="B59" s="1184"/>
      <c r="C59" s="71" t="s">
        <v>57</v>
      </c>
      <c r="D59" s="526">
        <v>651</v>
      </c>
      <c r="E59" s="35" t="s">
        <v>53</v>
      </c>
      <c r="F59" s="50"/>
      <c r="G59" s="72">
        <f>$D$60/G73</f>
        <v>0.46487603305785125</v>
      </c>
      <c r="H59" s="50"/>
      <c r="I59" s="72">
        <f>$D$60/I73</f>
        <v>0.46487603305785125</v>
      </c>
      <c r="J59" s="50"/>
      <c r="K59" s="72">
        <f>$D$60/K73</f>
        <v>0.46487603305785125</v>
      </c>
      <c r="L59" s="50"/>
      <c r="M59" s="72">
        <f>$D$60/M73</f>
        <v>0.46487603305785125</v>
      </c>
      <c r="N59" s="367"/>
      <c r="O59" s="368">
        <f>$D$60/O73</f>
        <v>0.46487603305785125</v>
      </c>
      <c r="P59" s="367"/>
      <c r="Q59" s="368">
        <f>$D$60/Q73</f>
        <v>0.46487603305785125</v>
      </c>
      <c r="R59" s="367"/>
      <c r="S59" s="368">
        <f>$D$60/S73</f>
        <v>0.46487603305785125</v>
      </c>
      <c r="T59" s="367"/>
      <c r="U59" s="368">
        <f>$D$60/U73</f>
        <v>0.46487603305785125</v>
      </c>
      <c r="V59" s="367"/>
      <c r="W59" s="368">
        <f>$D$60/W73</f>
        <v>0.46487603305785125</v>
      </c>
      <c r="X59" s="367"/>
      <c r="Y59" s="368">
        <f>$D$60/Y73</f>
        <v>0.46487603305785125</v>
      </c>
      <c r="Z59" s="367"/>
      <c r="AA59" s="368">
        <f>$D$60/AA73</f>
        <v>0.46487603305785125</v>
      </c>
      <c r="AB59" s="367"/>
      <c r="AC59" s="368">
        <f>$D$60/AC73</f>
        <v>0.46487603305785125</v>
      </c>
      <c r="AD59" s="367"/>
      <c r="AE59" s="368">
        <f>$D$60/AE73</f>
        <v>0.46487603305785125</v>
      </c>
      <c r="AF59" s="745"/>
      <c r="AG59" s="725"/>
      <c r="AH59" s="746"/>
      <c r="AI59" s="630"/>
      <c r="AJ59" s="367"/>
      <c r="AK59" s="368">
        <f>$D$60/AK73</f>
        <v>0.46487603305785125</v>
      </c>
      <c r="AL59" s="367"/>
      <c r="AM59" s="368">
        <f>$D$60/AM73</f>
        <v>0.46487603305785125</v>
      </c>
      <c r="AN59" s="367"/>
      <c r="AO59" s="368">
        <f>$D$60/AO73</f>
        <v>0.46487603305785125</v>
      </c>
      <c r="AP59" s="745"/>
      <c r="AQ59" s="725"/>
      <c r="AR59" s="746"/>
      <c r="AS59" s="630"/>
      <c r="AT59" s="367"/>
      <c r="AU59" s="368">
        <f>$D$60/AU73</f>
        <v>0.46487603305785125</v>
      </c>
      <c r="AV59" s="367"/>
      <c r="AW59" s="368">
        <f>$D$60/AW73</f>
        <v>0.46487603305785125</v>
      </c>
      <c r="AX59" s="367"/>
      <c r="AY59" s="368">
        <f>$D$60/AY73</f>
        <v>0.46487603305785125</v>
      </c>
      <c r="AZ59" s="745"/>
      <c r="BA59" s="725"/>
      <c r="BB59" s="725"/>
      <c r="BC59" s="630"/>
      <c r="BD59" s="367"/>
      <c r="BE59" s="368">
        <f>$D$60/BE73</f>
        <v>0.46487603305785125</v>
      </c>
      <c r="BF59" s="630"/>
      <c r="BG59" s="367"/>
      <c r="BH59" s="368">
        <f>$D$60/BH73</f>
        <v>0.46487603305785125</v>
      </c>
      <c r="BI59" s="367"/>
      <c r="BJ59" s="368">
        <f t="shared" ref="BJ59" si="187">$D$60/BJ73</f>
        <v>0.46487603305785125</v>
      </c>
      <c r="BK59" s="367"/>
      <c r="BL59" s="368">
        <f t="shared" ref="BL59" si="188">$D$60/BL73</f>
        <v>0.46487603305785125</v>
      </c>
      <c r="BM59"/>
      <c r="BN59" s="630"/>
      <c r="BO59" s="367"/>
      <c r="BP59" s="368">
        <v>0</v>
      </c>
      <c r="BQ59" s="367"/>
      <c r="BR59" s="368">
        <f t="shared" ref="BR59" si="189">$D$60/BR73</f>
        <v>0.46487603305785125</v>
      </c>
      <c r="BS59" s="367"/>
      <c r="BT59" s="368">
        <f t="shared" ref="BT59" si="190">$D$60/BT73</f>
        <v>0.46487603305785125</v>
      </c>
      <c r="BU59" s="630"/>
      <c r="BV59" s="367"/>
      <c r="BW59" s="368">
        <f>$D$60/BW73</f>
        <v>0.46487603305785125</v>
      </c>
      <c r="BY59" s="367"/>
      <c r="BZ59" s="368">
        <f>(658)/BZ73</f>
        <v>0.16450000000000001</v>
      </c>
      <c r="CA59" s="367"/>
      <c r="CB59" s="368">
        <f>(658)/CB73</f>
        <v>0.16450000000000001</v>
      </c>
      <c r="CC59" s="367"/>
      <c r="CD59" s="368">
        <f>(658)/CD73</f>
        <v>0.16450000000000001</v>
      </c>
      <c r="CH59" s="367"/>
      <c r="CI59" s="368">
        <v>0</v>
      </c>
      <c r="CJ59" s="367"/>
      <c r="CK59" s="368">
        <f t="shared" ref="CK59" si="191">$D$60/CK73</f>
        <v>0.46487603305785125</v>
      </c>
      <c r="CL59" s="367"/>
      <c r="CM59" s="368">
        <f t="shared" ref="CM59" si="192">$D$60/CM73</f>
        <v>0.46487603305785125</v>
      </c>
      <c r="CN59" s="630"/>
    </row>
    <row r="60" spans="1:93" s="4" customFormat="1" ht="18" customHeight="1" x14ac:dyDescent="0.45">
      <c r="A60" s="561"/>
      <c r="B60" s="1184"/>
      <c r="C60" s="71" t="s">
        <v>58</v>
      </c>
      <c r="D60" s="76">
        <v>1800</v>
      </c>
      <c r="E60" s="16"/>
      <c r="F60" s="73"/>
      <c r="G60" s="74">
        <f>G59/G63</f>
        <v>9.1152163344676726E-2</v>
      </c>
      <c r="H60" s="73"/>
      <c r="I60" s="74">
        <f>I59/I63</f>
        <v>8.9399237126509865E-2</v>
      </c>
      <c r="J60" s="73"/>
      <c r="K60" s="74">
        <f>K59/K63</f>
        <v>8.9399237126509865E-2</v>
      </c>
      <c r="L60" s="73"/>
      <c r="M60" s="74">
        <f>M59/M63</f>
        <v>8.9399237126509865E-2</v>
      </c>
      <c r="N60" s="369"/>
      <c r="O60" s="370">
        <f>O59/O63</f>
        <v>8.8549209747496999E-2</v>
      </c>
      <c r="P60" s="369"/>
      <c r="Q60" s="370">
        <f>Q59/Q63</f>
        <v>8.8549209747496999E-2</v>
      </c>
      <c r="R60" s="369"/>
      <c r="S60" s="370">
        <f>S59/S63</f>
        <v>8.8549209747496999E-2</v>
      </c>
      <c r="T60" s="369"/>
      <c r="U60" s="370">
        <f>U59/U63</f>
        <v>8.8549209747496999E-2</v>
      </c>
      <c r="V60" s="369"/>
      <c r="W60" s="370">
        <f>W59/W63</f>
        <v>8.8549209747496999E-2</v>
      </c>
      <c r="X60" s="369"/>
      <c r="Y60" s="370">
        <f>Y59/Y63</f>
        <v>7.9470029981499268E-2</v>
      </c>
      <c r="Z60" s="369"/>
      <c r="AA60" s="370">
        <f>AA59/AA63</f>
        <v>8.4522915101427495E-2</v>
      </c>
      <c r="AB60" s="369"/>
      <c r="AC60" s="370">
        <f>AC59/AC63</f>
        <v>8.4522915101427495E-2</v>
      </c>
      <c r="AD60" s="369"/>
      <c r="AE60" s="370">
        <f>AE59/AE63</f>
        <v>8.4522915101427495E-2</v>
      </c>
      <c r="AF60" s="745"/>
      <c r="AG60" s="725"/>
      <c r="AH60" s="746"/>
      <c r="AI60" s="633"/>
      <c r="AJ60" s="369"/>
      <c r="AK60" s="370">
        <f>AK59/AK63</f>
        <v>8.4522915101427495E-2</v>
      </c>
      <c r="AL60" s="369"/>
      <c r="AM60" s="370">
        <f>AM59/AM63</f>
        <v>8.4522915101427495E-2</v>
      </c>
      <c r="AN60" s="369"/>
      <c r="AO60" s="370">
        <f>AO59/AO63</f>
        <v>8.4522915101427495E-2</v>
      </c>
      <c r="AP60" s="745"/>
      <c r="AQ60" s="725"/>
      <c r="AR60" s="746"/>
      <c r="AS60" s="633"/>
      <c r="AT60" s="369"/>
      <c r="AU60" s="370">
        <f>AU59/AU63</f>
        <v>8.4522915101427495E-2</v>
      </c>
      <c r="AV60" s="369"/>
      <c r="AW60" s="370">
        <f>AW59/AW63</f>
        <v>8.4522915101427495E-2</v>
      </c>
      <c r="AX60" s="369"/>
      <c r="AY60" s="370">
        <f>AY59/AY63</f>
        <v>8.4522915101427495E-2</v>
      </c>
      <c r="AZ60" s="745"/>
      <c r="BA60" s="725"/>
      <c r="BB60" s="725"/>
      <c r="BC60" s="633"/>
      <c r="BD60" s="369"/>
      <c r="BE60" s="370">
        <f>BE59/BE63</f>
        <v>8.4522915101427495E-2</v>
      </c>
      <c r="BF60" s="633"/>
      <c r="BG60" s="369"/>
      <c r="BH60" s="370">
        <f>BH59/BH63</f>
        <v>7.946598855689764E-2</v>
      </c>
      <c r="BI60" s="369"/>
      <c r="BJ60" s="370">
        <f t="shared" ref="BJ60" si="193">BJ59/BJ63</f>
        <v>7.946598855689764E-2</v>
      </c>
      <c r="BK60" s="369"/>
      <c r="BL60" s="370">
        <f t="shared" ref="BL60" si="194">BL59/BL63</f>
        <v>7.946598855689764E-2</v>
      </c>
      <c r="BM60"/>
      <c r="BN60" s="633"/>
      <c r="BO60" s="369"/>
      <c r="BP60" s="370">
        <f>BP59/BP63</f>
        <v>0</v>
      </c>
      <c r="BQ60" s="369"/>
      <c r="BR60" s="370">
        <f t="shared" ref="BR60" si="195">BR59/BR63</f>
        <v>6.6505568700438694E-2</v>
      </c>
      <c r="BS60" s="369"/>
      <c r="BT60" s="370">
        <f t="shared" ref="BT60" si="196">BT59/BT63</f>
        <v>6.6505568700438694E-2</v>
      </c>
      <c r="BU60" s="633"/>
      <c r="BV60" s="369"/>
      <c r="BW60" s="370">
        <f>BW59/BW63</f>
        <v>7.0433948376761701E-2</v>
      </c>
      <c r="BY60" s="369"/>
      <c r="BZ60" s="370">
        <f>BZ59/BZ63</f>
        <v>3.823842880736783E-2</v>
      </c>
      <c r="CA60" s="369"/>
      <c r="CB60" s="370">
        <f>CB59/CB63</f>
        <v>3.5746337901766026E-2</v>
      </c>
      <c r="CC60" s="369"/>
      <c r="CD60" s="370">
        <f>CD59/CD63</f>
        <v>3.1623243179856479E-2</v>
      </c>
      <c r="CH60" s="369"/>
      <c r="CI60" s="370">
        <f>CI59/CI63</f>
        <v>0</v>
      </c>
      <c r="CJ60" s="369"/>
      <c r="CK60" s="370">
        <f t="shared" ref="CK60" si="197">CK59/CK63</f>
        <v>6.2905823992848262E-2</v>
      </c>
      <c r="CL60" s="369"/>
      <c r="CM60" s="370">
        <f t="shared" ref="CM60" si="198">CM59/CM63</f>
        <v>6.2905823992848262E-2</v>
      </c>
      <c r="CN60" s="633"/>
    </row>
    <row r="61" spans="1:93" s="4" customFormat="1" ht="18" customHeight="1" x14ac:dyDescent="0.45">
      <c r="A61" s="561"/>
      <c r="B61" s="1184"/>
      <c r="C61" s="77" t="s">
        <v>59</v>
      </c>
      <c r="D61" s="76"/>
      <c r="E61" s="16"/>
      <c r="F61" s="73"/>
      <c r="G61" s="72">
        <f>(G62*(G63+G57))</f>
        <v>0.53549999999999998</v>
      </c>
      <c r="H61" s="73"/>
      <c r="I61" s="72">
        <f>(I62*(I63+I57))</f>
        <v>0.54599999999999993</v>
      </c>
      <c r="J61" s="73"/>
      <c r="K61" s="72">
        <f>(K62*(K63+K57))</f>
        <v>0.54599999999999993</v>
      </c>
      <c r="L61" s="73"/>
      <c r="M61" s="72">
        <f>(M62*(M63+M57))</f>
        <v>0.54599999999999993</v>
      </c>
      <c r="N61" s="371"/>
      <c r="O61" s="368">
        <f>(O62*(O63+O57))</f>
        <v>0.55124132231404965</v>
      </c>
      <c r="P61" s="371"/>
      <c r="Q61" s="368">
        <f>(Q62*(Q63+Q57))</f>
        <v>0.55124132231404965</v>
      </c>
      <c r="R61" s="371"/>
      <c r="S61" s="368">
        <f>(S62*(S63+S57))</f>
        <v>0.55124132231404965</v>
      </c>
      <c r="T61" s="371"/>
      <c r="U61" s="368">
        <f>(U62*(U63+U57))</f>
        <v>0.55124132231404965</v>
      </c>
      <c r="V61" s="371"/>
      <c r="W61" s="368">
        <f>(W62*(W63+W57))</f>
        <v>0.55124132231404965</v>
      </c>
      <c r="X61" s="371"/>
      <c r="Y61" s="368">
        <f>(Y62*(Y63+Y57))</f>
        <v>0.61421876250000007</v>
      </c>
      <c r="Z61" s="371"/>
      <c r="AA61" s="368">
        <f>(AA62*(AA63+AA57))</f>
        <v>0.57750000000000001</v>
      </c>
      <c r="AB61" s="371"/>
      <c r="AC61" s="368">
        <f>(AC62*(AC63+AC57))</f>
        <v>0.57750000000000001</v>
      </c>
      <c r="AD61" s="371"/>
      <c r="AE61" s="368">
        <f>(AE62*(AE63+AE57))</f>
        <v>0.57750000000000001</v>
      </c>
      <c r="AF61" s="745"/>
      <c r="AG61" s="725"/>
      <c r="AH61" s="746"/>
      <c r="AI61" s="630"/>
      <c r="AJ61" s="371"/>
      <c r="AK61" s="368">
        <f>(AK62*(AK63+AK57))</f>
        <v>0.57750000000000001</v>
      </c>
      <c r="AL61" s="371"/>
      <c r="AM61" s="368">
        <f>(AM62*(AM63+AM57))</f>
        <v>0.57750000000000001</v>
      </c>
      <c r="AN61" s="371"/>
      <c r="AO61" s="368">
        <f>(AO62*(AO63+AO57))</f>
        <v>0.57750000000000001</v>
      </c>
      <c r="AP61" s="745"/>
      <c r="AQ61" s="725"/>
      <c r="AR61" s="746"/>
      <c r="AS61" s="630"/>
      <c r="AT61" s="371"/>
      <c r="AU61" s="368">
        <f>(AU62*(AU63+AU57))</f>
        <v>0.57750000000000001</v>
      </c>
      <c r="AV61" s="371"/>
      <c r="AW61" s="368">
        <f>(AW62*(AW63+AW57))</f>
        <v>0.57750000000000001</v>
      </c>
      <c r="AX61" s="371"/>
      <c r="AY61" s="368">
        <f>(AY62*(AY63+AY57))</f>
        <v>0.57750000000000001</v>
      </c>
      <c r="AZ61" s="745"/>
      <c r="BA61" s="725"/>
      <c r="BB61" s="725"/>
      <c r="BC61" s="630"/>
      <c r="BD61" s="371"/>
      <c r="BE61" s="368">
        <f>(BE62*(BE63+BE57))</f>
        <v>0.57750000000000001</v>
      </c>
      <c r="BF61" s="630"/>
      <c r="BG61" s="371"/>
      <c r="BH61" s="368">
        <f>(BH62*(BH63+BH57))</f>
        <v>0.61425000000000018</v>
      </c>
      <c r="BI61" s="371"/>
      <c r="BJ61" s="368">
        <f t="shared" ref="BJ61" si="199">(BJ62*(BJ63+BJ57))</f>
        <v>0.61425000000000018</v>
      </c>
      <c r="BK61" s="371"/>
      <c r="BL61" s="368">
        <f t="shared" ref="BL61" si="200">(BL62*(BL63+BL57))</f>
        <v>0.61425000000000018</v>
      </c>
      <c r="BM61"/>
      <c r="BN61" s="630"/>
      <c r="BO61" s="371"/>
      <c r="BP61" s="368">
        <f>(BP62*(BP81+BP57))</f>
        <v>0</v>
      </c>
      <c r="BQ61" s="371"/>
      <c r="BR61" s="368">
        <f t="shared" ref="BR61" si="201">(BR62*(BR63+BR57))</f>
        <v>0.73395332789256196</v>
      </c>
      <c r="BS61" s="371"/>
      <c r="BT61" s="368">
        <f t="shared" ref="BT61" si="202">(BT62*(BT63+BT57))</f>
        <v>0.73395332789256196</v>
      </c>
      <c r="BU61" s="630"/>
      <c r="BV61" s="371"/>
      <c r="BW61" s="368">
        <f>(BW62*(BW63+BW57))</f>
        <v>0.69301784999999994</v>
      </c>
      <c r="BY61" s="371"/>
      <c r="BZ61" s="368">
        <f>(BZ62*(BZ63+BZ57))</f>
        <v>0.4301954999999999</v>
      </c>
      <c r="CA61" s="371"/>
      <c r="CB61" s="368">
        <f>(CB62*(CB63+CB57))</f>
        <v>0.36814960000000002</v>
      </c>
      <c r="CC61" s="371"/>
      <c r="CD61" s="368">
        <f>(CD62*(CD63+CD57))</f>
        <v>0.41614959999999995</v>
      </c>
      <c r="CH61" s="371"/>
      <c r="CI61" s="368">
        <f>(CI62*(CI81+CI57))</f>
        <v>0</v>
      </c>
      <c r="CJ61" s="371"/>
      <c r="CK61" s="368">
        <f t="shared" ref="CK61" si="203">(CK62*(CK63+CK57))</f>
        <v>0.77595332789256188</v>
      </c>
      <c r="CL61" s="371"/>
      <c r="CM61" s="368">
        <f t="shared" ref="CM61" si="204">(CM62*(CM63+CM57))</f>
        <v>0.77595332789256188</v>
      </c>
      <c r="CN61" s="630"/>
    </row>
    <row r="62" spans="1:93" s="4" customFormat="1" ht="18" customHeight="1" x14ac:dyDescent="0.45">
      <c r="A62" s="561"/>
      <c r="B62" s="1184"/>
      <c r="C62" s="77" t="s">
        <v>60</v>
      </c>
      <c r="D62" s="76"/>
      <c r="E62" s="16"/>
      <c r="F62" s="73"/>
      <c r="G62" s="74">
        <v>0.1</v>
      </c>
      <c r="H62" s="347"/>
      <c r="I62" s="74">
        <v>0.1</v>
      </c>
      <c r="J62" s="347"/>
      <c r="K62" s="74">
        <v>0.1</v>
      </c>
      <c r="L62" s="347"/>
      <c r="M62" s="74">
        <v>0.1</v>
      </c>
      <c r="N62" s="369"/>
      <c r="O62" s="370">
        <v>0.1</v>
      </c>
      <c r="P62" s="369"/>
      <c r="Q62" s="370">
        <v>0.1</v>
      </c>
      <c r="R62" s="369"/>
      <c r="S62" s="370">
        <v>0.1</v>
      </c>
      <c r="T62" s="369"/>
      <c r="U62" s="370">
        <v>0.1</v>
      </c>
      <c r="V62" s="369"/>
      <c r="W62" s="370">
        <v>0.1</v>
      </c>
      <c r="X62" s="369"/>
      <c r="Y62" s="370">
        <v>0.1</v>
      </c>
      <c r="Z62" s="369"/>
      <c r="AA62" s="370">
        <v>0.1</v>
      </c>
      <c r="AB62" s="369"/>
      <c r="AC62" s="370">
        <v>0.1</v>
      </c>
      <c r="AD62" s="369"/>
      <c r="AE62" s="370">
        <v>0.1</v>
      </c>
      <c r="AF62" s="745"/>
      <c r="AG62" s="725"/>
      <c r="AH62" s="746"/>
      <c r="AI62" s="633"/>
      <c r="AJ62" s="369"/>
      <c r="AK62" s="370">
        <v>0.1</v>
      </c>
      <c r="AL62" s="369"/>
      <c r="AM62" s="370">
        <v>0.1</v>
      </c>
      <c r="AN62" s="369"/>
      <c r="AO62" s="370">
        <v>0.1</v>
      </c>
      <c r="AP62" s="745"/>
      <c r="AQ62" s="725"/>
      <c r="AR62" s="746"/>
      <c r="AS62" s="633"/>
      <c r="AT62" s="369"/>
      <c r="AU62" s="370">
        <v>0.1</v>
      </c>
      <c r="AV62" s="369"/>
      <c r="AW62" s="370">
        <v>0.1</v>
      </c>
      <c r="AX62" s="369"/>
      <c r="AY62" s="370">
        <v>0.1</v>
      </c>
      <c r="AZ62" s="745"/>
      <c r="BA62" s="725"/>
      <c r="BB62" s="725"/>
      <c r="BC62" s="633"/>
      <c r="BD62" s="369"/>
      <c r="BE62" s="370">
        <v>0.1</v>
      </c>
      <c r="BF62" s="633"/>
      <c r="BG62" s="369"/>
      <c r="BH62" s="370">
        <v>0.1</v>
      </c>
      <c r="BI62" s="369"/>
      <c r="BJ62" s="370">
        <v>0.1</v>
      </c>
      <c r="BK62" s="369"/>
      <c r="BL62" s="370">
        <v>0.1</v>
      </c>
      <c r="BM62"/>
      <c r="BN62" s="633"/>
      <c r="BO62" s="369"/>
      <c r="BP62" s="370">
        <v>0</v>
      </c>
      <c r="BQ62" s="369"/>
      <c r="BR62" s="370">
        <v>0.1</v>
      </c>
      <c r="BS62" s="369"/>
      <c r="BT62" s="370">
        <v>0.1</v>
      </c>
      <c r="BU62" s="633"/>
      <c r="BV62" s="369"/>
      <c r="BW62" s="370">
        <v>0.1</v>
      </c>
      <c r="BY62" s="369"/>
      <c r="BZ62" s="370">
        <v>0.1</v>
      </c>
      <c r="CA62" s="369"/>
      <c r="CB62" s="370">
        <v>0.08</v>
      </c>
      <c r="CC62" s="369"/>
      <c r="CD62" s="370">
        <v>0.08</v>
      </c>
      <c r="CE62" s="1087">
        <f>BP105-BH105</f>
        <v>1.1682953090443475</v>
      </c>
      <c r="CH62" s="369"/>
      <c r="CI62" s="370">
        <v>0</v>
      </c>
      <c r="CJ62" s="369"/>
      <c r="CK62" s="370">
        <v>0.1</v>
      </c>
      <c r="CL62" s="369"/>
      <c r="CM62" s="370">
        <v>0.1</v>
      </c>
      <c r="CN62" s="633"/>
    </row>
    <row r="63" spans="1:93" s="4" customFormat="1" ht="18" customHeight="1" x14ac:dyDescent="0.45">
      <c r="A63" s="561"/>
      <c r="B63" s="1184"/>
      <c r="C63" s="78" t="s">
        <v>61</v>
      </c>
      <c r="D63" s="79"/>
      <c r="E63" s="80" t="s">
        <v>53</v>
      </c>
      <c r="F63" s="81"/>
      <c r="G63" s="82">
        <f>G67-G64+G65</f>
        <v>5.0999999999999996</v>
      </c>
      <c r="H63" s="81"/>
      <c r="I63" s="82">
        <f>I67-I64+I65</f>
        <v>5.1999999999999993</v>
      </c>
      <c r="J63" s="81"/>
      <c r="K63" s="82">
        <f>K67-K64+K65</f>
        <v>5.1999999999999993</v>
      </c>
      <c r="L63" s="81"/>
      <c r="M63" s="82">
        <f>M67-M64+M65</f>
        <v>5.1999999999999993</v>
      </c>
      <c r="N63" s="550"/>
      <c r="O63" s="82">
        <f>O67-O64+O65</f>
        <v>5.2499173553719016</v>
      </c>
      <c r="P63" s="550"/>
      <c r="Q63" s="82">
        <f>Q67-Q64+Q65</f>
        <v>5.2499173553719016</v>
      </c>
      <c r="R63" s="550"/>
      <c r="S63" s="82">
        <f>S67-S64+S65</f>
        <v>5.2499173553719016</v>
      </c>
      <c r="T63" s="550"/>
      <c r="U63" s="82">
        <f>U67-U64+U65</f>
        <v>5.2499173553719016</v>
      </c>
      <c r="V63" s="550"/>
      <c r="W63" s="82">
        <f>W67-W64+W65</f>
        <v>5.2499173553719016</v>
      </c>
      <c r="X63" s="550"/>
      <c r="Y63" s="82">
        <f>Y67-Y64+Y65</f>
        <v>5.8497025000000002</v>
      </c>
      <c r="Z63" s="550"/>
      <c r="AA63" s="82">
        <f>AA67-AA64+AA65</f>
        <v>5.5</v>
      </c>
      <c r="AB63" s="550"/>
      <c r="AC63" s="82">
        <f>AC67-AC64+AC65</f>
        <v>5.5</v>
      </c>
      <c r="AD63" s="550"/>
      <c r="AE63" s="82">
        <f>AE67-AE64+AE65</f>
        <v>5.5</v>
      </c>
      <c r="AF63" s="781">
        <f>AA63/$O63-1</f>
        <v>4.763553932372E-2</v>
      </c>
      <c r="AG63" s="726">
        <f>AC63/$Q63-1</f>
        <v>4.763553932372E-2</v>
      </c>
      <c r="AH63" s="790">
        <f>AE63/$S63-1</f>
        <v>4.763553932372E-2</v>
      </c>
      <c r="AI63" s="65"/>
      <c r="AJ63" s="550"/>
      <c r="AK63" s="82">
        <f>AK67-AK64+AK65</f>
        <v>5.5</v>
      </c>
      <c r="AL63" s="550"/>
      <c r="AM63" s="82">
        <f>AM67-AM64+AM65</f>
        <v>5.5</v>
      </c>
      <c r="AN63" s="550"/>
      <c r="AO63" s="82">
        <f>AO67-AO64+AO65</f>
        <v>5.5</v>
      </c>
      <c r="AP63" s="781">
        <f>AK63/$O63-1</f>
        <v>4.763553932372E-2</v>
      </c>
      <c r="AQ63" s="726">
        <f>AM63/$Q63-1</f>
        <v>4.763553932372E-2</v>
      </c>
      <c r="AR63" s="790">
        <f>AO63/$S63-1</f>
        <v>4.763553932372E-2</v>
      </c>
      <c r="AS63" s="65"/>
      <c r="AT63" s="550"/>
      <c r="AU63" s="82">
        <f>AU67-AU64+AU65</f>
        <v>5.5</v>
      </c>
      <c r="AV63" s="550"/>
      <c r="AW63" s="82">
        <f>AW67-AW64+AW65</f>
        <v>5.5</v>
      </c>
      <c r="AX63" s="550"/>
      <c r="AY63" s="82">
        <f>AY67-AY64+AY65</f>
        <v>5.5</v>
      </c>
      <c r="AZ63" s="781">
        <f>AU63/$O63-1</f>
        <v>4.763553932372E-2</v>
      </c>
      <c r="BA63" s="726">
        <f>AW63/$Q63-1</f>
        <v>4.763553932372E-2</v>
      </c>
      <c r="BB63" s="726">
        <f>AY63/$S63-1</f>
        <v>4.763553932372E-2</v>
      </c>
      <c r="BC63" s="283"/>
      <c r="BD63" s="550"/>
      <c r="BE63" s="82">
        <f>BE67-BE64+BE65</f>
        <v>5.5</v>
      </c>
      <c r="BF63" s="283"/>
      <c r="BG63" s="550">
        <f>BH63/O63-1</f>
        <v>0.11430325546250231</v>
      </c>
      <c r="BH63" s="82">
        <f>BH67-BH64+BH65</f>
        <v>5.8500000000000005</v>
      </c>
      <c r="BI63" s="550"/>
      <c r="BJ63" s="82">
        <f t="shared" ref="BJ63" si="205">BJ67-BJ64+BJ65</f>
        <v>5.8500000000000005</v>
      </c>
      <c r="BK63" s="550"/>
      <c r="BL63" s="82">
        <f t="shared" ref="BL63" si="206">BL67-BL64+BL65</f>
        <v>5.8500000000000005</v>
      </c>
      <c r="BM63"/>
      <c r="BN63" s="283"/>
      <c r="BO63" s="550"/>
      <c r="BP63" s="82">
        <f>BP67-BP64+BP65</f>
        <v>6.6030387499999996</v>
      </c>
      <c r="BQ63" s="550"/>
      <c r="BR63" s="82">
        <f t="shared" ref="BR63" si="207">BR67-BR64+BR65</f>
        <v>6.990031694214875</v>
      </c>
      <c r="BS63" s="550"/>
      <c r="BT63" s="82">
        <f t="shared" ref="BT63" si="208">BT67-BT64+BT65</f>
        <v>6.990031694214875</v>
      </c>
      <c r="BU63" s="283"/>
      <c r="BV63" s="550"/>
      <c r="BW63" s="82">
        <f>BW67-BW64+BW65</f>
        <v>6.6001699999999994</v>
      </c>
      <c r="BY63" s="550"/>
      <c r="BZ63" s="82">
        <f>BZ67-BZ64+BZ65</f>
        <v>4.3019549999999986</v>
      </c>
      <c r="CA63" s="550"/>
      <c r="CB63" s="82">
        <f>CB67-CB64+CB65</f>
        <v>4.6018699999999999</v>
      </c>
      <c r="CC63" s="550"/>
      <c r="CD63" s="82">
        <f>CD67-CD64+CD65</f>
        <v>5.2018699999999995</v>
      </c>
      <c r="CE63" s="1087">
        <f>BP63-BH63</f>
        <v>0.75303874999999909</v>
      </c>
      <c r="CF63" s="1019">
        <f>CE63/BP63</f>
        <v>0.11404427241927047</v>
      </c>
      <c r="CH63" s="550"/>
      <c r="CI63" s="82">
        <f>CI67-CI64+CI65</f>
        <v>7.00303875</v>
      </c>
      <c r="CJ63" s="550"/>
      <c r="CK63" s="82">
        <f t="shared" ref="CK63" si="209">CK67-CK64+CK65</f>
        <v>7.3900316942148754</v>
      </c>
      <c r="CL63" s="550"/>
      <c r="CM63" s="82">
        <f t="shared" ref="CM63" si="210">CM67-CM64+CM65</f>
        <v>7.3900316942148754</v>
      </c>
      <c r="CN63" s="283"/>
    </row>
    <row r="64" spans="1:93" s="4" customFormat="1" ht="18" customHeight="1" x14ac:dyDescent="0.45">
      <c r="A64" s="561"/>
      <c r="B64" s="1184"/>
      <c r="C64" s="83" t="s">
        <v>62</v>
      </c>
      <c r="D64" s="83"/>
      <c r="E64" s="84" t="str">
        <f>+E63</f>
        <v xml:space="preserve">USD </v>
      </c>
      <c r="F64" s="85"/>
      <c r="G64" s="86">
        <v>0.5</v>
      </c>
      <c r="H64" s="85"/>
      <c r="I64" s="86">
        <v>0.4</v>
      </c>
      <c r="J64" s="85"/>
      <c r="K64" s="86">
        <v>0.4</v>
      </c>
      <c r="L64" s="85"/>
      <c r="M64" s="86">
        <v>0.4</v>
      </c>
      <c r="N64" s="551"/>
      <c r="O64" s="86">
        <f>0.5+0.35-0.05</f>
        <v>0.79999999999999993</v>
      </c>
      <c r="P64" s="551"/>
      <c r="Q64" s="86">
        <f>0.5+0.35-0.05</f>
        <v>0.79999999999999993</v>
      </c>
      <c r="R64" s="551"/>
      <c r="S64" s="86">
        <f>0.5+0.35-0.05</f>
        <v>0.79999999999999993</v>
      </c>
      <c r="T64" s="551"/>
      <c r="U64" s="86">
        <f>0.5+0.35-0.05</f>
        <v>0.79999999999999993</v>
      </c>
      <c r="V64" s="551"/>
      <c r="W64" s="86">
        <f>0.5+0.35-0.05</f>
        <v>0.79999999999999993</v>
      </c>
      <c r="X64" s="551"/>
      <c r="Y64" s="86">
        <v>1.05</v>
      </c>
      <c r="Z64" s="551"/>
      <c r="AA64" s="86">
        <f>0.5+0.35-0.15</f>
        <v>0.7</v>
      </c>
      <c r="AB64" s="551"/>
      <c r="AC64" s="86">
        <f>0.5+0.35-0.15</f>
        <v>0.7</v>
      </c>
      <c r="AD64" s="551"/>
      <c r="AE64" s="86">
        <f>0.5+0.35-0.15</f>
        <v>0.7</v>
      </c>
      <c r="AF64" s="791"/>
      <c r="AG64" s="727"/>
      <c r="AH64" s="792"/>
      <c r="AI64" s="691"/>
      <c r="AJ64" s="551"/>
      <c r="AK64" s="86">
        <f>0.5+0.35-0.15</f>
        <v>0.7</v>
      </c>
      <c r="AL64" s="551"/>
      <c r="AM64" s="86">
        <f>0.5+0.35-0.15</f>
        <v>0.7</v>
      </c>
      <c r="AN64" s="551"/>
      <c r="AO64" s="86">
        <f>0.5+0.35-0.15</f>
        <v>0.7</v>
      </c>
      <c r="AP64" s="791"/>
      <c r="AQ64" s="727"/>
      <c r="AR64" s="792"/>
      <c r="AS64" s="691"/>
      <c r="AT64" s="551"/>
      <c r="AU64" s="86">
        <f>0.5+0.35-0.15</f>
        <v>0.7</v>
      </c>
      <c r="AV64" s="551"/>
      <c r="AW64" s="86">
        <f>0.5+0.35-0.15</f>
        <v>0.7</v>
      </c>
      <c r="AX64" s="551"/>
      <c r="AY64" s="86">
        <f>0.5+0.35-0.15</f>
        <v>0.7</v>
      </c>
      <c r="AZ64" s="791"/>
      <c r="BA64" s="727"/>
      <c r="BB64" s="727"/>
      <c r="BC64" s="691"/>
      <c r="BD64" s="551"/>
      <c r="BE64" s="86">
        <v>0.7</v>
      </c>
      <c r="BF64" s="691"/>
      <c r="BG64" s="551"/>
      <c r="BH64" s="86">
        <f>1.05+0.25</f>
        <v>1.3</v>
      </c>
      <c r="BI64" s="551"/>
      <c r="BJ64" s="86">
        <f>BH64</f>
        <v>1.3</v>
      </c>
      <c r="BK64" s="551"/>
      <c r="BL64" s="86">
        <f>BJ64</f>
        <v>1.3</v>
      </c>
      <c r="BM64"/>
      <c r="BN64" s="691"/>
      <c r="BO64" s="551"/>
      <c r="BP64" s="86">
        <v>0</v>
      </c>
      <c r="BQ64" s="551"/>
      <c r="BR64" s="86">
        <f>BP64</f>
        <v>0</v>
      </c>
      <c r="BS64" s="551"/>
      <c r="BT64" s="86">
        <f>BR64</f>
        <v>0</v>
      </c>
      <c r="BU64" s="691"/>
      <c r="BV64" s="551"/>
      <c r="BW64" s="86">
        <v>0.3</v>
      </c>
      <c r="BY64" s="551"/>
      <c r="BZ64" s="86">
        <f>0.4+1.2</f>
        <v>1.6</v>
      </c>
      <c r="CA64" s="551"/>
      <c r="CB64" s="86">
        <f>0.41+1.39</f>
        <v>1.7999999999999998</v>
      </c>
      <c r="CC64" s="551"/>
      <c r="CD64" s="86">
        <f>0.41+1.39</f>
        <v>1.7999999999999998</v>
      </c>
      <c r="CH64" s="551"/>
      <c r="CI64" s="86">
        <v>0</v>
      </c>
      <c r="CJ64" s="551"/>
      <c r="CK64" s="86">
        <f>CI64</f>
        <v>0</v>
      </c>
      <c r="CL64" s="551"/>
      <c r="CM64" s="86">
        <f>CK64</f>
        <v>0</v>
      </c>
      <c r="CN64" s="691"/>
    </row>
    <row r="65" spans="1:92" s="4" customFormat="1" ht="18" customHeight="1" x14ac:dyDescent="0.45">
      <c r="A65" s="561"/>
      <c r="B65" s="1184"/>
      <c r="C65" s="87" t="s">
        <v>63</v>
      </c>
      <c r="D65" s="83"/>
      <c r="E65" s="84" t="str">
        <f>+E64</f>
        <v xml:space="preserve">USD </v>
      </c>
      <c r="F65" s="85"/>
      <c r="G65" s="86">
        <v>0</v>
      </c>
      <c r="H65" s="85"/>
      <c r="I65" s="86">
        <v>0</v>
      </c>
      <c r="J65" s="85"/>
      <c r="K65" s="86">
        <v>0</v>
      </c>
      <c r="L65" s="85"/>
      <c r="M65" s="86">
        <v>0</v>
      </c>
      <c r="N65" s="85"/>
      <c r="O65" s="86">
        <v>0</v>
      </c>
      <c r="P65" s="85"/>
      <c r="Q65" s="86">
        <v>0</v>
      </c>
      <c r="R65" s="85"/>
      <c r="S65" s="86">
        <v>0</v>
      </c>
      <c r="T65" s="85"/>
      <c r="U65" s="86">
        <v>0</v>
      </c>
      <c r="V65" s="85"/>
      <c r="W65" s="86">
        <v>0</v>
      </c>
      <c r="X65" s="85"/>
      <c r="Y65" s="86">
        <v>0</v>
      </c>
      <c r="Z65" s="85"/>
      <c r="AA65" s="86">
        <v>0</v>
      </c>
      <c r="AB65" s="85"/>
      <c r="AC65" s="86">
        <v>0</v>
      </c>
      <c r="AD65" s="85"/>
      <c r="AE65" s="86">
        <v>0</v>
      </c>
      <c r="AF65" s="791"/>
      <c r="AG65" s="727"/>
      <c r="AH65" s="792"/>
      <c r="AI65" s="691"/>
      <c r="AJ65" s="85"/>
      <c r="AK65" s="86">
        <v>0</v>
      </c>
      <c r="AL65" s="85"/>
      <c r="AM65" s="86">
        <v>0</v>
      </c>
      <c r="AN65" s="85"/>
      <c r="AO65" s="86">
        <v>0</v>
      </c>
      <c r="AP65" s="791"/>
      <c r="AQ65" s="727"/>
      <c r="AR65" s="792"/>
      <c r="AS65" s="691"/>
      <c r="AT65" s="85"/>
      <c r="AU65" s="86">
        <v>0</v>
      </c>
      <c r="AV65" s="85"/>
      <c r="AW65" s="86">
        <v>0</v>
      </c>
      <c r="AX65" s="85"/>
      <c r="AY65" s="86">
        <v>0</v>
      </c>
      <c r="AZ65" s="791"/>
      <c r="BA65" s="727"/>
      <c r="BB65" s="727"/>
      <c r="BC65" s="691"/>
      <c r="BD65" s="85"/>
      <c r="BE65" s="86">
        <v>0</v>
      </c>
      <c r="BF65" s="691"/>
      <c r="BG65" s="85"/>
      <c r="BH65" s="86">
        <v>0</v>
      </c>
      <c r="BI65" s="85"/>
      <c r="BJ65" s="86">
        <v>0</v>
      </c>
      <c r="BK65" s="85"/>
      <c r="BL65" s="86">
        <v>0</v>
      </c>
      <c r="BM65"/>
      <c r="BN65" s="691"/>
      <c r="BO65" s="85"/>
      <c r="BP65" s="86">
        <v>0</v>
      </c>
      <c r="BQ65" s="85"/>
      <c r="BR65" s="86">
        <v>0</v>
      </c>
      <c r="BS65" s="85"/>
      <c r="BT65" s="86">
        <v>0</v>
      </c>
      <c r="BU65" s="691"/>
      <c r="BV65" s="85"/>
      <c r="BW65" s="86">
        <v>0</v>
      </c>
      <c r="BY65" s="85"/>
      <c r="BZ65" s="86">
        <v>0.3</v>
      </c>
      <c r="CA65" s="85"/>
      <c r="CB65" s="86">
        <v>0.3</v>
      </c>
      <c r="CC65" s="85"/>
      <c r="CD65" s="86">
        <v>0.3</v>
      </c>
      <c r="CE65" s="1087">
        <f>CE62-CE63</f>
        <v>0.41525655904434844</v>
      </c>
      <c r="CH65" s="85"/>
      <c r="CI65" s="86">
        <v>0</v>
      </c>
      <c r="CJ65" s="85"/>
      <c r="CK65" s="86">
        <v>0</v>
      </c>
      <c r="CL65" s="85"/>
      <c r="CM65" s="86">
        <v>0</v>
      </c>
      <c r="CN65" s="691"/>
    </row>
    <row r="66" spans="1:92" s="4" customFormat="1" ht="18" hidden="1" customHeight="1" x14ac:dyDescent="0.45">
      <c r="A66" s="561"/>
      <c r="B66" s="1184"/>
      <c r="C66" s="87" t="s">
        <v>64</v>
      </c>
      <c r="D66" s="83"/>
      <c r="E66" s="84" t="s">
        <v>53</v>
      </c>
      <c r="F66" s="85"/>
      <c r="G66" s="86">
        <f>+G69+G72+G74</f>
        <v>5.6030799999999994</v>
      </c>
      <c r="H66" s="85"/>
      <c r="I66" s="86">
        <f>+I69+I72+I74</f>
        <v>5.6030800000000003</v>
      </c>
      <c r="J66" s="85"/>
      <c r="K66" s="86">
        <f>+K69+K72+K74</f>
        <v>5.6030800000000003</v>
      </c>
      <c r="L66" s="85"/>
      <c r="M66" s="86">
        <f>+M69+M72+M74</f>
        <v>5.6030800000000003</v>
      </c>
      <c r="N66" s="85"/>
      <c r="O66" s="86">
        <f>+O69+O72+O74</f>
        <v>6.0499173553719015</v>
      </c>
      <c r="P66" s="85"/>
      <c r="Q66" s="86">
        <f>+Q69+Q72+Q74</f>
        <v>6.0499173553719015</v>
      </c>
      <c r="R66" s="85"/>
      <c r="S66" s="86">
        <f>+S69+S72+S74</f>
        <v>6.0499173553719015</v>
      </c>
      <c r="T66" s="85"/>
      <c r="U66" s="86">
        <f>+U69+U72+U74</f>
        <v>6.0499173553719015</v>
      </c>
      <c r="V66" s="85"/>
      <c r="W66" s="86">
        <f>+W69+W72+W74</f>
        <v>6.0499173553719015</v>
      </c>
      <c r="X66" s="85"/>
      <c r="Y66" s="86">
        <f>+Y69+Y72+Y74</f>
        <v>6.8975137499999999</v>
      </c>
      <c r="Z66" s="85"/>
      <c r="AA66" s="86">
        <f>+AA69+AA72+AA74</f>
        <v>6.1976624999999999</v>
      </c>
      <c r="AB66" s="85"/>
      <c r="AC66" s="86">
        <f>+AC69+AC72+AC74</f>
        <v>6.1976624999999999</v>
      </c>
      <c r="AD66" s="85"/>
      <c r="AE66" s="86">
        <f>+AE69+AE72+AE74</f>
        <v>6.1976624999999999</v>
      </c>
      <c r="AF66" s="791"/>
      <c r="AG66" s="727"/>
      <c r="AH66" s="792"/>
      <c r="AI66" s="691"/>
      <c r="AJ66" s="85"/>
      <c r="AK66" s="86">
        <f>+AK69+AK72+AK74</f>
        <v>6.1976624999999999</v>
      </c>
      <c r="AL66" s="85"/>
      <c r="AM66" s="86">
        <f>+AM69+AM72+AM74</f>
        <v>6.1976624999999999</v>
      </c>
      <c r="AN66" s="85"/>
      <c r="AO66" s="86">
        <f>+AO69+AO72+AO74</f>
        <v>6.1976624999999999</v>
      </c>
      <c r="AP66" s="791"/>
      <c r="AQ66" s="727"/>
      <c r="AR66" s="792"/>
      <c r="AS66" s="691"/>
      <c r="AT66" s="85"/>
      <c r="AU66" s="86">
        <f>+AU69+AU72+AU74</f>
        <v>6.1976624999999999</v>
      </c>
      <c r="AV66" s="85"/>
      <c r="AW66" s="86">
        <f>+AW69+AW72+AW74</f>
        <v>6.1976624999999999</v>
      </c>
      <c r="AX66" s="85"/>
      <c r="AY66" s="86">
        <f>+AY69+AY72+AY74</f>
        <v>6.1976624999999999</v>
      </c>
      <c r="AZ66" s="791"/>
      <c r="BA66" s="727"/>
      <c r="BB66" s="727"/>
      <c r="BC66" s="691"/>
      <c r="BD66" s="85"/>
      <c r="BE66" s="86">
        <f>+BE69+BE72+BE74</f>
        <v>6.1976624999999999</v>
      </c>
      <c r="BF66" s="691"/>
      <c r="BG66" s="85"/>
      <c r="BH66" s="86">
        <f>+BH69+BH72+BH74</f>
        <v>7.1475137500000008</v>
      </c>
      <c r="BI66" s="85"/>
      <c r="BJ66" s="86">
        <f t="shared" ref="BJ66" si="211">+BJ69+BJ72+BJ74</f>
        <v>7.1475137500000008</v>
      </c>
      <c r="BK66" s="85"/>
      <c r="BL66" s="86">
        <f t="shared" ref="BL66" si="212">+BL69+BL72+BL74</f>
        <v>7.1475137500000008</v>
      </c>
      <c r="BM66"/>
      <c r="BN66" s="691"/>
      <c r="BO66" s="85"/>
      <c r="BP66" s="86">
        <f>+BP69+BP72+BP74</f>
        <v>6.6</v>
      </c>
      <c r="BQ66" s="85"/>
      <c r="BR66" s="86">
        <f t="shared" ref="BR66" si="213">+BR69+BR72+BR74</f>
        <v>6.9873966942148753</v>
      </c>
      <c r="BS66" s="85"/>
      <c r="BT66" s="86">
        <f t="shared" ref="BT66" si="214">+BT69+BT72+BT74</f>
        <v>6.9873966942148753</v>
      </c>
      <c r="BU66" s="691"/>
      <c r="BV66" s="85"/>
      <c r="BW66" s="86">
        <f>+BW69+BW72+BW74</f>
        <v>6.8976624999999991</v>
      </c>
      <c r="BY66" s="85"/>
      <c r="BZ66" s="86">
        <f>+BZ69+BZ72+BZ74</f>
        <v>5.6</v>
      </c>
      <c r="CA66" s="85"/>
      <c r="CB66" s="86">
        <f>+CB69+CB72+CB74</f>
        <v>6.1</v>
      </c>
      <c r="CC66" s="85"/>
      <c r="CD66" s="86">
        <f>+CD69+CD72+CD74</f>
        <v>6.6999999999999993</v>
      </c>
      <c r="CH66" s="85"/>
      <c r="CI66" s="86">
        <f>+CI69+CI72+CI74</f>
        <v>7</v>
      </c>
      <c r="CJ66" s="85"/>
      <c r="CK66" s="86">
        <f t="shared" ref="CK66" si="215">+CK69+CK72+CK74</f>
        <v>7.3873966942148757</v>
      </c>
      <c r="CL66" s="85"/>
      <c r="CM66" s="86">
        <f t="shared" ref="CM66" si="216">+CM69+CM72+CM74</f>
        <v>7.3873966942148757</v>
      </c>
      <c r="CN66" s="691"/>
    </row>
    <row r="67" spans="1:92" s="4" customFormat="1" ht="18" customHeight="1" x14ac:dyDescent="0.45">
      <c r="A67" s="561"/>
      <c r="B67" s="1184"/>
      <c r="C67" s="78" t="s">
        <v>65</v>
      </c>
      <c r="D67" s="79"/>
      <c r="E67" s="80" t="s">
        <v>53</v>
      </c>
      <c r="F67" s="81"/>
      <c r="G67" s="82">
        <v>5.6</v>
      </c>
      <c r="H67" s="81"/>
      <c r="I67" s="82">
        <v>5.6</v>
      </c>
      <c r="J67" s="81"/>
      <c r="K67" s="82">
        <v>5.6</v>
      </c>
      <c r="L67" s="81"/>
      <c r="M67" s="82">
        <v>5.6</v>
      </c>
      <c r="N67" s="550"/>
      <c r="O67" s="82">
        <f>O72+O74</f>
        <v>6.0499173553719015</v>
      </c>
      <c r="P67" s="550"/>
      <c r="Q67" s="82">
        <f>Q72+Q74</f>
        <v>6.0499173553719015</v>
      </c>
      <c r="R67" s="550"/>
      <c r="S67" s="82">
        <f>S72+S74</f>
        <v>6.0499173553719015</v>
      </c>
      <c r="T67" s="550"/>
      <c r="U67" s="82">
        <f>U72+U74</f>
        <v>6.0499173553719015</v>
      </c>
      <c r="V67" s="550"/>
      <c r="W67" s="82">
        <f>W72+W74</f>
        <v>6.0499173553719015</v>
      </c>
      <c r="X67" s="550"/>
      <c r="Y67" s="82">
        <f>Y72+Y74+Y70+Y69</f>
        <v>6.8997025000000001</v>
      </c>
      <c r="Z67" s="550"/>
      <c r="AA67" s="82">
        <f>AA72+AA74+AA70+AA69</f>
        <v>6.2</v>
      </c>
      <c r="AB67" s="550"/>
      <c r="AC67" s="82">
        <f>AC72+AC74+AC70+AC69</f>
        <v>6.2</v>
      </c>
      <c r="AD67" s="550"/>
      <c r="AE67" s="82">
        <f>AE72+AE74+AE70+AE69</f>
        <v>6.2</v>
      </c>
      <c r="AF67" s="781"/>
      <c r="AG67" s="726"/>
      <c r="AH67" s="790"/>
      <c r="AI67" s="691"/>
      <c r="AJ67" s="550"/>
      <c r="AK67" s="82">
        <f>AK72+AK74+AK70+AK69</f>
        <v>6.2</v>
      </c>
      <c r="AL67" s="550"/>
      <c r="AM67" s="82">
        <f>AM72+AM74+AM70+AM69</f>
        <v>6.2</v>
      </c>
      <c r="AN67" s="550"/>
      <c r="AO67" s="82">
        <f>AO72+AO74+AO70+AO69</f>
        <v>6.2</v>
      </c>
      <c r="AP67" s="781"/>
      <c r="AQ67" s="726"/>
      <c r="AR67" s="790"/>
      <c r="AS67" s="691"/>
      <c r="AT67" s="550"/>
      <c r="AU67" s="82">
        <f>AU72+AU74+AU70+AU69</f>
        <v>6.2</v>
      </c>
      <c r="AV67" s="550"/>
      <c r="AW67" s="82">
        <f>AW72+AW74+AW70+AW69</f>
        <v>6.2</v>
      </c>
      <c r="AX67" s="550"/>
      <c r="AY67" s="82">
        <f>AY72+AY74+AY70+AY69</f>
        <v>6.2</v>
      </c>
      <c r="AZ67" s="781"/>
      <c r="BA67" s="726"/>
      <c r="BB67" s="726"/>
      <c r="BC67" s="691"/>
      <c r="BD67" s="550"/>
      <c r="BE67" s="82">
        <f>BE72+BE74+BE70+BE69</f>
        <v>6.2</v>
      </c>
      <c r="BF67" s="691"/>
      <c r="BG67" s="550">
        <f>BH67/O67-1</f>
        <v>0.181834325993115</v>
      </c>
      <c r="BH67" s="82">
        <f>BH72+BH74+BH70+BH69</f>
        <v>7.15</v>
      </c>
      <c r="BI67" s="550"/>
      <c r="BJ67" s="82">
        <f t="shared" ref="BJ67" si="217">BJ72+BJ74+BJ70+BJ69</f>
        <v>7.15</v>
      </c>
      <c r="BK67" s="550"/>
      <c r="BL67" s="82">
        <f t="shared" ref="BL67" si="218">BL72+BL74+BL70+BL69</f>
        <v>7.15</v>
      </c>
      <c r="BM67"/>
      <c r="BN67" s="691"/>
      <c r="BO67" s="550"/>
      <c r="BP67" s="82">
        <f>BP72+BP74+BP70+BP69</f>
        <v>6.6030387499999996</v>
      </c>
      <c r="BQ67" s="550"/>
      <c r="BR67" s="82">
        <f t="shared" ref="BR67" si="219">BR72+BR74+BR70+BR69</f>
        <v>6.990031694214875</v>
      </c>
      <c r="BS67" s="550"/>
      <c r="BT67" s="82">
        <f t="shared" ref="BT67" si="220">BT72+BT74+BT70+BT69</f>
        <v>6.990031694214875</v>
      </c>
      <c r="BU67" s="691"/>
      <c r="BV67" s="550"/>
      <c r="BW67" s="82">
        <f>BW72+BW74+BW70+BW69</f>
        <v>6.9001699999999992</v>
      </c>
      <c r="BY67" s="550"/>
      <c r="BZ67" s="82">
        <f>BZ72+BZ74+BZ70+BZ69</f>
        <v>5.6019549999999994</v>
      </c>
      <c r="CA67" s="550"/>
      <c r="CB67" s="82">
        <f>CB72+CB74+CB70+CB69</f>
        <v>6.1018699999999999</v>
      </c>
      <c r="CC67" s="550"/>
      <c r="CD67" s="82">
        <f>CD72+CD74+CD70+CD69</f>
        <v>6.7018699999999995</v>
      </c>
      <c r="CE67" s="1087">
        <f>CE65-(BH81-BP81)</f>
        <v>0.31948191115702462</v>
      </c>
      <c r="CH67" s="550"/>
      <c r="CI67" s="82">
        <f>CI72+CI74+CI70+CI69</f>
        <v>7.00303875</v>
      </c>
      <c r="CJ67" s="550"/>
      <c r="CK67" s="82">
        <f t="shared" ref="CK67" si="221">CK72+CK74+CK70+CK69</f>
        <v>7.3900316942148754</v>
      </c>
      <c r="CL67" s="550"/>
      <c r="CM67" s="82">
        <f t="shared" ref="CM67" si="222">CM72+CM74+CM70+CM69</f>
        <v>7.3900316942148754</v>
      </c>
      <c r="CN67" s="691"/>
    </row>
    <row r="68" spans="1:92" s="4" customFormat="1" ht="18" customHeight="1" x14ac:dyDescent="0.45">
      <c r="A68" s="561"/>
      <c r="B68" s="1184"/>
      <c r="C68" s="12" t="s">
        <v>66</v>
      </c>
      <c r="D68" s="11"/>
      <c r="E68" s="16"/>
      <c r="F68" s="42"/>
      <c r="G68" s="88"/>
      <c r="H68" s="42"/>
      <c r="I68" s="88"/>
      <c r="J68" s="42"/>
      <c r="K68" s="88"/>
      <c r="L68" s="976">
        <f>M64/M74</f>
        <v>7.5429061227670319E-2</v>
      </c>
      <c r="M68" s="88"/>
      <c r="N68" s="976">
        <f>O64/O74</f>
        <v>0.13937282229965156</v>
      </c>
      <c r="O68" s="368"/>
      <c r="P68" s="549"/>
      <c r="Q68" s="368"/>
      <c r="R68" s="549"/>
      <c r="S68" s="368"/>
      <c r="T68" s="976">
        <f>U64/U74</f>
        <v>0.13937282229965156</v>
      </c>
      <c r="U68" s="368"/>
      <c r="V68" s="976">
        <f>W64/W74</f>
        <v>0.13937282229965156</v>
      </c>
      <c r="W68" s="368"/>
      <c r="X68" s="549"/>
      <c r="Y68" s="368"/>
      <c r="Z68" s="549"/>
      <c r="AA68" s="368"/>
      <c r="AB68" s="549"/>
      <c r="AC68" s="368"/>
      <c r="AD68" s="549"/>
      <c r="AE68" s="368"/>
      <c r="AF68" s="745"/>
      <c r="AG68" s="725"/>
      <c r="AH68" s="746"/>
      <c r="AI68" s="630"/>
      <c r="AJ68" s="549"/>
      <c r="AK68" s="368"/>
      <c r="AL68" s="549"/>
      <c r="AM68" s="368"/>
      <c r="AN68" s="549"/>
      <c r="AO68" s="368"/>
      <c r="AP68" s="745"/>
      <c r="AQ68" s="725"/>
      <c r="AR68" s="746"/>
      <c r="AS68" s="630"/>
      <c r="AT68" s="549"/>
      <c r="AU68" s="368"/>
      <c r="AV68" s="549"/>
      <c r="AW68" s="368"/>
      <c r="AX68" s="549"/>
      <c r="AY68" s="368"/>
      <c r="AZ68" s="745"/>
      <c r="BA68" s="725"/>
      <c r="BB68" s="725"/>
      <c r="BC68" s="630"/>
      <c r="BD68" s="549"/>
      <c r="BE68" s="368"/>
      <c r="BF68" s="630"/>
      <c r="BG68" s="549"/>
      <c r="BH68" s="368"/>
      <c r="BI68" s="549"/>
      <c r="BJ68" s="368"/>
      <c r="BK68" s="549"/>
      <c r="BL68" s="368"/>
      <c r="BM68"/>
      <c r="BN68" s="630"/>
      <c r="BO68" s="549"/>
      <c r="BP68" s="368"/>
      <c r="BQ68" s="549"/>
      <c r="BR68" s="368"/>
      <c r="BS68" s="549"/>
      <c r="BT68" s="368"/>
      <c r="BU68" s="630"/>
      <c r="BV68" s="549"/>
      <c r="BW68" s="368"/>
      <c r="BY68" s="549"/>
      <c r="BZ68" s="368"/>
      <c r="CA68" s="549"/>
      <c r="CB68" s="368"/>
      <c r="CC68" s="549"/>
      <c r="CD68" s="368"/>
      <c r="CE68" s="1088">
        <f>CE67-BH72-BH103</f>
        <v>9.5645557851237878E-3</v>
      </c>
      <c r="CH68" s="549"/>
      <c r="CI68" s="368"/>
      <c r="CJ68" s="549"/>
      <c r="CK68" s="368"/>
      <c r="CL68" s="549"/>
      <c r="CM68" s="368"/>
      <c r="CN68" s="630"/>
    </row>
    <row r="69" spans="1:92" s="4" customFormat="1" ht="18" customHeight="1" x14ac:dyDescent="0.45">
      <c r="A69" s="561"/>
      <c r="B69" s="1184"/>
      <c r="C69" s="71" t="s">
        <v>385</v>
      </c>
      <c r="D69" s="16"/>
      <c r="E69" s="35" t="s">
        <v>68</v>
      </c>
      <c r="F69" s="89"/>
      <c r="G69" s="90">
        <f>0.055/100*(G74+(G71/G73))</f>
        <v>3.0799999999999998E-3</v>
      </c>
      <c r="H69" s="89"/>
      <c r="I69" s="90">
        <f>0.055/100*(I74+(I71/I73))</f>
        <v>3.0799999999999998E-3</v>
      </c>
      <c r="J69" s="89"/>
      <c r="K69" s="90">
        <f>0.055/100*(K74+(K71/K73))</f>
        <v>3.0799999999999998E-3</v>
      </c>
      <c r="L69" s="89"/>
      <c r="M69" s="90">
        <f>0.055/100*(M74+(M71/M73))</f>
        <v>3.0799999999999998E-3</v>
      </c>
      <c r="N69" s="373"/>
      <c r="O69" s="374"/>
      <c r="P69" s="373"/>
      <c r="Q69" s="374"/>
      <c r="R69" s="373"/>
      <c r="S69" s="374"/>
      <c r="T69" s="373"/>
      <c r="U69" s="374"/>
      <c r="V69" s="373"/>
      <c r="W69" s="374"/>
      <c r="X69" s="373"/>
      <c r="Y69" s="374">
        <f>BH69</f>
        <v>1.0117055785124229E-2</v>
      </c>
      <c r="Z69" s="373">
        <f>6.2-AA67</f>
        <v>0</v>
      </c>
      <c r="AA69" s="374">
        <v>1.0265805785123483E-2</v>
      </c>
      <c r="AB69" s="373"/>
      <c r="AC69" s="374">
        <f>AA69</f>
        <v>1.0265805785123483E-2</v>
      </c>
      <c r="AD69" s="373"/>
      <c r="AE69" s="374">
        <f>AC69</f>
        <v>1.0265805785123483E-2</v>
      </c>
      <c r="AF69" s="776"/>
      <c r="AG69" s="728"/>
      <c r="AH69" s="777"/>
      <c r="AI69" s="639"/>
      <c r="AJ69" s="373"/>
      <c r="AK69" s="374">
        <f>AE69</f>
        <v>1.0265805785123483E-2</v>
      </c>
      <c r="AL69" s="373"/>
      <c r="AM69" s="374">
        <f>AK69</f>
        <v>1.0265805785123483E-2</v>
      </c>
      <c r="AN69" s="373"/>
      <c r="AO69" s="374">
        <f>AM69</f>
        <v>1.0265805785123483E-2</v>
      </c>
      <c r="AP69" s="776"/>
      <c r="AQ69" s="728"/>
      <c r="AR69" s="777"/>
      <c r="AS69" s="639"/>
      <c r="AT69" s="373"/>
      <c r="AU69" s="374">
        <f>AO69</f>
        <v>1.0265805785123483E-2</v>
      </c>
      <c r="AV69" s="373"/>
      <c r="AW69" s="374">
        <f>AU69</f>
        <v>1.0265805785123483E-2</v>
      </c>
      <c r="AX69" s="373"/>
      <c r="AY69" s="374">
        <f>AW69</f>
        <v>1.0265805785123483E-2</v>
      </c>
      <c r="AZ69" s="776"/>
      <c r="BA69" s="728"/>
      <c r="BB69" s="728"/>
      <c r="BC69" s="639"/>
      <c r="BD69" s="373"/>
      <c r="BE69" s="374">
        <f>AU69</f>
        <v>1.0265805785123483E-2</v>
      </c>
      <c r="BF69" s="639"/>
      <c r="BG69" s="373">
        <f>7.15-BH67</f>
        <v>0</v>
      </c>
      <c r="BH69" s="374">
        <v>1.0117055785124229E-2</v>
      </c>
      <c r="BI69" s="373"/>
      <c r="BJ69" s="374">
        <f>BH69</f>
        <v>1.0117055785124229E-2</v>
      </c>
      <c r="BK69" s="373"/>
      <c r="BL69" s="374">
        <f>BJ69</f>
        <v>1.0117055785124229E-2</v>
      </c>
      <c r="BM69"/>
      <c r="BN69" s="639"/>
      <c r="BO69" s="373">
        <f>6.6-BP67</f>
        <v>-3.038749999999979E-3</v>
      </c>
      <c r="BP69" s="374"/>
      <c r="BQ69" s="373"/>
      <c r="BR69" s="374">
        <f>BP69</f>
        <v>0</v>
      </c>
      <c r="BS69" s="373"/>
      <c r="BT69" s="374">
        <f>BR69</f>
        <v>0</v>
      </c>
      <c r="BU69" s="639"/>
      <c r="BV69" s="373"/>
      <c r="BW69" s="374">
        <f>AY69</f>
        <v>1.0265805785123483E-2</v>
      </c>
      <c r="BY69" s="373"/>
      <c r="BZ69" s="374">
        <v>0</v>
      </c>
      <c r="CA69" s="373"/>
      <c r="CB69" s="374">
        <v>0</v>
      </c>
      <c r="CC69" s="373"/>
      <c r="CD69" s="374">
        <v>0</v>
      </c>
      <c r="CH69" s="373">
        <f>6.6-CI67</f>
        <v>-0.40303875000000033</v>
      </c>
      <c r="CI69" s="374"/>
      <c r="CJ69" s="373"/>
      <c r="CK69" s="374">
        <f>CI69</f>
        <v>0</v>
      </c>
      <c r="CL69" s="373"/>
      <c r="CM69" s="374">
        <f>CK69</f>
        <v>0</v>
      </c>
      <c r="CN69" s="639"/>
    </row>
    <row r="70" spans="1:92" s="4" customFormat="1" ht="18" customHeight="1" x14ac:dyDescent="0.45">
      <c r="A70" s="561"/>
      <c r="B70" s="1184"/>
      <c r="C70" s="15" t="s">
        <v>67</v>
      </c>
      <c r="D70" s="16"/>
      <c r="E70" s="35" t="s">
        <v>68</v>
      </c>
      <c r="F70" s="89"/>
      <c r="G70" s="90">
        <f>0.055/100*(G75+(G72/G74))</f>
        <v>2.7331211911166046E-3</v>
      </c>
      <c r="H70" s="89"/>
      <c r="I70" s="90">
        <f>0.055/100*(I75+(I72/I74))</f>
        <v>2.7274514987257886E-3</v>
      </c>
      <c r="J70" s="89"/>
      <c r="K70" s="90">
        <f>0.055/100*(K75+(K72/K74))</f>
        <v>2.7274514987257886E-3</v>
      </c>
      <c r="L70" s="89"/>
      <c r="M70" s="90">
        <f>0.055/100*(M75+(M72/M74))</f>
        <v>2.7274514987257886E-3</v>
      </c>
      <c r="N70" s="373"/>
      <c r="O70" s="374">
        <f>0.0425/100*(6.05-O64)</f>
        <v>2.2312500000000002E-3</v>
      </c>
      <c r="P70" s="373"/>
      <c r="Q70" s="374">
        <f>0.0425/100*(6.05-Q64)</f>
        <v>2.2312500000000002E-3</v>
      </c>
      <c r="R70" s="373"/>
      <c r="S70" s="374">
        <f>0.0425/100*(6.05-S64)</f>
        <v>2.2312500000000002E-3</v>
      </c>
      <c r="T70" s="373"/>
      <c r="U70" s="374">
        <f>0.0425/100*(6.05-U64)</f>
        <v>2.2312500000000002E-3</v>
      </c>
      <c r="V70" s="373"/>
      <c r="W70" s="374">
        <f>0.0425/100*(6.05-W64)</f>
        <v>2.2312500000000002E-3</v>
      </c>
      <c r="X70" s="373"/>
      <c r="Y70" s="374">
        <f>0.0425/100*(6.2-Y64)</f>
        <v>2.1887500000000002E-3</v>
      </c>
      <c r="Z70" s="373"/>
      <c r="AA70" s="374">
        <f>0.0425/100*(6.2-AA64)</f>
        <v>2.3375000000000002E-3</v>
      </c>
      <c r="AB70" s="373"/>
      <c r="AC70" s="374">
        <f>0.0425/100*(6.2-AC64)</f>
        <v>2.3375000000000002E-3</v>
      </c>
      <c r="AD70" s="373"/>
      <c r="AE70" s="374">
        <f>0.0425/100*(6.2-AE64)</f>
        <v>2.3375000000000002E-3</v>
      </c>
      <c r="AF70" s="776"/>
      <c r="AG70" s="728"/>
      <c r="AH70" s="777"/>
      <c r="AI70" s="639"/>
      <c r="AJ70" s="373"/>
      <c r="AK70" s="374">
        <f>0.0425/100*(6.2-AK64)</f>
        <v>2.3375000000000002E-3</v>
      </c>
      <c r="AL70" s="373"/>
      <c r="AM70" s="374">
        <f>0.0425/100*(6.2-AM64)</f>
        <v>2.3375000000000002E-3</v>
      </c>
      <c r="AN70" s="373"/>
      <c r="AO70" s="374">
        <f>0.0425/100*(6.2-AO64)</f>
        <v>2.3375000000000002E-3</v>
      </c>
      <c r="AP70" s="776"/>
      <c r="AQ70" s="728"/>
      <c r="AR70" s="777"/>
      <c r="AS70" s="639"/>
      <c r="AT70" s="373"/>
      <c r="AU70" s="374">
        <f>0.0425/100*(6.2-AU64)</f>
        <v>2.3375000000000002E-3</v>
      </c>
      <c r="AV70" s="373"/>
      <c r="AW70" s="374">
        <f>0.0425/100*(6.2-AW64)</f>
        <v>2.3375000000000002E-3</v>
      </c>
      <c r="AX70" s="373"/>
      <c r="AY70" s="374">
        <f>0.0425/100*(6.2-AY64)</f>
        <v>2.3375000000000002E-3</v>
      </c>
      <c r="AZ70" s="776"/>
      <c r="BA70" s="728"/>
      <c r="BB70" s="728"/>
      <c r="BC70" s="639"/>
      <c r="BD70" s="373"/>
      <c r="BE70" s="374">
        <f>0.0425/100*(6.2-BE64)</f>
        <v>2.3375000000000002E-3</v>
      </c>
      <c r="BF70" s="639"/>
      <c r="BG70" s="373"/>
      <c r="BH70" s="374">
        <f>0.0425/100*(7.15-BH64)</f>
        <v>2.4862500000000006E-3</v>
      </c>
      <c r="BI70" s="373"/>
      <c r="BJ70" s="374">
        <f>0.0425/100*(7.15-BJ64)</f>
        <v>2.4862500000000006E-3</v>
      </c>
      <c r="BK70" s="373"/>
      <c r="BL70" s="374">
        <f>0.0425/100*(7.15-BL64)</f>
        <v>2.4862500000000006E-3</v>
      </c>
      <c r="BM70"/>
      <c r="BN70" s="639"/>
      <c r="BO70" s="373"/>
      <c r="BP70" s="374">
        <f>0.0425/100*(7.15-BP64)</f>
        <v>3.0387500000000002E-3</v>
      </c>
      <c r="BQ70" s="373"/>
      <c r="BR70" s="374">
        <f t="shared" ref="BR70" si="223">0.0425/100*(6.2-BR64)</f>
        <v>2.6350000000000002E-3</v>
      </c>
      <c r="BS70" s="373"/>
      <c r="BT70" s="374">
        <f t="shared" ref="BT70" si="224">0.0425/100*(6.2-BT64)</f>
        <v>2.6350000000000002E-3</v>
      </c>
      <c r="BU70" s="639"/>
      <c r="BV70" s="373"/>
      <c r="BW70" s="374">
        <f>0.0425/100*(6.2-BW64)</f>
        <v>2.5075000000000002E-3</v>
      </c>
      <c r="BY70" s="373"/>
      <c r="BZ70" s="374">
        <f>0.0425/100*(6.2-BZ64)</f>
        <v>1.9550000000000001E-3</v>
      </c>
      <c r="CA70" s="373"/>
      <c r="CB70" s="374">
        <f>0.0425/100*(6.2-CB64)</f>
        <v>1.8700000000000004E-3</v>
      </c>
      <c r="CC70" s="373"/>
      <c r="CD70" s="374">
        <f>0.0425/100*(6.2-CD64)</f>
        <v>1.8700000000000004E-3</v>
      </c>
      <c r="CH70" s="373"/>
      <c r="CI70" s="374">
        <f>0.0425/100*(7.15-CI64)</f>
        <v>3.0387500000000002E-3</v>
      </c>
      <c r="CJ70" s="373"/>
      <c r="CK70" s="374">
        <f t="shared" ref="CK70" si="225">0.0425/100*(6.2-CK64)</f>
        <v>2.6350000000000002E-3</v>
      </c>
      <c r="CL70" s="373"/>
      <c r="CM70" s="374">
        <f t="shared" ref="CM70" si="226">0.0425/100*(6.2-CM64)</f>
        <v>2.6350000000000002E-3</v>
      </c>
      <c r="CN70" s="639"/>
    </row>
    <row r="71" spans="1:92" s="4" customFormat="1" ht="18" customHeight="1" x14ac:dyDescent="0.45">
      <c r="A71" s="561"/>
      <c r="B71" s="1184"/>
      <c r="C71" s="15" t="s">
        <v>69</v>
      </c>
      <c r="D71" s="34" t="s">
        <v>70</v>
      </c>
      <c r="E71" s="16"/>
      <c r="F71" s="42"/>
      <c r="G71" s="91">
        <v>620</v>
      </c>
      <c r="H71" s="42"/>
      <c r="I71" s="91">
        <v>1150</v>
      </c>
      <c r="J71" s="42"/>
      <c r="K71" s="91">
        <v>1150</v>
      </c>
      <c r="L71" s="42"/>
      <c r="M71" s="91">
        <v>1150</v>
      </c>
      <c r="N71" s="359"/>
      <c r="O71" s="594">
        <v>1200</v>
      </c>
      <c r="P71" s="359"/>
      <c r="Q71" s="594">
        <v>1200</v>
      </c>
      <c r="R71" s="359"/>
      <c r="S71" s="594">
        <v>1200</v>
      </c>
      <c r="T71" s="359"/>
      <c r="U71" s="594">
        <v>1200</v>
      </c>
      <c r="V71" s="359"/>
      <c r="W71" s="594">
        <v>1200</v>
      </c>
      <c r="X71" s="359"/>
      <c r="Y71" s="594">
        <v>1500</v>
      </c>
      <c r="Z71" s="359"/>
      <c r="AA71" s="594">
        <v>1500</v>
      </c>
      <c r="AB71" s="359"/>
      <c r="AC71" s="594">
        <v>1500</v>
      </c>
      <c r="AD71" s="359"/>
      <c r="AE71" s="594">
        <v>1500</v>
      </c>
      <c r="AF71" s="745"/>
      <c r="AG71" s="725"/>
      <c r="AH71" s="793"/>
      <c r="AI71" s="630"/>
      <c r="AJ71" s="359"/>
      <c r="AK71" s="594">
        <v>1500</v>
      </c>
      <c r="AL71" s="359"/>
      <c r="AM71" s="594">
        <v>1500</v>
      </c>
      <c r="AN71" s="359"/>
      <c r="AO71" s="594">
        <v>1500</v>
      </c>
      <c r="AP71" s="745"/>
      <c r="AQ71" s="725"/>
      <c r="AR71" s="793"/>
      <c r="AS71" s="630"/>
      <c r="AT71" s="359"/>
      <c r="AU71" s="594">
        <v>1500</v>
      </c>
      <c r="AV71" s="359"/>
      <c r="AW71" s="594">
        <v>1500</v>
      </c>
      <c r="AX71" s="359"/>
      <c r="AY71" s="594">
        <v>1500</v>
      </c>
      <c r="AZ71" s="745"/>
      <c r="BA71" s="725"/>
      <c r="BB71" s="729"/>
      <c r="BC71" s="630"/>
      <c r="BD71" s="359"/>
      <c r="BE71" s="594">
        <v>1500</v>
      </c>
      <c r="BF71" s="630"/>
      <c r="BG71" s="359"/>
      <c r="BH71" s="91">
        <v>1500</v>
      </c>
      <c r="BI71" s="359"/>
      <c r="BJ71" s="594">
        <v>1500</v>
      </c>
      <c r="BK71" s="359"/>
      <c r="BL71" s="594">
        <v>1500</v>
      </c>
      <c r="BM71"/>
      <c r="BN71" s="630"/>
      <c r="BO71" s="359"/>
      <c r="BP71" s="594">
        <v>0</v>
      </c>
      <c r="BQ71" s="359"/>
      <c r="BR71" s="594">
        <v>1500</v>
      </c>
      <c r="BS71" s="359"/>
      <c r="BT71" s="594">
        <v>1500</v>
      </c>
      <c r="BU71" s="630"/>
      <c r="BV71" s="359"/>
      <c r="BW71" s="594">
        <v>1500</v>
      </c>
      <c r="BY71" s="359"/>
      <c r="BZ71" s="594">
        <v>400</v>
      </c>
      <c r="CA71" s="359"/>
      <c r="CB71" s="594">
        <v>400</v>
      </c>
      <c r="CC71" s="359"/>
      <c r="CD71" s="594">
        <v>400</v>
      </c>
      <c r="CH71" s="359"/>
      <c r="CI71" s="594">
        <v>0</v>
      </c>
      <c r="CJ71" s="359"/>
      <c r="CK71" s="594">
        <v>1500</v>
      </c>
      <c r="CL71" s="359"/>
      <c r="CM71" s="594">
        <v>1500</v>
      </c>
      <c r="CN71" s="630"/>
    </row>
    <row r="72" spans="1:92" s="97" customFormat="1" ht="18" customHeight="1" x14ac:dyDescent="0.45">
      <c r="A72" s="561"/>
      <c r="B72" s="1184"/>
      <c r="C72" s="92" t="str">
        <f>+C71</f>
        <v>Freight cost</v>
      </c>
      <c r="D72" s="93"/>
      <c r="E72" s="94" t="str">
        <f>+E69</f>
        <v xml:space="preserve">per carton USD </v>
      </c>
      <c r="F72" s="95"/>
      <c r="G72" s="96">
        <f>+G71/G73</f>
        <v>0.16012396694214875</v>
      </c>
      <c r="H72" s="95"/>
      <c r="I72" s="96">
        <f>+I71/I73</f>
        <v>0.29700413223140498</v>
      </c>
      <c r="J72" s="95"/>
      <c r="K72" s="96">
        <f>+K71/K73</f>
        <v>0.29700413223140498</v>
      </c>
      <c r="L72" s="95"/>
      <c r="M72" s="96">
        <f>+M71/M73</f>
        <v>0.29700413223140498</v>
      </c>
      <c r="N72" s="375"/>
      <c r="O72" s="368">
        <f>+O71/O73</f>
        <v>0.30991735537190085</v>
      </c>
      <c r="P72" s="375"/>
      <c r="Q72" s="368">
        <f>+Q71/Q73</f>
        <v>0.30991735537190085</v>
      </c>
      <c r="R72" s="375"/>
      <c r="S72" s="368">
        <f>+S71/S73</f>
        <v>0.30991735537190085</v>
      </c>
      <c r="T72" s="375"/>
      <c r="U72" s="368">
        <f>+U71/U73</f>
        <v>0.30991735537190085</v>
      </c>
      <c r="V72" s="375"/>
      <c r="W72" s="368">
        <f>+W71/W73</f>
        <v>0.30991735537190085</v>
      </c>
      <c r="X72" s="375"/>
      <c r="Y72" s="368">
        <f>+Y71/Y73</f>
        <v>0.38739669421487605</v>
      </c>
      <c r="Z72" s="375"/>
      <c r="AA72" s="368">
        <f>+AA71/AA73</f>
        <v>0.38739669421487605</v>
      </c>
      <c r="AB72" s="375"/>
      <c r="AC72" s="368">
        <f>+AC71/AC73</f>
        <v>0.38739669421487605</v>
      </c>
      <c r="AD72" s="375"/>
      <c r="AE72" s="368">
        <f>+AE71/AE73</f>
        <v>0.38739669421487605</v>
      </c>
      <c r="AF72" s="745"/>
      <c r="AG72" s="725"/>
      <c r="AH72" s="746"/>
      <c r="AI72" s="630"/>
      <c r="AJ72" s="375"/>
      <c r="AK72" s="368">
        <f>+AK71/AK73</f>
        <v>0.38739669421487605</v>
      </c>
      <c r="AL72" s="375"/>
      <c r="AM72" s="368">
        <f>+AM71/AM73</f>
        <v>0.38739669421487605</v>
      </c>
      <c r="AN72" s="375"/>
      <c r="AO72" s="368">
        <f>+AO71/AO73</f>
        <v>0.38739669421487605</v>
      </c>
      <c r="AP72" s="745"/>
      <c r="AQ72" s="725"/>
      <c r="AR72" s="746"/>
      <c r="AS72" s="630"/>
      <c r="AT72" s="375"/>
      <c r="AU72" s="368">
        <f>+AU71/AU73</f>
        <v>0.38739669421487605</v>
      </c>
      <c r="AV72" s="375"/>
      <c r="AW72" s="368">
        <f>+AW71/AW73</f>
        <v>0.38739669421487605</v>
      </c>
      <c r="AX72" s="375"/>
      <c r="AY72" s="368">
        <f>+AY71/AY73</f>
        <v>0.38739669421487605</v>
      </c>
      <c r="AZ72" s="745"/>
      <c r="BA72" s="725"/>
      <c r="BB72" s="725"/>
      <c r="BC72" s="630"/>
      <c r="BD72" s="375"/>
      <c r="BE72" s="368">
        <f>+BE71/BE73</f>
        <v>0.38739669421487605</v>
      </c>
      <c r="BF72" s="630"/>
      <c r="BG72" s="375"/>
      <c r="BH72" s="368">
        <f>+BH71/BH73</f>
        <v>0.38739669421487605</v>
      </c>
      <c r="BI72" s="375"/>
      <c r="BJ72" s="368">
        <f t="shared" ref="BJ72" si="227">+BJ71/BJ73</f>
        <v>0.38739669421487605</v>
      </c>
      <c r="BK72" s="375"/>
      <c r="BL72" s="368">
        <f t="shared" ref="BL72" si="228">+BL71/BL73</f>
        <v>0.38739669421487605</v>
      </c>
      <c r="BM72"/>
      <c r="BN72" s="630"/>
      <c r="BO72" s="375"/>
      <c r="BP72" s="368">
        <f>+BP71/BP73</f>
        <v>0</v>
      </c>
      <c r="BQ72" s="375"/>
      <c r="BR72" s="368">
        <f t="shared" ref="BR72" si="229">+BR71/BR73</f>
        <v>0.38739669421487605</v>
      </c>
      <c r="BS72" s="375"/>
      <c r="BT72" s="368">
        <f t="shared" ref="BT72" si="230">+BT71/BT73</f>
        <v>0.38739669421487605</v>
      </c>
      <c r="BU72" s="630"/>
      <c r="BV72" s="375"/>
      <c r="BW72" s="368">
        <f>+BW71/BW73</f>
        <v>0.38739669421487605</v>
      </c>
      <c r="BY72" s="375"/>
      <c r="BZ72" s="368">
        <f>+BZ71/BZ73</f>
        <v>0.1</v>
      </c>
      <c r="CA72" s="375"/>
      <c r="CB72" s="368">
        <f>+CB71/CB73</f>
        <v>0.1</v>
      </c>
      <c r="CC72" s="375"/>
      <c r="CD72" s="368">
        <f>+CD71/CD73</f>
        <v>0.1</v>
      </c>
      <c r="CE72" s="97" t="s">
        <v>538</v>
      </c>
      <c r="CH72" s="375"/>
      <c r="CI72" s="368">
        <f>+CI71/CI73</f>
        <v>0</v>
      </c>
      <c r="CJ72" s="375"/>
      <c r="CK72" s="368">
        <f t="shared" ref="CK72" si="231">+CK71/CK73</f>
        <v>0.38739669421487605</v>
      </c>
      <c r="CL72" s="375"/>
      <c r="CM72" s="368">
        <f t="shared" ref="CM72" si="232">+CM71/CM73</f>
        <v>0.38739669421487605</v>
      </c>
      <c r="CN72" s="630"/>
    </row>
    <row r="73" spans="1:92" s="4" customFormat="1" ht="18" customHeight="1" x14ac:dyDescent="0.45">
      <c r="A73" s="561"/>
      <c r="B73" s="1184"/>
      <c r="C73" s="15" t="s">
        <v>71</v>
      </c>
      <c r="D73" s="16"/>
      <c r="E73" s="35" t="s">
        <v>68</v>
      </c>
      <c r="F73" s="42"/>
      <c r="G73" s="88">
        <v>3872</v>
      </c>
      <c r="H73" s="42"/>
      <c r="I73" s="88">
        <v>3872</v>
      </c>
      <c r="J73" s="42"/>
      <c r="K73" s="88">
        <v>3872</v>
      </c>
      <c r="L73" s="42"/>
      <c r="M73" s="88">
        <v>3872</v>
      </c>
      <c r="N73" s="359"/>
      <c r="O73" s="372">
        <v>3872</v>
      </c>
      <c r="P73" s="359"/>
      <c r="Q73" s="372">
        <v>3872</v>
      </c>
      <c r="R73" s="359"/>
      <c r="S73" s="372">
        <v>3872</v>
      </c>
      <c r="T73" s="359"/>
      <c r="U73" s="372">
        <v>3872</v>
      </c>
      <c r="V73" s="359"/>
      <c r="W73" s="372">
        <v>3872</v>
      </c>
      <c r="X73" s="359"/>
      <c r="Y73" s="372">
        <v>3872</v>
      </c>
      <c r="Z73" s="359"/>
      <c r="AA73" s="372">
        <v>3872</v>
      </c>
      <c r="AB73" s="359"/>
      <c r="AC73" s="372">
        <v>3872</v>
      </c>
      <c r="AD73" s="359"/>
      <c r="AE73" s="372">
        <v>3872</v>
      </c>
      <c r="AF73" s="745"/>
      <c r="AG73" s="725"/>
      <c r="AH73" s="746"/>
      <c r="AI73" s="632"/>
      <c r="AJ73" s="359"/>
      <c r="AK73" s="372">
        <v>3872</v>
      </c>
      <c r="AL73" s="359"/>
      <c r="AM73" s="372">
        <v>3872</v>
      </c>
      <c r="AN73" s="359"/>
      <c r="AO73" s="372">
        <v>3872</v>
      </c>
      <c r="AP73" s="745"/>
      <c r="AQ73" s="725"/>
      <c r="AR73" s="746"/>
      <c r="AS73" s="632"/>
      <c r="AT73" s="359"/>
      <c r="AU73" s="372">
        <v>3872</v>
      </c>
      <c r="AV73" s="359"/>
      <c r="AW73" s="372">
        <v>3872</v>
      </c>
      <c r="AX73" s="359"/>
      <c r="AY73" s="372">
        <v>3872</v>
      </c>
      <c r="AZ73" s="745"/>
      <c r="BA73" s="725"/>
      <c r="BB73" s="725"/>
      <c r="BC73" s="632"/>
      <c r="BD73" s="359"/>
      <c r="BE73" s="372">
        <v>3872</v>
      </c>
      <c r="BF73" s="632"/>
      <c r="BG73" s="359"/>
      <c r="BH73" s="372">
        <v>3872</v>
      </c>
      <c r="BI73" s="359"/>
      <c r="BJ73" s="372">
        <v>3872</v>
      </c>
      <c r="BK73" s="359"/>
      <c r="BL73" s="372">
        <v>3872</v>
      </c>
      <c r="BM73"/>
      <c r="BN73" s="632"/>
      <c r="BO73" s="359"/>
      <c r="BP73" s="372">
        <v>3872</v>
      </c>
      <c r="BQ73" s="359"/>
      <c r="BR73" s="372">
        <v>3872</v>
      </c>
      <c r="BS73" s="359"/>
      <c r="BT73" s="372">
        <v>3872</v>
      </c>
      <c r="BU73" s="632"/>
      <c r="BV73" s="359"/>
      <c r="BW73" s="372">
        <v>3872</v>
      </c>
      <c r="BY73" s="359"/>
      <c r="BZ73" s="372">
        <v>4000</v>
      </c>
      <c r="CA73" s="359"/>
      <c r="CB73" s="372">
        <v>4000</v>
      </c>
      <c r="CC73" s="359"/>
      <c r="CD73" s="372">
        <v>4000</v>
      </c>
      <c r="CH73" s="359"/>
      <c r="CI73" s="372">
        <v>3872</v>
      </c>
      <c r="CJ73" s="359"/>
      <c r="CK73" s="372">
        <v>3872</v>
      </c>
      <c r="CL73" s="359"/>
      <c r="CM73" s="372">
        <v>3872</v>
      </c>
      <c r="CN73" s="632"/>
    </row>
    <row r="74" spans="1:92" s="7" customFormat="1" ht="18" customHeight="1" x14ac:dyDescent="0.45">
      <c r="A74" s="561"/>
      <c r="B74" s="1184"/>
      <c r="C74" s="78" t="s">
        <v>72</v>
      </c>
      <c r="D74" s="79"/>
      <c r="E74" s="80" t="s">
        <v>68</v>
      </c>
      <c r="F74" s="81"/>
      <c r="G74" s="82">
        <f>G67-G72</f>
        <v>5.4398760330578506</v>
      </c>
      <c r="H74" s="81"/>
      <c r="I74" s="82">
        <f>I67-I72</f>
        <v>5.3029958677685949</v>
      </c>
      <c r="J74" s="81"/>
      <c r="K74" s="82">
        <f>K67-K72</f>
        <v>5.3029958677685949</v>
      </c>
      <c r="L74" s="81"/>
      <c r="M74" s="82">
        <f>M67-M72</f>
        <v>5.3029958677685949</v>
      </c>
      <c r="N74" s="935"/>
      <c r="O74" s="82">
        <f>5.44+0.3</f>
        <v>5.74</v>
      </c>
      <c r="P74" s="81"/>
      <c r="Q74" s="82">
        <f>5.44+0.3</f>
        <v>5.74</v>
      </c>
      <c r="R74" s="81"/>
      <c r="S74" s="82">
        <f>5.44+0.3</f>
        <v>5.74</v>
      </c>
      <c r="T74" s="935"/>
      <c r="U74" s="82">
        <f>5.44+0.3</f>
        <v>5.74</v>
      </c>
      <c r="V74" s="935"/>
      <c r="W74" s="82">
        <f>5.44+0.3</f>
        <v>5.74</v>
      </c>
      <c r="X74" s="550"/>
      <c r="Y74" s="82">
        <v>6.5</v>
      </c>
      <c r="Z74" s="81"/>
      <c r="AA74" s="82">
        <f>5.44+0.3+0.07-0.01</f>
        <v>5.8000000000000007</v>
      </c>
      <c r="AB74" s="81"/>
      <c r="AC74" s="82">
        <f>AA74</f>
        <v>5.8000000000000007</v>
      </c>
      <c r="AD74" s="81"/>
      <c r="AE74" s="82">
        <f>AC74</f>
        <v>5.8000000000000007</v>
      </c>
      <c r="AF74" s="781"/>
      <c r="AG74" s="726"/>
      <c r="AH74" s="790"/>
      <c r="AI74" s="691"/>
      <c r="AJ74" s="81"/>
      <c r="AK74" s="82">
        <f>AE74</f>
        <v>5.8000000000000007</v>
      </c>
      <c r="AL74" s="81"/>
      <c r="AM74" s="82">
        <f>AK74</f>
        <v>5.8000000000000007</v>
      </c>
      <c r="AN74" s="81"/>
      <c r="AO74" s="82">
        <f>AM74</f>
        <v>5.8000000000000007</v>
      </c>
      <c r="AP74" s="781"/>
      <c r="AQ74" s="726"/>
      <c r="AR74" s="790"/>
      <c r="AS74" s="691"/>
      <c r="AT74" s="81"/>
      <c r="AU74" s="82">
        <f>AO74</f>
        <v>5.8000000000000007</v>
      </c>
      <c r="AV74" s="81"/>
      <c r="AW74" s="82">
        <f>AU74</f>
        <v>5.8000000000000007</v>
      </c>
      <c r="AX74" s="81"/>
      <c r="AY74" s="82">
        <f>AW74</f>
        <v>5.8000000000000007</v>
      </c>
      <c r="AZ74" s="781"/>
      <c r="BA74" s="726"/>
      <c r="BB74" s="726"/>
      <c r="BC74" s="691"/>
      <c r="BD74" s="81"/>
      <c r="BE74" s="82">
        <f>AU74</f>
        <v>5.8000000000000007</v>
      </c>
      <c r="BF74" s="691"/>
      <c r="BG74" s="550">
        <f>BH74/O74-1</f>
        <v>0.17595818815331032</v>
      </c>
      <c r="BH74" s="82">
        <f>AY74+0.7-0.5+0.3+0.2+0.2+0.05</f>
        <v>6.7500000000000009</v>
      </c>
      <c r="BI74" s="81"/>
      <c r="BJ74" s="82">
        <f>BH74</f>
        <v>6.7500000000000009</v>
      </c>
      <c r="BK74" s="81"/>
      <c r="BL74" s="82">
        <f>BJ74</f>
        <v>6.7500000000000009</v>
      </c>
      <c r="BM74"/>
      <c r="BN74" s="691"/>
      <c r="BO74" s="550"/>
      <c r="BP74" s="82">
        <v>6.6</v>
      </c>
      <c r="BQ74" s="81"/>
      <c r="BR74" s="82">
        <f>BP74</f>
        <v>6.6</v>
      </c>
      <c r="BS74" s="81"/>
      <c r="BT74" s="82">
        <f>BR74</f>
        <v>6.6</v>
      </c>
      <c r="BU74" s="691"/>
      <c r="BV74" s="81"/>
      <c r="BW74" s="82">
        <f>6.2+0.3</f>
        <v>6.5</v>
      </c>
      <c r="BY74" s="550"/>
      <c r="BZ74" s="82">
        <v>5.5</v>
      </c>
      <c r="CA74" s="550"/>
      <c r="CB74" s="82">
        <v>6</v>
      </c>
      <c r="CC74" s="550"/>
      <c r="CD74" s="82">
        <v>6.6</v>
      </c>
      <c r="CE74" s="7">
        <f>BP74*(1+CE85)</f>
        <v>7.671917436175991</v>
      </c>
      <c r="CH74" s="550"/>
      <c r="CI74" s="82">
        <v>7</v>
      </c>
      <c r="CJ74" s="81"/>
      <c r="CK74" s="82">
        <f>CI74</f>
        <v>7</v>
      </c>
      <c r="CL74" s="81"/>
      <c r="CM74" s="82">
        <f>CK74</f>
        <v>7</v>
      </c>
      <c r="CN74" s="691"/>
    </row>
    <row r="75" spans="1:92" s="7" customFormat="1" ht="18" customHeight="1" x14ac:dyDescent="0.45">
      <c r="A75" s="561"/>
      <c r="B75" s="1184"/>
      <c r="C75" s="78" t="s">
        <v>73</v>
      </c>
      <c r="D75" s="79"/>
      <c r="E75" s="80" t="s">
        <v>68</v>
      </c>
      <c r="F75" s="81"/>
      <c r="G75" s="82">
        <f>G63-G72</f>
        <v>4.9398760330578506</v>
      </c>
      <c r="H75" s="81"/>
      <c r="I75" s="82">
        <f>I63-I72</f>
        <v>4.9029958677685945</v>
      </c>
      <c r="J75" s="81"/>
      <c r="K75" s="82">
        <f>K63-K72</f>
        <v>4.9029958677685945</v>
      </c>
      <c r="L75" s="81"/>
      <c r="M75" s="82">
        <f>M63-M72</f>
        <v>4.9029958677685945</v>
      </c>
      <c r="N75" s="81"/>
      <c r="O75" s="82">
        <f>O63-O72</f>
        <v>4.9400000000000004</v>
      </c>
      <c r="P75" s="81"/>
      <c r="Q75" s="82">
        <f>Q63-Q72</f>
        <v>4.9400000000000004</v>
      </c>
      <c r="R75" s="81"/>
      <c r="S75" s="82">
        <f>S63-S72</f>
        <v>4.9400000000000004</v>
      </c>
      <c r="T75" s="81"/>
      <c r="U75" s="82">
        <f>U63-U72</f>
        <v>4.9400000000000004</v>
      </c>
      <c r="V75" s="81"/>
      <c r="W75" s="82">
        <f>W63-W72</f>
        <v>4.9400000000000004</v>
      </c>
      <c r="X75" s="81"/>
      <c r="Y75" s="82">
        <f>Y63-Y72</f>
        <v>5.4623058057851246</v>
      </c>
      <c r="Z75" s="81"/>
      <c r="AA75" s="82">
        <f>AA63-AA72</f>
        <v>5.1126033057851243</v>
      </c>
      <c r="AB75" s="81"/>
      <c r="AC75" s="82">
        <f>AC63-AC72</f>
        <v>5.1126033057851243</v>
      </c>
      <c r="AD75" s="81"/>
      <c r="AE75" s="82">
        <f>AE63-AE72</f>
        <v>5.1126033057851243</v>
      </c>
      <c r="AF75" s="781"/>
      <c r="AG75" s="726"/>
      <c r="AH75" s="790"/>
      <c r="AI75" s="691"/>
      <c r="AJ75" s="81"/>
      <c r="AK75" s="82">
        <f>AK63-AK72</f>
        <v>5.1126033057851243</v>
      </c>
      <c r="AL75" s="81"/>
      <c r="AM75" s="82">
        <f>AM63-AM72</f>
        <v>5.1126033057851243</v>
      </c>
      <c r="AN75" s="81"/>
      <c r="AO75" s="82">
        <f>AO63-AO72</f>
        <v>5.1126033057851243</v>
      </c>
      <c r="AP75" s="781"/>
      <c r="AQ75" s="726"/>
      <c r="AR75" s="790"/>
      <c r="AS75" s="691"/>
      <c r="AT75" s="81"/>
      <c r="AU75" s="82">
        <f>AU63-AU72</f>
        <v>5.1126033057851243</v>
      </c>
      <c r="AV75" s="81"/>
      <c r="AW75" s="82">
        <f>AW63-AW72</f>
        <v>5.1126033057851243</v>
      </c>
      <c r="AX75" s="81"/>
      <c r="AY75" s="82">
        <f>AY63-AY72</f>
        <v>5.1126033057851243</v>
      </c>
      <c r="AZ75" s="781"/>
      <c r="BA75" s="726"/>
      <c r="BB75" s="726"/>
      <c r="BC75" s="691"/>
      <c r="BD75" s="81"/>
      <c r="BE75" s="82">
        <f>BE63-BE72</f>
        <v>5.1126033057851243</v>
      </c>
      <c r="BF75" s="691"/>
      <c r="BG75" s="81"/>
      <c r="BH75" s="82">
        <f>BH63-BH72</f>
        <v>5.4626033057851249</v>
      </c>
      <c r="BI75" s="81"/>
      <c r="BJ75" s="82">
        <f t="shared" ref="BJ75" si="233">BJ63-BJ72</f>
        <v>5.4626033057851249</v>
      </c>
      <c r="BK75" s="81"/>
      <c r="BL75" s="82">
        <f t="shared" ref="BL75" si="234">BL63-BL72</f>
        <v>5.4626033057851249</v>
      </c>
      <c r="BM75"/>
      <c r="BN75" s="691"/>
      <c r="BO75" s="81"/>
      <c r="BP75" s="82">
        <f>BP63-BP72</f>
        <v>6.6030387499999996</v>
      </c>
      <c r="BQ75" s="81"/>
      <c r="BR75" s="82">
        <f t="shared" ref="BR75" si="235">BR63-BR72</f>
        <v>6.6026349999999994</v>
      </c>
      <c r="BS75" s="81"/>
      <c r="BT75" s="82">
        <f t="shared" ref="BT75" si="236">BT63-BT72</f>
        <v>6.6026349999999994</v>
      </c>
      <c r="BU75" s="691"/>
      <c r="BV75" s="81"/>
      <c r="BW75" s="82">
        <f>BW63-BW72</f>
        <v>6.2127733057851238</v>
      </c>
      <c r="BY75" s="81"/>
      <c r="BZ75" s="82">
        <f>BZ63-BZ72</f>
        <v>4.201954999999999</v>
      </c>
      <c r="CA75" s="81"/>
      <c r="CB75" s="82">
        <f>CB63-CB72</f>
        <v>4.5018700000000003</v>
      </c>
      <c r="CC75" s="81"/>
      <c r="CD75" s="82">
        <f>CD63-CD72</f>
        <v>5.1018699999999999</v>
      </c>
      <c r="CH75" s="81"/>
      <c r="CI75" s="82">
        <f>CI63-CI72</f>
        <v>7.00303875</v>
      </c>
      <c r="CJ75" s="81"/>
      <c r="CK75" s="82">
        <f t="shared" ref="CK75" si="237">CK63-CK72</f>
        <v>7.0026349999999997</v>
      </c>
      <c r="CL75" s="81"/>
      <c r="CM75" s="82">
        <f t="shared" ref="CM75" si="238">CM63-CM72</f>
        <v>7.0026349999999997</v>
      </c>
      <c r="CN75" s="691"/>
    </row>
    <row r="76" spans="1:92" s="103" customFormat="1" ht="18" customHeight="1" x14ac:dyDescent="0.45">
      <c r="A76" s="561"/>
      <c r="B76" s="1184"/>
      <c r="C76" s="98"/>
      <c r="D76" s="99"/>
      <c r="E76" s="100" t="s">
        <v>74</v>
      </c>
      <c r="F76" s="101"/>
      <c r="G76" s="102">
        <f>+G74/G10</f>
        <v>0.13599690082644628</v>
      </c>
      <c r="H76" s="101"/>
      <c r="I76" s="102">
        <f>+I74/I10</f>
        <v>0.13257489669421488</v>
      </c>
      <c r="J76" s="101"/>
      <c r="K76" s="102">
        <f>+K74/K10</f>
        <v>0.13257489669421488</v>
      </c>
      <c r="L76" s="101"/>
      <c r="M76" s="102">
        <f>+M74/M10</f>
        <v>0.13257489669421488</v>
      </c>
      <c r="N76" s="101"/>
      <c r="O76" s="82">
        <f>+O74/O10</f>
        <v>0.14350000000000002</v>
      </c>
      <c r="P76" s="101"/>
      <c r="Q76" s="82">
        <f>+Q74/Q10</f>
        <v>0.14350000000000002</v>
      </c>
      <c r="R76" s="101"/>
      <c r="S76" s="82">
        <f>+S74/S10</f>
        <v>0.14350000000000002</v>
      </c>
      <c r="T76" s="101"/>
      <c r="U76" s="82">
        <f>+U74/U10</f>
        <v>0.14350000000000002</v>
      </c>
      <c r="V76" s="101"/>
      <c r="W76" s="82">
        <f>+W74/W10</f>
        <v>0.14350000000000002</v>
      </c>
      <c r="X76" s="101"/>
      <c r="Y76" s="82">
        <f>+Y74/Y10</f>
        <v>0.16250000000000001</v>
      </c>
      <c r="Z76" s="101"/>
      <c r="AA76" s="82">
        <f>+AA74/AA10</f>
        <v>0.14500000000000002</v>
      </c>
      <c r="AB76" s="101"/>
      <c r="AC76" s="82">
        <f>+AC74/AC10</f>
        <v>0.14500000000000002</v>
      </c>
      <c r="AD76" s="101"/>
      <c r="AE76" s="82">
        <f>+AE74/AE10</f>
        <v>0.14500000000000002</v>
      </c>
      <c r="AF76" s="781"/>
      <c r="AG76" s="726"/>
      <c r="AH76" s="790"/>
      <c r="AI76" s="691"/>
      <c r="AJ76" s="101"/>
      <c r="AK76" s="82">
        <f>+AK74/AK10</f>
        <v>0.14500000000000002</v>
      </c>
      <c r="AL76" s="101"/>
      <c r="AM76" s="82">
        <f>+AM74/AM10</f>
        <v>0.14500000000000002</v>
      </c>
      <c r="AN76" s="101"/>
      <c r="AO76" s="82">
        <f>+AO74/AO10</f>
        <v>0.14500000000000002</v>
      </c>
      <c r="AP76" s="781"/>
      <c r="AQ76" s="726"/>
      <c r="AR76" s="790"/>
      <c r="AS76" s="691"/>
      <c r="AT76" s="101"/>
      <c r="AU76" s="82">
        <f>+AU74/AU10</f>
        <v>0.14500000000000002</v>
      </c>
      <c r="AV76" s="101"/>
      <c r="AW76" s="82">
        <f>+AW74/AW10</f>
        <v>0.14500000000000002</v>
      </c>
      <c r="AX76" s="101"/>
      <c r="AY76" s="82">
        <f>+AY74/AY10</f>
        <v>0.14500000000000002</v>
      </c>
      <c r="AZ76" s="781"/>
      <c r="BA76" s="726"/>
      <c r="BB76" s="726"/>
      <c r="BC76" s="691"/>
      <c r="BD76" s="101"/>
      <c r="BE76" s="82">
        <f>+BE74/BE10</f>
        <v>0.14500000000000002</v>
      </c>
      <c r="BF76" s="691"/>
      <c r="BG76" s="101"/>
      <c r="BH76" s="82">
        <f>+BH74/BH10</f>
        <v>0.16875000000000001</v>
      </c>
      <c r="BI76" s="101"/>
      <c r="BJ76" s="82">
        <f>+BJ74/BJ10</f>
        <v>0.16875000000000001</v>
      </c>
      <c r="BK76" s="101"/>
      <c r="BL76" s="82">
        <f>+BL74/BL10</f>
        <v>0.16875000000000001</v>
      </c>
      <c r="BM76"/>
      <c r="BN76" s="691"/>
      <c r="BO76" s="101"/>
      <c r="BP76" s="82">
        <f>+BP74/BP10</f>
        <v>0.16499999999999998</v>
      </c>
      <c r="BQ76" s="101"/>
      <c r="BR76" s="82">
        <f>+BR74/BR10</f>
        <v>0.16499999999999998</v>
      </c>
      <c r="BS76" s="101"/>
      <c r="BT76" s="82">
        <f>+BT74/BT10</f>
        <v>0.16499999999999998</v>
      </c>
      <c r="BU76" s="691"/>
      <c r="BV76" s="101"/>
      <c r="BW76" s="82">
        <f>+BW74/BW10</f>
        <v>0.16250000000000001</v>
      </c>
      <c r="BY76" s="101"/>
      <c r="BZ76" s="82">
        <f>+BZ74/BZ10</f>
        <v>0.13750000000000001</v>
      </c>
      <c r="CA76" s="101"/>
      <c r="CB76" s="82">
        <f>+CB74/CB10</f>
        <v>0.15</v>
      </c>
      <c r="CC76" s="101"/>
      <c r="CD76" s="82">
        <f>+CD74/CD10</f>
        <v>0.16499999999999998</v>
      </c>
      <c r="CH76" s="101"/>
      <c r="CI76" s="82">
        <f>+CI74/CI10</f>
        <v>0.17499999999999999</v>
      </c>
      <c r="CJ76" s="101"/>
      <c r="CK76" s="82">
        <f>+CK74/CK10</f>
        <v>0.17499999999999999</v>
      </c>
      <c r="CL76" s="101"/>
      <c r="CM76" s="82">
        <f>+CM74/CM10</f>
        <v>0.17499999999999999</v>
      </c>
      <c r="CN76" s="691"/>
    </row>
    <row r="77" spans="1:92" s="4" customFormat="1" ht="18" customHeight="1" thickBot="1" x14ac:dyDescent="0.5">
      <c r="A77" s="561"/>
      <c r="B77" s="1184"/>
      <c r="C77" s="104"/>
      <c r="D77" s="105"/>
      <c r="E77" s="105"/>
      <c r="F77" s="106"/>
      <c r="G77" s="107"/>
      <c r="H77" s="106"/>
      <c r="I77" s="107"/>
      <c r="J77" s="106"/>
      <c r="K77" s="107"/>
      <c r="L77" s="106"/>
      <c r="M77" s="107"/>
      <c r="N77" s="377"/>
      <c r="O77" s="595"/>
      <c r="P77" s="377"/>
      <c r="Q77" s="595"/>
      <c r="R77" s="377"/>
      <c r="S77" s="595"/>
      <c r="T77" s="377"/>
      <c r="U77" s="595"/>
      <c r="V77" s="377"/>
      <c r="W77" s="595"/>
      <c r="X77" s="377"/>
      <c r="Y77" s="595"/>
      <c r="Z77" s="377"/>
      <c r="AA77" s="595"/>
      <c r="AB77" s="377"/>
      <c r="AC77" s="595"/>
      <c r="AD77" s="377"/>
      <c r="AE77" s="595"/>
      <c r="AF77" s="794"/>
      <c r="AG77" s="795"/>
      <c r="AH77" s="796"/>
      <c r="AI77" s="641"/>
      <c r="AJ77" s="377"/>
      <c r="AK77" s="595"/>
      <c r="AL77" s="377"/>
      <c r="AM77" s="595"/>
      <c r="AN77" s="377"/>
      <c r="AO77" s="595"/>
      <c r="AP77" s="794"/>
      <c r="AQ77" s="795"/>
      <c r="AR77" s="796"/>
      <c r="AS77" s="641"/>
      <c r="AT77" s="377"/>
      <c r="AU77" s="595"/>
      <c r="AV77" s="377"/>
      <c r="AW77" s="595"/>
      <c r="AX77" s="377"/>
      <c r="AY77" s="595"/>
      <c r="AZ77" s="794"/>
      <c r="BA77" s="795"/>
      <c r="BB77" s="795"/>
      <c r="BC77" s="630"/>
      <c r="BD77" s="377"/>
      <c r="BE77" s="595"/>
      <c r="BF77" s="630"/>
      <c r="BG77" s="377"/>
      <c r="BH77" s="595"/>
      <c r="BI77" s="377"/>
      <c r="BJ77" s="595"/>
      <c r="BK77" s="377"/>
      <c r="BL77" s="595"/>
      <c r="BM77"/>
      <c r="BN77" s="630"/>
      <c r="BO77" s="377"/>
      <c r="BP77" s="595"/>
      <c r="BQ77" s="377"/>
      <c r="BR77" s="595"/>
      <c r="BS77" s="377"/>
      <c r="BT77" s="595"/>
      <c r="BU77" s="630"/>
      <c r="BV77" s="377"/>
      <c r="BW77" s="595"/>
      <c r="BY77" s="377"/>
      <c r="BZ77" s="595"/>
      <c r="CA77" s="377"/>
      <c r="CB77" s="595"/>
      <c r="CC77" s="377"/>
      <c r="CD77" s="595"/>
      <c r="CH77" s="377"/>
      <c r="CI77" s="595"/>
      <c r="CJ77" s="377"/>
      <c r="CK77" s="595"/>
      <c r="CL77" s="377"/>
      <c r="CM77" s="595"/>
      <c r="CN77" s="630"/>
    </row>
    <row r="78" spans="1:92" s="4" customFormat="1" ht="18" customHeight="1" thickTop="1" x14ac:dyDescent="0.45">
      <c r="A78" s="561"/>
      <c r="B78" s="1240" t="s">
        <v>75</v>
      </c>
      <c r="C78" s="110" t="s">
        <v>76</v>
      </c>
      <c r="D78" s="109"/>
      <c r="E78" s="110" t="s">
        <v>77</v>
      </c>
      <c r="F78" s="111"/>
      <c r="G78" s="112">
        <f>G81+G79</f>
        <v>3.5330450940327975</v>
      </c>
      <c r="H78" s="111"/>
      <c r="I78" s="112">
        <f>I81+I79</f>
        <v>3.6553899705920707</v>
      </c>
      <c r="J78" s="111"/>
      <c r="K78" s="112">
        <f>K81+K79</f>
        <v>3.6553899705920707</v>
      </c>
      <c r="L78" s="111"/>
      <c r="M78" s="112">
        <f>M81+M79</f>
        <v>3.6553899705920707</v>
      </c>
      <c r="N78" s="111"/>
      <c r="O78" s="112">
        <f>O81+O79</f>
        <v>3.8054599289954605</v>
      </c>
      <c r="P78" s="111"/>
      <c r="Q78" s="112">
        <f>Q81+Q79</f>
        <v>3.8054599289954605</v>
      </c>
      <c r="R78" s="111"/>
      <c r="S78" s="112">
        <f>S81+S79</f>
        <v>3.8054599289954605</v>
      </c>
      <c r="T78" s="111"/>
      <c r="U78" s="112">
        <f>U81+U79</f>
        <v>3.9198145831617142</v>
      </c>
      <c r="V78" s="111"/>
      <c r="W78" s="112">
        <f>W81+W79</f>
        <v>4.0702486613898268</v>
      </c>
      <c r="X78" s="111"/>
      <c r="Y78" s="112">
        <f>Y81+Y79</f>
        <v>4.0702486613898268</v>
      </c>
      <c r="Z78" s="111"/>
      <c r="AA78" s="112">
        <f>AA81+AA79</f>
        <v>4.0702486613898268</v>
      </c>
      <c r="AB78" s="111"/>
      <c r="AC78" s="112">
        <f>AC81+AC79</f>
        <v>4.0702486613898268</v>
      </c>
      <c r="AD78" s="111"/>
      <c r="AE78" s="112">
        <f>AE81+AE79</f>
        <v>4.0702486613898268</v>
      </c>
      <c r="AF78" s="797"/>
      <c r="AG78" s="730"/>
      <c r="AH78" s="798"/>
      <c r="AI78" s="630"/>
      <c r="AJ78" s="111"/>
      <c r="AK78" s="112">
        <f>AK81+AK79</f>
        <v>4.0702486613898268</v>
      </c>
      <c r="AL78" s="111"/>
      <c r="AM78" s="112">
        <f>AM81+AM79</f>
        <v>4.0702486613898268</v>
      </c>
      <c r="AN78" s="111"/>
      <c r="AO78" s="112">
        <f>AO81+AO79</f>
        <v>4.0702486613898268</v>
      </c>
      <c r="AP78" s="797"/>
      <c r="AQ78" s="730"/>
      <c r="AR78" s="798"/>
      <c r="AS78" s="630"/>
      <c r="AT78" s="111"/>
      <c r="AU78" s="112">
        <f>AU81+AU79</f>
        <v>4.0702486613898268</v>
      </c>
      <c r="AV78" s="111"/>
      <c r="AW78" s="112">
        <f>AW81+AW79</f>
        <v>4.0702486613898268</v>
      </c>
      <c r="AX78" s="111"/>
      <c r="AY78" s="112">
        <f>AY81+AY79</f>
        <v>4.0702486613898268</v>
      </c>
      <c r="AZ78" s="797"/>
      <c r="BA78" s="730"/>
      <c r="BB78" s="730"/>
      <c r="BC78" s="630"/>
      <c r="BD78" s="111"/>
      <c r="BE78" s="112">
        <f>BE81+BE79</f>
        <v>4.6630655627982769</v>
      </c>
      <c r="BF78" s="630"/>
      <c r="BG78" s="111"/>
      <c r="BH78" s="112">
        <f>BH81+BH79</f>
        <v>5.3998261261785583</v>
      </c>
      <c r="BI78" s="111"/>
      <c r="BJ78" s="112">
        <f t="shared" ref="BJ78" si="239">BJ81+BJ79</f>
        <v>5.3998261261785583</v>
      </c>
      <c r="BK78" s="111"/>
      <c r="BL78" s="112">
        <f t="shared" ref="BL78" si="240">BL81+BL79</f>
        <v>5.3998261261785583</v>
      </c>
      <c r="BM78"/>
      <c r="BN78" s="630"/>
      <c r="BO78" s="111"/>
      <c r="BP78" s="112">
        <f>BP81+BP79</f>
        <v>5.3040514782912345</v>
      </c>
      <c r="BQ78" s="111"/>
      <c r="BR78" s="112">
        <f t="shared" ref="BR78" si="241">BR81+BR79</f>
        <v>5.3040514782912345</v>
      </c>
      <c r="BS78" s="111"/>
      <c r="BT78" s="112">
        <f t="shared" ref="BT78" si="242">BT81+BT79</f>
        <v>5.3040514782912345</v>
      </c>
      <c r="BU78" s="630"/>
      <c r="BV78" s="111"/>
      <c r="BW78" s="112">
        <f>BW81+BW79</f>
        <v>4.6630655627982769</v>
      </c>
      <c r="BY78" s="111"/>
      <c r="BZ78" s="112">
        <f>BZ81+BZ79</f>
        <v>3.7755681818181817</v>
      </c>
      <c r="CA78" s="111"/>
      <c r="CB78" s="112">
        <f>CB81+CB79</f>
        <v>4.0972465034965033</v>
      </c>
      <c r="CC78" s="111"/>
      <c r="CD78" s="112">
        <f>CD81+CD79</f>
        <v>4.3247989510489511</v>
      </c>
      <c r="CH78" s="111"/>
      <c r="CI78" s="112">
        <f>CI81+CI79</f>
        <v>5.3040514782912345</v>
      </c>
      <c r="CJ78" s="111"/>
      <c r="CK78" s="112">
        <f t="shared" ref="CK78" si="243">CK81+CK79</f>
        <v>5.3040514782912345</v>
      </c>
      <c r="CL78" s="111"/>
      <c r="CM78" s="112">
        <f t="shared" ref="CM78" si="244">CM81+CM79</f>
        <v>5.3040514782912345</v>
      </c>
      <c r="CN78" s="630"/>
    </row>
    <row r="79" spans="1:92" s="4" customFormat="1" ht="18" customHeight="1" x14ac:dyDescent="0.45">
      <c r="A79" s="561"/>
      <c r="B79" s="1241"/>
      <c r="C79" s="115" t="s">
        <v>78</v>
      </c>
      <c r="D79" s="114"/>
      <c r="E79" s="115" t="s">
        <v>77</v>
      </c>
      <c r="F79" s="116"/>
      <c r="G79" s="117">
        <f>G122</f>
        <v>0.11798732756232323</v>
      </c>
      <c r="H79" s="116"/>
      <c r="I79" s="117">
        <f>I122</f>
        <v>0.11798732756232323</v>
      </c>
      <c r="J79" s="116"/>
      <c r="K79" s="117">
        <f>K122</f>
        <v>0.11798732756232323</v>
      </c>
      <c r="L79" s="116"/>
      <c r="M79" s="117">
        <f>M122</f>
        <v>0.11798732756232323</v>
      </c>
      <c r="N79" s="1024">
        <f>O79/O74</f>
        <v>2.0581182113848174E-2</v>
      </c>
      <c r="O79" s="596">
        <f>O122</f>
        <v>0.11813598533348853</v>
      </c>
      <c r="P79" s="116"/>
      <c r="Q79" s="596">
        <f>Q122</f>
        <v>0.11813598533348853</v>
      </c>
      <c r="R79" s="116"/>
      <c r="S79" s="596">
        <f>S122</f>
        <v>0.11813598533348853</v>
      </c>
      <c r="T79" s="1024">
        <f>U79/U74</f>
        <v>2.0581182113848174E-2</v>
      </c>
      <c r="U79" s="596">
        <f>U122</f>
        <v>0.11813598533348853</v>
      </c>
      <c r="V79" s="1024">
        <f>W79/W74</f>
        <v>2.0581182113848174E-2</v>
      </c>
      <c r="W79" s="596">
        <f>W122</f>
        <v>0.11813598533348853</v>
      </c>
      <c r="X79" s="1024">
        <f>Y79/Y74</f>
        <v>1.8174766974382851E-2</v>
      </c>
      <c r="Y79" s="596">
        <f>Y122</f>
        <v>0.11813598533348853</v>
      </c>
      <c r="Z79" s="116"/>
      <c r="AA79" s="596">
        <f>AA122</f>
        <v>0.11813598533348853</v>
      </c>
      <c r="AB79" s="116"/>
      <c r="AC79" s="596">
        <f>AC122</f>
        <v>0.11813598533348853</v>
      </c>
      <c r="AD79" s="116"/>
      <c r="AE79" s="596">
        <f>AE122</f>
        <v>0.11813598533348853</v>
      </c>
      <c r="AF79" s="799"/>
      <c r="AG79" s="731"/>
      <c r="AH79" s="800"/>
      <c r="AI79" s="630"/>
      <c r="AJ79" s="116"/>
      <c r="AK79" s="596">
        <f>AK122</f>
        <v>0.11813598533348853</v>
      </c>
      <c r="AL79" s="116"/>
      <c r="AM79" s="596">
        <f>AM122</f>
        <v>0.11813598533348853</v>
      </c>
      <c r="AN79" s="116"/>
      <c r="AO79" s="596">
        <f>AO122</f>
        <v>0.11813598533348853</v>
      </c>
      <c r="AP79" s="799"/>
      <c r="AQ79" s="731"/>
      <c r="AR79" s="800"/>
      <c r="AS79" s="630"/>
      <c r="AT79" s="116"/>
      <c r="AU79" s="596">
        <f>AU122</f>
        <v>0.11813598533348853</v>
      </c>
      <c r="AV79" s="116"/>
      <c r="AW79" s="596">
        <f>AW122</f>
        <v>0.11813598533348853</v>
      </c>
      <c r="AX79" s="116"/>
      <c r="AY79" s="596">
        <f>AY122</f>
        <v>0.11813598533348853</v>
      </c>
      <c r="AZ79" s="799"/>
      <c r="BA79" s="731"/>
      <c r="BB79" s="731"/>
      <c r="BC79" s="630"/>
      <c r="BD79" s="116"/>
      <c r="BE79" s="596">
        <f>BE122</f>
        <v>0.11813598533348853</v>
      </c>
      <c r="BF79" s="630"/>
      <c r="BG79" s="116"/>
      <c r="BH79" s="596">
        <f>BH122</f>
        <v>0.11813598533348853</v>
      </c>
      <c r="BI79" s="116"/>
      <c r="BJ79" s="596">
        <f t="shared" ref="BJ79" si="245">BJ122</f>
        <v>0.11813598533348853</v>
      </c>
      <c r="BK79" s="116"/>
      <c r="BL79" s="596">
        <f t="shared" ref="BL79" si="246">BL122</f>
        <v>0.11813598533348853</v>
      </c>
      <c r="BM79"/>
      <c r="BN79" s="630"/>
      <c r="BO79" s="116"/>
      <c r="BP79" s="596">
        <f>BP122</f>
        <v>0.11813598533348853</v>
      </c>
      <c r="BQ79" s="116"/>
      <c r="BR79" s="596">
        <f t="shared" ref="BR79" si="247">BR122</f>
        <v>0.11813598533348853</v>
      </c>
      <c r="BS79" s="116"/>
      <c r="BT79" s="596">
        <f t="shared" ref="BT79" si="248">BT122</f>
        <v>0.11813598533348853</v>
      </c>
      <c r="BU79" s="630"/>
      <c r="BV79" s="116"/>
      <c r="BW79" s="596">
        <f>BW122</f>
        <v>0.11813598533348853</v>
      </c>
      <c r="BY79" s="116"/>
      <c r="BZ79" s="596">
        <f>BZ122</f>
        <v>0.11402972027972028</v>
      </c>
      <c r="CA79" s="116"/>
      <c r="CB79" s="596">
        <f>CB122</f>
        <v>0.11402972027972028</v>
      </c>
      <c r="CC79" s="116"/>
      <c r="CD79" s="596">
        <f>CD122</f>
        <v>0.11402972027972028</v>
      </c>
      <c r="CH79" s="116"/>
      <c r="CI79" s="596">
        <f>CI122</f>
        <v>0.11813598533348853</v>
      </c>
      <c r="CJ79" s="116"/>
      <c r="CK79" s="596">
        <f t="shared" ref="CK79" si="249">CK122</f>
        <v>0.11813598533348853</v>
      </c>
      <c r="CL79" s="116"/>
      <c r="CM79" s="596">
        <f t="shared" ref="CM79" si="250">CM122</f>
        <v>0.11813598533348853</v>
      </c>
      <c r="CN79" s="630"/>
    </row>
    <row r="80" spans="1:92" s="4" customFormat="1" ht="18" customHeight="1" x14ac:dyDescent="0.45">
      <c r="A80" s="561"/>
      <c r="B80" s="1241"/>
      <c r="C80" s="16"/>
      <c r="D80" s="16"/>
      <c r="E80" s="16"/>
      <c r="F80" s="42"/>
      <c r="G80" s="118"/>
      <c r="H80" s="42"/>
      <c r="I80" s="118"/>
      <c r="J80" s="42"/>
      <c r="K80" s="118"/>
      <c r="L80" s="42"/>
      <c r="M80" s="118"/>
      <c r="N80" s="359"/>
      <c r="O80" s="597"/>
      <c r="P80" s="359"/>
      <c r="Q80" s="597"/>
      <c r="R80" s="359"/>
      <c r="S80" s="597"/>
      <c r="T80" s="359"/>
      <c r="U80" s="597"/>
      <c r="V80" s="359"/>
      <c r="W80" s="597"/>
      <c r="X80" s="745"/>
      <c r="Y80" s="682" t="e">
        <f>Y81-#REF!</f>
        <v>#REF!</v>
      </c>
      <c r="Z80" s="359"/>
      <c r="AA80" s="682">
        <f>AA81-O81</f>
        <v>0.26478873239436629</v>
      </c>
      <c r="AB80" s="359"/>
      <c r="AC80" s="682">
        <f>AC81-O81</f>
        <v>0.26478873239436629</v>
      </c>
      <c r="AD80" s="359"/>
      <c r="AE80" s="597"/>
      <c r="AF80" s="745"/>
      <c r="AG80" s="725"/>
      <c r="AH80" s="746"/>
      <c r="AI80" s="644"/>
      <c r="AJ80" s="359"/>
      <c r="AK80" s="682">
        <f>AK81-AU81</f>
        <v>0</v>
      </c>
      <c r="AL80" s="359"/>
      <c r="AM80" s="682">
        <f>AM81-AC81</f>
        <v>0</v>
      </c>
      <c r="AN80" s="359"/>
      <c r="AO80" s="597"/>
      <c r="AP80" s="745"/>
      <c r="AQ80" s="725"/>
      <c r="AR80" s="746"/>
      <c r="AS80" s="644"/>
      <c r="AT80" s="359"/>
      <c r="AU80" s="682">
        <f>AU81-AA81</f>
        <v>0</v>
      </c>
      <c r="AV80" s="359"/>
      <c r="AW80" s="682">
        <f>AW81-Q81</f>
        <v>0.26478873239436629</v>
      </c>
      <c r="AX80" s="359"/>
      <c r="AY80" s="597"/>
      <c r="AZ80" s="745"/>
      <c r="BA80" s="725"/>
      <c r="BB80" s="725"/>
      <c r="BC80" s="644"/>
      <c r="BD80" s="359"/>
      <c r="BE80" s="682">
        <f>BE81-AR81</f>
        <v>4.4731190350660111</v>
      </c>
      <c r="BF80" s="644"/>
      <c r="BG80" s="745"/>
      <c r="BH80" s="682"/>
      <c r="BI80" s="359"/>
      <c r="BJ80" s="682">
        <f>BJ81-Q81</f>
        <v>1.5943661971830982</v>
      </c>
      <c r="BK80" s="359"/>
      <c r="BL80" s="682">
        <f>BL81-S81</f>
        <v>1.5943661971830982</v>
      </c>
      <c r="BM80"/>
      <c r="BN80" s="644"/>
      <c r="BO80" s="745"/>
      <c r="BP80" s="682"/>
      <c r="BQ80" s="359"/>
      <c r="BR80" s="682">
        <f>BR81-X81</f>
        <v>5.1859154929577462</v>
      </c>
      <c r="BS80" s="359"/>
      <c r="BT80" s="682">
        <f>BT81-Z81</f>
        <v>5.1859154929577462</v>
      </c>
      <c r="BU80" s="644"/>
      <c r="BV80" s="359"/>
      <c r="BW80" s="682">
        <f>BW81-AU81</f>
        <v>0.59281690140845056</v>
      </c>
      <c r="BY80" s="745"/>
      <c r="BZ80" s="682">
        <f>BZ81-AD81</f>
        <v>3.6615384615384614</v>
      </c>
      <c r="CA80" s="745"/>
      <c r="CB80" s="682">
        <f>CB81-CH81</f>
        <v>3.9832167832167831</v>
      </c>
      <c r="CC80" s="745"/>
      <c r="CD80" s="682">
        <f>CD81-CJ81</f>
        <v>4.2107692307692304</v>
      </c>
      <c r="CH80" s="745"/>
      <c r="CI80" s="682"/>
      <c r="CJ80" s="359"/>
      <c r="CK80" s="682">
        <f>CK81-AQ81</f>
        <v>5.1141049505589686</v>
      </c>
      <c r="CL80" s="359"/>
      <c r="CM80" s="682">
        <f>CM81-AS81</f>
        <v>5.1859154929577462</v>
      </c>
      <c r="CN80" s="644"/>
    </row>
    <row r="81" spans="1:92" s="4" customFormat="1" ht="18" customHeight="1" x14ac:dyDescent="0.45">
      <c r="A81" s="561"/>
      <c r="B81" s="1241"/>
      <c r="C81" s="20" t="s">
        <v>79</v>
      </c>
      <c r="D81" s="20"/>
      <c r="E81" s="30" t="str">
        <f>+E74</f>
        <v xml:space="preserve">per carton USD </v>
      </c>
      <c r="F81" s="66"/>
      <c r="G81" s="70">
        <v>3.4150577664704742</v>
      </c>
      <c r="H81" s="66"/>
      <c r="I81" s="70">
        <v>3.5374026430297474</v>
      </c>
      <c r="J81" s="66"/>
      <c r="K81" s="70">
        <v>3.5374026430297474</v>
      </c>
      <c r="L81" s="66"/>
      <c r="M81" s="70">
        <v>3.5374026430297474</v>
      </c>
      <c r="N81" s="552"/>
      <c r="O81" s="70">
        <f>O83/O86</f>
        <v>3.6873239436619718</v>
      </c>
      <c r="P81" s="552"/>
      <c r="Q81" s="70">
        <f>Q83/Q86</f>
        <v>3.6873239436619718</v>
      </c>
      <c r="R81" s="552"/>
      <c r="S81" s="70">
        <f>S83/S86</f>
        <v>3.6873239436619718</v>
      </c>
      <c r="T81" s="552"/>
      <c r="U81" s="70">
        <f>U83/U86</f>
        <v>3.8016785978282255</v>
      </c>
      <c r="V81" s="552"/>
      <c r="W81" s="70">
        <f>W83/W86</f>
        <v>3.9521126760563381</v>
      </c>
      <c r="X81" s="552"/>
      <c r="Y81" s="70">
        <f>Y83/Y86</f>
        <v>3.9521126760563381</v>
      </c>
      <c r="Z81" s="552"/>
      <c r="AA81" s="70">
        <f>AA83/AA86</f>
        <v>3.9521126760563381</v>
      </c>
      <c r="AB81" s="552"/>
      <c r="AC81" s="70">
        <f>AC83/AC86</f>
        <v>3.9521126760563381</v>
      </c>
      <c r="AD81" s="552"/>
      <c r="AE81" s="70">
        <f>AE83/AE86</f>
        <v>3.9521126760563381</v>
      </c>
      <c r="AF81" s="783">
        <f>AA81/$O81-1</f>
        <v>7.1810542398777821E-2</v>
      </c>
      <c r="AG81" s="724">
        <f>AC81/$Q81-1</f>
        <v>7.1810542398777821E-2</v>
      </c>
      <c r="AH81" s="782">
        <f>AE81/$S81-1</f>
        <v>7.1810542398777821E-2</v>
      </c>
      <c r="AI81" s="65"/>
      <c r="AJ81" s="552"/>
      <c r="AK81" s="70">
        <f>AK83/AK86</f>
        <v>3.9521126760563381</v>
      </c>
      <c r="AL81" s="552"/>
      <c r="AM81" s="70">
        <f>AM83/AM86</f>
        <v>3.9521126760563381</v>
      </c>
      <c r="AN81" s="552"/>
      <c r="AO81" s="70">
        <f>AO83/AO86</f>
        <v>3.9521126760563381</v>
      </c>
      <c r="AP81" s="783">
        <f>AK81/$O81-1</f>
        <v>7.1810542398777821E-2</v>
      </c>
      <c r="AQ81" s="724">
        <f>AM81/$Q81-1</f>
        <v>7.1810542398777821E-2</v>
      </c>
      <c r="AR81" s="782">
        <f>AO81/$S81-1</f>
        <v>7.1810542398777821E-2</v>
      </c>
      <c r="AS81" s="65"/>
      <c r="AT81" s="552"/>
      <c r="AU81" s="70">
        <f>AU83/AU86</f>
        <v>3.9521126760563381</v>
      </c>
      <c r="AV81" s="552"/>
      <c r="AW81" s="70">
        <f>AW83/AW86</f>
        <v>3.9521126760563381</v>
      </c>
      <c r="AX81" s="552"/>
      <c r="AY81" s="70">
        <f>AY83/AY86</f>
        <v>3.9521126760563381</v>
      </c>
      <c r="AZ81" s="783">
        <f>AU81/$O81-1</f>
        <v>7.1810542398777821E-2</v>
      </c>
      <c r="BA81" s="724">
        <f>AW81/$Q81-1</f>
        <v>7.1810542398777821E-2</v>
      </c>
      <c r="BB81" s="724">
        <f>AY81/$S81-1</f>
        <v>7.1810542398777821E-2</v>
      </c>
      <c r="BC81" s="283"/>
      <c r="BD81" s="552"/>
      <c r="BE81" s="70">
        <f>BE83/BE86</f>
        <v>4.5449295774647887</v>
      </c>
      <c r="BF81" s="283"/>
      <c r="BG81" s="552">
        <f>BH81/O81-1</f>
        <v>0.43239113827349107</v>
      </c>
      <c r="BH81" s="70">
        <f>BH83/BH86</f>
        <v>5.28169014084507</v>
      </c>
      <c r="BI81" s="552"/>
      <c r="BJ81" s="70">
        <f t="shared" ref="BJ81" si="251">BJ83/BJ86</f>
        <v>5.28169014084507</v>
      </c>
      <c r="BK81" s="552"/>
      <c r="BL81" s="70">
        <f t="shared" ref="BL81" si="252">BL83/BL86</f>
        <v>5.28169014084507</v>
      </c>
      <c r="BM81"/>
      <c r="BN81" s="283"/>
      <c r="BO81" s="552"/>
      <c r="BP81" s="70">
        <f>BP83/BP86</f>
        <v>5.1859154929577462</v>
      </c>
      <c r="BQ81" s="552"/>
      <c r="BR81" s="70">
        <f t="shared" ref="BR81" si="253">BR83/BR86</f>
        <v>5.1859154929577462</v>
      </c>
      <c r="BS81" s="552"/>
      <c r="BT81" s="70">
        <f t="shared" ref="BT81" si="254">BT83/BT86</f>
        <v>5.1859154929577462</v>
      </c>
      <c r="BU81" s="283"/>
      <c r="BV81" s="552"/>
      <c r="BW81" s="70">
        <f>BW83/BW86</f>
        <v>4.5449295774647887</v>
      </c>
      <c r="BY81" s="552"/>
      <c r="BZ81" s="70">
        <f>BZ83/BZ86</f>
        <v>3.6615384615384614</v>
      </c>
      <c r="CA81" s="552"/>
      <c r="CB81" s="70">
        <f>CB83/CB86</f>
        <v>3.9832167832167831</v>
      </c>
      <c r="CC81" s="552"/>
      <c r="CD81" s="70">
        <f>CD83/CD86</f>
        <v>4.2107692307692304</v>
      </c>
      <c r="CH81" s="552"/>
      <c r="CI81" s="70">
        <f>CI83/CI86</f>
        <v>5.1859154929577462</v>
      </c>
      <c r="CJ81" s="552"/>
      <c r="CK81" s="70">
        <f t="shared" ref="CK81" si="255">CK83/CK86</f>
        <v>5.1859154929577462</v>
      </c>
      <c r="CL81" s="552"/>
      <c r="CM81" s="70">
        <f t="shared" ref="CM81" si="256">CM83/CM86</f>
        <v>5.1859154929577462</v>
      </c>
      <c r="CN81" s="283"/>
    </row>
    <row r="82" spans="1:92" s="97" customFormat="1" ht="18" customHeight="1" x14ac:dyDescent="0.45">
      <c r="A82" s="561"/>
      <c r="B82" s="1241"/>
      <c r="C82" s="122"/>
      <c r="D82" s="122"/>
      <c r="E82" s="123" t="str">
        <f>+E76</f>
        <v xml:space="preserve">per pack USD </v>
      </c>
      <c r="F82" s="124"/>
      <c r="G82" s="125">
        <f>+G81/G10</f>
        <v>8.537644416176185E-2</v>
      </c>
      <c r="H82" s="124"/>
      <c r="I82" s="125">
        <f>+I81/I10</f>
        <v>8.8435066075743682E-2</v>
      </c>
      <c r="J82" s="124"/>
      <c r="K82" s="125">
        <f>+K81/K10</f>
        <v>8.8435066075743682E-2</v>
      </c>
      <c r="L82" s="124"/>
      <c r="M82" s="125">
        <f>+M81/M10</f>
        <v>8.8435066075743682E-2</v>
      </c>
      <c r="N82" s="124"/>
      <c r="O82" s="70">
        <f>+O81/O10</f>
        <v>9.2183098591549301E-2</v>
      </c>
      <c r="P82" s="124"/>
      <c r="Q82" s="70">
        <f>+Q81/Q10</f>
        <v>9.2183098591549301E-2</v>
      </c>
      <c r="R82" s="124"/>
      <c r="S82" s="70">
        <f>+S81/S10</f>
        <v>9.2183098591549301E-2</v>
      </c>
      <c r="T82" s="124"/>
      <c r="U82" s="70">
        <f>+U81/U10</f>
        <v>9.5041964945705631E-2</v>
      </c>
      <c r="V82" s="124"/>
      <c r="W82" s="70">
        <f>+W81/W10</f>
        <v>9.880281690140845E-2</v>
      </c>
      <c r="X82" s="124"/>
      <c r="Y82" s="70">
        <f>+Y81/Y10</f>
        <v>9.880281690140845E-2</v>
      </c>
      <c r="Z82" s="124"/>
      <c r="AA82" s="70">
        <f>+AA81/AA10</f>
        <v>9.880281690140845E-2</v>
      </c>
      <c r="AB82" s="124"/>
      <c r="AC82" s="70">
        <f>+AC81/AC10</f>
        <v>9.880281690140845E-2</v>
      </c>
      <c r="AD82" s="124"/>
      <c r="AE82" s="70">
        <f>+AE81/AE10</f>
        <v>9.880281690140845E-2</v>
      </c>
      <c r="AF82" s="783"/>
      <c r="AG82" s="724"/>
      <c r="AH82" s="782"/>
      <c r="AJ82" s="124"/>
      <c r="AK82" s="70">
        <f>+AK81/AK10</f>
        <v>9.880281690140845E-2</v>
      </c>
      <c r="AL82" s="124"/>
      <c r="AM82" s="70">
        <f>+AM81/AM10</f>
        <v>9.880281690140845E-2</v>
      </c>
      <c r="AN82" s="124"/>
      <c r="AO82" s="70">
        <f>+AO81/AO10</f>
        <v>9.880281690140845E-2</v>
      </c>
      <c r="AP82" s="783"/>
      <c r="AQ82" s="724"/>
      <c r="AR82" s="782"/>
      <c r="AT82" s="124"/>
      <c r="AU82" s="70">
        <f>+AU81/AU10</f>
        <v>9.880281690140845E-2</v>
      </c>
      <c r="AV82" s="124"/>
      <c r="AW82" s="70">
        <f>+AW81/AW10</f>
        <v>9.880281690140845E-2</v>
      </c>
      <c r="AX82" s="124"/>
      <c r="AY82" s="70">
        <f>+AY81/AY10</f>
        <v>9.880281690140845E-2</v>
      </c>
      <c r="AZ82" s="783"/>
      <c r="BA82" s="724"/>
      <c r="BB82" s="724"/>
      <c r="BC82" s="926"/>
      <c r="BD82" s="124"/>
      <c r="BE82" s="70">
        <f>+BE81/BE10</f>
        <v>0.11362323943661971</v>
      </c>
      <c r="BF82" s="926"/>
      <c r="BG82" s="124"/>
      <c r="BH82" s="70">
        <f>+BH81/BH10</f>
        <v>0.13204225352112675</v>
      </c>
      <c r="BI82" s="124"/>
      <c r="BJ82" s="70">
        <f>+BJ81/BJ10</f>
        <v>0.13204225352112675</v>
      </c>
      <c r="BK82" s="124"/>
      <c r="BL82" s="70">
        <f>+BL81/BL10</f>
        <v>0.13204225352112675</v>
      </c>
      <c r="BM82"/>
      <c r="BN82" s="926"/>
      <c r="BO82" s="124"/>
      <c r="BP82" s="70">
        <f>+BP81/BP10</f>
        <v>0.12964788732394367</v>
      </c>
      <c r="BQ82" s="124"/>
      <c r="BR82" s="70">
        <f>+BR81/BR10</f>
        <v>0.12964788732394367</v>
      </c>
      <c r="BS82" s="124"/>
      <c r="BT82" s="70">
        <f>+BT81/BT10</f>
        <v>0.12964788732394367</v>
      </c>
      <c r="BU82" s="926"/>
      <c r="BV82" s="124"/>
      <c r="BW82" s="70">
        <f>+BW81/BW10</f>
        <v>0.11362323943661971</v>
      </c>
      <c r="BY82" s="124"/>
      <c r="BZ82" s="70">
        <f>+BZ81/BZ10</f>
        <v>9.1538461538461541E-2</v>
      </c>
      <c r="CA82" s="124"/>
      <c r="CB82" s="70">
        <f>+CB81/CB10</f>
        <v>9.9580419580419577E-2</v>
      </c>
      <c r="CC82" s="124"/>
      <c r="CD82" s="70">
        <f>+CD81/CD10</f>
        <v>0.10526923076923075</v>
      </c>
      <c r="CH82" s="124"/>
      <c r="CI82" s="70">
        <f>+CI81/CI10</f>
        <v>0.12964788732394367</v>
      </c>
      <c r="CJ82" s="124"/>
      <c r="CK82" s="70">
        <f>+CK81/CK10</f>
        <v>0.12964788732394367</v>
      </c>
      <c r="CL82" s="124"/>
      <c r="CM82" s="70">
        <f>+CM81/CM10</f>
        <v>0.12964788732394367</v>
      </c>
      <c r="CN82" s="926"/>
    </row>
    <row r="83" spans="1:92" s="4" customFormat="1" ht="18" customHeight="1" x14ac:dyDescent="0.45">
      <c r="A83" s="561"/>
      <c r="B83" s="1241"/>
      <c r="C83" s="258" t="s">
        <v>141</v>
      </c>
      <c r="D83" s="16"/>
      <c r="E83" s="126" t="s">
        <v>81</v>
      </c>
      <c r="F83" s="127"/>
      <c r="G83" s="90">
        <f>G81*G86</f>
        <v>48592.85695910838</v>
      </c>
      <c r="H83" s="127"/>
      <c r="I83" s="90">
        <f>I81*I86</f>
        <v>50333.702207670278</v>
      </c>
      <c r="J83" s="127"/>
      <c r="K83" s="90">
        <f>K81*K86</f>
        <v>50333.702207670278</v>
      </c>
      <c r="L83" s="127"/>
      <c r="M83" s="90">
        <f>M81*M86</f>
        <v>50333.702207670278</v>
      </c>
      <c r="N83" s="380"/>
      <c r="O83" s="374">
        <f>O84*O10</f>
        <v>52360</v>
      </c>
      <c r="P83" s="380"/>
      <c r="Q83" s="374">
        <f>Q84*Q10</f>
        <v>52360</v>
      </c>
      <c r="R83" s="380"/>
      <c r="S83" s="374">
        <f>S84*S10</f>
        <v>52360</v>
      </c>
      <c r="T83" s="380"/>
      <c r="U83" s="374">
        <f>U84*U10</f>
        <v>53983.836089160803</v>
      </c>
      <c r="V83" s="380"/>
      <c r="W83" s="374">
        <f>W84*W10</f>
        <v>56120</v>
      </c>
      <c r="X83" s="380"/>
      <c r="Y83" s="374">
        <f>Y84*Y10</f>
        <v>56120</v>
      </c>
      <c r="Z83" s="380"/>
      <c r="AA83" s="374">
        <f>AA84*AA10</f>
        <v>56120</v>
      </c>
      <c r="AB83" s="380"/>
      <c r="AC83" s="374">
        <f>AC84*AC10</f>
        <v>56120</v>
      </c>
      <c r="AD83" s="380"/>
      <c r="AE83" s="374">
        <f>AE84*AE10</f>
        <v>56120</v>
      </c>
      <c r="AF83" s="776"/>
      <c r="AG83" s="728"/>
      <c r="AH83" s="777"/>
      <c r="AJ83" s="380"/>
      <c r="AK83" s="374">
        <f>AK84*AK10</f>
        <v>56120</v>
      </c>
      <c r="AL83" s="380"/>
      <c r="AM83" s="374">
        <f>AM84*AM10</f>
        <v>56120</v>
      </c>
      <c r="AN83" s="380"/>
      <c r="AO83" s="374">
        <f>AO84*AO10</f>
        <v>56120</v>
      </c>
      <c r="AP83" s="776"/>
      <c r="AQ83" s="728"/>
      <c r="AR83" s="777"/>
      <c r="AT83" s="380"/>
      <c r="AU83" s="374">
        <f>AU84*AU10</f>
        <v>56120</v>
      </c>
      <c r="AV83" s="380"/>
      <c r="AW83" s="374">
        <f>AW84*AW10</f>
        <v>56120</v>
      </c>
      <c r="AX83" s="380"/>
      <c r="AY83" s="374">
        <f>AY84*AY10</f>
        <v>56120</v>
      </c>
      <c r="AZ83" s="776"/>
      <c r="BA83" s="728"/>
      <c r="BB83" s="728"/>
      <c r="BD83" s="380"/>
      <c r="BE83" s="374">
        <f>BE84*BE10</f>
        <v>64537.999999999993</v>
      </c>
      <c r="BG83" s="380"/>
      <c r="BH83" s="374">
        <f>BH84*BH10</f>
        <v>75000</v>
      </c>
      <c r="BI83" s="380"/>
      <c r="BJ83" s="374">
        <f>BJ84*BJ10</f>
        <v>75000</v>
      </c>
      <c r="BK83" s="380"/>
      <c r="BL83" s="374">
        <f>BL84*BL10</f>
        <v>75000</v>
      </c>
      <c r="BM83"/>
      <c r="BO83" s="380"/>
      <c r="BP83" s="374">
        <f>BP84*BP10</f>
        <v>73640</v>
      </c>
      <c r="BQ83" s="380"/>
      <c r="BR83" s="374">
        <f>BR84*BR10</f>
        <v>73640</v>
      </c>
      <c r="BS83" s="380"/>
      <c r="BT83" s="374">
        <f>BT84*BT10</f>
        <v>73640</v>
      </c>
      <c r="BV83" s="380"/>
      <c r="BW83" s="374">
        <f>BW84*BW10</f>
        <v>64537.999999999993</v>
      </c>
      <c r="BY83" s="380"/>
      <c r="BZ83" s="374">
        <f>BZ84*BZ10</f>
        <v>52360</v>
      </c>
      <c r="CA83" s="380"/>
      <c r="CB83" s="374">
        <f>CB84*CB10</f>
        <v>56960</v>
      </c>
      <c r="CC83" s="380"/>
      <c r="CD83" s="374">
        <f>CD84*CD10</f>
        <v>60214</v>
      </c>
      <c r="CH83" s="380"/>
      <c r="CI83" s="374">
        <f>CI84*CI10</f>
        <v>73640</v>
      </c>
      <c r="CJ83" s="380"/>
      <c r="CK83" s="374">
        <f>CK84*CK10</f>
        <v>73640</v>
      </c>
      <c r="CL83" s="380"/>
      <c r="CM83" s="374">
        <f>CM84*CM10</f>
        <v>73640</v>
      </c>
    </row>
    <row r="84" spans="1:92" s="4" customFormat="1" ht="18" customHeight="1" x14ac:dyDescent="0.45">
      <c r="A84" s="561"/>
      <c r="B84" s="1241"/>
      <c r="C84" s="16" t="s">
        <v>80</v>
      </c>
      <c r="D84" s="16"/>
      <c r="E84" s="126" t="s">
        <v>81</v>
      </c>
      <c r="F84" s="127"/>
      <c r="G84" s="90">
        <f>G83/G10</f>
        <v>1214.8214239777094</v>
      </c>
      <c r="H84" s="127"/>
      <c r="I84" s="90">
        <f>I83/I10</f>
        <v>1258.3425551917569</v>
      </c>
      <c r="J84" s="127"/>
      <c r="K84" s="90">
        <f>K83/K10</f>
        <v>1258.3425551917569</v>
      </c>
      <c r="L84" s="127"/>
      <c r="M84" s="90">
        <f>M83/M10</f>
        <v>1258.3425551917569</v>
      </c>
      <c r="N84" s="684">
        <f>O84/I84-1</f>
        <v>4.0257277002384795E-2</v>
      </c>
      <c r="O84" s="622">
        <v>1309</v>
      </c>
      <c r="P84" s="380"/>
      <c r="Q84" s="622">
        <v>1309</v>
      </c>
      <c r="R84" s="380"/>
      <c r="S84" s="622">
        <v>1309</v>
      </c>
      <c r="T84" s="684">
        <f>U84/O84-1</f>
        <v>3.1012912321634944E-2</v>
      </c>
      <c r="U84" s="622">
        <f>1349.59590222902</f>
        <v>1349.5959022290201</v>
      </c>
      <c r="V84" s="684">
        <f>W84/U84-1</f>
        <v>3.9570435626528289E-2</v>
      </c>
      <c r="W84" s="622">
        <v>1403</v>
      </c>
      <c r="X84" s="684"/>
      <c r="Y84" s="622">
        <v>1403</v>
      </c>
      <c r="Z84" s="684">
        <f>AA84/I84-1</f>
        <v>0.11495871629820154</v>
      </c>
      <c r="AA84" s="622">
        <v>1403</v>
      </c>
      <c r="AB84" s="684">
        <f>AC84/O84-1</f>
        <v>7.1810542398777599E-2</v>
      </c>
      <c r="AC84" s="622">
        <v>1403</v>
      </c>
      <c r="AD84" s="380"/>
      <c r="AE84" s="622">
        <v>1403</v>
      </c>
      <c r="AF84" s="776">
        <f>AA84/$O84-1</f>
        <v>7.1810542398777599E-2</v>
      </c>
      <c r="AG84" s="728">
        <f>AC84/$Q84-1</f>
        <v>7.1810542398777599E-2</v>
      </c>
      <c r="AH84" s="801">
        <f>AE84/$S84-1</f>
        <v>7.1810542398777599E-2</v>
      </c>
      <c r="AI84" s="65"/>
      <c r="AJ84" s="684">
        <f>AK84/AB84-1</f>
        <v>19536.521276595769</v>
      </c>
      <c r="AK84" s="622">
        <v>1403</v>
      </c>
      <c r="AL84" s="684">
        <f>AM84/AC84-1</f>
        <v>0</v>
      </c>
      <c r="AM84" s="622">
        <v>1403</v>
      </c>
      <c r="AN84" s="380"/>
      <c r="AO84" s="622">
        <v>1403</v>
      </c>
      <c r="AP84" s="776">
        <f>AK84/$O84-1</f>
        <v>7.1810542398777599E-2</v>
      </c>
      <c r="AQ84" s="728">
        <f>AM84/$Q84-1</f>
        <v>7.1810542398777599E-2</v>
      </c>
      <c r="AR84" s="801">
        <f>AO84/$S84-1</f>
        <v>7.1810542398777599E-2</v>
      </c>
      <c r="AS84" s="65"/>
      <c r="AT84" s="684" t="e">
        <f>AU84/P84-1</f>
        <v>#DIV/0!</v>
      </c>
      <c r="AU84" s="622">
        <v>1403</v>
      </c>
      <c r="AV84" s="684">
        <f>AW84/Q84-1</f>
        <v>7.1810542398777599E-2</v>
      </c>
      <c r="AW84" s="622">
        <v>1403</v>
      </c>
      <c r="AX84" s="380"/>
      <c r="AY84" s="622">
        <v>1403</v>
      </c>
      <c r="AZ84" s="776">
        <f>AU84/$O84-1</f>
        <v>7.1810542398777599E-2</v>
      </c>
      <c r="BA84" s="728">
        <f>AW84/$Q84-1</f>
        <v>7.1810542398777599E-2</v>
      </c>
      <c r="BB84" s="732">
        <f>AY84/$S84-1</f>
        <v>7.1810542398777599E-2</v>
      </c>
      <c r="BC84" s="283"/>
      <c r="BD84" s="684"/>
      <c r="BE84" s="622">
        <f>AU84*1.15</f>
        <v>1613.4499999999998</v>
      </c>
      <c r="BF84" s="283"/>
      <c r="BG84" s="684">
        <f>BH84/U84-1</f>
        <v>0.38930475181734892</v>
      </c>
      <c r="BH84" s="622">
        <v>1875</v>
      </c>
      <c r="BI84" s="684"/>
      <c r="BJ84" s="622">
        <f>BH84</f>
        <v>1875</v>
      </c>
      <c r="BK84" s="684"/>
      <c r="BL84" s="622">
        <f>BJ84</f>
        <v>1875</v>
      </c>
      <c r="BM84"/>
      <c r="BN84" s="283"/>
      <c r="BO84" s="684"/>
      <c r="BP84" s="622">
        <v>1841</v>
      </c>
      <c r="BQ84" s="684"/>
      <c r="BR84" s="622">
        <f>BP84</f>
        <v>1841</v>
      </c>
      <c r="BS84" s="684"/>
      <c r="BT84" s="622">
        <f>BR84</f>
        <v>1841</v>
      </c>
      <c r="BU84" s="283"/>
      <c r="BV84" s="684">
        <f>BW84/S84-1</f>
        <v>0.23258212375859411</v>
      </c>
      <c r="BW84" s="622">
        <f>AU84*1.15</f>
        <v>1613.4499999999998</v>
      </c>
      <c r="BY84" s="684"/>
      <c r="BZ84" s="622">
        <v>1309</v>
      </c>
      <c r="CA84" s="684">
        <f>CB84/BZ84-1</f>
        <v>8.7853323147440765E-2</v>
      </c>
      <c r="CB84" s="622">
        <v>1424</v>
      </c>
      <c r="CC84" s="684">
        <f>CD84/BZ84-1</f>
        <v>0.14999999999999991</v>
      </c>
      <c r="CD84" s="622">
        <v>1505.35</v>
      </c>
      <c r="CE84" s="1092">
        <v>2140</v>
      </c>
      <c r="CH84" s="684"/>
      <c r="CI84" s="622">
        <v>1841</v>
      </c>
      <c r="CJ84" s="684"/>
      <c r="CK84" s="622">
        <f>CI84</f>
        <v>1841</v>
      </c>
      <c r="CL84" s="684"/>
      <c r="CM84" s="622">
        <f>CK84</f>
        <v>1841</v>
      </c>
      <c r="CN84" s="283"/>
    </row>
    <row r="85" spans="1:92" s="4" customFormat="1" ht="18" customHeight="1" x14ac:dyDescent="0.45">
      <c r="A85" s="561"/>
      <c r="B85" s="1241"/>
      <c r="C85" s="259"/>
      <c r="D85" s="16"/>
      <c r="E85" s="126"/>
      <c r="F85" s="127"/>
      <c r="G85" s="90"/>
      <c r="H85" s="127"/>
      <c r="I85" s="90"/>
      <c r="J85" s="127"/>
      <c r="K85" s="90"/>
      <c r="L85" s="127"/>
      <c r="M85" s="90"/>
      <c r="N85" s="380"/>
      <c r="O85" s="374"/>
      <c r="P85" s="380"/>
      <c r="Q85" s="374"/>
      <c r="R85" s="380"/>
      <c r="S85" s="374"/>
      <c r="T85" s="380"/>
      <c r="U85" s="374"/>
      <c r="V85" s="380"/>
      <c r="W85" s="374"/>
      <c r="X85" s="380"/>
      <c r="Y85" s="374"/>
      <c r="Z85" s="380"/>
      <c r="AA85" s="374"/>
      <c r="AB85" s="380"/>
      <c r="AC85" s="374"/>
      <c r="AD85" s="380"/>
      <c r="AE85" s="374"/>
      <c r="AF85" s="776"/>
      <c r="AG85" s="728"/>
      <c r="AH85" s="777"/>
      <c r="AJ85" s="380"/>
      <c r="AK85" s="374"/>
      <c r="AL85" s="380"/>
      <c r="AM85" s="374"/>
      <c r="AN85" s="380"/>
      <c r="AO85" s="374"/>
      <c r="AP85" s="776"/>
      <c r="AQ85" s="728"/>
      <c r="AR85" s="777"/>
      <c r="AT85" s="380"/>
      <c r="AU85" s="374"/>
      <c r="AV85" s="380"/>
      <c r="AW85" s="374"/>
      <c r="AX85" s="380"/>
      <c r="AY85" s="374"/>
      <c r="AZ85" s="776"/>
      <c r="BA85" s="728"/>
      <c r="BB85" s="728"/>
      <c r="BD85" s="380"/>
      <c r="BE85" s="374"/>
      <c r="BG85" s="380"/>
      <c r="BH85" s="374"/>
      <c r="BI85" s="380"/>
      <c r="BJ85" s="374"/>
      <c r="BK85" s="380"/>
      <c r="BL85" s="374"/>
      <c r="BM85"/>
      <c r="BO85" s="380"/>
      <c r="BP85" s="374"/>
      <c r="BQ85" s="380"/>
      <c r="BR85" s="374"/>
      <c r="BS85" s="380"/>
      <c r="BT85" s="374"/>
      <c r="BV85" s="380"/>
      <c r="BW85" s="374"/>
      <c r="BY85" s="380"/>
      <c r="BZ85" s="374"/>
      <c r="CA85" s="380"/>
      <c r="CB85" s="374"/>
      <c r="CC85" s="380"/>
      <c r="CD85" s="374"/>
      <c r="CE85" s="1093">
        <f>CE84/BP84-1</f>
        <v>0.16241173275393805</v>
      </c>
      <c r="CH85" s="380"/>
      <c r="CI85" s="374"/>
      <c r="CJ85" s="380"/>
      <c r="CK85" s="374"/>
      <c r="CL85" s="380"/>
      <c r="CM85" s="374"/>
    </row>
    <row r="86" spans="1:92" s="4" customFormat="1" ht="18" customHeight="1" x14ac:dyDescent="0.45">
      <c r="A86" s="561"/>
      <c r="B86" s="1241"/>
      <c r="C86" s="16" t="s">
        <v>82</v>
      </c>
      <c r="D86" s="16"/>
      <c r="E86" s="35" t="s">
        <v>83</v>
      </c>
      <c r="F86" s="42"/>
      <c r="G86" s="88">
        <v>14229</v>
      </c>
      <c r="H86" s="42"/>
      <c r="I86" s="88">
        <v>14229</v>
      </c>
      <c r="J86" s="42"/>
      <c r="K86" s="88">
        <v>14229</v>
      </c>
      <c r="L86" s="42"/>
      <c r="M86" s="88">
        <v>14229</v>
      </c>
      <c r="N86" s="359"/>
      <c r="O86" s="372">
        <v>14200</v>
      </c>
      <c r="P86" s="359"/>
      <c r="Q86" s="372">
        <v>14200</v>
      </c>
      <c r="R86" s="359"/>
      <c r="S86" s="372">
        <v>14200</v>
      </c>
      <c r="T86" s="359"/>
      <c r="U86" s="372">
        <v>14200</v>
      </c>
      <c r="V86" s="359"/>
      <c r="W86" s="372">
        <v>14200</v>
      </c>
      <c r="X86" s="359"/>
      <c r="Y86" s="372">
        <v>14200</v>
      </c>
      <c r="Z86" s="359"/>
      <c r="AA86" s="372">
        <v>14200</v>
      </c>
      <c r="AB86" s="359"/>
      <c r="AC86" s="372">
        <v>14200</v>
      </c>
      <c r="AD86" s="359"/>
      <c r="AE86" s="372">
        <v>14200</v>
      </c>
      <c r="AF86" s="745"/>
      <c r="AG86" s="725"/>
      <c r="AH86" s="746"/>
      <c r="AJ86" s="359"/>
      <c r="AK86" s="372">
        <v>14200</v>
      </c>
      <c r="AL86" s="359"/>
      <c r="AM86" s="372">
        <v>14200</v>
      </c>
      <c r="AN86" s="359"/>
      <c r="AO86" s="372">
        <v>14200</v>
      </c>
      <c r="AP86" s="745"/>
      <c r="AQ86" s="725"/>
      <c r="AR86" s="746"/>
      <c r="AT86" s="359"/>
      <c r="AU86" s="372">
        <v>14200</v>
      </c>
      <c r="AV86" s="359"/>
      <c r="AW86" s="372">
        <v>14200</v>
      </c>
      <c r="AX86" s="359"/>
      <c r="AY86" s="372">
        <v>14200</v>
      </c>
      <c r="AZ86" s="745"/>
      <c r="BA86" s="725"/>
      <c r="BB86" s="725"/>
      <c r="BD86" s="359"/>
      <c r="BE86" s="372">
        <v>14200</v>
      </c>
      <c r="BG86" s="359"/>
      <c r="BH86" s="372">
        <v>14200</v>
      </c>
      <c r="BI86" s="359"/>
      <c r="BJ86" s="372">
        <f>BH86</f>
        <v>14200</v>
      </c>
      <c r="BK86" s="359"/>
      <c r="BL86" s="372">
        <f>BJ86</f>
        <v>14200</v>
      </c>
      <c r="BM86"/>
      <c r="BO86" s="359"/>
      <c r="BP86" s="372">
        <v>14200</v>
      </c>
      <c r="BQ86" s="359"/>
      <c r="BR86" s="372">
        <f>BP86</f>
        <v>14200</v>
      </c>
      <c r="BS86" s="359"/>
      <c r="BT86" s="372">
        <f>BR86</f>
        <v>14200</v>
      </c>
      <c r="BV86" s="359"/>
      <c r="BW86" s="372">
        <v>14200</v>
      </c>
      <c r="BY86" s="359"/>
      <c r="BZ86" s="372">
        <v>14300</v>
      </c>
      <c r="CA86" s="359"/>
      <c r="CB86" s="372">
        <v>14300</v>
      </c>
      <c r="CC86" s="359"/>
      <c r="CD86" s="372">
        <v>14300</v>
      </c>
      <c r="CH86" s="359"/>
      <c r="CI86" s="372">
        <v>14200</v>
      </c>
      <c r="CJ86" s="359"/>
      <c r="CK86" s="372">
        <f>CI86</f>
        <v>14200</v>
      </c>
      <c r="CL86" s="359"/>
      <c r="CM86" s="372">
        <f>CK86</f>
        <v>14200</v>
      </c>
    </row>
    <row r="87" spans="1:92" s="4" customFormat="1" ht="18" customHeight="1" x14ac:dyDescent="0.45">
      <c r="A87" s="561"/>
      <c r="B87" s="1241"/>
      <c r="C87" s="16" t="s">
        <v>84</v>
      </c>
      <c r="D87" s="16"/>
      <c r="E87" s="35" t="str">
        <f>+E81</f>
        <v xml:space="preserve">per carton USD </v>
      </c>
      <c r="F87" s="50"/>
      <c r="G87" s="368">
        <f>+G74-G81</f>
        <v>2.0248182665873764</v>
      </c>
      <c r="H87" s="50"/>
      <c r="I87" s="72">
        <f>+I74-I81</f>
        <v>1.7655932247388475</v>
      </c>
      <c r="J87" s="50"/>
      <c r="K87" s="72">
        <f>+K74-K81</f>
        <v>1.7655932247388475</v>
      </c>
      <c r="L87" s="50"/>
      <c r="M87" s="72">
        <f>+M74-M81</f>
        <v>1.7655932247388475</v>
      </c>
      <c r="N87" s="363"/>
      <c r="O87" s="368">
        <f>+O74-O81</f>
        <v>2.0526760563380284</v>
      </c>
      <c r="P87" s="363"/>
      <c r="Q87" s="368">
        <f>+Q74-Q81</f>
        <v>2.0526760563380284</v>
      </c>
      <c r="R87" s="363"/>
      <c r="S87" s="368">
        <f>+S74-S81</f>
        <v>2.0526760563380284</v>
      </c>
      <c r="T87" s="363"/>
      <c r="U87" s="368">
        <f>+U74-U81</f>
        <v>1.9383214021717747</v>
      </c>
      <c r="V87" s="363"/>
      <c r="W87" s="368">
        <f>+W74-W81</f>
        <v>1.7878873239436621</v>
      </c>
      <c r="X87" s="363"/>
      <c r="Y87" s="368">
        <f>+Y74-Y81</f>
        <v>2.5478873239436619</v>
      </c>
      <c r="Z87" s="363"/>
      <c r="AA87" s="368">
        <f>+AA74-AA81</f>
        <v>1.8478873239436626</v>
      </c>
      <c r="AB87" s="363"/>
      <c r="AC87" s="368">
        <f>+AC74-AC81</f>
        <v>1.8478873239436626</v>
      </c>
      <c r="AD87" s="363"/>
      <c r="AE87" s="368">
        <f>+AE74-AE81</f>
        <v>1.8478873239436626</v>
      </c>
      <c r="AF87" s="745">
        <f>AA87/$O87-1</f>
        <v>-9.9766707835871937E-2</v>
      </c>
      <c r="AG87" s="725">
        <f>AC87/$Q87-1</f>
        <v>-9.9766707835871937E-2</v>
      </c>
      <c r="AH87" s="746">
        <f>AE87/$S87-1</f>
        <v>-9.9766707835871937E-2</v>
      </c>
      <c r="AI87" s="65"/>
      <c r="AJ87" s="363"/>
      <c r="AK87" s="368">
        <f>+AK74-AK81</f>
        <v>1.8478873239436626</v>
      </c>
      <c r="AL87" s="363"/>
      <c r="AM87" s="368">
        <f>+AM74-AM81</f>
        <v>1.8478873239436626</v>
      </c>
      <c r="AN87" s="363"/>
      <c r="AO87" s="368">
        <f>+AO74-AO81</f>
        <v>1.8478873239436626</v>
      </c>
      <c r="AP87" s="745">
        <f>AK87/$O87-1</f>
        <v>-9.9766707835871937E-2</v>
      </c>
      <c r="AQ87" s="725">
        <f>AM87/$Q87-1</f>
        <v>-9.9766707835871937E-2</v>
      </c>
      <c r="AR87" s="746">
        <f>AO87/$S87-1</f>
        <v>-9.9766707835871937E-2</v>
      </c>
      <c r="AS87" s="65"/>
      <c r="AT87" s="363"/>
      <c r="AU87" s="368">
        <f>+AU74-AU81</f>
        <v>1.8478873239436626</v>
      </c>
      <c r="AV87" s="363"/>
      <c r="AW87" s="368">
        <f>+AW74-AW81</f>
        <v>1.8478873239436626</v>
      </c>
      <c r="AX87" s="363"/>
      <c r="AY87" s="368">
        <f>+AY74-AY81</f>
        <v>1.8478873239436626</v>
      </c>
      <c r="AZ87" s="745">
        <f>AU87/$O87-1</f>
        <v>-9.9766707835871937E-2</v>
      </c>
      <c r="BA87" s="725">
        <f>AW87/$Q87-1</f>
        <v>-9.9766707835871937E-2</v>
      </c>
      <c r="BB87" s="725">
        <f>AY87/$S87-1</f>
        <v>-9.9766707835871937E-2</v>
      </c>
      <c r="BC87" s="283"/>
      <c r="BD87" s="363"/>
      <c r="BE87" s="368">
        <f>+BE74-BE81</f>
        <v>1.2550704225352121</v>
      </c>
      <c r="BF87" s="283"/>
      <c r="BG87" s="363"/>
      <c r="BH87" s="368">
        <f>+BH74-BH81</f>
        <v>1.4683098591549308</v>
      </c>
      <c r="BI87" s="363"/>
      <c r="BJ87" s="368">
        <f t="shared" ref="BJ87" si="257">+BJ74-BJ81</f>
        <v>1.4683098591549308</v>
      </c>
      <c r="BK87" s="363"/>
      <c r="BL87" s="368">
        <f t="shared" ref="BL87" si="258">+BL74-BL81</f>
        <v>1.4683098591549308</v>
      </c>
      <c r="BM87"/>
      <c r="BN87" s="283"/>
      <c r="BO87" s="363"/>
      <c r="BP87" s="368">
        <f>+BP74-BP81</f>
        <v>1.4140845070422534</v>
      </c>
      <c r="BQ87" s="363"/>
      <c r="BR87" s="368">
        <f t="shared" ref="BR87" si="259">+BR74-BR81</f>
        <v>1.4140845070422534</v>
      </c>
      <c r="BS87" s="363"/>
      <c r="BT87" s="368">
        <f t="shared" ref="BT87" si="260">+BT74-BT81</f>
        <v>1.4140845070422534</v>
      </c>
      <c r="BU87" s="283"/>
      <c r="BV87" s="363"/>
      <c r="BW87" s="368">
        <f>+BW74-BW81</f>
        <v>1.9550704225352113</v>
      </c>
      <c r="BY87" s="363"/>
      <c r="BZ87" s="368">
        <f>+BZ74-BZ81</f>
        <v>1.8384615384615386</v>
      </c>
      <c r="CA87" s="363"/>
      <c r="CB87" s="368">
        <f>+CB74-CB81</f>
        <v>2.0167832167832169</v>
      </c>
      <c r="CC87" s="363"/>
      <c r="CD87" s="368">
        <f>+CD74-CD81</f>
        <v>2.3892307692307693</v>
      </c>
      <c r="CH87" s="363"/>
      <c r="CI87" s="368">
        <f>+CI74-CI81</f>
        <v>1.8140845070422538</v>
      </c>
      <c r="CJ87" s="363"/>
      <c r="CK87" s="368">
        <f t="shared" ref="CK87" si="261">+CK74-CK81</f>
        <v>1.8140845070422538</v>
      </c>
      <c r="CL87" s="363"/>
      <c r="CM87" s="368">
        <f t="shared" ref="CM87" si="262">+CM74-CM81</f>
        <v>1.8140845070422538</v>
      </c>
      <c r="CN87" s="283"/>
    </row>
    <row r="88" spans="1:92" s="4" customFormat="1" ht="18" customHeight="1" x14ac:dyDescent="0.45">
      <c r="A88" s="561"/>
      <c r="B88" s="1241"/>
      <c r="C88" s="16"/>
      <c r="D88" s="16"/>
      <c r="E88" s="35" t="str">
        <f>+E82</f>
        <v xml:space="preserve">per pack USD </v>
      </c>
      <c r="F88" s="50"/>
      <c r="G88" s="72">
        <f>+G87/G10</f>
        <v>5.0620456664684413E-2</v>
      </c>
      <c r="H88" s="50"/>
      <c r="I88" s="72">
        <f>+I87/I10</f>
        <v>4.4139830618471189E-2</v>
      </c>
      <c r="J88" s="50"/>
      <c r="K88" s="72">
        <f>+K87/K10</f>
        <v>4.4139830618471189E-2</v>
      </c>
      <c r="L88" s="50"/>
      <c r="M88" s="72">
        <f>+M87/M10</f>
        <v>4.4139830618471189E-2</v>
      </c>
      <c r="N88" s="363"/>
      <c r="O88" s="368">
        <f>+O87/O10</f>
        <v>5.1316901408450709E-2</v>
      </c>
      <c r="P88" s="363"/>
      <c r="Q88" s="368">
        <f>+Q87/Q10</f>
        <v>5.1316901408450709E-2</v>
      </c>
      <c r="R88" s="363"/>
      <c r="S88" s="368">
        <f>+S87/S10</f>
        <v>5.1316901408450709E-2</v>
      </c>
      <c r="T88" s="363"/>
      <c r="U88" s="368">
        <f>+U87/U10</f>
        <v>4.8458035054294371E-2</v>
      </c>
      <c r="V88" s="363"/>
      <c r="W88" s="368">
        <f>+W87/W10</f>
        <v>4.4697183098591553E-2</v>
      </c>
      <c r="X88" s="363"/>
      <c r="Y88" s="368">
        <f>+Y87/Y10</f>
        <v>6.3697183098591542E-2</v>
      </c>
      <c r="Z88" s="363"/>
      <c r="AA88" s="368">
        <f>+AA87/AA10</f>
        <v>4.6197183098591568E-2</v>
      </c>
      <c r="AB88" s="363"/>
      <c r="AC88" s="368">
        <f>+AC87/AC10</f>
        <v>4.6197183098591568E-2</v>
      </c>
      <c r="AD88" s="363"/>
      <c r="AE88" s="368">
        <f>+AE87/AE10</f>
        <v>4.6197183098591568E-2</v>
      </c>
      <c r="AF88" s="745"/>
      <c r="AG88" s="725"/>
      <c r="AH88" s="746"/>
      <c r="AJ88" s="363"/>
      <c r="AK88" s="368">
        <f>+AK87/AK10</f>
        <v>4.6197183098591568E-2</v>
      </c>
      <c r="AL88" s="363"/>
      <c r="AM88" s="368">
        <f>+AM87/AM10</f>
        <v>4.6197183098591568E-2</v>
      </c>
      <c r="AN88" s="363"/>
      <c r="AO88" s="368">
        <f>+AO87/AO10</f>
        <v>4.6197183098591568E-2</v>
      </c>
      <c r="AP88" s="745"/>
      <c r="AQ88" s="725"/>
      <c r="AR88" s="746"/>
      <c r="AT88" s="363"/>
      <c r="AU88" s="368">
        <f>+AU87/AU10</f>
        <v>4.6197183098591568E-2</v>
      </c>
      <c r="AV88" s="363"/>
      <c r="AW88" s="368">
        <f>+AW87/AW10</f>
        <v>4.6197183098591568E-2</v>
      </c>
      <c r="AX88" s="363"/>
      <c r="AY88" s="368">
        <f>+AY87/AY10</f>
        <v>4.6197183098591568E-2</v>
      </c>
      <c r="AZ88" s="745"/>
      <c r="BA88" s="725"/>
      <c r="BB88" s="725"/>
      <c r="BD88" s="363"/>
      <c r="BE88" s="368">
        <f>+BE87/BE10</f>
        <v>3.1376760563380304E-2</v>
      </c>
      <c r="BG88" s="363"/>
      <c r="BH88" s="368">
        <f>+BH87/BH10</f>
        <v>3.6707746478873274E-2</v>
      </c>
      <c r="BI88" s="363"/>
      <c r="BJ88" s="368">
        <f>+BJ87/BJ10</f>
        <v>3.6707746478873274E-2</v>
      </c>
      <c r="BK88" s="363"/>
      <c r="BL88" s="368">
        <f>+BL87/BL10</f>
        <v>3.6707746478873274E-2</v>
      </c>
      <c r="BM88"/>
      <c r="BO88" s="363"/>
      <c r="BP88" s="368">
        <f>+BP87/BP10</f>
        <v>3.5352112676056334E-2</v>
      </c>
      <c r="BQ88" s="363"/>
      <c r="BR88" s="368">
        <f>+BR87/BR10</f>
        <v>3.5352112676056334E-2</v>
      </c>
      <c r="BS88" s="363"/>
      <c r="BT88" s="368">
        <f>+BT87/BT10</f>
        <v>3.5352112676056334E-2</v>
      </c>
      <c r="BV88" s="363"/>
      <c r="BW88" s="368">
        <f>+BW87/BW10</f>
        <v>4.8876760563380285E-2</v>
      </c>
      <c r="BY88" s="363"/>
      <c r="BZ88" s="368">
        <f>+BZ87/BZ10</f>
        <v>4.5961538461538463E-2</v>
      </c>
      <c r="CA88" s="363"/>
      <c r="CB88" s="368">
        <f>+CB87/CB10</f>
        <v>5.0419580419580425E-2</v>
      </c>
      <c r="CC88" s="363"/>
      <c r="CD88" s="368">
        <f>+CD87/CD10</f>
        <v>5.9730769230769233E-2</v>
      </c>
      <c r="CH88" s="363"/>
      <c r="CI88" s="368">
        <f>+CI87/CI10</f>
        <v>4.5352112676056343E-2</v>
      </c>
      <c r="CJ88" s="363"/>
      <c r="CK88" s="368">
        <f>+CK87/CK10</f>
        <v>4.5352112676056343E-2</v>
      </c>
      <c r="CL88" s="363"/>
      <c r="CM88" s="368">
        <f>+CM87/CM10</f>
        <v>4.5352112676056343E-2</v>
      </c>
    </row>
    <row r="89" spans="1:92" s="65" customFormat="1" ht="18" customHeight="1" x14ac:dyDescent="0.45">
      <c r="A89" s="561"/>
      <c r="B89" s="1241"/>
      <c r="C89" s="131" t="s">
        <v>85</v>
      </c>
      <c r="D89" s="131"/>
      <c r="E89" s="131"/>
      <c r="F89" s="132"/>
      <c r="G89" s="382">
        <f>+G87/G74</f>
        <v>0.37221772229415867</v>
      </c>
      <c r="H89" s="132"/>
      <c r="I89" s="133">
        <f>+I87/I74</f>
        <v>0.332942598629966</v>
      </c>
      <c r="J89" s="132"/>
      <c r="K89" s="133">
        <f>+K87/K74</f>
        <v>0.332942598629966</v>
      </c>
      <c r="L89" s="132"/>
      <c r="M89" s="133">
        <f>+M87/M74</f>
        <v>0.332942598629966</v>
      </c>
      <c r="N89" s="381"/>
      <c r="O89" s="611">
        <f>+O87/O74</f>
        <v>0.35760906904843698</v>
      </c>
      <c r="P89" s="381"/>
      <c r="Q89" s="611">
        <f>+Q87/Q74</f>
        <v>0.35760906904843698</v>
      </c>
      <c r="R89" s="381"/>
      <c r="S89" s="611">
        <f>+S87/S74</f>
        <v>0.35760906904843698</v>
      </c>
      <c r="T89" s="381"/>
      <c r="U89" s="611">
        <f>+U87/U74</f>
        <v>0.33768665543062276</v>
      </c>
      <c r="V89" s="381"/>
      <c r="W89" s="611">
        <f>+W87/W74</f>
        <v>0.3114786278647495</v>
      </c>
      <c r="X89" s="381"/>
      <c r="Y89" s="611">
        <f>+Y87/Y74</f>
        <v>0.39198266522210184</v>
      </c>
      <c r="Z89" s="381"/>
      <c r="AA89" s="611">
        <f>+AA87/AA74</f>
        <v>0.31860126274890732</v>
      </c>
      <c r="AB89" s="381"/>
      <c r="AC89" s="611">
        <f>+AC87/AC74</f>
        <v>0.31860126274890732</v>
      </c>
      <c r="AD89" s="381"/>
      <c r="AE89" s="611">
        <f>+AE87/AE74</f>
        <v>0.31860126274890732</v>
      </c>
      <c r="AF89" s="548"/>
      <c r="AG89" s="645"/>
      <c r="AH89" s="547"/>
      <c r="AJ89" s="381"/>
      <c r="AK89" s="611">
        <f>+AK87/AK74</f>
        <v>0.31860126274890732</v>
      </c>
      <c r="AL89" s="381"/>
      <c r="AM89" s="611">
        <f>+AM87/AM74</f>
        <v>0.31860126274890732</v>
      </c>
      <c r="AN89" s="381"/>
      <c r="AO89" s="611">
        <f>+AO87/AO74</f>
        <v>0.31860126274890732</v>
      </c>
      <c r="AP89" s="548"/>
      <c r="AQ89" s="645"/>
      <c r="AR89" s="547"/>
      <c r="AT89" s="381"/>
      <c r="AU89" s="611">
        <f>+AU87/AU74</f>
        <v>0.31860126274890732</v>
      </c>
      <c r="AV89" s="381"/>
      <c r="AW89" s="611">
        <f>+AW87/AW74</f>
        <v>0.31860126274890732</v>
      </c>
      <c r="AX89" s="381"/>
      <c r="AY89" s="611">
        <f>+AY87/AY74</f>
        <v>0.31860126274890732</v>
      </c>
      <c r="AZ89" s="548"/>
      <c r="BA89" s="645"/>
      <c r="BB89" s="645"/>
      <c r="BC89" s="283"/>
      <c r="BD89" s="381"/>
      <c r="BE89" s="611">
        <f>+BE87/BE74</f>
        <v>0.21639145216124342</v>
      </c>
      <c r="BF89" s="283"/>
      <c r="BG89" s="381"/>
      <c r="BH89" s="611">
        <f>+BH87/BH74</f>
        <v>0.21752738654147122</v>
      </c>
      <c r="BI89" s="381"/>
      <c r="BJ89" s="611">
        <f t="shared" ref="BJ89" si="263">+BJ87/BJ74</f>
        <v>0.21752738654147122</v>
      </c>
      <c r="BK89" s="381"/>
      <c r="BL89" s="611">
        <f t="shared" ref="BL89" si="264">+BL87/BL74</f>
        <v>0.21752738654147122</v>
      </c>
      <c r="BM89"/>
      <c r="BN89" s="283"/>
      <c r="BO89" s="381"/>
      <c r="BP89" s="611">
        <f>+BP87/BP74</f>
        <v>0.21425522833973537</v>
      </c>
      <c r="BQ89" s="381"/>
      <c r="BR89" s="611">
        <f t="shared" ref="BR89" si="265">+BR87/BR74</f>
        <v>0.21425522833973537</v>
      </c>
      <c r="BS89" s="381"/>
      <c r="BT89" s="611">
        <f t="shared" ref="BT89" si="266">+BT87/BT74</f>
        <v>0.21425522833973537</v>
      </c>
      <c r="BU89" s="283"/>
      <c r="BV89" s="381"/>
      <c r="BW89" s="611">
        <f>+BW87/BW74</f>
        <v>0.30078006500541715</v>
      </c>
      <c r="BY89" s="381"/>
      <c r="BZ89" s="611">
        <f>+BZ87/BZ74</f>
        <v>0.3342657342657343</v>
      </c>
      <c r="CA89" s="381"/>
      <c r="CB89" s="611">
        <f>+CB87/CB74</f>
        <v>0.33613053613053617</v>
      </c>
      <c r="CC89" s="381"/>
      <c r="CD89" s="611">
        <f>+CD87/CD74</f>
        <v>0.36200466200466203</v>
      </c>
      <c r="CH89" s="381"/>
      <c r="CI89" s="611">
        <f>+CI87/CI74</f>
        <v>0.25915492957746483</v>
      </c>
      <c r="CJ89" s="381"/>
      <c r="CK89" s="611">
        <f t="shared" ref="CK89" si="267">+CK87/CK74</f>
        <v>0.25915492957746483</v>
      </c>
      <c r="CL89" s="381"/>
      <c r="CM89" s="611">
        <f t="shared" ref="CM89" si="268">+CM87/CM74</f>
        <v>0.25915492957746483</v>
      </c>
      <c r="CN89" s="283"/>
    </row>
    <row r="90" spans="1:92" s="65" customFormat="1" ht="18" customHeight="1" x14ac:dyDescent="0.45">
      <c r="A90" s="561"/>
      <c r="B90" s="1241"/>
      <c r="C90" s="260" t="s">
        <v>86</v>
      </c>
      <c r="D90" s="135"/>
      <c r="E90" s="136" t="str">
        <f>E87</f>
        <v xml:space="preserve">per carton USD </v>
      </c>
      <c r="F90" s="137"/>
      <c r="G90" s="138">
        <f>G87-G64</f>
        <v>1.5248182665873764</v>
      </c>
      <c r="H90" s="137"/>
      <c r="I90" s="138">
        <f>I87-I64</f>
        <v>1.3655932247388476</v>
      </c>
      <c r="J90" s="137"/>
      <c r="K90" s="138">
        <f>K87-K64</f>
        <v>1.3655932247388476</v>
      </c>
      <c r="L90" s="137"/>
      <c r="M90" s="138">
        <f>M87-M64</f>
        <v>1.3655932247388476</v>
      </c>
      <c r="N90" s="137"/>
      <c r="O90" s="138">
        <f>O87-O64</f>
        <v>1.2526760563380286</v>
      </c>
      <c r="P90" s="137"/>
      <c r="Q90" s="138">
        <f>Q87-Q64</f>
        <v>1.2526760563380286</v>
      </c>
      <c r="R90" s="137"/>
      <c r="S90" s="138">
        <f>S87-S64</f>
        <v>1.2526760563380286</v>
      </c>
      <c r="T90" s="137"/>
      <c r="U90" s="138">
        <f>U87-U64</f>
        <v>1.1383214021717749</v>
      </c>
      <c r="V90" s="137"/>
      <c r="W90" s="138">
        <f>W87-W64</f>
        <v>0.98788732394366219</v>
      </c>
      <c r="X90" s="137"/>
      <c r="Y90" s="138">
        <f>Y87-Y64</f>
        <v>1.4978873239436619</v>
      </c>
      <c r="Z90" s="137"/>
      <c r="AA90" s="138">
        <f>AA87-AA64</f>
        <v>1.1478873239436627</v>
      </c>
      <c r="AB90" s="137"/>
      <c r="AC90" s="138">
        <f>AC87-AC64</f>
        <v>1.1478873239436627</v>
      </c>
      <c r="AD90" s="137"/>
      <c r="AE90" s="138">
        <f>AE87-AE64</f>
        <v>1.1478873239436627</v>
      </c>
      <c r="AF90" s="802">
        <f>AA90/$O90-1</f>
        <v>-8.3651900157409198E-2</v>
      </c>
      <c r="AG90" s="733">
        <f>AC90/$Q90-1</f>
        <v>-8.3651900157409198E-2</v>
      </c>
      <c r="AH90" s="803">
        <f>AE90/$S90-1</f>
        <v>-8.3651900157409198E-2</v>
      </c>
      <c r="AJ90" s="137"/>
      <c r="AK90" s="138">
        <f>AK87-AK64</f>
        <v>1.1478873239436627</v>
      </c>
      <c r="AL90" s="137"/>
      <c r="AM90" s="138">
        <f>AM87-AM64</f>
        <v>1.1478873239436627</v>
      </c>
      <c r="AN90" s="137"/>
      <c r="AO90" s="138">
        <f>AO87-AO64</f>
        <v>1.1478873239436627</v>
      </c>
      <c r="AP90" s="802">
        <f>AK90/$O90-1</f>
        <v>-8.3651900157409198E-2</v>
      </c>
      <c r="AQ90" s="733">
        <f>AM90/$Q90-1</f>
        <v>-8.3651900157409198E-2</v>
      </c>
      <c r="AR90" s="803">
        <f>AO90/$S90-1</f>
        <v>-8.3651900157409198E-2</v>
      </c>
      <c r="AT90" s="137"/>
      <c r="AU90" s="138">
        <f>AU87-AU64</f>
        <v>1.1478873239436627</v>
      </c>
      <c r="AV90" s="137"/>
      <c r="AW90" s="138">
        <f>AW87-AW64</f>
        <v>1.1478873239436627</v>
      </c>
      <c r="AX90" s="137"/>
      <c r="AY90" s="138">
        <f>AY87-AY64</f>
        <v>1.1478873239436627</v>
      </c>
      <c r="AZ90" s="802">
        <f>AU90/$O90-1</f>
        <v>-8.3651900157409198E-2</v>
      </c>
      <c r="BA90" s="733">
        <f>AW90/$Q90-1</f>
        <v>-8.3651900157409198E-2</v>
      </c>
      <c r="BB90" s="733">
        <f>AY90/$S90-1</f>
        <v>-8.3651900157409198E-2</v>
      </c>
      <c r="BC90" s="283"/>
      <c r="BD90" s="137"/>
      <c r="BE90" s="138">
        <f>BE87-BE64</f>
        <v>0.5550704225352121</v>
      </c>
      <c r="BF90" s="283"/>
      <c r="BG90" s="137"/>
      <c r="BH90" s="138">
        <f>BH87-BH64</f>
        <v>0.1683098591549308</v>
      </c>
      <c r="BI90" s="137"/>
      <c r="BJ90" s="138">
        <f t="shared" ref="BJ90" si="269">BJ87-BJ64</f>
        <v>0.1683098591549308</v>
      </c>
      <c r="BK90" s="137"/>
      <c r="BL90" s="138">
        <f t="shared" ref="BL90" si="270">BL87-BL64</f>
        <v>0.1683098591549308</v>
      </c>
      <c r="BM90"/>
      <c r="BN90" s="283"/>
      <c r="BO90" s="137"/>
      <c r="BP90" s="138">
        <f>BP87-BP64</f>
        <v>1.4140845070422534</v>
      </c>
      <c r="BQ90" s="137"/>
      <c r="BR90" s="138">
        <f t="shared" ref="BR90" si="271">BR87-BR64</f>
        <v>1.4140845070422534</v>
      </c>
      <c r="BS90" s="137"/>
      <c r="BT90" s="138">
        <f t="shared" ref="BT90" si="272">BT87-BT64</f>
        <v>1.4140845070422534</v>
      </c>
      <c r="BU90" s="283"/>
      <c r="BV90" s="137"/>
      <c r="BW90" s="138">
        <f>BW87-BW64</f>
        <v>1.6550704225352113</v>
      </c>
      <c r="BY90" s="137"/>
      <c r="BZ90" s="138">
        <f>BZ87-BZ64</f>
        <v>0.2384615384615385</v>
      </c>
      <c r="CA90" s="137"/>
      <c r="CB90" s="138">
        <f>CB87-CB64</f>
        <v>0.2167832167832171</v>
      </c>
      <c r="CC90" s="137"/>
      <c r="CD90" s="138">
        <f>CD87-CD64</f>
        <v>0.58923076923076945</v>
      </c>
      <c r="CH90" s="137"/>
      <c r="CI90" s="138">
        <f>CI87-CI64</f>
        <v>1.8140845070422538</v>
      </c>
      <c r="CJ90" s="137"/>
      <c r="CK90" s="138">
        <f t="shared" ref="CK90" si="273">CK87-CK64</f>
        <v>1.8140845070422538</v>
      </c>
      <c r="CL90" s="137"/>
      <c r="CM90" s="138">
        <f t="shared" ref="CM90" si="274">CM87-CM64</f>
        <v>1.8140845070422538</v>
      </c>
      <c r="CN90" s="283"/>
    </row>
    <row r="91" spans="1:92" s="65" customFormat="1" ht="18" customHeight="1" x14ac:dyDescent="0.45">
      <c r="A91" s="561"/>
      <c r="B91" s="1241"/>
      <c r="C91" s="131" t="s">
        <v>87</v>
      </c>
      <c r="D91" s="131"/>
      <c r="E91" s="131"/>
      <c r="F91" s="132"/>
      <c r="G91" s="133">
        <f>G90/G74</f>
        <v>0.28030386305149846</v>
      </c>
      <c r="H91" s="132"/>
      <c r="I91" s="133">
        <f>I90/I74</f>
        <v>0.25751353740229571</v>
      </c>
      <c r="J91" s="132"/>
      <c r="K91" s="133">
        <f>K90/K74</f>
        <v>0.25751353740229571</v>
      </c>
      <c r="L91" s="132"/>
      <c r="M91" s="133">
        <f>M90/M74</f>
        <v>0.25751353740229571</v>
      </c>
      <c r="N91" s="381"/>
      <c r="O91" s="611">
        <f>O90/O74</f>
        <v>0.21823624674878547</v>
      </c>
      <c r="P91" s="381"/>
      <c r="Q91" s="611">
        <f>Q90/Q74</f>
        <v>0.21823624674878547</v>
      </c>
      <c r="R91" s="381"/>
      <c r="S91" s="611">
        <f>S90/S74</f>
        <v>0.21823624674878547</v>
      </c>
      <c r="T91" s="381"/>
      <c r="U91" s="611">
        <f>U90/U74</f>
        <v>0.19831383313097123</v>
      </c>
      <c r="V91" s="381"/>
      <c r="W91" s="611">
        <f>W90/W74</f>
        <v>0.17210580556509794</v>
      </c>
      <c r="X91" s="381"/>
      <c r="Y91" s="611">
        <f>Y90/Y74</f>
        <v>0.2304442036836403</v>
      </c>
      <c r="Z91" s="381"/>
      <c r="AA91" s="611">
        <f>AA90/AA74</f>
        <v>0.19791160757649354</v>
      </c>
      <c r="AB91" s="381"/>
      <c r="AC91" s="611">
        <f>AC90/AC74</f>
        <v>0.19791160757649354</v>
      </c>
      <c r="AD91" s="381"/>
      <c r="AE91" s="611">
        <f>AE90/AE74</f>
        <v>0.19791160757649354</v>
      </c>
      <c r="AF91" s="548"/>
      <c r="AG91" s="645"/>
      <c r="AH91" s="547"/>
      <c r="AJ91" s="381"/>
      <c r="AK91" s="611">
        <f>AK90/AK74</f>
        <v>0.19791160757649354</v>
      </c>
      <c r="AL91" s="381"/>
      <c r="AM91" s="611">
        <f>AM90/AM74</f>
        <v>0.19791160757649354</v>
      </c>
      <c r="AN91" s="381"/>
      <c r="AO91" s="611">
        <f>AO90/AO74</f>
        <v>0.19791160757649354</v>
      </c>
      <c r="AP91" s="548"/>
      <c r="AQ91" s="645"/>
      <c r="AR91" s="547"/>
      <c r="AT91" s="381"/>
      <c r="AU91" s="611">
        <f>AU90/AU74</f>
        <v>0.19791160757649354</v>
      </c>
      <c r="AV91" s="381"/>
      <c r="AW91" s="611">
        <f>AW90/AW74</f>
        <v>0.19791160757649354</v>
      </c>
      <c r="AX91" s="381"/>
      <c r="AY91" s="611">
        <f>AY90/AY74</f>
        <v>0.19791160757649354</v>
      </c>
      <c r="AZ91" s="548"/>
      <c r="BA91" s="645"/>
      <c r="BB91" s="645"/>
      <c r="BC91" s="283"/>
      <c r="BD91" s="381"/>
      <c r="BE91" s="611">
        <f>BE90/BE74</f>
        <v>9.5701796988829663E-2</v>
      </c>
      <c r="BF91" s="283"/>
      <c r="BG91" s="381"/>
      <c r="BH91" s="611">
        <f>BH90/BH74</f>
        <v>2.4934793948878632E-2</v>
      </c>
      <c r="BI91" s="381"/>
      <c r="BJ91" s="611">
        <f t="shared" ref="BJ91" si="275">BJ90/BJ74</f>
        <v>2.4934793948878632E-2</v>
      </c>
      <c r="BK91" s="381"/>
      <c r="BL91" s="611">
        <f t="shared" ref="BL91" si="276">BL90/BL74</f>
        <v>2.4934793948878632E-2</v>
      </c>
      <c r="BM91"/>
      <c r="BN91" s="283"/>
      <c r="BO91" s="381"/>
      <c r="BP91" s="611">
        <f>BP90/BP74</f>
        <v>0.21425522833973537</v>
      </c>
      <c r="BQ91" s="381"/>
      <c r="BR91" s="611">
        <f t="shared" ref="BR91" si="277">BR90/BR74</f>
        <v>0.21425522833973537</v>
      </c>
      <c r="BS91" s="381"/>
      <c r="BT91" s="611">
        <f t="shared" ref="BT91" si="278">BT90/BT74</f>
        <v>0.21425522833973537</v>
      </c>
      <c r="BU91" s="283"/>
      <c r="BV91" s="381"/>
      <c r="BW91" s="611">
        <f>BW90/BW74</f>
        <v>0.254626218851571</v>
      </c>
      <c r="BY91" s="381"/>
      <c r="BZ91" s="611">
        <f>BZ90/BZ74</f>
        <v>4.3356643356643361E-2</v>
      </c>
      <c r="CA91" s="381"/>
      <c r="CB91" s="611">
        <f>CB90/CB74</f>
        <v>3.6130536130536184E-2</v>
      </c>
      <c r="CC91" s="381"/>
      <c r="CD91" s="611">
        <f>CD90/CD74</f>
        <v>8.9277389277389319E-2</v>
      </c>
      <c r="CH91" s="381"/>
      <c r="CI91" s="611">
        <f>CI90/CI74</f>
        <v>0.25915492957746483</v>
      </c>
      <c r="CJ91" s="381"/>
      <c r="CK91" s="611">
        <f t="shared" ref="CK91" si="279">CK90/CK74</f>
        <v>0.25915492957746483</v>
      </c>
      <c r="CL91" s="381"/>
      <c r="CM91" s="611">
        <f t="shared" ref="CM91" si="280">CM90/CM74</f>
        <v>0.25915492957746483</v>
      </c>
      <c r="CN91" s="283"/>
    </row>
    <row r="92" spans="1:92" s="65" customFormat="1" ht="6.75" customHeight="1" x14ac:dyDescent="0.45">
      <c r="A92" s="561"/>
      <c r="B92" s="266"/>
      <c r="C92" s="131"/>
      <c r="D92" s="131"/>
      <c r="E92" s="131"/>
      <c r="F92" s="132"/>
      <c r="G92" s="133"/>
      <c r="H92" s="132"/>
      <c r="I92" s="133"/>
      <c r="J92" s="132"/>
      <c r="K92" s="133"/>
      <c r="L92" s="132"/>
      <c r="M92" s="133"/>
      <c r="N92" s="381"/>
      <c r="O92" s="383"/>
      <c r="P92" s="381"/>
      <c r="Q92" s="383"/>
      <c r="R92" s="381"/>
      <c r="S92" s="383"/>
      <c r="T92" s="381"/>
      <c r="U92" s="383"/>
      <c r="V92" s="381"/>
      <c r="W92" s="383"/>
      <c r="X92" s="381"/>
      <c r="Y92" s="383"/>
      <c r="Z92" s="381"/>
      <c r="AA92" s="383"/>
      <c r="AB92" s="381"/>
      <c r="AC92" s="383"/>
      <c r="AD92" s="381"/>
      <c r="AE92" s="383"/>
      <c r="AF92" s="548"/>
      <c r="AG92" s="645"/>
      <c r="AH92" s="547"/>
      <c r="AJ92" s="381"/>
      <c r="AK92" s="383"/>
      <c r="AL92" s="381"/>
      <c r="AM92" s="383"/>
      <c r="AN92" s="381"/>
      <c r="AO92" s="383"/>
      <c r="AP92" s="548"/>
      <c r="AQ92" s="645"/>
      <c r="AR92" s="547"/>
      <c r="AT92" s="381"/>
      <c r="AU92" s="383"/>
      <c r="AV92" s="381"/>
      <c r="AW92" s="383"/>
      <c r="AX92" s="381"/>
      <c r="AY92" s="383"/>
      <c r="AZ92" s="548"/>
      <c r="BA92" s="645"/>
      <c r="BB92" s="645"/>
      <c r="BC92" s="283"/>
      <c r="BD92" s="381"/>
      <c r="BE92" s="383"/>
      <c r="BF92" s="283"/>
      <c r="BG92" s="381"/>
      <c r="BH92" s="383"/>
      <c r="BI92" s="381"/>
      <c r="BJ92" s="383"/>
      <c r="BK92" s="381"/>
      <c r="BL92" s="383"/>
      <c r="BM92"/>
      <c r="BN92" s="283"/>
      <c r="BO92" s="381"/>
      <c r="BP92" s="383"/>
      <c r="BQ92" s="381"/>
      <c r="BR92" s="383"/>
      <c r="BS92" s="381"/>
      <c r="BT92" s="383"/>
      <c r="BU92" s="283"/>
      <c r="BV92" s="381"/>
      <c r="BW92" s="383"/>
      <c r="BY92" s="381"/>
      <c r="BZ92" s="383"/>
      <c r="CA92" s="381"/>
      <c r="CB92" s="383"/>
      <c r="CC92" s="381"/>
      <c r="CD92" s="383"/>
      <c r="CH92" s="381"/>
      <c r="CI92" s="383"/>
      <c r="CJ92" s="381"/>
      <c r="CK92" s="383"/>
      <c r="CL92" s="381"/>
      <c r="CM92" s="383"/>
      <c r="CN92" s="283"/>
    </row>
    <row r="93" spans="1:92" s="65" customFormat="1" ht="18" customHeight="1" x14ac:dyDescent="0.45">
      <c r="A93" s="561"/>
      <c r="B93" s="266"/>
      <c r="C93" s="261" t="s">
        <v>88</v>
      </c>
      <c r="D93" s="140"/>
      <c r="E93" s="136" t="str">
        <f>E90</f>
        <v xml:space="preserve">per carton USD </v>
      </c>
      <c r="F93" s="141"/>
      <c r="G93" s="142">
        <f>G90-G79</f>
        <v>1.4068309390250531</v>
      </c>
      <c r="H93" s="141"/>
      <c r="I93" s="142">
        <f>I90-I79</f>
        <v>1.2476058971765243</v>
      </c>
      <c r="J93" s="141"/>
      <c r="K93" s="142">
        <f>K90-K79</f>
        <v>1.2476058971765243</v>
      </c>
      <c r="L93" s="141"/>
      <c r="M93" s="142">
        <f>M90-M79</f>
        <v>1.2476058971765243</v>
      </c>
      <c r="N93" s="141"/>
      <c r="O93" s="599">
        <f>O90-O79</f>
        <v>1.1345400710045401</v>
      </c>
      <c r="P93" s="141"/>
      <c r="Q93" s="599">
        <f>Q90-Q79</f>
        <v>1.1345400710045401</v>
      </c>
      <c r="R93" s="141"/>
      <c r="S93" s="599">
        <f>S90-S79</f>
        <v>1.1345400710045401</v>
      </c>
      <c r="T93" s="141"/>
      <c r="U93" s="599">
        <f>U90-U79</f>
        <v>1.0201854168382865</v>
      </c>
      <c r="V93" s="141"/>
      <c r="W93" s="599">
        <f>W90-W79</f>
        <v>0.86975133861017362</v>
      </c>
      <c r="X93" s="141"/>
      <c r="Y93" s="599">
        <f>Y90-Y79</f>
        <v>1.3797513386101734</v>
      </c>
      <c r="Z93" s="141"/>
      <c r="AA93" s="599">
        <f>AA90-AA79</f>
        <v>1.0297513386101742</v>
      </c>
      <c r="AB93" s="141"/>
      <c r="AC93" s="599">
        <f>AC90-AC79</f>
        <v>1.0297513386101742</v>
      </c>
      <c r="AD93" s="141"/>
      <c r="AE93" s="599">
        <f>AE90-AE79</f>
        <v>1.0297513386101742</v>
      </c>
      <c r="AF93" s="804"/>
      <c r="AG93" s="805"/>
      <c r="AH93" s="806"/>
      <c r="AJ93" s="141"/>
      <c r="AK93" s="599">
        <f>AK90-AK79</f>
        <v>1.0297513386101742</v>
      </c>
      <c r="AL93" s="141"/>
      <c r="AM93" s="599">
        <f>AM90-AM79</f>
        <v>1.0297513386101742</v>
      </c>
      <c r="AN93" s="141"/>
      <c r="AO93" s="599">
        <f>AO90-AO79</f>
        <v>1.0297513386101742</v>
      </c>
      <c r="AP93" s="804"/>
      <c r="AQ93" s="805"/>
      <c r="AR93" s="806"/>
      <c r="AT93" s="141"/>
      <c r="AU93" s="599">
        <f>AU90-AU79</f>
        <v>1.0297513386101742</v>
      </c>
      <c r="AV93" s="141"/>
      <c r="AW93" s="599">
        <f>AW90-AW79</f>
        <v>1.0297513386101742</v>
      </c>
      <c r="AX93" s="141"/>
      <c r="AY93" s="599">
        <f>AY90-AY79</f>
        <v>1.0297513386101742</v>
      </c>
      <c r="AZ93" s="804"/>
      <c r="BA93" s="805"/>
      <c r="BB93" s="734"/>
      <c r="BC93" s="283"/>
      <c r="BD93" s="141"/>
      <c r="BE93" s="599">
        <f>BE90-BE79</f>
        <v>0.43693443720172359</v>
      </c>
      <c r="BF93" s="283"/>
      <c r="BG93" s="141"/>
      <c r="BH93" s="599">
        <f>BH90-BH79</f>
        <v>5.0173873821442269E-2</v>
      </c>
      <c r="BI93" s="141"/>
      <c r="BJ93" s="599">
        <f t="shared" ref="BJ93" si="281">BJ90-BJ79</f>
        <v>5.0173873821442269E-2</v>
      </c>
      <c r="BK93" s="141"/>
      <c r="BL93" s="599">
        <f t="shared" ref="BL93" si="282">BL90-BL79</f>
        <v>5.0173873821442269E-2</v>
      </c>
      <c r="BM93"/>
      <c r="BN93" s="283"/>
      <c r="BO93" s="141"/>
      <c r="BP93" s="599">
        <f>BP90-BP79</f>
        <v>1.295948521708765</v>
      </c>
      <c r="BQ93" s="141"/>
      <c r="BR93" s="599">
        <f t="shared" ref="BR93" si="283">BR90-BR79</f>
        <v>1.295948521708765</v>
      </c>
      <c r="BS93" s="141"/>
      <c r="BT93" s="599">
        <f t="shared" ref="BT93" si="284">BT90-BT79</f>
        <v>1.295948521708765</v>
      </c>
      <c r="BU93" s="283"/>
      <c r="BV93" s="141"/>
      <c r="BW93" s="599">
        <f>BW90-BW79</f>
        <v>1.5369344372017228</v>
      </c>
      <c r="BY93" s="141"/>
      <c r="BZ93" s="599">
        <f>BZ90-BZ79</f>
        <v>0.12443181818181823</v>
      </c>
      <c r="CA93" s="141"/>
      <c r="CB93" s="599">
        <f>CB90-CB79</f>
        <v>0.10275349650349683</v>
      </c>
      <c r="CC93" s="141"/>
      <c r="CD93" s="599">
        <f>CD90-CD79</f>
        <v>0.4752010489510492</v>
      </c>
      <c r="CH93" s="141"/>
      <c r="CI93" s="599">
        <f>CI90-CI79</f>
        <v>1.6959485217087653</v>
      </c>
      <c r="CJ93" s="141"/>
      <c r="CK93" s="599">
        <f t="shared" ref="CK93" si="285">CK90-CK79</f>
        <v>1.6959485217087653</v>
      </c>
      <c r="CL93" s="141"/>
      <c r="CM93" s="599">
        <f t="shared" ref="CM93" si="286">CM90-CM79</f>
        <v>1.6959485217087653</v>
      </c>
      <c r="CN93" s="283"/>
    </row>
    <row r="94" spans="1:92" s="65" customFormat="1" ht="18" customHeight="1" x14ac:dyDescent="0.45">
      <c r="A94" s="561"/>
      <c r="B94" s="266"/>
      <c r="C94" s="131" t="s">
        <v>89</v>
      </c>
      <c r="D94" s="131"/>
      <c r="E94" s="131"/>
      <c r="F94" s="132"/>
      <c r="G94" s="133">
        <f>G93/G74</f>
        <v>0.2586145218155364</v>
      </c>
      <c r="H94" s="132"/>
      <c r="I94" s="133">
        <f>I93/I74</f>
        <v>0.2352643540153265</v>
      </c>
      <c r="J94" s="132"/>
      <c r="K94" s="133">
        <f>K93/K74</f>
        <v>0.2352643540153265</v>
      </c>
      <c r="L94" s="132"/>
      <c r="M94" s="133">
        <f>M93/M74</f>
        <v>0.2352643540153265</v>
      </c>
      <c r="N94" s="381"/>
      <c r="O94" s="611">
        <f>O93/O74</f>
        <v>0.19765506463493729</v>
      </c>
      <c r="P94" s="381"/>
      <c r="Q94" s="611">
        <f>Q93/Q74</f>
        <v>0.19765506463493729</v>
      </c>
      <c r="R94" s="381"/>
      <c r="S94" s="611">
        <f>S93/S74</f>
        <v>0.19765506463493729</v>
      </c>
      <c r="T94" s="381"/>
      <c r="U94" s="611">
        <f>U93/U74</f>
        <v>0.17773265101712307</v>
      </c>
      <c r="V94" s="381"/>
      <c r="W94" s="611">
        <f>W93/W74</f>
        <v>0.15152462345124976</v>
      </c>
      <c r="X94" s="381"/>
      <c r="Y94" s="611">
        <f>Y93/Y74</f>
        <v>0.21226943670925744</v>
      </c>
      <c r="Z94" s="381"/>
      <c r="AA94" s="611">
        <f>AA93/AA74</f>
        <v>0.17754333424313345</v>
      </c>
      <c r="AB94" s="381"/>
      <c r="AC94" s="611">
        <f>AC93/AC74</f>
        <v>0.17754333424313345</v>
      </c>
      <c r="AD94" s="381"/>
      <c r="AE94" s="611">
        <f>AE93/AE74</f>
        <v>0.17754333424313345</v>
      </c>
      <c r="AF94" s="548"/>
      <c r="AG94" s="645"/>
      <c r="AH94" s="547"/>
      <c r="AJ94" s="381"/>
      <c r="AK94" s="611">
        <f>AK93/AK74</f>
        <v>0.17754333424313345</v>
      </c>
      <c r="AL94" s="381"/>
      <c r="AM94" s="611">
        <f>AM93/AM74</f>
        <v>0.17754333424313345</v>
      </c>
      <c r="AN94" s="381"/>
      <c r="AO94" s="611">
        <f>AO93/AO74</f>
        <v>0.17754333424313345</v>
      </c>
      <c r="AP94" s="548"/>
      <c r="AQ94" s="645"/>
      <c r="AR94" s="547"/>
      <c r="AT94" s="381"/>
      <c r="AU94" s="611">
        <f>AU93/AU74</f>
        <v>0.17754333424313345</v>
      </c>
      <c r="AV94" s="381"/>
      <c r="AW94" s="611">
        <f>AW93/AW74</f>
        <v>0.17754333424313345</v>
      </c>
      <c r="AX94" s="381"/>
      <c r="AY94" s="611">
        <f>AY93/AY74</f>
        <v>0.17754333424313345</v>
      </c>
      <c r="AZ94" s="548"/>
      <c r="BA94" s="645"/>
      <c r="BB94" s="645"/>
      <c r="BC94" s="283"/>
      <c r="BD94" s="381"/>
      <c r="BE94" s="611">
        <f>BE93/BE74</f>
        <v>7.5333523655469581E-2</v>
      </c>
      <c r="BF94" s="283"/>
      <c r="BG94" s="381"/>
      <c r="BH94" s="611">
        <f>BH93/BH74</f>
        <v>7.43316649206552E-3</v>
      </c>
      <c r="BI94" s="381"/>
      <c r="BJ94" s="611">
        <f t="shared" ref="BJ94" si="287">BJ93/BJ74</f>
        <v>7.43316649206552E-3</v>
      </c>
      <c r="BK94" s="381"/>
      <c r="BL94" s="611">
        <f t="shared" ref="BL94" si="288">BL93/BL74</f>
        <v>7.43316649206552E-3</v>
      </c>
      <c r="BM94"/>
      <c r="BN94" s="283"/>
      <c r="BO94" s="381"/>
      <c r="BP94" s="611">
        <f>BP93/BP74</f>
        <v>0.19635583662254016</v>
      </c>
      <c r="BQ94" s="381"/>
      <c r="BR94" s="611">
        <f t="shared" ref="BR94" si="289">BR93/BR74</f>
        <v>0.19635583662254016</v>
      </c>
      <c r="BS94" s="381"/>
      <c r="BT94" s="611">
        <f t="shared" ref="BT94" si="290">BT93/BT74</f>
        <v>0.19635583662254016</v>
      </c>
      <c r="BU94" s="283"/>
      <c r="BV94" s="381"/>
      <c r="BW94" s="611">
        <f>BW93/BW74</f>
        <v>0.23645145187718813</v>
      </c>
      <c r="BY94" s="381"/>
      <c r="BZ94" s="611">
        <f>BZ93/BZ74</f>
        <v>2.2623966942148768E-2</v>
      </c>
      <c r="CA94" s="381"/>
      <c r="CB94" s="611">
        <f>CB93/CB74</f>
        <v>1.7125582750582805E-2</v>
      </c>
      <c r="CC94" s="381"/>
      <c r="CD94" s="611">
        <f>CD93/CD74</f>
        <v>7.2000158931977157E-2</v>
      </c>
      <c r="CH94" s="381"/>
      <c r="CI94" s="611">
        <f>CI93/CI74</f>
        <v>0.24227836024410934</v>
      </c>
      <c r="CJ94" s="381"/>
      <c r="CK94" s="611">
        <f t="shared" ref="CK94" si="291">CK93/CK74</f>
        <v>0.24227836024410934</v>
      </c>
      <c r="CL94" s="381"/>
      <c r="CM94" s="611">
        <f t="shared" ref="CM94" si="292">CM93/CM74</f>
        <v>0.24227836024410934</v>
      </c>
      <c r="CN94" s="283"/>
    </row>
    <row r="95" spans="1:92" s="65" customFormat="1" ht="6.75" customHeight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3"/>
      <c r="P95" s="381"/>
      <c r="Q95" s="383"/>
      <c r="R95" s="381"/>
      <c r="S95" s="383"/>
      <c r="T95" s="381"/>
      <c r="U95" s="383"/>
      <c r="V95" s="381"/>
      <c r="W95" s="383"/>
      <c r="X95" s="381"/>
      <c r="Y95" s="383"/>
      <c r="Z95" s="381"/>
      <c r="AA95" s="383"/>
      <c r="AB95" s="381"/>
      <c r="AC95" s="383"/>
      <c r="AD95" s="381"/>
      <c r="AE95" s="383"/>
      <c r="AF95" s="548"/>
      <c r="AG95" s="645"/>
      <c r="AH95" s="547"/>
      <c r="AJ95" s="381"/>
      <c r="AK95" s="383"/>
      <c r="AL95" s="381"/>
      <c r="AM95" s="383"/>
      <c r="AN95" s="381"/>
      <c r="AO95" s="383"/>
      <c r="AP95" s="548"/>
      <c r="AQ95" s="645"/>
      <c r="AR95" s="547"/>
      <c r="AT95" s="381"/>
      <c r="AU95" s="383"/>
      <c r="AV95" s="381"/>
      <c r="AW95" s="383"/>
      <c r="AX95" s="381"/>
      <c r="AY95" s="383"/>
      <c r="AZ95" s="548"/>
      <c r="BA95" s="645"/>
      <c r="BB95" s="645"/>
      <c r="BC95" s="283"/>
      <c r="BD95" s="381"/>
      <c r="BE95" s="383"/>
      <c r="BF95" s="283"/>
      <c r="BG95" s="381"/>
      <c r="BH95" s="383"/>
      <c r="BI95" s="381"/>
      <c r="BJ95" s="383"/>
      <c r="BK95" s="381"/>
      <c r="BL95" s="383"/>
      <c r="BM95"/>
      <c r="BN95" s="283"/>
      <c r="BO95" s="381"/>
      <c r="BP95" s="383"/>
      <c r="BQ95" s="381"/>
      <c r="BR95" s="383"/>
      <c r="BS95" s="381"/>
      <c r="BT95" s="383"/>
      <c r="BU95" s="283"/>
      <c r="BV95" s="381"/>
      <c r="BW95" s="383"/>
      <c r="BY95" s="381"/>
      <c r="BZ95" s="383"/>
      <c r="CA95" s="381"/>
      <c r="CB95" s="383"/>
      <c r="CC95" s="381"/>
      <c r="CD95" s="383"/>
      <c r="CH95" s="381"/>
      <c r="CI95" s="383"/>
      <c r="CJ95" s="381"/>
      <c r="CK95" s="383"/>
      <c r="CL95" s="381"/>
      <c r="CM95" s="383"/>
      <c r="CN95" s="283"/>
    </row>
    <row r="96" spans="1:92" s="65" customFormat="1" ht="18" customHeight="1" x14ac:dyDescent="0.45">
      <c r="A96" s="561"/>
      <c r="B96" s="266"/>
      <c r="C96" s="148" t="s">
        <v>90</v>
      </c>
      <c r="D96" s="144"/>
      <c r="E96" s="145" t="str">
        <f>E93</f>
        <v xml:space="preserve">per carton USD </v>
      </c>
      <c r="F96" s="146"/>
      <c r="G96" s="147">
        <f>G93</f>
        <v>1.4068309390250531</v>
      </c>
      <c r="H96" s="146"/>
      <c r="I96" s="147">
        <f>I93</f>
        <v>1.2476058971765243</v>
      </c>
      <c r="J96" s="146"/>
      <c r="K96" s="147">
        <f>K93</f>
        <v>1.2476058971765243</v>
      </c>
      <c r="L96" s="146"/>
      <c r="M96" s="147">
        <f>M93</f>
        <v>1.2476058971765243</v>
      </c>
      <c r="N96" s="424"/>
      <c r="O96" s="601">
        <f>O93</f>
        <v>1.1345400710045401</v>
      </c>
      <c r="P96" s="424"/>
      <c r="Q96" s="601">
        <f>Q93</f>
        <v>1.1345400710045401</v>
      </c>
      <c r="R96" s="424"/>
      <c r="S96" s="601">
        <f>S93</f>
        <v>1.1345400710045401</v>
      </c>
      <c r="T96" s="424"/>
      <c r="U96" s="601">
        <f>U93</f>
        <v>1.0201854168382865</v>
      </c>
      <c r="V96" s="424"/>
      <c r="W96" s="601">
        <f>W93</f>
        <v>0.86975133861017362</v>
      </c>
      <c r="X96" s="424"/>
      <c r="Y96" s="601">
        <f>Y93</f>
        <v>1.3797513386101734</v>
      </c>
      <c r="Z96" s="424"/>
      <c r="AA96" s="601">
        <f>AA93</f>
        <v>1.0297513386101742</v>
      </c>
      <c r="AB96" s="424"/>
      <c r="AC96" s="601">
        <f>AC93</f>
        <v>1.0297513386101742</v>
      </c>
      <c r="AD96" s="424"/>
      <c r="AE96" s="601">
        <f>AE93</f>
        <v>1.0297513386101742</v>
      </c>
      <c r="AF96" s="807"/>
      <c r="AG96" s="808"/>
      <c r="AH96" s="809"/>
      <c r="AJ96" s="424"/>
      <c r="AK96" s="601">
        <f>AK93</f>
        <v>1.0297513386101742</v>
      </c>
      <c r="AL96" s="424"/>
      <c r="AM96" s="601">
        <f>AM93</f>
        <v>1.0297513386101742</v>
      </c>
      <c r="AN96" s="424"/>
      <c r="AO96" s="601">
        <f>AO93</f>
        <v>1.0297513386101742</v>
      </c>
      <c r="AP96" s="807"/>
      <c r="AQ96" s="808"/>
      <c r="AR96" s="809"/>
      <c r="AT96" s="424"/>
      <c r="AU96" s="601">
        <f>AU93</f>
        <v>1.0297513386101742</v>
      </c>
      <c r="AV96" s="424"/>
      <c r="AW96" s="601">
        <f>AW93</f>
        <v>1.0297513386101742</v>
      </c>
      <c r="AX96" s="424"/>
      <c r="AY96" s="601">
        <f>AY93</f>
        <v>1.0297513386101742</v>
      </c>
      <c r="AZ96" s="807"/>
      <c r="BA96" s="808"/>
      <c r="BB96" s="735"/>
      <c r="BC96" s="283"/>
      <c r="BD96" s="424"/>
      <c r="BE96" s="601">
        <f>BE93</f>
        <v>0.43693443720172359</v>
      </c>
      <c r="BF96" s="283"/>
      <c r="BG96" s="424"/>
      <c r="BH96" s="601">
        <f>BH93</f>
        <v>5.0173873821442269E-2</v>
      </c>
      <c r="BI96" s="424"/>
      <c r="BJ96" s="601">
        <f t="shared" ref="BJ96" si="293">BJ93</f>
        <v>5.0173873821442269E-2</v>
      </c>
      <c r="BK96" s="424"/>
      <c r="BL96" s="601">
        <f t="shared" ref="BL96" si="294">BL93</f>
        <v>5.0173873821442269E-2</v>
      </c>
      <c r="BM96"/>
      <c r="BN96" s="283"/>
      <c r="BO96" s="424"/>
      <c r="BP96" s="601">
        <f>BP93</f>
        <v>1.295948521708765</v>
      </c>
      <c r="BQ96" s="424"/>
      <c r="BR96" s="601">
        <f t="shared" ref="BR96" si="295">BR93</f>
        <v>1.295948521708765</v>
      </c>
      <c r="BS96" s="424"/>
      <c r="BT96" s="601">
        <f t="shared" ref="BT96" si="296">BT93</f>
        <v>1.295948521708765</v>
      </c>
      <c r="BU96" s="283"/>
      <c r="BV96" s="424"/>
      <c r="BW96" s="601">
        <f>BW93</f>
        <v>1.5369344372017228</v>
      </c>
      <c r="BY96" s="424"/>
      <c r="BZ96" s="601">
        <f>BZ93</f>
        <v>0.12443181818181823</v>
      </c>
      <c r="CA96" s="424"/>
      <c r="CB96" s="601">
        <f>CB93</f>
        <v>0.10275349650349683</v>
      </c>
      <c r="CC96" s="424"/>
      <c r="CD96" s="601">
        <f>CD93</f>
        <v>0.4752010489510492</v>
      </c>
      <c r="CH96" s="424"/>
      <c r="CI96" s="601">
        <f>CI93</f>
        <v>1.6959485217087653</v>
      </c>
      <c r="CJ96" s="424"/>
      <c r="CK96" s="601">
        <f t="shared" ref="CK96" si="297">CK93</f>
        <v>1.6959485217087653</v>
      </c>
      <c r="CL96" s="424"/>
      <c r="CM96" s="601">
        <f t="shared" ref="CM96" si="298">CM93</f>
        <v>1.6959485217087653</v>
      </c>
      <c r="CN96" s="283"/>
    </row>
    <row r="97" spans="1:92" s="283" customFormat="1" ht="18" customHeight="1" x14ac:dyDescent="0.45">
      <c r="A97" s="561"/>
      <c r="B97" s="266"/>
      <c r="C97" s="132" t="s">
        <v>91</v>
      </c>
      <c r="D97" s="131"/>
      <c r="E97" s="131"/>
      <c r="F97" s="132"/>
      <c r="G97" s="133">
        <f>G96/G74</f>
        <v>0.2586145218155364</v>
      </c>
      <c r="H97" s="132"/>
      <c r="I97" s="133">
        <f>I96/I74</f>
        <v>0.2352643540153265</v>
      </c>
      <c r="J97" s="132"/>
      <c r="K97" s="133">
        <f>K96/K74</f>
        <v>0.2352643540153265</v>
      </c>
      <c r="L97" s="132"/>
      <c r="M97" s="133">
        <f>M96/M74</f>
        <v>0.2352643540153265</v>
      </c>
      <c r="N97" s="381"/>
      <c r="O97" s="611">
        <f>O96/O74</f>
        <v>0.19765506463493729</v>
      </c>
      <c r="P97" s="381"/>
      <c r="Q97" s="611">
        <f>Q96/Q74</f>
        <v>0.19765506463493729</v>
      </c>
      <c r="R97" s="381"/>
      <c r="S97" s="611">
        <f>S96/S74</f>
        <v>0.19765506463493729</v>
      </c>
      <c r="T97" s="381"/>
      <c r="U97" s="611">
        <f>U96/U74</f>
        <v>0.17773265101712307</v>
      </c>
      <c r="V97" s="381"/>
      <c r="W97" s="611">
        <f>W96/W74</f>
        <v>0.15152462345124976</v>
      </c>
      <c r="X97" s="381"/>
      <c r="Y97" s="611">
        <f>Y96/Y74</f>
        <v>0.21226943670925744</v>
      </c>
      <c r="Z97" s="381"/>
      <c r="AA97" s="611">
        <f>AA96/AA74</f>
        <v>0.17754333424313345</v>
      </c>
      <c r="AB97" s="381"/>
      <c r="AC97" s="611">
        <f>AC96/AC74</f>
        <v>0.17754333424313345</v>
      </c>
      <c r="AD97" s="381"/>
      <c r="AE97" s="611">
        <f>AE96/AE74</f>
        <v>0.17754333424313345</v>
      </c>
      <c r="AF97" s="548"/>
      <c r="AG97" s="645"/>
      <c r="AH97" s="547"/>
      <c r="AJ97" s="381"/>
      <c r="AK97" s="611">
        <f>AK96/AK74</f>
        <v>0.17754333424313345</v>
      </c>
      <c r="AL97" s="381"/>
      <c r="AM97" s="611">
        <f>AM96/AM74</f>
        <v>0.17754333424313345</v>
      </c>
      <c r="AN97" s="381"/>
      <c r="AO97" s="611">
        <f>AO96/AO74</f>
        <v>0.17754333424313345</v>
      </c>
      <c r="AP97" s="548"/>
      <c r="AQ97" s="645"/>
      <c r="AR97" s="547"/>
      <c r="AT97" s="381"/>
      <c r="AU97" s="611">
        <f>AU96/AU74</f>
        <v>0.17754333424313345</v>
      </c>
      <c r="AV97" s="381"/>
      <c r="AW97" s="611">
        <f>AW96/AW74</f>
        <v>0.17754333424313345</v>
      </c>
      <c r="AX97" s="381"/>
      <c r="AY97" s="611">
        <f>AY96/AY74</f>
        <v>0.17754333424313345</v>
      </c>
      <c r="AZ97" s="548"/>
      <c r="BA97" s="645"/>
      <c r="BB97" s="645"/>
      <c r="BD97" s="381"/>
      <c r="BE97" s="611">
        <f>BE96/BE74</f>
        <v>7.5333523655469581E-2</v>
      </c>
      <c r="BG97" s="381"/>
      <c r="BH97" s="611">
        <f>BH96/BH74</f>
        <v>7.43316649206552E-3</v>
      </c>
      <c r="BI97" s="381"/>
      <c r="BJ97" s="611">
        <f t="shared" ref="BJ97" si="299">BJ96/BJ74</f>
        <v>7.43316649206552E-3</v>
      </c>
      <c r="BK97" s="381"/>
      <c r="BL97" s="611">
        <f t="shared" ref="BL97" si="300">BL96/BL74</f>
        <v>7.43316649206552E-3</v>
      </c>
      <c r="BM97"/>
      <c r="BO97" s="381"/>
      <c r="BP97" s="611">
        <f>BP96/BP74</f>
        <v>0.19635583662254016</v>
      </c>
      <c r="BQ97" s="381"/>
      <c r="BR97" s="611">
        <f t="shared" ref="BR97" si="301">BR96/BR74</f>
        <v>0.19635583662254016</v>
      </c>
      <c r="BS97" s="381"/>
      <c r="BT97" s="611">
        <f t="shared" ref="BT97" si="302">BT96/BT74</f>
        <v>0.19635583662254016</v>
      </c>
      <c r="BV97" s="381"/>
      <c r="BW97" s="611">
        <f>BW96/BW74</f>
        <v>0.23645145187718813</v>
      </c>
      <c r="BY97" s="381"/>
      <c r="BZ97" s="611">
        <f>BZ96/BZ74</f>
        <v>2.2623966942148768E-2</v>
      </c>
      <c r="CA97" s="381"/>
      <c r="CB97" s="611">
        <f>CB96/CB74</f>
        <v>1.7125582750582805E-2</v>
      </c>
      <c r="CC97" s="381"/>
      <c r="CD97" s="611">
        <f>CD96/CD74</f>
        <v>7.2000158931977157E-2</v>
      </c>
      <c r="CH97" s="381"/>
      <c r="CI97" s="611">
        <f>CI96/CI74</f>
        <v>0.24227836024410934</v>
      </c>
      <c r="CJ97" s="381"/>
      <c r="CK97" s="611">
        <f t="shared" ref="CK97" si="303">CK96/CK74</f>
        <v>0.24227836024410934</v>
      </c>
      <c r="CL97" s="381"/>
      <c r="CM97" s="611">
        <f t="shared" ref="CM97" si="304">CM96/CM74</f>
        <v>0.24227836024410934</v>
      </c>
    </row>
    <row r="98" spans="1:92" s="283" customFormat="1" ht="6.75" customHeight="1" x14ac:dyDescent="0.45">
      <c r="A98" s="561"/>
      <c r="B98" s="266"/>
      <c r="C98" s="131"/>
      <c r="D98" s="131"/>
      <c r="E98" s="131"/>
      <c r="F98" s="132"/>
      <c r="G98" s="133"/>
      <c r="H98" s="132"/>
      <c r="I98" s="133"/>
      <c r="J98" s="132"/>
      <c r="K98" s="133"/>
      <c r="L98" s="132"/>
      <c r="M98" s="133"/>
      <c r="N98" s="381"/>
      <c r="O98" s="383"/>
      <c r="P98" s="381"/>
      <c r="Q98" s="383"/>
      <c r="R98" s="381"/>
      <c r="S98" s="383"/>
      <c r="T98" s="381"/>
      <c r="U98" s="383"/>
      <c r="V98" s="381"/>
      <c r="W98" s="383"/>
      <c r="X98" s="381"/>
      <c r="Y98" s="383"/>
      <c r="Z98" s="381"/>
      <c r="AA98" s="383"/>
      <c r="AB98" s="381"/>
      <c r="AC98" s="383"/>
      <c r="AD98" s="381"/>
      <c r="AE98" s="383"/>
      <c r="AF98" s="548"/>
      <c r="AG98" s="645"/>
      <c r="AH98" s="547"/>
      <c r="AJ98" s="381"/>
      <c r="AK98" s="383"/>
      <c r="AL98" s="381"/>
      <c r="AM98" s="383"/>
      <c r="AN98" s="381"/>
      <c r="AO98" s="383"/>
      <c r="AP98" s="548"/>
      <c r="AQ98" s="645"/>
      <c r="AR98" s="547"/>
      <c r="AT98" s="381"/>
      <c r="AU98" s="383"/>
      <c r="AV98" s="381"/>
      <c r="AW98" s="383"/>
      <c r="AX98" s="381"/>
      <c r="AY98" s="383"/>
      <c r="AZ98" s="548"/>
      <c r="BA98" s="645"/>
      <c r="BB98" s="645"/>
      <c r="BD98" s="381"/>
      <c r="BE98" s="383"/>
      <c r="BG98" s="381"/>
      <c r="BH98" s="383"/>
      <c r="BI98" s="381"/>
      <c r="BJ98" s="383"/>
      <c r="BK98" s="381"/>
      <c r="BL98" s="383"/>
      <c r="BM98"/>
      <c r="BO98" s="381"/>
      <c r="BP98" s="383"/>
      <c r="BQ98" s="381"/>
      <c r="BR98" s="383"/>
      <c r="BS98" s="381"/>
      <c r="BT98" s="383"/>
      <c r="BV98" s="381"/>
      <c r="BW98" s="383"/>
      <c r="BY98" s="381"/>
      <c r="BZ98" s="383"/>
      <c r="CA98" s="381"/>
      <c r="CB98" s="383"/>
      <c r="CC98" s="381"/>
      <c r="CD98" s="383"/>
      <c r="CH98" s="381"/>
      <c r="CI98" s="383"/>
      <c r="CJ98" s="381"/>
      <c r="CK98" s="383"/>
      <c r="CL98" s="381"/>
      <c r="CM98" s="383"/>
    </row>
    <row r="99" spans="1:92" s="65" customFormat="1" ht="18" customHeight="1" x14ac:dyDescent="0.45">
      <c r="A99" s="561"/>
      <c r="B99" s="266"/>
      <c r="C99" s="255" t="s">
        <v>142</v>
      </c>
      <c r="D99" s="254"/>
      <c r="E99" s="255" t="s">
        <v>77</v>
      </c>
      <c r="F99" s="256"/>
      <c r="G99" s="257">
        <v>1.1000000000000001</v>
      </c>
      <c r="H99" s="256"/>
      <c r="I99" s="257">
        <v>0.88</v>
      </c>
      <c r="J99" s="256"/>
      <c r="K99" s="257">
        <v>0.88</v>
      </c>
      <c r="L99" s="256"/>
      <c r="M99" s="257">
        <v>0.88</v>
      </c>
      <c r="N99" s="256"/>
      <c r="O99" s="604">
        <v>1</v>
      </c>
      <c r="P99" s="256"/>
      <c r="Q99" s="604">
        <v>1</v>
      </c>
      <c r="R99" s="256"/>
      <c r="S99" s="604">
        <v>1</v>
      </c>
      <c r="T99" s="256"/>
      <c r="U99" s="604">
        <v>1</v>
      </c>
      <c r="V99" s="256"/>
      <c r="W99" s="604">
        <v>0.6</v>
      </c>
      <c r="X99" s="256"/>
      <c r="Y99" s="604">
        <v>1</v>
      </c>
      <c r="Z99" s="256"/>
      <c r="AA99" s="604">
        <v>0.9</v>
      </c>
      <c r="AB99" s="256"/>
      <c r="AC99" s="604">
        <v>0.9</v>
      </c>
      <c r="AD99" s="256"/>
      <c r="AE99" s="604">
        <v>0.9</v>
      </c>
      <c r="AF99" s="810">
        <f>AA99/$O99-1</f>
        <v>-9.9999999999999978E-2</v>
      </c>
      <c r="AG99" s="811">
        <f>AC99/$Q99-1</f>
        <v>-9.9999999999999978E-2</v>
      </c>
      <c r="AH99" s="812">
        <f>AE99/$S99-1</f>
        <v>-9.9999999999999978E-2</v>
      </c>
      <c r="AJ99" s="256"/>
      <c r="AK99" s="604">
        <v>0.9</v>
      </c>
      <c r="AL99" s="256"/>
      <c r="AM99" s="604">
        <v>0.9</v>
      </c>
      <c r="AN99" s="256"/>
      <c r="AO99" s="604">
        <v>0.9</v>
      </c>
      <c r="AP99" s="810">
        <f>AK99/$O99-1</f>
        <v>-9.9999999999999978E-2</v>
      </c>
      <c r="AQ99" s="811">
        <f>AM99/$Q99-1</f>
        <v>-9.9999999999999978E-2</v>
      </c>
      <c r="AR99" s="812">
        <f>AO99/$S99-1</f>
        <v>-9.9999999999999978E-2</v>
      </c>
      <c r="AT99" s="256"/>
      <c r="AU99" s="604">
        <v>0.9</v>
      </c>
      <c r="AV99" s="256"/>
      <c r="AW99" s="604">
        <v>0.9</v>
      </c>
      <c r="AX99" s="256"/>
      <c r="AY99" s="604">
        <v>0.9</v>
      </c>
      <c r="AZ99" s="810">
        <f>AU99/$O99-1</f>
        <v>-9.9999999999999978E-2</v>
      </c>
      <c r="BA99" s="811">
        <f>AW99/$Q99-1</f>
        <v>-9.9999999999999978E-2</v>
      </c>
      <c r="BB99" s="736">
        <f>AY99/$S99-1</f>
        <v>-9.9999999999999978E-2</v>
      </c>
      <c r="BC99" s="283"/>
      <c r="BD99" s="256"/>
      <c r="BE99" s="604">
        <v>0.3</v>
      </c>
      <c r="BF99" s="283"/>
      <c r="BG99" s="256"/>
      <c r="BH99" s="604">
        <v>0</v>
      </c>
      <c r="BI99" s="256"/>
      <c r="BJ99" s="604">
        <f>BH99</f>
        <v>0</v>
      </c>
      <c r="BK99" s="256"/>
      <c r="BL99" s="604">
        <f>BJ99</f>
        <v>0</v>
      </c>
      <c r="BM99"/>
      <c r="BN99" s="283"/>
      <c r="BO99" s="256"/>
      <c r="BP99" s="604">
        <v>0</v>
      </c>
      <c r="BQ99" s="256"/>
      <c r="BR99" s="604">
        <f>BP99</f>
        <v>0</v>
      </c>
      <c r="BS99" s="256"/>
      <c r="BT99" s="604">
        <f>BR99</f>
        <v>0</v>
      </c>
      <c r="BU99" s="283"/>
      <c r="BV99" s="256"/>
      <c r="BW99" s="604">
        <v>1.3</v>
      </c>
      <c r="BY99" s="256"/>
      <c r="BZ99" s="604">
        <v>0</v>
      </c>
      <c r="CA99" s="256"/>
      <c r="CB99" s="604">
        <v>0</v>
      </c>
      <c r="CC99" s="256"/>
      <c r="CD99" s="604">
        <v>0</v>
      </c>
      <c r="CH99" s="256"/>
      <c r="CI99" s="604">
        <v>0</v>
      </c>
      <c r="CJ99" s="256"/>
      <c r="CK99" s="604">
        <f>CI99</f>
        <v>0</v>
      </c>
      <c r="CL99" s="256"/>
      <c r="CM99" s="604">
        <f>CK99</f>
        <v>0</v>
      </c>
      <c r="CN99" s="283"/>
    </row>
    <row r="100" spans="1:92" s="65" customFormat="1" ht="18" customHeight="1" x14ac:dyDescent="0.45">
      <c r="A100" s="561"/>
      <c r="B100" s="266"/>
      <c r="C100" s="148" t="s">
        <v>92</v>
      </c>
      <c r="D100" s="144"/>
      <c r="E100" s="148" t="s">
        <v>77</v>
      </c>
      <c r="F100" s="146"/>
      <c r="G100" s="147">
        <f>G96-G99</f>
        <v>0.30683093902505298</v>
      </c>
      <c r="H100" s="146"/>
      <c r="I100" s="147">
        <f>I96-I99</f>
        <v>0.36760589717652425</v>
      </c>
      <c r="J100" s="146"/>
      <c r="K100" s="147">
        <f>K96-K99</f>
        <v>0.36760589717652425</v>
      </c>
      <c r="L100" s="146"/>
      <c r="M100" s="147">
        <f>M96-M99</f>
        <v>0.36760589717652425</v>
      </c>
      <c r="N100" s="146"/>
      <c r="O100" s="601">
        <f>O96-O99</f>
        <v>0.13454007100454013</v>
      </c>
      <c r="P100" s="146"/>
      <c r="Q100" s="601">
        <f>Q96-Q99</f>
        <v>0.13454007100454013</v>
      </c>
      <c r="R100" s="146"/>
      <c r="S100" s="601">
        <f>S96-S99</f>
        <v>0.13454007100454013</v>
      </c>
      <c r="T100" s="146"/>
      <c r="U100" s="601">
        <f>U96-U99</f>
        <v>2.0185416838286452E-2</v>
      </c>
      <c r="V100" s="146"/>
      <c r="W100" s="601">
        <f>W96-W99</f>
        <v>0.26975133861017364</v>
      </c>
      <c r="X100" s="146"/>
      <c r="Y100" s="601">
        <f>Y96-Y99</f>
        <v>0.37975133861017341</v>
      </c>
      <c r="Z100" s="146"/>
      <c r="AA100" s="601">
        <f>AA96-AA99</f>
        <v>0.12975133861017418</v>
      </c>
      <c r="AB100" s="146"/>
      <c r="AC100" s="601">
        <f>AC96-AC99</f>
        <v>0.12975133861017418</v>
      </c>
      <c r="AD100" s="146"/>
      <c r="AE100" s="601">
        <f>AE96-AE99</f>
        <v>0.12975133861017418</v>
      </c>
      <c r="AF100" s="807"/>
      <c r="AG100" s="808"/>
      <c r="AH100" s="809"/>
      <c r="AJ100" s="146"/>
      <c r="AK100" s="601">
        <f>AK96-AK99</f>
        <v>0.12975133861017418</v>
      </c>
      <c r="AL100" s="146"/>
      <c r="AM100" s="601">
        <f>AM96-AM99</f>
        <v>0.12975133861017418</v>
      </c>
      <c r="AN100" s="146"/>
      <c r="AO100" s="601">
        <f>AO96-AO99</f>
        <v>0.12975133861017418</v>
      </c>
      <c r="AP100" s="807"/>
      <c r="AQ100" s="808"/>
      <c r="AR100" s="809"/>
      <c r="AT100" s="146"/>
      <c r="AU100" s="601">
        <f>AU96-AU99</f>
        <v>0.12975133861017418</v>
      </c>
      <c r="AV100" s="146"/>
      <c r="AW100" s="601">
        <f>AW96-AW99</f>
        <v>0.12975133861017418</v>
      </c>
      <c r="AX100" s="146"/>
      <c r="AY100" s="601">
        <f>AY96-AY99</f>
        <v>0.12975133861017418</v>
      </c>
      <c r="AZ100" s="807"/>
      <c r="BA100" s="808"/>
      <c r="BB100" s="735"/>
      <c r="BC100" s="283"/>
      <c r="BD100" s="146"/>
      <c r="BE100" s="601">
        <f>BE96-BE99</f>
        <v>0.1369344372017236</v>
      </c>
      <c r="BF100" s="283"/>
      <c r="BG100" s="146"/>
      <c r="BH100" s="601">
        <f>BH96-BH99</f>
        <v>5.0173873821442269E-2</v>
      </c>
      <c r="BI100" s="146"/>
      <c r="BJ100" s="601">
        <f t="shared" ref="BJ100" si="305">BJ96-BJ99</f>
        <v>5.0173873821442269E-2</v>
      </c>
      <c r="BK100" s="146"/>
      <c r="BL100" s="601">
        <f t="shared" ref="BL100" si="306">BL96-BL99</f>
        <v>5.0173873821442269E-2</v>
      </c>
      <c r="BM100"/>
      <c r="BN100" s="283"/>
      <c r="BO100" s="146"/>
      <c r="BP100" s="601">
        <f>BP96-BP99</f>
        <v>1.295948521708765</v>
      </c>
      <c r="BQ100" s="146"/>
      <c r="BR100" s="601">
        <f t="shared" ref="BR100" si="307">BR96-BR99</f>
        <v>1.295948521708765</v>
      </c>
      <c r="BS100" s="146"/>
      <c r="BT100" s="601">
        <f t="shared" ref="BT100" si="308">BT96-BT99</f>
        <v>1.295948521708765</v>
      </c>
      <c r="BU100" s="283"/>
      <c r="BV100" s="146"/>
      <c r="BW100" s="601">
        <f>BW96-BW99</f>
        <v>0.2369344372017228</v>
      </c>
      <c r="BY100" s="146"/>
      <c r="BZ100" s="601">
        <f>BZ96-BZ99</f>
        <v>0.12443181818181823</v>
      </c>
      <c r="CA100" s="146"/>
      <c r="CB100" s="601">
        <f>CB96-CB99</f>
        <v>0.10275349650349683</v>
      </c>
      <c r="CC100" s="146"/>
      <c r="CD100" s="601">
        <f>CD96-CD99</f>
        <v>0.4752010489510492</v>
      </c>
      <c r="CH100" s="146"/>
      <c r="CI100" s="601">
        <f>CI96-CI99</f>
        <v>1.6959485217087653</v>
      </c>
      <c r="CJ100" s="146"/>
      <c r="CK100" s="601">
        <f t="shared" ref="CK100" si="309">CK96-CK99</f>
        <v>1.6959485217087653</v>
      </c>
      <c r="CL100" s="146"/>
      <c r="CM100" s="601">
        <f t="shared" ref="CM100" si="310">CM96-CM99</f>
        <v>1.6959485217087653</v>
      </c>
      <c r="CN100" s="283"/>
    </row>
    <row r="101" spans="1:92" s="65" customFormat="1" ht="18" customHeight="1" x14ac:dyDescent="0.45">
      <c r="A101" s="561"/>
      <c r="B101" s="266"/>
      <c r="C101" s="131" t="s">
        <v>93</v>
      </c>
      <c r="D101" s="131"/>
      <c r="E101" s="149"/>
      <c r="F101" s="132"/>
      <c r="G101" s="133">
        <f>G100/G74</f>
        <v>5.6404031481683943E-2</v>
      </c>
      <c r="H101" s="132"/>
      <c r="I101" s="133">
        <f>I100/I74</f>
        <v>6.9320419314451806E-2</v>
      </c>
      <c r="J101" s="132"/>
      <c r="K101" s="133">
        <f>K100/K74</f>
        <v>6.9320419314451806E-2</v>
      </c>
      <c r="L101" s="132"/>
      <c r="M101" s="133">
        <f>M100/M74</f>
        <v>6.9320419314451806E-2</v>
      </c>
      <c r="N101" s="381"/>
      <c r="O101" s="611">
        <f>O100/O74</f>
        <v>2.3439036760372844E-2</v>
      </c>
      <c r="P101" s="381"/>
      <c r="Q101" s="611">
        <f>Q100/Q74</f>
        <v>2.3439036760372844E-2</v>
      </c>
      <c r="R101" s="381"/>
      <c r="S101" s="611">
        <f>S100/S74</f>
        <v>2.3439036760372844E-2</v>
      </c>
      <c r="T101" s="381"/>
      <c r="U101" s="611">
        <f>U100/U74</f>
        <v>3.5166231425586151E-3</v>
      </c>
      <c r="V101" s="381"/>
      <c r="W101" s="611">
        <f>W100/W74</f>
        <v>4.6995006726511086E-2</v>
      </c>
      <c r="X101" s="381"/>
      <c r="Y101" s="611">
        <f>Y100/Y74</f>
        <v>5.8423282863103602E-2</v>
      </c>
      <c r="Z101" s="381"/>
      <c r="AA101" s="611">
        <f>AA100/AA74</f>
        <v>2.237092045003003E-2</v>
      </c>
      <c r="AB101" s="381"/>
      <c r="AC101" s="611">
        <f>AC100/AC74</f>
        <v>2.237092045003003E-2</v>
      </c>
      <c r="AD101" s="381"/>
      <c r="AE101" s="611">
        <f>AE100/AE74</f>
        <v>2.237092045003003E-2</v>
      </c>
      <c r="AF101" s="548"/>
      <c r="AG101" s="645"/>
      <c r="AH101" s="547"/>
      <c r="AJ101" s="381"/>
      <c r="AK101" s="611">
        <f>AK100/AK74</f>
        <v>2.237092045003003E-2</v>
      </c>
      <c r="AL101" s="381"/>
      <c r="AM101" s="611">
        <f>AM100/AM74</f>
        <v>2.237092045003003E-2</v>
      </c>
      <c r="AN101" s="381"/>
      <c r="AO101" s="611">
        <f>AO100/AO74</f>
        <v>2.237092045003003E-2</v>
      </c>
      <c r="AP101" s="548"/>
      <c r="AQ101" s="645"/>
      <c r="AR101" s="547"/>
      <c r="AT101" s="381"/>
      <c r="AU101" s="611">
        <f>AU100/AU74</f>
        <v>2.237092045003003E-2</v>
      </c>
      <c r="AV101" s="381"/>
      <c r="AW101" s="611">
        <f>AW100/AW74</f>
        <v>2.237092045003003E-2</v>
      </c>
      <c r="AX101" s="381"/>
      <c r="AY101" s="611">
        <f>AY100/AY74</f>
        <v>2.237092045003003E-2</v>
      </c>
      <c r="AZ101" s="548"/>
      <c r="BA101" s="645"/>
      <c r="BB101" s="645"/>
      <c r="BC101" s="283"/>
      <c r="BD101" s="381"/>
      <c r="BE101" s="611">
        <f>BE100/BE74</f>
        <v>2.3609385724435102E-2</v>
      </c>
      <c r="BF101" s="283"/>
      <c r="BG101" s="381"/>
      <c r="BH101" s="611">
        <f>BH100/BH74</f>
        <v>7.43316649206552E-3</v>
      </c>
      <c r="BI101" s="381"/>
      <c r="BJ101" s="611">
        <f t="shared" ref="BJ101" si="311">BJ100/BJ74</f>
        <v>7.43316649206552E-3</v>
      </c>
      <c r="BK101" s="381"/>
      <c r="BL101" s="611">
        <f t="shared" ref="BL101" si="312">BL100/BL74</f>
        <v>7.43316649206552E-3</v>
      </c>
      <c r="BM101"/>
      <c r="BN101" s="283"/>
      <c r="BO101" s="381"/>
      <c r="BP101" s="611">
        <f>BP100/BP74</f>
        <v>0.19635583662254016</v>
      </c>
      <c r="BQ101" s="381"/>
      <c r="BR101" s="611">
        <f t="shared" ref="BR101" si="313">BR100/BR74</f>
        <v>0.19635583662254016</v>
      </c>
      <c r="BS101" s="381"/>
      <c r="BT101" s="611">
        <f t="shared" ref="BT101" si="314">BT100/BT74</f>
        <v>0.19635583662254016</v>
      </c>
      <c r="BU101" s="283"/>
      <c r="BV101" s="381"/>
      <c r="BW101" s="611">
        <f>BW100/BW74</f>
        <v>3.6451451877188124E-2</v>
      </c>
      <c r="BY101" s="381"/>
      <c r="BZ101" s="611">
        <f>BZ100/BZ74</f>
        <v>2.2623966942148768E-2</v>
      </c>
      <c r="CA101" s="381"/>
      <c r="CB101" s="611">
        <f>CB100/CB74</f>
        <v>1.7125582750582805E-2</v>
      </c>
      <c r="CC101" s="381"/>
      <c r="CD101" s="611">
        <f>CD100/CD74</f>
        <v>7.2000158931977157E-2</v>
      </c>
      <c r="CH101" s="381"/>
      <c r="CI101" s="611">
        <f>CI100/CI74</f>
        <v>0.24227836024410934</v>
      </c>
      <c r="CJ101" s="381"/>
      <c r="CK101" s="611">
        <f t="shared" ref="CK101" si="315">CK100/CK74</f>
        <v>0.24227836024410934</v>
      </c>
      <c r="CL101" s="381"/>
      <c r="CM101" s="611">
        <f t="shared" ref="CM101" si="316">CM100/CM74</f>
        <v>0.24227836024410934</v>
      </c>
      <c r="CN101" s="283"/>
    </row>
    <row r="102" spans="1:92" s="65" customFormat="1" ht="6.75" customHeight="1" x14ac:dyDescent="0.45">
      <c r="A102" s="561"/>
      <c r="B102" s="266"/>
      <c r="C102" s="131"/>
      <c r="D102" s="131"/>
      <c r="E102" s="131"/>
      <c r="F102" s="132"/>
      <c r="G102" s="133"/>
      <c r="H102" s="132"/>
      <c r="I102" s="133"/>
      <c r="J102" s="132"/>
      <c r="K102" s="133"/>
      <c r="L102" s="132"/>
      <c r="M102" s="133"/>
      <c r="N102" s="381"/>
      <c r="O102" s="383"/>
      <c r="P102" s="381"/>
      <c r="Q102" s="383"/>
      <c r="R102" s="381"/>
      <c r="S102" s="383"/>
      <c r="T102" s="381"/>
      <c r="U102" s="383"/>
      <c r="V102" s="381"/>
      <c r="W102" s="383"/>
      <c r="X102" s="381"/>
      <c r="Y102" s="383"/>
      <c r="Z102" s="381"/>
      <c r="AA102" s="383"/>
      <c r="AB102" s="381"/>
      <c r="AC102" s="383"/>
      <c r="AD102" s="381"/>
      <c r="AE102" s="383"/>
      <c r="AF102" s="548"/>
      <c r="AG102" s="645"/>
      <c r="AH102" s="547"/>
      <c r="AJ102" s="381"/>
      <c r="AK102" s="383"/>
      <c r="AL102" s="381"/>
      <c r="AM102" s="383"/>
      <c r="AN102" s="381"/>
      <c r="AO102" s="383"/>
      <c r="AP102" s="548"/>
      <c r="AQ102" s="645"/>
      <c r="AR102" s="547"/>
      <c r="AT102" s="381"/>
      <c r="AU102" s="383"/>
      <c r="AV102" s="381"/>
      <c r="AW102" s="383"/>
      <c r="AX102" s="381"/>
      <c r="AY102" s="383"/>
      <c r="AZ102" s="548"/>
      <c r="BA102" s="645"/>
      <c r="BB102" s="645"/>
      <c r="BC102" s="283"/>
      <c r="BD102" s="381"/>
      <c r="BE102" s="383"/>
      <c r="BF102" s="283"/>
      <c r="BG102" s="381"/>
      <c r="BH102" s="383"/>
      <c r="BI102" s="381"/>
      <c r="BJ102" s="383"/>
      <c r="BK102" s="381"/>
      <c r="BL102" s="383"/>
      <c r="BM102"/>
      <c r="BN102" s="283"/>
      <c r="BO102" s="381"/>
      <c r="BP102" s="383"/>
      <c r="BQ102" s="381"/>
      <c r="BR102" s="383"/>
      <c r="BS102" s="381"/>
      <c r="BT102" s="383"/>
      <c r="BU102" s="283"/>
      <c r="BV102" s="381"/>
      <c r="BW102" s="383"/>
      <c r="BY102" s="381"/>
      <c r="BZ102" s="383"/>
      <c r="CA102" s="381"/>
      <c r="CB102" s="383"/>
      <c r="CC102" s="381"/>
      <c r="CD102" s="383"/>
      <c r="CH102" s="381"/>
      <c r="CI102" s="383"/>
      <c r="CJ102" s="381"/>
      <c r="CK102" s="383"/>
      <c r="CL102" s="381"/>
      <c r="CM102" s="383"/>
      <c r="CN102" s="283"/>
    </row>
    <row r="103" spans="1:92" s="65" customFormat="1" ht="18" customHeight="1" x14ac:dyDescent="0.45">
      <c r="A103" s="561"/>
      <c r="B103" s="266"/>
      <c r="C103" s="262" t="s">
        <v>94</v>
      </c>
      <c r="D103" s="131"/>
      <c r="E103" s="131"/>
      <c r="F103" s="132"/>
      <c r="G103" s="383">
        <f>(G143-G142)/G73-G65</f>
        <v>0.14979338842975207</v>
      </c>
      <c r="H103" s="132"/>
      <c r="I103" s="383">
        <f>(I143-I142)/I73-I65</f>
        <v>1.2913223140495868E-2</v>
      </c>
      <c r="J103" s="132"/>
      <c r="K103" s="151">
        <f>(K144-K142)/K73</f>
        <v>1.2913223140495868E-2</v>
      </c>
      <c r="L103" s="132"/>
      <c r="M103" s="151">
        <f>(M144-M142)/M73</f>
        <v>1.2913223140495868E-2</v>
      </c>
      <c r="N103" s="381"/>
      <c r="O103" s="383">
        <f>(O143-O142)/O73-O65</f>
        <v>4.6487603305785125E-3</v>
      </c>
      <c r="P103" s="381"/>
      <c r="Q103" s="383">
        <f>(Q143-Q142)/Q73</f>
        <v>7.7479338842975212E-2</v>
      </c>
      <c r="R103" s="381"/>
      <c r="S103" s="383">
        <f>(S143-S142)/S73</f>
        <v>7.7479338842975212E-2</v>
      </c>
      <c r="T103" s="381"/>
      <c r="U103" s="383">
        <f>(U143-U142)/U73-U65</f>
        <v>1.1363636363636364E-2</v>
      </c>
      <c r="V103" s="381"/>
      <c r="W103" s="383">
        <f>(W143-W142)/W73-W65</f>
        <v>7.7479338842975212E-2</v>
      </c>
      <c r="X103" s="381"/>
      <c r="Y103" s="383">
        <f>(Y143-Y142)/Y73-Y65</f>
        <v>0</v>
      </c>
      <c r="Z103" s="381"/>
      <c r="AA103" s="383">
        <f>(AA143-AA142)/AA73</f>
        <v>0</v>
      </c>
      <c r="AB103" s="381"/>
      <c r="AC103" s="383">
        <f>(AC143-AC142)/AC73</f>
        <v>0</v>
      </c>
      <c r="AD103" s="381"/>
      <c r="AE103" s="383">
        <f>(AE143-AE142)/AE73</f>
        <v>0</v>
      </c>
      <c r="AF103" s="548"/>
      <c r="AG103" s="645"/>
      <c r="AH103" s="547"/>
      <c r="AJ103" s="381"/>
      <c r="AK103" s="383">
        <f>(AK143-AK142)/AK73</f>
        <v>0</v>
      </c>
      <c r="AL103" s="381"/>
      <c r="AM103" s="383">
        <f>(AM143-AM142)/AM73</f>
        <v>0</v>
      </c>
      <c r="AN103" s="381"/>
      <c r="AO103" s="383">
        <f>(AO143-AO142)/AO73</f>
        <v>0</v>
      </c>
      <c r="AP103" s="548"/>
      <c r="AQ103" s="645"/>
      <c r="AR103" s="547"/>
      <c r="AT103" s="381"/>
      <c r="AU103" s="383">
        <f>(AU143-AU142)/AU73</f>
        <v>0</v>
      </c>
      <c r="AV103" s="381"/>
      <c r="AW103" s="383">
        <f>(AW143-AW142)/AW73</f>
        <v>0</v>
      </c>
      <c r="AX103" s="381"/>
      <c r="AY103" s="383">
        <f>(AY143-AY142)/AY73</f>
        <v>0</v>
      </c>
      <c r="AZ103" s="548"/>
      <c r="BA103" s="645"/>
      <c r="BB103" s="645"/>
      <c r="BC103" s="283"/>
      <c r="BD103" s="381"/>
      <c r="BE103" s="383">
        <f>(BE143-BE142)/BE73-BE65</f>
        <v>0</v>
      </c>
      <c r="BF103" s="283"/>
      <c r="BG103" s="381"/>
      <c r="BH103" s="383">
        <f>(BH143-BH142)/BH73-BH65</f>
        <v>-7.7479338842975212E-2</v>
      </c>
      <c r="BI103" s="381"/>
      <c r="BJ103" s="383">
        <f>(BJ143-BJ142)/BJ73-BJ65</f>
        <v>-7.7479338842975212E-2</v>
      </c>
      <c r="BK103" s="381"/>
      <c r="BL103" s="383">
        <f>(BL143-BL142)/BL73-BL65</f>
        <v>-7.7479338842975212E-2</v>
      </c>
      <c r="BM103"/>
      <c r="BN103" s="283"/>
      <c r="BO103" s="381"/>
      <c r="BP103" s="383">
        <f>(BP143-BP142)/BP73-BP65</f>
        <v>0</v>
      </c>
      <c r="BQ103" s="381"/>
      <c r="BR103" s="383">
        <f>(BR143-BR142)/BR73-BR65</f>
        <v>-0.38739669421487605</v>
      </c>
      <c r="BS103" s="381"/>
      <c r="BT103" s="383">
        <f>(BT143-BT142)/BT73-BT65</f>
        <v>-0.38739669421487605</v>
      </c>
      <c r="BU103" s="283"/>
      <c r="BV103" s="381"/>
      <c r="BW103" s="383">
        <f>(BW143-BW142)/BW73-BW65</f>
        <v>0</v>
      </c>
      <c r="BY103" s="381"/>
      <c r="BZ103" s="383">
        <f>(BZ143-BZ142)/BZ73-BZ65</f>
        <v>-2.4999999999999967E-2</v>
      </c>
      <c r="CA103" s="381"/>
      <c r="CB103" s="383">
        <f>(CB143-CB142)/CB73-CB65</f>
        <v>-2.4999999999999967E-2</v>
      </c>
      <c r="CC103" s="381"/>
      <c r="CD103" s="383">
        <f>(CD143-CD142)/CD73-CD65</f>
        <v>-2.4999999999999967E-2</v>
      </c>
      <c r="CH103" s="381"/>
      <c r="CI103" s="383">
        <f>(CI143-CI142)/CI73-CI65</f>
        <v>0</v>
      </c>
      <c r="CJ103" s="381"/>
      <c r="CK103" s="383">
        <f>(CK143-CK142)/CK73-CK65</f>
        <v>-0.38739669421487605</v>
      </c>
      <c r="CL103" s="381"/>
      <c r="CM103" s="383">
        <f>(CM143-CM142)/CM73-CM65</f>
        <v>-0.38739669421487605</v>
      </c>
      <c r="CN103" s="283"/>
    </row>
    <row r="104" spans="1:92" s="65" customFormat="1" ht="6.75" customHeight="1" x14ac:dyDescent="0.45">
      <c r="A104" s="561"/>
      <c r="B104" s="266"/>
      <c r="C104" s="131"/>
      <c r="D104" s="131"/>
      <c r="E104" s="131"/>
      <c r="F104" s="132"/>
      <c r="G104" s="133"/>
      <c r="H104" s="132"/>
      <c r="I104" s="133"/>
      <c r="J104" s="132"/>
      <c r="K104" s="133"/>
      <c r="L104" s="132"/>
      <c r="M104" s="133"/>
      <c r="N104" s="381"/>
      <c r="O104" s="383"/>
      <c r="P104" s="381"/>
      <c r="Q104" s="383"/>
      <c r="R104" s="381"/>
      <c r="S104" s="383"/>
      <c r="T104" s="381"/>
      <c r="U104" s="383"/>
      <c r="V104" s="381"/>
      <c r="W104" s="383"/>
      <c r="X104" s="381"/>
      <c r="Y104" s="383"/>
      <c r="Z104" s="381"/>
      <c r="AA104" s="383"/>
      <c r="AB104" s="381"/>
      <c r="AC104" s="383"/>
      <c r="AD104" s="381"/>
      <c r="AE104" s="383"/>
      <c r="AF104" s="548"/>
      <c r="AG104" s="645"/>
      <c r="AH104" s="547"/>
      <c r="AJ104" s="381"/>
      <c r="AK104" s="383"/>
      <c r="AL104" s="381"/>
      <c r="AM104" s="383"/>
      <c r="AN104" s="381"/>
      <c r="AO104" s="383"/>
      <c r="AP104" s="548"/>
      <c r="AQ104" s="645"/>
      <c r="AR104" s="547"/>
      <c r="AT104" s="381"/>
      <c r="AU104" s="383"/>
      <c r="AV104" s="381"/>
      <c r="AW104" s="383"/>
      <c r="AX104" s="381"/>
      <c r="AY104" s="383"/>
      <c r="AZ104" s="548"/>
      <c r="BA104" s="645"/>
      <c r="BB104" s="645"/>
      <c r="BC104" s="283"/>
      <c r="BD104" s="381"/>
      <c r="BE104" s="383"/>
      <c r="BF104" s="283"/>
      <c r="BG104" s="381"/>
      <c r="BH104" s="383"/>
      <c r="BI104" s="381"/>
      <c r="BJ104" s="383"/>
      <c r="BK104" s="381"/>
      <c r="BL104" s="383"/>
      <c r="BM104"/>
      <c r="BN104" s="283"/>
      <c r="BO104" s="381"/>
      <c r="BP104" s="383"/>
      <c r="BQ104" s="381"/>
      <c r="BR104" s="383"/>
      <c r="BS104" s="381"/>
      <c r="BT104" s="383"/>
      <c r="BU104" s="283"/>
      <c r="BV104" s="381"/>
      <c r="BW104" s="383"/>
      <c r="BY104" s="381"/>
      <c r="BZ104" s="383"/>
      <c r="CA104" s="381"/>
      <c r="CB104" s="383"/>
      <c r="CC104" s="381"/>
      <c r="CD104" s="383"/>
      <c r="CH104" s="381"/>
      <c r="CI104" s="383"/>
      <c r="CJ104" s="381"/>
      <c r="CK104" s="383"/>
      <c r="CL104" s="381"/>
      <c r="CM104" s="383"/>
      <c r="CN104" s="283"/>
    </row>
    <row r="105" spans="1:92" s="65" customFormat="1" ht="18" customHeight="1" x14ac:dyDescent="0.45">
      <c r="A105" s="561"/>
      <c r="B105" s="266"/>
      <c r="C105" s="154" t="s">
        <v>95</v>
      </c>
      <c r="D105" s="154"/>
      <c r="E105" s="154" t="s">
        <v>77</v>
      </c>
      <c r="F105" s="155"/>
      <c r="G105" s="156">
        <f>G100-G103</f>
        <v>0.15703755059530092</v>
      </c>
      <c r="H105" s="155"/>
      <c r="I105" s="156">
        <f>I100-I103</f>
        <v>0.35469267403602839</v>
      </c>
      <c r="J105" s="155"/>
      <c r="K105" s="156">
        <f>K100-K103</f>
        <v>0.35469267403602839</v>
      </c>
      <c r="L105" s="155"/>
      <c r="M105" s="156">
        <f>M100-M103</f>
        <v>0.35469267403602839</v>
      </c>
      <c r="N105" s="155"/>
      <c r="O105" s="590">
        <f>O100-O103</f>
        <v>0.12989131067396162</v>
      </c>
      <c r="P105" s="155"/>
      <c r="Q105" s="590">
        <f>Q100-Q103</f>
        <v>5.7060732161564917E-2</v>
      </c>
      <c r="R105" s="155"/>
      <c r="S105" s="590">
        <f>S100-S103</f>
        <v>5.7060732161564917E-2</v>
      </c>
      <c r="T105" s="155"/>
      <c r="U105" s="590">
        <f>U100-U103</f>
        <v>8.8217804746500879E-3</v>
      </c>
      <c r="V105" s="155"/>
      <c r="W105" s="590">
        <f>W100-W103</f>
        <v>0.19227199976719844</v>
      </c>
      <c r="X105" s="683"/>
      <c r="Y105" s="590">
        <f>Y100-Y103</f>
        <v>0.37975133861017341</v>
      </c>
      <c r="Z105" s="683"/>
      <c r="AA105" s="590">
        <f>AA100-AA103</f>
        <v>0.12975133861017418</v>
      </c>
      <c r="AB105" s="683"/>
      <c r="AC105" s="590">
        <f>AC100-AC103</f>
        <v>0.12975133861017418</v>
      </c>
      <c r="AD105" s="683"/>
      <c r="AE105" s="590">
        <f>AE100-AE103</f>
        <v>0.12975133861017418</v>
      </c>
      <c r="AF105" s="813">
        <f>AA105/$O105-1</f>
        <v>-1.0776091415288791E-3</v>
      </c>
      <c r="AG105" s="737">
        <f>AC105/$Q105-1</f>
        <v>1.2739164692592633</v>
      </c>
      <c r="AH105" s="814">
        <f>AE105/$S105-1</f>
        <v>1.2739164692592633</v>
      </c>
      <c r="AJ105" s="683"/>
      <c r="AK105" s="590">
        <f>AK100-AK103</f>
        <v>0.12975133861017418</v>
      </c>
      <c r="AL105" s="683"/>
      <c r="AM105" s="590">
        <f>AM100-AM103</f>
        <v>0.12975133861017418</v>
      </c>
      <c r="AN105" s="683"/>
      <c r="AO105" s="590">
        <f>AO100-AO103</f>
        <v>0.12975133861017418</v>
      </c>
      <c r="AP105" s="813">
        <f>AK105/$O105-1</f>
        <v>-1.0776091415288791E-3</v>
      </c>
      <c r="AQ105" s="737">
        <f>AM105/$Q105-1</f>
        <v>1.2739164692592633</v>
      </c>
      <c r="AR105" s="814">
        <f>AO105/$S105-1</f>
        <v>1.2739164692592633</v>
      </c>
      <c r="AT105" s="683"/>
      <c r="AU105" s="590">
        <f>AU100-AU103</f>
        <v>0.12975133861017418</v>
      </c>
      <c r="AV105" s="683"/>
      <c r="AW105" s="590">
        <f>AW100-AW103</f>
        <v>0.12975133861017418</v>
      </c>
      <c r="AX105" s="683"/>
      <c r="AY105" s="590">
        <f>AY100-AY103</f>
        <v>0.12975133861017418</v>
      </c>
      <c r="AZ105" s="813">
        <f>AU105/$O105-1</f>
        <v>-1.0776091415288791E-3</v>
      </c>
      <c r="BA105" s="737">
        <f>AW105/$Q105-1</f>
        <v>1.2739164692592633</v>
      </c>
      <c r="BB105" s="737">
        <f>AY105/$S105-1</f>
        <v>1.2739164692592633</v>
      </c>
      <c r="BC105" s="283"/>
      <c r="BD105" s="683"/>
      <c r="BE105" s="590">
        <f>BE100-BE103</f>
        <v>0.1369344372017236</v>
      </c>
      <c r="BF105" s="283"/>
      <c r="BG105" s="683"/>
      <c r="BH105" s="590">
        <f>BH100-BH103</f>
        <v>0.12765321266441748</v>
      </c>
      <c r="BI105" s="683"/>
      <c r="BJ105" s="590">
        <f t="shared" ref="BJ105" si="317">BJ100-BJ103</f>
        <v>0.12765321266441748</v>
      </c>
      <c r="BK105" s="683"/>
      <c r="BL105" s="590">
        <f t="shared" ref="BL105" si="318">BL100-BL103</f>
        <v>0.12765321266441748</v>
      </c>
      <c r="BM105"/>
      <c r="BN105" s="283"/>
      <c r="BO105" s="683"/>
      <c r="BP105" s="590">
        <f>BP100-BP103</f>
        <v>1.295948521708765</v>
      </c>
      <c r="BQ105" s="683"/>
      <c r="BR105" s="590">
        <f t="shared" ref="BR105" si="319">BR100-BR103</f>
        <v>1.6833452159236411</v>
      </c>
      <c r="BS105" s="683"/>
      <c r="BT105" s="590">
        <f t="shared" ref="BT105" si="320">BT100-BT103</f>
        <v>1.6833452159236411</v>
      </c>
      <c r="BU105" s="283"/>
      <c r="BV105" s="683"/>
      <c r="BW105" s="590">
        <f>BW100-BW103</f>
        <v>0.2369344372017228</v>
      </c>
      <c r="BY105" s="683"/>
      <c r="BZ105" s="590">
        <f>BZ100-BZ103</f>
        <v>0.14943181818181819</v>
      </c>
      <c r="CA105" s="683"/>
      <c r="CB105" s="590">
        <f>CB100-CB103</f>
        <v>0.12775349650349679</v>
      </c>
      <c r="CC105" s="683"/>
      <c r="CD105" s="590">
        <f>CD100-CD103</f>
        <v>0.50020104895104911</v>
      </c>
      <c r="CE105" s="1089">
        <f>BP105-BH105</f>
        <v>1.1682953090443475</v>
      </c>
      <c r="CH105" s="683"/>
      <c r="CI105" s="590">
        <f>CI100-CI103</f>
        <v>1.6959485217087653</v>
      </c>
      <c r="CJ105" s="683"/>
      <c r="CK105" s="590">
        <f t="shared" ref="CK105" si="321">CK100-CK103</f>
        <v>2.0833452159236412</v>
      </c>
      <c r="CL105" s="683"/>
      <c r="CM105" s="590">
        <f t="shared" ref="CM105" si="322">CM100-CM103</f>
        <v>2.0833452159236412</v>
      </c>
      <c r="CN105" s="283"/>
    </row>
    <row r="106" spans="1:92" s="65" customFormat="1" ht="18" customHeight="1" thickBot="1" x14ac:dyDescent="0.5">
      <c r="A106" s="561"/>
      <c r="B106" s="267"/>
      <c r="C106" s="158" t="s">
        <v>96</v>
      </c>
      <c r="D106" s="158"/>
      <c r="E106" s="158"/>
      <c r="F106" s="159"/>
      <c r="G106" s="160">
        <f>G105/G74</f>
        <v>2.8867854642457235E-2</v>
      </c>
      <c r="H106" s="159"/>
      <c r="I106" s="160">
        <f>I105/I74</f>
        <v>6.6885338567174227E-2</v>
      </c>
      <c r="J106" s="159"/>
      <c r="K106" s="160">
        <f>K105/K74</f>
        <v>6.6885338567174227E-2</v>
      </c>
      <c r="L106" s="159"/>
      <c r="M106" s="160">
        <f>M105/M74</f>
        <v>6.6885338567174227E-2</v>
      </c>
      <c r="N106" s="159"/>
      <c r="O106" s="609">
        <f>O105/O74</f>
        <v>2.2629148201038608E-2</v>
      </c>
      <c r="P106" s="159"/>
      <c r="Q106" s="609">
        <f>Q105/Q74</f>
        <v>9.9408941048022507E-3</v>
      </c>
      <c r="R106" s="159"/>
      <c r="S106" s="609">
        <f>S105/S74</f>
        <v>9.9408941048022507E-3</v>
      </c>
      <c r="T106" s="159"/>
      <c r="U106" s="609">
        <f>U105/U74</f>
        <v>1.5368955530749282E-3</v>
      </c>
      <c r="V106" s="159"/>
      <c r="W106" s="609">
        <f>W105/W74</f>
        <v>3.3496864070940491E-2</v>
      </c>
      <c r="X106" s="159"/>
      <c r="Y106" s="609">
        <f>Y105/Y74</f>
        <v>5.8423282863103602E-2</v>
      </c>
      <c r="Z106" s="159"/>
      <c r="AA106" s="609">
        <f>AA105/AA74</f>
        <v>2.237092045003003E-2</v>
      </c>
      <c r="AB106" s="159"/>
      <c r="AC106" s="609">
        <f>AC105/AC74</f>
        <v>2.237092045003003E-2</v>
      </c>
      <c r="AD106" s="159"/>
      <c r="AE106" s="609">
        <f>AE105/AE74</f>
        <v>2.237092045003003E-2</v>
      </c>
      <c r="AF106" s="815"/>
      <c r="AG106" s="816"/>
      <c r="AH106" s="605"/>
      <c r="AJ106" s="159"/>
      <c r="AK106" s="609">
        <f>AK105/AK74</f>
        <v>2.237092045003003E-2</v>
      </c>
      <c r="AL106" s="159"/>
      <c r="AM106" s="609">
        <f>AM105/AM74</f>
        <v>2.237092045003003E-2</v>
      </c>
      <c r="AN106" s="159"/>
      <c r="AO106" s="609">
        <f>AO105/AO74</f>
        <v>2.237092045003003E-2</v>
      </c>
      <c r="AP106" s="815"/>
      <c r="AQ106" s="816"/>
      <c r="AR106" s="605"/>
      <c r="AT106" s="159"/>
      <c r="AU106" s="609">
        <f>AU105/AU74</f>
        <v>2.237092045003003E-2</v>
      </c>
      <c r="AV106" s="159"/>
      <c r="AW106" s="609">
        <f>AW105/AW74</f>
        <v>2.237092045003003E-2</v>
      </c>
      <c r="AX106" s="159"/>
      <c r="AY106" s="609">
        <f>AY105/AY74</f>
        <v>2.237092045003003E-2</v>
      </c>
      <c r="AZ106" s="815"/>
      <c r="BA106" s="816"/>
      <c r="BB106" s="651"/>
      <c r="BC106" s="283"/>
      <c r="BD106" s="159"/>
      <c r="BE106" s="609">
        <f>BE105/BE74</f>
        <v>2.3609385724435102E-2</v>
      </c>
      <c r="BF106" s="283"/>
      <c r="BG106" s="159"/>
      <c r="BH106" s="609">
        <f>BH105/BH74</f>
        <v>1.8911587061395181E-2</v>
      </c>
      <c r="BI106" s="159"/>
      <c r="BJ106" s="609">
        <f t="shared" ref="BJ106" si="323">BJ105/BJ74</f>
        <v>1.8911587061395181E-2</v>
      </c>
      <c r="BK106" s="159"/>
      <c r="BL106" s="609">
        <f t="shared" ref="BL106" si="324">BL105/BL74</f>
        <v>1.8911587061395181E-2</v>
      </c>
      <c r="BM106"/>
      <c r="BN106" s="283"/>
      <c r="BO106" s="159"/>
      <c r="BP106" s="609">
        <f>BP105/BP74</f>
        <v>0.19635583662254016</v>
      </c>
      <c r="BQ106" s="159"/>
      <c r="BR106" s="609">
        <f t="shared" ref="BR106" si="325">BR105/BR74</f>
        <v>0.25505230544297591</v>
      </c>
      <c r="BS106" s="159"/>
      <c r="BT106" s="609">
        <f t="shared" ref="BT106" si="326">BT105/BT74</f>
        <v>0.25505230544297591</v>
      </c>
      <c r="BU106" s="283"/>
      <c r="BV106" s="159"/>
      <c r="BW106" s="609">
        <f>BW105/BW74</f>
        <v>3.6451451877188124E-2</v>
      </c>
      <c r="BY106" s="159"/>
      <c r="BZ106" s="609">
        <f>BZ105/BZ74</f>
        <v>2.7169421487603308E-2</v>
      </c>
      <c r="CA106" s="159"/>
      <c r="CB106" s="609">
        <f>CB105/CB74</f>
        <v>2.1292249417249467E-2</v>
      </c>
      <c r="CC106" s="159"/>
      <c r="CD106" s="609">
        <f>CD105/CD74</f>
        <v>7.5788037719855927E-2</v>
      </c>
      <c r="CH106" s="159"/>
      <c r="CI106" s="609">
        <f>CI105/CI74</f>
        <v>0.24227836024410934</v>
      </c>
      <c r="CJ106" s="159"/>
      <c r="CK106" s="609">
        <f t="shared" ref="CK106" si="327">CK105/CK74</f>
        <v>0.29762074513194875</v>
      </c>
      <c r="CL106" s="159"/>
      <c r="CM106" s="609">
        <f t="shared" ref="CM106" si="328">CM105/CM74</f>
        <v>0.29762074513194875</v>
      </c>
      <c r="CN106" s="283"/>
    </row>
    <row r="107" spans="1:92" s="4" customFormat="1" ht="18" hidden="1" customHeight="1" thickTop="1" x14ac:dyDescent="0.45">
      <c r="A107" s="561"/>
      <c r="B107" s="1235" t="s">
        <v>97</v>
      </c>
      <c r="C107" s="248" t="s">
        <v>98</v>
      </c>
      <c r="D107" s="249"/>
      <c r="E107" s="250" t="s">
        <v>99</v>
      </c>
      <c r="F107" s="251"/>
      <c r="G107" s="167">
        <f>G71</f>
        <v>620</v>
      </c>
      <c r="H107" s="251"/>
      <c r="I107" s="167">
        <f>I71</f>
        <v>1150</v>
      </c>
      <c r="J107" s="251"/>
      <c r="K107" s="167">
        <f>K71</f>
        <v>1150</v>
      </c>
      <c r="L107" s="251"/>
      <c r="M107" s="167">
        <f>M71</f>
        <v>1150</v>
      </c>
      <c r="N107" s="251"/>
      <c r="O107" s="167">
        <f>O71</f>
        <v>1200</v>
      </c>
      <c r="P107" s="251"/>
      <c r="Q107" s="167">
        <f>Q71</f>
        <v>1200</v>
      </c>
      <c r="R107" s="251"/>
      <c r="S107" s="167">
        <f>S71</f>
        <v>1200</v>
      </c>
      <c r="T107" s="251"/>
      <c r="U107" s="167">
        <f>U71</f>
        <v>1200</v>
      </c>
      <c r="V107" s="251"/>
      <c r="W107" s="167">
        <f>W71</f>
        <v>1200</v>
      </c>
      <c r="X107" s="251"/>
      <c r="Y107" s="167">
        <f>Y71</f>
        <v>1500</v>
      </c>
      <c r="Z107" s="251"/>
      <c r="AA107" s="167">
        <f>AA71</f>
        <v>1500</v>
      </c>
      <c r="AB107" s="251"/>
      <c r="AC107" s="167">
        <f>AC71</f>
        <v>1500</v>
      </c>
      <c r="AD107" s="251"/>
      <c r="AE107" s="167">
        <f>AE71</f>
        <v>1500</v>
      </c>
      <c r="AF107" s="817"/>
      <c r="AG107" s="818"/>
      <c r="AH107" s="819"/>
      <c r="AJ107" s="251"/>
      <c r="AK107" s="167">
        <f>AK71</f>
        <v>1500</v>
      </c>
      <c r="AL107" s="251"/>
      <c r="AM107" s="167">
        <f>AM71</f>
        <v>1500</v>
      </c>
      <c r="AN107" s="251"/>
      <c r="AO107" s="167">
        <f>AO71</f>
        <v>1500</v>
      </c>
      <c r="AP107" s="817"/>
      <c r="AQ107" s="818"/>
      <c r="AR107" s="819"/>
      <c r="AT107" s="251"/>
      <c r="AU107" s="167">
        <f>AU71</f>
        <v>1500</v>
      </c>
      <c r="AV107" s="251"/>
      <c r="AW107" s="167">
        <f>AW71</f>
        <v>1500</v>
      </c>
      <c r="AX107" s="251"/>
      <c r="AY107" s="167">
        <f>AY71</f>
        <v>1500</v>
      </c>
      <c r="AZ107" s="817"/>
      <c r="BA107" s="818"/>
      <c r="BB107" s="818"/>
      <c r="BD107" s="251"/>
      <c r="BE107" s="167">
        <f>BE71</f>
        <v>1500</v>
      </c>
      <c r="BG107" s="251"/>
      <c r="BH107" s="167">
        <f>BH71</f>
        <v>1500</v>
      </c>
      <c r="BI107" s="251"/>
      <c r="BJ107" s="167">
        <f t="shared" ref="BJ107" si="329">BJ71</f>
        <v>1500</v>
      </c>
      <c r="BK107" s="251"/>
      <c r="BL107" s="167">
        <f t="shared" ref="BL107" si="330">BL71</f>
        <v>1500</v>
      </c>
      <c r="BM107"/>
      <c r="BO107" s="251"/>
      <c r="BP107" s="167">
        <f>BP71</f>
        <v>0</v>
      </c>
      <c r="BQ107" s="251"/>
      <c r="BR107" s="167">
        <f t="shared" ref="BR107" si="331">BR71</f>
        <v>1500</v>
      </c>
      <c r="BS107" s="251"/>
      <c r="BT107" s="167">
        <f t="shared" ref="BT107" si="332">BT71</f>
        <v>1500</v>
      </c>
      <c r="BV107" s="251"/>
      <c r="BW107" s="167">
        <f>BW71</f>
        <v>1500</v>
      </c>
      <c r="BY107" s="251"/>
      <c r="BZ107" s="167">
        <f>BZ71</f>
        <v>400</v>
      </c>
      <c r="CA107" s="251"/>
      <c r="CB107" s="167">
        <f>CB71</f>
        <v>400</v>
      </c>
      <c r="CC107" s="251"/>
      <c r="CD107" s="167">
        <f>CD71</f>
        <v>400</v>
      </c>
      <c r="CH107" s="251"/>
      <c r="CI107" s="167">
        <f>CI71</f>
        <v>0</v>
      </c>
      <c r="CJ107" s="251"/>
      <c r="CK107" s="167">
        <f t="shared" ref="CK107" si="333">CK71</f>
        <v>1500</v>
      </c>
      <c r="CL107" s="251"/>
      <c r="CM107" s="167">
        <f t="shared" ref="CM107" si="334">CM71</f>
        <v>1500</v>
      </c>
    </row>
    <row r="108" spans="1:92" s="4" customFormat="1" ht="18" hidden="1" customHeight="1" x14ac:dyDescent="0.45">
      <c r="A108" s="561"/>
      <c r="B108" s="1187"/>
      <c r="C108" s="161" t="s">
        <v>143</v>
      </c>
      <c r="D108" s="162"/>
      <c r="E108" s="163" t="s">
        <v>99</v>
      </c>
      <c r="F108" s="164"/>
      <c r="G108" s="168">
        <v>1150</v>
      </c>
      <c r="H108" s="164"/>
      <c r="I108" s="168">
        <v>1150</v>
      </c>
      <c r="J108" s="164"/>
      <c r="K108" s="168">
        <v>1150</v>
      </c>
      <c r="L108" s="164"/>
      <c r="M108" s="168">
        <v>1150</v>
      </c>
      <c r="N108" s="164"/>
      <c r="O108" s="168">
        <v>1150</v>
      </c>
      <c r="P108" s="164"/>
      <c r="Q108" s="168">
        <v>1150</v>
      </c>
      <c r="R108" s="164"/>
      <c r="S108" s="168">
        <v>1150</v>
      </c>
      <c r="T108" s="164"/>
      <c r="U108" s="168">
        <v>1150</v>
      </c>
      <c r="V108" s="164"/>
      <c r="W108" s="168">
        <v>1150</v>
      </c>
      <c r="X108" s="164"/>
      <c r="Y108" s="168">
        <v>1150</v>
      </c>
      <c r="Z108" s="164"/>
      <c r="AA108" s="168">
        <v>1150</v>
      </c>
      <c r="AB108" s="164"/>
      <c r="AC108" s="168">
        <v>1150</v>
      </c>
      <c r="AD108" s="164"/>
      <c r="AE108" s="168">
        <v>1150</v>
      </c>
      <c r="AF108" s="820"/>
      <c r="AG108" s="821"/>
      <c r="AH108" s="822"/>
      <c r="AJ108" s="164"/>
      <c r="AK108" s="168">
        <v>1150</v>
      </c>
      <c r="AL108" s="164"/>
      <c r="AM108" s="168">
        <v>1150</v>
      </c>
      <c r="AN108" s="164"/>
      <c r="AO108" s="168">
        <v>1150</v>
      </c>
      <c r="AP108" s="820"/>
      <c r="AQ108" s="821"/>
      <c r="AR108" s="822"/>
      <c r="AT108" s="164"/>
      <c r="AU108" s="168">
        <v>1150</v>
      </c>
      <c r="AV108" s="164"/>
      <c r="AW108" s="168">
        <v>1150</v>
      </c>
      <c r="AX108" s="164"/>
      <c r="AY108" s="168">
        <v>1150</v>
      </c>
      <c r="AZ108" s="820"/>
      <c r="BA108" s="821"/>
      <c r="BB108" s="821"/>
      <c r="BD108" s="164"/>
      <c r="BE108" s="168">
        <v>1150</v>
      </c>
      <c r="BG108" s="164"/>
      <c r="BH108" s="168">
        <v>1150</v>
      </c>
      <c r="BI108" s="164"/>
      <c r="BJ108" s="168">
        <v>1150</v>
      </c>
      <c r="BK108" s="164"/>
      <c r="BL108" s="168">
        <v>1150</v>
      </c>
      <c r="BM108"/>
      <c r="BO108" s="164"/>
      <c r="BP108" s="168">
        <v>1150</v>
      </c>
      <c r="BQ108" s="164"/>
      <c r="BR108" s="168">
        <v>1150</v>
      </c>
      <c r="BS108" s="164"/>
      <c r="BT108" s="168">
        <v>1150</v>
      </c>
      <c r="BV108" s="164"/>
      <c r="BW108" s="168">
        <v>1150</v>
      </c>
      <c r="BY108" s="164"/>
      <c r="BZ108" s="168">
        <v>1150</v>
      </c>
      <c r="CA108" s="164"/>
      <c r="CB108" s="168">
        <v>1150</v>
      </c>
      <c r="CC108" s="164"/>
      <c r="CD108" s="168">
        <v>1150</v>
      </c>
      <c r="CH108" s="164"/>
      <c r="CI108" s="168">
        <v>1150</v>
      </c>
      <c r="CJ108" s="164"/>
      <c r="CK108" s="168">
        <v>1150</v>
      </c>
      <c r="CL108" s="164"/>
      <c r="CM108" s="168">
        <v>1150</v>
      </c>
    </row>
    <row r="109" spans="1:92" s="4" customFormat="1" ht="18" hidden="1" customHeight="1" x14ac:dyDescent="0.45">
      <c r="A109" s="561"/>
      <c r="B109" s="1187"/>
      <c r="C109" s="161" t="s">
        <v>101</v>
      </c>
      <c r="D109" s="162"/>
      <c r="E109" s="163" t="s">
        <v>99</v>
      </c>
      <c r="F109" s="164"/>
      <c r="G109" s="168">
        <v>750</v>
      </c>
      <c r="H109" s="164"/>
      <c r="I109" s="168">
        <v>750</v>
      </c>
      <c r="J109" s="164"/>
      <c r="K109" s="168">
        <v>750</v>
      </c>
      <c r="L109" s="164"/>
      <c r="M109" s="168">
        <v>750</v>
      </c>
      <c r="N109" s="164"/>
      <c r="O109" s="168">
        <v>750</v>
      </c>
      <c r="P109" s="164"/>
      <c r="Q109" s="168">
        <v>750</v>
      </c>
      <c r="R109" s="164"/>
      <c r="S109" s="168">
        <v>750</v>
      </c>
      <c r="T109" s="164"/>
      <c r="U109" s="168">
        <v>750</v>
      </c>
      <c r="V109" s="164"/>
      <c r="W109" s="168">
        <v>750</v>
      </c>
      <c r="X109" s="164"/>
      <c r="Y109" s="168">
        <v>750</v>
      </c>
      <c r="Z109" s="164"/>
      <c r="AA109" s="168">
        <v>750</v>
      </c>
      <c r="AB109" s="164"/>
      <c r="AC109" s="168">
        <v>750</v>
      </c>
      <c r="AD109" s="164"/>
      <c r="AE109" s="168">
        <v>750</v>
      </c>
      <c r="AF109" s="820"/>
      <c r="AG109" s="821"/>
      <c r="AH109" s="822"/>
      <c r="AJ109" s="164"/>
      <c r="AK109" s="168">
        <v>750</v>
      </c>
      <c r="AL109" s="164"/>
      <c r="AM109" s="168">
        <v>750</v>
      </c>
      <c r="AN109" s="164"/>
      <c r="AO109" s="168">
        <v>750</v>
      </c>
      <c r="AP109" s="820"/>
      <c r="AQ109" s="821"/>
      <c r="AR109" s="822"/>
      <c r="AT109" s="164"/>
      <c r="AU109" s="168">
        <v>750</v>
      </c>
      <c r="AV109" s="164"/>
      <c r="AW109" s="168">
        <v>750</v>
      </c>
      <c r="AX109" s="164"/>
      <c r="AY109" s="168">
        <v>750</v>
      </c>
      <c r="AZ109" s="820"/>
      <c r="BA109" s="821"/>
      <c r="BB109" s="821"/>
      <c r="BD109" s="164"/>
      <c r="BE109" s="168">
        <v>750</v>
      </c>
      <c r="BG109" s="164"/>
      <c r="BH109" s="168">
        <v>750</v>
      </c>
      <c r="BI109" s="164"/>
      <c r="BJ109" s="168">
        <v>750</v>
      </c>
      <c r="BK109" s="164"/>
      <c r="BL109" s="168">
        <v>750</v>
      </c>
      <c r="BM109"/>
      <c r="BO109" s="164"/>
      <c r="BP109" s="168">
        <v>750</v>
      </c>
      <c r="BQ109" s="164"/>
      <c r="BR109" s="168">
        <v>750</v>
      </c>
      <c r="BS109" s="164"/>
      <c r="BT109" s="168">
        <v>750</v>
      </c>
      <c r="BV109" s="164"/>
      <c r="BW109" s="168">
        <v>750</v>
      </c>
      <c r="BY109" s="164"/>
      <c r="BZ109" s="168">
        <v>750</v>
      </c>
      <c r="CA109" s="164"/>
      <c r="CB109" s="168">
        <v>750</v>
      </c>
      <c r="CC109" s="164"/>
      <c r="CD109" s="168">
        <v>750</v>
      </c>
      <c r="CH109" s="164"/>
      <c r="CI109" s="168">
        <v>750</v>
      </c>
      <c r="CJ109" s="164"/>
      <c r="CK109" s="168">
        <v>750</v>
      </c>
      <c r="CL109" s="164"/>
      <c r="CM109" s="168">
        <v>750</v>
      </c>
    </row>
    <row r="110" spans="1:92" s="4" customFormat="1" ht="18" hidden="1" customHeight="1" x14ac:dyDescent="0.45">
      <c r="A110" s="561"/>
      <c r="B110" s="1187"/>
      <c r="C110" s="170"/>
      <c r="D110" s="162"/>
      <c r="E110" s="162"/>
      <c r="F110" s="164"/>
      <c r="G110" s="171"/>
      <c r="H110" s="164"/>
      <c r="I110" s="171"/>
      <c r="J110" s="164"/>
      <c r="K110" s="171"/>
      <c r="L110" s="164"/>
      <c r="M110" s="171"/>
      <c r="N110" s="164"/>
      <c r="O110" s="171"/>
      <c r="P110" s="164"/>
      <c r="Q110" s="171"/>
      <c r="R110" s="164"/>
      <c r="S110" s="171"/>
      <c r="T110" s="164"/>
      <c r="U110" s="171"/>
      <c r="V110" s="164"/>
      <c r="W110" s="171"/>
      <c r="X110" s="164"/>
      <c r="Y110" s="171"/>
      <c r="Z110" s="164"/>
      <c r="AA110" s="171"/>
      <c r="AB110" s="164"/>
      <c r="AC110" s="171"/>
      <c r="AD110" s="164"/>
      <c r="AE110" s="171"/>
      <c r="AF110" s="820"/>
      <c r="AG110" s="821"/>
      <c r="AH110" s="822"/>
      <c r="AJ110" s="164"/>
      <c r="AK110" s="171"/>
      <c r="AL110" s="164"/>
      <c r="AM110" s="171"/>
      <c r="AN110" s="164"/>
      <c r="AO110" s="171"/>
      <c r="AP110" s="820"/>
      <c r="AQ110" s="821"/>
      <c r="AR110" s="822"/>
      <c r="AT110" s="164"/>
      <c r="AU110" s="171"/>
      <c r="AV110" s="164"/>
      <c r="AW110" s="171"/>
      <c r="AX110" s="164"/>
      <c r="AY110" s="171"/>
      <c r="AZ110" s="820"/>
      <c r="BA110" s="821"/>
      <c r="BB110" s="821"/>
      <c r="BD110" s="164"/>
      <c r="BE110" s="171"/>
      <c r="BG110" s="164"/>
      <c r="BH110" s="171"/>
      <c r="BI110" s="164"/>
      <c r="BJ110" s="171"/>
      <c r="BK110" s="164"/>
      <c r="BL110" s="171"/>
      <c r="BM110"/>
      <c r="BO110" s="164"/>
      <c r="BP110" s="171"/>
      <c r="BQ110" s="164"/>
      <c r="BR110" s="171"/>
      <c r="BS110" s="164"/>
      <c r="BT110" s="171"/>
      <c r="BV110" s="164"/>
      <c r="BW110" s="171"/>
      <c r="BY110" s="164"/>
      <c r="BZ110" s="171"/>
      <c r="CA110" s="164"/>
      <c r="CB110" s="171"/>
      <c r="CC110" s="164"/>
      <c r="CD110" s="171"/>
      <c r="CH110" s="164"/>
      <c r="CI110" s="171"/>
      <c r="CJ110" s="164"/>
      <c r="CK110" s="171"/>
      <c r="CL110" s="164"/>
      <c r="CM110" s="171"/>
    </row>
    <row r="111" spans="1:92" s="4" customFormat="1" ht="18" hidden="1" customHeight="1" x14ac:dyDescent="0.45">
      <c r="A111" s="561"/>
      <c r="B111" s="1187"/>
      <c r="C111" s="161" t="s">
        <v>102</v>
      </c>
      <c r="D111" s="162"/>
      <c r="E111" s="163" t="s">
        <v>99</v>
      </c>
      <c r="F111" s="173"/>
      <c r="G111" s="165">
        <f>G108-G107</f>
        <v>530</v>
      </c>
      <c r="H111" s="173"/>
      <c r="I111" s="165">
        <f>I108-I107</f>
        <v>0</v>
      </c>
      <c r="J111" s="173"/>
      <c r="K111" s="165">
        <f>K108-K107</f>
        <v>0</v>
      </c>
      <c r="L111" s="173"/>
      <c r="M111" s="165">
        <f>M108-M107</f>
        <v>0</v>
      </c>
      <c r="N111" s="173"/>
      <c r="O111" s="165">
        <f>O108-O107</f>
        <v>-50</v>
      </c>
      <c r="P111" s="173"/>
      <c r="Q111" s="165">
        <f>Q108-Q107</f>
        <v>-50</v>
      </c>
      <c r="R111" s="173"/>
      <c r="S111" s="165">
        <f>S108-S107</f>
        <v>-50</v>
      </c>
      <c r="T111" s="173"/>
      <c r="U111" s="165">
        <f>U108-U107</f>
        <v>-50</v>
      </c>
      <c r="V111" s="173"/>
      <c r="W111" s="165">
        <f>W108-W107</f>
        <v>-50</v>
      </c>
      <c r="X111" s="173"/>
      <c r="Y111" s="165">
        <f>Y108-Y107</f>
        <v>-350</v>
      </c>
      <c r="Z111" s="173"/>
      <c r="AA111" s="165">
        <f>AA108-AA107</f>
        <v>-350</v>
      </c>
      <c r="AB111" s="173"/>
      <c r="AC111" s="165">
        <f>AC108-AC107</f>
        <v>-350</v>
      </c>
      <c r="AD111" s="173"/>
      <c r="AE111" s="165">
        <f>AE108-AE107</f>
        <v>-350</v>
      </c>
      <c r="AF111" s="820"/>
      <c r="AG111" s="821"/>
      <c r="AH111" s="822"/>
      <c r="AJ111" s="173"/>
      <c r="AK111" s="165">
        <f>AK108-AK107</f>
        <v>-350</v>
      </c>
      <c r="AL111" s="173"/>
      <c r="AM111" s="165">
        <f>AM108-AM107</f>
        <v>-350</v>
      </c>
      <c r="AN111" s="173"/>
      <c r="AO111" s="165">
        <f>AO108-AO107</f>
        <v>-350</v>
      </c>
      <c r="AP111" s="820"/>
      <c r="AQ111" s="821"/>
      <c r="AR111" s="822"/>
      <c r="AT111" s="173"/>
      <c r="AU111" s="165">
        <f>AU108-AU107</f>
        <v>-350</v>
      </c>
      <c r="AV111" s="173"/>
      <c r="AW111" s="165">
        <f>AW108-AW107</f>
        <v>-350</v>
      </c>
      <c r="AX111" s="173"/>
      <c r="AY111" s="165">
        <f>AY108-AY107</f>
        <v>-350</v>
      </c>
      <c r="AZ111" s="820"/>
      <c r="BA111" s="821"/>
      <c r="BB111" s="821"/>
      <c r="BD111" s="173"/>
      <c r="BE111" s="165">
        <f>BE108-BE107</f>
        <v>-350</v>
      </c>
      <c r="BG111" s="173"/>
      <c r="BH111" s="165">
        <f>BH108-BH107</f>
        <v>-350</v>
      </c>
      <c r="BI111" s="173"/>
      <c r="BJ111" s="165">
        <f t="shared" ref="BJ111" si="335">BJ108-BJ107</f>
        <v>-350</v>
      </c>
      <c r="BK111" s="173"/>
      <c r="BL111" s="165">
        <f t="shared" ref="BL111" si="336">BL108-BL107</f>
        <v>-350</v>
      </c>
      <c r="BM111"/>
      <c r="BO111" s="173"/>
      <c r="BP111" s="165">
        <f>BP108-BP107</f>
        <v>1150</v>
      </c>
      <c r="BQ111" s="173"/>
      <c r="BR111" s="165">
        <f t="shared" ref="BR111" si="337">BR108-BR107</f>
        <v>-350</v>
      </c>
      <c r="BS111" s="173"/>
      <c r="BT111" s="165">
        <f t="shared" ref="BT111" si="338">BT108-BT107</f>
        <v>-350</v>
      </c>
      <c r="BV111" s="173"/>
      <c r="BW111" s="165">
        <f>BW108-BW107</f>
        <v>-350</v>
      </c>
      <c r="BY111" s="173"/>
      <c r="BZ111" s="165">
        <f>BZ108-BZ107</f>
        <v>750</v>
      </c>
      <c r="CA111" s="173"/>
      <c r="CB111" s="165">
        <f>CB108-CB107</f>
        <v>750</v>
      </c>
      <c r="CC111" s="173"/>
      <c r="CD111" s="165">
        <f>CD108-CD107</f>
        <v>750</v>
      </c>
      <c r="CH111" s="173"/>
      <c r="CI111" s="165">
        <f>CI108-CI107</f>
        <v>1150</v>
      </c>
      <c r="CJ111" s="173"/>
      <c r="CK111" s="165">
        <f t="shared" ref="CK111" si="339">CK108-CK107</f>
        <v>-350</v>
      </c>
      <c r="CL111" s="173"/>
      <c r="CM111" s="165">
        <f t="shared" ref="CM111" si="340">CM108-CM107</f>
        <v>-350</v>
      </c>
    </row>
    <row r="112" spans="1:92" s="97" customFormat="1" ht="18" hidden="1" customHeight="1" x14ac:dyDescent="0.45">
      <c r="A112" s="561"/>
      <c r="B112" s="1187"/>
      <c r="C112" s="174" t="s">
        <v>103</v>
      </c>
      <c r="D112" s="175"/>
      <c r="E112" s="176" t="s">
        <v>104</v>
      </c>
      <c r="F112" s="177"/>
      <c r="G112" s="165">
        <f>G111/G73</f>
        <v>0.1368801652892562</v>
      </c>
      <c r="H112" s="177"/>
      <c r="I112" s="178">
        <f>I111/I73</f>
        <v>0</v>
      </c>
      <c r="J112" s="177"/>
      <c r="K112" s="178">
        <f>K111/K73</f>
        <v>0</v>
      </c>
      <c r="L112" s="177"/>
      <c r="M112" s="178">
        <f>M111/M73</f>
        <v>0</v>
      </c>
      <c r="N112" s="177"/>
      <c r="O112" s="178">
        <f>O111/O73</f>
        <v>-1.2913223140495868E-2</v>
      </c>
      <c r="P112" s="177"/>
      <c r="Q112" s="178">
        <f>Q111/Q73</f>
        <v>-1.2913223140495868E-2</v>
      </c>
      <c r="R112" s="177"/>
      <c r="S112" s="178">
        <f>S111/S73</f>
        <v>-1.2913223140495868E-2</v>
      </c>
      <c r="T112" s="177"/>
      <c r="U112" s="178">
        <f>U111/U73</f>
        <v>-1.2913223140495868E-2</v>
      </c>
      <c r="V112" s="177"/>
      <c r="W112" s="178">
        <f>W111/W73</f>
        <v>-1.2913223140495868E-2</v>
      </c>
      <c r="X112" s="177"/>
      <c r="Y112" s="178">
        <f>Y111/Y73</f>
        <v>-9.0392561983471079E-2</v>
      </c>
      <c r="Z112" s="177"/>
      <c r="AA112" s="178">
        <f>AA111/AA73</f>
        <v>-9.0392561983471079E-2</v>
      </c>
      <c r="AB112" s="177"/>
      <c r="AC112" s="178">
        <f>AC111/AC73</f>
        <v>-9.0392561983471079E-2</v>
      </c>
      <c r="AD112" s="177"/>
      <c r="AE112" s="178">
        <f>AE111/AE73</f>
        <v>-9.0392561983471079E-2</v>
      </c>
      <c r="AF112" s="820"/>
      <c r="AG112" s="821"/>
      <c r="AH112" s="822"/>
      <c r="AJ112" s="177"/>
      <c r="AK112" s="178">
        <f>AK111/AK73</f>
        <v>-9.0392561983471079E-2</v>
      </c>
      <c r="AL112" s="177"/>
      <c r="AM112" s="178">
        <f>AM111/AM73</f>
        <v>-9.0392561983471079E-2</v>
      </c>
      <c r="AN112" s="177"/>
      <c r="AO112" s="178">
        <f>AO111/AO73</f>
        <v>-9.0392561983471079E-2</v>
      </c>
      <c r="AP112" s="820"/>
      <c r="AQ112" s="821"/>
      <c r="AR112" s="822"/>
      <c r="AT112" s="177"/>
      <c r="AU112" s="178">
        <f>AU111/AU73</f>
        <v>-9.0392561983471079E-2</v>
      </c>
      <c r="AV112" s="177"/>
      <c r="AW112" s="178">
        <f>AW111/AW73</f>
        <v>-9.0392561983471079E-2</v>
      </c>
      <c r="AX112" s="177"/>
      <c r="AY112" s="178">
        <f>AY111/AY73</f>
        <v>-9.0392561983471079E-2</v>
      </c>
      <c r="AZ112" s="820"/>
      <c r="BA112" s="821"/>
      <c r="BB112" s="821"/>
      <c r="BC112" s="926"/>
      <c r="BD112" s="177"/>
      <c r="BE112" s="178">
        <f>BE111/BE73</f>
        <v>-9.0392561983471079E-2</v>
      </c>
      <c r="BF112" s="926"/>
      <c r="BG112" s="177"/>
      <c r="BH112" s="178">
        <f>BH111/BH73</f>
        <v>-9.0392561983471079E-2</v>
      </c>
      <c r="BI112" s="177"/>
      <c r="BJ112" s="178">
        <f t="shared" ref="BJ112" si="341">BJ111/BJ73</f>
        <v>-9.0392561983471079E-2</v>
      </c>
      <c r="BK112" s="177"/>
      <c r="BL112" s="178">
        <f t="shared" ref="BL112" si="342">BL111/BL73</f>
        <v>-9.0392561983471079E-2</v>
      </c>
      <c r="BM112"/>
      <c r="BN112" s="926"/>
      <c r="BO112" s="177"/>
      <c r="BP112" s="178">
        <f>BP111/BP73</f>
        <v>0.29700413223140498</v>
      </c>
      <c r="BQ112" s="177"/>
      <c r="BR112" s="178">
        <f t="shared" ref="BR112" si="343">BR111/BR73</f>
        <v>-9.0392561983471079E-2</v>
      </c>
      <c r="BS112" s="177"/>
      <c r="BT112" s="178">
        <f t="shared" ref="BT112" si="344">BT111/BT73</f>
        <v>-9.0392561983471079E-2</v>
      </c>
      <c r="BU112" s="926"/>
      <c r="BV112" s="177"/>
      <c r="BW112" s="178">
        <f>BW111/BW73</f>
        <v>-9.0392561983471079E-2</v>
      </c>
      <c r="BY112" s="177"/>
      <c r="BZ112" s="178">
        <f>BZ111/BZ73</f>
        <v>0.1875</v>
      </c>
      <c r="CA112" s="177"/>
      <c r="CB112" s="178">
        <f>CB111/CB73</f>
        <v>0.1875</v>
      </c>
      <c r="CC112" s="177"/>
      <c r="CD112" s="178">
        <f>CD111/CD73</f>
        <v>0.1875</v>
      </c>
      <c r="CH112" s="177"/>
      <c r="CI112" s="178">
        <f>CI111/CI73</f>
        <v>0.29700413223140498</v>
      </c>
      <c r="CJ112" s="177"/>
      <c r="CK112" s="178">
        <f t="shared" ref="CK112" si="345">CK111/CK73</f>
        <v>-9.0392561983471079E-2</v>
      </c>
      <c r="CL112" s="177"/>
      <c r="CM112" s="178">
        <f t="shared" ref="CM112" si="346">CM111/CM73</f>
        <v>-9.0392561983471079E-2</v>
      </c>
      <c r="CN112" s="926"/>
    </row>
    <row r="113" spans="1:92" s="97" customFormat="1" ht="18" hidden="1" customHeight="1" x14ac:dyDescent="0.45">
      <c r="A113" s="561"/>
      <c r="B113" s="1187"/>
      <c r="C113" s="174" t="s">
        <v>105</v>
      </c>
      <c r="D113" s="175"/>
      <c r="E113" s="176" t="s">
        <v>104</v>
      </c>
      <c r="F113" s="177"/>
      <c r="G113" s="178">
        <f>(G108-G109)/G73</f>
        <v>0.10330578512396695</v>
      </c>
      <c r="H113" s="177"/>
      <c r="I113" s="178">
        <f>(I108-I109)/I73</f>
        <v>0.10330578512396695</v>
      </c>
      <c r="J113" s="177"/>
      <c r="K113" s="178">
        <f>(K108-K109)/K73</f>
        <v>0.10330578512396695</v>
      </c>
      <c r="L113" s="177"/>
      <c r="M113" s="178">
        <f>(M108-M109)/M73</f>
        <v>0.10330578512396695</v>
      </c>
      <c r="N113" s="177"/>
      <c r="O113" s="178">
        <f>(O108-O109)/O73</f>
        <v>0.10330578512396695</v>
      </c>
      <c r="P113" s="177"/>
      <c r="Q113" s="178">
        <f>(Q108-Q109)/Q73</f>
        <v>0.10330578512396695</v>
      </c>
      <c r="R113" s="177"/>
      <c r="S113" s="178">
        <f>(S108-S109)/S73</f>
        <v>0.10330578512396695</v>
      </c>
      <c r="T113" s="177"/>
      <c r="U113" s="178">
        <f>(U108-U109)/U73</f>
        <v>0.10330578512396695</v>
      </c>
      <c r="V113" s="177"/>
      <c r="W113" s="178">
        <f>(W108-W109)/W73</f>
        <v>0.10330578512396695</v>
      </c>
      <c r="X113" s="177"/>
      <c r="Y113" s="178">
        <f>(Y108-Y109)/Y73</f>
        <v>0.10330578512396695</v>
      </c>
      <c r="Z113" s="177"/>
      <c r="AA113" s="178">
        <f>(AA108-AA109)/AA73</f>
        <v>0.10330578512396695</v>
      </c>
      <c r="AB113" s="177"/>
      <c r="AC113" s="178">
        <f>(AC108-AC109)/AC73</f>
        <v>0.10330578512396695</v>
      </c>
      <c r="AD113" s="177"/>
      <c r="AE113" s="178">
        <f>(AE108-AE109)/AE73</f>
        <v>0.10330578512396695</v>
      </c>
      <c r="AF113" s="820"/>
      <c r="AG113" s="821"/>
      <c r="AH113" s="822"/>
      <c r="AJ113" s="177"/>
      <c r="AK113" s="178">
        <f>(AK108-AK109)/AK73</f>
        <v>0.10330578512396695</v>
      </c>
      <c r="AL113" s="177"/>
      <c r="AM113" s="178">
        <f>(AM108-AM109)/AM73</f>
        <v>0.10330578512396695</v>
      </c>
      <c r="AN113" s="177"/>
      <c r="AO113" s="178">
        <f>(AO108-AO109)/AO73</f>
        <v>0.10330578512396695</v>
      </c>
      <c r="AP113" s="820"/>
      <c r="AQ113" s="821"/>
      <c r="AR113" s="822"/>
      <c r="AT113" s="177"/>
      <c r="AU113" s="178">
        <f>(AU108-AU109)/AU73</f>
        <v>0.10330578512396695</v>
      </c>
      <c r="AV113" s="177"/>
      <c r="AW113" s="178">
        <f>(AW108-AW109)/AW73</f>
        <v>0.10330578512396695</v>
      </c>
      <c r="AX113" s="177"/>
      <c r="AY113" s="178">
        <f>(AY108-AY109)/AY73</f>
        <v>0.10330578512396695</v>
      </c>
      <c r="AZ113" s="820"/>
      <c r="BA113" s="821"/>
      <c r="BB113" s="821"/>
      <c r="BC113" s="926"/>
      <c r="BD113" s="177"/>
      <c r="BE113" s="178">
        <f>(BE108-BE109)/BE73</f>
        <v>0.10330578512396695</v>
      </c>
      <c r="BF113" s="926"/>
      <c r="BG113" s="177"/>
      <c r="BH113" s="178">
        <f>(BH108-BH109)/BH73</f>
        <v>0.10330578512396695</v>
      </c>
      <c r="BI113" s="177"/>
      <c r="BJ113" s="178">
        <f t="shared" ref="BJ113" si="347">(BJ108-BJ109)/BJ73</f>
        <v>0.10330578512396695</v>
      </c>
      <c r="BK113" s="177"/>
      <c r="BL113" s="178">
        <f t="shared" ref="BL113" si="348">(BL108-BL109)/BL73</f>
        <v>0.10330578512396695</v>
      </c>
      <c r="BM113"/>
      <c r="BN113" s="926"/>
      <c r="BO113" s="177"/>
      <c r="BP113" s="178">
        <f>(BP108-BP109)/BP73</f>
        <v>0.10330578512396695</v>
      </c>
      <c r="BQ113" s="177"/>
      <c r="BR113" s="178">
        <f t="shared" ref="BR113" si="349">(BR108-BR109)/BR73</f>
        <v>0.10330578512396695</v>
      </c>
      <c r="BS113" s="177"/>
      <c r="BT113" s="178">
        <f t="shared" ref="BT113" si="350">(BT108-BT109)/BT73</f>
        <v>0.10330578512396695</v>
      </c>
      <c r="BU113" s="926"/>
      <c r="BV113" s="177"/>
      <c r="BW113" s="178">
        <f>(BW108-BW109)/BW73</f>
        <v>0.10330578512396695</v>
      </c>
      <c r="BY113" s="177"/>
      <c r="BZ113" s="178">
        <f>(BZ108-BZ109)/BZ73</f>
        <v>0.1</v>
      </c>
      <c r="CA113" s="177"/>
      <c r="CB113" s="178">
        <f>(CB108-CB109)/CB73</f>
        <v>0.1</v>
      </c>
      <c r="CC113" s="177"/>
      <c r="CD113" s="178">
        <f>(CD108-CD109)/CD73</f>
        <v>0.1</v>
      </c>
      <c r="CH113" s="177"/>
      <c r="CI113" s="178">
        <f>(CI108-CI109)/CI73</f>
        <v>0.10330578512396695</v>
      </c>
      <c r="CJ113" s="177"/>
      <c r="CK113" s="178">
        <f t="shared" ref="CK113" si="351">(CK108-CK109)/CK73</f>
        <v>0.10330578512396695</v>
      </c>
      <c r="CL113" s="177"/>
      <c r="CM113" s="178">
        <f t="shared" ref="CM113" si="352">(CM108-CM109)/CM73</f>
        <v>0.10330578512396695</v>
      </c>
      <c r="CN113" s="926"/>
    </row>
    <row r="114" spans="1:92" s="4" customFormat="1" ht="18" hidden="1" customHeight="1" x14ac:dyDescent="0.45">
      <c r="A114" s="561"/>
      <c r="B114" s="1187"/>
      <c r="C114" s="170"/>
      <c r="D114" s="162"/>
      <c r="E114" s="179"/>
      <c r="F114" s="180"/>
      <c r="G114" s="181"/>
      <c r="H114" s="180"/>
      <c r="I114" s="181"/>
      <c r="J114" s="180"/>
      <c r="K114" s="181"/>
      <c r="L114" s="180"/>
      <c r="M114" s="181"/>
      <c r="N114" s="180"/>
      <c r="O114" s="181"/>
      <c r="P114" s="180"/>
      <c r="Q114" s="181"/>
      <c r="R114" s="180"/>
      <c r="S114" s="181"/>
      <c r="T114" s="180"/>
      <c r="U114" s="181"/>
      <c r="V114" s="180"/>
      <c r="W114" s="181"/>
      <c r="X114" s="180"/>
      <c r="Y114" s="181"/>
      <c r="Z114" s="180"/>
      <c r="AA114" s="181"/>
      <c r="AB114" s="180"/>
      <c r="AC114" s="181"/>
      <c r="AD114" s="180"/>
      <c r="AE114" s="181"/>
      <c r="AF114" s="823"/>
      <c r="AG114" s="824"/>
      <c r="AH114" s="825"/>
      <c r="AJ114" s="180"/>
      <c r="AK114" s="181"/>
      <c r="AL114" s="180"/>
      <c r="AM114" s="181"/>
      <c r="AN114" s="180"/>
      <c r="AO114" s="181"/>
      <c r="AP114" s="823"/>
      <c r="AQ114" s="824"/>
      <c r="AR114" s="825"/>
      <c r="AT114" s="180"/>
      <c r="AU114" s="181"/>
      <c r="AV114" s="180"/>
      <c r="AW114" s="181"/>
      <c r="AX114" s="180"/>
      <c r="AY114" s="181"/>
      <c r="AZ114" s="823"/>
      <c r="BA114" s="824"/>
      <c r="BB114" s="824"/>
      <c r="BD114" s="180"/>
      <c r="BE114" s="181"/>
      <c r="BG114" s="180"/>
      <c r="BH114" s="181"/>
      <c r="BI114" s="180"/>
      <c r="BJ114" s="181"/>
      <c r="BK114" s="180"/>
      <c r="BL114" s="181"/>
      <c r="BM114"/>
      <c r="BO114" s="180"/>
      <c r="BP114" s="181"/>
      <c r="BQ114" s="180"/>
      <c r="BR114" s="181"/>
      <c r="BS114" s="180"/>
      <c r="BT114" s="181"/>
      <c r="BV114" s="180"/>
      <c r="BW114" s="181"/>
      <c r="BY114" s="180"/>
      <c r="BZ114" s="181"/>
      <c r="CA114" s="180"/>
      <c r="CB114" s="181"/>
      <c r="CC114" s="180"/>
      <c r="CD114" s="181"/>
      <c r="CH114" s="180"/>
      <c r="CI114" s="181"/>
      <c r="CJ114" s="180"/>
      <c r="CK114" s="181"/>
      <c r="CL114" s="180"/>
      <c r="CM114" s="181"/>
    </row>
    <row r="115" spans="1:92" s="4" customFormat="1" ht="18" hidden="1" customHeight="1" x14ac:dyDescent="0.45">
      <c r="A115" s="561"/>
      <c r="B115" s="1187"/>
      <c r="C115" s="183" t="s">
        <v>106</v>
      </c>
      <c r="D115" s="184"/>
      <c r="E115" s="185"/>
      <c r="F115" s="186"/>
      <c r="G115" s="187">
        <f>G67-(G108/G73)-G81</f>
        <v>1.8879381012981207</v>
      </c>
      <c r="H115" s="186"/>
      <c r="I115" s="187">
        <f>I67-(I108/I73)-I81</f>
        <v>1.7655932247388475</v>
      </c>
      <c r="J115" s="186"/>
      <c r="K115" s="187">
        <f>K67-(K108/K73)-K81</f>
        <v>1.7655932247388475</v>
      </c>
      <c r="L115" s="186"/>
      <c r="M115" s="187">
        <f>M67-(M108/M73)-M81</f>
        <v>1.7655932247388475</v>
      </c>
      <c r="N115" s="186"/>
      <c r="O115" s="187">
        <f>O67-(O108/O73)-O81</f>
        <v>2.0655892794785249</v>
      </c>
      <c r="P115" s="186"/>
      <c r="Q115" s="187">
        <f>Q67-(Q108/Q73)-Q81</f>
        <v>2.0655892794785249</v>
      </c>
      <c r="R115" s="186"/>
      <c r="S115" s="187">
        <f>S67-(S108/S73)-S81</f>
        <v>2.0655892794785249</v>
      </c>
      <c r="T115" s="186"/>
      <c r="U115" s="187">
        <f>U67-(U108/U73)-U81</f>
        <v>1.9512346253122712</v>
      </c>
      <c r="V115" s="186"/>
      <c r="W115" s="187">
        <f>W67-(W108/W73)-W81</f>
        <v>1.8008005470841586</v>
      </c>
      <c r="X115" s="186"/>
      <c r="Y115" s="187">
        <f>Y67-(Y108/Y73)-Y81</f>
        <v>2.6505856917122572</v>
      </c>
      <c r="Z115" s="186"/>
      <c r="AA115" s="187">
        <f>AA67-(AA108/AA73)-AA81</f>
        <v>1.9508831917122573</v>
      </c>
      <c r="AB115" s="186"/>
      <c r="AC115" s="187">
        <f>AC67-(AC108/AC73)-AC81</f>
        <v>1.9508831917122573</v>
      </c>
      <c r="AD115" s="186"/>
      <c r="AE115" s="187">
        <f>AE67-(AE108/AE73)-AE81</f>
        <v>1.9508831917122573</v>
      </c>
      <c r="AF115" s="826"/>
      <c r="AG115" s="827"/>
      <c r="AH115" s="828"/>
      <c r="AJ115" s="186"/>
      <c r="AK115" s="187">
        <f>AK67-(AK108/AK73)-AK81</f>
        <v>1.9508831917122573</v>
      </c>
      <c r="AL115" s="186"/>
      <c r="AM115" s="187">
        <f>AM67-(AM108/AM73)-AM81</f>
        <v>1.9508831917122573</v>
      </c>
      <c r="AN115" s="186"/>
      <c r="AO115" s="187">
        <f>AO67-(AO108/AO73)-AO81</f>
        <v>1.9508831917122573</v>
      </c>
      <c r="AP115" s="826"/>
      <c r="AQ115" s="827"/>
      <c r="AR115" s="828"/>
      <c r="AT115" s="186"/>
      <c r="AU115" s="187">
        <f>AU67-(AU108/AU73)-AU81</f>
        <v>1.9508831917122573</v>
      </c>
      <c r="AV115" s="186"/>
      <c r="AW115" s="187">
        <f>AW67-(AW108/AW73)-AW81</f>
        <v>1.9508831917122573</v>
      </c>
      <c r="AX115" s="186"/>
      <c r="AY115" s="187">
        <f>AY67-(AY108/AY73)-AY81</f>
        <v>1.9508831917122573</v>
      </c>
      <c r="AZ115" s="826"/>
      <c r="BA115" s="827"/>
      <c r="BB115" s="854"/>
      <c r="BD115" s="186"/>
      <c r="BE115" s="187">
        <f>BE67-(BE108/BE73)-BE81</f>
        <v>1.3580662903038068</v>
      </c>
      <c r="BG115" s="186"/>
      <c r="BH115" s="187">
        <f>BH67-(BH108/BH73)-BH81</f>
        <v>1.5713057269235255</v>
      </c>
      <c r="BI115" s="186"/>
      <c r="BJ115" s="187">
        <f t="shared" ref="BJ115" si="353">BJ67-(BJ108/BJ73)-BJ81</f>
        <v>1.5713057269235255</v>
      </c>
      <c r="BK115" s="186"/>
      <c r="BL115" s="187">
        <f t="shared" ref="BL115" si="354">BL67-(BL108/BL73)-BL81</f>
        <v>1.5713057269235255</v>
      </c>
      <c r="BM115"/>
      <c r="BO115" s="186"/>
      <c r="BP115" s="187">
        <f>BP67-(BP108/BP73)-BP81</f>
        <v>1.1201191248108486</v>
      </c>
      <c r="BQ115" s="186"/>
      <c r="BR115" s="187">
        <f t="shared" ref="BR115" si="355">BR67-(BR108/BR73)-BR81</f>
        <v>1.507112069025724</v>
      </c>
      <c r="BS115" s="186"/>
      <c r="BT115" s="187">
        <f t="shared" ref="BT115" si="356">BT67-(BT108/BT73)-BT81</f>
        <v>1.507112069025724</v>
      </c>
      <c r="BV115" s="186"/>
      <c r="BW115" s="187">
        <f>BW67-(BW108/BW73)-BW81</f>
        <v>2.0582362903038058</v>
      </c>
      <c r="BY115" s="186"/>
      <c r="BZ115" s="187">
        <f>BZ67-(BZ108/BZ73)-BZ81</f>
        <v>1.6529165384615383</v>
      </c>
      <c r="CA115" s="186"/>
      <c r="CB115" s="187">
        <f>CB67-(CB108/CB73)-CB81</f>
        <v>1.8311532167832172</v>
      </c>
      <c r="CC115" s="186"/>
      <c r="CD115" s="187">
        <f>CD67-(CD108/CD73)-CD81</f>
        <v>2.2036007692307695</v>
      </c>
      <c r="CH115" s="186"/>
      <c r="CI115" s="187">
        <f>CI67-(CI108/CI73)-CI81</f>
        <v>1.520119124810849</v>
      </c>
      <c r="CJ115" s="186"/>
      <c r="CK115" s="187">
        <f t="shared" ref="CK115" si="357">CK67-(CK108/CK73)-CK81</f>
        <v>1.9071120690257244</v>
      </c>
      <c r="CL115" s="186"/>
      <c r="CM115" s="187">
        <f t="shared" ref="CM115" si="358">CM67-(CM108/CM73)-CM81</f>
        <v>1.9071120690257244</v>
      </c>
    </row>
    <row r="116" spans="1:92" s="4" customFormat="1" ht="18" hidden="1" customHeight="1" x14ac:dyDescent="0.45">
      <c r="A116" s="561"/>
      <c r="B116" s="1187"/>
      <c r="C116" s="190" t="s">
        <v>107</v>
      </c>
      <c r="D116" s="184"/>
      <c r="E116" s="191"/>
      <c r="F116" s="192"/>
      <c r="G116" s="193">
        <f>G115/G74</f>
        <v>0.34705535380314123</v>
      </c>
      <c r="H116" s="192"/>
      <c r="I116" s="193">
        <f>I115/I74</f>
        <v>0.332942598629966</v>
      </c>
      <c r="J116" s="192"/>
      <c r="K116" s="193">
        <f>K115/K74</f>
        <v>0.332942598629966</v>
      </c>
      <c r="L116" s="192"/>
      <c r="M116" s="193">
        <f>M115/M74</f>
        <v>0.332942598629966</v>
      </c>
      <c r="N116" s="192"/>
      <c r="O116" s="193">
        <f>O115/O74</f>
        <v>0.35985875949103219</v>
      </c>
      <c r="P116" s="192"/>
      <c r="Q116" s="193">
        <f>Q115/Q74</f>
        <v>0.35985875949103219</v>
      </c>
      <c r="R116" s="192"/>
      <c r="S116" s="193">
        <f>S115/S74</f>
        <v>0.35985875949103219</v>
      </c>
      <c r="T116" s="192"/>
      <c r="U116" s="193">
        <f>U115/U74</f>
        <v>0.33993634587321797</v>
      </c>
      <c r="V116" s="192"/>
      <c r="W116" s="193">
        <f>W115/W74</f>
        <v>0.31372831830734471</v>
      </c>
      <c r="X116" s="192"/>
      <c r="Y116" s="193">
        <f>Y115/Y74</f>
        <v>0.40778241410957805</v>
      </c>
      <c r="Z116" s="192"/>
      <c r="AA116" s="193">
        <f>AA115/AA74</f>
        <v>0.33635917098487189</v>
      </c>
      <c r="AB116" s="192"/>
      <c r="AC116" s="193">
        <f>AC115/AC74</f>
        <v>0.33635917098487189</v>
      </c>
      <c r="AD116" s="192"/>
      <c r="AE116" s="193">
        <f>AE115/AE74</f>
        <v>0.33635917098487189</v>
      </c>
      <c r="AF116" s="829"/>
      <c r="AG116" s="830"/>
      <c r="AH116" s="193"/>
      <c r="AJ116" s="192"/>
      <c r="AK116" s="193">
        <f>AK115/AK74</f>
        <v>0.33635917098487189</v>
      </c>
      <c r="AL116" s="192"/>
      <c r="AM116" s="193">
        <f>AM115/AM74</f>
        <v>0.33635917098487189</v>
      </c>
      <c r="AN116" s="192"/>
      <c r="AO116" s="193">
        <f>AO115/AO74</f>
        <v>0.33635917098487189</v>
      </c>
      <c r="AP116" s="829"/>
      <c r="AQ116" s="830"/>
      <c r="AR116" s="193"/>
      <c r="AT116" s="192"/>
      <c r="AU116" s="193">
        <f>AU115/AU74</f>
        <v>0.33635917098487189</v>
      </c>
      <c r="AV116" s="192"/>
      <c r="AW116" s="193">
        <f>AW115/AW74</f>
        <v>0.33635917098487189</v>
      </c>
      <c r="AX116" s="192"/>
      <c r="AY116" s="193">
        <f>AY115/AY74</f>
        <v>0.33635917098487189</v>
      </c>
      <c r="AZ116" s="829"/>
      <c r="BA116" s="830"/>
      <c r="BB116" s="654"/>
      <c r="BD116" s="192"/>
      <c r="BE116" s="193">
        <f>BE115/BE74</f>
        <v>0.23414936039720805</v>
      </c>
      <c r="BG116" s="192"/>
      <c r="BH116" s="193">
        <f>BH115/BH74</f>
        <v>0.23278603361830005</v>
      </c>
      <c r="BI116" s="192"/>
      <c r="BJ116" s="193">
        <f t="shared" ref="BJ116" si="359">BJ115/BJ74</f>
        <v>0.23278603361830005</v>
      </c>
      <c r="BK116" s="192"/>
      <c r="BL116" s="193">
        <f t="shared" ref="BL116" si="360">BL115/BL74</f>
        <v>0.23278603361830005</v>
      </c>
      <c r="BM116"/>
      <c r="BO116" s="192"/>
      <c r="BP116" s="193">
        <f>BP115/BP74</f>
        <v>0.16971501891073465</v>
      </c>
      <c r="BQ116" s="192"/>
      <c r="BR116" s="193">
        <f t="shared" ref="BR116" si="361">BR115/BR74</f>
        <v>0.22835031348874607</v>
      </c>
      <c r="BS116" s="192"/>
      <c r="BT116" s="193">
        <f t="shared" ref="BT116" si="362">BT115/BT74</f>
        <v>0.22835031348874607</v>
      </c>
      <c r="BV116" s="192"/>
      <c r="BW116" s="193">
        <f>BW115/BW74</f>
        <v>0.3166517369698163</v>
      </c>
      <c r="BY116" s="192"/>
      <c r="BZ116" s="193">
        <f>BZ115/BZ74</f>
        <v>0.30053027972027968</v>
      </c>
      <c r="CA116" s="192"/>
      <c r="CB116" s="193">
        <f>CB115/CB74</f>
        <v>0.30519220279720288</v>
      </c>
      <c r="CC116" s="192"/>
      <c r="CD116" s="193">
        <f>CD115/CD74</f>
        <v>0.3338789044289045</v>
      </c>
      <c r="CH116" s="192"/>
      <c r="CI116" s="193">
        <f>CI115/CI74</f>
        <v>0.21715987497297842</v>
      </c>
      <c r="CJ116" s="192"/>
      <c r="CK116" s="193">
        <f t="shared" ref="CK116" si="363">CK115/CK74</f>
        <v>0.2724445812893892</v>
      </c>
      <c r="CL116" s="192"/>
      <c r="CM116" s="193">
        <f t="shared" ref="CM116" si="364">CM115/CM74</f>
        <v>0.2724445812893892</v>
      </c>
    </row>
    <row r="117" spans="1:92" s="162" customFormat="1" ht="18" hidden="1" customHeight="1" x14ac:dyDescent="0.45">
      <c r="A117" s="561"/>
      <c r="B117" s="1187"/>
      <c r="C117" s="196"/>
      <c r="E117" s="197"/>
      <c r="F117" s="164"/>
      <c r="G117" s="198"/>
      <c r="H117" s="164"/>
      <c r="I117" s="198"/>
      <c r="J117" s="164"/>
      <c r="K117" s="198"/>
      <c r="L117" s="164"/>
      <c r="M117" s="198"/>
      <c r="N117" s="164"/>
      <c r="O117" s="198"/>
      <c r="P117" s="164"/>
      <c r="Q117" s="198"/>
      <c r="R117" s="164"/>
      <c r="S117" s="198"/>
      <c r="T117" s="164"/>
      <c r="U117" s="198"/>
      <c r="V117" s="164"/>
      <c r="W117" s="198"/>
      <c r="X117" s="164"/>
      <c r="Y117" s="198"/>
      <c r="Z117" s="164"/>
      <c r="AA117" s="198"/>
      <c r="AB117" s="164"/>
      <c r="AC117" s="198"/>
      <c r="AD117" s="164"/>
      <c r="AE117" s="198"/>
      <c r="AF117" s="820"/>
      <c r="AG117" s="821"/>
      <c r="AH117" s="198"/>
      <c r="AJ117" s="164"/>
      <c r="AK117" s="198"/>
      <c r="AL117" s="164"/>
      <c r="AM117" s="198"/>
      <c r="AN117" s="164"/>
      <c r="AO117" s="198"/>
      <c r="AP117" s="820"/>
      <c r="AQ117" s="821"/>
      <c r="AR117" s="198"/>
      <c r="AT117" s="164"/>
      <c r="AU117" s="198"/>
      <c r="AV117" s="164"/>
      <c r="AW117" s="198"/>
      <c r="AX117" s="164"/>
      <c r="AY117" s="198"/>
      <c r="AZ117" s="820"/>
      <c r="BA117" s="821"/>
      <c r="BB117" s="655"/>
      <c r="BD117" s="164"/>
      <c r="BE117" s="198"/>
      <c r="BG117" s="164"/>
      <c r="BH117" s="198"/>
      <c r="BI117" s="164"/>
      <c r="BJ117" s="198"/>
      <c r="BK117" s="164"/>
      <c r="BL117" s="198"/>
      <c r="BM117"/>
      <c r="BO117" s="164"/>
      <c r="BP117" s="198"/>
      <c r="BQ117" s="164"/>
      <c r="BR117" s="198"/>
      <c r="BS117" s="164"/>
      <c r="BT117" s="198"/>
      <c r="BV117" s="164"/>
      <c r="BW117" s="198"/>
      <c r="BY117" s="164"/>
      <c r="BZ117" s="198"/>
      <c r="CA117" s="164"/>
      <c r="CB117" s="198"/>
      <c r="CC117" s="164"/>
      <c r="CD117" s="198"/>
      <c r="CH117" s="164"/>
      <c r="CI117" s="198"/>
      <c r="CJ117" s="164"/>
      <c r="CK117" s="198"/>
      <c r="CL117" s="164"/>
      <c r="CM117" s="198"/>
    </row>
    <row r="118" spans="1:92" s="4" customFormat="1" ht="18" hidden="1" customHeight="1" x14ac:dyDescent="0.45">
      <c r="A118" s="561"/>
      <c r="B118" s="1187"/>
      <c r="C118" s="183" t="s">
        <v>108</v>
      </c>
      <c r="D118" s="184"/>
      <c r="E118" s="185"/>
      <c r="F118" s="186"/>
      <c r="G118" s="187">
        <f>G67-(G109/G73)-G81</f>
        <v>1.9912438864220872</v>
      </c>
      <c r="H118" s="186"/>
      <c r="I118" s="187">
        <f>I67-(I109/I73)-I81</f>
        <v>1.868899009862814</v>
      </c>
      <c r="J118" s="186"/>
      <c r="K118" s="187">
        <f>K67-(K109/K73)-K81</f>
        <v>1.868899009862814</v>
      </c>
      <c r="L118" s="186"/>
      <c r="M118" s="187">
        <f>M67-(M109/M73)-M81</f>
        <v>1.868899009862814</v>
      </c>
      <c r="N118" s="186"/>
      <c r="O118" s="187">
        <f>O67-(O109/O73)-O81</f>
        <v>2.1688950646024914</v>
      </c>
      <c r="P118" s="186"/>
      <c r="Q118" s="187">
        <f>Q67-(Q109/Q73)-Q81</f>
        <v>2.1688950646024914</v>
      </c>
      <c r="R118" s="186"/>
      <c r="S118" s="187">
        <f>S67-(S109/S73)-S81</f>
        <v>2.1688950646024914</v>
      </c>
      <c r="T118" s="186"/>
      <c r="U118" s="187">
        <f>U67-(U109/U73)-U81</f>
        <v>2.0545404104362377</v>
      </c>
      <c r="V118" s="186"/>
      <c r="W118" s="187">
        <f>W67-(W109/W73)-W81</f>
        <v>1.9041063322081251</v>
      </c>
      <c r="X118" s="186"/>
      <c r="Y118" s="187">
        <f>Y67-(Y109/Y73)-Y81</f>
        <v>2.7538914768362237</v>
      </c>
      <c r="Z118" s="186"/>
      <c r="AA118" s="187">
        <f>AA67-(AA109/AA73)-AA81</f>
        <v>2.0541889768362238</v>
      </c>
      <c r="AB118" s="186"/>
      <c r="AC118" s="187">
        <f>AC67-(AC109/AC73)-AC81</f>
        <v>2.0541889768362238</v>
      </c>
      <c r="AD118" s="186"/>
      <c r="AE118" s="187">
        <f>AE67-(AE109/AE73)-AE81</f>
        <v>2.0541889768362238</v>
      </c>
      <c r="AF118" s="826"/>
      <c r="AG118" s="827"/>
      <c r="AH118" s="828"/>
      <c r="AJ118" s="186"/>
      <c r="AK118" s="187">
        <f>AK67-(AK109/AK73)-AK81</f>
        <v>2.0541889768362238</v>
      </c>
      <c r="AL118" s="186"/>
      <c r="AM118" s="187">
        <f>AM67-(AM109/AM73)-AM81</f>
        <v>2.0541889768362238</v>
      </c>
      <c r="AN118" s="186"/>
      <c r="AO118" s="187">
        <f>AO67-(AO109/AO73)-AO81</f>
        <v>2.0541889768362238</v>
      </c>
      <c r="AP118" s="826"/>
      <c r="AQ118" s="827"/>
      <c r="AR118" s="828"/>
      <c r="AT118" s="186"/>
      <c r="AU118" s="187">
        <f>AU67-(AU109/AU73)-AU81</f>
        <v>2.0541889768362238</v>
      </c>
      <c r="AV118" s="186"/>
      <c r="AW118" s="187">
        <f>AW67-(AW109/AW73)-AW81</f>
        <v>2.0541889768362238</v>
      </c>
      <c r="AX118" s="186"/>
      <c r="AY118" s="187">
        <f>AY67-(AY109/AY73)-AY81</f>
        <v>2.0541889768362238</v>
      </c>
      <c r="AZ118" s="826"/>
      <c r="BA118" s="827"/>
      <c r="BB118" s="854"/>
      <c r="BD118" s="186"/>
      <c r="BE118" s="187">
        <f>BE67-(BE109/BE73)-BE81</f>
        <v>1.4613720754277733</v>
      </c>
      <c r="BG118" s="186"/>
      <c r="BH118" s="187">
        <f>BH67-(BH109/BH73)-BH81</f>
        <v>1.674611512047492</v>
      </c>
      <c r="BI118" s="186"/>
      <c r="BJ118" s="187">
        <f t="shared" ref="BJ118" si="365">BJ67-(BJ109/BJ73)-BJ81</f>
        <v>1.674611512047492</v>
      </c>
      <c r="BK118" s="186"/>
      <c r="BL118" s="187">
        <f t="shared" ref="BL118" si="366">BL67-(BL109/BL73)-BL81</f>
        <v>1.674611512047492</v>
      </c>
      <c r="BM118"/>
      <c r="BO118" s="186"/>
      <c r="BP118" s="187">
        <f>BP67-(BP109/BP73)-BP81</f>
        <v>1.2234249099348151</v>
      </c>
      <c r="BQ118" s="186"/>
      <c r="BR118" s="187">
        <f t="shared" ref="BR118" si="367">BR67-(BR109/BR73)-BR81</f>
        <v>1.6104178541496905</v>
      </c>
      <c r="BS118" s="186"/>
      <c r="BT118" s="187">
        <f t="shared" ref="BT118" si="368">BT67-(BT109/BT73)-BT81</f>
        <v>1.6104178541496905</v>
      </c>
      <c r="BV118" s="186"/>
      <c r="BW118" s="187">
        <f>BW67-(BW109/BW73)-BW81</f>
        <v>2.1615420754277723</v>
      </c>
      <c r="BY118" s="186"/>
      <c r="BZ118" s="187">
        <f>BZ67-(BZ109/BZ73)-BZ81</f>
        <v>1.7529165384615379</v>
      </c>
      <c r="CA118" s="186"/>
      <c r="CB118" s="187">
        <f>CB67-(CB109/CB73)-CB81</f>
        <v>1.9311532167832168</v>
      </c>
      <c r="CC118" s="186"/>
      <c r="CD118" s="187">
        <f>CD67-(CD109/CD73)-CD81</f>
        <v>2.3036007692307692</v>
      </c>
      <c r="CH118" s="186"/>
      <c r="CI118" s="187">
        <f>CI67-(CI109/CI73)-CI81</f>
        <v>1.6234249099348155</v>
      </c>
      <c r="CJ118" s="186"/>
      <c r="CK118" s="187">
        <f t="shared" ref="CK118" si="369">CK67-(CK109/CK73)-CK81</f>
        <v>2.0104178541496909</v>
      </c>
      <c r="CL118" s="186"/>
      <c r="CM118" s="187">
        <f t="shared" ref="CM118" si="370">CM67-(CM109/CM73)-CM81</f>
        <v>2.0104178541496909</v>
      </c>
    </row>
    <row r="119" spans="1:92" s="4" customFormat="1" ht="18" hidden="1" customHeight="1" x14ac:dyDescent="0.45">
      <c r="A119" s="561"/>
      <c r="B119" s="1187"/>
      <c r="C119" s="190" t="s">
        <v>109</v>
      </c>
      <c r="D119" s="184"/>
      <c r="E119" s="191"/>
      <c r="F119" s="192"/>
      <c r="G119" s="193">
        <f>G118/G74</f>
        <v>0.36604582058881474</v>
      </c>
      <c r="H119" s="192"/>
      <c r="I119" s="193">
        <f>I118/I74</f>
        <v>0.35242324460818653</v>
      </c>
      <c r="J119" s="192"/>
      <c r="K119" s="193">
        <f>K118/K74</f>
        <v>0.35242324460818653</v>
      </c>
      <c r="L119" s="192"/>
      <c r="M119" s="193">
        <f>M118/M74</f>
        <v>0.35242324460818653</v>
      </c>
      <c r="N119" s="192"/>
      <c r="O119" s="193">
        <f>O118/O74</f>
        <v>0.37785628303179292</v>
      </c>
      <c r="P119" s="192"/>
      <c r="Q119" s="193">
        <f>Q118/Q74</f>
        <v>0.37785628303179292</v>
      </c>
      <c r="R119" s="192"/>
      <c r="S119" s="193">
        <f>S118/S74</f>
        <v>0.37785628303179292</v>
      </c>
      <c r="T119" s="192"/>
      <c r="U119" s="193">
        <f>U118/U74</f>
        <v>0.3579338694139787</v>
      </c>
      <c r="V119" s="192"/>
      <c r="W119" s="193">
        <f>W118/W74</f>
        <v>0.33172584184810538</v>
      </c>
      <c r="X119" s="192"/>
      <c r="Y119" s="193">
        <f>Y118/Y74</f>
        <v>0.42367561182095748</v>
      </c>
      <c r="Z119" s="192"/>
      <c r="AA119" s="193">
        <f>AA118/AA74</f>
        <v>0.35417051324762477</v>
      </c>
      <c r="AB119" s="192"/>
      <c r="AC119" s="193">
        <f>AC118/AC74</f>
        <v>0.35417051324762477</v>
      </c>
      <c r="AD119" s="192"/>
      <c r="AE119" s="193">
        <f>AE118/AE74</f>
        <v>0.35417051324762477</v>
      </c>
      <c r="AF119" s="829"/>
      <c r="AG119" s="830"/>
      <c r="AH119" s="193"/>
      <c r="AJ119" s="192"/>
      <c r="AK119" s="193">
        <f>AK118/AK74</f>
        <v>0.35417051324762477</v>
      </c>
      <c r="AL119" s="192"/>
      <c r="AM119" s="193">
        <f>AM118/AM74</f>
        <v>0.35417051324762477</v>
      </c>
      <c r="AN119" s="192"/>
      <c r="AO119" s="193">
        <f>AO118/AO74</f>
        <v>0.35417051324762477</v>
      </c>
      <c r="AP119" s="829"/>
      <c r="AQ119" s="830"/>
      <c r="AR119" s="193"/>
      <c r="AT119" s="192"/>
      <c r="AU119" s="193">
        <f>AU118/AU74</f>
        <v>0.35417051324762477</v>
      </c>
      <c r="AV119" s="192"/>
      <c r="AW119" s="193">
        <f>AW118/AW74</f>
        <v>0.35417051324762477</v>
      </c>
      <c r="AX119" s="192"/>
      <c r="AY119" s="193">
        <f>AY118/AY74</f>
        <v>0.35417051324762477</v>
      </c>
      <c r="AZ119" s="829"/>
      <c r="BA119" s="830"/>
      <c r="BB119" s="654"/>
      <c r="BD119" s="192"/>
      <c r="BE119" s="193">
        <f>BE118/BE74</f>
        <v>0.2519607026599609</v>
      </c>
      <c r="BG119" s="192"/>
      <c r="BH119" s="193">
        <f>BH118/BH74</f>
        <v>0.24809059437740619</v>
      </c>
      <c r="BI119" s="192"/>
      <c r="BJ119" s="193">
        <f t="shared" ref="BJ119" si="371">BJ118/BJ74</f>
        <v>0.24809059437740619</v>
      </c>
      <c r="BK119" s="192"/>
      <c r="BL119" s="193">
        <f t="shared" ref="BL119" si="372">BL118/BL74</f>
        <v>0.24809059437740619</v>
      </c>
      <c r="BM119"/>
      <c r="BO119" s="192"/>
      <c r="BP119" s="193">
        <f>BP118/BP74</f>
        <v>0.18536741059618411</v>
      </c>
      <c r="BQ119" s="192"/>
      <c r="BR119" s="193">
        <f t="shared" ref="BR119" si="373">BR118/BR74</f>
        <v>0.24400270517419553</v>
      </c>
      <c r="BS119" s="192"/>
      <c r="BT119" s="193">
        <f t="shared" ref="BT119" si="374">BT118/BT74</f>
        <v>0.24400270517419553</v>
      </c>
      <c r="BV119" s="192"/>
      <c r="BW119" s="193">
        <f>BW118/BW74</f>
        <v>0.33254493468119573</v>
      </c>
      <c r="BY119" s="192"/>
      <c r="BZ119" s="193">
        <f>BZ118/BZ74</f>
        <v>0.31871209790209781</v>
      </c>
      <c r="CA119" s="192"/>
      <c r="CB119" s="193">
        <f>CB118/CB74</f>
        <v>0.32185886946386949</v>
      </c>
      <c r="CC119" s="192"/>
      <c r="CD119" s="193">
        <f>CD118/CD74</f>
        <v>0.34903041958041958</v>
      </c>
      <c r="CH119" s="192"/>
      <c r="CI119" s="193">
        <f>CI118/CI74</f>
        <v>0.23191784427640222</v>
      </c>
      <c r="CJ119" s="192"/>
      <c r="CK119" s="193">
        <f t="shared" ref="CK119" si="375">CK118/CK74</f>
        <v>0.28720255059281297</v>
      </c>
      <c r="CL119" s="192"/>
      <c r="CM119" s="193">
        <f t="shared" ref="CM119" si="376">CM118/CM74</f>
        <v>0.28720255059281297</v>
      </c>
    </row>
    <row r="120" spans="1:92" s="4" customFormat="1" ht="18" hidden="1" customHeight="1" x14ac:dyDescent="0.45">
      <c r="A120" s="561"/>
      <c r="B120" s="1187"/>
      <c r="C120" s="170"/>
      <c r="D120" s="162"/>
      <c r="E120" s="197"/>
      <c r="F120" s="173"/>
      <c r="G120" s="165"/>
      <c r="H120" s="173"/>
      <c r="I120" s="165"/>
      <c r="J120" s="173"/>
      <c r="K120" s="165"/>
      <c r="L120" s="173"/>
      <c r="M120" s="165"/>
      <c r="N120" s="173"/>
      <c r="O120" s="165"/>
      <c r="P120" s="173"/>
      <c r="Q120" s="165"/>
      <c r="R120" s="173"/>
      <c r="S120" s="165"/>
      <c r="T120" s="173"/>
      <c r="U120" s="165"/>
      <c r="V120" s="173"/>
      <c r="W120" s="165"/>
      <c r="X120" s="173"/>
      <c r="Y120" s="165"/>
      <c r="Z120" s="173"/>
      <c r="AA120" s="165"/>
      <c r="AB120" s="173"/>
      <c r="AC120" s="165"/>
      <c r="AD120" s="173"/>
      <c r="AE120" s="165"/>
      <c r="AF120" s="820"/>
      <c r="AG120" s="821"/>
      <c r="AH120" s="822"/>
      <c r="AJ120" s="173"/>
      <c r="AK120" s="165"/>
      <c r="AL120" s="173"/>
      <c r="AM120" s="165"/>
      <c r="AN120" s="173"/>
      <c r="AO120" s="165"/>
      <c r="AP120" s="820"/>
      <c r="AQ120" s="821"/>
      <c r="AR120" s="822"/>
      <c r="AT120" s="173"/>
      <c r="AU120" s="165"/>
      <c r="AV120" s="173"/>
      <c r="AW120" s="165"/>
      <c r="AX120" s="173"/>
      <c r="AY120" s="165"/>
      <c r="AZ120" s="820"/>
      <c r="BA120" s="821"/>
      <c r="BB120" s="821"/>
      <c r="BD120" s="173"/>
      <c r="BE120" s="165"/>
      <c r="BG120" s="173"/>
      <c r="BH120" s="165"/>
      <c r="BI120" s="173"/>
      <c r="BJ120" s="165"/>
      <c r="BK120" s="173"/>
      <c r="BL120" s="165"/>
      <c r="BM120"/>
      <c r="BO120" s="173"/>
      <c r="BP120" s="165"/>
      <c r="BQ120" s="173"/>
      <c r="BR120" s="165"/>
      <c r="BS120" s="173"/>
      <c r="BT120" s="165"/>
      <c r="BV120" s="173"/>
      <c r="BW120" s="165"/>
      <c r="BY120" s="173"/>
      <c r="BZ120" s="165"/>
      <c r="CA120" s="173"/>
      <c r="CB120" s="165"/>
      <c r="CC120" s="173"/>
      <c r="CD120" s="165"/>
      <c r="CH120" s="173"/>
      <c r="CI120" s="165"/>
      <c r="CJ120" s="173"/>
      <c r="CK120" s="165"/>
      <c r="CL120" s="173"/>
      <c r="CM120" s="165"/>
    </row>
    <row r="121" spans="1:92" s="65" customFormat="1" ht="18" hidden="1" customHeight="1" outlineLevel="1" thickTop="1" x14ac:dyDescent="0.45">
      <c r="A121" s="561"/>
      <c r="B121" s="199"/>
      <c r="C121" s="200" t="s">
        <v>110</v>
      </c>
      <c r="D121" s="201"/>
      <c r="E121" s="201"/>
      <c r="F121" s="202" t="s">
        <v>111</v>
      </c>
      <c r="G121" s="203">
        <f>G123/G86</f>
        <v>456.84693232131553</v>
      </c>
      <c r="H121" s="202" t="s">
        <v>111</v>
      </c>
      <c r="I121" s="203">
        <f>I123/I86</f>
        <v>456.84693232131553</v>
      </c>
      <c r="J121" s="202" t="s">
        <v>111</v>
      </c>
      <c r="K121" s="203">
        <f>K123/K86</f>
        <v>456.84693232131553</v>
      </c>
      <c r="L121" s="202" t="s">
        <v>111</v>
      </c>
      <c r="M121" s="203">
        <f>M123/M86</f>
        <v>456.84693232131553</v>
      </c>
      <c r="N121" s="202" t="s">
        <v>111</v>
      </c>
      <c r="O121" s="203">
        <f>O123/O86</f>
        <v>457.42253521126759</v>
      </c>
      <c r="P121" s="202" t="s">
        <v>111</v>
      </c>
      <c r="Q121" s="203">
        <f>Q123/Q86</f>
        <v>457.42253521126759</v>
      </c>
      <c r="R121" s="202" t="s">
        <v>111</v>
      </c>
      <c r="S121" s="203">
        <f>S123/S86</f>
        <v>457.42253521126759</v>
      </c>
      <c r="T121" s="202" t="s">
        <v>111</v>
      </c>
      <c r="U121" s="203">
        <f>U123/U86</f>
        <v>457.42253521126759</v>
      </c>
      <c r="V121" s="202" t="s">
        <v>111</v>
      </c>
      <c r="W121" s="203">
        <f>W123/W86</f>
        <v>457.42253521126759</v>
      </c>
      <c r="X121" s="202" t="s">
        <v>111</v>
      </c>
      <c r="Y121" s="203">
        <f>Y123/Y86</f>
        <v>457.42253521126759</v>
      </c>
      <c r="Z121" s="202" t="s">
        <v>111</v>
      </c>
      <c r="AA121" s="203">
        <f>AA123/AA86</f>
        <v>457.42253521126759</v>
      </c>
      <c r="AB121" s="202" t="s">
        <v>111</v>
      </c>
      <c r="AC121" s="203">
        <f>AC123/AC86</f>
        <v>457.42253521126759</v>
      </c>
      <c r="AD121" s="202" t="s">
        <v>111</v>
      </c>
      <c r="AE121" s="203">
        <f>AE123/AE86</f>
        <v>457.42253521126759</v>
      </c>
      <c r="AF121" s="831"/>
      <c r="AG121" s="832"/>
      <c r="AH121" s="833"/>
      <c r="AJ121" s="202" t="s">
        <v>111</v>
      </c>
      <c r="AK121" s="203">
        <f>AK123/AK86</f>
        <v>457.42253521126759</v>
      </c>
      <c r="AL121" s="202" t="s">
        <v>111</v>
      </c>
      <c r="AM121" s="203">
        <f>AM123/AM86</f>
        <v>457.42253521126759</v>
      </c>
      <c r="AN121" s="202" t="s">
        <v>111</v>
      </c>
      <c r="AO121" s="203">
        <f>AO123/AO86</f>
        <v>457.42253521126759</v>
      </c>
      <c r="AP121" s="831"/>
      <c r="AQ121" s="832"/>
      <c r="AR121" s="833"/>
      <c r="AT121" s="202" t="s">
        <v>111</v>
      </c>
      <c r="AU121" s="203">
        <f>AU123/AU86</f>
        <v>457.42253521126759</v>
      </c>
      <c r="AV121" s="202" t="s">
        <v>111</v>
      </c>
      <c r="AW121" s="203">
        <f>AW123/AW86</f>
        <v>457.42253521126759</v>
      </c>
      <c r="AX121" s="202" t="s">
        <v>111</v>
      </c>
      <c r="AY121" s="203">
        <f>AY123/AY86</f>
        <v>457.42253521126759</v>
      </c>
      <c r="AZ121" s="831"/>
      <c r="BA121" s="832"/>
      <c r="BB121" s="832"/>
      <c r="BC121" s="283"/>
      <c r="BD121" s="202" t="s">
        <v>111</v>
      </c>
      <c r="BE121" s="203">
        <f>BE123/BE86</f>
        <v>457.42253521126759</v>
      </c>
      <c r="BF121" s="283"/>
      <c r="BG121" s="202" t="s">
        <v>111</v>
      </c>
      <c r="BH121" s="203">
        <f>BH123/BH86</f>
        <v>457.42253521126759</v>
      </c>
      <c r="BI121" s="202" t="s">
        <v>111</v>
      </c>
      <c r="BJ121" s="203">
        <f t="shared" ref="BJ121" si="377">BJ123/BJ86</f>
        <v>457.42253521126759</v>
      </c>
      <c r="BK121" s="202" t="s">
        <v>111</v>
      </c>
      <c r="BL121" s="203">
        <f t="shared" ref="BL121" si="378">BL123/BL86</f>
        <v>457.42253521126759</v>
      </c>
      <c r="BM121"/>
      <c r="BN121" s="283"/>
      <c r="BO121" s="202" t="s">
        <v>111</v>
      </c>
      <c r="BP121" s="203">
        <f>BP123/BP86</f>
        <v>457.42253521126759</v>
      </c>
      <c r="BQ121" s="202" t="s">
        <v>111</v>
      </c>
      <c r="BR121" s="203">
        <f t="shared" ref="BR121" si="379">BR123/BR86</f>
        <v>457.42253521126759</v>
      </c>
      <c r="BS121" s="202" t="s">
        <v>111</v>
      </c>
      <c r="BT121" s="203">
        <f t="shared" ref="BT121" si="380">BT123/BT86</f>
        <v>457.42253521126759</v>
      </c>
      <c r="BU121" s="283"/>
      <c r="BV121" s="202" t="s">
        <v>111</v>
      </c>
      <c r="BW121" s="203">
        <f>BW123/BW86</f>
        <v>457.42253521126759</v>
      </c>
      <c r="BY121" s="202" t="s">
        <v>111</v>
      </c>
      <c r="BZ121" s="203">
        <f>BZ123/BZ86</f>
        <v>456.11888111888112</v>
      </c>
      <c r="CA121" s="202" t="s">
        <v>111</v>
      </c>
      <c r="CB121" s="203">
        <f>CB123/CB86</f>
        <v>456.11888111888112</v>
      </c>
      <c r="CC121" s="202" t="s">
        <v>111</v>
      </c>
      <c r="CD121" s="203">
        <f>CD123/CD86</f>
        <v>456.11888111888112</v>
      </c>
      <c r="CH121" s="202" t="s">
        <v>111</v>
      </c>
      <c r="CI121" s="203">
        <f>CI123/CI86</f>
        <v>457.42253521126759</v>
      </c>
      <c r="CJ121" s="202" t="s">
        <v>111</v>
      </c>
      <c r="CK121" s="203">
        <f t="shared" ref="CK121" si="381">CK123/CK86</f>
        <v>457.42253521126759</v>
      </c>
      <c r="CL121" s="202" t="s">
        <v>111</v>
      </c>
      <c r="CM121" s="203">
        <f t="shared" ref="CM121" si="382">CM123/CM86</f>
        <v>457.42253521126759</v>
      </c>
      <c r="CN121" s="283"/>
    </row>
    <row r="122" spans="1:92" s="65" customFormat="1" ht="18" hidden="1" customHeight="1" outlineLevel="1" x14ac:dyDescent="0.45">
      <c r="A122" s="561"/>
      <c r="B122" s="199"/>
      <c r="C122" s="200" t="s">
        <v>112</v>
      </c>
      <c r="D122" s="201"/>
      <c r="E122" s="201"/>
      <c r="F122" s="202" t="s">
        <v>111</v>
      </c>
      <c r="G122" s="203">
        <f>G121/G73</f>
        <v>0.11798732756232323</v>
      </c>
      <c r="H122" s="202" t="s">
        <v>111</v>
      </c>
      <c r="I122" s="203">
        <f>I121/I73</f>
        <v>0.11798732756232323</v>
      </c>
      <c r="J122" s="202" t="s">
        <v>111</v>
      </c>
      <c r="K122" s="203">
        <f>K121/K73</f>
        <v>0.11798732756232323</v>
      </c>
      <c r="L122" s="202" t="s">
        <v>111</v>
      </c>
      <c r="M122" s="203">
        <f>M121/M73</f>
        <v>0.11798732756232323</v>
      </c>
      <c r="N122" s="202" t="s">
        <v>111</v>
      </c>
      <c r="O122" s="203">
        <f>O121/O73</f>
        <v>0.11813598533348853</v>
      </c>
      <c r="P122" s="202" t="s">
        <v>111</v>
      </c>
      <c r="Q122" s="203">
        <f>Q121/Q73</f>
        <v>0.11813598533348853</v>
      </c>
      <c r="R122" s="202" t="s">
        <v>111</v>
      </c>
      <c r="S122" s="203">
        <f>S121/S73</f>
        <v>0.11813598533348853</v>
      </c>
      <c r="T122" s="202" t="s">
        <v>111</v>
      </c>
      <c r="U122" s="203">
        <f>U121/U73</f>
        <v>0.11813598533348853</v>
      </c>
      <c r="V122" s="202" t="s">
        <v>111</v>
      </c>
      <c r="W122" s="203">
        <f>W121/W73</f>
        <v>0.11813598533348853</v>
      </c>
      <c r="X122" s="202" t="s">
        <v>111</v>
      </c>
      <c r="Y122" s="203">
        <f>Y121/Y73</f>
        <v>0.11813598533348853</v>
      </c>
      <c r="Z122" s="202" t="s">
        <v>111</v>
      </c>
      <c r="AA122" s="203">
        <f>AA121/AA73</f>
        <v>0.11813598533348853</v>
      </c>
      <c r="AB122" s="202" t="s">
        <v>111</v>
      </c>
      <c r="AC122" s="203">
        <f>AC121/AC73</f>
        <v>0.11813598533348853</v>
      </c>
      <c r="AD122" s="202" t="s">
        <v>111</v>
      </c>
      <c r="AE122" s="203">
        <f>AE121/AE73</f>
        <v>0.11813598533348853</v>
      </c>
      <c r="AF122" s="831"/>
      <c r="AG122" s="832"/>
      <c r="AH122" s="833"/>
      <c r="AJ122" s="202" t="s">
        <v>111</v>
      </c>
      <c r="AK122" s="203">
        <f>AK121/AK73</f>
        <v>0.11813598533348853</v>
      </c>
      <c r="AL122" s="202" t="s">
        <v>111</v>
      </c>
      <c r="AM122" s="203">
        <f>AM121/AM73</f>
        <v>0.11813598533348853</v>
      </c>
      <c r="AN122" s="202" t="s">
        <v>111</v>
      </c>
      <c r="AO122" s="203">
        <f>AO121/AO73</f>
        <v>0.11813598533348853</v>
      </c>
      <c r="AP122" s="831"/>
      <c r="AQ122" s="832"/>
      <c r="AR122" s="833"/>
      <c r="AT122" s="202" t="s">
        <v>111</v>
      </c>
      <c r="AU122" s="203">
        <f>AU121/AU73</f>
        <v>0.11813598533348853</v>
      </c>
      <c r="AV122" s="202" t="s">
        <v>111</v>
      </c>
      <c r="AW122" s="203">
        <f>AW121/AW73</f>
        <v>0.11813598533348853</v>
      </c>
      <c r="AX122" s="202" t="s">
        <v>111</v>
      </c>
      <c r="AY122" s="203">
        <f>AY121/AY73</f>
        <v>0.11813598533348853</v>
      </c>
      <c r="AZ122" s="831"/>
      <c r="BA122" s="832"/>
      <c r="BB122" s="832"/>
      <c r="BC122" s="283"/>
      <c r="BD122" s="202" t="s">
        <v>111</v>
      </c>
      <c r="BE122" s="203">
        <f>BE121/BE73</f>
        <v>0.11813598533348853</v>
      </c>
      <c r="BF122" s="283"/>
      <c r="BG122" s="202" t="s">
        <v>111</v>
      </c>
      <c r="BH122" s="203">
        <f>BH121/BH73</f>
        <v>0.11813598533348853</v>
      </c>
      <c r="BI122" s="202" t="s">
        <v>111</v>
      </c>
      <c r="BJ122" s="203">
        <f t="shared" ref="BJ122" si="383">BJ121/BJ73</f>
        <v>0.11813598533348853</v>
      </c>
      <c r="BK122" s="202" t="s">
        <v>111</v>
      </c>
      <c r="BL122" s="203">
        <f t="shared" ref="BL122" si="384">BL121/BL73</f>
        <v>0.11813598533348853</v>
      </c>
      <c r="BM122"/>
      <c r="BN122" s="283"/>
      <c r="BO122" s="202" t="s">
        <v>111</v>
      </c>
      <c r="BP122" s="203">
        <f>BP121/BP73</f>
        <v>0.11813598533348853</v>
      </c>
      <c r="BQ122" s="202" t="s">
        <v>111</v>
      </c>
      <c r="BR122" s="203">
        <f t="shared" ref="BR122" si="385">BR121/BR73</f>
        <v>0.11813598533348853</v>
      </c>
      <c r="BS122" s="202" t="s">
        <v>111</v>
      </c>
      <c r="BT122" s="203">
        <f t="shared" ref="BT122" si="386">BT121/BT73</f>
        <v>0.11813598533348853</v>
      </c>
      <c r="BU122" s="283"/>
      <c r="BV122" s="202" t="s">
        <v>111</v>
      </c>
      <c r="BW122" s="203">
        <f>BW121/BW73</f>
        <v>0.11813598533348853</v>
      </c>
      <c r="BY122" s="202" t="s">
        <v>111</v>
      </c>
      <c r="BZ122" s="203">
        <f>BZ121/BZ73</f>
        <v>0.11402972027972028</v>
      </c>
      <c r="CA122" s="202" t="s">
        <v>111</v>
      </c>
      <c r="CB122" s="203">
        <f>CB121/CB73</f>
        <v>0.11402972027972028</v>
      </c>
      <c r="CC122" s="202" t="s">
        <v>111</v>
      </c>
      <c r="CD122" s="203">
        <f>CD121/CD73</f>
        <v>0.11402972027972028</v>
      </c>
      <c r="CH122" s="202" t="s">
        <v>111</v>
      </c>
      <c r="CI122" s="203">
        <f>CI121/CI73</f>
        <v>0.11813598533348853</v>
      </c>
      <c r="CJ122" s="202" t="s">
        <v>111</v>
      </c>
      <c r="CK122" s="203">
        <f t="shared" ref="CK122" si="387">CK121/CK73</f>
        <v>0.11813598533348853</v>
      </c>
      <c r="CL122" s="202" t="s">
        <v>111</v>
      </c>
      <c r="CM122" s="203">
        <f t="shared" ref="CM122" si="388">CM121/CM73</f>
        <v>0.11813598533348853</v>
      </c>
      <c r="CN122" s="283"/>
    </row>
    <row r="123" spans="1:92" s="65" customFormat="1" ht="18" hidden="1" customHeight="1" outlineLevel="1" x14ac:dyDescent="0.45">
      <c r="A123" s="561"/>
      <c r="B123" s="199"/>
      <c r="C123" s="200" t="s">
        <v>113</v>
      </c>
      <c r="D123" s="201"/>
      <c r="E123" s="201"/>
      <c r="F123" s="202" t="s">
        <v>114</v>
      </c>
      <c r="G123" s="204">
        <f>G124*G73</f>
        <v>6500474.9999999991</v>
      </c>
      <c r="H123" s="202" t="s">
        <v>114</v>
      </c>
      <c r="I123" s="204">
        <f>I124*I73</f>
        <v>6500474.9999999991</v>
      </c>
      <c r="J123" s="202" t="s">
        <v>114</v>
      </c>
      <c r="K123" s="204">
        <f>K124*K73</f>
        <v>6500474.9999999991</v>
      </c>
      <c r="L123" s="202" t="s">
        <v>114</v>
      </c>
      <c r="M123" s="204">
        <f>M124*M73</f>
        <v>6500474.9999999991</v>
      </c>
      <c r="N123" s="202" t="s">
        <v>114</v>
      </c>
      <c r="O123" s="204">
        <f>O124*O73</f>
        <v>6495400</v>
      </c>
      <c r="P123" s="202" t="s">
        <v>114</v>
      </c>
      <c r="Q123" s="204">
        <f>Q124*Q73</f>
        <v>6495400</v>
      </c>
      <c r="R123" s="202" t="s">
        <v>114</v>
      </c>
      <c r="S123" s="204">
        <f>S124*S73</f>
        <v>6495400</v>
      </c>
      <c r="T123" s="202" t="s">
        <v>114</v>
      </c>
      <c r="U123" s="204">
        <f>U124*U73</f>
        <v>6495400</v>
      </c>
      <c r="V123" s="202" t="s">
        <v>114</v>
      </c>
      <c r="W123" s="204">
        <f>W124*W73</f>
        <v>6495400</v>
      </c>
      <c r="X123" s="202" t="s">
        <v>114</v>
      </c>
      <c r="Y123" s="204">
        <f>Y124*Y73</f>
        <v>6495400</v>
      </c>
      <c r="Z123" s="202" t="s">
        <v>114</v>
      </c>
      <c r="AA123" s="204">
        <f>AA124*AA73</f>
        <v>6495400</v>
      </c>
      <c r="AB123" s="202" t="s">
        <v>114</v>
      </c>
      <c r="AC123" s="204">
        <f>AC124*AC73</f>
        <v>6495400</v>
      </c>
      <c r="AD123" s="202" t="s">
        <v>114</v>
      </c>
      <c r="AE123" s="204">
        <f>AE124*AE73</f>
        <v>6495400</v>
      </c>
      <c r="AF123" s="831"/>
      <c r="AG123" s="832"/>
      <c r="AH123" s="833"/>
      <c r="AJ123" s="202" t="s">
        <v>114</v>
      </c>
      <c r="AK123" s="204">
        <f>AK124*AK73</f>
        <v>6495400</v>
      </c>
      <c r="AL123" s="202" t="s">
        <v>114</v>
      </c>
      <c r="AM123" s="204">
        <f>AM124*AM73</f>
        <v>6495400</v>
      </c>
      <c r="AN123" s="202" t="s">
        <v>114</v>
      </c>
      <c r="AO123" s="204">
        <f>AO124*AO73</f>
        <v>6495400</v>
      </c>
      <c r="AP123" s="831"/>
      <c r="AQ123" s="832"/>
      <c r="AR123" s="833"/>
      <c r="AT123" s="202" t="s">
        <v>114</v>
      </c>
      <c r="AU123" s="204">
        <f>AU124*AU73</f>
        <v>6495400</v>
      </c>
      <c r="AV123" s="202" t="s">
        <v>114</v>
      </c>
      <c r="AW123" s="204">
        <f>AW124*AW73</f>
        <v>6495400</v>
      </c>
      <c r="AX123" s="202" t="s">
        <v>114</v>
      </c>
      <c r="AY123" s="204">
        <f>AY124*AY73</f>
        <v>6495400</v>
      </c>
      <c r="AZ123" s="831"/>
      <c r="BA123" s="832"/>
      <c r="BB123" s="832"/>
      <c r="BC123" s="283"/>
      <c r="BD123" s="202" t="s">
        <v>114</v>
      </c>
      <c r="BE123" s="204">
        <f>BE124*BE73</f>
        <v>6495400</v>
      </c>
      <c r="BF123" s="283"/>
      <c r="BG123" s="202" t="s">
        <v>114</v>
      </c>
      <c r="BH123" s="204">
        <f>BH124*BH73</f>
        <v>6495400</v>
      </c>
      <c r="BI123" s="202" t="s">
        <v>114</v>
      </c>
      <c r="BJ123" s="204">
        <f t="shared" ref="BJ123" si="389">BJ124*BJ73</f>
        <v>6495400</v>
      </c>
      <c r="BK123" s="202" t="s">
        <v>114</v>
      </c>
      <c r="BL123" s="204">
        <f t="shared" ref="BL123" si="390">BL124*BL73</f>
        <v>6495400</v>
      </c>
      <c r="BM123"/>
      <c r="BN123" s="283"/>
      <c r="BO123" s="202" t="s">
        <v>114</v>
      </c>
      <c r="BP123" s="204">
        <f>BP124*BP73</f>
        <v>6495400</v>
      </c>
      <c r="BQ123" s="202" t="s">
        <v>114</v>
      </c>
      <c r="BR123" s="204">
        <f t="shared" ref="BR123" si="391">BR124*BR73</f>
        <v>6495400</v>
      </c>
      <c r="BS123" s="202" t="s">
        <v>114</v>
      </c>
      <c r="BT123" s="204">
        <f t="shared" ref="BT123" si="392">BT124*BT73</f>
        <v>6495400</v>
      </c>
      <c r="BU123" s="283"/>
      <c r="BV123" s="202" t="s">
        <v>114</v>
      </c>
      <c r="BW123" s="204">
        <f>BW124*BW73</f>
        <v>6495400</v>
      </c>
      <c r="BY123" s="202" t="s">
        <v>114</v>
      </c>
      <c r="BZ123" s="204">
        <f>BZ124*BZ73</f>
        <v>6522500</v>
      </c>
      <c r="CA123" s="202" t="s">
        <v>114</v>
      </c>
      <c r="CB123" s="204">
        <f>CB124*CB73</f>
        <v>6522500</v>
      </c>
      <c r="CC123" s="202" t="s">
        <v>114</v>
      </c>
      <c r="CD123" s="204">
        <f>CD124*CD73</f>
        <v>6522500</v>
      </c>
      <c r="CH123" s="202" t="s">
        <v>114</v>
      </c>
      <c r="CI123" s="204">
        <f>CI124*CI73</f>
        <v>6495400</v>
      </c>
      <c r="CJ123" s="202" t="s">
        <v>114</v>
      </c>
      <c r="CK123" s="204">
        <f t="shared" ref="CK123" si="393">CK124*CK73</f>
        <v>6495400</v>
      </c>
      <c r="CL123" s="202" t="s">
        <v>114</v>
      </c>
      <c r="CM123" s="204">
        <f t="shared" ref="CM123" si="394">CM124*CM73</f>
        <v>6495400</v>
      </c>
      <c r="CN123" s="283"/>
    </row>
    <row r="124" spans="1:92" s="65" customFormat="1" ht="18" hidden="1" customHeight="1" outlineLevel="1" x14ac:dyDescent="0.45">
      <c r="A124" s="561"/>
      <c r="B124" s="199"/>
      <c r="C124" s="200" t="s">
        <v>115</v>
      </c>
      <c r="D124" s="201"/>
      <c r="E124" s="201"/>
      <c r="F124" s="202" t="s">
        <v>114</v>
      </c>
      <c r="G124" s="204">
        <f>SUM(G125:G130)</f>
        <v>1678.8416838842973</v>
      </c>
      <c r="H124" s="202" t="s">
        <v>114</v>
      </c>
      <c r="I124" s="204">
        <f>SUM(I125:I130)</f>
        <v>1678.8416838842973</v>
      </c>
      <c r="J124" s="202" t="s">
        <v>114</v>
      </c>
      <c r="K124" s="204">
        <f>SUM(K125:K130)</f>
        <v>1678.8416838842973</v>
      </c>
      <c r="L124" s="202" t="s">
        <v>114</v>
      </c>
      <c r="M124" s="204">
        <f>SUM(M125:M130)</f>
        <v>1678.8416838842973</v>
      </c>
      <c r="N124" s="202" t="s">
        <v>114</v>
      </c>
      <c r="O124" s="204">
        <f>SUM(O125:O130)</f>
        <v>1677.5309917355371</v>
      </c>
      <c r="P124" s="202" t="s">
        <v>114</v>
      </c>
      <c r="Q124" s="204">
        <f>SUM(Q125:Q130)</f>
        <v>1677.5309917355371</v>
      </c>
      <c r="R124" s="202" t="s">
        <v>114</v>
      </c>
      <c r="S124" s="204">
        <f>SUM(S125:S130)</f>
        <v>1677.5309917355371</v>
      </c>
      <c r="T124" s="202" t="s">
        <v>114</v>
      </c>
      <c r="U124" s="204">
        <f>SUM(U125:U130)</f>
        <v>1677.5309917355371</v>
      </c>
      <c r="V124" s="202" t="s">
        <v>114</v>
      </c>
      <c r="W124" s="204">
        <f>SUM(W125:W130)</f>
        <v>1677.5309917355371</v>
      </c>
      <c r="X124" s="202" t="s">
        <v>114</v>
      </c>
      <c r="Y124" s="204">
        <f>SUM(Y125:Y130)</f>
        <v>1677.5309917355371</v>
      </c>
      <c r="Z124" s="202" t="s">
        <v>114</v>
      </c>
      <c r="AA124" s="204">
        <f>SUM(AA125:AA130)</f>
        <v>1677.5309917355371</v>
      </c>
      <c r="AB124" s="202" t="s">
        <v>114</v>
      </c>
      <c r="AC124" s="204">
        <f>SUM(AC125:AC130)</f>
        <v>1677.5309917355371</v>
      </c>
      <c r="AD124" s="202" t="s">
        <v>114</v>
      </c>
      <c r="AE124" s="204">
        <f>SUM(AE125:AE130)</f>
        <v>1677.5309917355371</v>
      </c>
      <c r="AF124" s="831"/>
      <c r="AG124" s="832"/>
      <c r="AH124" s="833"/>
      <c r="AJ124" s="202" t="s">
        <v>114</v>
      </c>
      <c r="AK124" s="204">
        <f>SUM(AK125:AK130)</f>
        <v>1677.5309917355371</v>
      </c>
      <c r="AL124" s="202" t="s">
        <v>114</v>
      </c>
      <c r="AM124" s="204">
        <f>SUM(AM125:AM130)</f>
        <v>1677.5309917355371</v>
      </c>
      <c r="AN124" s="202" t="s">
        <v>114</v>
      </c>
      <c r="AO124" s="204">
        <f>SUM(AO125:AO130)</f>
        <v>1677.5309917355371</v>
      </c>
      <c r="AP124" s="831"/>
      <c r="AQ124" s="832"/>
      <c r="AR124" s="833"/>
      <c r="AT124" s="202" t="s">
        <v>114</v>
      </c>
      <c r="AU124" s="204">
        <f>SUM(AU125:AU130)</f>
        <v>1677.5309917355371</v>
      </c>
      <c r="AV124" s="202" t="s">
        <v>114</v>
      </c>
      <c r="AW124" s="204">
        <f>SUM(AW125:AW130)</f>
        <v>1677.5309917355371</v>
      </c>
      <c r="AX124" s="202" t="s">
        <v>114</v>
      </c>
      <c r="AY124" s="204">
        <f>SUM(AY125:AY130)</f>
        <v>1677.5309917355371</v>
      </c>
      <c r="AZ124" s="831"/>
      <c r="BA124" s="832"/>
      <c r="BB124" s="832"/>
      <c r="BC124" s="283"/>
      <c r="BD124" s="202" t="s">
        <v>114</v>
      </c>
      <c r="BE124" s="204">
        <f>SUM(BE125:BE130)</f>
        <v>1677.5309917355371</v>
      </c>
      <c r="BF124" s="283"/>
      <c r="BG124" s="202" t="s">
        <v>114</v>
      </c>
      <c r="BH124" s="204">
        <f>SUM(BH125:BH130)</f>
        <v>1677.5309917355371</v>
      </c>
      <c r="BI124" s="202" t="s">
        <v>114</v>
      </c>
      <c r="BJ124" s="204">
        <f t="shared" ref="BJ124" si="395">SUM(BJ125:BJ130)</f>
        <v>1677.5309917355371</v>
      </c>
      <c r="BK124" s="202" t="s">
        <v>114</v>
      </c>
      <c r="BL124" s="204">
        <f t="shared" ref="BL124" si="396">SUM(BL125:BL130)</f>
        <v>1677.5309917355371</v>
      </c>
      <c r="BM124"/>
      <c r="BN124" s="283"/>
      <c r="BO124" s="202" t="s">
        <v>114</v>
      </c>
      <c r="BP124" s="204">
        <f>SUM(BP125:BP130)</f>
        <v>1677.5309917355371</v>
      </c>
      <c r="BQ124" s="202" t="s">
        <v>114</v>
      </c>
      <c r="BR124" s="204">
        <f t="shared" ref="BR124" si="397">SUM(BR125:BR130)</f>
        <v>1677.5309917355371</v>
      </c>
      <c r="BS124" s="202" t="s">
        <v>114</v>
      </c>
      <c r="BT124" s="204">
        <f t="shared" ref="BT124" si="398">SUM(BT125:BT130)</f>
        <v>1677.5309917355371</v>
      </c>
      <c r="BU124" s="283"/>
      <c r="BV124" s="202" t="s">
        <v>114</v>
      </c>
      <c r="BW124" s="204">
        <f>SUM(BW125:BW130)</f>
        <v>1677.5309917355371</v>
      </c>
      <c r="BY124" s="202" t="s">
        <v>114</v>
      </c>
      <c r="BZ124" s="204">
        <f>SUM(BZ125:BZ130)</f>
        <v>1630.625</v>
      </c>
      <c r="CA124" s="202" t="s">
        <v>114</v>
      </c>
      <c r="CB124" s="204">
        <f>SUM(CB125:CB130)</f>
        <v>1630.625</v>
      </c>
      <c r="CC124" s="202" t="s">
        <v>114</v>
      </c>
      <c r="CD124" s="204">
        <f>SUM(CD125:CD130)</f>
        <v>1630.625</v>
      </c>
      <c r="CH124" s="202" t="s">
        <v>114</v>
      </c>
      <c r="CI124" s="204">
        <f>SUM(CI125:CI130)</f>
        <v>1677.5309917355371</v>
      </c>
      <c r="CJ124" s="202" t="s">
        <v>114</v>
      </c>
      <c r="CK124" s="204">
        <f t="shared" ref="CK124" si="399">SUM(CK125:CK130)</f>
        <v>1677.5309917355371</v>
      </c>
      <c r="CL124" s="202" t="s">
        <v>114</v>
      </c>
      <c r="CM124" s="204">
        <f t="shared" ref="CM124" si="400">SUM(CM125:CM130)</f>
        <v>1677.5309917355371</v>
      </c>
      <c r="CN124" s="283"/>
    </row>
    <row r="125" spans="1:92" s="65" customFormat="1" ht="18" hidden="1" customHeight="1" outlineLevel="1" x14ac:dyDescent="0.45">
      <c r="A125" s="561"/>
      <c r="B125" s="199"/>
      <c r="C125" s="200" t="s">
        <v>116</v>
      </c>
      <c r="D125" s="201"/>
      <c r="E125" s="201"/>
      <c r="F125" s="202" t="s">
        <v>114</v>
      </c>
      <c r="G125" s="204">
        <v>75</v>
      </c>
      <c r="H125" s="202" t="s">
        <v>114</v>
      </c>
      <c r="I125" s="204">
        <v>75</v>
      </c>
      <c r="J125" s="202" t="s">
        <v>114</v>
      </c>
      <c r="K125" s="204">
        <v>75</v>
      </c>
      <c r="L125" s="202" t="s">
        <v>114</v>
      </c>
      <c r="M125" s="204">
        <v>75</v>
      </c>
      <c r="N125" s="202" t="s">
        <v>114</v>
      </c>
      <c r="O125" s="204">
        <v>75</v>
      </c>
      <c r="P125" s="202" t="s">
        <v>114</v>
      </c>
      <c r="Q125" s="204">
        <v>75</v>
      </c>
      <c r="R125" s="202" t="s">
        <v>114</v>
      </c>
      <c r="S125" s="204">
        <v>75</v>
      </c>
      <c r="T125" s="202" t="s">
        <v>114</v>
      </c>
      <c r="U125" s="204">
        <v>75</v>
      </c>
      <c r="V125" s="202" t="s">
        <v>114</v>
      </c>
      <c r="W125" s="204">
        <v>75</v>
      </c>
      <c r="X125" s="202" t="s">
        <v>114</v>
      </c>
      <c r="Y125" s="204">
        <v>75</v>
      </c>
      <c r="Z125" s="202" t="s">
        <v>114</v>
      </c>
      <c r="AA125" s="204">
        <v>75</v>
      </c>
      <c r="AB125" s="202" t="s">
        <v>114</v>
      </c>
      <c r="AC125" s="204">
        <v>75</v>
      </c>
      <c r="AD125" s="202" t="s">
        <v>114</v>
      </c>
      <c r="AE125" s="204">
        <v>75</v>
      </c>
      <c r="AF125" s="831"/>
      <c r="AG125" s="832"/>
      <c r="AH125" s="833"/>
      <c r="AJ125" s="202" t="s">
        <v>114</v>
      </c>
      <c r="AK125" s="204">
        <v>75</v>
      </c>
      <c r="AL125" s="202" t="s">
        <v>114</v>
      </c>
      <c r="AM125" s="204">
        <v>75</v>
      </c>
      <c r="AN125" s="202" t="s">
        <v>114</v>
      </c>
      <c r="AO125" s="204">
        <v>75</v>
      </c>
      <c r="AP125" s="831"/>
      <c r="AQ125" s="832"/>
      <c r="AR125" s="833"/>
      <c r="AT125" s="202" t="s">
        <v>114</v>
      </c>
      <c r="AU125" s="204">
        <v>75</v>
      </c>
      <c r="AV125" s="202" t="s">
        <v>114</v>
      </c>
      <c r="AW125" s="204">
        <v>75</v>
      </c>
      <c r="AX125" s="202" t="s">
        <v>114</v>
      </c>
      <c r="AY125" s="204">
        <v>75</v>
      </c>
      <c r="AZ125" s="831"/>
      <c r="BA125" s="832"/>
      <c r="BB125" s="832"/>
      <c r="BC125" s="283"/>
      <c r="BD125" s="202" t="s">
        <v>114</v>
      </c>
      <c r="BE125" s="204">
        <v>75</v>
      </c>
      <c r="BF125" s="283"/>
      <c r="BG125" s="202" t="s">
        <v>114</v>
      </c>
      <c r="BH125" s="204">
        <v>75</v>
      </c>
      <c r="BI125" s="202" t="s">
        <v>114</v>
      </c>
      <c r="BJ125" s="204">
        <v>75</v>
      </c>
      <c r="BK125" s="202" t="s">
        <v>114</v>
      </c>
      <c r="BL125" s="204">
        <v>75</v>
      </c>
      <c r="BM125"/>
      <c r="BN125" s="283"/>
      <c r="BO125" s="202" t="s">
        <v>114</v>
      </c>
      <c r="BP125" s="204">
        <v>75</v>
      </c>
      <c r="BQ125" s="202" t="s">
        <v>114</v>
      </c>
      <c r="BR125" s="204">
        <v>75</v>
      </c>
      <c r="BS125" s="202" t="s">
        <v>114</v>
      </c>
      <c r="BT125" s="204">
        <v>75</v>
      </c>
      <c r="BU125" s="283"/>
      <c r="BV125" s="202" t="s">
        <v>114</v>
      </c>
      <c r="BW125" s="204">
        <v>75</v>
      </c>
      <c r="BY125" s="202" t="s">
        <v>114</v>
      </c>
      <c r="BZ125" s="204">
        <v>75</v>
      </c>
      <c r="CA125" s="202" t="s">
        <v>114</v>
      </c>
      <c r="CB125" s="204">
        <v>75</v>
      </c>
      <c r="CC125" s="202" t="s">
        <v>114</v>
      </c>
      <c r="CD125" s="204">
        <v>75</v>
      </c>
      <c r="CH125" s="202" t="s">
        <v>114</v>
      </c>
      <c r="CI125" s="204">
        <v>75</v>
      </c>
      <c r="CJ125" s="202" t="s">
        <v>114</v>
      </c>
      <c r="CK125" s="204">
        <v>75</v>
      </c>
      <c r="CL125" s="202" t="s">
        <v>114</v>
      </c>
      <c r="CM125" s="204">
        <v>75</v>
      </c>
      <c r="CN125" s="283"/>
    </row>
    <row r="126" spans="1:92" s="65" customFormat="1" ht="18" hidden="1" customHeight="1" outlineLevel="1" x14ac:dyDescent="0.45">
      <c r="A126" s="561"/>
      <c r="B126" s="199"/>
      <c r="C126" s="200" t="s">
        <v>117</v>
      </c>
      <c r="D126" s="201"/>
      <c r="E126" s="201"/>
      <c r="F126" s="202" t="s">
        <v>114</v>
      </c>
      <c r="G126" s="204">
        <f>1940000/G73</f>
        <v>501.03305785123968</v>
      </c>
      <c r="H126" s="202" t="s">
        <v>114</v>
      </c>
      <c r="I126" s="204">
        <f>1940000/I73</f>
        <v>501.03305785123968</v>
      </c>
      <c r="J126" s="202" t="s">
        <v>114</v>
      </c>
      <c r="K126" s="204">
        <f>1940000/K73</f>
        <v>501.03305785123968</v>
      </c>
      <c r="L126" s="202" t="s">
        <v>114</v>
      </c>
      <c r="M126" s="204">
        <f>1940000/M73</f>
        <v>501.03305785123968</v>
      </c>
      <c r="N126" s="202" t="s">
        <v>114</v>
      </c>
      <c r="O126" s="204">
        <f>1940000/O73</f>
        <v>501.03305785123968</v>
      </c>
      <c r="P126" s="202" t="s">
        <v>114</v>
      </c>
      <c r="Q126" s="204">
        <f>1940000/Q73</f>
        <v>501.03305785123968</v>
      </c>
      <c r="R126" s="202" t="s">
        <v>114</v>
      </c>
      <c r="S126" s="204">
        <f>1940000/S73</f>
        <v>501.03305785123968</v>
      </c>
      <c r="T126" s="202" t="s">
        <v>114</v>
      </c>
      <c r="U126" s="204">
        <f>1940000/U73</f>
        <v>501.03305785123968</v>
      </c>
      <c r="V126" s="202" t="s">
        <v>114</v>
      </c>
      <c r="W126" s="204">
        <f>1940000/W73</f>
        <v>501.03305785123968</v>
      </c>
      <c r="X126" s="202" t="s">
        <v>114</v>
      </c>
      <c r="Y126" s="204">
        <f>1940000/Y73</f>
        <v>501.03305785123968</v>
      </c>
      <c r="Z126" s="202" t="s">
        <v>114</v>
      </c>
      <c r="AA126" s="204">
        <f>1940000/AA73</f>
        <v>501.03305785123968</v>
      </c>
      <c r="AB126" s="202" t="s">
        <v>114</v>
      </c>
      <c r="AC126" s="204">
        <f>1940000/AC73</f>
        <v>501.03305785123968</v>
      </c>
      <c r="AD126" s="202" t="s">
        <v>114</v>
      </c>
      <c r="AE126" s="204">
        <f>1940000/AE73</f>
        <v>501.03305785123968</v>
      </c>
      <c r="AF126" s="831"/>
      <c r="AG126" s="832"/>
      <c r="AH126" s="833"/>
      <c r="AJ126" s="202" t="s">
        <v>114</v>
      </c>
      <c r="AK126" s="204">
        <f>1940000/AK73</f>
        <v>501.03305785123968</v>
      </c>
      <c r="AL126" s="202" t="s">
        <v>114</v>
      </c>
      <c r="AM126" s="204">
        <f>1940000/AM73</f>
        <v>501.03305785123968</v>
      </c>
      <c r="AN126" s="202" t="s">
        <v>114</v>
      </c>
      <c r="AO126" s="204">
        <f>1940000/AO73</f>
        <v>501.03305785123968</v>
      </c>
      <c r="AP126" s="831"/>
      <c r="AQ126" s="832"/>
      <c r="AR126" s="833"/>
      <c r="AT126" s="202" t="s">
        <v>114</v>
      </c>
      <c r="AU126" s="204">
        <f>1940000/AU73</f>
        <v>501.03305785123968</v>
      </c>
      <c r="AV126" s="202" t="s">
        <v>114</v>
      </c>
      <c r="AW126" s="204">
        <f>1940000/AW73</f>
        <v>501.03305785123968</v>
      </c>
      <c r="AX126" s="202" t="s">
        <v>114</v>
      </c>
      <c r="AY126" s="204">
        <f>1940000/AY73</f>
        <v>501.03305785123968</v>
      </c>
      <c r="AZ126" s="831"/>
      <c r="BA126" s="832"/>
      <c r="BB126" s="832"/>
      <c r="BC126" s="283"/>
      <c r="BD126" s="202" t="s">
        <v>114</v>
      </c>
      <c r="BE126" s="204">
        <f>1940000/BE73</f>
        <v>501.03305785123968</v>
      </c>
      <c r="BF126" s="283"/>
      <c r="BG126" s="202" t="s">
        <v>114</v>
      </c>
      <c r="BH126" s="204">
        <f>1940000/BH73</f>
        <v>501.03305785123968</v>
      </c>
      <c r="BI126" s="202" t="s">
        <v>114</v>
      </c>
      <c r="BJ126" s="204">
        <f t="shared" ref="BJ126" si="401">1940000/BJ73</f>
        <v>501.03305785123968</v>
      </c>
      <c r="BK126" s="202" t="s">
        <v>114</v>
      </c>
      <c r="BL126" s="204">
        <f t="shared" ref="BL126" si="402">1940000/BL73</f>
        <v>501.03305785123968</v>
      </c>
      <c r="BM126"/>
      <c r="BN126" s="283"/>
      <c r="BO126" s="202" t="s">
        <v>114</v>
      </c>
      <c r="BP126" s="204">
        <f>1940000/BP73</f>
        <v>501.03305785123968</v>
      </c>
      <c r="BQ126" s="202" t="s">
        <v>114</v>
      </c>
      <c r="BR126" s="204">
        <f t="shared" ref="BR126" si="403">1940000/BR73</f>
        <v>501.03305785123968</v>
      </c>
      <c r="BS126" s="202" t="s">
        <v>114</v>
      </c>
      <c r="BT126" s="204">
        <f t="shared" ref="BT126" si="404">1940000/BT73</f>
        <v>501.03305785123968</v>
      </c>
      <c r="BU126" s="283"/>
      <c r="BV126" s="202" t="s">
        <v>114</v>
      </c>
      <c r="BW126" s="204">
        <f>1940000/BW73</f>
        <v>501.03305785123968</v>
      </c>
      <c r="BY126" s="202" t="s">
        <v>114</v>
      </c>
      <c r="BZ126" s="204">
        <f>1940000/BZ73</f>
        <v>485</v>
      </c>
      <c r="CA126" s="202" t="s">
        <v>114</v>
      </c>
      <c r="CB126" s="204">
        <f>1940000/CB73</f>
        <v>485</v>
      </c>
      <c r="CC126" s="202" t="s">
        <v>114</v>
      </c>
      <c r="CD126" s="204">
        <f>1940000/CD73</f>
        <v>485</v>
      </c>
      <c r="CH126" s="202" t="s">
        <v>114</v>
      </c>
      <c r="CI126" s="204">
        <f>1940000/CI73</f>
        <v>501.03305785123968</v>
      </c>
      <c r="CJ126" s="202" t="s">
        <v>114</v>
      </c>
      <c r="CK126" s="204">
        <f t="shared" ref="CK126" si="405">1940000/CK73</f>
        <v>501.03305785123968</v>
      </c>
      <c r="CL126" s="202" t="s">
        <v>114</v>
      </c>
      <c r="CM126" s="204">
        <f t="shared" ref="CM126" si="406">1940000/CM73</f>
        <v>501.03305785123968</v>
      </c>
      <c r="CN126" s="283"/>
    </row>
    <row r="127" spans="1:92" s="65" customFormat="1" ht="18" hidden="1" customHeight="1" outlineLevel="1" x14ac:dyDescent="0.45">
      <c r="A127" s="561"/>
      <c r="B127" s="199"/>
      <c r="C127" s="200" t="s">
        <v>118</v>
      </c>
      <c r="D127" s="201"/>
      <c r="E127" s="201"/>
      <c r="F127" s="202" t="s">
        <v>114</v>
      </c>
      <c r="G127" s="204">
        <f>275000/G73</f>
        <v>71.022727272727266</v>
      </c>
      <c r="H127" s="202" t="s">
        <v>114</v>
      </c>
      <c r="I127" s="204">
        <f>275000/I73</f>
        <v>71.022727272727266</v>
      </c>
      <c r="J127" s="202" t="s">
        <v>114</v>
      </c>
      <c r="K127" s="204">
        <f>275000/K73</f>
        <v>71.022727272727266</v>
      </c>
      <c r="L127" s="202" t="s">
        <v>114</v>
      </c>
      <c r="M127" s="204">
        <f>275000/M73</f>
        <v>71.022727272727266</v>
      </c>
      <c r="N127" s="202" t="s">
        <v>114</v>
      </c>
      <c r="O127" s="204">
        <f>275000/O73</f>
        <v>71.022727272727266</v>
      </c>
      <c r="P127" s="202" t="s">
        <v>114</v>
      </c>
      <c r="Q127" s="204">
        <f>275000/Q73</f>
        <v>71.022727272727266</v>
      </c>
      <c r="R127" s="202" t="s">
        <v>114</v>
      </c>
      <c r="S127" s="204">
        <f>275000/S73</f>
        <v>71.022727272727266</v>
      </c>
      <c r="T127" s="202" t="s">
        <v>114</v>
      </c>
      <c r="U127" s="204">
        <f>275000/U73</f>
        <v>71.022727272727266</v>
      </c>
      <c r="V127" s="202" t="s">
        <v>114</v>
      </c>
      <c r="W127" s="204">
        <f>275000/W73</f>
        <v>71.022727272727266</v>
      </c>
      <c r="X127" s="202" t="s">
        <v>114</v>
      </c>
      <c r="Y127" s="204">
        <f>275000/Y73</f>
        <v>71.022727272727266</v>
      </c>
      <c r="Z127" s="202" t="s">
        <v>114</v>
      </c>
      <c r="AA127" s="204">
        <f>275000/AA73</f>
        <v>71.022727272727266</v>
      </c>
      <c r="AB127" s="202" t="s">
        <v>114</v>
      </c>
      <c r="AC127" s="204">
        <f>275000/AC73</f>
        <v>71.022727272727266</v>
      </c>
      <c r="AD127" s="202" t="s">
        <v>114</v>
      </c>
      <c r="AE127" s="204">
        <f>275000/AE73</f>
        <v>71.022727272727266</v>
      </c>
      <c r="AF127" s="831"/>
      <c r="AG127" s="832"/>
      <c r="AH127" s="833"/>
      <c r="AJ127" s="202" t="s">
        <v>114</v>
      </c>
      <c r="AK127" s="204">
        <f>275000/AK73</f>
        <v>71.022727272727266</v>
      </c>
      <c r="AL127" s="202" t="s">
        <v>114</v>
      </c>
      <c r="AM127" s="204">
        <f>275000/AM73</f>
        <v>71.022727272727266</v>
      </c>
      <c r="AN127" s="202" t="s">
        <v>114</v>
      </c>
      <c r="AO127" s="204">
        <f>275000/AO73</f>
        <v>71.022727272727266</v>
      </c>
      <c r="AP127" s="831"/>
      <c r="AQ127" s="832"/>
      <c r="AR127" s="833"/>
      <c r="AT127" s="202" t="s">
        <v>114</v>
      </c>
      <c r="AU127" s="204">
        <f>275000/AU73</f>
        <v>71.022727272727266</v>
      </c>
      <c r="AV127" s="202" t="s">
        <v>114</v>
      </c>
      <c r="AW127" s="204">
        <f>275000/AW73</f>
        <v>71.022727272727266</v>
      </c>
      <c r="AX127" s="202" t="s">
        <v>114</v>
      </c>
      <c r="AY127" s="204">
        <f>275000/AY73</f>
        <v>71.022727272727266</v>
      </c>
      <c r="AZ127" s="831"/>
      <c r="BA127" s="832"/>
      <c r="BB127" s="832"/>
      <c r="BC127" s="283"/>
      <c r="BD127" s="202" t="s">
        <v>114</v>
      </c>
      <c r="BE127" s="204">
        <f>275000/BE73</f>
        <v>71.022727272727266</v>
      </c>
      <c r="BF127" s="283"/>
      <c r="BG127" s="202" t="s">
        <v>114</v>
      </c>
      <c r="BH127" s="204">
        <f>275000/BH73</f>
        <v>71.022727272727266</v>
      </c>
      <c r="BI127" s="202" t="s">
        <v>114</v>
      </c>
      <c r="BJ127" s="204">
        <f t="shared" ref="BJ127" si="407">275000/BJ73</f>
        <v>71.022727272727266</v>
      </c>
      <c r="BK127" s="202" t="s">
        <v>114</v>
      </c>
      <c r="BL127" s="204">
        <f t="shared" ref="BL127" si="408">275000/BL73</f>
        <v>71.022727272727266</v>
      </c>
      <c r="BM127"/>
      <c r="BN127" s="283"/>
      <c r="BO127" s="202" t="s">
        <v>114</v>
      </c>
      <c r="BP127" s="204">
        <f>275000/BP73</f>
        <v>71.022727272727266</v>
      </c>
      <c r="BQ127" s="202" t="s">
        <v>114</v>
      </c>
      <c r="BR127" s="204">
        <f t="shared" ref="BR127" si="409">275000/BR73</f>
        <v>71.022727272727266</v>
      </c>
      <c r="BS127" s="202" t="s">
        <v>114</v>
      </c>
      <c r="BT127" s="204">
        <f t="shared" ref="BT127" si="410">275000/BT73</f>
        <v>71.022727272727266</v>
      </c>
      <c r="BU127" s="283"/>
      <c r="BV127" s="202" t="s">
        <v>114</v>
      </c>
      <c r="BW127" s="204">
        <f>275000/BW73</f>
        <v>71.022727272727266</v>
      </c>
      <c r="BY127" s="202" t="s">
        <v>114</v>
      </c>
      <c r="BZ127" s="204">
        <f>275000/BZ73</f>
        <v>68.75</v>
      </c>
      <c r="CA127" s="202" t="s">
        <v>114</v>
      </c>
      <c r="CB127" s="204">
        <f>275000/CB73</f>
        <v>68.75</v>
      </c>
      <c r="CC127" s="202" t="s">
        <v>114</v>
      </c>
      <c r="CD127" s="204">
        <f>275000/CD73</f>
        <v>68.75</v>
      </c>
      <c r="CH127" s="202" t="s">
        <v>114</v>
      </c>
      <c r="CI127" s="204">
        <f>275000/CI73</f>
        <v>71.022727272727266</v>
      </c>
      <c r="CJ127" s="202" t="s">
        <v>114</v>
      </c>
      <c r="CK127" s="204">
        <f t="shared" ref="CK127" si="411">275000/CK73</f>
        <v>71.022727272727266</v>
      </c>
      <c r="CL127" s="202" t="s">
        <v>114</v>
      </c>
      <c r="CM127" s="204">
        <f t="shared" ref="CM127" si="412">275000/CM73</f>
        <v>71.022727272727266</v>
      </c>
      <c r="CN127" s="283"/>
    </row>
    <row r="128" spans="1:92" s="65" customFormat="1" ht="18" hidden="1" customHeight="1" outlineLevel="1" x14ac:dyDescent="0.45">
      <c r="A128" s="561"/>
      <c r="B128" s="199"/>
      <c r="C128" s="200" t="s">
        <v>119</v>
      </c>
      <c r="D128" s="201"/>
      <c r="E128" s="201"/>
      <c r="F128" s="202" t="s">
        <v>114</v>
      </c>
      <c r="G128" s="204">
        <f>1280000/G73</f>
        <v>330.57851239669424</v>
      </c>
      <c r="H128" s="202" t="s">
        <v>114</v>
      </c>
      <c r="I128" s="204">
        <f>1280000/I73</f>
        <v>330.57851239669424</v>
      </c>
      <c r="J128" s="202" t="s">
        <v>114</v>
      </c>
      <c r="K128" s="204">
        <f>1280000/K73</f>
        <v>330.57851239669424</v>
      </c>
      <c r="L128" s="202" t="s">
        <v>114</v>
      </c>
      <c r="M128" s="204">
        <f>1280000/M73</f>
        <v>330.57851239669424</v>
      </c>
      <c r="N128" s="202" t="s">
        <v>114</v>
      </c>
      <c r="O128" s="204">
        <f>1280000/O73</f>
        <v>330.57851239669424</v>
      </c>
      <c r="P128" s="202" t="s">
        <v>114</v>
      </c>
      <c r="Q128" s="204">
        <f>1280000/Q73</f>
        <v>330.57851239669424</v>
      </c>
      <c r="R128" s="202" t="s">
        <v>114</v>
      </c>
      <c r="S128" s="204">
        <f>1280000/S73</f>
        <v>330.57851239669424</v>
      </c>
      <c r="T128" s="202" t="s">
        <v>114</v>
      </c>
      <c r="U128" s="204">
        <f>1280000/U73</f>
        <v>330.57851239669424</v>
      </c>
      <c r="V128" s="202" t="s">
        <v>114</v>
      </c>
      <c r="W128" s="204">
        <f>1280000/W73</f>
        <v>330.57851239669424</v>
      </c>
      <c r="X128" s="202" t="s">
        <v>114</v>
      </c>
      <c r="Y128" s="204">
        <f>1280000/Y73</f>
        <v>330.57851239669424</v>
      </c>
      <c r="Z128" s="202" t="s">
        <v>114</v>
      </c>
      <c r="AA128" s="204">
        <f>1280000/AA73</f>
        <v>330.57851239669424</v>
      </c>
      <c r="AB128" s="202" t="s">
        <v>114</v>
      </c>
      <c r="AC128" s="204">
        <f>1280000/AC73</f>
        <v>330.57851239669424</v>
      </c>
      <c r="AD128" s="202" t="s">
        <v>114</v>
      </c>
      <c r="AE128" s="204">
        <f>1280000/AE73</f>
        <v>330.57851239669424</v>
      </c>
      <c r="AF128" s="831"/>
      <c r="AG128" s="832"/>
      <c r="AH128" s="833"/>
      <c r="AJ128" s="202" t="s">
        <v>114</v>
      </c>
      <c r="AK128" s="204">
        <f>1280000/AK73</f>
        <v>330.57851239669424</v>
      </c>
      <c r="AL128" s="202" t="s">
        <v>114</v>
      </c>
      <c r="AM128" s="204">
        <f>1280000/AM73</f>
        <v>330.57851239669424</v>
      </c>
      <c r="AN128" s="202" t="s">
        <v>114</v>
      </c>
      <c r="AO128" s="204">
        <f>1280000/AO73</f>
        <v>330.57851239669424</v>
      </c>
      <c r="AP128" s="831"/>
      <c r="AQ128" s="832"/>
      <c r="AR128" s="833"/>
      <c r="AT128" s="202" t="s">
        <v>114</v>
      </c>
      <c r="AU128" s="204">
        <f>1280000/AU73</f>
        <v>330.57851239669424</v>
      </c>
      <c r="AV128" s="202" t="s">
        <v>114</v>
      </c>
      <c r="AW128" s="204">
        <f>1280000/AW73</f>
        <v>330.57851239669424</v>
      </c>
      <c r="AX128" s="202" t="s">
        <v>114</v>
      </c>
      <c r="AY128" s="204">
        <f>1280000/AY73</f>
        <v>330.57851239669424</v>
      </c>
      <c r="AZ128" s="831"/>
      <c r="BA128" s="832"/>
      <c r="BB128" s="832"/>
      <c r="BC128" s="283"/>
      <c r="BD128" s="202" t="s">
        <v>114</v>
      </c>
      <c r="BE128" s="204">
        <f>1280000/BE73</f>
        <v>330.57851239669424</v>
      </c>
      <c r="BF128" s="283"/>
      <c r="BG128" s="202" t="s">
        <v>114</v>
      </c>
      <c r="BH128" s="204">
        <f>1280000/BH73</f>
        <v>330.57851239669424</v>
      </c>
      <c r="BI128" s="202" t="s">
        <v>114</v>
      </c>
      <c r="BJ128" s="204">
        <f t="shared" ref="BJ128" si="413">1280000/BJ73</f>
        <v>330.57851239669424</v>
      </c>
      <c r="BK128" s="202" t="s">
        <v>114</v>
      </c>
      <c r="BL128" s="204">
        <f t="shared" ref="BL128" si="414">1280000/BL73</f>
        <v>330.57851239669424</v>
      </c>
      <c r="BM128"/>
      <c r="BN128" s="283"/>
      <c r="BO128" s="202" t="s">
        <v>114</v>
      </c>
      <c r="BP128" s="204">
        <f>1280000/BP73</f>
        <v>330.57851239669424</v>
      </c>
      <c r="BQ128" s="202" t="s">
        <v>114</v>
      </c>
      <c r="BR128" s="204">
        <f t="shared" ref="BR128" si="415">1280000/BR73</f>
        <v>330.57851239669424</v>
      </c>
      <c r="BS128" s="202" t="s">
        <v>114</v>
      </c>
      <c r="BT128" s="204">
        <f t="shared" ref="BT128" si="416">1280000/BT73</f>
        <v>330.57851239669424</v>
      </c>
      <c r="BU128" s="283"/>
      <c r="BV128" s="202" t="s">
        <v>114</v>
      </c>
      <c r="BW128" s="204">
        <f>1280000/BW73</f>
        <v>330.57851239669424</v>
      </c>
      <c r="BY128" s="202" t="s">
        <v>114</v>
      </c>
      <c r="BZ128" s="204">
        <f>1280000/BZ73</f>
        <v>320</v>
      </c>
      <c r="CA128" s="202" t="s">
        <v>114</v>
      </c>
      <c r="CB128" s="204">
        <f>1280000/CB73</f>
        <v>320</v>
      </c>
      <c r="CC128" s="202" t="s">
        <v>114</v>
      </c>
      <c r="CD128" s="204">
        <f>1280000/CD73</f>
        <v>320</v>
      </c>
      <c r="CH128" s="202" t="s">
        <v>114</v>
      </c>
      <c r="CI128" s="204">
        <f>1280000/CI73</f>
        <v>330.57851239669424</v>
      </c>
      <c r="CJ128" s="202" t="s">
        <v>114</v>
      </c>
      <c r="CK128" s="204">
        <f t="shared" ref="CK128" si="417">1280000/CK73</f>
        <v>330.57851239669424</v>
      </c>
      <c r="CL128" s="202" t="s">
        <v>114</v>
      </c>
      <c r="CM128" s="204">
        <f t="shared" ref="CM128" si="418">1280000/CM73</f>
        <v>330.57851239669424</v>
      </c>
      <c r="CN128" s="283"/>
    </row>
    <row r="129" spans="1:92" s="65" customFormat="1" ht="18" hidden="1" customHeight="1" outlineLevel="1" x14ac:dyDescent="0.45">
      <c r="A129" s="561"/>
      <c r="B129" s="199"/>
      <c r="C129" s="200" t="s">
        <v>120</v>
      </c>
      <c r="D129" s="201"/>
      <c r="E129" s="201"/>
      <c r="F129" s="202" t="s">
        <v>114</v>
      </c>
      <c r="G129" s="204">
        <f>225000/G73</f>
        <v>58.109504132231407</v>
      </c>
      <c r="H129" s="202" t="s">
        <v>114</v>
      </c>
      <c r="I129" s="204">
        <f>225000/I73</f>
        <v>58.109504132231407</v>
      </c>
      <c r="J129" s="202" t="s">
        <v>114</v>
      </c>
      <c r="K129" s="204">
        <f>225000/K73</f>
        <v>58.109504132231407</v>
      </c>
      <c r="L129" s="202" t="s">
        <v>114</v>
      </c>
      <c r="M129" s="204">
        <f>225000/M73</f>
        <v>58.109504132231407</v>
      </c>
      <c r="N129" s="202" t="s">
        <v>114</v>
      </c>
      <c r="O129" s="204">
        <f>225000/O73</f>
        <v>58.109504132231407</v>
      </c>
      <c r="P129" s="202" t="s">
        <v>114</v>
      </c>
      <c r="Q129" s="204">
        <f>225000/Q73</f>
        <v>58.109504132231407</v>
      </c>
      <c r="R129" s="202" t="s">
        <v>114</v>
      </c>
      <c r="S129" s="204">
        <f>225000/S73</f>
        <v>58.109504132231407</v>
      </c>
      <c r="T129" s="202" t="s">
        <v>114</v>
      </c>
      <c r="U129" s="204">
        <f>225000/U73</f>
        <v>58.109504132231407</v>
      </c>
      <c r="V129" s="202" t="s">
        <v>114</v>
      </c>
      <c r="W129" s="204">
        <f>225000/W73</f>
        <v>58.109504132231407</v>
      </c>
      <c r="X129" s="202" t="s">
        <v>114</v>
      </c>
      <c r="Y129" s="204">
        <f>225000/Y73</f>
        <v>58.109504132231407</v>
      </c>
      <c r="Z129" s="202" t="s">
        <v>114</v>
      </c>
      <c r="AA129" s="204">
        <f>225000/AA73</f>
        <v>58.109504132231407</v>
      </c>
      <c r="AB129" s="202" t="s">
        <v>114</v>
      </c>
      <c r="AC129" s="204">
        <f>225000/AC73</f>
        <v>58.109504132231407</v>
      </c>
      <c r="AD129" s="202" t="s">
        <v>114</v>
      </c>
      <c r="AE129" s="204">
        <f>225000/AE73</f>
        <v>58.109504132231407</v>
      </c>
      <c r="AF129" s="831"/>
      <c r="AG129" s="832"/>
      <c r="AH129" s="833"/>
      <c r="AJ129" s="202" t="s">
        <v>114</v>
      </c>
      <c r="AK129" s="204">
        <f>225000/AK73</f>
        <v>58.109504132231407</v>
      </c>
      <c r="AL129" s="202" t="s">
        <v>114</v>
      </c>
      <c r="AM129" s="204">
        <f>225000/AM73</f>
        <v>58.109504132231407</v>
      </c>
      <c r="AN129" s="202" t="s">
        <v>114</v>
      </c>
      <c r="AO129" s="204">
        <f>225000/AO73</f>
        <v>58.109504132231407</v>
      </c>
      <c r="AP129" s="831"/>
      <c r="AQ129" s="832"/>
      <c r="AR129" s="833"/>
      <c r="AT129" s="202" t="s">
        <v>114</v>
      </c>
      <c r="AU129" s="204">
        <f>225000/AU73</f>
        <v>58.109504132231407</v>
      </c>
      <c r="AV129" s="202" t="s">
        <v>114</v>
      </c>
      <c r="AW129" s="204">
        <f>225000/AW73</f>
        <v>58.109504132231407</v>
      </c>
      <c r="AX129" s="202" t="s">
        <v>114</v>
      </c>
      <c r="AY129" s="204">
        <f>225000/AY73</f>
        <v>58.109504132231407</v>
      </c>
      <c r="AZ129" s="831"/>
      <c r="BA129" s="832"/>
      <c r="BB129" s="832"/>
      <c r="BC129" s="283"/>
      <c r="BD129" s="202" t="s">
        <v>114</v>
      </c>
      <c r="BE129" s="204">
        <f>225000/BE73</f>
        <v>58.109504132231407</v>
      </c>
      <c r="BF129" s="283"/>
      <c r="BG129" s="202" t="s">
        <v>114</v>
      </c>
      <c r="BH129" s="204">
        <f>225000/BH73</f>
        <v>58.109504132231407</v>
      </c>
      <c r="BI129" s="202" t="s">
        <v>114</v>
      </c>
      <c r="BJ129" s="204">
        <f t="shared" ref="BJ129" si="419">225000/BJ73</f>
        <v>58.109504132231407</v>
      </c>
      <c r="BK129" s="202" t="s">
        <v>114</v>
      </c>
      <c r="BL129" s="204">
        <f t="shared" ref="BL129" si="420">225000/BL73</f>
        <v>58.109504132231407</v>
      </c>
      <c r="BM129"/>
      <c r="BN129" s="283"/>
      <c r="BO129" s="202" t="s">
        <v>114</v>
      </c>
      <c r="BP129" s="204">
        <f>225000/BP73</f>
        <v>58.109504132231407</v>
      </c>
      <c r="BQ129" s="202" t="s">
        <v>114</v>
      </c>
      <c r="BR129" s="204">
        <f t="shared" ref="BR129" si="421">225000/BR73</f>
        <v>58.109504132231407</v>
      </c>
      <c r="BS129" s="202" t="s">
        <v>114</v>
      </c>
      <c r="BT129" s="204">
        <f t="shared" ref="BT129" si="422">225000/BT73</f>
        <v>58.109504132231407</v>
      </c>
      <c r="BU129" s="283"/>
      <c r="BV129" s="202" t="s">
        <v>114</v>
      </c>
      <c r="BW129" s="204">
        <f>225000/BW73</f>
        <v>58.109504132231407</v>
      </c>
      <c r="BY129" s="202" t="s">
        <v>114</v>
      </c>
      <c r="BZ129" s="204">
        <f>225000/BZ73</f>
        <v>56.25</v>
      </c>
      <c r="CA129" s="202" t="s">
        <v>114</v>
      </c>
      <c r="CB129" s="204">
        <f>225000/CB73</f>
        <v>56.25</v>
      </c>
      <c r="CC129" s="202" t="s">
        <v>114</v>
      </c>
      <c r="CD129" s="204">
        <f>225000/CD73</f>
        <v>56.25</v>
      </c>
      <c r="CH129" s="202" t="s">
        <v>114</v>
      </c>
      <c r="CI129" s="204">
        <f>225000/CI73</f>
        <v>58.109504132231407</v>
      </c>
      <c r="CJ129" s="202" t="s">
        <v>114</v>
      </c>
      <c r="CK129" s="204">
        <f t="shared" ref="CK129" si="423">225000/CK73</f>
        <v>58.109504132231407</v>
      </c>
      <c r="CL129" s="202" t="s">
        <v>114</v>
      </c>
      <c r="CM129" s="204">
        <f t="shared" ref="CM129" si="424">225000/CM73</f>
        <v>58.109504132231407</v>
      </c>
      <c r="CN129" s="283"/>
    </row>
    <row r="130" spans="1:92" s="4" customFormat="1" ht="18" hidden="1" customHeight="1" outlineLevel="1" thickBot="1" x14ac:dyDescent="0.5">
      <c r="A130" s="561"/>
      <c r="B130" s="205"/>
      <c r="C130" s="206" t="s">
        <v>121</v>
      </c>
      <c r="D130" s="207"/>
      <c r="E130" s="207"/>
      <c r="F130" s="208" t="s">
        <v>114</v>
      </c>
      <c r="G130" s="209">
        <f>(175*G86)/G73</f>
        <v>643.09788223140492</v>
      </c>
      <c r="H130" s="208" t="s">
        <v>114</v>
      </c>
      <c r="I130" s="209">
        <f>(175*I86)/I73</f>
        <v>643.09788223140492</v>
      </c>
      <c r="J130" s="208" t="s">
        <v>114</v>
      </c>
      <c r="K130" s="209">
        <f>(175*K86)/K73</f>
        <v>643.09788223140492</v>
      </c>
      <c r="L130" s="208" t="s">
        <v>114</v>
      </c>
      <c r="M130" s="209">
        <f>(175*M86)/M73</f>
        <v>643.09788223140492</v>
      </c>
      <c r="N130" s="208" t="s">
        <v>114</v>
      </c>
      <c r="O130" s="209">
        <f>(175*O86)/O73</f>
        <v>641.78719008264466</v>
      </c>
      <c r="P130" s="208" t="s">
        <v>114</v>
      </c>
      <c r="Q130" s="209">
        <f>(175*Q86)/Q73</f>
        <v>641.78719008264466</v>
      </c>
      <c r="R130" s="208" t="s">
        <v>114</v>
      </c>
      <c r="S130" s="209">
        <f>(175*S86)/S73</f>
        <v>641.78719008264466</v>
      </c>
      <c r="T130" s="208" t="s">
        <v>114</v>
      </c>
      <c r="U130" s="209">
        <f>(175*U86)/U73</f>
        <v>641.78719008264466</v>
      </c>
      <c r="V130" s="208" t="s">
        <v>114</v>
      </c>
      <c r="W130" s="209">
        <f>(175*W86)/W73</f>
        <v>641.78719008264466</v>
      </c>
      <c r="X130" s="208" t="s">
        <v>114</v>
      </c>
      <c r="Y130" s="209">
        <f>(175*Y86)/Y73</f>
        <v>641.78719008264466</v>
      </c>
      <c r="Z130" s="208" t="s">
        <v>114</v>
      </c>
      <c r="AA130" s="209">
        <f>(175*AA86)/AA73</f>
        <v>641.78719008264466</v>
      </c>
      <c r="AB130" s="208" t="s">
        <v>114</v>
      </c>
      <c r="AC130" s="209">
        <f>(175*AC86)/AC73</f>
        <v>641.78719008264466</v>
      </c>
      <c r="AD130" s="208" t="s">
        <v>114</v>
      </c>
      <c r="AE130" s="209">
        <f>(175*AE86)/AE73</f>
        <v>641.78719008264466</v>
      </c>
      <c r="AF130" s="834"/>
      <c r="AG130" s="835"/>
      <c r="AH130" s="836"/>
      <c r="AJ130" s="208" t="s">
        <v>114</v>
      </c>
      <c r="AK130" s="209">
        <f>(175*AK86)/AK73</f>
        <v>641.78719008264466</v>
      </c>
      <c r="AL130" s="208" t="s">
        <v>114</v>
      </c>
      <c r="AM130" s="209">
        <f>(175*AM86)/AM73</f>
        <v>641.78719008264466</v>
      </c>
      <c r="AN130" s="208" t="s">
        <v>114</v>
      </c>
      <c r="AO130" s="209">
        <f>(175*AO86)/AO73</f>
        <v>641.78719008264466</v>
      </c>
      <c r="AP130" s="834"/>
      <c r="AQ130" s="835"/>
      <c r="AR130" s="836"/>
      <c r="AT130" s="208" t="s">
        <v>114</v>
      </c>
      <c r="AU130" s="209">
        <f>(175*AU86)/AU73</f>
        <v>641.78719008264466</v>
      </c>
      <c r="AV130" s="208" t="s">
        <v>114</v>
      </c>
      <c r="AW130" s="209">
        <f>(175*AW86)/AW73</f>
        <v>641.78719008264466</v>
      </c>
      <c r="AX130" s="208" t="s">
        <v>114</v>
      </c>
      <c r="AY130" s="209">
        <f>(175*AY86)/AY73</f>
        <v>641.78719008264466</v>
      </c>
      <c r="AZ130" s="834"/>
      <c r="BA130" s="835"/>
      <c r="BB130" s="855"/>
      <c r="BD130" s="208" t="s">
        <v>114</v>
      </c>
      <c r="BE130" s="209">
        <f>(175*BE86)/BE73</f>
        <v>641.78719008264466</v>
      </c>
      <c r="BG130" s="208" t="s">
        <v>114</v>
      </c>
      <c r="BH130" s="209">
        <f>(175*BH86)/BH73</f>
        <v>641.78719008264466</v>
      </c>
      <c r="BI130" s="208" t="s">
        <v>114</v>
      </c>
      <c r="BJ130" s="209">
        <f t="shared" ref="BJ130" si="425">(175*BJ86)/BJ73</f>
        <v>641.78719008264466</v>
      </c>
      <c r="BK130" s="208" t="s">
        <v>114</v>
      </c>
      <c r="BL130" s="209">
        <f t="shared" ref="BL130" si="426">(175*BL86)/BL73</f>
        <v>641.78719008264466</v>
      </c>
      <c r="BM130"/>
      <c r="BO130" s="208" t="s">
        <v>114</v>
      </c>
      <c r="BP130" s="209">
        <f>(175*BP86)/BP73</f>
        <v>641.78719008264466</v>
      </c>
      <c r="BQ130" s="208" t="s">
        <v>114</v>
      </c>
      <c r="BR130" s="209">
        <f t="shared" ref="BR130" si="427">(175*BR86)/BR73</f>
        <v>641.78719008264466</v>
      </c>
      <c r="BS130" s="208" t="s">
        <v>114</v>
      </c>
      <c r="BT130" s="209">
        <f t="shared" ref="BT130" si="428">(175*BT86)/BT73</f>
        <v>641.78719008264466</v>
      </c>
      <c r="BV130" s="208" t="s">
        <v>114</v>
      </c>
      <c r="BW130" s="209">
        <f>(175*BW86)/BW73</f>
        <v>641.78719008264466</v>
      </c>
      <c r="BY130" s="208" t="s">
        <v>114</v>
      </c>
      <c r="BZ130" s="209">
        <f>(175*BZ86)/BZ73</f>
        <v>625.625</v>
      </c>
      <c r="CA130" s="208" t="s">
        <v>114</v>
      </c>
      <c r="CB130" s="209">
        <f>(175*CB86)/CB73</f>
        <v>625.625</v>
      </c>
      <c r="CC130" s="208" t="s">
        <v>114</v>
      </c>
      <c r="CD130" s="209">
        <f>(175*CD86)/CD73</f>
        <v>625.625</v>
      </c>
      <c r="CH130" s="208" t="s">
        <v>114</v>
      </c>
      <c r="CI130" s="209">
        <f>(175*CI86)/CI73</f>
        <v>641.78719008264466</v>
      </c>
      <c r="CJ130" s="208" t="s">
        <v>114</v>
      </c>
      <c r="CK130" s="209">
        <f t="shared" ref="CK130" si="429">(175*CK86)/CK73</f>
        <v>641.78719008264466</v>
      </c>
      <c r="CL130" s="208" t="s">
        <v>114</v>
      </c>
      <c r="CM130" s="209">
        <f t="shared" ref="CM130" si="430">(175*CM86)/CM73</f>
        <v>641.78719008264466</v>
      </c>
    </row>
    <row r="131" spans="1:92" ht="15" customHeight="1" collapsed="1" thickTop="1" x14ac:dyDescent="0.45">
      <c r="A131" s="561"/>
      <c r="B131" s="1187"/>
      <c r="C131" s="161"/>
      <c r="D131" s="162"/>
      <c r="E131" s="210"/>
      <c r="F131" s="164"/>
      <c r="G131" s="165"/>
      <c r="H131" s="164"/>
      <c r="I131" s="165"/>
      <c r="J131" s="164"/>
      <c r="K131" s="165"/>
      <c r="L131" s="164"/>
      <c r="M131" s="165"/>
      <c r="N131" s="359"/>
      <c r="O131" s="368"/>
      <c r="P131" s="359"/>
      <c r="Q131" s="368"/>
      <c r="R131" s="359"/>
      <c r="S131" s="368"/>
      <c r="T131" s="359"/>
      <c r="U131" s="368"/>
      <c r="V131" s="359"/>
      <c r="W131" s="368"/>
      <c r="X131" s="359"/>
      <c r="Y131" s="368"/>
      <c r="Z131" s="359"/>
      <c r="AA131" s="368"/>
      <c r="AB131" s="359"/>
      <c r="AC131" s="368"/>
      <c r="AD131" s="359"/>
      <c r="AE131" s="368"/>
      <c r="AF131" s="745"/>
      <c r="AG131" s="725"/>
      <c r="AH131" s="746"/>
      <c r="AJ131" s="359"/>
      <c r="AK131" s="368"/>
      <c r="AL131" s="359"/>
      <c r="AM131" s="368"/>
      <c r="AN131" s="359"/>
      <c r="AO131" s="368"/>
      <c r="AP131" s="745"/>
      <c r="AQ131" s="725"/>
      <c r="AR131" s="746"/>
      <c r="AT131" s="359"/>
      <c r="AU131" s="368"/>
      <c r="AV131" s="359"/>
      <c r="AW131" s="368"/>
      <c r="AX131" s="359"/>
      <c r="AY131" s="368"/>
      <c r="AZ131" s="745"/>
      <c r="BA131" s="725"/>
      <c r="BB131" s="725"/>
      <c r="BD131" s="359"/>
      <c r="BE131" s="368"/>
      <c r="BG131" s="359"/>
      <c r="BH131" s="368"/>
      <c r="BI131" s="359"/>
      <c r="BJ131" s="368"/>
      <c r="BK131" s="359"/>
      <c r="BL131" s="368"/>
      <c r="BO131" s="359"/>
      <c r="BP131" s="368"/>
      <c r="BQ131" s="359"/>
      <c r="BR131" s="368"/>
      <c r="BS131" s="359"/>
      <c r="BT131" s="368"/>
      <c r="BV131" s="359"/>
      <c r="BW131" s="368"/>
      <c r="BY131" s="359"/>
      <c r="BZ131" s="368"/>
      <c r="CA131" s="359"/>
      <c r="CB131" s="368"/>
      <c r="CC131" s="359"/>
      <c r="CD131" s="368"/>
      <c r="CH131" s="359"/>
      <c r="CI131" s="368"/>
      <c r="CJ131" s="359"/>
      <c r="CK131" s="368"/>
      <c r="CL131" s="359"/>
      <c r="CM131" s="368"/>
    </row>
    <row r="132" spans="1:92" ht="15" hidden="1" customHeight="1" outlineLevel="1" x14ac:dyDescent="0.45">
      <c r="A132" s="561"/>
      <c r="B132" s="1187"/>
      <c r="C132" s="211" t="s">
        <v>122</v>
      </c>
      <c r="D132" s="212"/>
      <c r="E132" s="213" t="s">
        <v>123</v>
      </c>
      <c r="F132" s="214"/>
      <c r="G132" s="215">
        <v>33580560</v>
      </c>
      <c r="H132" s="214"/>
      <c r="I132" s="215">
        <v>33580560</v>
      </c>
      <c r="J132" s="214"/>
      <c r="K132" s="215">
        <v>33580560</v>
      </c>
      <c r="L132" s="214"/>
      <c r="M132" s="215">
        <v>33580560</v>
      </c>
      <c r="N132" s="214"/>
      <c r="O132" s="215">
        <v>33580560</v>
      </c>
      <c r="P132" s="214"/>
      <c r="Q132" s="215">
        <v>33580560</v>
      </c>
      <c r="R132" s="214"/>
      <c r="S132" s="215">
        <v>33580560</v>
      </c>
      <c r="T132" s="214"/>
      <c r="U132" s="215">
        <v>33580560</v>
      </c>
      <c r="V132" s="214"/>
      <c r="W132" s="215">
        <v>33580560</v>
      </c>
      <c r="X132" s="214"/>
      <c r="Y132" s="215">
        <v>33580560</v>
      </c>
      <c r="Z132" s="214"/>
      <c r="AA132" s="215">
        <v>33580560</v>
      </c>
      <c r="AB132" s="214"/>
      <c r="AC132" s="215">
        <v>33580560</v>
      </c>
      <c r="AD132" s="214"/>
      <c r="AE132" s="215">
        <v>33580560</v>
      </c>
      <c r="AF132" s="837"/>
      <c r="AG132" s="838"/>
      <c r="AH132" s="839"/>
      <c r="AI132" s="699"/>
      <c r="AJ132" s="214"/>
      <c r="AK132" s="215">
        <v>33580560</v>
      </c>
      <c r="AL132" s="214"/>
      <c r="AM132" s="215">
        <v>33580560</v>
      </c>
      <c r="AN132" s="214"/>
      <c r="AO132" s="215">
        <v>33580560</v>
      </c>
      <c r="AP132" s="837"/>
      <c r="AQ132" s="838"/>
      <c r="AR132" s="839"/>
      <c r="AS132" s="699"/>
      <c r="AT132" s="214"/>
      <c r="AU132" s="215">
        <v>33580560</v>
      </c>
      <c r="AV132" s="214"/>
      <c r="AW132" s="215">
        <v>33580560</v>
      </c>
      <c r="AX132" s="214"/>
      <c r="AY132" s="215">
        <v>33580560</v>
      </c>
      <c r="AZ132" s="837"/>
      <c r="BA132" s="838"/>
      <c r="BB132" s="838"/>
      <c r="BD132" s="214"/>
      <c r="BE132" s="215">
        <v>33580560</v>
      </c>
      <c r="BG132" s="214"/>
      <c r="BH132" s="215">
        <v>33580560</v>
      </c>
      <c r="BI132" s="214"/>
      <c r="BJ132" s="215">
        <v>33580560</v>
      </c>
      <c r="BK132" s="214"/>
      <c r="BL132" s="215">
        <v>33580560</v>
      </c>
      <c r="BO132" s="214"/>
      <c r="BP132" s="215">
        <v>33580560</v>
      </c>
      <c r="BQ132" s="214"/>
      <c r="BR132" s="215">
        <v>33580560</v>
      </c>
      <c r="BS132" s="214"/>
      <c r="BT132" s="215">
        <v>33580560</v>
      </c>
      <c r="BV132" s="214"/>
      <c r="BW132" s="215">
        <v>33580560</v>
      </c>
      <c r="BY132" s="214"/>
      <c r="BZ132" s="215">
        <v>33580560</v>
      </c>
      <c r="CA132" s="214"/>
      <c r="CB132" s="215">
        <v>33580560</v>
      </c>
      <c r="CC132" s="214"/>
      <c r="CD132" s="215">
        <v>33580560</v>
      </c>
      <c r="CH132" s="214"/>
      <c r="CI132" s="215">
        <v>33580560</v>
      </c>
      <c r="CJ132" s="214"/>
      <c r="CK132" s="215">
        <v>33580560</v>
      </c>
      <c r="CL132" s="214"/>
      <c r="CM132" s="215">
        <v>33580560</v>
      </c>
    </row>
    <row r="133" spans="1:92" ht="15" hidden="1" customHeight="1" outlineLevel="1" x14ac:dyDescent="0.45">
      <c r="A133" s="561"/>
      <c r="B133" s="1187"/>
      <c r="C133" s="211"/>
      <c r="D133" s="212"/>
      <c r="E133" s="213" t="s">
        <v>125</v>
      </c>
      <c r="F133" s="214"/>
      <c r="G133" s="215"/>
      <c r="H133" s="214"/>
      <c r="I133" s="215"/>
      <c r="J133" s="214"/>
      <c r="K133" s="215"/>
      <c r="L133" s="214"/>
      <c r="M133" s="215"/>
      <c r="N133" s="214"/>
      <c r="O133" s="215">
        <f>O132/O10</f>
        <v>839514</v>
      </c>
      <c r="P133" s="214"/>
      <c r="Q133" s="215">
        <f>Q132/Q10</f>
        <v>839514</v>
      </c>
      <c r="R133" s="214"/>
      <c r="S133" s="215">
        <f>S132/S10</f>
        <v>839514</v>
      </c>
      <c r="T133" s="214"/>
      <c r="U133" s="215">
        <f>U132/U10</f>
        <v>839514</v>
      </c>
      <c r="V133" s="214"/>
      <c r="W133" s="215">
        <f>W132/W10</f>
        <v>839514</v>
      </c>
      <c r="X133" s="214"/>
      <c r="Y133" s="215">
        <f>Y132/Y10</f>
        <v>839514</v>
      </c>
      <c r="Z133" s="214"/>
      <c r="AA133" s="215">
        <f>AA132/AA10</f>
        <v>839514</v>
      </c>
      <c r="AB133" s="214"/>
      <c r="AC133" s="215">
        <f>AC132/AC10</f>
        <v>839514</v>
      </c>
      <c r="AD133" s="214"/>
      <c r="AE133" s="215">
        <f>AE132/AE10</f>
        <v>839514</v>
      </c>
      <c r="AF133" s="837"/>
      <c r="AG133" s="838"/>
      <c r="AH133" s="839"/>
      <c r="AI133" s="699"/>
      <c r="AJ133" s="214"/>
      <c r="AK133" s="215">
        <f>AK132/AK10</f>
        <v>839514</v>
      </c>
      <c r="AL133" s="214"/>
      <c r="AM133" s="215">
        <f>AM132/AM10</f>
        <v>839514</v>
      </c>
      <c r="AN133" s="214"/>
      <c r="AO133" s="215">
        <f>AO132/AO10</f>
        <v>839514</v>
      </c>
      <c r="AP133" s="837"/>
      <c r="AQ133" s="838"/>
      <c r="AR133" s="839"/>
      <c r="AS133" s="699"/>
      <c r="AT133" s="214"/>
      <c r="AU133" s="215">
        <f>AU132/AU10</f>
        <v>839514</v>
      </c>
      <c r="AV133" s="214"/>
      <c r="AW133" s="215">
        <f>AW132/AW10</f>
        <v>839514</v>
      </c>
      <c r="AX133" s="214"/>
      <c r="AY133" s="215">
        <f>AY132/AY10</f>
        <v>839514</v>
      </c>
      <c r="AZ133" s="837"/>
      <c r="BA133" s="838"/>
      <c r="BB133" s="838"/>
      <c r="BD133" s="214"/>
      <c r="BE133" s="215">
        <f>BE132/BE10</f>
        <v>839514</v>
      </c>
      <c r="BG133" s="214"/>
      <c r="BH133" s="215">
        <f>BH132/BH10</f>
        <v>839514</v>
      </c>
      <c r="BI133" s="214"/>
      <c r="BJ133" s="215">
        <f>BJ132/BJ10</f>
        <v>839514</v>
      </c>
      <c r="BK133" s="214"/>
      <c r="BL133" s="215">
        <f>BL132/BL10</f>
        <v>839514</v>
      </c>
      <c r="BO133" s="214"/>
      <c r="BP133" s="215">
        <f>BP132/BP10</f>
        <v>839514</v>
      </c>
      <c r="BQ133" s="214"/>
      <c r="BR133" s="215">
        <f>BR132/BR10</f>
        <v>839514</v>
      </c>
      <c r="BS133" s="214"/>
      <c r="BT133" s="215">
        <f>BT132/BT10</f>
        <v>839514</v>
      </c>
      <c r="BV133" s="214"/>
      <c r="BW133" s="215">
        <f>BW132/BW10</f>
        <v>839514</v>
      </c>
      <c r="BY133" s="214"/>
      <c r="BZ133" s="215">
        <f>BZ132/BZ10</f>
        <v>839514</v>
      </c>
      <c r="CA133" s="214"/>
      <c r="CB133" s="215">
        <f>CB132/CB10</f>
        <v>839514</v>
      </c>
      <c r="CC133" s="214"/>
      <c r="CD133" s="215">
        <f>CD132/CD10</f>
        <v>839514</v>
      </c>
      <c r="CH133" s="214"/>
      <c r="CI133" s="215">
        <f>CI132/CI10</f>
        <v>839514</v>
      </c>
      <c r="CJ133" s="214"/>
      <c r="CK133" s="215">
        <f>CK132/CK10</f>
        <v>839514</v>
      </c>
      <c r="CL133" s="214"/>
      <c r="CM133" s="215">
        <f>CM132/CM10</f>
        <v>839514</v>
      </c>
    </row>
    <row r="134" spans="1:92" ht="15" hidden="1" customHeight="1" outlineLevel="1" x14ac:dyDescent="0.45">
      <c r="A134" s="561"/>
      <c r="B134" s="1187"/>
      <c r="C134" s="211"/>
      <c r="D134" s="212"/>
      <c r="E134" s="213" t="s">
        <v>126</v>
      </c>
      <c r="F134" s="214"/>
      <c r="G134" s="215"/>
      <c r="H134" s="214"/>
      <c r="I134" s="215"/>
      <c r="J134" s="214"/>
      <c r="K134" s="215"/>
      <c r="L134" s="214"/>
      <c r="M134" s="215"/>
      <c r="N134" s="214"/>
      <c r="O134" s="215">
        <f>O133/O73</f>
        <v>216.81663223140495</v>
      </c>
      <c r="P134" s="214"/>
      <c r="Q134" s="215">
        <f>Q133/Q73</f>
        <v>216.81663223140495</v>
      </c>
      <c r="R134" s="214"/>
      <c r="S134" s="215">
        <f>S133/S73</f>
        <v>216.81663223140495</v>
      </c>
      <c r="T134" s="214"/>
      <c r="U134" s="215">
        <f>U133/U73</f>
        <v>216.81663223140495</v>
      </c>
      <c r="V134" s="214"/>
      <c r="W134" s="215">
        <f>W133/W73</f>
        <v>216.81663223140495</v>
      </c>
      <c r="X134" s="214"/>
      <c r="Y134" s="215">
        <f>Y133/Y73</f>
        <v>216.81663223140495</v>
      </c>
      <c r="Z134" s="214"/>
      <c r="AA134" s="215">
        <f>AA133/AA73</f>
        <v>216.81663223140495</v>
      </c>
      <c r="AB134" s="214"/>
      <c r="AC134" s="215">
        <f>AC133/AC73</f>
        <v>216.81663223140495</v>
      </c>
      <c r="AD134" s="214"/>
      <c r="AE134" s="215">
        <f>AE133/AE73</f>
        <v>216.81663223140495</v>
      </c>
      <c r="AF134" s="837"/>
      <c r="AG134" s="838"/>
      <c r="AH134" s="839"/>
      <c r="AI134" s="699"/>
      <c r="AJ134" s="214"/>
      <c r="AK134" s="215">
        <f>AK133/AK73</f>
        <v>216.81663223140495</v>
      </c>
      <c r="AL134" s="214"/>
      <c r="AM134" s="215">
        <f>AM133/AM73</f>
        <v>216.81663223140495</v>
      </c>
      <c r="AN134" s="214"/>
      <c r="AO134" s="215">
        <f>AO133/AO73</f>
        <v>216.81663223140495</v>
      </c>
      <c r="AP134" s="837"/>
      <c r="AQ134" s="838"/>
      <c r="AR134" s="839"/>
      <c r="AS134" s="699"/>
      <c r="AT134" s="214"/>
      <c r="AU134" s="215">
        <f>AU133/AU73</f>
        <v>216.81663223140495</v>
      </c>
      <c r="AV134" s="214"/>
      <c r="AW134" s="215">
        <f>AW133/AW73</f>
        <v>216.81663223140495</v>
      </c>
      <c r="AX134" s="214"/>
      <c r="AY134" s="215">
        <f>AY133/AY73</f>
        <v>216.81663223140495</v>
      </c>
      <c r="AZ134" s="837"/>
      <c r="BA134" s="838"/>
      <c r="BB134" s="838"/>
      <c r="BD134" s="214"/>
      <c r="BE134" s="215">
        <f>BE133/BE73</f>
        <v>216.81663223140495</v>
      </c>
      <c r="BG134" s="214"/>
      <c r="BH134" s="215">
        <f>BH133/BH73</f>
        <v>216.81663223140495</v>
      </c>
      <c r="BI134" s="214"/>
      <c r="BJ134" s="215">
        <f t="shared" ref="BJ134" si="431">BJ133/BJ73</f>
        <v>216.81663223140495</v>
      </c>
      <c r="BK134" s="214"/>
      <c r="BL134" s="215">
        <f t="shared" ref="BL134" si="432">BL133/BL73</f>
        <v>216.81663223140495</v>
      </c>
      <c r="BO134" s="214"/>
      <c r="BP134" s="215">
        <f>BP133/BP73</f>
        <v>216.81663223140495</v>
      </c>
      <c r="BQ134" s="214"/>
      <c r="BR134" s="215">
        <f t="shared" ref="BR134" si="433">BR133/BR73</f>
        <v>216.81663223140495</v>
      </c>
      <c r="BS134" s="214"/>
      <c r="BT134" s="215">
        <f t="shared" ref="BT134" si="434">BT133/BT73</f>
        <v>216.81663223140495</v>
      </c>
      <c r="BV134" s="214"/>
      <c r="BW134" s="215">
        <f>BW133/BW73</f>
        <v>216.81663223140495</v>
      </c>
      <c r="BY134" s="214"/>
      <c r="BZ134" s="215">
        <f>BZ133/BZ73</f>
        <v>209.8785</v>
      </c>
      <c r="CA134" s="214"/>
      <c r="CB134" s="215">
        <f>CB133/CB73</f>
        <v>209.8785</v>
      </c>
      <c r="CC134" s="214"/>
      <c r="CD134" s="215">
        <f>CD133/CD73</f>
        <v>209.8785</v>
      </c>
      <c r="CH134" s="214"/>
      <c r="CI134" s="215">
        <f>CI133/CI73</f>
        <v>216.81663223140495</v>
      </c>
      <c r="CJ134" s="214"/>
      <c r="CK134" s="215">
        <f t="shared" ref="CK134" si="435">CK133/CK73</f>
        <v>216.81663223140495</v>
      </c>
      <c r="CL134" s="214"/>
      <c r="CM134" s="215">
        <f t="shared" ref="CM134" si="436">CM133/CM73</f>
        <v>216.81663223140495</v>
      </c>
    </row>
    <row r="135" spans="1:92" hidden="1" outlineLevel="1" x14ac:dyDescent="0.45">
      <c r="A135" s="561"/>
      <c r="B135" s="1187"/>
      <c r="C135" s="216" t="s">
        <v>124</v>
      </c>
      <c r="D135" s="217"/>
      <c r="E135" s="218" t="s">
        <v>123</v>
      </c>
      <c r="F135" s="219"/>
      <c r="G135" s="220">
        <v>44653360</v>
      </c>
      <c r="H135" s="219"/>
      <c r="I135" s="220">
        <f>G135</f>
        <v>44653360</v>
      </c>
      <c r="J135" s="219"/>
      <c r="K135" s="220">
        <f>I135</f>
        <v>44653360</v>
      </c>
      <c r="L135" s="219"/>
      <c r="M135" s="220">
        <f>K135</f>
        <v>44653360</v>
      </c>
      <c r="N135" s="219"/>
      <c r="O135" s="220">
        <v>44155840</v>
      </c>
      <c r="P135" s="219"/>
      <c r="Q135" s="220">
        <f>O135</f>
        <v>44155840</v>
      </c>
      <c r="R135" s="219"/>
      <c r="S135" s="220">
        <f>Q135</f>
        <v>44155840</v>
      </c>
      <c r="T135" s="219"/>
      <c r="U135" s="220">
        <v>44155840</v>
      </c>
      <c r="V135" s="219"/>
      <c r="W135" s="220">
        <v>44155840</v>
      </c>
      <c r="X135" s="219"/>
      <c r="Y135" s="220">
        <f>F135</f>
        <v>0</v>
      </c>
      <c r="Z135" s="219"/>
      <c r="AA135" s="220">
        <f>S135</f>
        <v>44155840</v>
      </c>
      <c r="AB135" s="219"/>
      <c r="AC135" s="220">
        <f>AA135</f>
        <v>44155840</v>
      </c>
      <c r="AD135" s="219"/>
      <c r="AE135" s="220">
        <f>AA135</f>
        <v>44155840</v>
      </c>
      <c r="AF135" s="840"/>
      <c r="AG135" s="841"/>
      <c r="AH135" s="842"/>
      <c r="AI135" s="699"/>
      <c r="AJ135" s="219"/>
      <c r="AK135" s="220">
        <f>AY135</f>
        <v>44155840</v>
      </c>
      <c r="AL135" s="219"/>
      <c r="AM135" s="220">
        <f>AW135</f>
        <v>44155840</v>
      </c>
      <c r="AN135" s="219"/>
      <c r="AO135" s="220">
        <f>AW135</f>
        <v>44155840</v>
      </c>
      <c r="AP135" s="840"/>
      <c r="AQ135" s="841"/>
      <c r="AR135" s="842"/>
      <c r="AS135" s="699"/>
      <c r="AT135" s="219"/>
      <c r="AU135" s="220">
        <f>AE135</f>
        <v>44155840</v>
      </c>
      <c r="AV135" s="219"/>
      <c r="AW135" s="220">
        <f>AC135</f>
        <v>44155840</v>
      </c>
      <c r="AX135" s="219"/>
      <c r="AY135" s="220">
        <f>AC135</f>
        <v>44155840</v>
      </c>
      <c r="AZ135" s="840"/>
      <c r="BA135" s="841"/>
      <c r="BB135" s="841"/>
      <c r="BD135" s="219"/>
      <c r="BE135" s="220">
        <f>AL135</f>
        <v>0</v>
      </c>
      <c r="BG135" s="219"/>
      <c r="BH135" s="220">
        <f>AO135</f>
        <v>44155840</v>
      </c>
      <c r="BI135" s="219"/>
      <c r="BJ135" s="220">
        <f>AQ135</f>
        <v>0</v>
      </c>
      <c r="BK135" s="219"/>
      <c r="BL135" s="220">
        <f>AS135</f>
        <v>0</v>
      </c>
      <c r="BO135" s="219"/>
      <c r="BP135" s="220">
        <f>AV135</f>
        <v>0</v>
      </c>
      <c r="BQ135" s="219"/>
      <c r="BR135" s="220">
        <f>AX135</f>
        <v>0</v>
      </c>
      <c r="BS135" s="219"/>
      <c r="BT135" s="220">
        <f>AZ135</f>
        <v>0</v>
      </c>
      <c r="BV135" s="219"/>
      <c r="BW135" s="220">
        <f>AO135</f>
        <v>44155840</v>
      </c>
      <c r="BY135" s="219"/>
      <c r="BZ135" s="220">
        <f>AY135</f>
        <v>44155840</v>
      </c>
      <c r="CA135" s="219"/>
      <c r="CB135" s="220">
        <f>DC135</f>
        <v>0</v>
      </c>
      <c r="CC135" s="219"/>
      <c r="CD135" s="220">
        <f>DE135</f>
        <v>0</v>
      </c>
      <c r="CH135" s="219"/>
      <c r="CI135" s="220">
        <f>BO135</f>
        <v>0</v>
      </c>
      <c r="CJ135" s="219"/>
      <c r="CK135" s="220">
        <f>BQ135</f>
        <v>0</v>
      </c>
      <c r="CL135" s="219"/>
      <c r="CM135" s="220">
        <f>BS135</f>
        <v>0</v>
      </c>
    </row>
    <row r="136" spans="1:92" hidden="1" outlineLevel="1" x14ac:dyDescent="0.45">
      <c r="A136" s="561"/>
      <c r="B136" s="1187"/>
      <c r="C136" s="216"/>
      <c r="D136" s="217"/>
      <c r="E136" s="218" t="s">
        <v>125</v>
      </c>
      <c r="F136" s="219"/>
      <c r="G136" s="221">
        <f>G135/G10</f>
        <v>1116334</v>
      </c>
      <c r="H136" s="219"/>
      <c r="I136" s="221">
        <f>I135/I10</f>
        <v>1116334</v>
      </c>
      <c r="J136" s="219"/>
      <c r="K136" s="221">
        <f>K135/K10</f>
        <v>1116334</v>
      </c>
      <c r="L136" s="219"/>
      <c r="M136" s="221">
        <f>M135/M10</f>
        <v>1116334</v>
      </c>
      <c r="N136" s="219"/>
      <c r="O136" s="221">
        <f>O135/O10</f>
        <v>1103896</v>
      </c>
      <c r="P136" s="219"/>
      <c r="Q136" s="221">
        <f>Q135/Q10</f>
        <v>1103896</v>
      </c>
      <c r="R136" s="219"/>
      <c r="S136" s="221">
        <f>S135/S10</f>
        <v>1103896</v>
      </c>
      <c r="T136" s="219"/>
      <c r="U136" s="221">
        <f>U135/U10</f>
        <v>1103896</v>
      </c>
      <c r="V136" s="219"/>
      <c r="W136" s="221">
        <f>W135/W10</f>
        <v>1103896</v>
      </c>
      <c r="X136" s="219"/>
      <c r="Y136" s="221">
        <f>Y135/Y10</f>
        <v>0</v>
      </c>
      <c r="Z136" s="219"/>
      <c r="AA136" s="221">
        <f>AA135/AA10</f>
        <v>1103896</v>
      </c>
      <c r="AB136" s="219"/>
      <c r="AC136" s="221">
        <f>AC135/AC10</f>
        <v>1103896</v>
      </c>
      <c r="AD136" s="219"/>
      <c r="AE136" s="221">
        <f>AE135/AE10</f>
        <v>1103896</v>
      </c>
      <c r="AF136" s="840"/>
      <c r="AG136" s="841"/>
      <c r="AH136" s="842"/>
      <c r="AI136" s="700"/>
      <c r="AJ136" s="219"/>
      <c r="AK136" s="221">
        <f>AK135/AK10</f>
        <v>1103896</v>
      </c>
      <c r="AL136" s="219"/>
      <c r="AM136" s="221">
        <f>AM135/AM10</f>
        <v>1103896</v>
      </c>
      <c r="AN136" s="219"/>
      <c r="AO136" s="221">
        <f>AO135/AO10</f>
        <v>1103896</v>
      </c>
      <c r="AP136" s="840"/>
      <c r="AQ136" s="841"/>
      <c r="AR136" s="842"/>
      <c r="AS136" s="700"/>
      <c r="AT136" s="219"/>
      <c r="AU136" s="221">
        <f>AU135/AU10</f>
        <v>1103896</v>
      </c>
      <c r="AV136" s="219"/>
      <c r="AW136" s="221">
        <f>AW135/AW10</f>
        <v>1103896</v>
      </c>
      <c r="AX136" s="219"/>
      <c r="AY136" s="221">
        <f>AY135/AY10</f>
        <v>1103896</v>
      </c>
      <c r="AZ136" s="840"/>
      <c r="BA136" s="841"/>
      <c r="BB136" s="841"/>
      <c r="BD136" s="219"/>
      <c r="BE136" s="221">
        <f>BE135/BE10</f>
        <v>0</v>
      </c>
      <c r="BG136" s="219"/>
      <c r="BH136" s="221">
        <f>BH135/BH10</f>
        <v>1103896</v>
      </c>
      <c r="BI136" s="219"/>
      <c r="BJ136" s="221">
        <f>BJ135/BJ10</f>
        <v>0</v>
      </c>
      <c r="BK136" s="219"/>
      <c r="BL136" s="221">
        <f>BL135/BL10</f>
        <v>0</v>
      </c>
      <c r="BO136" s="219"/>
      <c r="BP136" s="221">
        <f>BP135/BP10</f>
        <v>0</v>
      </c>
      <c r="BQ136" s="219"/>
      <c r="BR136" s="221">
        <f>BR135/BR10</f>
        <v>0</v>
      </c>
      <c r="BS136" s="219"/>
      <c r="BT136" s="221">
        <f>BT135/BT10</f>
        <v>0</v>
      </c>
      <c r="BV136" s="219"/>
      <c r="BW136" s="221">
        <f>BW135/BW10</f>
        <v>1103896</v>
      </c>
      <c r="BY136" s="219"/>
      <c r="BZ136" s="221">
        <f>BZ135/BZ10</f>
        <v>1103896</v>
      </c>
      <c r="CA136" s="219"/>
      <c r="CB136" s="221">
        <f>CB135/CB10</f>
        <v>0</v>
      </c>
      <c r="CC136" s="219"/>
      <c r="CD136" s="221">
        <f>CD135/CD10</f>
        <v>0</v>
      </c>
      <c r="CH136" s="219"/>
      <c r="CI136" s="221">
        <f>CI135/CI10</f>
        <v>0</v>
      </c>
      <c r="CJ136" s="219"/>
      <c r="CK136" s="221">
        <f>CK135/CK10</f>
        <v>0</v>
      </c>
      <c r="CL136" s="219"/>
      <c r="CM136" s="221">
        <f>CM135/CM10</f>
        <v>0</v>
      </c>
    </row>
    <row r="137" spans="1:92" hidden="1" outlineLevel="1" x14ac:dyDescent="0.45">
      <c r="A137" s="561"/>
      <c r="B137" s="1187"/>
      <c r="C137" s="216"/>
      <c r="D137" s="217"/>
      <c r="E137" s="218" t="s">
        <v>126</v>
      </c>
      <c r="F137" s="222"/>
      <c r="G137" s="220">
        <f>G136/G73</f>
        <v>288.30940082644628</v>
      </c>
      <c r="H137" s="222"/>
      <c r="I137" s="220">
        <f>I136/I73</f>
        <v>288.30940082644628</v>
      </c>
      <c r="J137" s="222"/>
      <c r="K137" s="220">
        <f>K136/K73</f>
        <v>288.30940082644628</v>
      </c>
      <c r="L137" s="222"/>
      <c r="M137" s="220">
        <f>M136/M73</f>
        <v>288.30940082644628</v>
      </c>
      <c r="N137" s="222"/>
      <c r="O137" s="220">
        <f>O136/O73</f>
        <v>285.09710743801651</v>
      </c>
      <c r="P137" s="222"/>
      <c r="Q137" s="220">
        <f>Q136/Q73</f>
        <v>285.09710743801651</v>
      </c>
      <c r="R137" s="222"/>
      <c r="S137" s="220">
        <f>S136/S73</f>
        <v>285.09710743801651</v>
      </c>
      <c r="T137" s="222"/>
      <c r="U137" s="220">
        <f>U136/U73</f>
        <v>285.09710743801651</v>
      </c>
      <c r="V137" s="222"/>
      <c r="W137" s="220">
        <f>W136/W73</f>
        <v>285.09710743801651</v>
      </c>
      <c r="X137" s="222"/>
      <c r="Y137" s="220">
        <f>Y136/Y73</f>
        <v>0</v>
      </c>
      <c r="Z137" s="222"/>
      <c r="AA137" s="220">
        <f>AA136/AA73</f>
        <v>285.09710743801651</v>
      </c>
      <c r="AB137" s="222"/>
      <c r="AC137" s="220">
        <f>AC136/AC73</f>
        <v>285.09710743801651</v>
      </c>
      <c r="AD137" s="222"/>
      <c r="AE137" s="220">
        <f>AE136/AE73</f>
        <v>285.09710743801651</v>
      </c>
      <c r="AF137" s="840"/>
      <c r="AG137" s="841"/>
      <c r="AH137" s="842"/>
      <c r="AI137" s="699"/>
      <c r="AJ137" s="222"/>
      <c r="AK137" s="220">
        <f>AK136/AK73</f>
        <v>285.09710743801651</v>
      </c>
      <c r="AL137" s="222"/>
      <c r="AM137" s="220">
        <f>AM136/AM73</f>
        <v>285.09710743801651</v>
      </c>
      <c r="AN137" s="222"/>
      <c r="AO137" s="220">
        <f>AO136/AO73</f>
        <v>285.09710743801651</v>
      </c>
      <c r="AP137" s="840"/>
      <c r="AQ137" s="841"/>
      <c r="AR137" s="842"/>
      <c r="AS137" s="699"/>
      <c r="AT137" s="222"/>
      <c r="AU137" s="220">
        <f>AU136/AU73</f>
        <v>285.09710743801651</v>
      </c>
      <c r="AV137" s="222"/>
      <c r="AW137" s="220">
        <f>AW136/AW73</f>
        <v>285.09710743801651</v>
      </c>
      <c r="AX137" s="222"/>
      <c r="AY137" s="220">
        <f>AY136/AY73</f>
        <v>285.09710743801651</v>
      </c>
      <c r="AZ137" s="840"/>
      <c r="BA137" s="841"/>
      <c r="BB137" s="841"/>
      <c r="BD137" s="222"/>
      <c r="BE137" s="220">
        <f>BE136/BE73</f>
        <v>0</v>
      </c>
      <c r="BG137" s="222"/>
      <c r="BH137" s="220">
        <f>BH136/BH73</f>
        <v>285.09710743801651</v>
      </c>
      <c r="BI137" s="222"/>
      <c r="BJ137" s="220">
        <f t="shared" ref="BJ137" si="437">BJ136/BJ73</f>
        <v>0</v>
      </c>
      <c r="BK137" s="222"/>
      <c r="BL137" s="220">
        <f t="shared" ref="BL137" si="438">BL136/BL73</f>
        <v>0</v>
      </c>
      <c r="BO137" s="222"/>
      <c r="BP137" s="220">
        <f>BP136/BP73</f>
        <v>0</v>
      </c>
      <c r="BQ137" s="222"/>
      <c r="BR137" s="220">
        <f t="shared" ref="BR137" si="439">BR136/BR73</f>
        <v>0</v>
      </c>
      <c r="BS137" s="222"/>
      <c r="BT137" s="220">
        <f t="shared" ref="BT137" si="440">BT136/BT73</f>
        <v>0</v>
      </c>
      <c r="BV137" s="222"/>
      <c r="BW137" s="220">
        <f>BW136/BW73</f>
        <v>285.09710743801651</v>
      </c>
      <c r="BY137" s="222"/>
      <c r="BZ137" s="220">
        <f>BZ136/BZ73</f>
        <v>275.97399999999999</v>
      </c>
      <c r="CA137" s="222"/>
      <c r="CB137" s="220">
        <f>CB136/CB73</f>
        <v>0</v>
      </c>
      <c r="CC137" s="222"/>
      <c r="CD137" s="220">
        <f>CD136/CD73</f>
        <v>0</v>
      </c>
      <c r="CH137" s="222"/>
      <c r="CI137" s="220">
        <f>CI136/CI73</f>
        <v>0</v>
      </c>
      <c r="CJ137" s="222"/>
      <c r="CK137" s="220">
        <f t="shared" ref="CK137" si="441">CK136/CK73</f>
        <v>0</v>
      </c>
      <c r="CL137" s="222"/>
      <c r="CM137" s="220">
        <f t="shared" ref="CM137" si="442">CM136/CM73</f>
        <v>0</v>
      </c>
    </row>
    <row r="138" spans="1:92" hidden="1" outlineLevel="1" x14ac:dyDescent="0.45">
      <c r="A138" s="561"/>
      <c r="B138" s="1187"/>
      <c r="C138" s="582" t="s">
        <v>387</v>
      </c>
      <c r="D138" s="583"/>
      <c r="E138" s="584" t="s">
        <v>123</v>
      </c>
      <c r="F138" s="585"/>
      <c r="G138" s="586"/>
      <c r="H138" s="585"/>
      <c r="I138" s="586"/>
      <c r="J138" s="585"/>
      <c r="K138" s="586"/>
      <c r="L138" s="585"/>
      <c r="M138" s="586"/>
      <c r="N138" s="585"/>
      <c r="O138" s="586">
        <v>65819560</v>
      </c>
      <c r="P138" s="585"/>
      <c r="Q138" s="586">
        <v>65620800</v>
      </c>
      <c r="R138" s="585"/>
      <c r="S138" s="586">
        <v>65620800</v>
      </c>
      <c r="T138" s="585"/>
      <c r="U138" s="586">
        <v>65819560</v>
      </c>
      <c r="V138" s="585"/>
      <c r="W138" s="586">
        <v>65819560</v>
      </c>
      <c r="X138" s="585"/>
      <c r="Y138" s="586">
        <v>65620800</v>
      </c>
      <c r="Z138" s="585"/>
      <c r="AA138" s="586">
        <v>65620800</v>
      </c>
      <c r="AB138" s="585"/>
      <c r="AC138" s="586">
        <v>65620800</v>
      </c>
      <c r="AD138" s="585"/>
      <c r="AE138" s="586">
        <v>65620800</v>
      </c>
      <c r="AF138" s="843"/>
      <c r="AG138" s="844"/>
      <c r="AH138" s="845"/>
      <c r="AI138" s="699"/>
      <c r="AJ138" s="585"/>
      <c r="AK138" s="586">
        <v>65620800</v>
      </c>
      <c r="AL138" s="585"/>
      <c r="AM138" s="586">
        <v>65620800</v>
      </c>
      <c r="AN138" s="585"/>
      <c r="AO138" s="586">
        <v>65620800</v>
      </c>
      <c r="AP138" s="843"/>
      <c r="AQ138" s="844"/>
      <c r="AR138" s="845"/>
      <c r="AS138" s="699"/>
      <c r="AT138" s="585"/>
      <c r="AU138" s="586">
        <v>65620800</v>
      </c>
      <c r="AV138" s="585"/>
      <c r="AW138" s="586">
        <v>65620800</v>
      </c>
      <c r="AX138" s="585"/>
      <c r="AY138" s="586">
        <v>65620800</v>
      </c>
      <c r="AZ138" s="843"/>
      <c r="BA138" s="844"/>
      <c r="BB138" s="844"/>
      <c r="BD138" s="585"/>
      <c r="BE138" s="586">
        <v>65620800</v>
      </c>
      <c r="BG138" s="585"/>
      <c r="BH138" s="586">
        <v>65620800</v>
      </c>
      <c r="BI138" s="585"/>
      <c r="BJ138" s="586">
        <v>65620800</v>
      </c>
      <c r="BK138" s="585"/>
      <c r="BL138" s="586">
        <v>65620800</v>
      </c>
      <c r="BO138" s="585"/>
      <c r="BP138" s="586">
        <v>65620800</v>
      </c>
      <c r="BQ138" s="585"/>
      <c r="BR138" s="586">
        <v>65620800</v>
      </c>
      <c r="BS138" s="585"/>
      <c r="BT138" s="586">
        <v>65620800</v>
      </c>
      <c r="BV138" s="585"/>
      <c r="BW138" s="586">
        <v>65620800</v>
      </c>
      <c r="BY138" s="585"/>
      <c r="BZ138" s="586">
        <v>65620800</v>
      </c>
      <c r="CA138" s="585"/>
      <c r="CB138" s="586">
        <v>65620800</v>
      </c>
      <c r="CC138" s="585"/>
      <c r="CD138" s="586">
        <v>65620800</v>
      </c>
      <c r="CH138" s="585"/>
      <c r="CI138" s="586">
        <v>65620800</v>
      </c>
      <c r="CJ138" s="585"/>
      <c r="CK138" s="586">
        <v>65620800</v>
      </c>
      <c r="CL138" s="585"/>
      <c r="CM138" s="586">
        <v>65620800</v>
      </c>
    </row>
    <row r="139" spans="1:92" hidden="1" outlineLevel="1" x14ac:dyDescent="0.45">
      <c r="A139" s="561"/>
      <c r="B139" s="1187"/>
      <c r="C139" s="582"/>
      <c r="D139" s="583"/>
      <c r="E139" s="584" t="s">
        <v>125</v>
      </c>
      <c r="F139" s="585"/>
      <c r="G139" s="586"/>
      <c r="H139" s="585"/>
      <c r="I139" s="586"/>
      <c r="J139" s="585"/>
      <c r="K139" s="586"/>
      <c r="L139" s="585"/>
      <c r="M139" s="586"/>
      <c r="N139" s="585"/>
      <c r="O139" s="586">
        <f>O138/O10</f>
        <v>1645489</v>
      </c>
      <c r="P139" s="585"/>
      <c r="Q139" s="586">
        <f>Q138/Q10</f>
        <v>1640520</v>
      </c>
      <c r="R139" s="585"/>
      <c r="S139" s="586">
        <f>S138/S10</f>
        <v>1640520</v>
      </c>
      <c r="T139" s="585"/>
      <c r="U139" s="586">
        <f>U138/U10</f>
        <v>1645489</v>
      </c>
      <c r="V139" s="585"/>
      <c r="W139" s="586">
        <f>W138/W10</f>
        <v>1645489</v>
      </c>
      <c r="X139" s="585"/>
      <c r="Y139" s="586">
        <f>Y138/Y10</f>
        <v>1640520</v>
      </c>
      <c r="Z139" s="585"/>
      <c r="AA139" s="586">
        <f>AA138/AA10</f>
        <v>1640520</v>
      </c>
      <c r="AB139" s="585"/>
      <c r="AC139" s="586">
        <f>AC138/AC10</f>
        <v>1640520</v>
      </c>
      <c r="AD139" s="585"/>
      <c r="AE139" s="586">
        <f>AE138/AE10</f>
        <v>1640520</v>
      </c>
      <c r="AF139" s="843"/>
      <c r="AG139" s="844"/>
      <c r="AH139" s="845"/>
      <c r="AI139" s="699"/>
      <c r="AJ139" s="585"/>
      <c r="AK139" s="586">
        <f>AK138/AK10</f>
        <v>1640520</v>
      </c>
      <c r="AL139" s="585"/>
      <c r="AM139" s="586">
        <f>AM138/AM10</f>
        <v>1640520</v>
      </c>
      <c r="AN139" s="585"/>
      <c r="AO139" s="586">
        <f>AO138/AO10</f>
        <v>1640520</v>
      </c>
      <c r="AP139" s="843"/>
      <c r="AQ139" s="844"/>
      <c r="AR139" s="845"/>
      <c r="AS139" s="699"/>
      <c r="AT139" s="585"/>
      <c r="AU139" s="586">
        <f>AU138/AU10</f>
        <v>1640520</v>
      </c>
      <c r="AV139" s="585"/>
      <c r="AW139" s="586">
        <f>AW138/AW10</f>
        <v>1640520</v>
      </c>
      <c r="AX139" s="585"/>
      <c r="AY139" s="586">
        <f>AY138/AY10</f>
        <v>1640520</v>
      </c>
      <c r="AZ139" s="843"/>
      <c r="BA139" s="844"/>
      <c r="BB139" s="844"/>
      <c r="BD139" s="585"/>
      <c r="BE139" s="586">
        <f>BE138/BE10</f>
        <v>1640520</v>
      </c>
      <c r="BG139" s="585"/>
      <c r="BH139" s="586">
        <f>BH138/BH10</f>
        <v>1640520</v>
      </c>
      <c r="BI139" s="585"/>
      <c r="BJ139" s="586">
        <f>BJ138/BJ10</f>
        <v>1640520</v>
      </c>
      <c r="BK139" s="585"/>
      <c r="BL139" s="586">
        <f>BL138/BL10</f>
        <v>1640520</v>
      </c>
      <c r="BO139" s="585"/>
      <c r="BP139" s="586">
        <f>BP138/BP10</f>
        <v>1640520</v>
      </c>
      <c r="BQ139" s="585"/>
      <c r="BR139" s="586">
        <f>BR138/BR10</f>
        <v>1640520</v>
      </c>
      <c r="BS139" s="585"/>
      <c r="BT139" s="586">
        <f>BT138/BT10</f>
        <v>1640520</v>
      </c>
      <c r="BV139" s="585"/>
      <c r="BW139" s="586">
        <f>BW138/BW10</f>
        <v>1640520</v>
      </c>
      <c r="BY139" s="585"/>
      <c r="BZ139" s="586">
        <f>BZ138/BZ10</f>
        <v>1640520</v>
      </c>
      <c r="CA139" s="585"/>
      <c r="CB139" s="586">
        <f>CB138/CB10</f>
        <v>1640520</v>
      </c>
      <c r="CC139" s="585"/>
      <c r="CD139" s="586">
        <f>CD138/CD10</f>
        <v>1640520</v>
      </c>
      <c r="CH139" s="585"/>
      <c r="CI139" s="586">
        <f>CI138/CI10</f>
        <v>1640520</v>
      </c>
      <c r="CJ139" s="585"/>
      <c r="CK139" s="586">
        <f>CK138/CK10</f>
        <v>1640520</v>
      </c>
      <c r="CL139" s="585"/>
      <c r="CM139" s="586">
        <f>CM138/CM10</f>
        <v>1640520</v>
      </c>
    </row>
    <row r="140" spans="1:92" hidden="1" outlineLevel="1" x14ac:dyDescent="0.45">
      <c r="A140" s="561"/>
      <c r="B140" s="1187"/>
      <c r="C140" s="582"/>
      <c r="D140" s="583"/>
      <c r="E140" s="584" t="s">
        <v>126</v>
      </c>
      <c r="F140" s="585"/>
      <c r="G140" s="586"/>
      <c r="H140" s="585"/>
      <c r="I140" s="586"/>
      <c r="J140" s="585"/>
      <c r="K140" s="586"/>
      <c r="L140" s="585"/>
      <c r="M140" s="586"/>
      <c r="N140" s="585"/>
      <c r="O140" s="586">
        <f>O139/O73</f>
        <v>424.97133264462809</v>
      </c>
      <c r="P140" s="585"/>
      <c r="Q140" s="586">
        <f>Q139/Q73</f>
        <v>423.68801652892563</v>
      </c>
      <c r="R140" s="585"/>
      <c r="S140" s="586">
        <f>S139/S73</f>
        <v>423.68801652892563</v>
      </c>
      <c r="T140" s="585"/>
      <c r="U140" s="586">
        <f>U139/U73</f>
        <v>424.97133264462809</v>
      </c>
      <c r="V140" s="585"/>
      <c r="W140" s="586">
        <f>W139/W73</f>
        <v>424.97133264462809</v>
      </c>
      <c r="X140" s="585"/>
      <c r="Y140" s="586">
        <f>Y139/Y73</f>
        <v>423.68801652892563</v>
      </c>
      <c r="Z140" s="585"/>
      <c r="AA140" s="586">
        <f>AA139/AA73</f>
        <v>423.68801652892563</v>
      </c>
      <c r="AB140" s="585"/>
      <c r="AC140" s="586">
        <f>AC139/AC73</f>
        <v>423.68801652892563</v>
      </c>
      <c r="AD140" s="585"/>
      <c r="AE140" s="586">
        <f>AE139/AE73</f>
        <v>423.68801652892563</v>
      </c>
      <c r="AF140" s="843"/>
      <c r="AG140" s="844"/>
      <c r="AH140" s="845"/>
      <c r="AI140" s="699"/>
      <c r="AJ140" s="585"/>
      <c r="AK140" s="586">
        <f>AK139/AK73</f>
        <v>423.68801652892563</v>
      </c>
      <c r="AL140" s="585"/>
      <c r="AM140" s="586">
        <f>AM139/AM73</f>
        <v>423.68801652892563</v>
      </c>
      <c r="AN140" s="585"/>
      <c r="AO140" s="586">
        <f>AO139/AO73</f>
        <v>423.68801652892563</v>
      </c>
      <c r="AP140" s="843"/>
      <c r="AQ140" s="844"/>
      <c r="AR140" s="845"/>
      <c r="AS140" s="699"/>
      <c r="AT140" s="585"/>
      <c r="AU140" s="586">
        <f>AU139/AU73</f>
        <v>423.68801652892563</v>
      </c>
      <c r="AV140" s="585"/>
      <c r="AW140" s="586">
        <f>AW139/AW73</f>
        <v>423.68801652892563</v>
      </c>
      <c r="AX140" s="585"/>
      <c r="AY140" s="586">
        <f>AY139/AY73</f>
        <v>423.68801652892563</v>
      </c>
      <c r="AZ140" s="843"/>
      <c r="BA140" s="844"/>
      <c r="BB140" s="844"/>
      <c r="BD140" s="585"/>
      <c r="BE140" s="586">
        <f>BE139/BE73</f>
        <v>423.68801652892563</v>
      </c>
      <c r="BG140" s="585"/>
      <c r="BH140" s="586">
        <f>BH139/BH73</f>
        <v>423.68801652892563</v>
      </c>
      <c r="BI140" s="585"/>
      <c r="BJ140" s="586">
        <f t="shared" ref="BJ140" si="443">BJ139/BJ73</f>
        <v>423.68801652892563</v>
      </c>
      <c r="BK140" s="585"/>
      <c r="BL140" s="586">
        <f t="shared" ref="BL140" si="444">BL139/BL73</f>
        <v>423.68801652892563</v>
      </c>
      <c r="BO140" s="585"/>
      <c r="BP140" s="586">
        <f>BP139/BP73</f>
        <v>423.68801652892563</v>
      </c>
      <c r="BQ140" s="585"/>
      <c r="BR140" s="586">
        <f t="shared" ref="BR140" si="445">BR139/BR73</f>
        <v>423.68801652892563</v>
      </c>
      <c r="BS140" s="585"/>
      <c r="BT140" s="586">
        <f t="shared" ref="BT140" si="446">BT139/BT73</f>
        <v>423.68801652892563</v>
      </c>
      <c r="BV140" s="585"/>
      <c r="BW140" s="586">
        <f>BW139/BW73</f>
        <v>423.68801652892563</v>
      </c>
      <c r="BY140" s="585"/>
      <c r="BZ140" s="586">
        <f>BZ139/BZ73</f>
        <v>410.13</v>
      </c>
      <c r="CA140" s="585"/>
      <c r="CB140" s="586">
        <f>CB139/CB73</f>
        <v>410.13</v>
      </c>
      <c r="CC140" s="585"/>
      <c r="CD140" s="586">
        <f>CD139/CD73</f>
        <v>410.13</v>
      </c>
      <c r="CH140" s="585"/>
      <c r="CI140" s="586">
        <f>CI139/CI73</f>
        <v>423.68801652892563</v>
      </c>
      <c r="CJ140" s="585"/>
      <c r="CK140" s="586">
        <f t="shared" ref="CK140" si="447">CK139/CK73</f>
        <v>423.68801652892563</v>
      </c>
      <c r="CL140" s="585"/>
      <c r="CM140" s="586">
        <f t="shared" ref="CM140" si="448">CM139/CM73</f>
        <v>423.68801652892563</v>
      </c>
    </row>
    <row r="141" spans="1:92" collapsed="1" x14ac:dyDescent="0.45">
      <c r="A141" s="561"/>
      <c r="B141" s="1187"/>
      <c r="C141" s="223"/>
      <c r="D141" s="175"/>
      <c r="E141" s="176"/>
      <c r="F141" s="177"/>
      <c r="G141" s="178"/>
      <c r="H141" s="177"/>
      <c r="I141" s="178"/>
      <c r="J141" s="177"/>
      <c r="K141" s="178"/>
      <c r="L141" s="177"/>
      <c r="M141" s="178"/>
      <c r="N141" s="375"/>
      <c r="O141" s="376"/>
      <c r="P141" s="375"/>
      <c r="Q141" s="376"/>
      <c r="R141" s="375"/>
      <c r="S141" s="376"/>
      <c r="T141" s="375"/>
      <c r="U141" s="376"/>
      <c r="V141" s="375"/>
      <c r="W141" s="376"/>
      <c r="X141" s="375"/>
      <c r="Y141" s="376"/>
      <c r="Z141" s="375"/>
      <c r="AA141" s="376"/>
      <c r="AB141" s="375"/>
      <c r="AC141" s="376"/>
      <c r="AD141" s="375"/>
      <c r="AE141" s="376"/>
      <c r="AF141" s="745"/>
      <c r="AG141" s="725"/>
      <c r="AH141" s="746"/>
      <c r="AI141" s="662"/>
      <c r="AJ141" s="375"/>
      <c r="AK141" s="376"/>
      <c r="AL141" s="375"/>
      <c r="AM141" s="376"/>
      <c r="AN141" s="375"/>
      <c r="AO141" s="376"/>
      <c r="AP141" s="745"/>
      <c r="AQ141" s="725"/>
      <c r="AR141" s="746"/>
      <c r="AS141" s="662"/>
      <c r="AT141" s="375"/>
      <c r="AU141" s="376"/>
      <c r="AV141" s="375"/>
      <c r="AW141" s="376"/>
      <c r="AX141" s="375"/>
      <c r="AY141" s="376"/>
      <c r="AZ141" s="745"/>
      <c r="BA141" s="725"/>
      <c r="BB141" s="725"/>
      <c r="BD141" s="375"/>
      <c r="BE141" s="376"/>
      <c r="BG141" s="375"/>
      <c r="BH141" s="376"/>
      <c r="BI141" s="375"/>
      <c r="BJ141" s="376"/>
      <c r="BK141" s="375"/>
      <c r="BL141" s="376"/>
      <c r="BO141" s="375"/>
      <c r="BP141" s="376"/>
      <c r="BQ141" s="375"/>
      <c r="BR141" s="376"/>
      <c r="BS141" s="375"/>
      <c r="BT141" s="376"/>
      <c r="BV141" s="375"/>
      <c r="BW141" s="376"/>
      <c r="BY141" s="375"/>
      <c r="BZ141" s="376"/>
      <c r="CA141" s="375"/>
      <c r="CB141" s="376"/>
      <c r="CC141" s="375"/>
      <c r="CD141" s="376"/>
      <c r="CH141" s="375"/>
      <c r="CI141" s="376"/>
      <c r="CJ141" s="375"/>
      <c r="CK141" s="376"/>
      <c r="CL141" s="375"/>
      <c r="CM141" s="376"/>
    </row>
    <row r="142" spans="1:92" outlineLevel="1" x14ac:dyDescent="0.45">
      <c r="A142" s="561"/>
      <c r="B142" s="1187"/>
      <c r="C142" s="161" t="s">
        <v>127</v>
      </c>
      <c r="D142" s="162"/>
      <c r="E142" s="179" t="s">
        <v>128</v>
      </c>
      <c r="F142" s="180"/>
      <c r="G142" s="224">
        <f>G71</f>
        <v>620</v>
      </c>
      <c r="H142" s="180"/>
      <c r="I142" s="224">
        <f>I71</f>
        <v>1150</v>
      </c>
      <c r="J142" s="180"/>
      <c r="K142" s="224">
        <f>K71</f>
        <v>1150</v>
      </c>
      <c r="L142" s="180"/>
      <c r="M142" s="224">
        <f>M71</f>
        <v>1150</v>
      </c>
      <c r="N142" s="380"/>
      <c r="O142" s="384">
        <v>1200</v>
      </c>
      <c r="P142" s="380"/>
      <c r="Q142" s="384">
        <v>1200</v>
      </c>
      <c r="R142" s="380"/>
      <c r="S142" s="384">
        <v>1200</v>
      </c>
      <c r="T142" s="380"/>
      <c r="U142" s="384">
        <v>1200</v>
      </c>
      <c r="V142" s="380"/>
      <c r="W142" s="384">
        <v>1200</v>
      </c>
      <c r="X142" s="380"/>
      <c r="Y142" s="384">
        <f>Y71</f>
        <v>1500</v>
      </c>
      <c r="Z142" s="380"/>
      <c r="AA142" s="384">
        <f>AA71</f>
        <v>1500</v>
      </c>
      <c r="AB142" s="380"/>
      <c r="AC142" s="384">
        <f>AC71</f>
        <v>1500</v>
      </c>
      <c r="AD142" s="380"/>
      <c r="AE142" s="384">
        <f>AE71</f>
        <v>1500</v>
      </c>
      <c r="AF142" s="776"/>
      <c r="AG142" s="728"/>
      <c r="AH142" s="777"/>
      <c r="AI142" s="628"/>
      <c r="AJ142" s="380"/>
      <c r="AK142" s="384">
        <f>AK71</f>
        <v>1500</v>
      </c>
      <c r="AL142" s="380"/>
      <c r="AM142" s="384">
        <f>AM71</f>
        <v>1500</v>
      </c>
      <c r="AN142" s="380"/>
      <c r="AO142" s="384">
        <f>AO71</f>
        <v>1500</v>
      </c>
      <c r="AP142" s="776"/>
      <c r="AQ142" s="728"/>
      <c r="AR142" s="777"/>
      <c r="AS142" s="628"/>
      <c r="AT142" s="380"/>
      <c r="AU142" s="384">
        <f>AU71</f>
        <v>1500</v>
      </c>
      <c r="AV142" s="380"/>
      <c r="AW142" s="384">
        <f>AW71</f>
        <v>1500</v>
      </c>
      <c r="AX142" s="380"/>
      <c r="AY142" s="384">
        <f>AY71</f>
        <v>1500</v>
      </c>
      <c r="AZ142" s="776"/>
      <c r="BA142" s="728"/>
      <c r="BB142" s="728"/>
      <c r="BD142" s="380"/>
      <c r="BE142" s="384">
        <f>BE71</f>
        <v>1500</v>
      </c>
      <c r="BG142" s="380"/>
      <c r="BH142" s="384">
        <f>BH71</f>
        <v>1500</v>
      </c>
      <c r="BI142" s="380"/>
      <c r="BJ142" s="384">
        <f t="shared" ref="BJ142" si="449">BJ71</f>
        <v>1500</v>
      </c>
      <c r="BK142" s="380"/>
      <c r="BL142" s="384">
        <f t="shared" ref="BL142" si="450">BL71</f>
        <v>1500</v>
      </c>
      <c r="BO142" s="380"/>
      <c r="BP142" s="384">
        <f>BP71</f>
        <v>0</v>
      </c>
      <c r="BQ142" s="380"/>
      <c r="BR142" s="384">
        <f t="shared" ref="BR142" si="451">BR71</f>
        <v>1500</v>
      </c>
      <c r="BS142" s="380"/>
      <c r="BT142" s="384">
        <f t="shared" ref="BT142" si="452">BT71</f>
        <v>1500</v>
      </c>
      <c r="BV142" s="380"/>
      <c r="BW142" s="384">
        <f>BW71</f>
        <v>1500</v>
      </c>
      <c r="BY142" s="380"/>
      <c r="BZ142" s="384">
        <f>BZ71</f>
        <v>400</v>
      </c>
      <c r="CA142" s="380"/>
      <c r="CB142" s="384">
        <f>CB71</f>
        <v>400</v>
      </c>
      <c r="CC142" s="380"/>
      <c r="CD142" s="384">
        <f>CD71</f>
        <v>400</v>
      </c>
      <c r="CH142" s="380"/>
      <c r="CI142" s="384">
        <f>CI71</f>
        <v>0</v>
      </c>
      <c r="CJ142" s="380"/>
      <c r="CK142" s="384">
        <f t="shared" ref="CK142" si="453">CK71</f>
        <v>1500</v>
      </c>
      <c r="CL142" s="380"/>
      <c r="CM142" s="384">
        <f t="shared" ref="CM142" si="454">CM71</f>
        <v>1500</v>
      </c>
    </row>
    <row r="143" spans="1:92" outlineLevel="1" x14ac:dyDescent="0.45">
      <c r="A143" s="561"/>
      <c r="B143" s="1187"/>
      <c r="C143" s="225" t="s">
        <v>389</v>
      </c>
      <c r="D143" s="162"/>
      <c r="E143" s="179" t="s">
        <v>128</v>
      </c>
      <c r="F143" s="180"/>
      <c r="G143" s="224">
        <v>1200</v>
      </c>
      <c r="H143" s="180"/>
      <c r="I143" s="224">
        <f>G143</f>
        <v>1200</v>
      </c>
      <c r="J143" s="180"/>
      <c r="K143" s="224">
        <f>I143</f>
        <v>1200</v>
      </c>
      <c r="L143" s="180"/>
      <c r="M143" s="224">
        <f>K143</f>
        <v>1200</v>
      </c>
      <c r="N143" s="380"/>
      <c r="O143" s="384">
        <v>1218</v>
      </c>
      <c r="P143" s="380"/>
      <c r="Q143" s="384">
        <v>1500</v>
      </c>
      <c r="R143" s="380"/>
      <c r="S143" s="384">
        <v>1500</v>
      </c>
      <c r="T143" s="380"/>
      <c r="U143" s="384">
        <v>1244</v>
      </c>
      <c r="V143" s="380"/>
      <c r="W143" s="384">
        <v>1500</v>
      </c>
      <c r="X143" s="380"/>
      <c r="Y143" s="384">
        <v>1500</v>
      </c>
      <c r="Z143" s="380"/>
      <c r="AA143" s="384">
        <v>1500</v>
      </c>
      <c r="AB143" s="380"/>
      <c r="AC143" s="384">
        <v>1500</v>
      </c>
      <c r="AD143" s="380"/>
      <c r="AE143" s="384">
        <v>1500</v>
      </c>
      <c r="AF143" s="776"/>
      <c r="AG143" s="728"/>
      <c r="AH143" s="777"/>
      <c r="AI143" s="628"/>
      <c r="AJ143" s="380"/>
      <c r="AK143" s="384">
        <v>1500</v>
      </c>
      <c r="AL143" s="380"/>
      <c r="AM143" s="384">
        <v>1500</v>
      </c>
      <c r="AN143" s="380"/>
      <c r="AO143" s="384">
        <v>1500</v>
      </c>
      <c r="AP143" s="776"/>
      <c r="AQ143" s="728"/>
      <c r="AR143" s="777"/>
      <c r="AS143" s="628"/>
      <c r="AT143" s="380"/>
      <c r="AU143" s="384">
        <v>1500</v>
      </c>
      <c r="AV143" s="380"/>
      <c r="AW143" s="384">
        <v>1500</v>
      </c>
      <c r="AX143" s="380"/>
      <c r="AY143" s="384">
        <v>1500</v>
      </c>
      <c r="AZ143" s="776"/>
      <c r="BA143" s="728"/>
      <c r="BB143" s="728"/>
      <c r="BD143" s="380"/>
      <c r="BE143" s="384">
        <v>1500</v>
      </c>
      <c r="BG143" s="380"/>
      <c r="BH143" s="384">
        <v>1200</v>
      </c>
      <c r="BI143" s="380"/>
      <c r="BJ143" s="384">
        <f>BH143</f>
        <v>1200</v>
      </c>
      <c r="BK143" s="380"/>
      <c r="BL143" s="384">
        <f>BJ143</f>
        <v>1200</v>
      </c>
      <c r="BO143" s="380"/>
      <c r="BP143" s="384">
        <v>0</v>
      </c>
      <c r="BQ143" s="380"/>
      <c r="BR143" s="384">
        <f>BP143</f>
        <v>0</v>
      </c>
      <c r="BS143" s="380"/>
      <c r="BT143" s="384">
        <f>BR143</f>
        <v>0</v>
      </c>
      <c r="BV143" s="380"/>
      <c r="BW143" s="384">
        <v>1500</v>
      </c>
      <c r="BY143" s="380"/>
      <c r="BZ143" s="384">
        <v>1500</v>
      </c>
      <c r="CA143" s="380"/>
      <c r="CB143" s="384">
        <v>1500</v>
      </c>
      <c r="CC143" s="380"/>
      <c r="CD143" s="384">
        <v>1500</v>
      </c>
      <c r="CH143" s="380"/>
      <c r="CI143" s="384">
        <v>0</v>
      </c>
      <c r="CJ143" s="380"/>
      <c r="CK143" s="384">
        <f>CI143</f>
        <v>0</v>
      </c>
      <c r="CL143" s="380"/>
      <c r="CM143" s="384">
        <f>CK143</f>
        <v>0</v>
      </c>
    </row>
    <row r="144" spans="1:92" outlineLevel="1" x14ac:dyDescent="0.45">
      <c r="A144" s="561"/>
      <c r="B144" s="1187"/>
      <c r="C144" s="225" t="s">
        <v>390</v>
      </c>
      <c r="D144" s="162"/>
      <c r="E144" s="179" t="s">
        <v>128</v>
      </c>
      <c r="F144" s="180"/>
      <c r="G144" s="224">
        <v>1200</v>
      </c>
      <c r="H144" s="180"/>
      <c r="I144" s="224">
        <f>G144</f>
        <v>1200</v>
      </c>
      <c r="J144" s="180"/>
      <c r="K144" s="224">
        <f>I144</f>
        <v>1200</v>
      </c>
      <c r="L144" s="180"/>
      <c r="M144" s="224">
        <f>K144</f>
        <v>1200</v>
      </c>
      <c r="N144" s="380"/>
      <c r="O144" s="384">
        <f>O71</f>
        <v>1200</v>
      </c>
      <c r="P144" s="380"/>
      <c r="Q144" s="384">
        <f>Q71</f>
        <v>1200</v>
      </c>
      <c r="R144" s="380"/>
      <c r="S144" s="384">
        <f>S71</f>
        <v>1200</v>
      </c>
      <c r="T144" s="380"/>
      <c r="U144" s="384">
        <f>U71</f>
        <v>1200</v>
      </c>
      <c r="V144" s="380"/>
      <c r="W144" s="384">
        <f>W71</f>
        <v>1200</v>
      </c>
      <c r="X144" s="380"/>
      <c r="Y144" s="384">
        <f>Y71</f>
        <v>1500</v>
      </c>
      <c r="Z144" s="380"/>
      <c r="AA144" s="384">
        <f>AA71</f>
        <v>1500</v>
      </c>
      <c r="AB144" s="380"/>
      <c r="AC144" s="384">
        <f>AC71</f>
        <v>1500</v>
      </c>
      <c r="AD144" s="380"/>
      <c r="AE144" s="384">
        <f>AE71</f>
        <v>1500</v>
      </c>
      <c r="AF144" s="776"/>
      <c r="AG144" s="728"/>
      <c r="AH144" s="777"/>
      <c r="AI144" s="628"/>
      <c r="AJ144" s="380"/>
      <c r="AK144" s="384">
        <f>AK71</f>
        <v>1500</v>
      </c>
      <c r="AL144" s="380"/>
      <c r="AM144" s="384">
        <f>AM71</f>
        <v>1500</v>
      </c>
      <c r="AN144" s="380"/>
      <c r="AO144" s="384">
        <f>AO71</f>
        <v>1500</v>
      </c>
      <c r="AP144" s="776"/>
      <c r="AQ144" s="728"/>
      <c r="AR144" s="777"/>
      <c r="AS144" s="628"/>
      <c r="AT144" s="380"/>
      <c r="AU144" s="384">
        <f>AU71</f>
        <v>1500</v>
      </c>
      <c r="AV144" s="380"/>
      <c r="AW144" s="384">
        <f>AW71</f>
        <v>1500</v>
      </c>
      <c r="AX144" s="380"/>
      <c r="AY144" s="384">
        <f>AY71</f>
        <v>1500</v>
      </c>
      <c r="AZ144" s="776"/>
      <c r="BA144" s="728"/>
      <c r="BB144" s="728"/>
      <c r="BD144" s="380"/>
      <c r="BE144" s="384">
        <f>BE71</f>
        <v>1500</v>
      </c>
      <c r="BG144" s="380"/>
      <c r="BH144" s="384">
        <f>BH71</f>
        <v>1500</v>
      </c>
      <c r="BI144" s="380"/>
      <c r="BJ144" s="384">
        <f t="shared" ref="BJ144" si="455">BJ71</f>
        <v>1500</v>
      </c>
      <c r="BK144" s="380"/>
      <c r="BL144" s="384">
        <f t="shared" ref="BL144" si="456">BL71</f>
        <v>1500</v>
      </c>
      <c r="BO144" s="380"/>
      <c r="BP144" s="384">
        <f>BP71</f>
        <v>0</v>
      </c>
      <c r="BQ144" s="380"/>
      <c r="BR144" s="384">
        <f t="shared" ref="BR144" si="457">BR71</f>
        <v>1500</v>
      </c>
      <c r="BS144" s="380"/>
      <c r="BT144" s="384">
        <f t="shared" ref="BT144" si="458">BT71</f>
        <v>1500</v>
      </c>
      <c r="BV144" s="380"/>
      <c r="BW144" s="384">
        <f>BW71</f>
        <v>1500</v>
      </c>
      <c r="BY144" s="380"/>
      <c r="BZ144" s="384">
        <f>BZ71</f>
        <v>400</v>
      </c>
      <c r="CA144" s="380"/>
      <c r="CB144" s="384">
        <f>CB71</f>
        <v>400</v>
      </c>
      <c r="CC144" s="380"/>
      <c r="CD144" s="384">
        <f>CD71</f>
        <v>400</v>
      </c>
      <c r="CH144" s="380"/>
      <c r="CI144" s="384">
        <f>CI71</f>
        <v>0</v>
      </c>
      <c r="CJ144" s="380"/>
      <c r="CK144" s="384">
        <f t="shared" ref="CK144" si="459">CK71</f>
        <v>1500</v>
      </c>
      <c r="CL144" s="380"/>
      <c r="CM144" s="384">
        <f t="shared" ref="CM144" si="460">CM71</f>
        <v>1500</v>
      </c>
    </row>
    <row r="145" spans="1:91" outlineLevel="1" x14ac:dyDescent="0.45">
      <c r="A145" s="561"/>
      <c r="B145" s="1187"/>
      <c r="C145" s="225" t="s">
        <v>130</v>
      </c>
      <c r="D145" s="162"/>
      <c r="E145" s="179"/>
      <c r="F145" s="180"/>
      <c r="G145" s="224">
        <v>750</v>
      </c>
      <c r="H145" s="180"/>
      <c r="I145" s="224">
        <v>750</v>
      </c>
      <c r="J145" s="180"/>
      <c r="K145" s="224">
        <v>750</v>
      </c>
      <c r="L145" s="180"/>
      <c r="M145" s="224">
        <v>750</v>
      </c>
      <c r="N145" s="380"/>
      <c r="O145" s="384">
        <v>750</v>
      </c>
      <c r="P145" s="380"/>
      <c r="Q145" s="384">
        <v>750</v>
      </c>
      <c r="R145" s="380"/>
      <c r="S145" s="384">
        <v>750</v>
      </c>
      <c r="T145" s="380"/>
      <c r="U145" s="384">
        <v>750</v>
      </c>
      <c r="V145" s="380"/>
      <c r="W145" s="384">
        <v>750</v>
      </c>
      <c r="X145" s="380"/>
      <c r="Y145" s="384">
        <v>750</v>
      </c>
      <c r="Z145" s="380"/>
      <c r="AA145" s="384">
        <v>750</v>
      </c>
      <c r="AB145" s="380"/>
      <c r="AC145" s="384">
        <v>750</v>
      </c>
      <c r="AD145" s="380"/>
      <c r="AE145" s="384">
        <v>750</v>
      </c>
      <c r="AF145" s="776"/>
      <c r="AG145" s="728"/>
      <c r="AH145" s="777"/>
      <c r="AI145" s="628"/>
      <c r="AJ145" s="380"/>
      <c r="AK145" s="384">
        <v>750</v>
      </c>
      <c r="AL145" s="380"/>
      <c r="AM145" s="384">
        <v>750</v>
      </c>
      <c r="AN145" s="380"/>
      <c r="AO145" s="384">
        <v>750</v>
      </c>
      <c r="AP145" s="776"/>
      <c r="AQ145" s="728"/>
      <c r="AR145" s="777"/>
      <c r="AS145" s="628"/>
      <c r="AT145" s="380"/>
      <c r="AU145" s="384">
        <v>750</v>
      </c>
      <c r="AV145" s="380"/>
      <c r="AW145" s="384">
        <v>750</v>
      </c>
      <c r="AX145" s="380"/>
      <c r="AY145" s="384">
        <v>750</v>
      </c>
      <c r="AZ145" s="776"/>
      <c r="BA145" s="728"/>
      <c r="BB145" s="728"/>
      <c r="BD145" s="380"/>
      <c r="BE145" s="384">
        <v>750</v>
      </c>
      <c r="BG145" s="380"/>
      <c r="BH145" s="384">
        <v>750</v>
      </c>
      <c r="BI145" s="380"/>
      <c r="BJ145" s="384">
        <v>750</v>
      </c>
      <c r="BK145" s="380"/>
      <c r="BL145" s="384">
        <v>750</v>
      </c>
      <c r="BO145" s="380"/>
      <c r="BP145" s="384">
        <v>750</v>
      </c>
      <c r="BQ145" s="380"/>
      <c r="BR145" s="384">
        <v>750</v>
      </c>
      <c r="BS145" s="380"/>
      <c r="BT145" s="384">
        <v>750</v>
      </c>
      <c r="BV145" s="380"/>
      <c r="BW145" s="384">
        <v>750</v>
      </c>
      <c r="BY145" s="380"/>
      <c r="BZ145" s="384">
        <v>750</v>
      </c>
      <c r="CA145" s="380"/>
      <c r="CB145" s="384">
        <v>750</v>
      </c>
      <c r="CC145" s="380"/>
      <c r="CD145" s="384">
        <v>750</v>
      </c>
      <c r="CH145" s="380"/>
      <c r="CI145" s="384">
        <v>750</v>
      </c>
      <c r="CJ145" s="380"/>
      <c r="CK145" s="384">
        <v>750</v>
      </c>
      <c r="CL145" s="380"/>
      <c r="CM145" s="384">
        <v>750</v>
      </c>
    </row>
    <row r="146" spans="1:91" outlineLevel="1" x14ac:dyDescent="0.45">
      <c r="A146" s="561"/>
      <c r="B146" s="1187"/>
      <c r="C146" s="170"/>
      <c r="D146" s="162"/>
      <c r="E146" s="197"/>
      <c r="F146" s="164"/>
      <c r="G146" s="171"/>
      <c r="H146" s="164"/>
      <c r="I146" s="171"/>
      <c r="J146" s="164"/>
      <c r="K146" s="171"/>
      <c r="L146" s="164"/>
      <c r="M146" s="171"/>
      <c r="N146" s="359"/>
      <c r="O146" s="372"/>
      <c r="P146" s="359"/>
      <c r="Q146" s="372"/>
      <c r="R146" s="359"/>
      <c r="S146" s="372"/>
      <c r="T146" s="359"/>
      <c r="U146" s="372"/>
      <c r="V146" s="359"/>
      <c r="W146" s="372"/>
      <c r="X146" s="359"/>
      <c r="Y146" s="372"/>
      <c r="Z146" s="359"/>
      <c r="AA146" s="372"/>
      <c r="AB146" s="359"/>
      <c r="AC146" s="372"/>
      <c r="AD146" s="359"/>
      <c r="AE146" s="372"/>
      <c r="AF146" s="745"/>
      <c r="AG146" s="725"/>
      <c r="AH146" s="746"/>
      <c r="AI146" s="632"/>
      <c r="AJ146" s="359"/>
      <c r="AK146" s="372"/>
      <c r="AL146" s="359"/>
      <c r="AM146" s="372"/>
      <c r="AN146" s="359"/>
      <c r="AO146" s="372"/>
      <c r="AP146" s="745"/>
      <c r="AQ146" s="725"/>
      <c r="AR146" s="746"/>
      <c r="AS146" s="632"/>
      <c r="AT146" s="359"/>
      <c r="AU146" s="372"/>
      <c r="AV146" s="359"/>
      <c r="AW146" s="372"/>
      <c r="AX146" s="359"/>
      <c r="AY146" s="372"/>
      <c r="AZ146" s="745"/>
      <c r="BA146" s="725"/>
      <c r="BB146" s="725"/>
      <c r="BD146" s="359"/>
      <c r="BE146" s="372"/>
      <c r="BG146" s="359"/>
      <c r="BH146" s="372"/>
      <c r="BI146" s="359"/>
      <c r="BJ146" s="372"/>
      <c r="BK146" s="359"/>
      <c r="BL146" s="372"/>
      <c r="BO146" s="359"/>
      <c r="BP146" s="372"/>
      <c r="BQ146" s="359"/>
      <c r="BR146" s="372"/>
      <c r="BS146" s="359"/>
      <c r="BT146" s="372"/>
      <c r="BV146" s="359"/>
      <c r="BW146" s="372"/>
      <c r="BY146" s="359"/>
      <c r="BZ146" s="372"/>
      <c r="CA146" s="359"/>
      <c r="CB146" s="372"/>
      <c r="CC146" s="359"/>
      <c r="CD146" s="372"/>
      <c r="CH146" s="359"/>
      <c r="CI146" s="372"/>
      <c r="CJ146" s="359"/>
      <c r="CK146" s="372"/>
      <c r="CL146" s="359"/>
      <c r="CM146" s="372"/>
    </row>
    <row r="147" spans="1:91" outlineLevel="1" x14ac:dyDescent="0.45">
      <c r="A147" s="561"/>
      <c r="B147" s="1187"/>
      <c r="C147" s="226" t="s">
        <v>131</v>
      </c>
      <c r="D147" s="227"/>
      <c r="E147" s="228" t="s">
        <v>132</v>
      </c>
      <c r="F147" s="229"/>
      <c r="G147" s="230">
        <f>G144-G142</f>
        <v>580</v>
      </c>
      <c r="H147" s="229"/>
      <c r="I147" s="230">
        <f>I144-I142</f>
        <v>50</v>
      </c>
      <c r="J147" s="229"/>
      <c r="K147" s="230">
        <f>K144-K142</f>
        <v>50</v>
      </c>
      <c r="L147" s="229"/>
      <c r="M147" s="230">
        <f>M144-M142</f>
        <v>50</v>
      </c>
      <c r="N147" s="229"/>
      <c r="O147" s="230">
        <f>O143-O142</f>
        <v>18</v>
      </c>
      <c r="P147" s="229"/>
      <c r="Q147" s="230">
        <f>Q143-Q142</f>
        <v>300</v>
      </c>
      <c r="R147" s="229"/>
      <c r="S147" s="230">
        <f>S143-S142</f>
        <v>300</v>
      </c>
      <c r="T147" s="229"/>
      <c r="U147" s="230">
        <f>U143-U142</f>
        <v>44</v>
      </c>
      <c r="V147" s="229"/>
      <c r="W147" s="230">
        <f>W143-W142</f>
        <v>300</v>
      </c>
      <c r="X147" s="229"/>
      <c r="Y147" s="230">
        <f>Y143-Y142</f>
        <v>0</v>
      </c>
      <c r="Z147" s="229"/>
      <c r="AA147" s="230">
        <f>AA143-AA142</f>
        <v>0</v>
      </c>
      <c r="AB147" s="229"/>
      <c r="AC147" s="230">
        <f>AC143-AC142</f>
        <v>0</v>
      </c>
      <c r="AD147" s="229"/>
      <c r="AE147" s="230">
        <f>AE143-AE142</f>
        <v>0</v>
      </c>
      <c r="AF147" s="846"/>
      <c r="AG147" s="847"/>
      <c r="AH147" s="848"/>
      <c r="AI147" s="701"/>
      <c r="AJ147" s="229"/>
      <c r="AK147" s="230">
        <f>AK143-AK142</f>
        <v>0</v>
      </c>
      <c r="AL147" s="229"/>
      <c r="AM147" s="230">
        <f>AM143-AM142</f>
        <v>0</v>
      </c>
      <c r="AN147" s="229"/>
      <c r="AO147" s="230">
        <f>AO143-AO142</f>
        <v>0</v>
      </c>
      <c r="AP147" s="846"/>
      <c r="AQ147" s="847"/>
      <c r="AR147" s="848"/>
      <c r="AS147" s="701"/>
      <c r="AT147" s="229"/>
      <c r="AU147" s="230">
        <f>AU143-AU142</f>
        <v>0</v>
      </c>
      <c r="AV147" s="229"/>
      <c r="AW147" s="230">
        <f>AW143-AW142</f>
        <v>0</v>
      </c>
      <c r="AX147" s="229"/>
      <c r="AY147" s="230">
        <f>AY143-AY142</f>
        <v>0</v>
      </c>
      <c r="AZ147" s="846"/>
      <c r="BA147" s="847"/>
      <c r="BB147" s="856"/>
      <c r="BD147" s="229"/>
      <c r="BE147" s="230">
        <f>BE143-BE142</f>
        <v>0</v>
      </c>
      <c r="BG147" s="229"/>
      <c r="BH147" s="230">
        <f>BH143-BH142</f>
        <v>-300</v>
      </c>
      <c r="BI147" s="229"/>
      <c r="BJ147" s="230">
        <f t="shared" ref="BJ147" si="461">BJ143-BJ142</f>
        <v>-300</v>
      </c>
      <c r="BK147" s="229"/>
      <c r="BL147" s="230">
        <f t="shared" ref="BL147" si="462">BL143-BL142</f>
        <v>-300</v>
      </c>
      <c r="BO147" s="229"/>
      <c r="BP147" s="230">
        <f>BP143-BP142</f>
        <v>0</v>
      </c>
      <c r="BQ147" s="229"/>
      <c r="BR147" s="230">
        <f t="shared" ref="BR147" si="463">BR143-BR142</f>
        <v>-1500</v>
      </c>
      <c r="BS147" s="229"/>
      <c r="BT147" s="230">
        <f t="shared" ref="BT147" si="464">BT143-BT142</f>
        <v>-1500</v>
      </c>
      <c r="BV147" s="229"/>
      <c r="BW147" s="230">
        <f>BW143-BW142</f>
        <v>0</v>
      </c>
      <c r="BY147" s="229"/>
      <c r="BZ147" s="230">
        <f>BZ143-BZ142</f>
        <v>1100</v>
      </c>
      <c r="CA147" s="229"/>
      <c r="CB147" s="230">
        <f>CB143-CB142</f>
        <v>1100</v>
      </c>
      <c r="CC147" s="229"/>
      <c r="CD147" s="230">
        <f>CD143-CD142</f>
        <v>1100</v>
      </c>
      <c r="CH147" s="229"/>
      <c r="CI147" s="230">
        <f>CI143-CI142</f>
        <v>0</v>
      </c>
      <c r="CJ147" s="229"/>
      <c r="CK147" s="230">
        <f t="shared" ref="CK147" si="465">CK143-CK142</f>
        <v>-1500</v>
      </c>
      <c r="CL147" s="229"/>
      <c r="CM147" s="230">
        <f t="shared" ref="CM147" si="466">CM143-CM142</f>
        <v>-1500</v>
      </c>
    </row>
    <row r="148" spans="1:91" outlineLevel="1" x14ac:dyDescent="0.45">
      <c r="A148" s="561"/>
      <c r="B148" s="1187"/>
      <c r="C148" s="232"/>
      <c r="D148" s="227"/>
      <c r="E148" s="228" t="s">
        <v>133</v>
      </c>
      <c r="F148" s="229"/>
      <c r="G148" s="230">
        <f>G147*G137</f>
        <v>167219.45247933886</v>
      </c>
      <c r="H148" s="229"/>
      <c r="I148" s="230">
        <f>I147*I137</f>
        <v>14415.470041322315</v>
      </c>
      <c r="J148" s="229"/>
      <c r="K148" s="230">
        <f>K147*K137</f>
        <v>14415.470041322315</v>
      </c>
      <c r="L148" s="229"/>
      <c r="M148" s="230">
        <f>M147*M137</f>
        <v>14415.470041322315</v>
      </c>
      <c r="N148" s="229"/>
      <c r="O148" s="588">
        <f>O147*O140</f>
        <v>7649.4839876033056</v>
      </c>
      <c r="P148" s="229"/>
      <c r="Q148" s="588">
        <f>Q147*Q140</f>
        <v>127106.40495867768</v>
      </c>
      <c r="R148" s="229"/>
      <c r="S148" s="588">
        <f>S147*S140</f>
        <v>127106.40495867768</v>
      </c>
      <c r="T148" s="229"/>
      <c r="U148" s="588">
        <f>U147*U140</f>
        <v>18698.738636363636</v>
      </c>
      <c r="V148" s="229"/>
      <c r="W148" s="588">
        <f>W147*W140</f>
        <v>127491.39979338842</v>
      </c>
      <c r="X148" s="229"/>
      <c r="Y148" s="588">
        <f>Y147*Y140</f>
        <v>0</v>
      </c>
      <c r="Z148" s="229"/>
      <c r="AA148" s="588">
        <f>AA147*AA140</f>
        <v>0</v>
      </c>
      <c r="AB148" s="229"/>
      <c r="AC148" s="588">
        <f>AC147*AC140</f>
        <v>0</v>
      </c>
      <c r="AD148" s="229"/>
      <c r="AE148" s="588">
        <f>AE147*AE140</f>
        <v>0</v>
      </c>
      <c r="AF148" s="846"/>
      <c r="AG148" s="847"/>
      <c r="AH148" s="848"/>
      <c r="AI148" s="702"/>
      <c r="AJ148" s="229"/>
      <c r="AK148" s="588">
        <f>AK147*AK140</f>
        <v>0</v>
      </c>
      <c r="AL148" s="229"/>
      <c r="AM148" s="588">
        <f>AM147*AM140</f>
        <v>0</v>
      </c>
      <c r="AN148" s="229"/>
      <c r="AO148" s="588">
        <f>AO147*AO140</f>
        <v>0</v>
      </c>
      <c r="AP148" s="846"/>
      <c r="AQ148" s="847"/>
      <c r="AR148" s="848"/>
      <c r="AS148" s="702"/>
      <c r="AT148" s="229"/>
      <c r="AU148" s="588">
        <f>AU147*AU140</f>
        <v>0</v>
      </c>
      <c r="AV148" s="229"/>
      <c r="AW148" s="588">
        <f>AW147*AW140</f>
        <v>0</v>
      </c>
      <c r="AX148" s="229"/>
      <c r="AY148" s="588">
        <f>AY147*AY140</f>
        <v>0</v>
      </c>
      <c r="AZ148" s="846"/>
      <c r="BA148" s="847"/>
      <c r="BB148" s="856"/>
      <c r="BD148" s="229"/>
      <c r="BE148" s="588">
        <f>BE147*BE140</f>
        <v>0</v>
      </c>
      <c r="BG148" s="229"/>
      <c r="BH148" s="588">
        <f>BH147*BH140</f>
        <v>-127106.40495867768</v>
      </c>
      <c r="BI148" s="229"/>
      <c r="BJ148" s="588">
        <f t="shared" ref="BJ148" si="467">BJ147*BJ140</f>
        <v>-127106.40495867768</v>
      </c>
      <c r="BK148" s="229"/>
      <c r="BL148" s="588">
        <f t="shared" ref="BL148" si="468">BL147*BL140</f>
        <v>-127106.40495867768</v>
      </c>
      <c r="BO148" s="229"/>
      <c r="BP148" s="588">
        <f>BP147*BP140</f>
        <v>0</v>
      </c>
      <c r="BQ148" s="229"/>
      <c r="BR148" s="588">
        <f t="shared" ref="BR148" si="469">BR147*BR140</f>
        <v>-635532.02479338844</v>
      </c>
      <c r="BS148" s="229"/>
      <c r="BT148" s="588">
        <f t="shared" ref="BT148" si="470">BT147*BT140</f>
        <v>-635532.02479338844</v>
      </c>
      <c r="BV148" s="229"/>
      <c r="BW148" s="588">
        <f>BW147*BW140</f>
        <v>0</v>
      </c>
      <c r="BY148" s="229"/>
      <c r="BZ148" s="588">
        <f>BZ147*BZ140</f>
        <v>451143</v>
      </c>
      <c r="CA148" s="229"/>
      <c r="CB148" s="588">
        <f>CB147*CB140</f>
        <v>451143</v>
      </c>
      <c r="CC148" s="229"/>
      <c r="CD148" s="588">
        <f>CD147*CD140</f>
        <v>451143</v>
      </c>
      <c r="CH148" s="229"/>
      <c r="CI148" s="588">
        <f>CI147*CI140</f>
        <v>0</v>
      </c>
      <c r="CJ148" s="229"/>
      <c r="CK148" s="588">
        <f t="shared" ref="CK148" si="471">CK147*CK140</f>
        <v>-635532.02479338844</v>
      </c>
      <c r="CL148" s="229"/>
      <c r="CM148" s="588">
        <f t="shared" ref="CM148" si="472">CM147*CM140</f>
        <v>-635532.02479338844</v>
      </c>
    </row>
    <row r="149" spans="1:91" x14ac:dyDescent="0.45">
      <c r="A149" s="561"/>
      <c r="B149" s="1187"/>
      <c r="C149" s="233"/>
      <c r="D149" s="234"/>
      <c r="E149" s="234"/>
      <c r="F149" s="235"/>
      <c r="G149" s="236"/>
      <c r="H149" s="235"/>
      <c r="I149" s="236"/>
      <c r="J149" s="235"/>
      <c r="K149" s="236"/>
      <c r="L149" s="235"/>
      <c r="M149" s="236"/>
      <c r="N149" s="381"/>
      <c r="O149" s="385"/>
      <c r="P149" s="381"/>
      <c r="Q149" s="385"/>
      <c r="R149" s="381"/>
      <c r="S149" s="385"/>
      <c r="T149" s="381"/>
      <c r="U149" s="385"/>
      <c r="V149" s="381"/>
      <c r="W149" s="385"/>
      <c r="X149" s="381"/>
      <c r="Y149" s="385"/>
      <c r="Z149" s="381"/>
      <c r="AA149" s="385"/>
      <c r="AB149" s="381"/>
      <c r="AC149" s="385"/>
      <c r="AD149" s="381"/>
      <c r="AE149" s="385"/>
      <c r="AF149" s="548"/>
      <c r="AG149" s="645"/>
      <c r="AH149" s="547"/>
      <c r="AI149" s="665"/>
      <c r="AJ149" s="381"/>
      <c r="AK149" s="385"/>
      <c r="AL149" s="381"/>
      <c r="AM149" s="385"/>
      <c r="AN149" s="381"/>
      <c r="AO149" s="385"/>
      <c r="AP149" s="548"/>
      <c r="AQ149" s="645"/>
      <c r="AR149" s="547"/>
      <c r="AS149" s="665"/>
      <c r="AT149" s="381"/>
      <c r="AU149" s="385"/>
      <c r="AV149" s="381"/>
      <c r="AW149" s="385"/>
      <c r="AX149" s="381"/>
      <c r="AY149" s="385"/>
      <c r="AZ149" s="548"/>
      <c r="BA149" s="645"/>
      <c r="BB149" s="645"/>
      <c r="BD149" s="381"/>
      <c r="BE149" s="385"/>
      <c r="BG149" s="381"/>
      <c r="BH149" s="385"/>
      <c r="BI149" s="381"/>
      <c r="BJ149" s="385"/>
      <c r="BK149" s="381"/>
      <c r="BL149" s="385"/>
      <c r="BO149" s="381"/>
      <c r="BP149" s="385"/>
      <c r="BQ149" s="381"/>
      <c r="BR149" s="385"/>
      <c r="BS149" s="381"/>
      <c r="BT149" s="385"/>
      <c r="BV149" s="381"/>
      <c r="BW149" s="385"/>
      <c r="BY149" s="381"/>
      <c r="BZ149" s="385"/>
      <c r="CA149" s="381"/>
      <c r="CB149" s="385"/>
      <c r="CC149" s="381"/>
      <c r="CD149" s="385"/>
      <c r="CH149" s="381"/>
      <c r="CI149" s="385"/>
      <c r="CJ149" s="381"/>
      <c r="CK149" s="385"/>
      <c r="CL149" s="381"/>
      <c r="CM149" s="385"/>
    </row>
    <row r="150" spans="1:91" ht="14.65" thickBot="1" x14ac:dyDescent="0.5">
      <c r="A150" s="561"/>
      <c r="B150" s="1188"/>
      <c r="C150" s="301" t="s">
        <v>134</v>
      </c>
      <c r="D150" s="302"/>
      <c r="E150" s="303"/>
      <c r="F150" s="304"/>
      <c r="G150" s="305">
        <f>G105*G136</f>
        <v>175306.35700625466</v>
      </c>
      <c r="H150" s="304"/>
      <c r="I150" s="305">
        <f>I105*I136</f>
        <v>395955.49157733569</v>
      </c>
      <c r="J150" s="304"/>
      <c r="K150" s="305">
        <f>K105*K136</f>
        <v>395955.49157733569</v>
      </c>
      <c r="L150" s="304"/>
      <c r="M150" s="305">
        <f>M105*M136</f>
        <v>395955.49157733569</v>
      </c>
      <c r="N150" s="304"/>
      <c r="O150" s="305">
        <f>O105*O139</f>
        <v>213734.72290958642</v>
      </c>
      <c r="P150" s="304"/>
      <c r="Q150" s="305">
        <f>Q105*Q139</f>
        <v>93609.272325690472</v>
      </c>
      <c r="R150" s="304"/>
      <c r="S150" s="305">
        <f>S105*S139</f>
        <v>93609.272325690472</v>
      </c>
      <c r="T150" s="304"/>
      <c r="U150" s="305">
        <f>U105*U139</f>
        <v>14516.142731451499</v>
      </c>
      <c r="V150" s="304"/>
      <c r="W150" s="305">
        <f>W105*W139</f>
        <v>316381.4606249276</v>
      </c>
      <c r="X150" s="304"/>
      <c r="Y150" s="305">
        <f>Y105*Y139</f>
        <v>622989.66601676168</v>
      </c>
      <c r="Z150" s="304"/>
      <c r="AA150" s="305">
        <f>AA105*AA139</f>
        <v>212859.66601676296</v>
      </c>
      <c r="AB150" s="304"/>
      <c r="AC150" s="305">
        <f>AC105*AC139</f>
        <v>212859.66601676296</v>
      </c>
      <c r="AD150" s="304"/>
      <c r="AE150" s="305">
        <f>AE105*AE139</f>
        <v>212859.66601676296</v>
      </c>
      <c r="AF150" s="849"/>
      <c r="AG150" s="850"/>
      <c r="AH150" s="851"/>
      <c r="AI150" s="703"/>
      <c r="AJ150" s="304"/>
      <c r="AK150" s="305">
        <f>AK105*AK139</f>
        <v>212859.66601676296</v>
      </c>
      <c r="AL150" s="304"/>
      <c r="AM150" s="305">
        <f>AM105*AM139</f>
        <v>212859.66601676296</v>
      </c>
      <c r="AN150" s="304"/>
      <c r="AO150" s="305">
        <f>AO105*AO139</f>
        <v>212859.66601676296</v>
      </c>
      <c r="AP150" s="849"/>
      <c r="AQ150" s="850"/>
      <c r="AR150" s="851"/>
      <c r="AS150" s="703"/>
      <c r="AT150" s="304"/>
      <c r="AU150" s="305">
        <f>AU105*AU139</f>
        <v>212859.66601676296</v>
      </c>
      <c r="AV150" s="304"/>
      <c r="AW150" s="305">
        <f>AW105*AW139</f>
        <v>212859.66601676296</v>
      </c>
      <c r="AX150" s="304"/>
      <c r="AY150" s="305">
        <f>AY105*AY139</f>
        <v>212859.66601676296</v>
      </c>
      <c r="AZ150" s="849"/>
      <c r="BA150" s="850"/>
      <c r="BB150" s="857"/>
      <c r="BD150" s="304"/>
      <c r="BE150" s="305">
        <f>BE105*BE139</f>
        <v>224643.6829181716</v>
      </c>
      <c r="BG150" s="304"/>
      <c r="BH150" s="305">
        <f>BH105*BH139</f>
        <v>209417.64844023017</v>
      </c>
      <c r="BI150" s="304"/>
      <c r="BJ150" s="305">
        <f t="shared" ref="BJ150" si="473">BJ105*BJ139</f>
        <v>209417.64844023017</v>
      </c>
      <c r="BK150" s="304"/>
      <c r="BL150" s="305">
        <f t="shared" ref="BL150" si="474">BL105*BL139</f>
        <v>209417.64844023017</v>
      </c>
      <c r="BO150" s="304"/>
      <c r="BP150" s="305">
        <f>BP105*BP139</f>
        <v>2126029.468833663</v>
      </c>
      <c r="BQ150" s="304"/>
      <c r="BR150" s="305">
        <f t="shared" ref="BR150" si="475">BR105*BR139</f>
        <v>2761561.4936270518</v>
      </c>
      <c r="BS150" s="304"/>
      <c r="BT150" s="305">
        <f t="shared" ref="BT150" si="476">BT105*BT139</f>
        <v>2761561.4936270518</v>
      </c>
      <c r="BV150" s="304"/>
      <c r="BW150" s="305">
        <f>BW105*BW139</f>
        <v>388695.68291817029</v>
      </c>
      <c r="BY150" s="304"/>
      <c r="BZ150" s="305">
        <f>BZ105*BZ139</f>
        <v>245145.88636363638</v>
      </c>
      <c r="CA150" s="304"/>
      <c r="CB150" s="305">
        <f>CB105*CB139</f>
        <v>209582.16608391656</v>
      </c>
      <c r="CC150" s="304"/>
      <c r="CD150" s="305">
        <f>CD105*CD139</f>
        <v>820589.82482517511</v>
      </c>
      <c r="CH150" s="304"/>
      <c r="CI150" s="305">
        <f>CI105*CI139</f>
        <v>2782237.4688336635</v>
      </c>
      <c r="CJ150" s="304"/>
      <c r="CK150" s="305">
        <f t="shared" ref="CK150" si="477">CK105*CK139</f>
        <v>3417769.4936270518</v>
      </c>
      <c r="CL150" s="304"/>
      <c r="CM150" s="305">
        <f t="shared" ref="CM150" si="478">CM105*CM139</f>
        <v>3417769.4936270518</v>
      </c>
    </row>
    <row r="151" spans="1:91" ht="14.65" thickTop="1" x14ac:dyDescent="0.45"/>
    <row r="152" spans="1:91" x14ac:dyDescent="0.45">
      <c r="O152" s="589"/>
      <c r="Q152" s="589"/>
      <c r="S152" s="589"/>
      <c r="U152" s="589"/>
      <c r="W152" s="589"/>
      <c r="Y152" s="589"/>
      <c r="AA152" s="589"/>
      <c r="AC152" s="589"/>
      <c r="AE152" s="589"/>
      <c r="AF152" s="589"/>
      <c r="AG152" s="589"/>
      <c r="AH152" s="589"/>
      <c r="AI152" s="589"/>
      <c r="AK152" s="589"/>
      <c r="AM152" s="589"/>
      <c r="AO152" s="589"/>
      <c r="AU152" s="589"/>
      <c r="AW152" s="589"/>
      <c r="AY152" s="589"/>
      <c r="AZ152" s="589"/>
      <c r="BA152" s="589"/>
      <c r="BB152" s="589"/>
      <c r="BE152" s="589"/>
      <c r="BH152" s="589"/>
      <c r="BJ152" s="589"/>
      <c r="BL152" s="589"/>
      <c r="BP152" s="589"/>
      <c r="BR152" s="589"/>
      <c r="BT152" s="589"/>
      <c r="BW152" s="589"/>
      <c r="CI152" s="589"/>
      <c r="CK152" s="589"/>
      <c r="CM152" s="589"/>
    </row>
    <row r="153" spans="1:91" x14ac:dyDescent="0.45">
      <c r="O153" s="589"/>
      <c r="Q153" s="589"/>
      <c r="S153" s="589"/>
      <c r="U153" s="589"/>
      <c r="W153" s="589"/>
      <c r="Y153" s="589"/>
      <c r="AA153" s="589"/>
      <c r="AC153" s="589"/>
      <c r="AE153" s="589"/>
      <c r="AF153" s="589"/>
      <c r="AG153" s="589"/>
      <c r="AH153" s="589"/>
      <c r="AI153" s="589"/>
      <c r="AK153" s="589"/>
      <c r="AM153" s="589"/>
      <c r="AO153" s="589"/>
      <c r="AU153" s="589"/>
      <c r="AW153" s="589"/>
      <c r="AY153" s="589"/>
      <c r="AZ153" s="589"/>
      <c r="BA153" s="589"/>
      <c r="BB153" s="589"/>
      <c r="BE153" s="589"/>
      <c r="BH153" s="589"/>
      <c r="BJ153" s="589"/>
      <c r="BL153" s="589"/>
      <c r="BP153" s="589"/>
      <c r="BR153" s="589"/>
      <c r="BT153" s="589"/>
      <c r="BW153" s="589"/>
      <c r="CI153" s="589"/>
      <c r="CK153" s="589"/>
      <c r="CM153" s="589"/>
    </row>
    <row r="155" spans="1:91" x14ac:dyDescent="0.45">
      <c r="O155" s="589"/>
      <c r="Q155" s="589"/>
      <c r="S155" s="589"/>
      <c r="U155" s="589"/>
      <c r="W155" s="589"/>
      <c r="Y155" s="589"/>
      <c r="AA155" s="589"/>
      <c r="AC155" s="589"/>
      <c r="AE155" s="589"/>
      <c r="AF155" s="589"/>
      <c r="AG155" s="589"/>
      <c r="AH155" s="589"/>
      <c r="AI155" s="589"/>
      <c r="AK155" s="589"/>
      <c r="AM155" s="589"/>
      <c r="AO155" s="589"/>
      <c r="AU155" s="589"/>
      <c r="AW155" s="589"/>
      <c r="AY155" s="589"/>
      <c r="AZ155" s="589"/>
      <c r="BA155" s="589"/>
      <c r="BB155" s="589"/>
      <c r="BE155" s="589"/>
      <c r="BH155" s="589"/>
      <c r="BJ155" s="589"/>
      <c r="BL155" s="589"/>
      <c r="BP155" s="589"/>
      <c r="BR155" s="589"/>
      <c r="BT155" s="589"/>
      <c r="BW155" s="589"/>
      <c r="CI155" s="589"/>
      <c r="CK155" s="589"/>
      <c r="CM155" s="589"/>
    </row>
    <row r="156" spans="1:91" x14ac:dyDescent="0.45">
      <c r="O156" s="593"/>
      <c r="Q156" s="593"/>
      <c r="S156" s="593"/>
      <c r="U156" s="593"/>
      <c r="W156" s="593"/>
      <c r="Y156" s="593"/>
      <c r="AA156" s="593"/>
      <c r="AC156" s="593"/>
      <c r="AE156" s="593"/>
      <c r="AF156" s="593"/>
      <c r="AG156" s="593"/>
      <c r="AH156" s="593"/>
      <c r="AI156" s="593"/>
      <c r="AK156" s="593"/>
      <c r="AM156" s="593"/>
      <c r="AO156" s="593"/>
      <c r="AU156" s="593"/>
      <c r="AW156" s="593"/>
      <c r="AY156" s="593"/>
      <c r="AZ156" s="593"/>
      <c r="BA156" s="593"/>
      <c r="BB156" s="593"/>
      <c r="BE156" s="593"/>
      <c r="BH156" s="593"/>
      <c r="BJ156" s="593"/>
      <c r="BL156" s="593"/>
      <c r="BP156" s="593"/>
      <c r="BR156" s="593"/>
      <c r="BT156" s="593"/>
      <c r="BW156" s="593"/>
      <c r="CI156" s="593"/>
      <c r="CK156" s="593"/>
      <c r="CM156" s="593"/>
    </row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ht="15" hidden="1" customHeight="1" x14ac:dyDescent="0.45"/>
    <row r="178" ht="15" hidden="1" customHeight="1" x14ac:dyDescent="0.45"/>
    <row r="179" ht="15" hidden="1" customHeight="1" x14ac:dyDescent="0.45"/>
    <row r="180" ht="15" hidden="1" customHeight="1" x14ac:dyDescent="0.45"/>
    <row r="181" ht="15" hidden="1" customHeight="1" x14ac:dyDescent="0.45"/>
    <row r="182" ht="15" hidden="1" customHeight="1" x14ac:dyDescent="0.45"/>
    <row r="183" ht="15" hidden="1" customHeight="1" x14ac:dyDescent="0.45"/>
    <row r="184" ht="15" hidden="1" customHeight="1" x14ac:dyDescent="0.45"/>
  </sheetData>
  <mergeCells count="242">
    <mergeCell ref="CH7:CI7"/>
    <mergeCell ref="CJ7:CK7"/>
    <mergeCell ref="CL7:CM7"/>
    <mergeCell ref="CH8:CI8"/>
    <mergeCell ref="CJ8:CK8"/>
    <mergeCell ref="CL8:CM8"/>
    <mergeCell ref="CH9:CI9"/>
    <mergeCell ref="CJ9:CK9"/>
    <mergeCell ref="CL9:CM9"/>
    <mergeCell ref="CL2:CM2"/>
    <mergeCell ref="CH3:CI3"/>
    <mergeCell ref="CJ3:CK3"/>
    <mergeCell ref="CL3:CM3"/>
    <mergeCell ref="CH4:CI5"/>
    <mergeCell ref="CJ4:CK5"/>
    <mergeCell ref="CL4:CM5"/>
    <mergeCell ref="CH6:CI6"/>
    <mergeCell ref="CJ6:CK6"/>
    <mergeCell ref="CL6:CM6"/>
    <mergeCell ref="AT1:AY1"/>
    <mergeCell ref="F2:G2"/>
    <mergeCell ref="H2:I2"/>
    <mergeCell ref="J2:K2"/>
    <mergeCell ref="L2:M2"/>
    <mergeCell ref="N2:O2"/>
    <mergeCell ref="P2:Q2"/>
    <mergeCell ref="CH2:CI2"/>
    <mergeCell ref="CJ2:CK2"/>
    <mergeCell ref="R2:S2"/>
    <mergeCell ref="T2:U2"/>
    <mergeCell ref="V2:W2"/>
    <mergeCell ref="X2:Y2"/>
    <mergeCell ref="Z2:AA2"/>
    <mergeCell ref="AB2:AC2"/>
    <mergeCell ref="N1:S1"/>
    <mergeCell ref="Z1:AE1"/>
    <mergeCell ref="AJ1:AO1"/>
    <mergeCell ref="BQ2:BR2"/>
    <mergeCell ref="BS2:BT2"/>
    <mergeCell ref="BV2:BW2"/>
    <mergeCell ref="BY2:BZ2"/>
    <mergeCell ref="CA2:CB2"/>
    <mergeCell ref="CC2:CD2"/>
    <mergeCell ref="AD2:AE2"/>
    <mergeCell ref="BD2:BE2"/>
    <mergeCell ref="BG2:BH2"/>
    <mergeCell ref="BI2:BJ2"/>
    <mergeCell ref="BK2:BL2"/>
    <mergeCell ref="BO2:BP2"/>
    <mergeCell ref="X3:Y3"/>
    <mergeCell ref="Z3:AA3"/>
    <mergeCell ref="AB3:AC3"/>
    <mergeCell ref="AD3:AE3"/>
    <mergeCell ref="AJ3:AK3"/>
    <mergeCell ref="AL3:AM3"/>
    <mergeCell ref="AN3:AO3"/>
    <mergeCell ref="AT3:AU3"/>
    <mergeCell ref="AV3:AW3"/>
    <mergeCell ref="F3:G3"/>
    <mergeCell ref="H3:I3"/>
    <mergeCell ref="J3:K3"/>
    <mergeCell ref="L3:M3"/>
    <mergeCell ref="N3:O3"/>
    <mergeCell ref="P3:Q3"/>
    <mergeCell ref="L4:M5"/>
    <mergeCell ref="N4:O5"/>
    <mergeCell ref="P4:Q5"/>
    <mergeCell ref="R3:S3"/>
    <mergeCell ref="T3:U3"/>
    <mergeCell ref="V3:W3"/>
    <mergeCell ref="BY4:BZ5"/>
    <mergeCell ref="CA4:CB5"/>
    <mergeCell ref="CC4:CD5"/>
    <mergeCell ref="AX4:AY5"/>
    <mergeCell ref="BD4:BE5"/>
    <mergeCell ref="BG4:BH5"/>
    <mergeCell ref="BI4:BJ5"/>
    <mergeCell ref="BK4:BL5"/>
    <mergeCell ref="BO4:BP5"/>
    <mergeCell ref="BQ3:BR3"/>
    <mergeCell ref="BS3:BT3"/>
    <mergeCell ref="BV3:BW3"/>
    <mergeCell ref="BY3:BZ3"/>
    <mergeCell ref="CA3:CB3"/>
    <mergeCell ref="CC3:CD3"/>
    <mergeCell ref="AX3:AY3"/>
    <mergeCell ref="BD3:BE3"/>
    <mergeCell ref="BG3:BH3"/>
    <mergeCell ref="BI3:BJ3"/>
    <mergeCell ref="BK3:BL3"/>
    <mergeCell ref="BO3:BP3"/>
    <mergeCell ref="B6:B13"/>
    <mergeCell ref="F6:G6"/>
    <mergeCell ref="H6:I6"/>
    <mergeCell ref="J6:K6"/>
    <mergeCell ref="L6:M6"/>
    <mergeCell ref="N6:O6"/>
    <mergeCell ref="BQ4:BR5"/>
    <mergeCell ref="BS4:BT5"/>
    <mergeCell ref="BV4:BW5"/>
    <mergeCell ref="AD4:AE5"/>
    <mergeCell ref="AJ4:AK5"/>
    <mergeCell ref="AL4:AM5"/>
    <mergeCell ref="AN4:AO5"/>
    <mergeCell ref="AT4:AU5"/>
    <mergeCell ref="AV4:AW5"/>
    <mergeCell ref="R4:S5"/>
    <mergeCell ref="T4:U5"/>
    <mergeCell ref="V4:W5"/>
    <mergeCell ref="X4:Y5"/>
    <mergeCell ref="Z4:AA5"/>
    <mergeCell ref="AB4:AC5"/>
    <mergeCell ref="F4:G5"/>
    <mergeCell ref="H4:I5"/>
    <mergeCell ref="J4:K5"/>
    <mergeCell ref="AL6:AM6"/>
    <mergeCell ref="AN6:AO6"/>
    <mergeCell ref="AT6:AU6"/>
    <mergeCell ref="P6:Q6"/>
    <mergeCell ref="R6:S6"/>
    <mergeCell ref="T6:U6"/>
    <mergeCell ref="V6:W6"/>
    <mergeCell ref="X6:Y6"/>
    <mergeCell ref="Z6:AA6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D7:BE7"/>
    <mergeCell ref="BG7:BH7"/>
    <mergeCell ref="X7:Y7"/>
    <mergeCell ref="Z7:AA7"/>
    <mergeCell ref="AB7:AC7"/>
    <mergeCell ref="AD7:AE7"/>
    <mergeCell ref="AJ7:AK7"/>
    <mergeCell ref="AL7:AM7"/>
    <mergeCell ref="CC6:CD6"/>
    <mergeCell ref="BO6:BP6"/>
    <mergeCell ref="BQ6:BR6"/>
    <mergeCell ref="BS6:BT6"/>
    <mergeCell ref="BV6:BW6"/>
    <mergeCell ref="BY6:BZ6"/>
    <mergeCell ref="CA6:CB6"/>
    <mergeCell ref="AV6:AW6"/>
    <mergeCell ref="AX6:AY6"/>
    <mergeCell ref="BD6:BE6"/>
    <mergeCell ref="BG6:BH6"/>
    <mergeCell ref="BI6:BJ6"/>
    <mergeCell ref="BK6:BL6"/>
    <mergeCell ref="AB6:AC6"/>
    <mergeCell ref="AD6:AE6"/>
    <mergeCell ref="AJ6:AK6"/>
    <mergeCell ref="X8:Y8"/>
    <mergeCell ref="Z8:AA8"/>
    <mergeCell ref="AB8:AC8"/>
    <mergeCell ref="AD8:AE8"/>
    <mergeCell ref="BY7:BZ7"/>
    <mergeCell ref="CA7:CB7"/>
    <mergeCell ref="CC7:CD7"/>
    <mergeCell ref="F8:G8"/>
    <mergeCell ref="H8:I8"/>
    <mergeCell ref="J8:K8"/>
    <mergeCell ref="L8:M8"/>
    <mergeCell ref="N8:O8"/>
    <mergeCell ref="P8:Q8"/>
    <mergeCell ref="R8:S8"/>
    <mergeCell ref="BI7:BJ7"/>
    <mergeCell ref="BK7:BL7"/>
    <mergeCell ref="BO7:BP7"/>
    <mergeCell ref="BQ7:BR7"/>
    <mergeCell ref="BS7:BT7"/>
    <mergeCell ref="BV7:BW7"/>
    <mergeCell ref="AN7:AO7"/>
    <mergeCell ref="AT7:AU7"/>
    <mergeCell ref="AV7:AW7"/>
    <mergeCell ref="AX7:AY7"/>
    <mergeCell ref="BS8:BT8"/>
    <mergeCell ref="BV8:BW8"/>
    <mergeCell ref="BY8:BZ8"/>
    <mergeCell ref="CA8:CB8"/>
    <mergeCell ref="CC8:CD8"/>
    <mergeCell ref="F9:G9"/>
    <mergeCell ref="H9:I9"/>
    <mergeCell ref="J9:K9"/>
    <mergeCell ref="L9:M9"/>
    <mergeCell ref="N9:O9"/>
    <mergeCell ref="BD8:BE8"/>
    <mergeCell ref="BG8:BH8"/>
    <mergeCell ref="BI8:BJ8"/>
    <mergeCell ref="BK8:BL8"/>
    <mergeCell ref="BO8:BP8"/>
    <mergeCell ref="BQ8:BR8"/>
    <mergeCell ref="AJ8:AK8"/>
    <mergeCell ref="AL8:AM8"/>
    <mergeCell ref="AN8:AO8"/>
    <mergeCell ref="AT8:AU8"/>
    <mergeCell ref="AV8:AW8"/>
    <mergeCell ref="AX8:AY8"/>
    <mergeCell ref="T8:U8"/>
    <mergeCell ref="V8:W8"/>
    <mergeCell ref="BK9:BL9"/>
    <mergeCell ref="AB9:AC9"/>
    <mergeCell ref="AD9:AE9"/>
    <mergeCell ref="AJ9:AK9"/>
    <mergeCell ref="AL9:AM9"/>
    <mergeCell ref="AN9:AO9"/>
    <mergeCell ref="AT9:AU9"/>
    <mergeCell ref="P9:Q9"/>
    <mergeCell ref="R9:S9"/>
    <mergeCell ref="T9:U9"/>
    <mergeCell ref="V9:W9"/>
    <mergeCell ref="X9:Y9"/>
    <mergeCell ref="Z9:AA9"/>
    <mergeCell ref="BN47:BN53"/>
    <mergeCell ref="B40:B46"/>
    <mergeCell ref="B47:B53"/>
    <mergeCell ref="B54:B77"/>
    <mergeCell ref="B78:B91"/>
    <mergeCell ref="B107:B120"/>
    <mergeCell ref="B131:B150"/>
    <mergeCell ref="CC9:CD9"/>
    <mergeCell ref="D12:E12"/>
    <mergeCell ref="B15:B21"/>
    <mergeCell ref="B22:B27"/>
    <mergeCell ref="B28:B33"/>
    <mergeCell ref="B34:B39"/>
    <mergeCell ref="BO9:BP9"/>
    <mergeCell ref="BQ9:BR9"/>
    <mergeCell ref="BS9:BT9"/>
    <mergeCell ref="BV9:BW9"/>
    <mergeCell ref="BY9:BZ9"/>
    <mergeCell ref="CA9:CB9"/>
    <mergeCell ref="AV9:AW9"/>
    <mergeCell ref="AX9:AY9"/>
    <mergeCell ref="BD9:BE9"/>
    <mergeCell ref="BG9:BH9"/>
    <mergeCell ref="BI9:BJ9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80AE-5ABB-4271-AE67-2560E0EC85FB}">
  <sheetPr>
    <pageSetUpPr fitToPage="1"/>
  </sheetPr>
  <dimension ref="A1:DN187"/>
  <sheetViews>
    <sheetView showGridLines="0" zoomScale="85" zoomScaleNormal="85" zoomScaleSheetLayoutView="80" workbookViewId="0">
      <pane xSplit="5" ySplit="6" topLeftCell="CL86" activePane="bottomRight" state="frozen"/>
      <selection pane="topRight" activeCell="BH99" sqref="BH99"/>
      <selection pane="bottomLeft" activeCell="BH99" sqref="BH99"/>
      <selection pane="bottomRight" activeCell="BH99" sqref="BH99"/>
    </sheetView>
  </sheetViews>
  <sheetFormatPr defaultRowHeight="14.25" outlineLevelRow="1" outlineLevelCol="3" x14ac:dyDescent="0.45"/>
  <cols>
    <col min="1" max="1" width="2.1328125" customWidth="1"/>
    <col min="2" max="2" width="9.1328125" customWidth="1"/>
    <col min="3" max="3" width="38.1328125" customWidth="1"/>
    <col min="4" max="4" width="15.1328125" customWidth="1"/>
    <col min="5" max="5" width="16.265625" customWidth="1"/>
    <col min="6" max="6" width="11.265625" customWidth="1"/>
    <col min="7" max="7" width="13.3984375" customWidth="1"/>
    <col min="8" max="8" width="11.265625" customWidth="1"/>
    <col min="9" max="9" width="13.3984375" customWidth="1"/>
    <col min="10" max="10" width="11.265625" hidden="1" customWidth="1" outlineLevel="1"/>
    <col min="11" max="11" width="13.3984375" hidden="1" customWidth="1" outlineLevel="1"/>
    <col min="12" max="12" width="11.265625" hidden="1" customWidth="1" outlineLevel="1"/>
    <col min="13" max="13" width="13.3984375" hidden="1" customWidth="1" outlineLevel="1"/>
    <col min="14" max="14" width="12.73046875" customWidth="1" collapsed="1"/>
    <col min="15" max="15" width="13.3984375" customWidth="1"/>
    <col min="16" max="16" width="12.73046875" hidden="1" customWidth="1" outlineLevel="1"/>
    <col min="17" max="17" width="13.3984375" hidden="1" customWidth="1" outlineLevel="1"/>
    <col min="18" max="18" width="12.73046875" hidden="1" customWidth="1" outlineLevel="1"/>
    <col min="19" max="19" width="13.3984375" hidden="1" customWidth="1" outlineLevel="1"/>
    <col min="20" max="20" width="12.73046875" customWidth="1" collapsed="1"/>
    <col min="21" max="21" width="13.3984375" customWidth="1"/>
    <col min="22" max="22" width="12.73046875" hidden="1" customWidth="1" outlineLevel="1"/>
    <col min="23" max="23" width="13.3984375" hidden="1" customWidth="1" outlineLevel="1"/>
    <col min="24" max="24" width="12.73046875" hidden="1" customWidth="1" outlineLevel="1"/>
    <col min="25" max="25" width="13.3984375" hidden="1" customWidth="1" outlineLevel="1"/>
    <col min="26" max="26" width="12.73046875" customWidth="1" collapsed="1"/>
    <col min="27" max="27" width="13.3984375" customWidth="1"/>
    <col min="28" max="28" width="12.73046875" hidden="1" customWidth="1" outlineLevel="1"/>
    <col min="29" max="29" width="13.3984375" hidden="1" customWidth="1" outlineLevel="1"/>
    <col min="30" max="30" width="12.73046875" hidden="1" customWidth="1" outlineLevel="1"/>
    <col min="31" max="31" width="13.3984375" hidden="1" customWidth="1" outlineLevel="1"/>
    <col min="32" max="32" width="7.86328125" customWidth="1" collapsed="1"/>
    <col min="33" max="33" width="4.73046875" hidden="1" customWidth="1" outlineLevel="1"/>
    <col min="34" max="34" width="12.73046875" hidden="1" customWidth="1" outlineLevel="2"/>
    <col min="35" max="35" width="13.3984375" hidden="1" customWidth="1" outlineLevel="2"/>
    <col min="36" max="36" width="12.73046875" hidden="1" customWidth="1" outlineLevel="2"/>
    <col min="37" max="37" width="13.3984375" hidden="1" customWidth="1" outlineLevel="2"/>
    <col min="38" max="38" width="12.73046875" hidden="1" customWidth="1" outlineLevel="2"/>
    <col min="39" max="39" width="13.3984375" hidden="1" customWidth="1" outlineLevel="2"/>
    <col min="40" max="40" width="15.86328125" hidden="1" customWidth="1" outlineLevel="3"/>
    <col min="41" max="41" width="18.1328125" hidden="1" customWidth="1" outlineLevel="3"/>
    <col min="42" max="42" width="15.86328125" hidden="1" customWidth="1" outlineLevel="3"/>
    <col min="43" max="43" width="4.3984375" hidden="1" customWidth="1" outlineLevel="2" collapsed="1"/>
    <col min="44" max="44" width="12.73046875" hidden="1" customWidth="1" outlineLevel="2"/>
    <col min="45" max="45" width="13.3984375" hidden="1" customWidth="1" outlineLevel="2"/>
    <col min="46" max="46" width="12.73046875" hidden="1" customWidth="1" outlineLevel="2"/>
    <col min="47" max="47" width="13.3984375" hidden="1" customWidth="1" outlineLevel="2"/>
    <col min="48" max="48" width="12.73046875" hidden="1" customWidth="1" outlineLevel="2"/>
    <col min="49" max="49" width="13.3984375" hidden="1" customWidth="1" outlineLevel="2"/>
    <col min="50" max="50" width="15.86328125" hidden="1" customWidth="1" outlineLevel="3"/>
    <col min="51" max="51" width="18.1328125" hidden="1" customWidth="1" outlineLevel="3"/>
    <col min="52" max="52" width="15.86328125" hidden="1" customWidth="1" outlineLevel="3"/>
    <col min="53" max="53" width="4.1328125" hidden="1" customWidth="1" outlineLevel="2" collapsed="1"/>
    <col min="54" max="54" width="12.73046875" hidden="1" customWidth="1" outlineLevel="2"/>
    <col min="55" max="55" width="13.3984375" hidden="1" customWidth="1" outlineLevel="2"/>
    <col min="56" max="56" width="12.73046875" hidden="1" customWidth="1" outlineLevel="2"/>
    <col min="57" max="57" width="13.3984375" hidden="1" customWidth="1" outlineLevel="2"/>
    <col min="58" max="58" width="12.73046875" hidden="1" customWidth="1" outlineLevel="2"/>
    <col min="59" max="59" width="13.3984375" hidden="1" customWidth="1" outlineLevel="2"/>
    <col min="60" max="60" width="15.86328125" hidden="1" customWidth="1" outlineLevel="3"/>
    <col min="61" max="61" width="18.1328125" hidden="1" customWidth="1" outlineLevel="3"/>
    <col min="62" max="62" width="15.86328125" hidden="1" customWidth="1" outlineLevel="3"/>
    <col min="63" max="63" width="9.1328125" hidden="1" customWidth="1" outlineLevel="2" collapsed="1"/>
    <col min="64" max="64" width="12.73046875" hidden="1" customWidth="1" outlineLevel="1" collapsed="1"/>
    <col min="65" max="65" width="13.3984375" hidden="1" customWidth="1" outlineLevel="1"/>
    <col min="66" max="66" width="12.73046875" hidden="1" customWidth="1" outlineLevel="1"/>
    <col min="67" max="67" width="13.3984375" hidden="1" customWidth="1" outlineLevel="1"/>
    <col min="68" max="68" width="12.73046875" hidden="1" customWidth="1" outlineLevel="1"/>
    <col min="69" max="69" width="13.3984375" hidden="1" customWidth="1" outlineLevel="1"/>
    <col min="70" max="70" width="15.86328125" hidden="1" customWidth="1" outlineLevel="2"/>
    <col min="71" max="71" width="18.1328125" hidden="1" customWidth="1" outlineLevel="2"/>
    <col min="72" max="72" width="15.86328125" hidden="1" customWidth="1" outlineLevel="2"/>
    <col min="73" max="73" width="3.3984375" hidden="1" customWidth="1" outlineLevel="1" collapsed="1"/>
    <col min="74" max="74" width="12.73046875" hidden="1" customWidth="1" outlineLevel="1" collapsed="1"/>
    <col min="75" max="75" width="13.3984375" hidden="1" customWidth="1" outlineLevel="1"/>
    <col min="76" max="76" width="3.3984375" hidden="1" customWidth="1" outlineLevel="1"/>
    <col min="77" max="77" width="11.59765625" hidden="1" customWidth="1" collapsed="1"/>
    <col min="78" max="78" width="11.59765625" hidden="1" customWidth="1"/>
    <col min="79" max="79" width="11.59765625" hidden="1" customWidth="1" outlineLevel="1" collapsed="1"/>
    <col min="80" max="80" width="11.59765625" hidden="1" customWidth="1" outlineLevel="1"/>
    <col min="81" max="81" width="11.59765625" hidden="1" customWidth="1" outlineLevel="1" collapsed="1"/>
    <col min="82" max="82" width="11.59765625" hidden="1" customWidth="1" outlineLevel="1"/>
    <col min="83" max="83" width="3.3984375" customWidth="1" collapsed="1"/>
    <col min="84" max="84" width="12.73046875" customWidth="1" collapsed="1"/>
    <col min="85" max="85" width="13.3984375" customWidth="1"/>
    <col min="86" max="86" width="12.73046875" hidden="1" customWidth="1" outlineLevel="1" collapsed="1"/>
    <col min="87" max="87" width="13.3984375" hidden="1" customWidth="1" outlineLevel="1"/>
    <col min="88" max="88" width="12.73046875" hidden="1" customWidth="1" outlineLevel="1" collapsed="1"/>
    <col min="89" max="89" width="13.3984375" hidden="1" customWidth="1" outlineLevel="1"/>
    <col min="90" max="90" width="4.59765625" customWidth="1" collapsed="1"/>
    <col min="91" max="91" width="12.73046875" customWidth="1" collapsed="1"/>
    <col min="92" max="92" width="13.3984375" customWidth="1"/>
    <col min="93" max="93" width="12.86328125" hidden="1" customWidth="1" outlineLevel="1" collapsed="1"/>
    <col min="94" max="94" width="13.3984375" hidden="1" customWidth="1" outlineLevel="1"/>
    <col min="95" max="95" width="12.73046875" hidden="1" customWidth="1" outlineLevel="1" collapsed="1"/>
    <col min="96" max="96" width="13.3984375" hidden="1" customWidth="1" outlineLevel="1"/>
    <col min="97" max="97" width="5.1328125" customWidth="1" collapsed="1"/>
    <col min="98" max="98" width="10.59765625" bestFit="1" customWidth="1"/>
    <col min="99" max="99" width="11.59765625" bestFit="1" customWidth="1"/>
    <col min="100" max="100" width="10.59765625" hidden="1" customWidth="1" outlineLevel="1"/>
    <col min="101" max="101" width="11.59765625" hidden="1" customWidth="1" outlineLevel="1"/>
    <col min="102" max="102" width="10.59765625" hidden="1" customWidth="1" outlineLevel="1"/>
    <col min="103" max="103" width="11.59765625" hidden="1" customWidth="1" outlineLevel="1"/>
    <col min="104" max="104" width="9.1328125" collapsed="1"/>
    <col min="105" max="105" width="10.59765625" bestFit="1" customWidth="1"/>
    <col min="106" max="106" width="11.59765625" bestFit="1" customWidth="1"/>
    <col min="107" max="107" width="10.59765625" hidden="1" customWidth="1" outlineLevel="1"/>
    <col min="108" max="108" width="11.59765625" hidden="1" customWidth="1" outlineLevel="1"/>
    <col min="109" max="109" width="10.59765625" hidden="1" customWidth="1" outlineLevel="1"/>
    <col min="110" max="110" width="11.59765625" hidden="1" customWidth="1" outlineLevel="1"/>
    <col min="111" max="111" width="9.1328125" collapsed="1"/>
    <col min="112" max="112" width="10.59765625" bestFit="1" customWidth="1"/>
    <col min="113" max="113" width="11.59765625" bestFit="1" customWidth="1"/>
    <col min="114" max="114" width="10.59765625" hidden="1" customWidth="1" outlineLevel="1"/>
    <col min="115" max="115" width="11.59765625" hidden="1" customWidth="1" outlineLevel="1"/>
    <col min="116" max="116" width="10.59765625" hidden="1" customWidth="1" outlineLevel="1"/>
    <col min="117" max="117" width="11.59765625" hidden="1" customWidth="1" outlineLevel="1"/>
    <col min="118" max="118" width="9.1328125" collapsed="1"/>
  </cols>
  <sheetData>
    <row r="1" spans="1:117" x14ac:dyDescent="0.45">
      <c r="N1" s="1330" t="s">
        <v>289</v>
      </c>
      <c r="O1" s="1330"/>
      <c r="P1" s="1330"/>
      <c r="Q1" s="1330"/>
      <c r="R1" s="1330"/>
      <c r="S1" s="1330"/>
      <c r="T1" s="1330" t="s">
        <v>289</v>
      </c>
      <c r="U1" s="1330"/>
      <c r="V1" s="1330"/>
      <c r="W1" s="1330"/>
      <c r="X1" s="1330"/>
      <c r="Y1" s="1330"/>
      <c r="Z1" s="1330" t="s">
        <v>289</v>
      </c>
      <c r="AA1" s="1330"/>
      <c r="AB1" s="1330"/>
      <c r="AC1" s="1330"/>
      <c r="AD1" s="1330"/>
      <c r="AE1" s="1330"/>
      <c r="AF1" s="620"/>
      <c r="AH1" s="1330" t="s">
        <v>290</v>
      </c>
      <c r="AI1" s="1330"/>
      <c r="AJ1" s="1330"/>
      <c r="AK1" s="1330"/>
      <c r="AL1" s="1330"/>
      <c r="AM1" s="1330"/>
      <c r="AN1" s="708"/>
      <c r="AO1" s="708"/>
      <c r="AP1" s="708"/>
      <c r="AR1" s="1330" t="s">
        <v>539</v>
      </c>
      <c r="AS1" s="1330"/>
      <c r="AT1" s="1330"/>
      <c r="AU1" s="1330"/>
      <c r="AV1" s="1330"/>
      <c r="AW1" s="1330"/>
      <c r="AX1" s="708"/>
      <c r="AY1" s="708"/>
      <c r="AZ1" s="708"/>
      <c r="BB1" s="1330" t="s">
        <v>540</v>
      </c>
      <c r="BC1" s="1330"/>
      <c r="BD1" s="1330"/>
      <c r="BE1" s="1330"/>
      <c r="BF1" s="1330"/>
      <c r="BG1" s="1330"/>
      <c r="BL1" s="1369" t="s">
        <v>540</v>
      </c>
      <c r="BM1" s="1369"/>
      <c r="BN1" s="1369"/>
      <c r="BO1" s="1369"/>
      <c r="BP1" s="1369"/>
      <c r="BQ1" s="1369"/>
      <c r="BY1" s="1370" t="s">
        <v>540</v>
      </c>
      <c r="BZ1" s="1370"/>
      <c r="CA1" s="1370"/>
      <c r="CB1" s="1370"/>
      <c r="CC1" s="1370"/>
      <c r="CD1" s="1370"/>
    </row>
    <row r="2" spans="1:117" ht="15.75" customHeight="1" thickBot="1" x14ac:dyDescent="0.5">
      <c r="F2" s="1231" t="str">
        <f>F4</f>
        <v>IHAG LOKAL 40</v>
      </c>
      <c r="G2" s="1231"/>
      <c r="H2" s="1231" t="str">
        <f>H4</f>
        <v>IHAG LOKAL 40</v>
      </c>
      <c r="I2" s="1231"/>
      <c r="J2" s="1231" t="str">
        <f t="shared" ref="J2" si="0">J4</f>
        <v>IHAG LOKAL 40</v>
      </c>
      <c r="K2" s="1231"/>
      <c r="L2" s="1231" t="str">
        <f t="shared" ref="L2" si="1">L4</f>
        <v>IHAG LOKAL 40</v>
      </c>
      <c r="M2" s="1231"/>
      <c r="N2" s="1273" t="str">
        <f>N4</f>
        <v>IHAG LOKAL 40</v>
      </c>
      <c r="O2" s="1273"/>
      <c r="P2" s="1273" t="str">
        <f>P4</f>
        <v>IHAG LOKAL 40</v>
      </c>
      <c r="Q2" s="1273"/>
      <c r="R2" s="1273" t="str">
        <f>R4</f>
        <v>IHAG LOKAL 40</v>
      </c>
      <c r="S2" s="1273"/>
      <c r="T2" s="1273" t="str">
        <f>T4</f>
        <v>IHAG LOKAL 40</v>
      </c>
      <c r="U2" s="1273"/>
      <c r="V2" s="1273" t="str">
        <f>V4</f>
        <v>IHAG LOKAL 40</v>
      </c>
      <c r="W2" s="1273"/>
      <c r="X2" s="1273" t="str">
        <f>X4</f>
        <v>IHAG LOKAL 40</v>
      </c>
      <c r="Y2" s="1273"/>
      <c r="Z2" s="1273" t="str">
        <f>Z4</f>
        <v>IHAG LOKAL 40</v>
      </c>
      <c r="AA2" s="1273"/>
      <c r="AB2" s="1273" t="str">
        <f>AB4</f>
        <v>IHAG LOKAL 40</v>
      </c>
      <c r="AC2" s="1273"/>
      <c r="AD2" s="1273" t="str">
        <f>AD4</f>
        <v>IHAG LOKAL 40</v>
      </c>
      <c r="AE2" s="1273"/>
      <c r="AF2" s="620"/>
      <c r="AG2" s="705"/>
      <c r="AH2" s="1273" t="str">
        <f>AH4</f>
        <v>IHAG LOKAL 40</v>
      </c>
      <c r="AI2" s="1273"/>
      <c r="AJ2" s="1273" t="str">
        <f>AJ4</f>
        <v>IHAG LOKAL 40</v>
      </c>
      <c r="AK2" s="1273"/>
      <c r="AL2" s="1273" t="str">
        <f>AL4</f>
        <v>IHAG LOKAL 40</v>
      </c>
      <c r="AM2" s="1273"/>
      <c r="AN2" s="620"/>
      <c r="AO2" s="620"/>
      <c r="AP2" s="620"/>
      <c r="AR2" s="1273" t="str">
        <f>AR4</f>
        <v>IHAG LOKAL 40</v>
      </c>
      <c r="AS2" s="1273"/>
      <c r="AT2" s="1273" t="str">
        <f>AT4</f>
        <v>IHAG LOKAL 40</v>
      </c>
      <c r="AU2" s="1273"/>
      <c r="AV2" s="1273" t="str">
        <f>AV4</f>
        <v>IHAG LOKAL 40</v>
      </c>
      <c r="AW2" s="1273"/>
      <c r="AX2" s="620"/>
      <c r="AY2" s="620"/>
      <c r="AZ2" s="620"/>
      <c r="BB2" s="1273" t="str">
        <f>BB4</f>
        <v>IHAG LOKAL 40</v>
      </c>
      <c r="BC2" s="1273"/>
      <c r="BD2" s="1273" t="str">
        <f>BD4</f>
        <v>IHAG LOKAL 40</v>
      </c>
      <c r="BE2" s="1273"/>
      <c r="BF2" s="1273" t="str">
        <f>BF4</f>
        <v>IHAG LOKAL 40</v>
      </c>
      <c r="BG2" s="1273"/>
      <c r="BL2" s="1273" t="str">
        <f>BL4</f>
        <v>IHAG LOKAL 40</v>
      </c>
      <c r="BM2" s="1273"/>
      <c r="BN2" s="1273" t="str">
        <f>BN4</f>
        <v>IHAG LOKAL 40</v>
      </c>
      <c r="BO2" s="1273"/>
      <c r="BP2" s="1273" t="str">
        <f>BP4</f>
        <v>IHAG LOKAL 40</v>
      </c>
      <c r="BQ2" s="1273"/>
      <c r="BV2" s="1273" t="str">
        <f>BV4</f>
        <v>IHAG LOKAL 40</v>
      </c>
      <c r="BW2" s="1273"/>
      <c r="BY2" s="1273" t="str">
        <f>BY4</f>
        <v>IHAG LOKAL 40</v>
      </c>
      <c r="BZ2" s="1273"/>
      <c r="CA2" s="1273" t="str">
        <f>CA4</f>
        <v>IHAG LOKAL 40</v>
      </c>
      <c r="CB2" s="1273"/>
      <c r="CC2" s="1273" t="str">
        <f>CC4</f>
        <v>IHAG LOKAL 40</v>
      </c>
      <c r="CD2" s="1273"/>
      <c r="CF2" s="1231" t="str">
        <f>CF4</f>
        <v>IHAG LOKAL 40</v>
      </c>
      <c r="CG2" s="1231"/>
      <c r="CH2" s="1231" t="str">
        <f>CH4</f>
        <v>IHAG LOKAL 40</v>
      </c>
      <c r="CI2" s="1231"/>
      <c r="CJ2" s="1231" t="str">
        <f>CJ4</f>
        <v>IHAG LOKAL 40</v>
      </c>
      <c r="CK2" s="1231"/>
      <c r="CM2" s="1231" t="str">
        <f>CM4</f>
        <v>IHAG LOKAL 40</v>
      </c>
      <c r="CN2" s="1231"/>
      <c r="CO2" s="1231" t="str">
        <f>CO4</f>
        <v>IHAG LOKAL 40</v>
      </c>
      <c r="CP2" s="1231"/>
      <c r="CQ2" s="1231" t="str">
        <f>CQ4</f>
        <v>IHAG LOKAL 40</v>
      </c>
      <c r="CR2" s="1231"/>
      <c r="CT2" s="1231" t="str">
        <f>CT4</f>
        <v>GSS LOKAL 40</v>
      </c>
      <c r="CU2" s="1231"/>
      <c r="CV2" s="1231" t="str">
        <f>CV4</f>
        <v>GSS LOKAL 40</v>
      </c>
      <c r="CW2" s="1231"/>
      <c r="CX2" s="1231" t="str">
        <f>CX4</f>
        <v>GSS LOKAL 40</v>
      </c>
      <c r="CY2" s="1231"/>
      <c r="DA2" s="1231" t="str">
        <f>DA4</f>
        <v>GSS LOKAL 40</v>
      </c>
      <c r="DB2" s="1231"/>
      <c r="DC2" s="1231" t="str">
        <f>DC4</f>
        <v>GSS LOKAL 40</v>
      </c>
      <c r="DD2" s="1231"/>
      <c r="DE2" s="1231" t="str">
        <f>DE4</f>
        <v>GSS LOKAL 40</v>
      </c>
      <c r="DF2" s="1231"/>
      <c r="DH2" s="1231" t="str">
        <f>DH4</f>
        <v>GSS LOKAL 40</v>
      </c>
      <c r="DI2" s="1231"/>
      <c r="DJ2" s="1231" t="str">
        <f>DJ4</f>
        <v>GSS LOKAL 40</v>
      </c>
      <c r="DK2" s="1231"/>
      <c r="DL2" s="1231" t="str">
        <f>DL4</f>
        <v>GSS LOKAL 40</v>
      </c>
      <c r="DM2" s="1231"/>
    </row>
    <row r="3" spans="1:117" s="4" customFormat="1" ht="36" customHeight="1" thickTop="1" thickBot="1" x14ac:dyDescent="0.5">
      <c r="A3" s="561"/>
      <c r="B3" s="2" t="s">
        <v>0</v>
      </c>
      <c r="C3" s="3"/>
      <c r="E3" s="5"/>
      <c r="F3" s="1327">
        <v>2020</v>
      </c>
      <c r="G3" s="1328"/>
      <c r="H3" s="1329" t="s">
        <v>422</v>
      </c>
      <c r="I3" s="1329"/>
      <c r="J3" s="1329" t="s">
        <v>393</v>
      </c>
      <c r="K3" s="1329"/>
      <c r="L3" s="1329" t="s">
        <v>394</v>
      </c>
      <c r="M3" s="1329"/>
      <c r="N3" s="1318" t="s">
        <v>321</v>
      </c>
      <c r="O3" s="1264"/>
      <c r="P3" s="1318" t="s">
        <v>395</v>
      </c>
      <c r="Q3" s="1264"/>
      <c r="R3" s="1318" t="s">
        <v>396</v>
      </c>
      <c r="S3" s="1264"/>
      <c r="T3" s="1318" t="s">
        <v>322</v>
      </c>
      <c r="U3" s="1264"/>
      <c r="V3" s="1318" t="s">
        <v>541</v>
      </c>
      <c r="W3" s="1264"/>
      <c r="X3" s="1318" t="s">
        <v>542</v>
      </c>
      <c r="Y3" s="1264"/>
      <c r="Z3" s="1318" t="s">
        <v>406</v>
      </c>
      <c r="AA3" s="1264"/>
      <c r="AB3" s="1318" t="s">
        <v>543</v>
      </c>
      <c r="AC3" s="1264"/>
      <c r="AD3" s="1318" t="s">
        <v>544</v>
      </c>
      <c r="AE3" s="1264"/>
      <c r="AF3" s="620"/>
      <c r="AG3" s="686"/>
      <c r="AH3" s="1371" t="s">
        <v>327</v>
      </c>
      <c r="AI3" s="1372"/>
      <c r="AJ3" s="1371" t="s">
        <v>424</v>
      </c>
      <c r="AK3" s="1372"/>
      <c r="AL3" s="1371" t="s">
        <v>425</v>
      </c>
      <c r="AM3" s="1372"/>
      <c r="AN3" s="715" t="s">
        <v>426</v>
      </c>
      <c r="AO3" s="715" t="s">
        <v>427</v>
      </c>
      <c r="AP3" s="715" t="s">
        <v>428</v>
      </c>
      <c r="AR3" s="1371" t="s">
        <v>429</v>
      </c>
      <c r="AS3" s="1372"/>
      <c r="AT3" s="1371" t="s">
        <v>430</v>
      </c>
      <c r="AU3" s="1372"/>
      <c r="AV3" s="1371" t="s">
        <v>431</v>
      </c>
      <c r="AW3" s="1372"/>
      <c r="AX3" s="715" t="s">
        <v>426</v>
      </c>
      <c r="AY3" s="715" t="s">
        <v>427</v>
      </c>
      <c r="AZ3" s="715" t="s">
        <v>428</v>
      </c>
      <c r="BB3" s="1371" t="s">
        <v>432</v>
      </c>
      <c r="BC3" s="1372"/>
      <c r="BD3" s="1371" t="s">
        <v>433</v>
      </c>
      <c r="BE3" s="1372"/>
      <c r="BF3" s="1371" t="s">
        <v>434</v>
      </c>
      <c r="BG3" s="1372"/>
      <c r="BH3" s="715" t="s">
        <v>426</v>
      </c>
      <c r="BI3" s="715" t="s">
        <v>427</v>
      </c>
      <c r="BJ3" s="715" t="s">
        <v>428</v>
      </c>
      <c r="BL3" s="1371" t="s">
        <v>439</v>
      </c>
      <c r="BM3" s="1372"/>
      <c r="BN3" s="1371" t="s">
        <v>545</v>
      </c>
      <c r="BO3" s="1372"/>
      <c r="BP3" s="1371" t="s">
        <v>546</v>
      </c>
      <c r="BQ3" s="1372"/>
      <c r="BR3" s="715" t="s">
        <v>426</v>
      </c>
      <c r="BS3" s="715" t="s">
        <v>427</v>
      </c>
      <c r="BT3" s="715" t="s">
        <v>428</v>
      </c>
      <c r="BV3" s="1371" t="s">
        <v>547</v>
      </c>
      <c r="BW3" s="1372"/>
      <c r="BY3" s="1371" t="s">
        <v>531</v>
      </c>
      <c r="BZ3" s="1372"/>
      <c r="CA3" s="1371" t="s">
        <v>531</v>
      </c>
      <c r="CB3" s="1372"/>
      <c r="CC3" s="1371" t="s">
        <v>531</v>
      </c>
      <c r="CD3" s="1372"/>
      <c r="CF3" s="1373" t="s">
        <v>548</v>
      </c>
      <c r="CG3" s="1374"/>
      <c r="CH3" s="1373" t="s">
        <v>549</v>
      </c>
      <c r="CI3" s="1374"/>
      <c r="CJ3" s="1373" t="s">
        <v>550</v>
      </c>
      <c r="CK3" s="1374"/>
      <c r="CM3" s="1373" t="s">
        <v>551</v>
      </c>
      <c r="CN3" s="1374"/>
      <c r="CO3" s="1373" t="s">
        <v>552</v>
      </c>
      <c r="CP3" s="1374"/>
      <c r="CQ3" s="1373" t="s">
        <v>553</v>
      </c>
      <c r="CR3" s="1374"/>
      <c r="CT3" s="1343" t="s">
        <v>534</v>
      </c>
      <c r="CU3" s="1344"/>
      <c r="CV3" s="1343" t="s">
        <v>554</v>
      </c>
      <c r="CW3" s="1344"/>
      <c r="CX3" s="1343" t="s">
        <v>550</v>
      </c>
      <c r="CY3" s="1344"/>
      <c r="DA3" s="1343" t="s">
        <v>555</v>
      </c>
      <c r="DB3" s="1344"/>
      <c r="DC3" s="1343" t="s">
        <v>554</v>
      </c>
      <c r="DD3" s="1344"/>
      <c r="DE3" s="1343" t="s">
        <v>550</v>
      </c>
      <c r="DF3" s="1344"/>
      <c r="DH3" s="1343" t="s">
        <v>556</v>
      </c>
      <c r="DI3" s="1344"/>
      <c r="DJ3" s="1343" t="s">
        <v>554</v>
      </c>
      <c r="DK3" s="1344"/>
      <c r="DL3" s="1343" t="s">
        <v>550</v>
      </c>
      <c r="DM3" s="1344"/>
    </row>
    <row r="4" spans="1:117" s="4" customFormat="1" ht="21.4" thickTop="1" x14ac:dyDescent="0.45">
      <c r="A4" s="561"/>
      <c r="B4" s="2"/>
      <c r="C4" s="3"/>
      <c r="D4" s="6"/>
      <c r="E4" s="245"/>
      <c r="F4" s="1310" t="s">
        <v>4</v>
      </c>
      <c r="G4" s="1311"/>
      <c r="H4" s="1310" t="s">
        <v>4</v>
      </c>
      <c r="I4" s="1311"/>
      <c r="J4" s="1310" t="s">
        <v>4</v>
      </c>
      <c r="K4" s="1311"/>
      <c r="L4" s="1310" t="s">
        <v>4</v>
      </c>
      <c r="M4" s="1311"/>
      <c r="N4" s="1310" t="s">
        <v>4</v>
      </c>
      <c r="O4" s="1311"/>
      <c r="P4" s="1310" t="s">
        <v>4</v>
      </c>
      <c r="Q4" s="1311"/>
      <c r="R4" s="1310" t="s">
        <v>4</v>
      </c>
      <c r="S4" s="1311"/>
      <c r="T4" s="1310" t="s">
        <v>4</v>
      </c>
      <c r="U4" s="1311"/>
      <c r="V4" s="1310" t="s">
        <v>4</v>
      </c>
      <c r="W4" s="1311"/>
      <c r="X4" s="1310" t="s">
        <v>4</v>
      </c>
      <c r="Y4" s="1311"/>
      <c r="Z4" s="1310" t="s">
        <v>4</v>
      </c>
      <c r="AA4" s="1311"/>
      <c r="AB4" s="1310" t="s">
        <v>4</v>
      </c>
      <c r="AC4" s="1311"/>
      <c r="AD4" s="1310" t="s">
        <v>4</v>
      </c>
      <c r="AE4" s="1311"/>
      <c r="AF4" s="620"/>
      <c r="AG4" s="687"/>
      <c r="AH4" s="1375" t="s">
        <v>4</v>
      </c>
      <c r="AI4" s="1376"/>
      <c r="AJ4" s="1375" t="s">
        <v>4</v>
      </c>
      <c r="AK4" s="1376"/>
      <c r="AL4" s="1375" t="s">
        <v>4</v>
      </c>
      <c r="AM4" s="1376"/>
      <c r="AN4" s="716"/>
      <c r="AO4" s="716"/>
      <c r="AP4" s="716"/>
      <c r="AR4" s="1375" t="s">
        <v>4</v>
      </c>
      <c r="AS4" s="1376"/>
      <c r="AT4" s="1375" t="s">
        <v>4</v>
      </c>
      <c r="AU4" s="1376"/>
      <c r="AV4" s="1375" t="s">
        <v>4</v>
      </c>
      <c r="AW4" s="1376"/>
      <c r="AX4" s="716"/>
      <c r="AY4" s="716"/>
      <c r="AZ4" s="716"/>
      <c r="BB4" s="1375" t="s">
        <v>4</v>
      </c>
      <c r="BC4" s="1376"/>
      <c r="BD4" s="1375" t="s">
        <v>4</v>
      </c>
      <c r="BE4" s="1376"/>
      <c r="BF4" s="1375" t="s">
        <v>4</v>
      </c>
      <c r="BG4" s="1376"/>
      <c r="BH4" s="716"/>
      <c r="BI4" s="716"/>
      <c r="BJ4" s="716"/>
      <c r="BL4" s="1375" t="s">
        <v>4</v>
      </c>
      <c r="BM4" s="1376"/>
      <c r="BN4" s="1375" t="s">
        <v>4</v>
      </c>
      <c r="BO4" s="1376"/>
      <c r="BP4" s="1375" t="s">
        <v>4</v>
      </c>
      <c r="BQ4" s="1376"/>
      <c r="BR4" s="716"/>
      <c r="BS4" s="716"/>
      <c r="BT4" s="716"/>
      <c r="BV4" s="1375" t="s">
        <v>4</v>
      </c>
      <c r="BW4" s="1376"/>
      <c r="BY4" s="1375" t="s">
        <v>4</v>
      </c>
      <c r="BZ4" s="1376"/>
      <c r="CA4" s="1375" t="s">
        <v>4</v>
      </c>
      <c r="CB4" s="1376"/>
      <c r="CC4" s="1375" t="s">
        <v>4</v>
      </c>
      <c r="CD4" s="1376"/>
      <c r="CF4" s="1375" t="s">
        <v>4</v>
      </c>
      <c r="CG4" s="1376"/>
      <c r="CH4" s="1375" t="s">
        <v>4</v>
      </c>
      <c r="CI4" s="1376"/>
      <c r="CJ4" s="1375" t="s">
        <v>4</v>
      </c>
      <c r="CK4" s="1376"/>
      <c r="CM4" s="1375" t="s">
        <v>4</v>
      </c>
      <c r="CN4" s="1376"/>
      <c r="CO4" s="1375" t="s">
        <v>4</v>
      </c>
      <c r="CP4" s="1376"/>
      <c r="CQ4" s="1375" t="s">
        <v>4</v>
      </c>
      <c r="CR4" s="1376"/>
      <c r="CT4" s="1345" t="s">
        <v>2</v>
      </c>
      <c r="CU4" s="1346"/>
      <c r="CV4" s="1345" t="s">
        <v>2</v>
      </c>
      <c r="CW4" s="1346"/>
      <c r="CX4" s="1345" t="s">
        <v>2</v>
      </c>
      <c r="CY4" s="1346"/>
      <c r="DA4" s="1345" t="s">
        <v>2</v>
      </c>
      <c r="DB4" s="1346"/>
      <c r="DC4" s="1345" t="s">
        <v>2</v>
      </c>
      <c r="DD4" s="1346"/>
      <c r="DE4" s="1345" t="s">
        <v>2</v>
      </c>
      <c r="DF4" s="1346"/>
      <c r="DH4" s="1345" t="s">
        <v>2</v>
      </c>
      <c r="DI4" s="1346"/>
      <c r="DJ4" s="1345" t="s">
        <v>2</v>
      </c>
      <c r="DK4" s="1346"/>
      <c r="DL4" s="1345" t="s">
        <v>2</v>
      </c>
      <c r="DM4" s="1346"/>
    </row>
    <row r="5" spans="1:117" s="4" customFormat="1" ht="14.65" thickBot="1" x14ac:dyDescent="0.5">
      <c r="A5" s="561"/>
      <c r="B5" s="7"/>
      <c r="E5" s="245"/>
      <c r="F5" s="1312"/>
      <c r="G5" s="1313"/>
      <c r="H5" s="1312"/>
      <c r="I5" s="1313"/>
      <c r="J5" s="1312"/>
      <c r="K5" s="1313"/>
      <c r="L5" s="1312"/>
      <c r="M5" s="1313"/>
      <c r="N5" s="1312"/>
      <c r="O5" s="1313"/>
      <c r="P5" s="1312"/>
      <c r="Q5" s="1313"/>
      <c r="R5" s="1312"/>
      <c r="S5" s="1313"/>
      <c r="T5" s="1312"/>
      <c r="U5" s="1313"/>
      <c r="V5" s="1312"/>
      <c r="W5" s="1313"/>
      <c r="X5" s="1312"/>
      <c r="Y5" s="1313"/>
      <c r="Z5" s="1312"/>
      <c r="AA5" s="1313"/>
      <c r="AB5" s="1312"/>
      <c r="AC5" s="1313"/>
      <c r="AD5" s="1312"/>
      <c r="AE5" s="1313"/>
      <c r="AF5" s="620"/>
      <c r="AG5" s="688"/>
      <c r="AH5" s="1377"/>
      <c r="AI5" s="1378"/>
      <c r="AJ5" s="1377"/>
      <c r="AK5" s="1378"/>
      <c r="AL5" s="1377"/>
      <c r="AM5" s="1378"/>
      <c r="AN5" s="716"/>
      <c r="AO5" s="716"/>
      <c r="AP5" s="716"/>
      <c r="AR5" s="1377"/>
      <c r="AS5" s="1378"/>
      <c r="AT5" s="1377"/>
      <c r="AU5" s="1378"/>
      <c r="AV5" s="1377"/>
      <c r="AW5" s="1378"/>
      <c r="AX5" s="716"/>
      <c r="AY5" s="716"/>
      <c r="AZ5" s="716"/>
      <c r="BB5" s="1377"/>
      <c r="BC5" s="1378"/>
      <c r="BD5" s="1377"/>
      <c r="BE5" s="1378"/>
      <c r="BF5" s="1377"/>
      <c r="BG5" s="1378"/>
      <c r="BH5" s="716"/>
      <c r="BI5" s="716"/>
      <c r="BJ5" s="716"/>
      <c r="BL5" s="1377"/>
      <c r="BM5" s="1378"/>
      <c r="BN5" s="1377"/>
      <c r="BO5" s="1378"/>
      <c r="BP5" s="1377"/>
      <c r="BQ5" s="1378"/>
      <c r="BR5" s="716"/>
      <c r="BS5" s="716"/>
      <c r="BT5" s="716"/>
      <c r="BV5" s="1377"/>
      <c r="BW5" s="1378"/>
      <c r="BY5" s="1377"/>
      <c r="BZ5" s="1378"/>
      <c r="CA5" s="1377"/>
      <c r="CB5" s="1378"/>
      <c r="CC5" s="1377"/>
      <c r="CD5" s="1378"/>
      <c r="CF5" s="1377"/>
      <c r="CG5" s="1378"/>
      <c r="CH5" s="1377"/>
      <c r="CI5" s="1378"/>
      <c r="CJ5" s="1377"/>
      <c r="CK5" s="1378"/>
      <c r="CM5" s="1377"/>
      <c r="CN5" s="1378"/>
      <c r="CO5" s="1377"/>
      <c r="CP5" s="1378"/>
      <c r="CQ5" s="1377"/>
      <c r="CR5" s="1378"/>
      <c r="CT5" s="1347"/>
      <c r="CU5" s="1348"/>
      <c r="CV5" s="1347"/>
      <c r="CW5" s="1348"/>
      <c r="CX5" s="1347"/>
      <c r="CY5" s="1348"/>
      <c r="DA5" s="1347"/>
      <c r="DB5" s="1348"/>
      <c r="DC5" s="1347"/>
      <c r="DD5" s="1348"/>
      <c r="DE5" s="1347"/>
      <c r="DF5" s="1348"/>
      <c r="DH5" s="1347"/>
      <c r="DI5" s="1348"/>
      <c r="DJ5" s="1347"/>
      <c r="DK5" s="1348"/>
      <c r="DL5" s="1347"/>
      <c r="DM5" s="1348"/>
    </row>
    <row r="6" spans="1:117" s="7" customFormat="1" ht="15.75" customHeight="1" thickTop="1" x14ac:dyDescent="0.45">
      <c r="A6" s="561"/>
      <c r="B6" s="1202" t="s">
        <v>5</v>
      </c>
      <c r="C6" s="8" t="s">
        <v>6</v>
      </c>
      <c r="D6" s="9"/>
      <c r="E6" s="246"/>
      <c r="F6" s="1353"/>
      <c r="G6" s="1266"/>
      <c r="H6" s="1353"/>
      <c r="I6" s="1354"/>
      <c r="J6" s="1353"/>
      <c r="K6" s="1354"/>
      <c r="L6" s="1353"/>
      <c r="M6" s="1354"/>
      <c r="N6" s="1234"/>
      <c r="O6" s="1206"/>
      <c r="P6" s="1234"/>
      <c r="Q6" s="1206"/>
      <c r="R6" s="1234"/>
      <c r="S6" s="1206"/>
      <c r="T6" s="1234"/>
      <c r="U6" s="1206"/>
      <c r="V6" s="1234"/>
      <c r="W6" s="1206"/>
      <c r="X6" s="1234"/>
      <c r="Y6" s="1206"/>
      <c r="Z6" s="1234"/>
      <c r="AA6" s="1206"/>
      <c r="AB6" s="1234"/>
      <c r="AC6" s="1206"/>
      <c r="AD6" s="1234"/>
      <c r="AE6" s="1206"/>
      <c r="AF6" s="620"/>
      <c r="AG6" s="623"/>
      <c r="AH6" s="1234"/>
      <c r="AI6" s="1206"/>
      <c r="AJ6" s="1234"/>
      <c r="AK6" s="1206"/>
      <c r="AL6" s="1234"/>
      <c r="AM6" s="1206"/>
      <c r="AN6" s="717"/>
      <c r="AO6" s="717"/>
      <c r="AP6" s="717"/>
      <c r="AR6" s="1234"/>
      <c r="AS6" s="1206"/>
      <c r="AT6" s="1234"/>
      <c r="AU6" s="1206"/>
      <c r="AV6" s="1234"/>
      <c r="AW6" s="1206"/>
      <c r="AX6" s="717"/>
      <c r="AY6" s="717"/>
      <c r="AZ6" s="717"/>
      <c r="BB6" s="1234"/>
      <c r="BC6" s="1206"/>
      <c r="BD6" s="1234"/>
      <c r="BE6" s="1206"/>
      <c r="BF6" s="1234"/>
      <c r="BG6" s="1206"/>
      <c r="BH6" s="717"/>
      <c r="BI6" s="717"/>
      <c r="BJ6" s="717"/>
      <c r="BL6" s="1234"/>
      <c r="BM6" s="1206"/>
      <c r="BN6" s="1234"/>
      <c r="BO6" s="1206"/>
      <c r="BP6" s="1234"/>
      <c r="BQ6" s="1206"/>
      <c r="BR6" s="717"/>
      <c r="BS6" s="717"/>
      <c r="BT6" s="717"/>
      <c r="BV6" s="1234"/>
      <c r="BW6" s="1206"/>
      <c r="BY6" s="1234"/>
      <c r="BZ6" s="1206"/>
      <c r="CA6" s="1234"/>
      <c r="CB6" s="1206"/>
      <c r="CC6" s="1234"/>
      <c r="CD6" s="1206"/>
      <c r="CF6" s="1234"/>
      <c r="CG6" s="1206"/>
      <c r="CH6" s="1205"/>
      <c r="CI6" s="1206"/>
      <c r="CJ6" s="1205"/>
      <c r="CK6" s="1206"/>
      <c r="CM6" s="1234"/>
      <c r="CN6" s="1206"/>
      <c r="CO6" s="1205"/>
      <c r="CP6" s="1206"/>
      <c r="CQ6" s="1205"/>
      <c r="CR6" s="1206"/>
      <c r="CT6" s="1234"/>
      <c r="CU6" s="1206"/>
      <c r="CV6" s="1234"/>
      <c r="CW6" s="1206"/>
      <c r="CX6" s="1234"/>
      <c r="CY6" s="1206"/>
      <c r="DA6" s="1234"/>
      <c r="DB6" s="1206"/>
      <c r="DC6" s="1234"/>
      <c r="DD6" s="1206"/>
      <c r="DE6" s="1234"/>
      <c r="DF6" s="1206"/>
      <c r="DH6" s="1234"/>
      <c r="DI6" s="1206"/>
      <c r="DJ6" s="1234"/>
      <c r="DK6" s="1206"/>
      <c r="DL6" s="1234"/>
      <c r="DM6" s="1206"/>
    </row>
    <row r="7" spans="1:117" s="7" customFormat="1" ht="36.75" customHeight="1" x14ac:dyDescent="0.45">
      <c r="A7" s="561"/>
      <c r="B7" s="1203"/>
      <c r="C7" s="10" t="s">
        <v>11</v>
      </c>
      <c r="D7" s="11"/>
      <c r="E7" s="247"/>
      <c r="F7" s="1200">
        <v>199660</v>
      </c>
      <c r="G7" s="1201"/>
      <c r="H7" s="1200">
        <v>199660</v>
      </c>
      <c r="I7" s="1201"/>
      <c r="J7" s="1200">
        <v>199660</v>
      </c>
      <c r="K7" s="1201"/>
      <c r="L7" s="1200">
        <v>199660</v>
      </c>
      <c r="M7" s="1201"/>
      <c r="N7" s="1267">
        <v>199660</v>
      </c>
      <c r="O7" s="1268"/>
      <c r="P7" s="1267">
        <v>199660</v>
      </c>
      <c r="Q7" s="1268"/>
      <c r="R7" s="1267">
        <v>199660</v>
      </c>
      <c r="S7" s="1268"/>
      <c r="T7" s="1267">
        <v>199660</v>
      </c>
      <c r="U7" s="1268"/>
      <c r="V7" s="1267">
        <v>199660</v>
      </c>
      <c r="W7" s="1268"/>
      <c r="X7" s="1267">
        <v>199660</v>
      </c>
      <c r="Y7" s="1268"/>
      <c r="Z7" s="1267">
        <v>199660</v>
      </c>
      <c r="AA7" s="1268"/>
      <c r="AB7" s="1267">
        <v>199660</v>
      </c>
      <c r="AC7" s="1268"/>
      <c r="AD7" s="1267">
        <v>199660</v>
      </c>
      <c r="AE7" s="1268"/>
      <c r="AF7" s="620"/>
      <c r="AG7" s="625"/>
      <c r="AH7" s="1267">
        <v>199660</v>
      </c>
      <c r="AI7" s="1268"/>
      <c r="AJ7" s="1267">
        <v>199660</v>
      </c>
      <c r="AK7" s="1268"/>
      <c r="AL7" s="1267">
        <v>199660</v>
      </c>
      <c r="AM7" s="1268"/>
      <c r="AN7" s="718"/>
      <c r="AO7" s="718"/>
      <c r="AP7" s="718"/>
      <c r="AR7" s="1267">
        <v>199660</v>
      </c>
      <c r="AS7" s="1268"/>
      <c r="AT7" s="1267">
        <v>199660</v>
      </c>
      <c r="AU7" s="1268"/>
      <c r="AV7" s="1267">
        <v>199660</v>
      </c>
      <c r="AW7" s="1268"/>
      <c r="AX7" s="718"/>
      <c r="AY7" s="718"/>
      <c r="AZ7" s="718"/>
      <c r="BB7" s="1267">
        <v>199660</v>
      </c>
      <c r="BC7" s="1268"/>
      <c r="BD7" s="1267">
        <v>199660</v>
      </c>
      <c r="BE7" s="1268"/>
      <c r="BF7" s="1267">
        <v>199660</v>
      </c>
      <c r="BG7" s="1268"/>
      <c r="BH7" s="718"/>
      <c r="BI7" s="718"/>
      <c r="BJ7" s="718"/>
      <c r="BL7" s="1267">
        <v>199660</v>
      </c>
      <c r="BM7" s="1268"/>
      <c r="BN7" s="1267">
        <v>199660</v>
      </c>
      <c r="BO7" s="1268"/>
      <c r="BP7" s="1267">
        <v>199660</v>
      </c>
      <c r="BQ7" s="1268"/>
      <c r="BR7" s="718"/>
      <c r="BS7" s="718"/>
      <c r="BT7" s="718"/>
      <c r="BV7" s="1267">
        <v>199660</v>
      </c>
      <c r="BW7" s="1268"/>
      <c r="BY7" s="1267">
        <v>199660</v>
      </c>
      <c r="BZ7" s="1268"/>
      <c r="CA7" s="1267">
        <v>199660</v>
      </c>
      <c r="CB7" s="1268"/>
      <c r="CC7" s="1267">
        <v>199660</v>
      </c>
      <c r="CD7" s="1268"/>
      <c r="CF7" s="1267">
        <v>199660</v>
      </c>
      <c r="CG7" s="1268"/>
      <c r="CH7" s="1267">
        <v>199660</v>
      </c>
      <c r="CI7" s="1268"/>
      <c r="CJ7" s="1267">
        <v>199660</v>
      </c>
      <c r="CK7" s="1268"/>
      <c r="CM7" s="1267">
        <v>199660</v>
      </c>
      <c r="CN7" s="1268"/>
      <c r="CO7" s="1267">
        <v>199660</v>
      </c>
      <c r="CP7" s="1268"/>
      <c r="CQ7" s="1267">
        <v>199660</v>
      </c>
      <c r="CR7" s="1268"/>
      <c r="CT7" s="1267">
        <v>100493</v>
      </c>
      <c r="CU7" s="1268"/>
      <c r="CV7" s="1267">
        <v>100493</v>
      </c>
      <c r="CW7" s="1268"/>
      <c r="CX7" s="1267">
        <v>100493</v>
      </c>
      <c r="CY7" s="1268"/>
      <c r="DA7" s="1267">
        <v>100493</v>
      </c>
      <c r="DB7" s="1268"/>
      <c r="DC7" s="1267">
        <v>100493</v>
      </c>
      <c r="DD7" s="1268"/>
      <c r="DE7" s="1267">
        <v>100493</v>
      </c>
      <c r="DF7" s="1268"/>
      <c r="DH7" s="1267">
        <v>100493</v>
      </c>
      <c r="DI7" s="1268"/>
      <c r="DJ7" s="1267">
        <v>100493</v>
      </c>
      <c r="DK7" s="1268"/>
      <c r="DL7" s="1267">
        <v>100493</v>
      </c>
      <c r="DM7" s="1268"/>
    </row>
    <row r="8" spans="1:117" s="7" customFormat="1" ht="15" customHeight="1" x14ac:dyDescent="0.45">
      <c r="A8" s="561"/>
      <c r="B8" s="1203"/>
      <c r="C8" s="12" t="s">
        <v>12</v>
      </c>
      <c r="D8" s="11"/>
      <c r="E8" s="11"/>
      <c r="F8" s="1232">
        <f>G67</f>
        <v>5.6</v>
      </c>
      <c r="G8" s="1233"/>
      <c r="H8" s="1232">
        <f>I67</f>
        <v>5.6</v>
      </c>
      <c r="I8" s="1233"/>
      <c r="J8" s="1232">
        <f t="shared" ref="J8" si="2">K67</f>
        <v>5.6</v>
      </c>
      <c r="K8" s="1233"/>
      <c r="L8" s="1232">
        <f t="shared" ref="L8" si="3">M67</f>
        <v>5.6</v>
      </c>
      <c r="M8" s="1233"/>
      <c r="N8" s="1269">
        <f>O67</f>
        <v>6.0503231690140851</v>
      </c>
      <c r="O8" s="1270"/>
      <c r="P8" s="1269">
        <f>Q67</f>
        <v>6.0503231690140851</v>
      </c>
      <c r="Q8" s="1270"/>
      <c r="R8" s="1269">
        <f>S67</f>
        <v>6.0503231690140851</v>
      </c>
      <c r="S8" s="1270"/>
      <c r="T8" s="1269">
        <f>U67</f>
        <v>6.0503231690140851</v>
      </c>
      <c r="U8" s="1270"/>
      <c r="V8" s="1269">
        <f>W67</f>
        <v>6.0503231690140851</v>
      </c>
      <c r="W8" s="1270"/>
      <c r="X8" s="1269">
        <f>Y67</f>
        <v>6.0503231690140851</v>
      </c>
      <c r="Y8" s="1270"/>
      <c r="Z8" s="1269">
        <f>AA67</f>
        <v>6.0503231690140851</v>
      </c>
      <c r="AA8" s="1270"/>
      <c r="AB8" s="1269">
        <f>AC67</f>
        <v>6.0503231690140851</v>
      </c>
      <c r="AC8" s="1270"/>
      <c r="AD8" s="1269">
        <f>AE67</f>
        <v>6.0503231690140851</v>
      </c>
      <c r="AE8" s="1270"/>
      <c r="AF8" s="620"/>
      <c r="AG8" s="626"/>
      <c r="AH8" s="1269">
        <f>AI67</f>
        <v>6.4525352112676062</v>
      </c>
      <c r="AI8" s="1270"/>
      <c r="AJ8" s="1269">
        <f>AK67</f>
        <v>6.4525352112676062</v>
      </c>
      <c r="AK8" s="1270"/>
      <c r="AL8" s="1269">
        <f>AM67</f>
        <v>6.4525352112676062</v>
      </c>
      <c r="AM8" s="1270"/>
      <c r="AN8" s="626"/>
      <c r="AO8" s="626"/>
      <c r="AP8" s="626"/>
      <c r="AR8" s="1269">
        <f>AS67</f>
        <v>6.4525352112676062</v>
      </c>
      <c r="AS8" s="1270"/>
      <c r="AT8" s="1269">
        <f>AU67</f>
        <v>6.4525352112676062</v>
      </c>
      <c r="AU8" s="1270"/>
      <c r="AV8" s="1269">
        <f>AW67</f>
        <v>6.4525352112676062</v>
      </c>
      <c r="AW8" s="1270"/>
      <c r="AX8" s="626"/>
      <c r="AY8" s="626"/>
      <c r="AZ8" s="626"/>
      <c r="BB8" s="1269">
        <f>BC67</f>
        <v>6.4525352112676062</v>
      </c>
      <c r="BC8" s="1270"/>
      <c r="BD8" s="1269">
        <f>BE67</f>
        <v>6.4525352112676062</v>
      </c>
      <c r="BE8" s="1270"/>
      <c r="BF8" s="1269">
        <f>BG67</f>
        <v>6.4525352112676062</v>
      </c>
      <c r="BG8" s="1270"/>
      <c r="BH8" s="626"/>
      <c r="BI8" s="626"/>
      <c r="BJ8" s="626"/>
      <c r="BL8" s="1269">
        <f>BM67</f>
        <v>7</v>
      </c>
      <c r="BM8" s="1270"/>
      <c r="BN8" s="1269">
        <f>BO67</f>
        <v>7</v>
      </c>
      <c r="BO8" s="1270"/>
      <c r="BP8" s="1269">
        <f>BQ67</f>
        <v>7</v>
      </c>
      <c r="BQ8" s="1270"/>
      <c r="BR8" s="626"/>
      <c r="BS8" s="626"/>
      <c r="BT8" s="626"/>
      <c r="BV8" s="1269">
        <f>BW67</f>
        <v>7</v>
      </c>
      <c r="BW8" s="1270"/>
      <c r="BY8" s="1269">
        <f>BZ67</f>
        <v>6.65</v>
      </c>
      <c r="BZ8" s="1270"/>
      <c r="CA8" s="1269">
        <f>CB67</f>
        <v>6.65</v>
      </c>
      <c r="CB8" s="1270"/>
      <c r="CC8" s="1269">
        <f>CD67</f>
        <v>6.65</v>
      </c>
      <c r="CD8" s="1270"/>
      <c r="CF8" s="1269">
        <f>CG67</f>
        <v>7.15</v>
      </c>
      <c r="CG8" s="1270"/>
      <c r="CH8" s="1269">
        <f>CI67</f>
        <v>7.15</v>
      </c>
      <c r="CI8" s="1270"/>
      <c r="CJ8" s="1269">
        <f>CK67</f>
        <v>7.15</v>
      </c>
      <c r="CK8" s="1270"/>
      <c r="CM8" s="1269">
        <f>CN67</f>
        <v>7.15</v>
      </c>
      <c r="CN8" s="1270"/>
      <c r="CO8" s="1269">
        <f>CP67</f>
        <v>7.1498937500000004</v>
      </c>
      <c r="CP8" s="1270"/>
      <c r="CQ8" s="1269">
        <f>CR67</f>
        <v>7.1498937500000004</v>
      </c>
      <c r="CR8" s="1270"/>
      <c r="CT8" s="1269">
        <f>CU67</f>
        <v>6.6030387499999996</v>
      </c>
      <c r="CU8" s="1270"/>
      <c r="CV8" s="1269">
        <f t="shared" ref="CV8" si="4">CW67</f>
        <v>6.990031694214875</v>
      </c>
      <c r="CW8" s="1270"/>
      <c r="CX8" s="1269">
        <f t="shared" ref="CX8" si="5">CY67</f>
        <v>6.990031694214875</v>
      </c>
      <c r="CY8" s="1270"/>
      <c r="DA8" s="1269">
        <f>DB67</f>
        <v>7.75303875</v>
      </c>
      <c r="DB8" s="1270"/>
      <c r="DC8" s="1269">
        <f t="shared" ref="DC8" si="6">DD67</f>
        <v>8.1400316942148763</v>
      </c>
      <c r="DD8" s="1270"/>
      <c r="DE8" s="1269">
        <f t="shared" ref="DE8" si="7">DF67</f>
        <v>8.1400316942148763</v>
      </c>
      <c r="DF8" s="1270"/>
      <c r="DH8" s="1269">
        <f>DI67</f>
        <v>7.2030387500000002</v>
      </c>
      <c r="DI8" s="1270"/>
      <c r="DJ8" s="1269">
        <f t="shared" ref="DJ8" si="8">DK67</f>
        <v>7.5900316942148756</v>
      </c>
      <c r="DK8" s="1270"/>
      <c r="DL8" s="1269">
        <f t="shared" ref="DL8" si="9">DM67</f>
        <v>7.5900316942148756</v>
      </c>
      <c r="DM8" s="1270"/>
    </row>
    <row r="9" spans="1:117" s="7" customFormat="1" ht="39" customHeight="1" x14ac:dyDescent="0.45">
      <c r="A9" s="561"/>
      <c r="B9" s="1203"/>
      <c r="C9" s="13" t="s">
        <v>14</v>
      </c>
      <c r="D9" s="14"/>
      <c r="E9" s="14"/>
      <c r="F9" s="1190" t="str">
        <f>CONCATENATE("TP $",TEXT(G64,"#,##0.00"),"/ctn")</f>
        <v>TP $0.50/ctn</v>
      </c>
      <c r="G9" s="1191"/>
      <c r="H9" s="1190" t="str">
        <f>CONCATENATE("TP $",TEXT(I64,"#,##0.00"),"/ctn")</f>
        <v>TP $0.40/ctn</v>
      </c>
      <c r="I9" s="1191"/>
      <c r="J9" s="1190" t="str">
        <f t="shared" ref="J9" si="10">CONCATENATE("TP $",TEXT(K64,"#,##0.00"),"/ctn")</f>
        <v>TP $0.40/ctn</v>
      </c>
      <c r="K9" s="1191"/>
      <c r="L9" s="1190" t="str">
        <f t="shared" ref="L9" si="11">CONCATENATE("TP $",TEXT(M64,"#,##0.00"),"/ctn")</f>
        <v>TP $0.40/ctn</v>
      </c>
      <c r="M9" s="1191"/>
      <c r="N9" s="1271" t="str">
        <f>CONCATENATE("TP $",TEXT(O64,"#,##0.00"),"/ctn")</f>
        <v>TP $0.65/ctn</v>
      </c>
      <c r="O9" s="1272"/>
      <c r="P9" s="1271" t="str">
        <f>CONCATENATE("TP $",TEXT(Q64,"#,##0.00"),"/ctn")</f>
        <v>TP $0.65/ctn</v>
      </c>
      <c r="Q9" s="1272"/>
      <c r="R9" s="1271" t="str">
        <f>CONCATENATE("TP $",TEXT(S64,"#,##0.00"),"/ctn")</f>
        <v>TP $0.65/ctn</v>
      </c>
      <c r="S9" s="1272"/>
      <c r="T9" s="1271" t="str">
        <f>CONCATENATE("TP $",TEXT(U64,"#,##0.00"),"/ctn")</f>
        <v>TP $0.65/ctn</v>
      </c>
      <c r="U9" s="1272"/>
      <c r="V9" s="1271" t="str">
        <f>CONCATENATE("TP $",TEXT(W64,"#,##0.00"),"/ctn")</f>
        <v>TP $0.65/ctn</v>
      </c>
      <c r="W9" s="1272"/>
      <c r="X9" s="1271" t="str">
        <f>CONCATENATE("TP $",TEXT(Y64,"#,##0.00"),"/ctn")</f>
        <v>TP $0.65/ctn</v>
      </c>
      <c r="Y9" s="1272"/>
      <c r="Z9" s="1271" t="str">
        <f>CONCATENATE("TP $",TEXT(AA64,"#,##0.00"),"/ctn")</f>
        <v>TP $0.65/ctn</v>
      </c>
      <c r="AA9" s="1272"/>
      <c r="AB9" s="1271" t="str">
        <f>CONCATENATE("TP $",TEXT(AC64,"#,##0.00"),"/ctn")</f>
        <v>TP $0.65/ctn</v>
      </c>
      <c r="AC9" s="1272"/>
      <c r="AD9" s="1271" t="str">
        <f>CONCATENATE("TP $",TEXT(AE64,"#,##0.00"),"/ctn")</f>
        <v>TP $0.65/ctn</v>
      </c>
      <c r="AE9" s="1272"/>
      <c r="AF9" s="620"/>
      <c r="AG9" s="627"/>
      <c r="AH9" s="1271" t="str">
        <f>CONCATENATE("TP $",TEXT(AI64,"#,##0.00"),"/ctn")</f>
        <v>TP $0.55/ctn</v>
      </c>
      <c r="AI9" s="1272"/>
      <c r="AJ9" s="1271" t="str">
        <f>CONCATENATE("TP $",TEXT(AK64,"#,##0.00"),"/ctn")</f>
        <v>TP $0.55/ctn</v>
      </c>
      <c r="AK9" s="1272"/>
      <c r="AL9" s="1271" t="str">
        <f>CONCATENATE("TP $",TEXT(AM64,"#,##0.00"),"/ctn")</f>
        <v>TP $0.55/ctn</v>
      </c>
      <c r="AM9" s="1272"/>
      <c r="AN9" s="719"/>
      <c r="AO9" s="719"/>
      <c r="AP9" s="719"/>
      <c r="AR9" s="1271" t="str">
        <f>CONCATENATE("TP $",TEXT(AS64,"#,##0.00"),"/ctn")</f>
        <v>TP $0.55/ctn</v>
      </c>
      <c r="AS9" s="1272"/>
      <c r="AT9" s="1271" t="str">
        <f>CONCATENATE("TP $",TEXT(AU64,"#,##0.00"),"/ctn")</f>
        <v>TP $0.55/ctn</v>
      </c>
      <c r="AU9" s="1272"/>
      <c r="AV9" s="1271" t="str">
        <f>CONCATENATE("TP $",TEXT(AW64,"#,##0.00"),"/ctn")</f>
        <v>TP $0.55/ctn</v>
      </c>
      <c r="AW9" s="1272"/>
      <c r="AX9" s="719"/>
      <c r="AY9" s="719"/>
      <c r="AZ9" s="719"/>
      <c r="BB9" s="1271" t="str">
        <f>CONCATENATE("TP $",TEXT(BC64,"#,##0.00"),"/ctn")</f>
        <v>TP $0.55/ctn</v>
      </c>
      <c r="BC9" s="1272"/>
      <c r="BD9" s="1271" t="str">
        <f>CONCATENATE("TP $",TEXT(BE64,"#,##0.00"),"/ctn")</f>
        <v>TP $0.55/ctn</v>
      </c>
      <c r="BE9" s="1272"/>
      <c r="BF9" s="1271" t="str">
        <f>CONCATENATE("TP $",TEXT(BG64,"#,##0.00"),"/ctn")</f>
        <v>TP $0.55/ctn</v>
      </c>
      <c r="BG9" s="1272"/>
      <c r="BH9" s="719"/>
      <c r="BI9" s="719"/>
      <c r="BJ9" s="719"/>
      <c r="BL9" s="1271" t="str">
        <f>CONCATENATE("TP $",TEXT(BM64,"#,##0.00"),"/ctn")</f>
        <v>TP $0.00/ctn</v>
      </c>
      <c r="BM9" s="1272"/>
      <c r="BN9" s="1271" t="str">
        <f>CONCATENATE("TP $",TEXT(BO64,"#,##0.00"),"/ctn")</f>
        <v>TP $0.00/ctn</v>
      </c>
      <c r="BO9" s="1272"/>
      <c r="BP9" s="1271" t="str">
        <f>CONCATENATE("TP $",TEXT(BQ64,"#,##0.00"),"/ctn")</f>
        <v>TP $0.00/ctn</v>
      </c>
      <c r="BQ9" s="1272"/>
      <c r="BR9" s="719"/>
      <c r="BS9" s="719"/>
      <c r="BT9" s="719"/>
      <c r="BV9" s="1271" t="str">
        <f>CONCATENATE("TP $",TEXT(BW64,"#,##0.00"),"/ctn")</f>
        <v>TP $0.00/ctn</v>
      </c>
      <c r="BW9" s="1272"/>
      <c r="BY9" s="1271" t="str">
        <f>CONCATENATE("TP $",TEXT(BZ64,"#,##0.00"),"/ctn")</f>
        <v>TP $0.00/ctn</v>
      </c>
      <c r="BZ9" s="1272"/>
      <c r="CA9" s="1271" t="str">
        <f>CONCATENATE("TP $",TEXT(CB64,"#,##0.00"),"/ctn")</f>
        <v>TP $0.00/ctn</v>
      </c>
      <c r="CB9" s="1272"/>
      <c r="CC9" s="1271" t="str">
        <f>CONCATENATE("TP $",TEXT(CD64,"#,##0.00"),"/ctn")</f>
        <v>TP $0.00/ctn</v>
      </c>
      <c r="CD9" s="1272"/>
      <c r="CF9" s="1271" t="str">
        <f>CONCATENATE("TP $",TEXT(CG64,"#,##0.00"),"/ctn")</f>
        <v>TP $0.00/ctn</v>
      </c>
      <c r="CG9" s="1272"/>
      <c r="CH9" s="1271" t="str">
        <f>CONCATENATE("TP $",TEXT(CI64,"#,##0.00"),"/ctn")</f>
        <v>TP $0.00/ctn</v>
      </c>
      <c r="CI9" s="1272"/>
      <c r="CJ9" s="1271" t="str">
        <f>CONCATENATE("TP $",TEXT(CK64,"#,##0.00"),"/ctn")</f>
        <v>TP $0.00/ctn</v>
      </c>
      <c r="CK9" s="1272"/>
      <c r="CM9" s="1271" t="str">
        <f>CONCATENATE("TP $",TEXT(CN64,"#,##0.00"),"/ctn")</f>
        <v>TP $0.25/ctn</v>
      </c>
      <c r="CN9" s="1272"/>
      <c r="CO9" s="1271" t="str">
        <f>CONCATENATE("TP $",TEXT(CP64,"#,##0.00"),"/ctn")</f>
        <v>TP $0.25/ctn</v>
      </c>
      <c r="CP9" s="1272"/>
      <c r="CQ9" s="1271" t="str">
        <f>CONCATENATE("TP $",TEXT(CR64,"#,##0.00"),"/ctn")</f>
        <v>TP $0.25/ctn</v>
      </c>
      <c r="CR9" s="1272"/>
      <c r="CT9" s="1271" t="str">
        <f>CONCATENATE("TP $",TEXT(CU64,"#,##0.00"),"/ctn")</f>
        <v>TP $0.00/ctn</v>
      </c>
      <c r="CU9" s="1272"/>
      <c r="CV9" s="1271" t="str">
        <f t="shared" ref="CV9" si="12">CONCATENATE("TP $",TEXT(CW64,"#,##0.00"),"/ctn")</f>
        <v>TP $0.00/ctn</v>
      </c>
      <c r="CW9" s="1272"/>
      <c r="CX9" s="1271" t="str">
        <f t="shared" ref="CX9" si="13">CONCATENATE("TP $",TEXT(CY64,"#,##0.00"),"/ctn")</f>
        <v>TP $0.00/ctn</v>
      </c>
      <c r="CY9" s="1272"/>
      <c r="DA9" s="1271" t="str">
        <f>CONCATENATE("TP $",TEXT(DB64,"#,##0.00"),"/ctn")</f>
        <v>TP $0.00/ctn</v>
      </c>
      <c r="DB9" s="1272"/>
      <c r="DC9" s="1271" t="str">
        <f t="shared" ref="DC9" si="14">CONCATENATE("TP $",TEXT(DD64,"#,##0.00"),"/ctn")</f>
        <v>TP $0.00/ctn</v>
      </c>
      <c r="DD9" s="1272"/>
      <c r="DE9" s="1271" t="str">
        <f t="shared" ref="DE9" si="15">CONCATENATE("TP $",TEXT(DF64,"#,##0.00"),"/ctn")</f>
        <v>TP $0.00/ctn</v>
      </c>
      <c r="DF9" s="1272"/>
      <c r="DH9" s="1271" t="str">
        <f>CONCATENATE("TP $",TEXT(DI64,"#,##0.00"),"/ctn")</f>
        <v>TP $0.00/ctn</v>
      </c>
      <c r="DI9" s="1272"/>
      <c r="DJ9" s="1271" t="str">
        <f t="shared" ref="DJ9" si="16">CONCATENATE("TP $",TEXT(DK64,"#,##0.00"),"/ctn")</f>
        <v>TP $0.00/ctn</v>
      </c>
      <c r="DK9" s="1272"/>
      <c r="DL9" s="1271" t="str">
        <f t="shared" ref="DL9" si="17">CONCATENATE("TP $",TEXT(DM64,"#,##0.00"),"/ctn")</f>
        <v>TP $0.00/ctn</v>
      </c>
      <c r="DM9" s="1272"/>
    </row>
    <row r="10" spans="1:117" s="4" customFormat="1" x14ac:dyDescent="0.45">
      <c r="A10" s="561"/>
      <c r="B10" s="1203"/>
      <c r="C10" s="15" t="s">
        <v>23</v>
      </c>
      <c r="D10" s="16"/>
      <c r="E10" s="16"/>
      <c r="F10" s="252" t="str">
        <f>RIGHT(F2,2)</f>
        <v>40</v>
      </c>
      <c r="G10" s="253" t="str">
        <f>+F10</f>
        <v>40</v>
      </c>
      <c r="H10" s="252" t="str">
        <f>RIGHT(H2,2)</f>
        <v>40</v>
      </c>
      <c r="I10" s="253" t="str">
        <f>+H10</f>
        <v>40</v>
      </c>
      <c r="J10" s="252" t="str">
        <f t="shared" ref="J10" si="18">RIGHT(J2,2)</f>
        <v>40</v>
      </c>
      <c r="K10" s="253" t="str">
        <f t="shared" ref="K10" si="19">+J10</f>
        <v>40</v>
      </c>
      <c r="L10" s="252" t="str">
        <f t="shared" ref="L10" si="20">RIGHT(L2,2)</f>
        <v>40</v>
      </c>
      <c r="M10" s="253" t="str">
        <f t="shared" ref="M10" si="21">+L10</f>
        <v>40</v>
      </c>
      <c r="N10" s="348" t="str">
        <f>RIGHT(N2,2)</f>
        <v>40</v>
      </c>
      <c r="O10" s="349" t="str">
        <f>+N10</f>
        <v>40</v>
      </c>
      <c r="P10" s="348" t="str">
        <f>RIGHT(P2,2)</f>
        <v>40</v>
      </c>
      <c r="Q10" s="349" t="str">
        <f>+P10</f>
        <v>40</v>
      </c>
      <c r="R10" s="348" t="str">
        <f>RIGHT(R2,2)</f>
        <v>40</v>
      </c>
      <c r="S10" s="349" t="str">
        <f>+R10</f>
        <v>40</v>
      </c>
      <c r="T10" s="348" t="str">
        <f>RIGHT(T2,2)</f>
        <v>40</v>
      </c>
      <c r="U10" s="349" t="str">
        <f>+T10</f>
        <v>40</v>
      </c>
      <c r="V10" s="348" t="str">
        <f>RIGHT(V2,2)</f>
        <v>40</v>
      </c>
      <c r="W10" s="349" t="str">
        <f>+V10</f>
        <v>40</v>
      </c>
      <c r="X10" s="348" t="str">
        <f>RIGHT(X2,2)</f>
        <v>40</v>
      </c>
      <c r="Y10" s="349" t="str">
        <f>+X10</f>
        <v>40</v>
      </c>
      <c r="Z10" s="348" t="str">
        <f>RIGHT(Z2,2)</f>
        <v>40</v>
      </c>
      <c r="AA10" s="349" t="str">
        <f>+Z10</f>
        <v>40</v>
      </c>
      <c r="AB10" s="348" t="str">
        <f>RIGHT(AB2,2)</f>
        <v>40</v>
      </c>
      <c r="AC10" s="349" t="str">
        <f>+AB10</f>
        <v>40</v>
      </c>
      <c r="AD10" s="348" t="str">
        <f>RIGHT(AD2,2)</f>
        <v>40</v>
      </c>
      <c r="AE10" s="349" t="str">
        <f>+AD10</f>
        <v>40</v>
      </c>
      <c r="AF10" s="620"/>
      <c r="AG10" s="628"/>
      <c r="AH10" s="348" t="str">
        <f>RIGHT(AH2,2)</f>
        <v>40</v>
      </c>
      <c r="AI10" s="349" t="str">
        <f>+AH10</f>
        <v>40</v>
      </c>
      <c r="AJ10" s="348" t="str">
        <f>RIGHT(AJ2,2)</f>
        <v>40</v>
      </c>
      <c r="AK10" s="349" t="str">
        <f>+AJ10</f>
        <v>40</v>
      </c>
      <c r="AL10" s="348" t="str">
        <f>RIGHT(AL2,2)</f>
        <v>40</v>
      </c>
      <c r="AM10" s="349" t="str">
        <f>+AL10</f>
        <v>40</v>
      </c>
      <c r="AN10" s="628"/>
      <c r="AO10" s="628"/>
      <c r="AP10" s="628"/>
      <c r="AR10" s="348" t="str">
        <f>RIGHT(AR2,2)</f>
        <v>40</v>
      </c>
      <c r="AS10" s="349" t="str">
        <f>+AR10</f>
        <v>40</v>
      </c>
      <c r="AT10" s="348" t="str">
        <f>RIGHT(AT2,2)</f>
        <v>40</v>
      </c>
      <c r="AU10" s="349" t="str">
        <f>+AT10</f>
        <v>40</v>
      </c>
      <c r="AV10" s="348" t="str">
        <f>RIGHT(AV2,2)</f>
        <v>40</v>
      </c>
      <c r="AW10" s="349" t="str">
        <f>+AV10</f>
        <v>40</v>
      </c>
      <c r="AX10" s="628"/>
      <c r="AY10" s="628"/>
      <c r="AZ10" s="628"/>
      <c r="BB10" s="348" t="str">
        <f>RIGHT(BB2,2)</f>
        <v>40</v>
      </c>
      <c r="BC10" s="349" t="str">
        <f>+BB10</f>
        <v>40</v>
      </c>
      <c r="BD10" s="348" t="str">
        <f>RIGHT(BD2,2)</f>
        <v>40</v>
      </c>
      <c r="BE10" s="349" t="str">
        <f>+BD10</f>
        <v>40</v>
      </c>
      <c r="BF10" s="348" t="str">
        <f>RIGHT(BF2,2)</f>
        <v>40</v>
      </c>
      <c r="BG10" s="349" t="str">
        <f>+BF10</f>
        <v>40</v>
      </c>
      <c r="BH10" s="628"/>
      <c r="BI10" s="628"/>
      <c r="BJ10" s="628"/>
      <c r="BL10" s="348" t="str">
        <f>RIGHT(BL2,2)</f>
        <v>40</v>
      </c>
      <c r="BM10" s="349" t="str">
        <f>+BL10</f>
        <v>40</v>
      </c>
      <c r="BN10" s="348" t="str">
        <f>RIGHT(BN2,2)</f>
        <v>40</v>
      </c>
      <c r="BO10" s="349" t="str">
        <f>+BN10</f>
        <v>40</v>
      </c>
      <c r="BP10" s="348" t="str">
        <f>RIGHT(BP2,2)</f>
        <v>40</v>
      </c>
      <c r="BQ10" s="349" t="str">
        <f>+BP10</f>
        <v>40</v>
      </c>
      <c r="BR10" s="628"/>
      <c r="BS10" s="628"/>
      <c r="BT10" s="628"/>
      <c r="BV10" s="348" t="str">
        <f>RIGHT(BV2,2)</f>
        <v>40</v>
      </c>
      <c r="BW10" s="349" t="str">
        <f>+BV10</f>
        <v>40</v>
      </c>
      <c r="BY10" s="348" t="str">
        <f>RIGHT(BY2,2)</f>
        <v>40</v>
      </c>
      <c r="BZ10" s="349" t="str">
        <f>+BY10</f>
        <v>40</v>
      </c>
      <c r="CA10" s="348" t="str">
        <f>RIGHT(CA2,2)</f>
        <v>40</v>
      </c>
      <c r="CB10" s="349" t="str">
        <f>+CA10</f>
        <v>40</v>
      </c>
      <c r="CC10" s="348" t="str">
        <f>RIGHT(CC2,2)</f>
        <v>40</v>
      </c>
      <c r="CD10" s="349" t="str">
        <f>+CC10</f>
        <v>40</v>
      </c>
      <c r="CF10" s="348" t="str">
        <f>RIGHT(CF2,2)</f>
        <v>40</v>
      </c>
      <c r="CG10" s="349" t="str">
        <f>+CF10</f>
        <v>40</v>
      </c>
      <c r="CH10" s="348" t="str">
        <f>RIGHT(CH2,2)</f>
        <v>40</v>
      </c>
      <c r="CI10" s="349" t="str">
        <f>+CH10</f>
        <v>40</v>
      </c>
      <c r="CJ10" s="348" t="str">
        <f>RIGHT(CJ2,2)</f>
        <v>40</v>
      </c>
      <c r="CK10" s="349" t="str">
        <f>+CJ10</f>
        <v>40</v>
      </c>
      <c r="CM10" s="348" t="str">
        <f>RIGHT(CM2,2)</f>
        <v>40</v>
      </c>
      <c r="CN10" s="349" t="str">
        <f>+CM10</f>
        <v>40</v>
      </c>
      <c r="CO10" s="348" t="str">
        <f>RIGHT(CO2,2)</f>
        <v>40</v>
      </c>
      <c r="CP10" s="349" t="str">
        <f>+CO10</f>
        <v>40</v>
      </c>
      <c r="CQ10" s="348" t="str">
        <f>RIGHT(CQ2,2)</f>
        <v>40</v>
      </c>
      <c r="CR10" s="349" t="str">
        <f>+CQ10</f>
        <v>40</v>
      </c>
      <c r="CT10" s="348" t="str">
        <f>RIGHT(CT2,2)</f>
        <v>40</v>
      </c>
      <c r="CU10" s="349" t="str">
        <f>+CT10</f>
        <v>40</v>
      </c>
      <c r="CV10" s="348" t="str">
        <f t="shared" ref="CV10" si="22">RIGHT(CV2,2)</f>
        <v>40</v>
      </c>
      <c r="CW10" s="349" t="str">
        <f t="shared" ref="CW10" si="23">+CV10</f>
        <v>40</v>
      </c>
      <c r="CX10" s="348" t="str">
        <f t="shared" ref="CX10" si="24">RIGHT(CX2,2)</f>
        <v>40</v>
      </c>
      <c r="CY10" s="349" t="str">
        <f t="shared" ref="CY10" si="25">+CX10</f>
        <v>40</v>
      </c>
      <c r="DA10" s="348" t="str">
        <f>RIGHT(DA2,2)</f>
        <v>40</v>
      </c>
      <c r="DB10" s="349" t="str">
        <f>+DA10</f>
        <v>40</v>
      </c>
      <c r="DC10" s="348" t="str">
        <f t="shared" ref="DC10" si="26">RIGHT(DC2,2)</f>
        <v>40</v>
      </c>
      <c r="DD10" s="349" t="str">
        <f t="shared" ref="DD10" si="27">+DC10</f>
        <v>40</v>
      </c>
      <c r="DE10" s="348" t="str">
        <f t="shared" ref="DE10" si="28">RIGHT(DE2,2)</f>
        <v>40</v>
      </c>
      <c r="DF10" s="349" t="str">
        <f t="shared" ref="DF10" si="29">+DE10</f>
        <v>40</v>
      </c>
      <c r="DH10" s="348" t="str">
        <f>RIGHT(DH2,2)</f>
        <v>40</v>
      </c>
      <c r="DI10" s="349" t="str">
        <f>+DH10</f>
        <v>40</v>
      </c>
      <c r="DJ10" s="348" t="str">
        <f t="shared" ref="DJ10" si="30">RIGHT(DJ2,2)</f>
        <v>40</v>
      </c>
      <c r="DK10" s="349" t="str">
        <f t="shared" ref="DK10" si="31">+DJ10</f>
        <v>40</v>
      </c>
      <c r="DL10" s="348" t="str">
        <f t="shared" ref="DL10" si="32">RIGHT(DL2,2)</f>
        <v>40</v>
      </c>
      <c r="DM10" s="349" t="str">
        <f t="shared" ref="DM10" si="33">+DL10</f>
        <v>40</v>
      </c>
    </row>
    <row r="11" spans="1:117" s="4" customFormat="1" x14ac:dyDescent="0.45">
      <c r="A11" s="561"/>
      <c r="B11" s="1203"/>
      <c r="C11" s="19" t="s">
        <v>24</v>
      </c>
      <c r="D11" s="20"/>
      <c r="E11" s="20"/>
      <c r="F11" s="21" t="s">
        <v>25</v>
      </c>
      <c r="G11" s="22" t="s">
        <v>26</v>
      </c>
      <c r="H11" s="21" t="s">
        <v>25</v>
      </c>
      <c r="I11" s="22" t="s">
        <v>26</v>
      </c>
      <c r="J11" s="21" t="s">
        <v>25</v>
      </c>
      <c r="K11" s="22" t="s">
        <v>26</v>
      </c>
      <c r="L11" s="21" t="s">
        <v>25</v>
      </c>
      <c r="M11" s="22" t="s">
        <v>26</v>
      </c>
      <c r="N11" s="21" t="s">
        <v>25</v>
      </c>
      <c r="O11" s="22" t="s">
        <v>26</v>
      </c>
      <c r="P11" s="21" t="s">
        <v>25</v>
      </c>
      <c r="Q11" s="22" t="s">
        <v>26</v>
      </c>
      <c r="R11" s="21" t="s">
        <v>25</v>
      </c>
      <c r="S11" s="22" t="s">
        <v>26</v>
      </c>
      <c r="T11" s="21" t="s">
        <v>25</v>
      </c>
      <c r="U11" s="22" t="s">
        <v>26</v>
      </c>
      <c r="V11" s="21" t="s">
        <v>25</v>
      </c>
      <c r="W11" s="22" t="s">
        <v>26</v>
      </c>
      <c r="X11" s="21" t="s">
        <v>25</v>
      </c>
      <c r="Y11" s="22" t="s">
        <v>26</v>
      </c>
      <c r="Z11" s="21" t="s">
        <v>25</v>
      </c>
      <c r="AA11" s="22" t="s">
        <v>26</v>
      </c>
      <c r="AB11" s="21" t="s">
        <v>25</v>
      </c>
      <c r="AC11" s="22" t="s">
        <v>26</v>
      </c>
      <c r="AD11" s="21" t="s">
        <v>25</v>
      </c>
      <c r="AE11" s="22" t="s">
        <v>26</v>
      </c>
      <c r="AF11" s="620"/>
      <c r="AG11" s="689"/>
      <c r="AH11" s="21" t="s">
        <v>25</v>
      </c>
      <c r="AI11" s="22" t="s">
        <v>26</v>
      </c>
      <c r="AJ11" s="21" t="s">
        <v>25</v>
      </c>
      <c r="AK11" s="22" t="s">
        <v>26</v>
      </c>
      <c r="AL11" s="21" t="s">
        <v>25</v>
      </c>
      <c r="AM11" s="22" t="s">
        <v>26</v>
      </c>
      <c r="AN11" s="629"/>
      <c r="AO11" s="629"/>
      <c r="AP11" s="629"/>
      <c r="AR11" s="21" t="s">
        <v>25</v>
      </c>
      <c r="AS11" s="22" t="s">
        <v>26</v>
      </c>
      <c r="AT11" s="21" t="s">
        <v>25</v>
      </c>
      <c r="AU11" s="22" t="s">
        <v>26</v>
      </c>
      <c r="AV11" s="21" t="s">
        <v>25</v>
      </c>
      <c r="AW11" s="22" t="s">
        <v>26</v>
      </c>
      <c r="AX11" s="629"/>
      <c r="AY11" s="629"/>
      <c r="AZ11" s="629"/>
      <c r="BB11" s="21" t="s">
        <v>25</v>
      </c>
      <c r="BC11" s="22" t="s">
        <v>26</v>
      </c>
      <c r="BD11" s="21" t="s">
        <v>25</v>
      </c>
      <c r="BE11" s="22" t="s">
        <v>26</v>
      </c>
      <c r="BF11" s="21" t="s">
        <v>25</v>
      </c>
      <c r="BG11" s="22" t="s">
        <v>26</v>
      </c>
      <c r="BH11" s="629"/>
      <c r="BI11" s="629"/>
      <c r="BJ11" s="629"/>
      <c r="BL11" s="21" t="s">
        <v>25</v>
      </c>
      <c r="BM11" s="22" t="s">
        <v>26</v>
      </c>
      <c r="BN11" s="21" t="s">
        <v>25</v>
      </c>
      <c r="BO11" s="22" t="s">
        <v>26</v>
      </c>
      <c r="BP11" s="21" t="s">
        <v>25</v>
      </c>
      <c r="BQ11" s="22" t="s">
        <v>26</v>
      </c>
      <c r="BR11" s="629"/>
      <c r="BS11" s="629"/>
      <c r="BT11" s="629"/>
      <c r="BV11" s="21" t="s">
        <v>25</v>
      </c>
      <c r="BW11" s="22" t="s">
        <v>26</v>
      </c>
      <c r="BY11" s="21" t="s">
        <v>25</v>
      </c>
      <c r="BZ11" s="22" t="s">
        <v>26</v>
      </c>
      <c r="CA11" s="21" t="s">
        <v>25</v>
      </c>
      <c r="CB11" s="22" t="s">
        <v>26</v>
      </c>
      <c r="CC11" s="21" t="s">
        <v>25</v>
      </c>
      <c r="CD11" s="22" t="s">
        <v>26</v>
      </c>
      <c r="CF11" s="21" t="s">
        <v>25</v>
      </c>
      <c r="CG11" s="22" t="s">
        <v>26</v>
      </c>
      <c r="CH11" s="21" t="s">
        <v>25</v>
      </c>
      <c r="CI11" s="22" t="s">
        <v>26</v>
      </c>
      <c r="CJ11" s="21" t="s">
        <v>25</v>
      </c>
      <c r="CK11" s="22" t="s">
        <v>26</v>
      </c>
      <c r="CM11" s="21" t="s">
        <v>25</v>
      </c>
      <c r="CN11" s="22" t="s">
        <v>26</v>
      </c>
      <c r="CO11" s="21" t="s">
        <v>25</v>
      </c>
      <c r="CP11" s="22" t="s">
        <v>26</v>
      </c>
      <c r="CQ11" s="21" t="s">
        <v>25</v>
      </c>
      <c r="CR11" s="22" t="s">
        <v>26</v>
      </c>
      <c r="CT11" s="21" t="s">
        <v>25</v>
      </c>
      <c r="CU11" s="22" t="s">
        <v>26</v>
      </c>
      <c r="CV11" s="21" t="s">
        <v>25</v>
      </c>
      <c r="CW11" s="22" t="s">
        <v>26</v>
      </c>
      <c r="CX11" s="21" t="s">
        <v>25</v>
      </c>
      <c r="CY11" s="22" t="s">
        <v>26</v>
      </c>
      <c r="DA11" s="21" t="s">
        <v>25</v>
      </c>
      <c r="DB11" s="22" t="s">
        <v>26</v>
      </c>
      <c r="DC11" s="21" t="s">
        <v>25</v>
      </c>
      <c r="DD11" s="22" t="s">
        <v>26</v>
      </c>
      <c r="DE11" s="21" t="s">
        <v>25</v>
      </c>
      <c r="DF11" s="22" t="s">
        <v>26</v>
      </c>
      <c r="DH11" s="21" t="s">
        <v>25</v>
      </c>
      <c r="DI11" s="22" t="s">
        <v>26</v>
      </c>
      <c r="DJ11" s="21" t="s">
        <v>25</v>
      </c>
      <c r="DK11" s="22" t="s">
        <v>26</v>
      </c>
      <c r="DL11" s="21" t="s">
        <v>25</v>
      </c>
      <c r="DM11" s="22" t="s">
        <v>26</v>
      </c>
    </row>
    <row r="12" spans="1:117" s="4" customFormat="1" x14ac:dyDescent="0.45">
      <c r="A12" s="561"/>
      <c r="B12" s="1203"/>
      <c r="C12" s="15" t="s">
        <v>27</v>
      </c>
      <c r="D12" s="1192">
        <v>44407</v>
      </c>
      <c r="E12" s="1193"/>
      <c r="F12" s="23">
        <v>4068.66</v>
      </c>
      <c r="G12" s="24"/>
      <c r="H12" s="23">
        <v>4068.66</v>
      </c>
      <c r="I12" s="24"/>
      <c r="J12" s="23">
        <v>4068.66</v>
      </c>
      <c r="K12" s="24"/>
      <c r="L12" s="23">
        <v>4068.66</v>
      </c>
      <c r="M12" s="24"/>
      <c r="N12" s="350">
        <v>4068.66</v>
      </c>
      <c r="O12" s="351"/>
      <c r="P12" s="350">
        <v>4068.66</v>
      </c>
      <c r="Q12" s="351"/>
      <c r="R12" s="350">
        <v>4068.66</v>
      </c>
      <c r="S12" s="351"/>
      <c r="T12" s="350">
        <v>4068.66</v>
      </c>
      <c r="U12" s="351"/>
      <c r="V12" s="350">
        <v>4068.66</v>
      </c>
      <c r="W12" s="351"/>
      <c r="X12" s="350">
        <v>4068.66</v>
      </c>
      <c r="Y12" s="351"/>
      <c r="Z12" s="350">
        <v>4068.66</v>
      </c>
      <c r="AA12" s="351"/>
      <c r="AB12" s="350">
        <v>4068.66</v>
      </c>
      <c r="AC12" s="351"/>
      <c r="AD12" s="350">
        <v>4068.66</v>
      </c>
      <c r="AE12" s="351"/>
      <c r="AF12" s="620"/>
      <c r="AG12" s="630"/>
      <c r="AH12" s="350">
        <v>4068.66</v>
      </c>
      <c r="AI12" s="351"/>
      <c r="AJ12" s="350">
        <v>4068.66</v>
      </c>
      <c r="AK12" s="351"/>
      <c r="AL12" s="350">
        <v>4068.66</v>
      </c>
      <c r="AM12" s="351"/>
      <c r="AN12" s="630"/>
      <c r="AO12" s="630"/>
      <c r="AP12" s="630"/>
      <c r="AR12" s="350">
        <v>4068.66</v>
      </c>
      <c r="AS12" s="351"/>
      <c r="AT12" s="350">
        <v>4068.66</v>
      </c>
      <c r="AU12" s="351"/>
      <c r="AV12" s="350">
        <v>4068.66</v>
      </c>
      <c r="AW12" s="351"/>
      <c r="AX12" s="630"/>
      <c r="AY12" s="630"/>
      <c r="AZ12" s="630"/>
      <c r="BB12" s="350">
        <v>4068.66</v>
      </c>
      <c r="BC12" s="351"/>
      <c r="BD12" s="350">
        <v>4068.66</v>
      </c>
      <c r="BE12" s="351"/>
      <c r="BF12" s="350">
        <v>4068.66</v>
      </c>
      <c r="BG12" s="351"/>
      <c r="BH12" s="630"/>
      <c r="BI12" s="630"/>
      <c r="BJ12" s="630"/>
      <c r="BL12" s="350">
        <v>4068.66</v>
      </c>
      <c r="BM12" s="351"/>
      <c r="BN12" s="350">
        <v>4068.66</v>
      </c>
      <c r="BO12" s="351"/>
      <c r="BP12" s="350">
        <v>4068.66</v>
      </c>
      <c r="BQ12" s="351"/>
      <c r="BR12" s="630"/>
      <c r="BS12" s="630"/>
      <c r="BT12" s="630"/>
      <c r="BV12" s="350">
        <v>4068.66</v>
      </c>
      <c r="BW12" s="351"/>
      <c r="BY12" s="350">
        <v>4068.66</v>
      </c>
      <c r="BZ12" s="351"/>
      <c r="CA12" s="350">
        <v>4068.66</v>
      </c>
      <c r="CB12" s="351"/>
      <c r="CC12" s="350">
        <v>4068.66</v>
      </c>
      <c r="CD12" s="351"/>
      <c r="CF12" s="350">
        <v>4068.66</v>
      </c>
      <c r="CG12" s="351"/>
      <c r="CH12" s="350">
        <v>4068.66</v>
      </c>
      <c r="CI12" s="351"/>
      <c r="CJ12" s="350">
        <v>4068.66</v>
      </c>
      <c r="CK12" s="351"/>
      <c r="CM12" s="350">
        <v>4068.66</v>
      </c>
      <c r="CN12" s="351"/>
      <c r="CO12" s="350">
        <v>4068.66</v>
      </c>
      <c r="CP12" s="351"/>
      <c r="CQ12" s="350">
        <v>4068.66</v>
      </c>
      <c r="CR12" s="351"/>
      <c r="CT12" s="350">
        <v>4068.66</v>
      </c>
      <c r="CU12" s="351"/>
      <c r="CV12" s="350">
        <v>4068.66</v>
      </c>
      <c r="CW12" s="351"/>
      <c r="CX12" s="350">
        <v>4068.66</v>
      </c>
      <c r="CY12" s="351"/>
      <c r="DA12" s="350">
        <v>4068.66</v>
      </c>
      <c r="DB12" s="351"/>
      <c r="DC12" s="350">
        <v>4068.66</v>
      </c>
      <c r="DD12" s="351"/>
      <c r="DE12" s="350">
        <v>4068.66</v>
      </c>
      <c r="DF12" s="351"/>
      <c r="DH12" s="350">
        <v>4068.66</v>
      </c>
      <c r="DI12" s="351"/>
      <c r="DJ12" s="350">
        <v>4068.66</v>
      </c>
      <c r="DK12" s="351"/>
      <c r="DL12" s="350">
        <v>4068.66</v>
      </c>
      <c r="DM12" s="351"/>
    </row>
    <row r="13" spans="1:117" s="4" customFormat="1" x14ac:dyDescent="0.45">
      <c r="A13" s="561"/>
      <c r="B13" s="1204"/>
      <c r="C13" s="25"/>
      <c r="D13" s="26"/>
      <c r="E13" s="26"/>
      <c r="F13" s="27"/>
      <c r="G13" s="28"/>
      <c r="H13" s="27"/>
      <c r="I13" s="28"/>
      <c r="J13" s="27"/>
      <c r="K13" s="28"/>
      <c r="L13" s="27"/>
      <c r="M13" s="28"/>
      <c r="N13" s="352"/>
      <c r="O13" s="353"/>
      <c r="P13" s="352"/>
      <c r="Q13" s="353"/>
      <c r="R13" s="352"/>
      <c r="S13" s="353"/>
      <c r="T13" s="352"/>
      <c r="U13" s="353"/>
      <c r="V13" s="352"/>
      <c r="W13" s="353"/>
      <c r="X13" s="352"/>
      <c r="Y13" s="353"/>
      <c r="Z13" s="352"/>
      <c r="AA13" s="353"/>
      <c r="AB13" s="352"/>
      <c r="AC13" s="353"/>
      <c r="AD13" s="352"/>
      <c r="AE13" s="353"/>
      <c r="AF13" s="620"/>
      <c r="AG13" s="631"/>
      <c r="AH13" s="352"/>
      <c r="AI13" s="353"/>
      <c r="AJ13" s="352"/>
      <c r="AK13" s="353"/>
      <c r="AL13" s="352"/>
      <c r="AM13" s="353"/>
      <c r="AN13" s="630"/>
      <c r="AO13" s="630"/>
      <c r="AP13" s="630"/>
      <c r="AR13" s="352"/>
      <c r="AS13" s="353"/>
      <c r="AT13" s="352"/>
      <c r="AU13" s="353"/>
      <c r="AV13" s="352"/>
      <c r="AW13" s="353"/>
      <c r="AX13" s="630"/>
      <c r="AY13" s="630"/>
      <c r="AZ13" s="630"/>
      <c r="BB13" s="352"/>
      <c r="BC13" s="353"/>
      <c r="BD13" s="352"/>
      <c r="BE13" s="353"/>
      <c r="BF13" s="352"/>
      <c r="BG13" s="353"/>
      <c r="BH13" s="630"/>
      <c r="BI13" s="630"/>
      <c r="BJ13" s="630"/>
      <c r="BL13" s="352"/>
      <c r="BM13" s="353"/>
      <c r="BN13" s="352"/>
      <c r="BO13" s="353"/>
      <c r="BP13" s="352"/>
      <c r="BQ13" s="353"/>
      <c r="BR13" s="630"/>
      <c r="BS13" s="630"/>
      <c r="BT13" s="630"/>
      <c r="BV13" s="352"/>
      <c r="BW13" s="353"/>
      <c r="BY13" s="352"/>
      <c r="BZ13" s="353"/>
      <c r="CA13" s="352"/>
      <c r="CB13" s="353"/>
      <c r="CC13" s="352"/>
      <c r="CD13" s="353"/>
      <c r="CF13" s="352"/>
      <c r="CG13" s="353"/>
      <c r="CH13" s="352"/>
      <c r="CI13" s="353"/>
      <c r="CJ13" s="352"/>
      <c r="CK13" s="353"/>
      <c r="CM13" s="352"/>
      <c r="CN13" s="353"/>
      <c r="CO13" s="352"/>
      <c r="CP13" s="353"/>
      <c r="CQ13" s="352"/>
      <c r="CR13" s="353"/>
      <c r="CT13" s="352"/>
      <c r="CU13" s="353"/>
      <c r="CV13" s="352"/>
      <c r="CW13" s="353"/>
      <c r="CX13" s="352"/>
      <c r="CY13" s="353"/>
      <c r="DA13" s="352"/>
      <c r="DB13" s="353"/>
      <c r="DC13" s="352"/>
      <c r="DD13" s="353"/>
      <c r="DE13" s="352"/>
      <c r="DF13" s="353"/>
      <c r="DH13" s="352"/>
      <c r="DI13" s="353"/>
      <c r="DJ13" s="352"/>
      <c r="DK13" s="353"/>
      <c r="DL13" s="352"/>
      <c r="DM13" s="353"/>
    </row>
    <row r="14" spans="1:117" s="4" customFormat="1" x14ac:dyDescent="0.45">
      <c r="A14" s="561"/>
      <c r="B14" s="29"/>
      <c r="C14" s="15"/>
      <c r="D14" s="16"/>
      <c r="E14" s="16"/>
      <c r="F14" s="17"/>
      <c r="G14" s="18"/>
      <c r="H14" s="17"/>
      <c r="I14" s="18"/>
      <c r="J14" s="17"/>
      <c r="K14" s="18"/>
      <c r="L14" s="17"/>
      <c r="M14" s="18"/>
      <c r="N14" s="354"/>
      <c r="O14" s="355"/>
      <c r="P14" s="354"/>
      <c r="Q14" s="355"/>
      <c r="R14" s="354"/>
      <c r="S14" s="355"/>
      <c r="T14" s="354"/>
      <c r="U14" s="355"/>
      <c r="V14" s="354"/>
      <c r="W14" s="355"/>
      <c r="X14" s="354"/>
      <c r="Y14" s="355"/>
      <c r="Z14" s="354"/>
      <c r="AA14" s="355"/>
      <c r="AB14" s="354"/>
      <c r="AC14" s="355"/>
      <c r="AD14" s="354"/>
      <c r="AE14" s="355"/>
      <c r="AF14" s="620"/>
      <c r="AG14" s="632"/>
      <c r="AH14" s="354"/>
      <c r="AI14" s="355"/>
      <c r="AJ14" s="354"/>
      <c r="AK14" s="355"/>
      <c r="AL14" s="354"/>
      <c r="AM14" s="355"/>
      <c r="AN14" s="632"/>
      <c r="AO14" s="632"/>
      <c r="AP14" s="632"/>
      <c r="AR14" s="354"/>
      <c r="AS14" s="355"/>
      <c r="AT14" s="354"/>
      <c r="AU14" s="355"/>
      <c r="AV14" s="354"/>
      <c r="AW14" s="355"/>
      <c r="AX14" s="632"/>
      <c r="AY14" s="632"/>
      <c r="AZ14" s="632"/>
      <c r="BB14" s="354"/>
      <c r="BC14" s="355"/>
      <c r="BD14" s="354"/>
      <c r="BE14" s="355"/>
      <c r="BF14" s="354"/>
      <c r="BG14" s="355"/>
      <c r="BH14" s="632"/>
      <c r="BI14" s="632"/>
      <c r="BJ14" s="632"/>
      <c r="BL14" s="354"/>
      <c r="BM14" s="355"/>
      <c r="BN14" s="354"/>
      <c r="BO14" s="355"/>
      <c r="BP14" s="354"/>
      <c r="BQ14" s="355"/>
      <c r="BR14" s="632"/>
      <c r="BS14" s="632"/>
      <c r="BT14" s="632"/>
      <c r="BV14" s="354"/>
      <c r="BW14" s="355"/>
      <c r="BY14" s="354"/>
      <c r="BZ14" s="355"/>
      <c r="CA14" s="354"/>
      <c r="CB14" s="355"/>
      <c r="CC14" s="354"/>
      <c r="CD14" s="355"/>
      <c r="CF14" s="354"/>
      <c r="CG14" s="355"/>
      <c r="CH14" s="354"/>
      <c r="CI14" s="355"/>
      <c r="CJ14" s="354"/>
      <c r="CK14" s="355"/>
      <c r="CM14" s="354"/>
      <c r="CN14" s="355"/>
      <c r="CO14" s="354"/>
      <c r="CP14" s="355"/>
      <c r="CQ14" s="354"/>
      <c r="CR14" s="355"/>
      <c r="CT14" s="354"/>
      <c r="CU14" s="355"/>
      <c r="CV14" s="354"/>
      <c r="CW14" s="355"/>
      <c r="CX14" s="354"/>
      <c r="CY14" s="355"/>
      <c r="DA14" s="354"/>
      <c r="DB14" s="355"/>
      <c r="DC14" s="354"/>
      <c r="DD14" s="355"/>
      <c r="DE14" s="354"/>
      <c r="DF14" s="355"/>
      <c r="DH14" s="354"/>
      <c r="DI14" s="355"/>
      <c r="DJ14" s="354"/>
      <c r="DK14" s="355"/>
      <c r="DL14" s="354"/>
      <c r="DM14" s="355"/>
    </row>
    <row r="15" spans="1:117" s="4" customFormat="1" ht="18" customHeight="1" x14ac:dyDescent="0.45">
      <c r="A15" s="561"/>
      <c r="B15" s="1194" t="s">
        <v>28</v>
      </c>
      <c r="C15" s="19" t="s">
        <v>29</v>
      </c>
      <c r="D15" s="20"/>
      <c r="E15" s="30"/>
      <c r="F15" s="31">
        <v>1000</v>
      </c>
      <c r="G15" s="32">
        <f>+F15/F12</f>
        <v>0.24578116628079025</v>
      </c>
      <c r="H15" s="31">
        <v>1000</v>
      </c>
      <c r="I15" s="32">
        <f>+H15/H12</f>
        <v>0.24578116628079025</v>
      </c>
      <c r="J15" s="31">
        <v>1000</v>
      </c>
      <c r="K15" s="32">
        <f t="shared" ref="K15" si="34">+J15/J12</f>
        <v>0.24578116628079025</v>
      </c>
      <c r="L15" s="31">
        <v>1000</v>
      </c>
      <c r="M15" s="32">
        <f t="shared" ref="M15" si="35">+L15/L12</f>
        <v>0.24578116628079025</v>
      </c>
      <c r="N15" s="31">
        <v>1000</v>
      </c>
      <c r="O15" s="32">
        <f>+N15/N12</f>
        <v>0.24578116628079025</v>
      </c>
      <c r="P15" s="31">
        <v>1000</v>
      </c>
      <c r="Q15" s="32">
        <f>+P15/P12</f>
        <v>0.24578116628079025</v>
      </c>
      <c r="R15" s="31">
        <v>1000</v>
      </c>
      <c r="S15" s="32">
        <f>+R15/R12</f>
        <v>0.24578116628079025</v>
      </c>
      <c r="T15" s="31">
        <v>1000</v>
      </c>
      <c r="U15" s="32">
        <f>+T15/T12</f>
        <v>0.24578116628079025</v>
      </c>
      <c r="V15" s="31">
        <v>1000</v>
      </c>
      <c r="W15" s="32">
        <f>+V15/V12</f>
        <v>0.24578116628079025</v>
      </c>
      <c r="X15" s="31">
        <v>1000</v>
      </c>
      <c r="Y15" s="32">
        <f>+X15/X12</f>
        <v>0.24578116628079025</v>
      </c>
      <c r="Z15" s="31">
        <v>1000</v>
      </c>
      <c r="AA15" s="32">
        <f>+Z15/Z12</f>
        <v>0.24578116628079025</v>
      </c>
      <c r="AB15" s="31">
        <v>1000</v>
      </c>
      <c r="AC15" s="32">
        <f>+AB15/AB12</f>
        <v>0.24578116628079025</v>
      </c>
      <c r="AD15" s="31">
        <v>1000</v>
      </c>
      <c r="AE15" s="32">
        <f>+AD15/AD12</f>
        <v>0.24578116628079025</v>
      </c>
      <c r="AF15" s="620"/>
      <c r="AG15" s="630"/>
      <c r="AH15" s="31">
        <v>1000</v>
      </c>
      <c r="AI15" s="32">
        <f>+AH15/AH12</f>
        <v>0.24578116628079025</v>
      </c>
      <c r="AJ15" s="31">
        <v>1000</v>
      </c>
      <c r="AK15" s="32">
        <f>+AJ15/AJ12</f>
        <v>0.24578116628079025</v>
      </c>
      <c r="AL15" s="31">
        <v>1000</v>
      </c>
      <c r="AM15" s="32">
        <f>+AL15/AL12</f>
        <v>0.24578116628079025</v>
      </c>
      <c r="AN15" s="271"/>
      <c r="AO15" s="271"/>
      <c r="AP15" s="271"/>
      <c r="AR15" s="31">
        <v>1000</v>
      </c>
      <c r="AS15" s="32">
        <f>+AR15/AR12</f>
        <v>0.24578116628079025</v>
      </c>
      <c r="AT15" s="31">
        <v>1000</v>
      </c>
      <c r="AU15" s="32">
        <f>+AT15/AT12</f>
        <v>0.24578116628079025</v>
      </c>
      <c r="AV15" s="31">
        <v>1000</v>
      </c>
      <c r="AW15" s="32">
        <f>+AV15/AV12</f>
        <v>0.24578116628079025</v>
      </c>
      <c r="AX15" s="271"/>
      <c r="AY15" s="271"/>
      <c r="AZ15" s="271"/>
      <c r="BB15" s="31">
        <v>1200</v>
      </c>
      <c r="BC15" s="32">
        <f>+BB15/BB12</f>
        <v>0.29493739953694831</v>
      </c>
      <c r="BD15" s="31">
        <v>1200</v>
      </c>
      <c r="BE15" s="32">
        <f>+BD15/BD12</f>
        <v>0.29493739953694831</v>
      </c>
      <c r="BF15" s="31">
        <v>1200</v>
      </c>
      <c r="BG15" s="32">
        <f>+BF15/BF12</f>
        <v>0.29493739953694831</v>
      </c>
      <c r="BH15" s="271"/>
      <c r="BI15" s="271"/>
      <c r="BJ15" s="271"/>
      <c r="BL15" s="31">
        <v>1200</v>
      </c>
      <c r="BM15" s="32">
        <f>+BL15/BL12</f>
        <v>0.29493739953694831</v>
      </c>
      <c r="BN15" s="31">
        <v>1200</v>
      </c>
      <c r="BO15" s="32">
        <f>+BN15/BN12</f>
        <v>0.29493739953694831</v>
      </c>
      <c r="BP15" s="31">
        <v>1200</v>
      </c>
      <c r="BQ15" s="32">
        <f>+BP15/BP12</f>
        <v>0.29493739953694831</v>
      </c>
      <c r="BR15" s="271"/>
      <c r="BS15" s="271"/>
      <c r="BT15" s="271"/>
      <c r="BV15" s="31">
        <v>1200</v>
      </c>
      <c r="BW15" s="32">
        <f>+BV15/BV12</f>
        <v>0.29493739953694831</v>
      </c>
      <c r="BY15" s="31">
        <v>1100</v>
      </c>
      <c r="BZ15" s="32">
        <f>+BY15/BY12</f>
        <v>0.27035928290886929</v>
      </c>
      <c r="CA15" s="31">
        <v>1100</v>
      </c>
      <c r="CB15" s="32">
        <f>+CA15/CA12</f>
        <v>0.27035928290886929</v>
      </c>
      <c r="CC15" s="31">
        <v>1100</v>
      </c>
      <c r="CD15" s="32">
        <f>+CC15/CC12</f>
        <v>0.27035928290886929</v>
      </c>
      <c r="CF15" s="31">
        <v>1200</v>
      </c>
      <c r="CG15" s="32">
        <f>+CF15/CF12</f>
        <v>0.29493739953694831</v>
      </c>
      <c r="CH15" s="31">
        <v>1200</v>
      </c>
      <c r="CI15" s="32">
        <f>+CH15/CH12</f>
        <v>0.29493739953694831</v>
      </c>
      <c r="CJ15" s="31">
        <v>1200</v>
      </c>
      <c r="CK15" s="32">
        <f>+CJ15/CJ12</f>
        <v>0.29493739953694831</v>
      </c>
      <c r="CM15" s="31">
        <v>1200</v>
      </c>
      <c r="CN15" s="32">
        <f>+CM15/CM12</f>
        <v>0.29493739953694831</v>
      </c>
      <c r="CO15" s="31">
        <v>1200</v>
      </c>
      <c r="CP15" s="32">
        <f>+CO15/CO12</f>
        <v>0.29493739953694831</v>
      </c>
      <c r="CQ15" s="31">
        <v>1200</v>
      </c>
      <c r="CR15" s="32">
        <f>+CQ15/CQ12</f>
        <v>0.29493739953694831</v>
      </c>
      <c r="CT15" s="31">
        <v>1100</v>
      </c>
      <c r="CU15" s="32">
        <f>+CT15/CT12</f>
        <v>0.27035928290886929</v>
      </c>
      <c r="CV15" s="31">
        <f>CT15</f>
        <v>1100</v>
      </c>
      <c r="CW15" s="32">
        <f t="shared" ref="CW15" si="36">+CV15/CV12</f>
        <v>0.27035928290886929</v>
      </c>
      <c r="CX15" s="31">
        <f>CT15</f>
        <v>1100</v>
      </c>
      <c r="CY15" s="32">
        <f t="shared" ref="CY15" si="37">+CX15/CX12</f>
        <v>0.27035928290886929</v>
      </c>
      <c r="DA15" s="31">
        <v>1200</v>
      </c>
      <c r="DB15" s="32">
        <f>+DA15/DA12</f>
        <v>0.29493739953694831</v>
      </c>
      <c r="DC15" s="31">
        <f>DA15</f>
        <v>1200</v>
      </c>
      <c r="DD15" s="32">
        <f t="shared" ref="DD15" si="38">+DC15/DC12</f>
        <v>0.29493739953694831</v>
      </c>
      <c r="DE15" s="31">
        <f>DA15</f>
        <v>1200</v>
      </c>
      <c r="DF15" s="32">
        <f t="shared" ref="DF15" si="39">+DE15/DE12</f>
        <v>0.29493739953694831</v>
      </c>
      <c r="DH15" s="31">
        <v>1100</v>
      </c>
      <c r="DI15" s="32">
        <f>+DH15/DH12</f>
        <v>0.27035928290886929</v>
      </c>
      <c r="DJ15" s="31">
        <f>DH15</f>
        <v>1100</v>
      </c>
      <c r="DK15" s="32">
        <f t="shared" ref="DK15" si="40">+DJ15/DJ12</f>
        <v>0.27035928290886929</v>
      </c>
      <c r="DL15" s="31">
        <f>DH15</f>
        <v>1100</v>
      </c>
      <c r="DM15" s="32">
        <f t="shared" ref="DM15" si="41">+DL15/DL12</f>
        <v>0.27035928290886929</v>
      </c>
    </row>
    <row r="16" spans="1:117" s="4" customFormat="1" ht="18" customHeight="1" x14ac:dyDescent="0.45">
      <c r="A16" s="561"/>
      <c r="B16" s="1194"/>
      <c r="C16" s="33" t="s">
        <v>30</v>
      </c>
      <c r="D16" s="20"/>
      <c r="E16" s="30"/>
      <c r="F16" s="31">
        <f t="shared" ref="F16:AE16" si="42">+F15*F10</f>
        <v>40000</v>
      </c>
      <c r="G16" s="32">
        <f t="shared" si="42"/>
        <v>9.8312466512316092</v>
      </c>
      <c r="H16" s="31">
        <f t="shared" si="42"/>
        <v>40000</v>
      </c>
      <c r="I16" s="32">
        <f t="shared" si="42"/>
        <v>9.8312466512316092</v>
      </c>
      <c r="J16" s="31">
        <f t="shared" si="42"/>
        <v>40000</v>
      </c>
      <c r="K16" s="32">
        <f t="shared" si="42"/>
        <v>9.8312466512316092</v>
      </c>
      <c r="L16" s="31">
        <f t="shared" si="42"/>
        <v>40000</v>
      </c>
      <c r="M16" s="32">
        <f t="shared" si="42"/>
        <v>9.8312466512316092</v>
      </c>
      <c r="N16" s="31">
        <f t="shared" si="42"/>
        <v>40000</v>
      </c>
      <c r="O16" s="32">
        <f t="shared" si="42"/>
        <v>9.8312466512316092</v>
      </c>
      <c r="P16" s="31">
        <f t="shared" si="42"/>
        <v>40000</v>
      </c>
      <c r="Q16" s="32">
        <f t="shared" si="42"/>
        <v>9.8312466512316092</v>
      </c>
      <c r="R16" s="31">
        <f t="shared" si="42"/>
        <v>40000</v>
      </c>
      <c r="S16" s="32">
        <f t="shared" si="42"/>
        <v>9.8312466512316092</v>
      </c>
      <c r="T16" s="31">
        <f t="shared" si="42"/>
        <v>40000</v>
      </c>
      <c r="U16" s="32">
        <f t="shared" si="42"/>
        <v>9.8312466512316092</v>
      </c>
      <c r="V16" s="31">
        <f t="shared" si="42"/>
        <v>40000</v>
      </c>
      <c r="W16" s="32">
        <f t="shared" si="42"/>
        <v>9.8312466512316092</v>
      </c>
      <c r="X16" s="31">
        <f t="shared" si="42"/>
        <v>40000</v>
      </c>
      <c r="Y16" s="32">
        <f t="shared" si="42"/>
        <v>9.8312466512316092</v>
      </c>
      <c r="Z16" s="31">
        <f t="shared" si="42"/>
        <v>40000</v>
      </c>
      <c r="AA16" s="32">
        <f t="shared" si="42"/>
        <v>9.8312466512316092</v>
      </c>
      <c r="AB16" s="31">
        <f t="shared" si="42"/>
        <v>40000</v>
      </c>
      <c r="AC16" s="32">
        <f t="shared" si="42"/>
        <v>9.8312466512316092</v>
      </c>
      <c r="AD16" s="31">
        <f t="shared" si="42"/>
        <v>40000</v>
      </c>
      <c r="AE16" s="32">
        <f t="shared" si="42"/>
        <v>9.8312466512316092</v>
      </c>
      <c r="AF16" s="620"/>
      <c r="AG16" s="630"/>
      <c r="AH16" s="31">
        <f t="shared" ref="AH16:AM16" si="43">+AH15*AH10</f>
        <v>40000</v>
      </c>
      <c r="AI16" s="32">
        <f t="shared" si="43"/>
        <v>9.8312466512316092</v>
      </c>
      <c r="AJ16" s="31">
        <f t="shared" si="43"/>
        <v>40000</v>
      </c>
      <c r="AK16" s="32">
        <f t="shared" si="43"/>
        <v>9.8312466512316092</v>
      </c>
      <c r="AL16" s="31">
        <f t="shared" si="43"/>
        <v>40000</v>
      </c>
      <c r="AM16" s="32">
        <f t="shared" si="43"/>
        <v>9.8312466512316092</v>
      </c>
      <c r="AN16" s="271"/>
      <c r="AO16" s="271"/>
      <c r="AP16" s="271"/>
      <c r="AR16" s="31">
        <f t="shared" ref="AR16:AW16" si="44">+AR15*AR10</f>
        <v>40000</v>
      </c>
      <c r="AS16" s="32">
        <f t="shared" si="44"/>
        <v>9.8312466512316092</v>
      </c>
      <c r="AT16" s="31">
        <f t="shared" si="44"/>
        <v>40000</v>
      </c>
      <c r="AU16" s="32">
        <f t="shared" si="44"/>
        <v>9.8312466512316092</v>
      </c>
      <c r="AV16" s="31">
        <f t="shared" si="44"/>
        <v>40000</v>
      </c>
      <c r="AW16" s="32">
        <f t="shared" si="44"/>
        <v>9.8312466512316092</v>
      </c>
      <c r="AX16" s="271"/>
      <c r="AY16" s="271"/>
      <c r="AZ16" s="271"/>
      <c r="BB16" s="31">
        <f t="shared" ref="BB16:BG16" si="45">+BB15*BB10</f>
        <v>48000</v>
      </c>
      <c r="BC16" s="32">
        <f t="shared" si="45"/>
        <v>11.797495981477933</v>
      </c>
      <c r="BD16" s="31">
        <f t="shared" si="45"/>
        <v>48000</v>
      </c>
      <c r="BE16" s="32">
        <f t="shared" si="45"/>
        <v>11.797495981477933</v>
      </c>
      <c r="BF16" s="31">
        <f t="shared" si="45"/>
        <v>48000</v>
      </c>
      <c r="BG16" s="32">
        <f t="shared" si="45"/>
        <v>11.797495981477933</v>
      </c>
      <c r="BH16" s="271"/>
      <c r="BI16" s="271"/>
      <c r="BJ16" s="271"/>
      <c r="BL16" s="31">
        <f t="shared" ref="BL16:BQ16" si="46">+BL15*BL10</f>
        <v>48000</v>
      </c>
      <c r="BM16" s="32">
        <f t="shared" si="46"/>
        <v>11.797495981477933</v>
      </c>
      <c r="BN16" s="31">
        <f t="shared" si="46"/>
        <v>48000</v>
      </c>
      <c r="BO16" s="32">
        <f t="shared" si="46"/>
        <v>11.797495981477933</v>
      </c>
      <c r="BP16" s="31">
        <f t="shared" si="46"/>
        <v>48000</v>
      </c>
      <c r="BQ16" s="32">
        <f t="shared" si="46"/>
        <v>11.797495981477933</v>
      </c>
      <c r="BR16" s="271"/>
      <c r="BS16" s="271"/>
      <c r="BT16" s="271"/>
      <c r="BV16" s="31">
        <f t="shared" ref="BV16:BW16" si="47">+BV15*BV10</f>
        <v>48000</v>
      </c>
      <c r="BW16" s="32">
        <f t="shared" si="47"/>
        <v>11.797495981477933</v>
      </c>
      <c r="BY16" s="31">
        <f t="shared" ref="BY16:CD16" si="48">+BY15*BY10</f>
        <v>44000</v>
      </c>
      <c r="BZ16" s="32">
        <f t="shared" si="48"/>
        <v>10.814371316354771</v>
      </c>
      <c r="CA16" s="31">
        <f t="shared" si="48"/>
        <v>44000</v>
      </c>
      <c r="CB16" s="32">
        <f t="shared" si="48"/>
        <v>10.814371316354771</v>
      </c>
      <c r="CC16" s="31">
        <f t="shared" si="48"/>
        <v>44000</v>
      </c>
      <c r="CD16" s="32">
        <f t="shared" si="48"/>
        <v>10.814371316354771</v>
      </c>
      <c r="CF16" s="31">
        <f t="shared" ref="CF16:CK16" si="49">+CF15*CF10</f>
        <v>48000</v>
      </c>
      <c r="CG16" s="32">
        <f t="shared" si="49"/>
        <v>11.797495981477933</v>
      </c>
      <c r="CH16" s="31">
        <f t="shared" si="49"/>
        <v>48000</v>
      </c>
      <c r="CI16" s="32">
        <f t="shared" si="49"/>
        <v>11.797495981477933</v>
      </c>
      <c r="CJ16" s="31">
        <f t="shared" si="49"/>
        <v>48000</v>
      </c>
      <c r="CK16" s="32">
        <f t="shared" si="49"/>
        <v>11.797495981477933</v>
      </c>
      <c r="CM16" s="31">
        <f t="shared" ref="CM16:CR16" si="50">+CM15*CM10</f>
        <v>48000</v>
      </c>
      <c r="CN16" s="32">
        <f t="shared" si="50"/>
        <v>11.797495981477933</v>
      </c>
      <c r="CO16" s="31">
        <f t="shared" si="50"/>
        <v>48000</v>
      </c>
      <c r="CP16" s="32">
        <f t="shared" si="50"/>
        <v>11.797495981477933</v>
      </c>
      <c r="CQ16" s="31">
        <f t="shared" si="50"/>
        <v>48000</v>
      </c>
      <c r="CR16" s="32">
        <f t="shared" si="50"/>
        <v>11.797495981477933</v>
      </c>
      <c r="CT16" s="31">
        <f t="shared" ref="CT16:CY16" si="51">+CT15*CT10</f>
        <v>44000</v>
      </c>
      <c r="CU16" s="32">
        <f t="shared" si="51"/>
        <v>10.814371316354771</v>
      </c>
      <c r="CV16" s="31">
        <f t="shared" si="51"/>
        <v>44000</v>
      </c>
      <c r="CW16" s="32">
        <f t="shared" si="51"/>
        <v>10.814371316354771</v>
      </c>
      <c r="CX16" s="31">
        <f t="shared" si="51"/>
        <v>44000</v>
      </c>
      <c r="CY16" s="32">
        <f t="shared" si="51"/>
        <v>10.814371316354771</v>
      </c>
      <c r="DA16" s="31">
        <f t="shared" ref="DA16:DF16" si="52">+DA15*DA10</f>
        <v>48000</v>
      </c>
      <c r="DB16" s="32">
        <f t="shared" si="52"/>
        <v>11.797495981477933</v>
      </c>
      <c r="DC16" s="31">
        <f t="shared" si="52"/>
        <v>48000</v>
      </c>
      <c r="DD16" s="32">
        <f t="shared" si="52"/>
        <v>11.797495981477933</v>
      </c>
      <c r="DE16" s="31">
        <f t="shared" si="52"/>
        <v>48000</v>
      </c>
      <c r="DF16" s="32">
        <f t="shared" si="52"/>
        <v>11.797495981477933</v>
      </c>
      <c r="DH16" s="31">
        <f t="shared" ref="DH16:DM16" si="53">+DH15*DH10</f>
        <v>44000</v>
      </c>
      <c r="DI16" s="32">
        <f t="shared" si="53"/>
        <v>10.814371316354771</v>
      </c>
      <c r="DJ16" s="31">
        <f t="shared" si="53"/>
        <v>44000</v>
      </c>
      <c r="DK16" s="32">
        <f t="shared" si="53"/>
        <v>10.814371316354771</v>
      </c>
      <c r="DL16" s="31">
        <f t="shared" si="53"/>
        <v>44000</v>
      </c>
      <c r="DM16" s="32">
        <f t="shared" si="53"/>
        <v>10.814371316354771</v>
      </c>
    </row>
    <row r="17" spans="1:117" s="4" customFormat="1" ht="18" customHeight="1" x14ac:dyDescent="0.45">
      <c r="A17" s="561"/>
      <c r="B17" s="1194"/>
      <c r="C17" s="15" t="s">
        <v>31</v>
      </c>
      <c r="D17" s="34" t="s">
        <v>32</v>
      </c>
      <c r="E17" s="35"/>
      <c r="F17" s="23">
        <v>0</v>
      </c>
      <c r="G17" s="24">
        <v>0</v>
      </c>
      <c r="H17" s="23">
        <v>0</v>
      </c>
      <c r="I17" s="24">
        <v>0</v>
      </c>
      <c r="J17" s="23">
        <v>0</v>
      </c>
      <c r="K17" s="24">
        <v>0</v>
      </c>
      <c r="L17" s="23">
        <v>0</v>
      </c>
      <c r="M17" s="24">
        <v>0</v>
      </c>
      <c r="N17" s="350">
        <v>0</v>
      </c>
      <c r="O17" s="351">
        <v>0</v>
      </c>
      <c r="P17" s="350">
        <v>0</v>
      </c>
      <c r="Q17" s="351">
        <v>0</v>
      </c>
      <c r="R17" s="350">
        <v>0</v>
      </c>
      <c r="S17" s="351">
        <v>0</v>
      </c>
      <c r="T17" s="350">
        <v>0</v>
      </c>
      <c r="U17" s="351">
        <v>0</v>
      </c>
      <c r="V17" s="350">
        <v>0</v>
      </c>
      <c r="W17" s="351">
        <v>0</v>
      </c>
      <c r="X17" s="350">
        <v>0</v>
      </c>
      <c r="Y17" s="351">
        <v>0</v>
      </c>
      <c r="Z17" s="350">
        <v>0</v>
      </c>
      <c r="AA17" s="351">
        <v>0</v>
      </c>
      <c r="AB17" s="350">
        <v>0</v>
      </c>
      <c r="AC17" s="351">
        <v>0</v>
      </c>
      <c r="AD17" s="350">
        <v>0</v>
      </c>
      <c r="AE17" s="351">
        <v>0</v>
      </c>
      <c r="AF17" s="620"/>
      <c r="AG17" s="630"/>
      <c r="AH17" s="350">
        <v>0</v>
      </c>
      <c r="AI17" s="351">
        <v>0</v>
      </c>
      <c r="AJ17" s="350">
        <v>0</v>
      </c>
      <c r="AK17" s="351">
        <v>0</v>
      </c>
      <c r="AL17" s="350">
        <v>0</v>
      </c>
      <c r="AM17" s="351">
        <v>0</v>
      </c>
      <c r="AN17" s="630"/>
      <c r="AO17" s="630"/>
      <c r="AP17" s="630"/>
      <c r="AR17" s="350">
        <v>0</v>
      </c>
      <c r="AS17" s="351">
        <v>0</v>
      </c>
      <c r="AT17" s="350">
        <v>0</v>
      </c>
      <c r="AU17" s="351">
        <v>0</v>
      </c>
      <c r="AV17" s="350">
        <v>0</v>
      </c>
      <c r="AW17" s="351">
        <v>0</v>
      </c>
      <c r="AX17" s="630"/>
      <c r="AY17" s="630"/>
      <c r="AZ17" s="630"/>
      <c r="BB17" s="350">
        <v>0</v>
      </c>
      <c r="BC17" s="351">
        <v>0</v>
      </c>
      <c r="BD17" s="350">
        <v>0</v>
      </c>
      <c r="BE17" s="351">
        <v>0</v>
      </c>
      <c r="BF17" s="350">
        <v>0</v>
      </c>
      <c r="BG17" s="351">
        <v>0</v>
      </c>
      <c r="BH17" s="630"/>
      <c r="BI17" s="630"/>
      <c r="BJ17" s="630"/>
      <c r="BL17" s="350">
        <v>0</v>
      </c>
      <c r="BM17" s="351">
        <v>0</v>
      </c>
      <c r="BN17" s="350">
        <v>0</v>
      </c>
      <c r="BO17" s="351">
        <v>0</v>
      </c>
      <c r="BP17" s="350">
        <v>0</v>
      </c>
      <c r="BQ17" s="351">
        <v>0</v>
      </c>
      <c r="BR17" s="630"/>
      <c r="BS17" s="630"/>
      <c r="BT17" s="630"/>
      <c r="BV17" s="350">
        <v>0</v>
      </c>
      <c r="BW17" s="351">
        <v>0</v>
      </c>
      <c r="BY17" s="350">
        <v>0</v>
      </c>
      <c r="BZ17" s="351">
        <v>0</v>
      </c>
      <c r="CA17" s="350">
        <v>0</v>
      </c>
      <c r="CB17" s="351">
        <v>0</v>
      </c>
      <c r="CC17" s="350">
        <v>0</v>
      </c>
      <c r="CD17" s="351">
        <v>0</v>
      </c>
      <c r="CF17" s="350">
        <v>0</v>
      </c>
      <c r="CG17" s="351">
        <v>0</v>
      </c>
      <c r="CH17" s="350">
        <v>0</v>
      </c>
      <c r="CI17" s="351">
        <v>0</v>
      </c>
      <c r="CJ17" s="350">
        <v>0</v>
      </c>
      <c r="CK17" s="351">
        <v>0</v>
      </c>
      <c r="CM17" s="350">
        <v>0</v>
      </c>
      <c r="CN17" s="351">
        <v>0</v>
      </c>
      <c r="CO17" s="350">
        <v>0</v>
      </c>
      <c r="CP17" s="351">
        <v>0</v>
      </c>
      <c r="CQ17" s="350">
        <v>0</v>
      </c>
      <c r="CR17" s="351">
        <v>0</v>
      </c>
      <c r="CT17" s="350">
        <v>0</v>
      </c>
      <c r="CU17" s="351">
        <v>0</v>
      </c>
      <c r="CV17" s="350">
        <v>0</v>
      </c>
      <c r="CW17" s="351">
        <v>0</v>
      </c>
      <c r="CX17" s="350">
        <v>0</v>
      </c>
      <c r="CY17" s="351">
        <v>0</v>
      </c>
      <c r="DA17" s="350">
        <v>0</v>
      </c>
      <c r="DB17" s="351">
        <v>0</v>
      </c>
      <c r="DC17" s="350">
        <v>0</v>
      </c>
      <c r="DD17" s="351">
        <v>0</v>
      </c>
      <c r="DE17" s="350">
        <v>0</v>
      </c>
      <c r="DF17" s="351">
        <v>0</v>
      </c>
      <c r="DH17" s="350">
        <v>0</v>
      </c>
      <c r="DI17" s="351">
        <v>0</v>
      </c>
      <c r="DJ17" s="350">
        <v>0</v>
      </c>
      <c r="DK17" s="351">
        <v>0</v>
      </c>
      <c r="DL17" s="350">
        <v>0</v>
      </c>
      <c r="DM17" s="351">
        <v>0</v>
      </c>
    </row>
    <row r="18" spans="1:117" s="4" customFormat="1" ht="18" customHeight="1" x14ac:dyDescent="0.45">
      <c r="A18" s="561"/>
      <c r="B18" s="1194"/>
      <c r="C18" s="15" t="s">
        <v>33</v>
      </c>
      <c r="D18" s="16"/>
      <c r="E18" s="16"/>
      <c r="F18" s="36">
        <v>0</v>
      </c>
      <c r="G18" s="37">
        <v>0</v>
      </c>
      <c r="H18" s="36">
        <v>0</v>
      </c>
      <c r="I18" s="37">
        <v>0</v>
      </c>
      <c r="J18" s="36">
        <v>0</v>
      </c>
      <c r="K18" s="37">
        <v>0</v>
      </c>
      <c r="L18" s="36">
        <v>0</v>
      </c>
      <c r="M18" s="37">
        <v>0</v>
      </c>
      <c r="N18" s="356">
        <v>0</v>
      </c>
      <c r="O18" s="357">
        <v>0</v>
      </c>
      <c r="P18" s="356">
        <v>0</v>
      </c>
      <c r="Q18" s="357">
        <v>0</v>
      </c>
      <c r="R18" s="356">
        <v>0</v>
      </c>
      <c r="S18" s="357">
        <v>0</v>
      </c>
      <c r="T18" s="356">
        <v>0</v>
      </c>
      <c r="U18" s="357">
        <v>0</v>
      </c>
      <c r="V18" s="356">
        <v>0</v>
      </c>
      <c r="W18" s="357">
        <v>0</v>
      </c>
      <c r="X18" s="356">
        <v>0</v>
      </c>
      <c r="Y18" s="357">
        <v>0</v>
      </c>
      <c r="Z18" s="356">
        <v>0</v>
      </c>
      <c r="AA18" s="357">
        <v>0</v>
      </c>
      <c r="AB18" s="356">
        <v>0</v>
      </c>
      <c r="AC18" s="357">
        <v>0</v>
      </c>
      <c r="AD18" s="356">
        <v>0</v>
      </c>
      <c r="AE18" s="357">
        <v>0</v>
      </c>
      <c r="AF18" s="620"/>
      <c r="AG18" s="633"/>
      <c r="AH18" s="356">
        <v>0</v>
      </c>
      <c r="AI18" s="357">
        <v>0</v>
      </c>
      <c r="AJ18" s="356">
        <v>0</v>
      </c>
      <c r="AK18" s="357">
        <v>0</v>
      </c>
      <c r="AL18" s="356">
        <v>0</v>
      </c>
      <c r="AM18" s="357">
        <v>0</v>
      </c>
      <c r="AN18" s="633"/>
      <c r="AO18" s="633"/>
      <c r="AP18" s="633"/>
      <c r="AR18" s="356">
        <v>0</v>
      </c>
      <c r="AS18" s="357">
        <v>0</v>
      </c>
      <c r="AT18" s="356">
        <v>0</v>
      </c>
      <c r="AU18" s="357">
        <v>0</v>
      </c>
      <c r="AV18" s="356">
        <v>0</v>
      </c>
      <c r="AW18" s="357">
        <v>0</v>
      </c>
      <c r="AX18" s="633"/>
      <c r="AY18" s="633"/>
      <c r="AZ18" s="633"/>
      <c r="BB18" s="356">
        <v>0</v>
      </c>
      <c r="BC18" s="357">
        <v>0</v>
      </c>
      <c r="BD18" s="356">
        <v>0</v>
      </c>
      <c r="BE18" s="357">
        <v>0</v>
      </c>
      <c r="BF18" s="356">
        <v>0</v>
      </c>
      <c r="BG18" s="357">
        <v>0</v>
      </c>
      <c r="BH18" s="633"/>
      <c r="BI18" s="633"/>
      <c r="BJ18" s="633"/>
      <c r="BL18" s="356">
        <v>0</v>
      </c>
      <c r="BM18" s="357">
        <v>0</v>
      </c>
      <c r="BN18" s="356">
        <v>0</v>
      </c>
      <c r="BO18" s="357">
        <v>0</v>
      </c>
      <c r="BP18" s="356">
        <v>0</v>
      </c>
      <c r="BQ18" s="357">
        <v>0</v>
      </c>
      <c r="BR18" s="633"/>
      <c r="BS18" s="633"/>
      <c r="BT18" s="633"/>
      <c r="BV18" s="356">
        <v>0</v>
      </c>
      <c r="BW18" s="357">
        <v>0</v>
      </c>
      <c r="BY18" s="356">
        <v>0</v>
      </c>
      <c r="BZ18" s="357">
        <v>0</v>
      </c>
      <c r="CA18" s="356">
        <v>0</v>
      </c>
      <c r="CB18" s="357">
        <v>0</v>
      </c>
      <c r="CC18" s="356">
        <v>0</v>
      </c>
      <c r="CD18" s="357">
        <v>0</v>
      </c>
      <c r="CF18" s="356">
        <v>0</v>
      </c>
      <c r="CG18" s="357">
        <v>0</v>
      </c>
      <c r="CH18" s="356">
        <v>0</v>
      </c>
      <c r="CI18" s="357">
        <v>0</v>
      </c>
      <c r="CJ18" s="356">
        <v>0</v>
      </c>
      <c r="CK18" s="357">
        <v>0</v>
      </c>
      <c r="CM18" s="356">
        <v>0</v>
      </c>
      <c r="CN18" s="357">
        <v>0</v>
      </c>
      <c r="CO18" s="356">
        <v>0</v>
      </c>
      <c r="CP18" s="357">
        <v>0</v>
      </c>
      <c r="CQ18" s="356">
        <v>0</v>
      </c>
      <c r="CR18" s="357">
        <v>0</v>
      </c>
      <c r="CT18" s="356">
        <v>0</v>
      </c>
      <c r="CU18" s="357">
        <v>0</v>
      </c>
      <c r="CV18" s="356">
        <v>0</v>
      </c>
      <c r="CW18" s="357">
        <v>0</v>
      </c>
      <c r="CX18" s="356">
        <v>0</v>
      </c>
      <c r="CY18" s="357">
        <v>0</v>
      </c>
      <c r="DA18" s="356">
        <v>0</v>
      </c>
      <c r="DB18" s="357">
        <v>0</v>
      </c>
      <c r="DC18" s="356">
        <v>0</v>
      </c>
      <c r="DD18" s="357">
        <v>0</v>
      </c>
      <c r="DE18" s="356">
        <v>0</v>
      </c>
      <c r="DF18" s="357">
        <v>0</v>
      </c>
      <c r="DH18" s="356">
        <v>0</v>
      </c>
      <c r="DI18" s="357">
        <v>0</v>
      </c>
      <c r="DJ18" s="356">
        <v>0</v>
      </c>
      <c r="DK18" s="357">
        <v>0</v>
      </c>
      <c r="DL18" s="356">
        <v>0</v>
      </c>
      <c r="DM18" s="357">
        <v>0</v>
      </c>
    </row>
    <row r="19" spans="1:117" s="4" customFormat="1" ht="18" customHeight="1" x14ac:dyDescent="0.45">
      <c r="A19" s="561"/>
      <c r="B19" s="1194"/>
      <c r="C19" s="19" t="s">
        <v>34</v>
      </c>
      <c r="D19" s="20"/>
      <c r="E19" s="30"/>
      <c r="F19" s="38">
        <f t="shared" ref="F19:AE19" si="54">F15-F17</f>
        <v>1000</v>
      </c>
      <c r="G19" s="32">
        <f t="shared" si="54"/>
        <v>0.24578116628079025</v>
      </c>
      <c r="H19" s="38">
        <f t="shared" si="54"/>
        <v>1000</v>
      </c>
      <c r="I19" s="32">
        <f t="shared" si="54"/>
        <v>0.24578116628079025</v>
      </c>
      <c r="J19" s="38">
        <f t="shared" si="54"/>
        <v>1000</v>
      </c>
      <c r="K19" s="32">
        <f t="shared" si="54"/>
        <v>0.24578116628079025</v>
      </c>
      <c r="L19" s="38">
        <f t="shared" si="54"/>
        <v>1000</v>
      </c>
      <c r="M19" s="32">
        <f t="shared" si="54"/>
        <v>0.24578116628079025</v>
      </c>
      <c r="N19" s="38">
        <f t="shared" si="54"/>
        <v>1000</v>
      </c>
      <c r="O19" s="32">
        <f t="shared" si="54"/>
        <v>0.24578116628079025</v>
      </c>
      <c r="P19" s="38">
        <f t="shared" si="54"/>
        <v>1000</v>
      </c>
      <c r="Q19" s="32">
        <f t="shared" si="54"/>
        <v>0.24578116628079025</v>
      </c>
      <c r="R19" s="38">
        <f t="shared" si="54"/>
        <v>1000</v>
      </c>
      <c r="S19" s="32">
        <f t="shared" si="54"/>
        <v>0.24578116628079025</v>
      </c>
      <c r="T19" s="38">
        <f t="shared" si="54"/>
        <v>1000</v>
      </c>
      <c r="U19" s="32">
        <f t="shared" si="54"/>
        <v>0.24578116628079025</v>
      </c>
      <c r="V19" s="38">
        <f t="shared" si="54"/>
        <v>1000</v>
      </c>
      <c r="W19" s="32">
        <f t="shared" si="54"/>
        <v>0.24578116628079025</v>
      </c>
      <c r="X19" s="38">
        <f t="shared" si="54"/>
        <v>1000</v>
      </c>
      <c r="Y19" s="32">
        <f t="shared" si="54"/>
        <v>0.24578116628079025</v>
      </c>
      <c r="Z19" s="38">
        <f t="shared" si="54"/>
        <v>1000</v>
      </c>
      <c r="AA19" s="32">
        <f t="shared" si="54"/>
        <v>0.24578116628079025</v>
      </c>
      <c r="AB19" s="38">
        <f t="shared" si="54"/>
        <v>1000</v>
      </c>
      <c r="AC19" s="32">
        <f t="shared" si="54"/>
        <v>0.24578116628079025</v>
      </c>
      <c r="AD19" s="38">
        <f t="shared" si="54"/>
        <v>1000</v>
      </c>
      <c r="AE19" s="32">
        <f t="shared" si="54"/>
        <v>0.24578116628079025</v>
      </c>
      <c r="AF19" s="620"/>
      <c r="AG19" s="630"/>
      <c r="AH19" s="38">
        <f t="shared" ref="AH19:AM19" si="55">AH15-AH17</f>
        <v>1000</v>
      </c>
      <c r="AI19" s="32">
        <f t="shared" si="55"/>
        <v>0.24578116628079025</v>
      </c>
      <c r="AJ19" s="38">
        <f t="shared" si="55"/>
        <v>1000</v>
      </c>
      <c r="AK19" s="32">
        <f t="shared" si="55"/>
        <v>0.24578116628079025</v>
      </c>
      <c r="AL19" s="38">
        <f t="shared" si="55"/>
        <v>1000</v>
      </c>
      <c r="AM19" s="32">
        <f t="shared" si="55"/>
        <v>0.24578116628079025</v>
      </c>
      <c r="AN19" s="271"/>
      <c r="AO19" s="271"/>
      <c r="AP19" s="271"/>
      <c r="AR19" s="38">
        <f t="shared" ref="AR19:AW19" si="56">AR15-AR17</f>
        <v>1000</v>
      </c>
      <c r="AS19" s="32">
        <f t="shared" si="56"/>
        <v>0.24578116628079025</v>
      </c>
      <c r="AT19" s="38">
        <f t="shared" si="56"/>
        <v>1000</v>
      </c>
      <c r="AU19" s="32">
        <f t="shared" si="56"/>
        <v>0.24578116628079025</v>
      </c>
      <c r="AV19" s="38">
        <f t="shared" si="56"/>
        <v>1000</v>
      </c>
      <c r="AW19" s="32">
        <f t="shared" si="56"/>
        <v>0.24578116628079025</v>
      </c>
      <c r="AX19" s="271"/>
      <c r="AY19" s="271"/>
      <c r="AZ19" s="271"/>
      <c r="BB19" s="38">
        <f t="shared" ref="BB19:BG19" si="57">BB15-BB17</f>
        <v>1200</v>
      </c>
      <c r="BC19" s="32">
        <f t="shared" si="57"/>
        <v>0.29493739953694831</v>
      </c>
      <c r="BD19" s="38">
        <f t="shared" si="57"/>
        <v>1200</v>
      </c>
      <c r="BE19" s="32">
        <f t="shared" si="57"/>
        <v>0.29493739953694831</v>
      </c>
      <c r="BF19" s="38">
        <f t="shared" si="57"/>
        <v>1200</v>
      </c>
      <c r="BG19" s="32">
        <f t="shared" si="57"/>
        <v>0.29493739953694831</v>
      </c>
      <c r="BH19" s="271"/>
      <c r="BI19" s="271"/>
      <c r="BJ19" s="271"/>
      <c r="BL19" s="38">
        <f t="shared" ref="BL19:BQ19" si="58">BL15-BL17</f>
        <v>1200</v>
      </c>
      <c r="BM19" s="32">
        <f t="shared" si="58"/>
        <v>0.29493739953694831</v>
      </c>
      <c r="BN19" s="38">
        <f t="shared" si="58"/>
        <v>1200</v>
      </c>
      <c r="BO19" s="32">
        <f t="shared" si="58"/>
        <v>0.29493739953694831</v>
      </c>
      <c r="BP19" s="38">
        <f t="shared" si="58"/>
        <v>1200</v>
      </c>
      <c r="BQ19" s="32">
        <f t="shared" si="58"/>
        <v>0.29493739953694831</v>
      </c>
      <c r="BR19" s="271"/>
      <c r="BS19" s="271"/>
      <c r="BT19" s="271"/>
      <c r="BV19" s="38">
        <f t="shared" ref="BV19:BW19" si="59">BV15-BV17</f>
        <v>1200</v>
      </c>
      <c r="BW19" s="32">
        <f t="shared" si="59"/>
        <v>0.29493739953694831</v>
      </c>
      <c r="BY19" s="38">
        <f>BY15-BY17</f>
        <v>1100</v>
      </c>
      <c r="BZ19" s="32">
        <f>BZ15-BZ17</f>
        <v>0.27035928290886929</v>
      </c>
      <c r="CA19" s="38">
        <f>CA15-CA17</f>
        <v>1100</v>
      </c>
      <c r="CB19" s="32">
        <f>CB15-CB17</f>
        <v>0.27035928290886929</v>
      </c>
      <c r="CC19" s="38">
        <v>1200</v>
      </c>
      <c r="CD19" s="32">
        <f>CD15-CD17</f>
        <v>0.27035928290886929</v>
      </c>
      <c r="CF19" s="38">
        <f t="shared" ref="CF19:CK19" si="60">CF15-CF17</f>
        <v>1200</v>
      </c>
      <c r="CG19" s="32">
        <f t="shared" si="60"/>
        <v>0.29493739953694831</v>
      </c>
      <c r="CH19" s="38">
        <f t="shared" si="60"/>
        <v>1200</v>
      </c>
      <c r="CI19" s="32">
        <f t="shared" si="60"/>
        <v>0.29493739953694831</v>
      </c>
      <c r="CJ19" s="38">
        <f t="shared" si="60"/>
        <v>1200</v>
      </c>
      <c r="CK19" s="32">
        <f t="shared" si="60"/>
        <v>0.29493739953694831</v>
      </c>
      <c r="CM19" s="38">
        <f t="shared" ref="CM19:CR19" si="61">CM15-CM17</f>
        <v>1200</v>
      </c>
      <c r="CN19" s="32">
        <f t="shared" si="61"/>
        <v>0.29493739953694831</v>
      </c>
      <c r="CO19" s="38">
        <f t="shared" si="61"/>
        <v>1200</v>
      </c>
      <c r="CP19" s="32">
        <f t="shared" si="61"/>
        <v>0.29493739953694831</v>
      </c>
      <c r="CQ19" s="38">
        <f t="shared" si="61"/>
        <v>1200</v>
      </c>
      <c r="CR19" s="32">
        <f t="shared" si="61"/>
        <v>0.29493739953694831</v>
      </c>
      <c r="CT19" s="38">
        <f t="shared" ref="CT19:CY19" si="62">CT15-CT17</f>
        <v>1100</v>
      </c>
      <c r="CU19" s="32">
        <f t="shared" si="62"/>
        <v>0.27035928290886929</v>
      </c>
      <c r="CV19" s="38">
        <f t="shared" si="62"/>
        <v>1100</v>
      </c>
      <c r="CW19" s="32">
        <f t="shared" si="62"/>
        <v>0.27035928290886929</v>
      </c>
      <c r="CX19" s="38">
        <f t="shared" si="62"/>
        <v>1100</v>
      </c>
      <c r="CY19" s="32">
        <f t="shared" si="62"/>
        <v>0.27035928290886929</v>
      </c>
      <c r="DA19" s="38">
        <f t="shared" ref="DA19:DF19" si="63">DA15-DA17</f>
        <v>1200</v>
      </c>
      <c r="DB19" s="32">
        <f t="shared" si="63"/>
        <v>0.29493739953694831</v>
      </c>
      <c r="DC19" s="38">
        <f t="shared" si="63"/>
        <v>1200</v>
      </c>
      <c r="DD19" s="32">
        <f t="shared" si="63"/>
        <v>0.29493739953694831</v>
      </c>
      <c r="DE19" s="38">
        <f t="shared" si="63"/>
        <v>1200</v>
      </c>
      <c r="DF19" s="32">
        <f t="shared" si="63"/>
        <v>0.29493739953694831</v>
      </c>
      <c r="DH19" s="38">
        <f t="shared" ref="DH19:DM19" si="64">DH15-DH17</f>
        <v>1100</v>
      </c>
      <c r="DI19" s="32">
        <f t="shared" si="64"/>
        <v>0.27035928290886929</v>
      </c>
      <c r="DJ19" s="38">
        <f t="shared" si="64"/>
        <v>1100</v>
      </c>
      <c r="DK19" s="32">
        <f t="shared" si="64"/>
        <v>0.27035928290886929</v>
      </c>
      <c r="DL19" s="38">
        <f t="shared" si="64"/>
        <v>1100</v>
      </c>
      <c r="DM19" s="32">
        <f t="shared" si="64"/>
        <v>0.27035928290886929</v>
      </c>
    </row>
    <row r="20" spans="1:117" s="4" customFormat="1" ht="18" customHeight="1" x14ac:dyDescent="0.45">
      <c r="A20" s="561"/>
      <c r="B20" s="1194"/>
      <c r="C20" s="19" t="s">
        <v>35</v>
      </c>
      <c r="D20" s="20"/>
      <c r="E20" s="30"/>
      <c r="F20" s="39">
        <f t="shared" ref="F20:AE20" si="65">1/(1+F18)*F16</f>
        <v>40000</v>
      </c>
      <c r="G20" s="40">
        <f t="shared" si="65"/>
        <v>9.8312466512316092</v>
      </c>
      <c r="H20" s="39">
        <f t="shared" si="65"/>
        <v>40000</v>
      </c>
      <c r="I20" s="40">
        <f t="shared" si="65"/>
        <v>9.8312466512316092</v>
      </c>
      <c r="J20" s="39">
        <f t="shared" si="65"/>
        <v>40000</v>
      </c>
      <c r="K20" s="40">
        <f t="shared" si="65"/>
        <v>9.8312466512316092</v>
      </c>
      <c r="L20" s="39">
        <f t="shared" si="65"/>
        <v>40000</v>
      </c>
      <c r="M20" s="40">
        <f t="shared" si="65"/>
        <v>9.8312466512316092</v>
      </c>
      <c r="N20" s="39">
        <f t="shared" si="65"/>
        <v>40000</v>
      </c>
      <c r="O20" s="40">
        <f t="shared" si="65"/>
        <v>9.8312466512316092</v>
      </c>
      <c r="P20" s="39">
        <f t="shared" si="65"/>
        <v>40000</v>
      </c>
      <c r="Q20" s="40">
        <f t="shared" si="65"/>
        <v>9.8312466512316092</v>
      </c>
      <c r="R20" s="39">
        <f t="shared" si="65"/>
        <v>40000</v>
      </c>
      <c r="S20" s="40">
        <f t="shared" si="65"/>
        <v>9.8312466512316092</v>
      </c>
      <c r="T20" s="39">
        <f t="shared" si="65"/>
        <v>40000</v>
      </c>
      <c r="U20" s="40">
        <f t="shared" si="65"/>
        <v>9.8312466512316092</v>
      </c>
      <c r="V20" s="39">
        <f t="shared" si="65"/>
        <v>40000</v>
      </c>
      <c r="W20" s="40">
        <f t="shared" si="65"/>
        <v>9.8312466512316092</v>
      </c>
      <c r="X20" s="39">
        <f t="shared" si="65"/>
        <v>40000</v>
      </c>
      <c r="Y20" s="40">
        <f t="shared" si="65"/>
        <v>9.8312466512316092</v>
      </c>
      <c r="Z20" s="39">
        <f t="shared" si="65"/>
        <v>40000</v>
      </c>
      <c r="AA20" s="40">
        <f t="shared" si="65"/>
        <v>9.8312466512316092</v>
      </c>
      <c r="AB20" s="39">
        <f t="shared" si="65"/>
        <v>40000</v>
      </c>
      <c r="AC20" s="40">
        <f t="shared" si="65"/>
        <v>9.8312466512316092</v>
      </c>
      <c r="AD20" s="39">
        <f t="shared" si="65"/>
        <v>40000</v>
      </c>
      <c r="AE20" s="40">
        <f t="shared" si="65"/>
        <v>9.8312466512316092</v>
      </c>
      <c r="AF20" s="620"/>
      <c r="AG20" s="690"/>
      <c r="AH20" s="39">
        <f t="shared" ref="AH20:AM20" si="66">1/(1+AH18)*AH16</f>
        <v>40000</v>
      </c>
      <c r="AI20" s="40">
        <f t="shared" si="66"/>
        <v>9.8312466512316092</v>
      </c>
      <c r="AJ20" s="39">
        <f t="shared" si="66"/>
        <v>40000</v>
      </c>
      <c r="AK20" s="40">
        <f t="shared" si="66"/>
        <v>9.8312466512316092</v>
      </c>
      <c r="AL20" s="39">
        <f t="shared" si="66"/>
        <v>40000</v>
      </c>
      <c r="AM20" s="40">
        <f t="shared" si="66"/>
        <v>9.8312466512316092</v>
      </c>
      <c r="AN20" s="272"/>
      <c r="AO20" s="272"/>
      <c r="AP20" s="272"/>
      <c r="AR20" s="39">
        <f t="shared" ref="AR20:AW20" si="67">1/(1+AR18)*AR16</f>
        <v>40000</v>
      </c>
      <c r="AS20" s="40">
        <f t="shared" si="67"/>
        <v>9.8312466512316092</v>
      </c>
      <c r="AT20" s="39">
        <f t="shared" si="67"/>
        <v>40000</v>
      </c>
      <c r="AU20" s="40">
        <f t="shared" si="67"/>
        <v>9.8312466512316092</v>
      </c>
      <c r="AV20" s="39">
        <f t="shared" si="67"/>
        <v>40000</v>
      </c>
      <c r="AW20" s="40">
        <f t="shared" si="67"/>
        <v>9.8312466512316092</v>
      </c>
      <c r="AX20" s="272"/>
      <c r="AY20" s="272"/>
      <c r="AZ20" s="272"/>
      <c r="BB20" s="39">
        <f t="shared" ref="BB20:BG20" si="68">1/(1+BB18)*BB16</f>
        <v>48000</v>
      </c>
      <c r="BC20" s="40">
        <f t="shared" si="68"/>
        <v>11.797495981477933</v>
      </c>
      <c r="BD20" s="39">
        <f t="shared" si="68"/>
        <v>48000</v>
      </c>
      <c r="BE20" s="40">
        <f t="shared" si="68"/>
        <v>11.797495981477933</v>
      </c>
      <c r="BF20" s="39">
        <f t="shared" si="68"/>
        <v>48000</v>
      </c>
      <c r="BG20" s="40">
        <f t="shared" si="68"/>
        <v>11.797495981477933</v>
      </c>
      <c r="BH20" s="272"/>
      <c r="BI20" s="272"/>
      <c r="BJ20" s="272"/>
      <c r="BL20" s="39">
        <f t="shared" ref="BL20:BQ20" si="69">1/(1+BL18)*BL16</f>
        <v>48000</v>
      </c>
      <c r="BM20" s="40">
        <f t="shared" si="69"/>
        <v>11.797495981477933</v>
      </c>
      <c r="BN20" s="39">
        <f t="shared" si="69"/>
        <v>48000</v>
      </c>
      <c r="BO20" s="40">
        <f t="shared" si="69"/>
        <v>11.797495981477933</v>
      </c>
      <c r="BP20" s="39">
        <f t="shared" si="69"/>
        <v>48000</v>
      </c>
      <c r="BQ20" s="40">
        <f t="shared" si="69"/>
        <v>11.797495981477933</v>
      </c>
      <c r="BR20" s="272"/>
      <c r="BS20" s="272"/>
      <c r="BT20" s="272"/>
      <c r="BV20" s="39">
        <f t="shared" ref="BV20:BW20" si="70">1/(1+BV18)*BV16</f>
        <v>48000</v>
      </c>
      <c r="BW20" s="40">
        <f t="shared" si="70"/>
        <v>11.797495981477933</v>
      </c>
      <c r="BY20" s="39">
        <f t="shared" ref="BY20:CD20" si="71">1/(1+BY18)*BY16</f>
        <v>44000</v>
      </c>
      <c r="BZ20" s="40">
        <f t="shared" si="71"/>
        <v>10.814371316354771</v>
      </c>
      <c r="CA20" s="39">
        <f t="shared" si="71"/>
        <v>44000</v>
      </c>
      <c r="CB20" s="40">
        <f t="shared" si="71"/>
        <v>10.814371316354771</v>
      </c>
      <c r="CC20" s="39">
        <f t="shared" si="71"/>
        <v>44000</v>
      </c>
      <c r="CD20" s="40">
        <f t="shared" si="71"/>
        <v>10.814371316354771</v>
      </c>
      <c r="CF20" s="39">
        <f t="shared" ref="CF20:CK20" si="72">1/(1+CF18)*CF16</f>
        <v>48000</v>
      </c>
      <c r="CG20" s="40">
        <f t="shared" si="72"/>
        <v>11.797495981477933</v>
      </c>
      <c r="CH20" s="39">
        <f t="shared" si="72"/>
        <v>48000</v>
      </c>
      <c r="CI20" s="40">
        <f t="shared" si="72"/>
        <v>11.797495981477933</v>
      </c>
      <c r="CJ20" s="39">
        <f t="shared" si="72"/>
        <v>48000</v>
      </c>
      <c r="CK20" s="40">
        <f t="shared" si="72"/>
        <v>11.797495981477933</v>
      </c>
      <c r="CM20" s="39">
        <f t="shared" ref="CM20:CR20" si="73">1/(1+CM18)*CM16</f>
        <v>48000</v>
      </c>
      <c r="CN20" s="40">
        <f t="shared" si="73"/>
        <v>11.797495981477933</v>
      </c>
      <c r="CO20" s="39">
        <f t="shared" si="73"/>
        <v>48000</v>
      </c>
      <c r="CP20" s="40">
        <f t="shared" si="73"/>
        <v>11.797495981477933</v>
      </c>
      <c r="CQ20" s="39">
        <f t="shared" si="73"/>
        <v>48000</v>
      </c>
      <c r="CR20" s="40">
        <f t="shared" si="73"/>
        <v>11.797495981477933</v>
      </c>
      <c r="CT20" s="39">
        <f t="shared" ref="CT20:CY20" si="74">1/(1+CT18)*CT16</f>
        <v>44000</v>
      </c>
      <c r="CU20" s="40">
        <f t="shared" si="74"/>
        <v>10.814371316354771</v>
      </c>
      <c r="CV20" s="39">
        <f t="shared" si="74"/>
        <v>44000</v>
      </c>
      <c r="CW20" s="40">
        <f t="shared" si="74"/>
        <v>10.814371316354771</v>
      </c>
      <c r="CX20" s="39">
        <f t="shared" si="74"/>
        <v>44000</v>
      </c>
      <c r="CY20" s="40">
        <f t="shared" si="74"/>
        <v>10.814371316354771</v>
      </c>
      <c r="DA20" s="39">
        <f t="shared" ref="DA20:DF20" si="75">1/(1+DA18)*DA16</f>
        <v>48000</v>
      </c>
      <c r="DB20" s="40">
        <f t="shared" si="75"/>
        <v>11.797495981477933</v>
      </c>
      <c r="DC20" s="39">
        <f t="shared" si="75"/>
        <v>48000</v>
      </c>
      <c r="DD20" s="40">
        <f t="shared" si="75"/>
        <v>11.797495981477933</v>
      </c>
      <c r="DE20" s="39">
        <f t="shared" si="75"/>
        <v>48000</v>
      </c>
      <c r="DF20" s="40">
        <f t="shared" si="75"/>
        <v>11.797495981477933</v>
      </c>
      <c r="DH20" s="39">
        <f t="shared" ref="DH20:DM20" si="76">1/(1+DH18)*DH16</f>
        <v>44000</v>
      </c>
      <c r="DI20" s="40">
        <f t="shared" si="76"/>
        <v>10.814371316354771</v>
      </c>
      <c r="DJ20" s="39">
        <f t="shared" si="76"/>
        <v>44000</v>
      </c>
      <c r="DK20" s="40">
        <f t="shared" si="76"/>
        <v>10.814371316354771</v>
      </c>
      <c r="DL20" s="39">
        <f t="shared" si="76"/>
        <v>44000</v>
      </c>
      <c r="DM20" s="40">
        <f t="shared" si="76"/>
        <v>10.814371316354771</v>
      </c>
    </row>
    <row r="21" spans="1:117" s="4" customFormat="1" ht="18" customHeight="1" x14ac:dyDescent="0.45">
      <c r="A21" s="561"/>
      <c r="B21" s="1195"/>
      <c r="C21" s="25"/>
      <c r="D21" s="26"/>
      <c r="E21" s="26"/>
      <c r="F21" s="27"/>
      <c r="G21" s="41"/>
      <c r="H21" s="27"/>
      <c r="I21" s="41"/>
      <c r="J21" s="27"/>
      <c r="K21" s="41"/>
      <c r="L21" s="27"/>
      <c r="M21" s="41"/>
      <c r="N21" s="352"/>
      <c r="O21" s="358"/>
      <c r="P21" s="352"/>
      <c r="Q21" s="358"/>
      <c r="R21" s="352"/>
      <c r="S21" s="358"/>
      <c r="T21" s="352"/>
      <c r="U21" s="358"/>
      <c r="V21" s="352"/>
      <c r="W21" s="358"/>
      <c r="X21" s="352"/>
      <c r="Y21" s="358"/>
      <c r="Z21" s="352"/>
      <c r="AA21" s="358"/>
      <c r="AB21" s="352"/>
      <c r="AC21" s="358"/>
      <c r="AD21" s="352"/>
      <c r="AE21" s="358"/>
      <c r="AF21" s="620"/>
      <c r="AG21" s="634"/>
      <c r="AH21" s="352"/>
      <c r="AI21" s="358"/>
      <c r="AJ21" s="352"/>
      <c r="AK21" s="358"/>
      <c r="AL21" s="352"/>
      <c r="AM21" s="358"/>
      <c r="AN21" s="632"/>
      <c r="AO21" s="632"/>
      <c r="AP21" s="632"/>
      <c r="AR21" s="352"/>
      <c r="AS21" s="358"/>
      <c r="AT21" s="352"/>
      <c r="AU21" s="358"/>
      <c r="AV21" s="352"/>
      <c r="AW21" s="358"/>
      <c r="AX21" s="632"/>
      <c r="AY21" s="632"/>
      <c r="AZ21" s="632"/>
      <c r="BB21" s="352"/>
      <c r="BC21" s="358"/>
      <c r="BD21" s="352"/>
      <c r="BE21" s="358"/>
      <c r="BF21" s="352"/>
      <c r="BG21" s="358"/>
      <c r="BH21" s="632"/>
      <c r="BI21" s="632"/>
      <c r="BJ21" s="632"/>
      <c r="BL21" s="352"/>
      <c r="BM21" s="358"/>
      <c r="BN21" s="352"/>
      <c r="BO21" s="358"/>
      <c r="BP21" s="352"/>
      <c r="BQ21" s="358"/>
      <c r="BR21" s="632"/>
      <c r="BS21" s="632"/>
      <c r="BT21" s="632"/>
      <c r="BV21" s="352"/>
      <c r="BW21" s="358"/>
      <c r="BY21" s="352"/>
      <c r="BZ21" s="358"/>
      <c r="CA21" s="352"/>
      <c r="CB21" s="358"/>
      <c r="CC21" s="352"/>
      <c r="CD21" s="358"/>
      <c r="CF21" s="352"/>
      <c r="CG21" s="358"/>
      <c r="CH21" s="352"/>
      <c r="CI21" s="358"/>
      <c r="CJ21" s="352"/>
      <c r="CK21" s="358"/>
      <c r="CM21" s="352"/>
      <c r="CN21" s="358"/>
      <c r="CO21" s="352"/>
      <c r="CP21" s="358"/>
      <c r="CQ21" s="352"/>
      <c r="CR21" s="358"/>
      <c r="CT21" s="352"/>
      <c r="CU21" s="358"/>
      <c r="CV21" s="352"/>
      <c r="CW21" s="358"/>
      <c r="CX21" s="352"/>
      <c r="CY21" s="358"/>
      <c r="DA21" s="352"/>
      <c r="DB21" s="358"/>
      <c r="DC21" s="352"/>
      <c r="DD21" s="358"/>
      <c r="DE21" s="352"/>
      <c r="DF21" s="358"/>
      <c r="DH21" s="352"/>
      <c r="DI21" s="358"/>
      <c r="DJ21" s="352"/>
      <c r="DK21" s="358"/>
      <c r="DL21" s="352"/>
      <c r="DM21" s="358"/>
    </row>
    <row r="22" spans="1:117" s="4" customFormat="1" ht="18" customHeight="1" x14ac:dyDescent="0.45">
      <c r="A22" s="561"/>
      <c r="B22" s="1196" t="s">
        <v>36</v>
      </c>
      <c r="C22" s="15"/>
      <c r="D22" s="16"/>
      <c r="E22" s="16"/>
      <c r="F22" s="42"/>
      <c r="G22" s="43"/>
      <c r="H22" s="42"/>
      <c r="I22" s="43"/>
      <c r="J22" s="42"/>
      <c r="K22" s="43"/>
      <c r="L22" s="42"/>
      <c r="M22" s="43"/>
      <c r="N22" s="359"/>
      <c r="O22" s="360"/>
      <c r="P22" s="359"/>
      <c r="Q22" s="360"/>
      <c r="R22" s="359"/>
      <c r="S22" s="360"/>
      <c r="T22" s="359"/>
      <c r="U22" s="360"/>
      <c r="V22" s="359"/>
      <c r="W22" s="360"/>
      <c r="X22" s="359"/>
      <c r="Y22" s="360"/>
      <c r="Z22" s="359"/>
      <c r="AA22" s="360"/>
      <c r="AB22" s="359"/>
      <c r="AC22" s="360"/>
      <c r="AD22" s="359"/>
      <c r="AE22" s="360"/>
      <c r="AF22" s="620"/>
      <c r="AG22" s="632"/>
      <c r="AH22" s="359"/>
      <c r="AI22" s="360"/>
      <c r="AJ22" s="359"/>
      <c r="AK22" s="360"/>
      <c r="AL22" s="359"/>
      <c r="AM22" s="360"/>
      <c r="AN22" s="632"/>
      <c r="AO22" s="632"/>
      <c r="AP22" s="632"/>
      <c r="AR22" s="359"/>
      <c r="AS22" s="360"/>
      <c r="AT22" s="359"/>
      <c r="AU22" s="360"/>
      <c r="AV22" s="359"/>
      <c r="AW22" s="360"/>
      <c r="AX22" s="632"/>
      <c r="AY22" s="632"/>
      <c r="AZ22" s="632"/>
      <c r="BB22" s="359"/>
      <c r="BC22" s="360"/>
      <c r="BD22" s="359"/>
      <c r="BE22" s="360"/>
      <c r="BF22" s="359"/>
      <c r="BG22" s="360"/>
      <c r="BH22" s="632"/>
      <c r="BI22" s="632"/>
      <c r="BJ22" s="632"/>
      <c r="BL22" s="359"/>
      <c r="BM22" s="360"/>
      <c r="BN22" s="359"/>
      <c r="BO22" s="360"/>
      <c r="BP22" s="359"/>
      <c r="BQ22" s="360"/>
      <c r="BR22" s="632"/>
      <c r="BS22" s="632"/>
      <c r="BT22" s="632"/>
      <c r="BV22" s="359"/>
      <c r="BW22" s="360"/>
      <c r="BY22" s="359"/>
      <c r="BZ22" s="360"/>
      <c r="CA22" s="359"/>
      <c r="CB22" s="360"/>
      <c r="CC22" s="359"/>
      <c r="CD22" s="360"/>
      <c r="CF22" s="359"/>
      <c r="CG22" s="360"/>
      <c r="CH22" s="359"/>
      <c r="CI22" s="360"/>
      <c r="CJ22" s="359"/>
      <c r="CK22" s="360"/>
      <c r="CM22" s="359"/>
      <c r="CN22" s="360"/>
      <c r="CO22" s="359"/>
      <c r="CP22" s="360"/>
      <c r="CQ22" s="359"/>
      <c r="CR22" s="360"/>
      <c r="CT22" s="359"/>
      <c r="CU22" s="360"/>
      <c r="CV22" s="359"/>
      <c r="CW22" s="360"/>
      <c r="CX22" s="359"/>
      <c r="CY22" s="360"/>
      <c r="DA22" s="359"/>
      <c r="DB22" s="360"/>
      <c r="DC22" s="359"/>
      <c r="DD22" s="360"/>
      <c r="DE22" s="359"/>
      <c r="DF22" s="360"/>
      <c r="DH22" s="359"/>
      <c r="DI22" s="360"/>
      <c r="DJ22" s="359"/>
      <c r="DK22" s="360"/>
      <c r="DL22" s="359"/>
      <c r="DM22" s="360"/>
    </row>
    <row r="23" spans="1:117" s="49" customFormat="1" ht="18" customHeight="1" x14ac:dyDescent="0.45">
      <c r="A23" s="561"/>
      <c r="B23" s="1187"/>
      <c r="C23" s="44" t="s">
        <v>37</v>
      </c>
      <c r="D23" s="45"/>
      <c r="E23" s="46"/>
      <c r="F23" s="47">
        <f t="shared" ref="F23:AE23" si="77">F24/F20</f>
        <v>0.21678294999999997</v>
      </c>
      <c r="G23" s="48">
        <f t="shared" si="77"/>
        <v>0.21678294999999997</v>
      </c>
      <c r="H23" s="47">
        <f t="shared" si="77"/>
        <v>0.19589147499999998</v>
      </c>
      <c r="I23" s="48">
        <f t="shared" si="77"/>
        <v>0.19589147499999993</v>
      </c>
      <c r="J23" s="47">
        <f t="shared" si="77"/>
        <v>0.21678294999999997</v>
      </c>
      <c r="K23" s="48">
        <f t="shared" si="77"/>
        <v>0.21678294999999997</v>
      </c>
      <c r="L23" s="47">
        <f t="shared" si="77"/>
        <v>0.17499999999999999</v>
      </c>
      <c r="M23" s="48">
        <f t="shared" si="77"/>
        <v>0.17499999999999996</v>
      </c>
      <c r="N23" s="361">
        <f t="shared" si="77"/>
        <v>0.19334856250000002</v>
      </c>
      <c r="O23" s="362">
        <f t="shared" si="77"/>
        <v>0.19334856249999999</v>
      </c>
      <c r="P23" s="361">
        <f t="shared" si="77"/>
        <v>0.21169712500000004</v>
      </c>
      <c r="Q23" s="362">
        <f t="shared" si="77"/>
        <v>0.21169712499999999</v>
      </c>
      <c r="R23" s="361">
        <f t="shared" si="77"/>
        <v>0.17499999999999999</v>
      </c>
      <c r="S23" s="362">
        <f t="shared" si="77"/>
        <v>0.17499999999999996</v>
      </c>
      <c r="T23" s="361">
        <f t="shared" si="77"/>
        <v>0.19334856250000002</v>
      </c>
      <c r="U23" s="362">
        <f t="shared" si="77"/>
        <v>0.19334856249999999</v>
      </c>
      <c r="V23" s="361">
        <f t="shared" si="77"/>
        <v>0.21169712500000004</v>
      </c>
      <c r="W23" s="362">
        <f t="shared" si="77"/>
        <v>0.21169712499999999</v>
      </c>
      <c r="X23" s="361">
        <f t="shared" si="77"/>
        <v>0.17499999999999999</v>
      </c>
      <c r="Y23" s="362">
        <f t="shared" si="77"/>
        <v>0.17499999999999996</v>
      </c>
      <c r="Z23" s="361">
        <f t="shared" si="77"/>
        <v>0.19334856250000002</v>
      </c>
      <c r="AA23" s="362">
        <f t="shared" si="77"/>
        <v>0.19334856249999999</v>
      </c>
      <c r="AB23" s="361">
        <f t="shared" si="77"/>
        <v>0.21169712500000004</v>
      </c>
      <c r="AC23" s="362">
        <f t="shared" si="77"/>
        <v>0.21169712499999999</v>
      </c>
      <c r="AD23" s="361">
        <f t="shared" si="77"/>
        <v>0.17499999999999999</v>
      </c>
      <c r="AE23" s="362">
        <f t="shared" si="77"/>
        <v>0.17499999999999996</v>
      </c>
      <c r="AF23" s="620"/>
      <c r="AG23" s="635"/>
      <c r="AH23" s="361">
        <f t="shared" ref="AH23:AM23" si="78">AH24/AH20</f>
        <v>0.184322815</v>
      </c>
      <c r="AI23" s="362">
        <f t="shared" si="78"/>
        <v>0.18432281499999992</v>
      </c>
      <c r="AJ23" s="361">
        <f t="shared" si="78"/>
        <v>0.20864562999999997</v>
      </c>
      <c r="AK23" s="362">
        <f t="shared" si="78"/>
        <v>0.20864562999999997</v>
      </c>
      <c r="AL23" s="361">
        <f t="shared" si="78"/>
        <v>0.16</v>
      </c>
      <c r="AM23" s="362">
        <f t="shared" si="78"/>
        <v>0.15999999999999995</v>
      </c>
      <c r="AN23" s="635"/>
      <c r="AO23" s="635"/>
      <c r="AP23" s="635"/>
      <c r="AR23" s="361">
        <f t="shared" ref="AR23:AW23" si="79">AR24/AR20</f>
        <v>0.16203101000000006</v>
      </c>
      <c r="AS23" s="362">
        <f t="shared" si="79"/>
        <v>0.16203100999999998</v>
      </c>
      <c r="AT23" s="361">
        <f t="shared" si="79"/>
        <v>0.17406202000000012</v>
      </c>
      <c r="AU23" s="362">
        <f t="shared" si="79"/>
        <v>0.17406202000000007</v>
      </c>
      <c r="AV23" s="361">
        <f t="shared" si="79"/>
        <v>0.15</v>
      </c>
      <c r="AW23" s="362">
        <f t="shared" si="79"/>
        <v>0.14999999999999988</v>
      </c>
      <c r="AX23" s="635"/>
      <c r="AY23" s="635"/>
      <c r="AZ23" s="635"/>
      <c r="BB23" s="361">
        <f t="shared" ref="BB23:BG23" si="80">BB24/BB20</f>
        <v>0.15951458333333327</v>
      </c>
      <c r="BC23" s="362">
        <f t="shared" si="80"/>
        <v>0.15951458333333332</v>
      </c>
      <c r="BD23" s="361">
        <f t="shared" si="80"/>
        <v>0.15236250000000004</v>
      </c>
      <c r="BE23" s="362">
        <f t="shared" si="80"/>
        <v>0.15236250000000015</v>
      </c>
      <c r="BF23" s="361">
        <f t="shared" si="80"/>
        <v>0.16666666666666666</v>
      </c>
      <c r="BG23" s="362">
        <f t="shared" si="80"/>
        <v>0.16666666666666682</v>
      </c>
      <c r="BH23" s="635"/>
      <c r="BI23" s="635"/>
      <c r="BJ23" s="635"/>
      <c r="BL23" s="361">
        <f t="shared" ref="BL23:BQ23" si="81">BL24/BL20</f>
        <v>0.16605066666666668</v>
      </c>
      <c r="BM23" s="362">
        <f t="shared" si="81"/>
        <v>0.16605066666666679</v>
      </c>
      <c r="BN23" s="361">
        <f t="shared" si="81"/>
        <v>0.18626800000000002</v>
      </c>
      <c r="BO23" s="362">
        <f t="shared" si="81"/>
        <v>0.18626800000000016</v>
      </c>
      <c r="BP23" s="361">
        <f t="shared" si="81"/>
        <v>0.14583333333333334</v>
      </c>
      <c r="BQ23" s="362">
        <f t="shared" si="81"/>
        <v>0.14583333333333343</v>
      </c>
      <c r="BR23" s="635"/>
      <c r="BS23" s="635"/>
      <c r="BT23" s="635"/>
      <c r="BV23" s="361">
        <f t="shared" ref="BV23:BW23" si="82">BV24/BV20</f>
        <v>0.16605066666666668</v>
      </c>
      <c r="BW23" s="362">
        <f t="shared" si="82"/>
        <v>0.16605066666666679</v>
      </c>
      <c r="BY23" s="361">
        <f t="shared" ref="BY23:CD23" si="83">BY24/BY20</f>
        <v>0.15852713636363644</v>
      </c>
      <c r="BZ23" s="362">
        <f t="shared" si="83"/>
        <v>0.15852713636363647</v>
      </c>
      <c r="CA23" s="361">
        <f t="shared" si="83"/>
        <v>0.16777409090909084</v>
      </c>
      <c r="CB23" s="362">
        <f t="shared" si="83"/>
        <v>0.16777409090909098</v>
      </c>
      <c r="CC23" s="361">
        <f t="shared" si="83"/>
        <v>0.14928018181818184</v>
      </c>
      <c r="CD23" s="362">
        <f t="shared" si="83"/>
        <v>0.14928018181818195</v>
      </c>
      <c r="CF23" s="361">
        <f t="shared" ref="CF23:CK23" si="84">CF24/CF20</f>
        <v>0.13868124999999995</v>
      </c>
      <c r="CG23" s="362">
        <f t="shared" si="84"/>
        <v>0.13868125000000009</v>
      </c>
      <c r="CH23" s="361">
        <f t="shared" si="84"/>
        <v>0.15236250000000004</v>
      </c>
      <c r="CI23" s="362">
        <f t="shared" si="84"/>
        <v>0.15236250000000015</v>
      </c>
      <c r="CJ23" s="361">
        <f t="shared" si="84"/>
        <v>0.125</v>
      </c>
      <c r="CK23" s="362">
        <f t="shared" si="84"/>
        <v>0.12500000000000003</v>
      </c>
      <c r="CM23" s="361">
        <f t="shared" ref="CM23:CR23" si="85">CM24/CM20</f>
        <v>0.15333610416666671</v>
      </c>
      <c r="CN23" s="362">
        <f t="shared" si="85"/>
        <v>0.15333610416666676</v>
      </c>
      <c r="CO23" s="361">
        <f t="shared" si="85"/>
        <v>0.16083887500000008</v>
      </c>
      <c r="CP23" s="362">
        <f t="shared" si="85"/>
        <v>0.1608388750000001</v>
      </c>
      <c r="CQ23" s="361">
        <f t="shared" si="85"/>
        <v>0.14583333333333334</v>
      </c>
      <c r="CR23" s="362">
        <f t="shared" si="85"/>
        <v>0.14583333333333343</v>
      </c>
      <c r="CT23" s="361">
        <f t="shared" ref="CT23:CY23" si="86">CT24/CT20</f>
        <v>0.20022526136363641</v>
      </c>
      <c r="CU23" s="362">
        <f t="shared" si="86"/>
        <v>0.20022526136363644</v>
      </c>
      <c r="CV23" s="361">
        <f t="shared" si="86"/>
        <v>0.21863234090909101</v>
      </c>
      <c r="CW23" s="362">
        <f t="shared" si="86"/>
        <v>0.21863234090909103</v>
      </c>
      <c r="CX23" s="361">
        <f t="shared" si="86"/>
        <v>6.8181818181818177E-2</v>
      </c>
      <c r="CY23" s="362">
        <f t="shared" si="86"/>
        <v>0.18181818181818182</v>
      </c>
      <c r="DA23" s="361">
        <f t="shared" ref="DA23:DF23" si="87">DA24/DA20</f>
        <v>0.15333610416666671</v>
      </c>
      <c r="DB23" s="362">
        <f t="shared" si="87"/>
        <v>0.15333610416666676</v>
      </c>
      <c r="DC23" s="361">
        <f t="shared" si="87"/>
        <v>0.16083887500000008</v>
      </c>
      <c r="DD23" s="362">
        <f t="shared" si="87"/>
        <v>0.1608388750000001</v>
      </c>
      <c r="DE23" s="361">
        <f t="shared" si="87"/>
        <v>0.14583333333333334</v>
      </c>
      <c r="DF23" s="362">
        <f t="shared" si="87"/>
        <v>0.14583333333333343</v>
      </c>
      <c r="DH23" s="361">
        <f t="shared" ref="DH23:DM23" si="88">DH24/DH20</f>
        <v>0.14849290454545455</v>
      </c>
      <c r="DI23" s="362">
        <f t="shared" si="88"/>
        <v>0.14849290454545452</v>
      </c>
      <c r="DJ23" s="361">
        <f t="shared" si="88"/>
        <v>0.15667774545454533</v>
      </c>
      <c r="DK23" s="362">
        <f t="shared" si="88"/>
        <v>0.15667774545454544</v>
      </c>
      <c r="DL23" s="361">
        <f t="shared" si="88"/>
        <v>0.14030806363636358</v>
      </c>
      <c r="DM23" s="362">
        <f t="shared" si="88"/>
        <v>0.14030806363636361</v>
      </c>
    </row>
    <row r="24" spans="1:117" s="4" customFormat="1" ht="18" customHeight="1" x14ac:dyDescent="0.45">
      <c r="A24" s="561"/>
      <c r="B24" s="1187"/>
      <c r="C24" s="15" t="s">
        <v>38</v>
      </c>
      <c r="D24" s="16"/>
      <c r="E24" s="35"/>
      <c r="F24" s="50">
        <f t="shared" ref="F24:AE24" si="89">F20-F26</f>
        <v>8671.3179999999993</v>
      </c>
      <c r="G24" s="24">
        <f t="shared" si="89"/>
        <v>2.1312466512316091</v>
      </c>
      <c r="H24" s="50">
        <f t="shared" si="89"/>
        <v>7835.6589999999997</v>
      </c>
      <c r="I24" s="24">
        <f t="shared" si="89"/>
        <v>1.9258574075985697</v>
      </c>
      <c r="J24" s="50">
        <f t="shared" si="89"/>
        <v>8671.3179999999993</v>
      </c>
      <c r="K24" s="24">
        <f t="shared" si="89"/>
        <v>2.1312466512316091</v>
      </c>
      <c r="L24" s="50">
        <f t="shared" si="89"/>
        <v>7000</v>
      </c>
      <c r="M24" s="24">
        <f t="shared" si="89"/>
        <v>1.7204681639655313</v>
      </c>
      <c r="N24" s="363">
        <f t="shared" si="89"/>
        <v>7733.942500000001</v>
      </c>
      <c r="O24" s="351">
        <f t="shared" si="89"/>
        <v>1.9008574075985702</v>
      </c>
      <c r="P24" s="363">
        <f t="shared" si="89"/>
        <v>8467.885000000002</v>
      </c>
      <c r="Q24" s="351">
        <f t="shared" si="89"/>
        <v>2.0812466512316092</v>
      </c>
      <c r="R24" s="363">
        <f t="shared" si="89"/>
        <v>7000</v>
      </c>
      <c r="S24" s="351">
        <f t="shared" si="89"/>
        <v>1.7204681639655313</v>
      </c>
      <c r="T24" s="363">
        <f t="shared" si="89"/>
        <v>7733.942500000001</v>
      </c>
      <c r="U24" s="351">
        <f t="shared" si="89"/>
        <v>1.9008574075985702</v>
      </c>
      <c r="V24" s="363">
        <f t="shared" si="89"/>
        <v>8467.885000000002</v>
      </c>
      <c r="W24" s="351">
        <f t="shared" si="89"/>
        <v>2.0812466512316092</v>
      </c>
      <c r="X24" s="363">
        <f t="shared" si="89"/>
        <v>7000</v>
      </c>
      <c r="Y24" s="351">
        <f t="shared" si="89"/>
        <v>1.7204681639655313</v>
      </c>
      <c r="Z24" s="363">
        <f t="shared" si="89"/>
        <v>7733.942500000001</v>
      </c>
      <c r="AA24" s="351">
        <f t="shared" si="89"/>
        <v>1.9008574075985702</v>
      </c>
      <c r="AB24" s="363">
        <f t="shared" si="89"/>
        <v>8467.885000000002</v>
      </c>
      <c r="AC24" s="351">
        <f t="shared" si="89"/>
        <v>2.0812466512316092</v>
      </c>
      <c r="AD24" s="363">
        <f t="shared" si="89"/>
        <v>7000</v>
      </c>
      <c r="AE24" s="351">
        <f t="shared" si="89"/>
        <v>1.7204681639655313</v>
      </c>
      <c r="AF24" s="620"/>
      <c r="AG24" s="630"/>
      <c r="AH24" s="363">
        <f t="shared" ref="AH24:AM24" si="90">AH20-AH26</f>
        <v>7372.9125999999997</v>
      </c>
      <c r="AI24" s="351">
        <f t="shared" si="90"/>
        <v>1.8121230577143326</v>
      </c>
      <c r="AJ24" s="363">
        <f t="shared" si="90"/>
        <v>8345.8251999999993</v>
      </c>
      <c r="AK24" s="351">
        <f t="shared" si="90"/>
        <v>2.051246651231609</v>
      </c>
      <c r="AL24" s="363">
        <f t="shared" si="90"/>
        <v>6400</v>
      </c>
      <c r="AM24" s="351">
        <f t="shared" si="90"/>
        <v>1.5729994641970571</v>
      </c>
      <c r="AN24" s="630"/>
      <c r="AO24" s="630"/>
      <c r="AP24" s="630"/>
      <c r="AR24" s="363">
        <f t="shared" ref="AR24:AW24" si="91">AR20-AR26</f>
        <v>6481.2404000000024</v>
      </c>
      <c r="AS24" s="351">
        <f t="shared" si="91"/>
        <v>1.5929668244581752</v>
      </c>
      <c r="AT24" s="363">
        <f t="shared" si="91"/>
        <v>6962.4808000000048</v>
      </c>
      <c r="AU24" s="351">
        <f t="shared" si="91"/>
        <v>1.71124665123161</v>
      </c>
      <c r="AV24" s="363">
        <f t="shared" si="91"/>
        <v>6000</v>
      </c>
      <c r="AW24" s="351">
        <f t="shared" si="91"/>
        <v>1.4746869976847403</v>
      </c>
      <c r="AX24" s="725">
        <f>AS24/$O24-1</f>
        <v>-0.1619745815281145</v>
      </c>
      <c r="AY24" s="725">
        <f>AU24/$Q24-1</f>
        <v>-0.17777806382585459</v>
      </c>
      <c r="AZ24" s="725">
        <f>AW24/$S24-1</f>
        <v>-0.14285714285714335</v>
      </c>
      <c r="BB24" s="363">
        <f t="shared" ref="BB24:BG24" si="92">BB20-BB26</f>
        <v>7656.6999999999971</v>
      </c>
      <c r="BC24" s="351">
        <f t="shared" si="92"/>
        <v>1.8818726558621268</v>
      </c>
      <c r="BD24" s="363">
        <f t="shared" si="92"/>
        <v>7313.4000000000015</v>
      </c>
      <c r="BE24" s="351">
        <f t="shared" si="92"/>
        <v>1.7974959814779332</v>
      </c>
      <c r="BF24" s="363">
        <f t="shared" si="92"/>
        <v>8000</v>
      </c>
      <c r="BG24" s="351">
        <f t="shared" si="92"/>
        <v>1.966249330246324</v>
      </c>
      <c r="BH24" s="725">
        <f>BC24/$O24-1</f>
        <v>-9.9874675820252889E-3</v>
      </c>
      <c r="BI24" s="725">
        <f>BE24/$Q24-1</f>
        <v>-0.13633687750837331</v>
      </c>
      <c r="BJ24" s="725">
        <f>BG24/$S24-1</f>
        <v>0.14285714285714435</v>
      </c>
      <c r="BL24" s="363">
        <f t="shared" ref="BL24:BQ24" si="93">BL20-BL26</f>
        <v>7970.4320000000007</v>
      </c>
      <c r="BM24" s="351">
        <f t="shared" si="93"/>
        <v>1.9589820727217333</v>
      </c>
      <c r="BN24" s="363">
        <f t="shared" si="93"/>
        <v>8940.8640000000014</v>
      </c>
      <c r="BO24" s="351">
        <f t="shared" si="93"/>
        <v>2.1974959814779336</v>
      </c>
      <c r="BP24" s="363">
        <f t="shared" si="93"/>
        <v>7000</v>
      </c>
      <c r="BQ24" s="351">
        <f t="shared" si="93"/>
        <v>1.720468163965533</v>
      </c>
      <c r="BR24" s="725">
        <f>BM24/$O24-1</f>
        <v>3.0578130106347245E-2</v>
      </c>
      <c r="BS24" s="725">
        <f>BO24/$Q24-1</f>
        <v>5.5855623924983666E-2</v>
      </c>
      <c r="BT24" s="725">
        <f>BQ24/$S24-1</f>
        <v>0</v>
      </c>
      <c r="BV24" s="363">
        <f t="shared" ref="BV24:BW24" si="94">BV20-BV26</f>
        <v>7970.4320000000007</v>
      </c>
      <c r="BW24" s="351">
        <f t="shared" si="94"/>
        <v>1.9589820727217333</v>
      </c>
      <c r="BY24" s="363">
        <f t="shared" ref="BY24:CD24" si="95">BY20-BY26</f>
        <v>6975.1940000000031</v>
      </c>
      <c r="BZ24" s="351">
        <f t="shared" si="95"/>
        <v>1.7143713163547716</v>
      </c>
      <c r="CA24" s="363">
        <f t="shared" si="95"/>
        <v>7382.0599999999977</v>
      </c>
      <c r="CB24" s="351">
        <f t="shared" si="95"/>
        <v>1.8143713163547712</v>
      </c>
      <c r="CC24" s="363">
        <f t="shared" si="95"/>
        <v>6568.3280000000013</v>
      </c>
      <c r="CD24" s="351">
        <f t="shared" si="95"/>
        <v>1.6143713163547719</v>
      </c>
      <c r="CF24" s="363">
        <f t="shared" ref="CF24:CK24" si="96">CF20-CF26</f>
        <v>6656.6999999999971</v>
      </c>
      <c r="CG24" s="351">
        <f t="shared" si="96"/>
        <v>1.6360914895813377</v>
      </c>
      <c r="CH24" s="363">
        <f t="shared" si="96"/>
        <v>7313.4000000000015</v>
      </c>
      <c r="CI24" s="351">
        <f t="shared" si="96"/>
        <v>1.7974959814779332</v>
      </c>
      <c r="CJ24" s="363">
        <f t="shared" si="96"/>
        <v>6000</v>
      </c>
      <c r="CK24" s="351">
        <f t="shared" si="96"/>
        <v>1.4746869976847421</v>
      </c>
      <c r="CM24" s="363">
        <f t="shared" ref="CM24:CR24" si="97">CM20-CM26</f>
        <v>7360.1330000000016</v>
      </c>
      <c r="CN24" s="351">
        <f t="shared" si="97"/>
        <v>1.8089820727217329</v>
      </c>
      <c r="CO24" s="363">
        <f t="shared" si="97"/>
        <v>7720.2660000000033</v>
      </c>
      <c r="CP24" s="351">
        <f t="shared" si="97"/>
        <v>1.8974959814779329</v>
      </c>
      <c r="CQ24" s="363">
        <f t="shared" si="97"/>
        <v>7000</v>
      </c>
      <c r="CR24" s="351">
        <f t="shared" si="97"/>
        <v>1.720468163965533</v>
      </c>
      <c r="CT24" s="363">
        <f t="shared" ref="CT24:CY24" si="98">CT20-CT26</f>
        <v>8809.911500000002</v>
      </c>
      <c r="CU24" s="351">
        <f t="shared" si="98"/>
        <v>2.1653103233005471</v>
      </c>
      <c r="CV24" s="363">
        <f t="shared" si="98"/>
        <v>9619.823000000004</v>
      </c>
      <c r="CW24" s="351">
        <f t="shared" si="98"/>
        <v>2.3643713163547719</v>
      </c>
      <c r="CX24" s="363">
        <f t="shared" si="98"/>
        <v>3000</v>
      </c>
      <c r="CY24" s="351">
        <f t="shared" si="98"/>
        <v>1.9662493302463222</v>
      </c>
      <c r="DA24" s="363">
        <f t="shared" ref="DA24:DF24" si="99">DA20-DA26</f>
        <v>7360.1330000000016</v>
      </c>
      <c r="DB24" s="351">
        <f t="shared" si="99"/>
        <v>1.8089820727217329</v>
      </c>
      <c r="DC24" s="363">
        <f t="shared" si="99"/>
        <v>7720.2660000000033</v>
      </c>
      <c r="DD24" s="351">
        <f t="shared" si="99"/>
        <v>1.8974959814779329</v>
      </c>
      <c r="DE24" s="363">
        <f t="shared" si="99"/>
        <v>7000</v>
      </c>
      <c r="DF24" s="351">
        <f t="shared" si="99"/>
        <v>1.720468163965533</v>
      </c>
      <c r="DH24" s="363">
        <f t="shared" ref="DH24:DM24" si="100">DH20-DH26</f>
        <v>6533.6877999999997</v>
      </c>
      <c r="DI24" s="351">
        <f t="shared" si="100"/>
        <v>1.6058574075985703</v>
      </c>
      <c r="DJ24" s="363">
        <f t="shared" si="100"/>
        <v>6893.8207999999941</v>
      </c>
      <c r="DK24" s="351">
        <f t="shared" si="100"/>
        <v>1.6943713163547702</v>
      </c>
      <c r="DL24" s="363">
        <f t="shared" si="100"/>
        <v>6173.5547999999981</v>
      </c>
      <c r="DM24" s="351">
        <f t="shared" si="100"/>
        <v>1.5173434988423704</v>
      </c>
    </row>
    <row r="25" spans="1:117" s="4" customFormat="1" ht="18" customHeight="1" x14ac:dyDescent="0.45">
      <c r="A25" s="561"/>
      <c r="B25" s="1187"/>
      <c r="C25" s="51" t="s">
        <v>39</v>
      </c>
      <c r="D25" s="52"/>
      <c r="E25" s="53"/>
      <c r="F25" s="54">
        <f t="shared" ref="F25:BG25" si="101">F26</f>
        <v>31328.682000000001</v>
      </c>
      <c r="G25" s="55">
        <f t="shared" si="101"/>
        <v>7.7</v>
      </c>
      <c r="H25" s="54">
        <f t="shared" si="101"/>
        <v>32164.341</v>
      </c>
      <c r="I25" s="55">
        <f t="shared" si="101"/>
        <v>7.9053892436330395</v>
      </c>
      <c r="J25" s="54">
        <f t="shared" si="101"/>
        <v>31328.682000000001</v>
      </c>
      <c r="K25" s="55">
        <f t="shared" si="101"/>
        <v>7.7</v>
      </c>
      <c r="L25" s="54">
        <f t="shared" si="101"/>
        <v>33000</v>
      </c>
      <c r="M25" s="55">
        <f t="shared" si="101"/>
        <v>8.110778487266078</v>
      </c>
      <c r="N25" s="54">
        <f t="shared" si="101"/>
        <v>32266.057499999999</v>
      </c>
      <c r="O25" s="55">
        <f t="shared" si="101"/>
        <v>7.930389243633039</v>
      </c>
      <c r="P25" s="54">
        <f t="shared" si="101"/>
        <v>31532.114999999998</v>
      </c>
      <c r="Q25" s="55">
        <f t="shared" si="101"/>
        <v>7.75</v>
      </c>
      <c r="R25" s="54">
        <f t="shared" si="101"/>
        <v>33000</v>
      </c>
      <c r="S25" s="55">
        <f t="shared" si="101"/>
        <v>8.110778487266078</v>
      </c>
      <c r="T25" s="54">
        <f t="shared" si="101"/>
        <v>32266.057499999999</v>
      </c>
      <c r="U25" s="55">
        <f t="shared" si="101"/>
        <v>7.930389243633039</v>
      </c>
      <c r="V25" s="54">
        <f t="shared" si="101"/>
        <v>31532.114999999998</v>
      </c>
      <c r="W25" s="55">
        <f t="shared" si="101"/>
        <v>7.75</v>
      </c>
      <c r="X25" s="54">
        <f t="shared" si="101"/>
        <v>33000</v>
      </c>
      <c r="Y25" s="55">
        <f t="shared" si="101"/>
        <v>8.110778487266078</v>
      </c>
      <c r="Z25" s="54">
        <f t="shared" si="101"/>
        <v>32266.057499999999</v>
      </c>
      <c r="AA25" s="55">
        <f t="shared" si="101"/>
        <v>7.930389243633039</v>
      </c>
      <c r="AB25" s="54">
        <f t="shared" si="101"/>
        <v>31532.114999999998</v>
      </c>
      <c r="AC25" s="55">
        <f t="shared" si="101"/>
        <v>7.75</v>
      </c>
      <c r="AD25" s="54">
        <f t="shared" si="101"/>
        <v>33000</v>
      </c>
      <c r="AE25" s="55">
        <f t="shared" si="101"/>
        <v>8.110778487266078</v>
      </c>
      <c r="AF25" s="620"/>
      <c r="AG25" s="630"/>
      <c r="AH25" s="54">
        <f t="shared" si="101"/>
        <v>32627.0874</v>
      </c>
      <c r="AI25" s="55">
        <f t="shared" si="101"/>
        <v>8.0191235935172767</v>
      </c>
      <c r="AJ25" s="54">
        <f t="shared" si="101"/>
        <v>31654.174800000001</v>
      </c>
      <c r="AK25" s="55">
        <f t="shared" si="101"/>
        <v>7.78</v>
      </c>
      <c r="AL25" s="54">
        <f t="shared" si="101"/>
        <v>33600</v>
      </c>
      <c r="AM25" s="55">
        <f t="shared" si="101"/>
        <v>8.2582471870345522</v>
      </c>
      <c r="AN25" s="274"/>
      <c r="AO25" s="274"/>
      <c r="AP25" s="274"/>
      <c r="AR25" s="54">
        <f t="shared" si="101"/>
        <v>33518.759599999998</v>
      </c>
      <c r="AS25" s="55">
        <f t="shared" si="101"/>
        <v>8.2382798267734341</v>
      </c>
      <c r="AT25" s="54">
        <f t="shared" si="101"/>
        <v>33037.519199999995</v>
      </c>
      <c r="AU25" s="55">
        <f t="shared" si="101"/>
        <v>8.1199999999999992</v>
      </c>
      <c r="AV25" s="54">
        <f t="shared" si="101"/>
        <v>34000</v>
      </c>
      <c r="AW25" s="55">
        <f t="shared" si="101"/>
        <v>8.3565596535468689</v>
      </c>
      <c r="AX25" s="743"/>
      <c r="AY25" s="743"/>
      <c r="AZ25" s="743"/>
      <c r="BB25" s="54">
        <f t="shared" si="101"/>
        <v>40343.300000000003</v>
      </c>
      <c r="BC25" s="55">
        <f t="shared" si="101"/>
        <v>9.9156233256158064</v>
      </c>
      <c r="BD25" s="54">
        <f t="shared" si="101"/>
        <v>40686.6</v>
      </c>
      <c r="BE25" s="55">
        <f t="shared" si="101"/>
        <v>10</v>
      </c>
      <c r="BF25" s="54">
        <f t="shared" si="101"/>
        <v>40000</v>
      </c>
      <c r="BG25" s="55">
        <f t="shared" si="101"/>
        <v>9.8312466512316092</v>
      </c>
      <c r="BH25" s="743"/>
      <c r="BI25" s="743"/>
      <c r="BJ25" s="743"/>
      <c r="BL25" s="54">
        <f t="shared" ref="BL25:BQ25" si="102">BL26</f>
        <v>40029.567999999999</v>
      </c>
      <c r="BM25" s="55">
        <f t="shared" si="102"/>
        <v>9.8385139087561999</v>
      </c>
      <c r="BN25" s="54">
        <f t="shared" si="102"/>
        <v>39059.135999999999</v>
      </c>
      <c r="BO25" s="55">
        <f t="shared" si="102"/>
        <v>9.6</v>
      </c>
      <c r="BP25" s="54">
        <f t="shared" si="102"/>
        <v>41000</v>
      </c>
      <c r="BQ25" s="55">
        <f t="shared" si="102"/>
        <v>10.0770278175124</v>
      </c>
      <c r="BR25" s="743"/>
      <c r="BS25" s="743"/>
      <c r="BT25" s="743"/>
      <c r="BV25" s="54">
        <f t="shared" ref="BV25:BW25" si="103">BV26</f>
        <v>40029.567999999999</v>
      </c>
      <c r="BW25" s="55">
        <f t="shared" si="103"/>
        <v>9.8385139087561999</v>
      </c>
      <c r="BY25" s="54">
        <f t="shared" ref="BY25:CD25" si="104">BY26</f>
        <v>37024.805999999997</v>
      </c>
      <c r="BZ25" s="55">
        <f t="shared" si="104"/>
        <v>9.1</v>
      </c>
      <c r="CA25" s="54">
        <f t="shared" si="104"/>
        <v>36617.94</v>
      </c>
      <c r="CB25" s="55">
        <f t="shared" si="104"/>
        <v>9</v>
      </c>
      <c r="CC25" s="54">
        <f t="shared" si="104"/>
        <v>37431.671999999999</v>
      </c>
      <c r="CD25" s="55">
        <f t="shared" si="104"/>
        <v>9.1999999999999993</v>
      </c>
      <c r="CF25" s="54">
        <f t="shared" ref="CF25:CR25" si="105">CF26</f>
        <v>41343.300000000003</v>
      </c>
      <c r="CG25" s="55">
        <f t="shared" si="105"/>
        <v>10.161404491896596</v>
      </c>
      <c r="CH25" s="54">
        <f t="shared" si="105"/>
        <v>40686.6</v>
      </c>
      <c r="CI25" s="55">
        <f t="shared" si="105"/>
        <v>10</v>
      </c>
      <c r="CJ25" s="54">
        <f t="shared" si="105"/>
        <v>42000</v>
      </c>
      <c r="CK25" s="55">
        <f t="shared" si="105"/>
        <v>10.322808983793191</v>
      </c>
      <c r="CM25" s="54">
        <f t="shared" si="105"/>
        <v>40639.866999999998</v>
      </c>
      <c r="CN25" s="55">
        <f t="shared" si="105"/>
        <v>9.9885139087562003</v>
      </c>
      <c r="CO25" s="54">
        <f t="shared" si="105"/>
        <v>40279.733999999997</v>
      </c>
      <c r="CP25" s="55">
        <f t="shared" si="105"/>
        <v>9.9</v>
      </c>
      <c r="CQ25" s="54">
        <f t="shared" si="105"/>
        <v>41000</v>
      </c>
      <c r="CR25" s="55">
        <f t="shared" si="105"/>
        <v>10.0770278175124</v>
      </c>
      <c r="CT25" s="54">
        <f t="shared" ref="CT25:DM25" si="106">CT26</f>
        <v>35190.088499999998</v>
      </c>
      <c r="CU25" s="55">
        <f t="shared" si="106"/>
        <v>8.6490609930542242</v>
      </c>
      <c r="CV25" s="54">
        <f t="shared" si="106"/>
        <v>34380.176999999996</v>
      </c>
      <c r="CW25" s="55">
        <f t="shared" si="106"/>
        <v>8.4499999999999993</v>
      </c>
      <c r="CX25" s="54">
        <f t="shared" si="106"/>
        <v>41000</v>
      </c>
      <c r="CY25" s="55">
        <f t="shared" si="106"/>
        <v>8.848121986108449</v>
      </c>
      <c r="DA25" s="54">
        <f t="shared" si="106"/>
        <v>40639.866999999998</v>
      </c>
      <c r="DB25" s="55">
        <f t="shared" si="106"/>
        <v>9.9885139087562003</v>
      </c>
      <c r="DC25" s="54">
        <f t="shared" si="106"/>
        <v>40279.733999999997</v>
      </c>
      <c r="DD25" s="55">
        <f t="shared" si="106"/>
        <v>9.9</v>
      </c>
      <c r="DE25" s="54">
        <f t="shared" si="106"/>
        <v>41000</v>
      </c>
      <c r="DF25" s="55">
        <f t="shared" si="106"/>
        <v>10.0770278175124</v>
      </c>
      <c r="DH25" s="54">
        <f t="shared" si="106"/>
        <v>37466.3122</v>
      </c>
      <c r="DI25" s="55">
        <f t="shared" si="106"/>
        <v>9.2085139087562009</v>
      </c>
      <c r="DJ25" s="54">
        <f t="shared" si="106"/>
        <v>37106.179200000006</v>
      </c>
      <c r="DK25" s="55">
        <f t="shared" si="106"/>
        <v>9.120000000000001</v>
      </c>
      <c r="DL25" s="54">
        <f t="shared" si="106"/>
        <v>37826.445200000002</v>
      </c>
      <c r="DM25" s="55">
        <f t="shared" si="106"/>
        <v>9.2970278175124008</v>
      </c>
    </row>
    <row r="26" spans="1:117" s="4" customFormat="1" ht="18" customHeight="1" x14ac:dyDescent="0.45">
      <c r="A26" s="561"/>
      <c r="B26" s="1187"/>
      <c r="C26" s="56" t="s">
        <v>40</v>
      </c>
      <c r="D26" s="52"/>
      <c r="E26" s="53"/>
      <c r="F26" s="54">
        <f>7.7*F12</f>
        <v>31328.682000000001</v>
      </c>
      <c r="G26" s="57">
        <f>+F26/F12</f>
        <v>7.7</v>
      </c>
      <c r="H26" s="54">
        <f>AVERAGE(J26,L26)</f>
        <v>32164.341</v>
      </c>
      <c r="I26" s="57">
        <f>+H26/H12</f>
        <v>7.9053892436330395</v>
      </c>
      <c r="J26" s="54">
        <f t="shared" ref="J26" si="107">7.7*J12</f>
        <v>31328.682000000001</v>
      </c>
      <c r="K26" s="57">
        <f t="shared" ref="K26" si="108">+J26/J12</f>
        <v>7.7</v>
      </c>
      <c r="L26" s="54">
        <v>33000</v>
      </c>
      <c r="M26" s="57">
        <f t="shared" ref="M26" si="109">+L26/L12</f>
        <v>8.110778487266078</v>
      </c>
      <c r="N26" s="54">
        <f>AVERAGE(P26,R26)</f>
        <v>32266.057499999999</v>
      </c>
      <c r="O26" s="57">
        <f>+N26/N12</f>
        <v>7.930389243633039</v>
      </c>
      <c r="P26" s="54">
        <f>7.75*P12</f>
        <v>31532.114999999998</v>
      </c>
      <c r="Q26" s="57">
        <f>+P26/P12</f>
        <v>7.75</v>
      </c>
      <c r="R26" s="54">
        <v>33000</v>
      </c>
      <c r="S26" s="57">
        <f>+R26/R12</f>
        <v>8.110778487266078</v>
      </c>
      <c r="T26" s="54">
        <f>AVERAGE(V26,X26)</f>
        <v>32266.057499999999</v>
      </c>
      <c r="U26" s="57">
        <f>+T26/T12</f>
        <v>7.930389243633039</v>
      </c>
      <c r="V26" s="54">
        <f>7.75*V12</f>
        <v>31532.114999999998</v>
      </c>
      <c r="W26" s="57">
        <f>+V26/V12</f>
        <v>7.75</v>
      </c>
      <c r="X26" s="54">
        <v>33000</v>
      </c>
      <c r="Y26" s="57">
        <f>+X26/X12</f>
        <v>8.110778487266078</v>
      </c>
      <c r="Z26" s="54">
        <f>AVERAGE(AB26,AD26)</f>
        <v>32266.057499999999</v>
      </c>
      <c r="AA26" s="57">
        <f>+Z26/Z12</f>
        <v>7.930389243633039</v>
      </c>
      <c r="AB26" s="54">
        <f>7.75*AB12</f>
        <v>31532.114999999998</v>
      </c>
      <c r="AC26" s="57">
        <f>+AB26/AB12</f>
        <v>7.75</v>
      </c>
      <c r="AD26" s="54">
        <v>33000</v>
      </c>
      <c r="AE26" s="57">
        <f>+AD26/AD12</f>
        <v>8.110778487266078</v>
      </c>
      <c r="AF26" s="620"/>
      <c r="AG26" s="630"/>
      <c r="AH26" s="54">
        <f>AVERAGE(AJ26,AL26)</f>
        <v>32627.0874</v>
      </c>
      <c r="AI26" s="57">
        <f>+AH26/AH12</f>
        <v>8.0191235935172767</v>
      </c>
      <c r="AJ26" s="54">
        <f>7.78*AJ12</f>
        <v>31654.174800000001</v>
      </c>
      <c r="AK26" s="57">
        <f>+AJ26/AJ12</f>
        <v>7.78</v>
      </c>
      <c r="AL26" s="54">
        <v>33600</v>
      </c>
      <c r="AM26" s="57">
        <f>+AL26/AL12</f>
        <v>8.2582471870345522</v>
      </c>
      <c r="AN26" s="636"/>
      <c r="AO26" s="636"/>
      <c r="AP26" s="636"/>
      <c r="AR26" s="54">
        <f>AVERAGE(AT26,AV26)</f>
        <v>33518.759599999998</v>
      </c>
      <c r="AS26" s="57">
        <f>+AR26/AR12</f>
        <v>8.2382798267734341</v>
      </c>
      <c r="AT26" s="54">
        <f>8.12*AT12</f>
        <v>33037.519199999995</v>
      </c>
      <c r="AU26" s="57">
        <f>+AT26/AT12</f>
        <v>8.1199999999999992</v>
      </c>
      <c r="AV26" s="54">
        <v>34000</v>
      </c>
      <c r="AW26" s="57">
        <f>+AV26/AV12</f>
        <v>8.3565596535468689</v>
      </c>
      <c r="AX26" s="852">
        <f>AS26/$O26-1</f>
        <v>3.8824145156252765E-2</v>
      </c>
      <c r="AY26" s="852">
        <f>AU26/$Q26-1</f>
        <v>4.7741935483870845E-2</v>
      </c>
      <c r="AZ26" s="852">
        <f>AW26/$S26-1</f>
        <v>3.0303030303030498E-2</v>
      </c>
      <c r="BB26" s="54">
        <f>AVERAGE(BD26,BF26)</f>
        <v>40343.300000000003</v>
      </c>
      <c r="BC26" s="57">
        <f>+BB26/BB12</f>
        <v>9.9156233256158064</v>
      </c>
      <c r="BD26" s="54">
        <f>10*BD12</f>
        <v>40686.6</v>
      </c>
      <c r="BE26" s="57">
        <f>+BD26/BD12</f>
        <v>10</v>
      </c>
      <c r="BF26" s="54">
        <v>40000</v>
      </c>
      <c r="BG26" s="57">
        <f>+BF26/BF12</f>
        <v>9.8312466512316092</v>
      </c>
      <c r="BH26" s="852">
        <f>BC26/$O26-1</f>
        <v>0.25033248948992326</v>
      </c>
      <c r="BI26" s="852">
        <f>BE26/$Q26-1</f>
        <v>0.29032258064516125</v>
      </c>
      <c r="BJ26" s="852">
        <f>BG26/$S26-1</f>
        <v>0.21212121212121215</v>
      </c>
      <c r="BL26" s="54">
        <f>AVERAGE(BN26,BP26)</f>
        <v>40029.567999999999</v>
      </c>
      <c r="BM26" s="57">
        <f>+BL26/BL12</f>
        <v>9.8385139087561999</v>
      </c>
      <c r="BN26" s="54">
        <f>BO26*BN12</f>
        <v>39059.135999999999</v>
      </c>
      <c r="BO26" s="57">
        <v>9.6</v>
      </c>
      <c r="BP26" s="54">
        <v>41000</v>
      </c>
      <c r="BQ26" s="57">
        <f>+BP26/BP12</f>
        <v>10.0770278175124</v>
      </c>
      <c r="BR26" s="852">
        <f>BM26/$O26-1</f>
        <v>0.2406092067492287</v>
      </c>
      <c r="BS26" s="852">
        <f>BO26/$Q26-1</f>
        <v>0.23870967741935489</v>
      </c>
      <c r="BT26" s="852">
        <f>BQ26/$S26-1</f>
        <v>0.24242424242424243</v>
      </c>
      <c r="BV26" s="54">
        <f>BW26*BV12</f>
        <v>40029.567999999999</v>
      </c>
      <c r="BW26" s="57">
        <f>BM26</f>
        <v>9.8385139087561999</v>
      </c>
      <c r="BY26" s="54">
        <f>BZ26*BY12</f>
        <v>37024.805999999997</v>
      </c>
      <c r="BZ26" s="57">
        <f>AVERAGE(CB26,CD26)</f>
        <v>9.1</v>
      </c>
      <c r="CA26" s="54">
        <f>CB26*CA12</f>
        <v>36617.94</v>
      </c>
      <c r="CB26" s="57">
        <v>9</v>
      </c>
      <c r="CC26" s="54">
        <f>CD26*CC12</f>
        <v>37431.671999999999</v>
      </c>
      <c r="CD26" s="57">
        <v>9.1999999999999993</v>
      </c>
      <c r="CF26" s="54">
        <f>CG26*CF12</f>
        <v>41343.300000000003</v>
      </c>
      <c r="CG26" s="57">
        <f>AVERAGE(CI26,CK26)</f>
        <v>10.161404491896596</v>
      </c>
      <c r="CH26" s="54">
        <f>CI26*CH12</f>
        <v>40686.6</v>
      </c>
      <c r="CI26" s="57">
        <v>10</v>
      </c>
      <c r="CJ26" s="54">
        <v>42000</v>
      </c>
      <c r="CK26" s="57">
        <f>CJ26/CJ12</f>
        <v>10.322808983793191</v>
      </c>
      <c r="CM26" s="54">
        <f>CN26*CM12</f>
        <v>40639.866999999998</v>
      </c>
      <c r="CN26" s="57">
        <f>AVERAGE(CP26,CR26)</f>
        <v>9.9885139087562003</v>
      </c>
      <c r="CO26" s="54">
        <f>CP26*CO12</f>
        <v>40279.733999999997</v>
      </c>
      <c r="CP26" s="57">
        <v>9.9</v>
      </c>
      <c r="CQ26" s="54">
        <v>41000</v>
      </c>
      <c r="CR26" s="57">
        <f>CQ26/CQ12</f>
        <v>10.0770278175124</v>
      </c>
      <c r="CT26" s="54">
        <f>CU26*CT12</f>
        <v>35190.088499999998</v>
      </c>
      <c r="CU26" s="57">
        <f>AVERAGE(CW26,CY26)</f>
        <v>8.6490609930542242</v>
      </c>
      <c r="CV26" s="54">
        <f t="shared" ref="CV26" si="110">CW26*CV12</f>
        <v>34380.176999999996</v>
      </c>
      <c r="CW26" s="57">
        <v>8.4499999999999993</v>
      </c>
      <c r="CX26" s="54">
        <v>41000</v>
      </c>
      <c r="CY26" s="57">
        <v>8.848121986108449</v>
      </c>
      <c r="DA26" s="54">
        <f>DB26*DA12</f>
        <v>40639.866999999998</v>
      </c>
      <c r="DB26" s="57">
        <f>AVERAGE(DD26,DF26)</f>
        <v>9.9885139087562003</v>
      </c>
      <c r="DC26" s="54">
        <f t="shared" ref="DC26" si="111">DD26*DC12</f>
        <v>40279.733999999997</v>
      </c>
      <c r="DD26" s="57">
        <v>9.9</v>
      </c>
      <c r="DE26" s="54">
        <v>41000</v>
      </c>
      <c r="DF26" s="57">
        <f>DE26/DE12</f>
        <v>10.0770278175124</v>
      </c>
      <c r="DH26" s="54">
        <f>DI26*DH12</f>
        <v>37466.3122</v>
      </c>
      <c r="DI26" s="57">
        <f>AVERAGE(DK26,DM26)</f>
        <v>9.2085139087562009</v>
      </c>
      <c r="DJ26" s="54">
        <f t="shared" ref="DJ26" si="112">DK26*DJ12</f>
        <v>37106.179200000006</v>
      </c>
      <c r="DK26" s="57">
        <f>9.9-0.58-0.1-0.1</f>
        <v>9.120000000000001</v>
      </c>
      <c r="DL26" s="54">
        <f>41000-((0.58+0.1+0.1)*$DL$12)</f>
        <v>37826.445200000002</v>
      </c>
      <c r="DM26" s="57">
        <f>DL26/DL12</f>
        <v>9.2970278175124008</v>
      </c>
    </row>
    <row r="27" spans="1:117" s="4" customFormat="1" ht="18" customHeight="1" x14ac:dyDescent="0.45">
      <c r="A27" s="561"/>
      <c r="B27" s="1189"/>
      <c r="C27" s="15"/>
      <c r="D27" s="16"/>
      <c r="E27" s="16"/>
      <c r="F27" s="42"/>
      <c r="G27" s="18"/>
      <c r="H27" s="42"/>
      <c r="I27" s="18"/>
      <c r="J27" s="42"/>
      <c r="K27" s="18"/>
      <c r="L27" s="42"/>
      <c r="M27" s="18"/>
      <c r="N27" s="359"/>
      <c r="O27" s="355"/>
      <c r="P27" s="359"/>
      <c r="Q27" s="355"/>
      <c r="R27" s="359"/>
      <c r="S27" s="355"/>
      <c r="T27" s="359"/>
      <c r="U27" s="355"/>
      <c r="V27" s="359"/>
      <c r="W27" s="355"/>
      <c r="X27" s="359"/>
      <c r="Y27" s="355"/>
      <c r="Z27" s="359"/>
      <c r="AA27" s="355"/>
      <c r="AB27" s="359"/>
      <c r="AC27" s="355"/>
      <c r="AD27" s="359"/>
      <c r="AE27" s="355"/>
      <c r="AF27" s="620"/>
      <c r="AG27" s="632"/>
      <c r="AH27" s="359"/>
      <c r="AI27" s="355"/>
      <c r="AJ27" s="359"/>
      <c r="AK27" s="355"/>
      <c r="AL27" s="359"/>
      <c r="AM27" s="355"/>
      <c r="AN27" s="632"/>
      <c r="AO27" s="632"/>
      <c r="AP27" s="632"/>
      <c r="AR27" s="359"/>
      <c r="AS27" s="355"/>
      <c r="AT27" s="359"/>
      <c r="AU27" s="355"/>
      <c r="AV27" s="359"/>
      <c r="AW27" s="355"/>
      <c r="AX27" s="725"/>
      <c r="AY27" s="725"/>
      <c r="AZ27" s="725"/>
      <c r="BB27" s="359"/>
      <c r="BC27" s="355"/>
      <c r="BD27" s="359"/>
      <c r="BE27" s="355"/>
      <c r="BF27" s="359"/>
      <c r="BG27" s="355"/>
      <c r="BH27" s="725"/>
      <c r="BI27" s="725"/>
      <c r="BJ27" s="725"/>
      <c r="BL27" s="359"/>
      <c r="BM27" s="355"/>
      <c r="BN27" s="359"/>
      <c r="BO27" s="355"/>
      <c r="BP27" s="359"/>
      <c r="BQ27" s="355"/>
      <c r="BR27" s="725"/>
      <c r="BS27" s="725"/>
      <c r="BT27" s="725"/>
      <c r="BV27" s="359"/>
      <c r="BW27" s="355"/>
      <c r="BY27" s="359"/>
      <c r="BZ27" s="355"/>
      <c r="CA27" s="359"/>
      <c r="CB27" s="355"/>
      <c r="CC27" s="359"/>
      <c r="CD27" s="355"/>
      <c r="CF27" s="359"/>
      <c r="CG27" s="355"/>
      <c r="CH27" s="359"/>
      <c r="CI27" s="355"/>
      <c r="CJ27" s="359"/>
      <c r="CK27" s="355"/>
      <c r="CM27" s="359"/>
      <c r="CN27" s="355"/>
      <c r="CO27" s="359"/>
      <c r="CP27" s="355"/>
      <c r="CQ27" s="359"/>
      <c r="CR27" s="355"/>
      <c r="CT27" s="359"/>
      <c r="CU27" s="355"/>
      <c r="CV27" s="359"/>
      <c r="CW27" s="355"/>
      <c r="CX27" s="745">
        <f>3000/BD26</f>
        <v>7.3734349884237077E-2</v>
      </c>
      <c r="CY27" s="355"/>
      <c r="DA27" s="359"/>
      <c r="DB27" s="355"/>
      <c r="DC27" s="359"/>
      <c r="DD27" s="355"/>
      <c r="DE27" s="745" t="e">
        <f>3000/BK26</f>
        <v>#DIV/0!</v>
      </c>
      <c r="DF27" s="355"/>
      <c r="DH27" s="359"/>
      <c r="DI27" s="355"/>
      <c r="DJ27" s="359"/>
      <c r="DK27" s="355"/>
      <c r="DL27" s="745">
        <f>3000/BS26</f>
        <v>12567.567567567565</v>
      </c>
      <c r="DM27" s="355"/>
    </row>
    <row r="28" spans="1:117" s="4" customFormat="1" ht="18" customHeight="1" x14ac:dyDescent="0.45">
      <c r="A28" s="561"/>
      <c r="B28" s="1197" t="s">
        <v>41</v>
      </c>
      <c r="C28" s="58"/>
      <c r="D28" s="59"/>
      <c r="E28" s="59"/>
      <c r="F28" s="60"/>
      <c r="G28" s="43"/>
      <c r="H28" s="60"/>
      <c r="I28" s="43"/>
      <c r="J28" s="60"/>
      <c r="K28" s="43"/>
      <c r="L28" s="60"/>
      <c r="M28" s="43"/>
      <c r="N28" s="364"/>
      <c r="O28" s="360"/>
      <c r="P28" s="364"/>
      <c r="Q28" s="360"/>
      <c r="R28" s="364"/>
      <c r="S28" s="360"/>
      <c r="T28" s="364"/>
      <c r="U28" s="360"/>
      <c r="V28" s="364"/>
      <c r="W28" s="360"/>
      <c r="X28" s="364"/>
      <c r="Y28" s="360"/>
      <c r="Z28" s="364"/>
      <c r="AA28" s="360"/>
      <c r="AB28" s="364"/>
      <c r="AC28" s="360"/>
      <c r="AD28" s="364"/>
      <c r="AE28" s="360"/>
      <c r="AF28" s="620"/>
      <c r="AG28" s="637"/>
      <c r="AH28" s="364"/>
      <c r="AI28" s="360"/>
      <c r="AJ28" s="364"/>
      <c r="AK28" s="360"/>
      <c r="AL28" s="364"/>
      <c r="AM28" s="360"/>
      <c r="AN28" s="632"/>
      <c r="AO28" s="632"/>
      <c r="AP28" s="632"/>
      <c r="AR28" s="364"/>
      <c r="AS28" s="360"/>
      <c r="AT28" s="364"/>
      <c r="AU28" s="360"/>
      <c r="AV28" s="364"/>
      <c r="AW28" s="360"/>
      <c r="AX28" s="725"/>
      <c r="AY28" s="725"/>
      <c r="AZ28" s="725"/>
      <c r="BB28" s="364"/>
      <c r="BC28" s="360"/>
      <c r="BD28" s="364"/>
      <c r="BE28" s="360"/>
      <c r="BF28" s="364"/>
      <c r="BG28" s="360"/>
      <c r="BH28" s="725"/>
      <c r="BI28" s="725"/>
      <c r="BJ28" s="725"/>
      <c r="BL28" s="364"/>
      <c r="BM28" s="360"/>
      <c r="BN28" s="364"/>
      <c r="BO28" s="360"/>
      <c r="BP28" s="364"/>
      <c r="BQ28" s="360"/>
      <c r="BR28" s="725"/>
      <c r="BS28" s="725"/>
      <c r="BT28" s="725"/>
      <c r="BV28" s="364"/>
      <c r="BW28" s="360"/>
      <c r="BY28" s="364"/>
      <c r="BZ28" s="360"/>
      <c r="CA28" s="364"/>
      <c r="CB28" s="360"/>
      <c r="CC28" s="364"/>
      <c r="CD28" s="360"/>
      <c r="CF28" s="364"/>
      <c r="CG28" s="360"/>
      <c r="CH28" s="364"/>
      <c r="CI28" s="360"/>
      <c r="CJ28" s="364"/>
      <c r="CK28" s="360"/>
      <c r="CM28" s="364"/>
      <c r="CN28" s="360"/>
      <c r="CO28" s="364"/>
      <c r="CP28" s="360"/>
      <c r="CQ28" s="364"/>
      <c r="CR28" s="360"/>
      <c r="CT28" s="364"/>
      <c r="CU28" s="360"/>
      <c r="CV28" s="364"/>
      <c r="CW28" s="360"/>
      <c r="CX28" s="364"/>
      <c r="CY28" s="360"/>
      <c r="DA28" s="364"/>
      <c r="DB28" s="360"/>
      <c r="DC28" s="364"/>
      <c r="DD28" s="360"/>
      <c r="DE28" s="364"/>
      <c r="DF28" s="360"/>
      <c r="DH28" s="364"/>
      <c r="DI28" s="360"/>
      <c r="DJ28" s="364"/>
      <c r="DK28" s="360"/>
      <c r="DL28" s="364"/>
      <c r="DM28" s="360"/>
    </row>
    <row r="29" spans="1:117" s="49" customFormat="1" ht="18" customHeight="1" x14ac:dyDescent="0.45">
      <c r="A29" s="561"/>
      <c r="B29" s="1194"/>
      <c r="C29" s="44" t="s">
        <v>42</v>
      </c>
      <c r="D29" s="45"/>
      <c r="E29" s="46"/>
      <c r="F29" s="47">
        <f t="shared" ref="F29:AE29" si="113">F30/F26</f>
        <v>4.4155844155844212E-2</v>
      </c>
      <c r="G29" s="48">
        <f t="shared" si="113"/>
        <v>4.4155844155844136E-2</v>
      </c>
      <c r="H29" s="47">
        <f t="shared" si="113"/>
        <v>6.8989549638215852E-2</v>
      </c>
      <c r="I29" s="48">
        <f t="shared" si="113"/>
        <v>6.8989549638215852E-2</v>
      </c>
      <c r="J29" s="47">
        <f t="shared" si="113"/>
        <v>1.8751973189192712E-2</v>
      </c>
      <c r="K29" s="48">
        <f t="shared" si="113"/>
        <v>1.8751973189192663E-2</v>
      </c>
      <c r="L29" s="47">
        <f t="shared" si="113"/>
        <v>3.7715299334811624E-2</v>
      </c>
      <c r="M29" s="48">
        <f t="shared" si="113"/>
        <v>3.7715299334811575E-2</v>
      </c>
      <c r="N29" s="361">
        <f t="shared" si="113"/>
        <v>6.7560289005062404E-2</v>
      </c>
      <c r="O29" s="362">
        <f t="shared" si="113"/>
        <v>6.7560289005062474E-2</v>
      </c>
      <c r="P29" s="361">
        <f t="shared" si="113"/>
        <v>1.4727705722259093E-2</v>
      </c>
      <c r="Q29" s="362">
        <f t="shared" si="113"/>
        <v>1.4727705722259154E-2</v>
      </c>
      <c r="R29" s="361">
        <f t="shared" si="113"/>
        <v>2.9827719821162509E-2</v>
      </c>
      <c r="S29" s="362">
        <f t="shared" si="113"/>
        <v>2.9827719821162484E-2</v>
      </c>
      <c r="T29" s="361">
        <f t="shared" si="113"/>
        <v>6.7560289005062404E-2</v>
      </c>
      <c r="U29" s="362">
        <f t="shared" si="113"/>
        <v>6.7560289005062474E-2</v>
      </c>
      <c r="V29" s="361">
        <f t="shared" si="113"/>
        <v>1.4727705722259093E-2</v>
      </c>
      <c r="W29" s="362">
        <f t="shared" si="113"/>
        <v>1.4727705722259154E-2</v>
      </c>
      <c r="X29" s="361">
        <f t="shared" si="113"/>
        <v>2.9827719821162509E-2</v>
      </c>
      <c r="Y29" s="362">
        <f t="shared" si="113"/>
        <v>2.9827719821162484E-2</v>
      </c>
      <c r="Z29" s="361">
        <f t="shared" si="113"/>
        <v>6.7560289005062404E-2</v>
      </c>
      <c r="AA29" s="362">
        <f t="shared" si="113"/>
        <v>6.7560289005062474E-2</v>
      </c>
      <c r="AB29" s="361">
        <f t="shared" si="113"/>
        <v>1.4727705722259093E-2</v>
      </c>
      <c r="AC29" s="362">
        <f t="shared" si="113"/>
        <v>1.4727705722259154E-2</v>
      </c>
      <c r="AD29" s="361">
        <f t="shared" si="113"/>
        <v>2.9827719821162509E-2</v>
      </c>
      <c r="AE29" s="362">
        <f t="shared" si="113"/>
        <v>2.9827719821162484E-2</v>
      </c>
      <c r="AF29" s="620"/>
      <c r="AG29" s="635"/>
      <c r="AH29" s="361">
        <f t="shared" ref="AH29:AM29" si="114">AH30/AH26</f>
        <v>6.0605903992929047E-2</v>
      </c>
      <c r="AI29" s="362">
        <f t="shared" si="114"/>
        <v>6.0605903992929075E-2</v>
      </c>
      <c r="AJ29" s="361">
        <f t="shared" si="114"/>
        <v>1.4391279734111558E-2</v>
      </c>
      <c r="AK29" s="362">
        <f t="shared" si="114"/>
        <v>1.4391279734111483E-2</v>
      </c>
      <c r="AL29" s="361">
        <f t="shared" si="114"/>
        <v>3.1271428571428603E-2</v>
      </c>
      <c r="AM29" s="362">
        <f t="shared" si="114"/>
        <v>3.1271428571428603E-2</v>
      </c>
      <c r="AN29" s="635"/>
      <c r="AO29" s="635"/>
      <c r="AP29" s="635"/>
      <c r="AR29" s="361">
        <f t="shared" ref="AR29:AW29" si="115">AR30/AR26</f>
        <v>5.899456331709084E-2</v>
      </c>
      <c r="AS29" s="362">
        <f t="shared" si="115"/>
        <v>5.899456331709086E-2</v>
      </c>
      <c r="AT29" s="361">
        <f t="shared" si="115"/>
        <v>1.3941436576584301E-2</v>
      </c>
      <c r="AU29" s="362">
        <f t="shared" si="115"/>
        <v>1.3941436576584263E-2</v>
      </c>
      <c r="AV29" s="361">
        <f t="shared" si="115"/>
        <v>1.8734941176470732E-2</v>
      </c>
      <c r="AW29" s="362">
        <f t="shared" si="115"/>
        <v>1.873494117647078E-2</v>
      </c>
      <c r="AX29" s="725"/>
      <c r="AY29" s="725"/>
      <c r="AZ29" s="725"/>
      <c r="BB29" s="361">
        <f t="shared" ref="BB29:BG29" si="116">BB30/BB26</f>
        <v>0.11707013139728289</v>
      </c>
      <c r="BC29" s="362">
        <f t="shared" si="116"/>
        <v>0.11707013139728302</v>
      </c>
      <c r="BD29" s="361">
        <f t="shared" si="116"/>
        <v>1.999999999999991E-2</v>
      </c>
      <c r="BE29" s="362">
        <f t="shared" si="116"/>
        <v>1.9999999999999928E-2</v>
      </c>
      <c r="BF29" s="361">
        <f t="shared" si="116"/>
        <v>2.3521600000000035E-2</v>
      </c>
      <c r="BG29" s="362">
        <f t="shared" si="116"/>
        <v>2.3521600000000017E-2</v>
      </c>
      <c r="BH29" s="725"/>
      <c r="BI29" s="725"/>
      <c r="BJ29" s="725"/>
      <c r="BL29" s="361">
        <f t="shared" ref="BL29:BQ29" si="117">BL30/BL26</f>
        <v>7.4649064562694656E-2</v>
      </c>
      <c r="BM29" s="362">
        <f t="shared" si="117"/>
        <v>7.4649064562694711E-2</v>
      </c>
      <c r="BN29" s="361">
        <f t="shared" si="117"/>
        <v>1.2499999999999907E-2</v>
      </c>
      <c r="BO29" s="362">
        <f t="shared" si="117"/>
        <v>1.2499999999999919E-2</v>
      </c>
      <c r="BP29" s="361">
        <f t="shared" si="117"/>
        <v>3.7414585365853827E-2</v>
      </c>
      <c r="BQ29" s="362">
        <f t="shared" si="117"/>
        <v>3.7414585365853778E-2</v>
      </c>
      <c r="BR29" s="725"/>
      <c r="BS29" s="725"/>
      <c r="BT29" s="725"/>
      <c r="BV29" s="361">
        <f t="shared" ref="BV29:BW29" si="118">BV30/BV26</f>
        <v>7.4649064562694656E-2</v>
      </c>
      <c r="BW29" s="362">
        <f t="shared" si="118"/>
        <v>7.4649064562694711E-2</v>
      </c>
      <c r="BY29" s="361">
        <f t="shared" ref="BY29:CD29" si="119">BY30/BY26</f>
        <v>6.5934065934065839E-2</v>
      </c>
      <c r="BZ29" s="362">
        <f t="shared" si="119"/>
        <v>6.5934065934065894E-2</v>
      </c>
      <c r="CA29" s="361">
        <f t="shared" si="119"/>
        <v>5.5555555555555601E-2</v>
      </c>
      <c r="CB29" s="362">
        <f t="shared" si="119"/>
        <v>5.5555555555555552E-2</v>
      </c>
      <c r="CC29" s="361">
        <f t="shared" si="119"/>
        <v>2.1739130434782511E-2</v>
      </c>
      <c r="CD29" s="362">
        <f t="shared" si="119"/>
        <v>2.1739130434782532E-2</v>
      </c>
      <c r="CF29" s="361">
        <f t="shared" ref="CF29:CK29" si="120">CF30/CF26</f>
        <v>6.8138315215706222E-2</v>
      </c>
      <c r="CG29" s="362">
        <f t="shared" si="120"/>
        <v>6.8138315215706263E-2</v>
      </c>
      <c r="CH29" s="361">
        <f t="shared" si="120"/>
        <v>2.3598244244533644E-2</v>
      </c>
      <c r="CI29" s="362">
        <f t="shared" si="120"/>
        <v>2.3598244244533717E-2</v>
      </c>
      <c r="CJ29" s="361">
        <f t="shared" si="120"/>
        <v>3.1271428571428603E-2</v>
      </c>
      <c r="CK29" s="362">
        <f t="shared" si="120"/>
        <v>3.1271428571428686E-2</v>
      </c>
      <c r="CM29" s="361">
        <f t="shared" ref="CM29:CR29" si="121">CM30/CM26</f>
        <v>8.0289006532248491E-2</v>
      </c>
      <c r="CN29" s="362">
        <f t="shared" si="121"/>
        <v>8.0289006532248616E-2</v>
      </c>
      <c r="CO29" s="361">
        <f t="shared" si="121"/>
        <v>2.2860748649039215E-2</v>
      </c>
      <c r="CP29" s="362">
        <f t="shared" si="121"/>
        <v>2.2860748649039361E-2</v>
      </c>
      <c r="CQ29" s="361">
        <f t="shared" si="121"/>
        <v>5.7261707317073252E-2</v>
      </c>
      <c r="CR29" s="362">
        <f t="shared" si="121"/>
        <v>5.7261707317073217E-2</v>
      </c>
      <c r="CT29" s="361">
        <f t="shared" ref="CT29:CY29" si="122">CT30/CT26</f>
        <v>7.5443443315941425E-2</v>
      </c>
      <c r="CU29" s="362">
        <f t="shared" si="122"/>
        <v>7.5443443315941383E-2</v>
      </c>
      <c r="CV29" s="361">
        <f t="shared" si="122"/>
        <v>-3.9856317602973059E-3</v>
      </c>
      <c r="CW29" s="362">
        <f t="shared" si="122"/>
        <v>-3.9856317602972634E-3</v>
      </c>
      <c r="CX29" s="361">
        <f t="shared" si="122"/>
        <v>5.7261707317073252E-2</v>
      </c>
      <c r="CY29" s="362">
        <f t="shared" si="122"/>
        <v>-7.3674166666666596E-2</v>
      </c>
      <c r="DA29" s="361">
        <f t="shared" ref="DA29:DF29" si="123">DA30/DA26</f>
        <v>8.0289006532248491E-2</v>
      </c>
      <c r="DB29" s="362">
        <f t="shared" si="123"/>
        <v>8.0289006532248616E-2</v>
      </c>
      <c r="DC29" s="361">
        <f t="shared" si="123"/>
        <v>2.2860748649039215E-2</v>
      </c>
      <c r="DD29" s="362">
        <f t="shared" si="123"/>
        <v>2.2860748649039361E-2</v>
      </c>
      <c r="DE29" s="361">
        <f t="shared" si="123"/>
        <v>5.7261707317073252E-2</v>
      </c>
      <c r="DF29" s="362">
        <f t="shared" si="123"/>
        <v>5.7261707317073217E-2</v>
      </c>
      <c r="DH29" s="361">
        <f t="shared" ref="DH29:DM29" si="124">DH30/DH26</f>
        <v>8.6003872754594618E-2</v>
      </c>
      <c r="DI29" s="362">
        <f t="shared" si="124"/>
        <v>8.6003872754594604E-2</v>
      </c>
      <c r="DJ29" s="361">
        <f t="shared" si="124"/>
        <v>2.3719453029110913E-2</v>
      </c>
      <c r="DK29" s="362">
        <f t="shared" si="124"/>
        <v>2.3719453029110733E-2</v>
      </c>
      <c r="DL29" s="361">
        <f t="shared" si="124"/>
        <v>-2.1831943118990067E-2</v>
      </c>
      <c r="DM29" s="362">
        <f t="shared" si="124"/>
        <v>-2.1831943118990078E-2</v>
      </c>
    </row>
    <row r="30" spans="1:117" s="4" customFormat="1" ht="18" customHeight="1" x14ac:dyDescent="0.45">
      <c r="A30" s="561"/>
      <c r="B30" s="1194"/>
      <c r="C30" s="15" t="s">
        <v>43</v>
      </c>
      <c r="D30" s="16"/>
      <c r="E30" s="35"/>
      <c r="F30" s="50">
        <f t="shared" ref="F30:AE30" si="125">F26-F32</f>
        <v>1383.3444000000018</v>
      </c>
      <c r="G30" s="24">
        <f t="shared" si="125"/>
        <v>0.33999999999999986</v>
      </c>
      <c r="H30" s="50">
        <f t="shared" si="125"/>
        <v>2219.0034000000014</v>
      </c>
      <c r="I30" s="24">
        <f t="shared" si="125"/>
        <v>0.5453892436330392</v>
      </c>
      <c r="J30" s="50">
        <f t="shared" si="125"/>
        <v>587.47460491674428</v>
      </c>
      <c r="K30" s="24">
        <f t="shared" si="125"/>
        <v>0.14439019355678351</v>
      </c>
      <c r="L30" s="50">
        <f t="shared" si="125"/>
        <v>1244.6048780487836</v>
      </c>
      <c r="M30" s="24">
        <f t="shared" si="125"/>
        <v>0.30590043848559034</v>
      </c>
      <c r="N30" s="363">
        <f t="shared" si="125"/>
        <v>2179.9041697539615</v>
      </c>
      <c r="O30" s="351">
        <f t="shared" si="125"/>
        <v>0.53577938922248691</v>
      </c>
      <c r="P30" s="363">
        <f t="shared" si="125"/>
        <v>464.39571052043175</v>
      </c>
      <c r="Q30" s="351">
        <f t="shared" si="125"/>
        <v>0.11413971934750844</v>
      </c>
      <c r="R30" s="363">
        <f t="shared" si="125"/>
        <v>984.31475409836276</v>
      </c>
      <c r="S30" s="351">
        <f t="shared" si="125"/>
        <v>0.24192602824968468</v>
      </c>
      <c r="T30" s="363">
        <f t="shared" si="125"/>
        <v>2179.9041697539615</v>
      </c>
      <c r="U30" s="351">
        <f t="shared" si="125"/>
        <v>0.53577938922248691</v>
      </c>
      <c r="V30" s="363">
        <f t="shared" si="125"/>
        <v>464.39571052043175</v>
      </c>
      <c r="W30" s="351">
        <f t="shared" si="125"/>
        <v>0.11413971934750844</v>
      </c>
      <c r="X30" s="363">
        <f t="shared" si="125"/>
        <v>984.31475409836276</v>
      </c>
      <c r="Y30" s="351">
        <f t="shared" si="125"/>
        <v>0.24192602824968468</v>
      </c>
      <c r="Z30" s="363">
        <f t="shared" si="125"/>
        <v>2179.9041697539615</v>
      </c>
      <c r="AA30" s="351">
        <f t="shared" si="125"/>
        <v>0.53577938922248691</v>
      </c>
      <c r="AB30" s="363">
        <f t="shared" si="125"/>
        <v>464.39571052043175</v>
      </c>
      <c r="AC30" s="351">
        <f t="shared" si="125"/>
        <v>0.11413971934750844</v>
      </c>
      <c r="AD30" s="363">
        <f t="shared" si="125"/>
        <v>984.31475409836276</v>
      </c>
      <c r="AE30" s="351">
        <f t="shared" si="125"/>
        <v>0.24192602824968468</v>
      </c>
      <c r="AF30" s="620"/>
      <c r="AG30" s="630"/>
      <c r="AH30" s="363">
        <f t="shared" ref="AH30:AM30" si="126">AH26-AH32</f>
        <v>1977.3941265333051</v>
      </c>
      <c r="AI30" s="351">
        <f t="shared" si="126"/>
        <v>0.48600623461614045</v>
      </c>
      <c r="AJ30" s="363">
        <f t="shared" si="126"/>
        <v>455.5440842992648</v>
      </c>
      <c r="AK30" s="351">
        <f t="shared" si="126"/>
        <v>0.11196415633138734</v>
      </c>
      <c r="AL30" s="363">
        <f t="shared" si="126"/>
        <v>1050.7200000000012</v>
      </c>
      <c r="AM30" s="351">
        <f t="shared" si="126"/>
        <v>0.25824718703455218</v>
      </c>
      <c r="AN30" s="630"/>
      <c r="AO30" s="630"/>
      <c r="AP30" s="630"/>
      <c r="AR30" s="363">
        <f t="shared" ref="AR30:AW30" si="127">AR26-AR32</f>
        <v>1977.4245855325462</v>
      </c>
      <c r="AS30" s="351">
        <f t="shared" si="127"/>
        <v>0.48601372086449768</v>
      </c>
      <c r="AT30" s="363">
        <f t="shared" si="127"/>
        <v>460.59047857448604</v>
      </c>
      <c r="AU30" s="351">
        <f t="shared" si="127"/>
        <v>0.11320446500186421</v>
      </c>
      <c r="AV30" s="363">
        <f t="shared" si="127"/>
        <v>636.98800000000483</v>
      </c>
      <c r="AW30" s="351">
        <f t="shared" si="127"/>
        <v>0.15655965354686963</v>
      </c>
      <c r="AX30" s="723">
        <f>AS30/$O30-1</f>
        <v>-9.2884626320187902E-2</v>
      </c>
      <c r="AY30" s="723">
        <f>AU30/$Q30-1</f>
        <v>-8.1939429235564631E-3</v>
      </c>
      <c r="AZ30" s="723">
        <f>AW30/$S30-1</f>
        <v>-0.3528614730727152</v>
      </c>
      <c r="BB30" s="363">
        <f t="shared" ref="BB30:BG30" si="128">BB26-BB32</f>
        <v>4722.9954320000033</v>
      </c>
      <c r="BC30" s="351">
        <f t="shared" si="128"/>
        <v>1.1608233256158069</v>
      </c>
      <c r="BD30" s="363">
        <f t="shared" si="128"/>
        <v>813.73199999999633</v>
      </c>
      <c r="BE30" s="351">
        <f t="shared" si="128"/>
        <v>0.19999999999999929</v>
      </c>
      <c r="BF30" s="363">
        <f t="shared" si="128"/>
        <v>940.8640000000014</v>
      </c>
      <c r="BG30" s="351">
        <f t="shared" si="128"/>
        <v>0.23124665123160959</v>
      </c>
      <c r="BH30" s="723">
        <f>BC30/$O30-1</f>
        <v>1.1666069075564334</v>
      </c>
      <c r="BI30" s="723">
        <f>BE30/$Q30-1</f>
        <v>0.75223840695701782</v>
      </c>
      <c r="BJ30" s="723">
        <f>BG30/$S30-1</f>
        <v>-4.414315026514315E-2</v>
      </c>
      <c r="BL30" s="363">
        <f t="shared" ref="BL30:BQ30" si="129">BL26-BL32</f>
        <v>2988.1698060487761</v>
      </c>
      <c r="BM30" s="351">
        <f t="shared" si="129"/>
        <v>0.73443585997571148</v>
      </c>
      <c r="BN30" s="363">
        <f t="shared" si="129"/>
        <v>488.23919999999634</v>
      </c>
      <c r="BO30" s="351">
        <f t="shared" si="129"/>
        <v>0.11999999999999922</v>
      </c>
      <c r="BP30" s="363">
        <f t="shared" si="129"/>
        <v>1533.9980000000069</v>
      </c>
      <c r="BQ30" s="351">
        <f t="shared" si="129"/>
        <v>0.37702781751240089</v>
      </c>
      <c r="BR30" s="723">
        <f>BM30/$O30-1</f>
        <v>0.37078035241615237</v>
      </c>
      <c r="BS30" s="723">
        <f>BO30/$Q30-1</f>
        <v>5.1343044174207542E-2</v>
      </c>
      <c r="BT30" s="723">
        <f>BQ30/$S30-1</f>
        <v>0.55844255469395643</v>
      </c>
      <c r="BV30" s="363">
        <f t="shared" ref="BV30:BW30" si="130">BV26-BV32</f>
        <v>2988.1698060487761</v>
      </c>
      <c r="BW30" s="351">
        <f t="shared" si="130"/>
        <v>0.73443585997571148</v>
      </c>
      <c r="BY30" s="363">
        <f t="shared" ref="BY30:CD30" si="131">BY26-BY32</f>
        <v>2441.1959999999963</v>
      </c>
      <c r="BZ30" s="351">
        <f t="shared" si="131"/>
        <v>0.59999999999999964</v>
      </c>
      <c r="CA30" s="363">
        <f t="shared" si="131"/>
        <v>2034.3300000000017</v>
      </c>
      <c r="CB30" s="351">
        <f t="shared" si="131"/>
        <v>0.5</v>
      </c>
      <c r="CC30" s="363">
        <f t="shared" si="131"/>
        <v>813.73199999999633</v>
      </c>
      <c r="CD30" s="351">
        <f t="shared" si="131"/>
        <v>0.19999999999999929</v>
      </c>
      <c r="CF30" s="363">
        <f t="shared" ref="CF30:CK30" si="132">CF26-CF32</f>
        <v>2817.062807457507</v>
      </c>
      <c r="CG30" s="351">
        <f t="shared" si="132"/>
        <v>0.69238098230314371</v>
      </c>
      <c r="CH30" s="363">
        <f t="shared" si="132"/>
        <v>960.13232427964249</v>
      </c>
      <c r="CI30" s="351">
        <f t="shared" si="132"/>
        <v>0.23598244244533717</v>
      </c>
      <c r="CJ30" s="363">
        <f t="shared" si="132"/>
        <v>1313.4000000000015</v>
      </c>
      <c r="CK30" s="351">
        <f t="shared" si="132"/>
        <v>0.32280898379319112</v>
      </c>
      <c r="CM30" s="363">
        <f t="shared" ref="CM30:CR30" si="133">CM26-CM32</f>
        <v>3262.9345470327098</v>
      </c>
      <c r="CN30" s="351">
        <f t="shared" si="133"/>
        <v>0.80196785846758267</v>
      </c>
      <c r="CO30" s="363">
        <f t="shared" si="133"/>
        <v>920.82487462415884</v>
      </c>
      <c r="CP30" s="351">
        <f t="shared" si="133"/>
        <v>0.22632141162548969</v>
      </c>
      <c r="CQ30" s="363">
        <f t="shared" si="133"/>
        <v>2347.7300000000032</v>
      </c>
      <c r="CR30" s="351">
        <f t="shared" si="133"/>
        <v>0.57702781751240018</v>
      </c>
      <c r="CT30" s="363">
        <f t="shared" ref="CT30:CY30" si="134">CT26-CT32</f>
        <v>2654.861447032712</v>
      </c>
      <c r="CU30" s="351">
        <f t="shared" si="134"/>
        <v>0.65251494276560607</v>
      </c>
      <c r="CV30" s="363">
        <f t="shared" si="134"/>
        <v>-137.02672537584294</v>
      </c>
      <c r="CW30" s="351">
        <f t="shared" si="134"/>
        <v>-3.3678588374511875E-2</v>
      </c>
      <c r="CX30" s="363">
        <f t="shared" si="134"/>
        <v>2347.7300000000032</v>
      </c>
      <c r="CY30" s="351">
        <f t="shared" si="134"/>
        <v>-0.65187801389155098</v>
      </c>
      <c r="DA30" s="363">
        <f t="shared" ref="DA30:DF30" si="135">DA26-DA32</f>
        <v>3262.9345470327098</v>
      </c>
      <c r="DB30" s="351">
        <f t="shared" si="135"/>
        <v>0.80196785846758267</v>
      </c>
      <c r="DC30" s="363">
        <f t="shared" si="135"/>
        <v>920.82487462415884</v>
      </c>
      <c r="DD30" s="351">
        <f t="shared" si="135"/>
        <v>0.22632141162548969</v>
      </c>
      <c r="DE30" s="363">
        <f t="shared" si="135"/>
        <v>2347.7300000000032</v>
      </c>
      <c r="DF30" s="351">
        <f t="shared" si="135"/>
        <v>0.57702781751240018</v>
      </c>
      <c r="DH30" s="363">
        <f t="shared" ref="DH30:DM30" si="136">DH26-DH32</f>
        <v>3222.2479470327162</v>
      </c>
      <c r="DI30" s="351">
        <f t="shared" si="136"/>
        <v>0.79196785846758289</v>
      </c>
      <c r="DJ30" s="363">
        <f t="shared" si="136"/>
        <v>880.13827462417248</v>
      </c>
      <c r="DK30" s="351">
        <f t="shared" si="136"/>
        <v>0.2163214116254899</v>
      </c>
      <c r="DL30" s="363">
        <f t="shared" si="136"/>
        <v>-825.82479999999487</v>
      </c>
      <c r="DM30" s="351">
        <f t="shared" si="136"/>
        <v>-0.20297218248759918</v>
      </c>
    </row>
    <row r="31" spans="1:117" s="4" customFormat="1" ht="18" customHeight="1" x14ac:dyDescent="0.45">
      <c r="A31" s="561"/>
      <c r="B31" s="1194"/>
      <c r="C31" s="51" t="s">
        <v>44</v>
      </c>
      <c r="D31" s="52"/>
      <c r="E31" s="53"/>
      <c r="F31" s="54">
        <f>+F32</f>
        <v>29945.337599999999</v>
      </c>
      <c r="G31" s="55">
        <f>G32</f>
        <v>7.36</v>
      </c>
      <c r="H31" s="54">
        <f>+H32</f>
        <v>29945.337599999999</v>
      </c>
      <c r="I31" s="55">
        <f>I32</f>
        <v>7.36</v>
      </c>
      <c r="J31" s="54">
        <f t="shared" ref="J31" si="137">+J32</f>
        <v>30741.207395083256</v>
      </c>
      <c r="K31" s="55">
        <f t="shared" ref="K31" si="138">K32</f>
        <v>7.5556098064432167</v>
      </c>
      <c r="L31" s="54">
        <f t="shared" ref="L31" si="139">+L32</f>
        <v>31755.395121951216</v>
      </c>
      <c r="M31" s="55">
        <f t="shared" ref="M31" si="140">M32</f>
        <v>7.8048780487804876</v>
      </c>
      <c r="N31" s="54">
        <f>+N32</f>
        <v>30086.153330246038</v>
      </c>
      <c r="O31" s="55">
        <f>O32</f>
        <v>7.3946098544105521</v>
      </c>
      <c r="P31" s="54">
        <f>+P32</f>
        <v>31067.719289479566</v>
      </c>
      <c r="Q31" s="55">
        <f>Q32</f>
        <v>7.6358602806524916</v>
      </c>
      <c r="R31" s="54">
        <f>+R32</f>
        <v>32015.685245901637</v>
      </c>
      <c r="S31" s="55">
        <f>S32</f>
        <v>7.8688524590163933</v>
      </c>
      <c r="T31" s="54">
        <f>+T32</f>
        <v>30086.153330246038</v>
      </c>
      <c r="U31" s="55">
        <f>U32</f>
        <v>7.3946098544105521</v>
      </c>
      <c r="V31" s="54">
        <f>+V32</f>
        <v>31067.719289479566</v>
      </c>
      <c r="W31" s="55">
        <f>W32</f>
        <v>7.6358602806524916</v>
      </c>
      <c r="X31" s="54">
        <f>+X32</f>
        <v>32015.685245901637</v>
      </c>
      <c r="Y31" s="55">
        <f>Y32</f>
        <v>7.8688524590163933</v>
      </c>
      <c r="Z31" s="54">
        <f>+Z32</f>
        <v>30086.153330246038</v>
      </c>
      <c r="AA31" s="55">
        <f>AA32</f>
        <v>7.3946098544105521</v>
      </c>
      <c r="AB31" s="54">
        <f>+AB32</f>
        <v>31067.719289479566</v>
      </c>
      <c r="AC31" s="55">
        <f>AC32</f>
        <v>7.6358602806524916</v>
      </c>
      <c r="AD31" s="54">
        <f>+AD32</f>
        <v>32015.685245901637</v>
      </c>
      <c r="AE31" s="55">
        <f>AE32</f>
        <v>7.8688524590163933</v>
      </c>
      <c r="AF31" s="620"/>
      <c r="AG31" s="630"/>
      <c r="AH31" s="54">
        <f>+AH32</f>
        <v>30649.693273466695</v>
      </c>
      <c r="AI31" s="55">
        <f>AI32</f>
        <v>7.5331173589011362</v>
      </c>
      <c r="AJ31" s="54">
        <f>+AJ32</f>
        <v>31198.630715700736</v>
      </c>
      <c r="AK31" s="55">
        <f>AK32</f>
        <v>7.6680358436686129</v>
      </c>
      <c r="AL31" s="54">
        <f>+AL32</f>
        <v>32549.279999999999</v>
      </c>
      <c r="AM31" s="55">
        <f>AM32</f>
        <v>8</v>
      </c>
      <c r="AN31" s="274"/>
      <c r="AO31" s="274"/>
      <c r="AP31" s="274"/>
      <c r="AR31" s="54">
        <f>+AR32</f>
        <v>31541.335014467451</v>
      </c>
      <c r="AS31" s="55">
        <f>AS32</f>
        <v>7.7522661059089364</v>
      </c>
      <c r="AT31" s="54">
        <f>+AT32</f>
        <v>32576.928721425509</v>
      </c>
      <c r="AU31" s="55">
        <f>AU32</f>
        <v>8.006795534998135</v>
      </c>
      <c r="AV31" s="54">
        <f>+AV32</f>
        <v>33363.011999999995</v>
      </c>
      <c r="AW31" s="55">
        <f>AW32</f>
        <v>8.1999999999999993</v>
      </c>
      <c r="AX31" s="743"/>
      <c r="AY31" s="743"/>
      <c r="AZ31" s="743"/>
      <c r="BB31" s="54">
        <f>+BB32</f>
        <v>35620.304568</v>
      </c>
      <c r="BC31" s="55">
        <f>BC32</f>
        <v>8.7547999999999995</v>
      </c>
      <c r="BD31" s="54">
        <f>+BD32</f>
        <v>39872.868000000002</v>
      </c>
      <c r="BE31" s="55">
        <f>BE32</f>
        <v>9.8000000000000007</v>
      </c>
      <c r="BF31" s="54">
        <f>+BF32</f>
        <v>39059.135999999999</v>
      </c>
      <c r="BG31" s="55">
        <f>BG32</f>
        <v>9.6</v>
      </c>
      <c r="BH31" s="743"/>
      <c r="BI31" s="743"/>
      <c r="BJ31" s="743"/>
      <c r="BL31" s="54">
        <f>+BL32</f>
        <v>37041.398193951223</v>
      </c>
      <c r="BM31" s="55">
        <f>BM32</f>
        <v>9.1040780487804884</v>
      </c>
      <c r="BN31" s="54">
        <f>+BN32</f>
        <v>38570.896800000002</v>
      </c>
      <c r="BO31" s="55">
        <f>BO32</f>
        <v>9.48</v>
      </c>
      <c r="BP31" s="54">
        <f>+BP32</f>
        <v>39466.001999999993</v>
      </c>
      <c r="BQ31" s="55">
        <f>BQ32</f>
        <v>9.6999999999999993</v>
      </c>
      <c r="BR31" s="743"/>
      <c r="BS31" s="743"/>
      <c r="BT31" s="743"/>
      <c r="BV31" s="54">
        <f>+BV32</f>
        <v>37041.398193951223</v>
      </c>
      <c r="BW31" s="55">
        <f>BW32</f>
        <v>9.1040780487804884</v>
      </c>
      <c r="BY31" s="54">
        <f>+BY32</f>
        <v>34583.61</v>
      </c>
      <c r="BZ31" s="55">
        <f>BZ32</f>
        <v>8.5</v>
      </c>
      <c r="CA31" s="54">
        <f>+CA32</f>
        <v>34583.61</v>
      </c>
      <c r="CB31" s="55">
        <f>CB32</f>
        <v>8.5</v>
      </c>
      <c r="CC31" s="54">
        <f>+CC32</f>
        <v>36617.94</v>
      </c>
      <c r="CD31" s="55">
        <f>CD32</f>
        <v>9</v>
      </c>
      <c r="CF31" s="54">
        <f>+CF32</f>
        <v>38526.237192542496</v>
      </c>
      <c r="CG31" s="55">
        <f>CG32</f>
        <v>9.4690235095934518</v>
      </c>
      <c r="CH31" s="54">
        <f>+CH32</f>
        <v>39726.467675720356</v>
      </c>
      <c r="CI31" s="55">
        <f>CI32</f>
        <v>9.7640175575546628</v>
      </c>
      <c r="CJ31" s="54">
        <f>+CJ32</f>
        <v>40686.6</v>
      </c>
      <c r="CK31" s="55">
        <f>CK32</f>
        <v>10</v>
      </c>
      <c r="CM31" s="54">
        <f>+CM32</f>
        <v>37376.932452967289</v>
      </c>
      <c r="CN31" s="55">
        <f>CN32</f>
        <v>9.1865460502886176</v>
      </c>
      <c r="CO31" s="54">
        <f>+CO32</f>
        <v>39358.909125375838</v>
      </c>
      <c r="CP31" s="55">
        <f>CP32</f>
        <v>9.6736785883745107</v>
      </c>
      <c r="CQ31" s="54">
        <f>+CQ32</f>
        <v>38652.269999999997</v>
      </c>
      <c r="CR31" s="55">
        <f>CR32</f>
        <v>9.5</v>
      </c>
      <c r="CT31" s="54">
        <f>+CT32</f>
        <v>32535.227052967286</v>
      </c>
      <c r="CU31" s="55">
        <f>CU32</f>
        <v>7.9965460502886181</v>
      </c>
      <c r="CV31" s="54">
        <f t="shared" ref="CV31" si="141">+CV32</f>
        <v>34517.203725375839</v>
      </c>
      <c r="CW31" s="55">
        <f t="shared" ref="CW31" si="142">CW32</f>
        <v>8.4836785883745112</v>
      </c>
      <c r="CX31" s="54">
        <f t="shared" ref="CX31" si="143">+CX32</f>
        <v>38652.269999999997</v>
      </c>
      <c r="CY31" s="55">
        <f t="shared" ref="CY31" si="144">CY32</f>
        <v>9.5</v>
      </c>
      <c r="DA31" s="54">
        <f>+DA32</f>
        <v>37376.932452967289</v>
      </c>
      <c r="DB31" s="55">
        <f>DB32</f>
        <v>9.1865460502886176</v>
      </c>
      <c r="DC31" s="54">
        <f t="shared" ref="DC31" si="145">+DC32</f>
        <v>39358.909125375838</v>
      </c>
      <c r="DD31" s="55">
        <f t="shared" ref="DD31" si="146">DD32</f>
        <v>9.6736785883745107</v>
      </c>
      <c r="DE31" s="54">
        <f t="shared" ref="DE31" si="147">+DE32</f>
        <v>38652.269999999997</v>
      </c>
      <c r="DF31" s="55">
        <f t="shared" ref="DF31" si="148">DF32</f>
        <v>9.5</v>
      </c>
      <c r="DH31" s="54">
        <f>+DH32</f>
        <v>34244.064252967284</v>
      </c>
      <c r="DI31" s="55">
        <f>DI32</f>
        <v>8.416546050288618</v>
      </c>
      <c r="DJ31" s="54">
        <f t="shared" ref="DJ31" si="149">+DJ32</f>
        <v>36226.040925375833</v>
      </c>
      <c r="DK31" s="55">
        <f t="shared" ref="DK31" si="150">DK32</f>
        <v>8.9036785883745111</v>
      </c>
      <c r="DL31" s="54">
        <f t="shared" ref="DL31" si="151">+DL32</f>
        <v>38652.269999999997</v>
      </c>
      <c r="DM31" s="55">
        <f t="shared" ref="DM31" si="152">DM32</f>
        <v>9.5</v>
      </c>
    </row>
    <row r="32" spans="1:117" s="4" customFormat="1" ht="18" customHeight="1" x14ac:dyDescent="0.45">
      <c r="A32" s="561"/>
      <c r="B32" s="1194"/>
      <c r="C32" s="56" t="s">
        <v>45</v>
      </c>
      <c r="D32" s="52"/>
      <c r="E32" s="53"/>
      <c r="F32" s="54">
        <f>7.36*F12</f>
        <v>29945.337599999999</v>
      </c>
      <c r="G32" s="55">
        <f>+F32/F12</f>
        <v>7.36</v>
      </c>
      <c r="H32" s="54">
        <f>7.36*H12</f>
        <v>29945.337599999999</v>
      </c>
      <c r="I32" s="55">
        <f>+H32/H12</f>
        <v>7.36</v>
      </c>
      <c r="J32" s="54">
        <f>K32*J12</f>
        <v>30741.207395083256</v>
      </c>
      <c r="K32" s="55">
        <v>7.5556098064432167</v>
      </c>
      <c r="L32" s="54">
        <f>8*40/41*L12</f>
        <v>31755.395121951216</v>
      </c>
      <c r="M32" s="55">
        <f t="shared" ref="M32" si="153">+L32/L12</f>
        <v>7.8048780487804876</v>
      </c>
      <c r="N32" s="54">
        <f>O32*N12</f>
        <v>30086.153330246038</v>
      </c>
      <c r="O32" s="55">
        <v>7.3946098544105521</v>
      </c>
      <c r="P32" s="54">
        <f>Q32*P12</f>
        <v>31067.719289479566</v>
      </c>
      <c r="Q32" s="55">
        <v>7.6358602806524916</v>
      </c>
      <c r="R32" s="54">
        <f>S32*R12</f>
        <v>32015.685245901637</v>
      </c>
      <c r="S32" s="55">
        <f>8*60/61</f>
        <v>7.8688524590163933</v>
      </c>
      <c r="T32" s="54">
        <f>U32*T12</f>
        <v>30086.153330246038</v>
      </c>
      <c r="U32" s="55">
        <v>7.3946098544105521</v>
      </c>
      <c r="V32" s="54">
        <f>W32*V12</f>
        <v>31067.719289479566</v>
      </c>
      <c r="W32" s="55">
        <v>7.6358602806524916</v>
      </c>
      <c r="X32" s="54">
        <f>Y32*X12</f>
        <v>32015.685245901637</v>
      </c>
      <c r="Y32" s="55">
        <f>8*60/61</f>
        <v>7.8688524590163933</v>
      </c>
      <c r="Z32" s="54">
        <f>AA32*Z12</f>
        <v>30086.153330246038</v>
      </c>
      <c r="AA32" s="55">
        <v>7.3946098544105521</v>
      </c>
      <c r="AB32" s="54">
        <f>AC32*AB12</f>
        <v>31067.719289479566</v>
      </c>
      <c r="AC32" s="55">
        <v>7.6358602806524916</v>
      </c>
      <c r="AD32" s="54">
        <f>AE32*AD12</f>
        <v>32015.685245901637</v>
      </c>
      <c r="AE32" s="55">
        <f>8*60/61</f>
        <v>7.8688524590163933</v>
      </c>
      <c r="AF32" s="620"/>
      <c r="AG32" s="630"/>
      <c r="AH32" s="54">
        <f>AI32*AH12</f>
        <v>30649.693273466695</v>
      </c>
      <c r="AI32" s="55">
        <v>7.5331173589011362</v>
      </c>
      <c r="AJ32" s="54">
        <f>AK32*AJ12</f>
        <v>31198.630715700736</v>
      </c>
      <c r="AK32" s="55">
        <v>7.6680358436686129</v>
      </c>
      <c r="AL32" s="54">
        <f>AM32*AL12</f>
        <v>32549.279999999999</v>
      </c>
      <c r="AM32" s="55">
        <f>8</f>
        <v>8</v>
      </c>
      <c r="AN32" s="274"/>
      <c r="AO32" s="274"/>
      <c r="AP32" s="274"/>
      <c r="AR32" s="54">
        <f>AS32*AR12</f>
        <v>31541.335014467451</v>
      </c>
      <c r="AS32" s="55">
        <v>7.7522661059089364</v>
      </c>
      <c r="AT32" s="54">
        <f>AU32*AT12</f>
        <v>32576.928721425509</v>
      </c>
      <c r="AU32" s="55">
        <v>8.006795534998135</v>
      </c>
      <c r="AV32" s="54">
        <f>AW32*AV12</f>
        <v>33363.011999999995</v>
      </c>
      <c r="AW32" s="55">
        <v>8.1999999999999993</v>
      </c>
      <c r="AX32" s="743">
        <f>AS32/$O32-1</f>
        <v>4.8367156420707991E-2</v>
      </c>
      <c r="AY32" s="743">
        <f>AU32/$Q32-1</f>
        <v>4.8578056788900037E-2</v>
      </c>
      <c r="AZ32" s="743">
        <f>AW32/$S32-1</f>
        <v>4.208333333333325E-2</v>
      </c>
      <c r="BB32" s="54">
        <f>BC32*BB12</f>
        <v>35620.304568</v>
      </c>
      <c r="BC32" s="55">
        <f>BE32*0.48+BG38*0.52</f>
        <v>8.7547999999999995</v>
      </c>
      <c r="BD32" s="54">
        <f>BE32*BD12</f>
        <v>39872.868000000002</v>
      </c>
      <c r="BE32" s="55">
        <v>9.8000000000000007</v>
      </c>
      <c r="BF32" s="54">
        <f>BG32*BF12</f>
        <v>39059.135999999999</v>
      </c>
      <c r="BG32" s="55">
        <v>9.6</v>
      </c>
      <c r="BH32" s="743">
        <f>BC32/$O32-1</f>
        <v>0.18394346319409327</v>
      </c>
      <c r="BI32" s="743">
        <f>BE32/$Q32-1</f>
        <v>0.28341793063329623</v>
      </c>
      <c r="BJ32" s="743">
        <f>BG32/$S32-1</f>
        <v>0.21999999999999997</v>
      </c>
      <c r="BL32" s="54">
        <f>BM32*BL12</f>
        <v>37041.398193951223</v>
      </c>
      <c r="BM32" s="55">
        <f>BO32*0.48+BQ38*0.52</f>
        <v>9.1040780487804884</v>
      </c>
      <c r="BN32" s="54">
        <f>BO32*BN12</f>
        <v>38570.896800000002</v>
      </c>
      <c r="BO32" s="55">
        <v>9.48</v>
      </c>
      <c r="BP32" s="54">
        <f>BQ32*BP12</f>
        <v>39466.001999999993</v>
      </c>
      <c r="BQ32" s="55">
        <v>9.6999999999999993</v>
      </c>
      <c r="BR32" s="743">
        <f>BM32/$O32-1</f>
        <v>0.23117760477252425</v>
      </c>
      <c r="BS32" s="743">
        <f>BO32/$Q32-1</f>
        <v>0.24151040636771914</v>
      </c>
      <c r="BT32" s="743">
        <f>BQ32/$S32-1</f>
        <v>0.23270833333333329</v>
      </c>
      <c r="BV32" s="54">
        <f>BW32*BV12</f>
        <v>37041.398193951223</v>
      </c>
      <c r="BW32" s="55">
        <f>BM32</f>
        <v>9.1040780487804884</v>
      </c>
      <c r="BY32" s="54">
        <f>BZ32*BY12</f>
        <v>34583.61</v>
      </c>
      <c r="BZ32" s="55">
        <f>0.48*CB32+0.52*CD38</f>
        <v>8.5</v>
      </c>
      <c r="CA32" s="54">
        <f>CB32*CA12</f>
        <v>34583.61</v>
      </c>
      <c r="CB32" s="55">
        <v>8.5</v>
      </c>
      <c r="CC32" s="54">
        <f>CD32*CC12</f>
        <v>36617.94</v>
      </c>
      <c r="CD32" s="55">
        <v>9</v>
      </c>
      <c r="CF32" s="54">
        <f>CG32*CF12</f>
        <v>38526.237192542496</v>
      </c>
      <c r="CG32" s="55">
        <f>0.48*CI32+0.52*CK38</f>
        <v>9.4690235095934518</v>
      </c>
      <c r="CH32" s="54">
        <f>CI32*CH12</f>
        <v>39726.467675720356</v>
      </c>
      <c r="CI32" s="55">
        <v>9.7640175575546628</v>
      </c>
      <c r="CJ32" s="54">
        <f>CK32*CJ12</f>
        <v>40686.6</v>
      </c>
      <c r="CK32" s="55">
        <v>10</v>
      </c>
      <c r="CM32" s="54">
        <f>CN32*CM12</f>
        <v>37376.932452967289</v>
      </c>
      <c r="CN32" s="55">
        <f>0.48*CP32+0.52*CR38</f>
        <v>9.1865460502886176</v>
      </c>
      <c r="CO32" s="54">
        <f>CP32*CO12</f>
        <v>39358.909125375838</v>
      </c>
      <c r="CP32" s="55">
        <v>9.6736785883745107</v>
      </c>
      <c r="CQ32" s="54">
        <f>CR32*CQ12</f>
        <v>38652.269999999997</v>
      </c>
      <c r="CR32" s="55">
        <v>9.5</v>
      </c>
      <c r="CT32" s="54">
        <f>CU32*CT12</f>
        <v>32535.227052967286</v>
      </c>
      <c r="CU32" s="55">
        <f>0.48*CW32+0.52*CY38</f>
        <v>7.9965460502886181</v>
      </c>
      <c r="CV32" s="54">
        <f t="shared" ref="CV32" si="154">CW32*CV12</f>
        <v>34517.203725375839</v>
      </c>
      <c r="CW32" s="55">
        <f>9.67367858837451-1.19</f>
        <v>8.4836785883745112</v>
      </c>
      <c r="CX32" s="54">
        <f t="shared" ref="CX32" si="155">CY32*CX12</f>
        <v>38652.269999999997</v>
      </c>
      <c r="CY32" s="55">
        <v>9.5</v>
      </c>
      <c r="DA32" s="54">
        <f>DB32*DA12</f>
        <v>37376.932452967289</v>
      </c>
      <c r="DB32" s="55">
        <f>0.48*DD32+0.52*DF38</f>
        <v>9.1865460502886176</v>
      </c>
      <c r="DC32" s="54">
        <f t="shared" ref="DC32" si="156">DD32*DC12</f>
        <v>39358.909125375838</v>
      </c>
      <c r="DD32" s="55">
        <v>9.6736785883745107</v>
      </c>
      <c r="DE32" s="54">
        <f t="shared" ref="DE32" si="157">DF32*DE12</f>
        <v>38652.269999999997</v>
      </c>
      <c r="DF32" s="55">
        <v>9.5</v>
      </c>
      <c r="DH32" s="54">
        <f>DI32*DH12</f>
        <v>34244.064252967284</v>
      </c>
      <c r="DI32" s="55">
        <f>0.48*DK32+0.52*DM38</f>
        <v>8.416546050288618</v>
      </c>
      <c r="DJ32" s="54">
        <f t="shared" ref="DJ32" si="158">DK32*DJ12</f>
        <v>36226.040925375833</v>
      </c>
      <c r="DK32" s="55">
        <f>9.67367858837451-0.82+0.22-0.17</f>
        <v>8.9036785883745111</v>
      </c>
      <c r="DL32" s="54">
        <f t="shared" ref="DL32" si="159">DM32*DL12</f>
        <v>38652.269999999997</v>
      </c>
      <c r="DM32" s="55">
        <v>9.5</v>
      </c>
    </row>
    <row r="33" spans="1:117" s="4" customFormat="1" ht="18" customHeight="1" x14ac:dyDescent="0.45">
      <c r="A33" s="561"/>
      <c r="B33" s="1195"/>
      <c r="C33" s="25"/>
      <c r="D33" s="26"/>
      <c r="E33" s="26"/>
      <c r="F33" s="61"/>
      <c r="G33" s="41"/>
      <c r="H33" s="61"/>
      <c r="I33" s="41"/>
      <c r="J33" s="61"/>
      <c r="K33" s="41"/>
      <c r="L33" s="61"/>
      <c r="M33" s="41"/>
      <c r="N33" s="553"/>
      <c r="O33" s="358"/>
      <c r="P33" s="553"/>
      <c r="Q33" s="358"/>
      <c r="R33" s="553"/>
      <c r="S33" s="358"/>
      <c r="T33" s="553"/>
      <c r="U33" s="358"/>
      <c r="V33" s="553"/>
      <c r="W33" s="358"/>
      <c r="X33" s="553"/>
      <c r="Y33" s="358"/>
      <c r="Z33" s="553"/>
      <c r="AA33" s="358"/>
      <c r="AB33" s="553"/>
      <c r="AC33" s="358"/>
      <c r="AD33" s="553"/>
      <c r="AE33" s="358"/>
      <c r="AF33" s="620"/>
      <c r="AG33" s="634"/>
      <c r="AH33" s="553"/>
      <c r="AI33" s="358"/>
      <c r="AJ33" s="553"/>
      <c r="AK33" s="358"/>
      <c r="AL33" s="365"/>
      <c r="AM33" s="358"/>
      <c r="AN33" s="632"/>
      <c r="AO33" s="632"/>
      <c r="AP33" s="632"/>
      <c r="AR33" s="553"/>
      <c r="AS33" s="358"/>
      <c r="AT33" s="553"/>
      <c r="AU33" s="358"/>
      <c r="AV33" s="365"/>
      <c r="AW33" s="358"/>
      <c r="AX33" s="725"/>
      <c r="AY33" s="725"/>
      <c r="AZ33" s="725"/>
      <c r="BB33" s="553"/>
      <c r="BC33" s="358"/>
      <c r="BD33" s="553"/>
      <c r="BE33" s="358"/>
      <c r="BF33" s="365"/>
      <c r="BG33" s="358"/>
      <c r="BH33" s="725"/>
      <c r="BI33" s="725"/>
      <c r="BJ33" s="725"/>
      <c r="BL33" s="553"/>
      <c r="BM33" s="358"/>
      <c r="BN33" s="553"/>
      <c r="BO33" s="358"/>
      <c r="BP33" s="365"/>
      <c r="BQ33" s="358"/>
      <c r="BR33" s="725"/>
      <c r="BS33" s="725"/>
      <c r="BT33" s="725"/>
      <c r="BV33" s="553"/>
      <c r="BW33" s="358"/>
      <c r="BY33" s="553"/>
      <c r="BZ33" s="358"/>
      <c r="CA33" s="553"/>
      <c r="CB33" s="358"/>
      <c r="CC33" s="553"/>
      <c r="CD33" s="358"/>
      <c r="CF33" s="553"/>
      <c r="CG33" s="358"/>
      <c r="CH33" s="553"/>
      <c r="CI33" s="358"/>
      <c r="CJ33" s="553"/>
      <c r="CK33" s="358"/>
      <c r="CM33" s="553"/>
      <c r="CN33" s="358"/>
      <c r="CO33" s="553"/>
      <c r="CP33" s="358"/>
      <c r="CQ33" s="553"/>
      <c r="CR33" s="358"/>
      <c r="CT33" s="365"/>
      <c r="CU33" s="358"/>
      <c r="CV33" s="365"/>
      <c r="CW33" s="358"/>
      <c r="CX33" s="365"/>
      <c r="CY33" s="358"/>
      <c r="DA33" s="365"/>
      <c r="DB33" s="358"/>
      <c r="DC33" s="365"/>
      <c r="DD33" s="358"/>
      <c r="DE33" s="365"/>
      <c r="DF33" s="358"/>
      <c r="DH33" s="365"/>
      <c r="DI33" s="358"/>
      <c r="DJ33" s="365"/>
      <c r="DK33" s="358"/>
      <c r="DL33" s="365"/>
      <c r="DM33" s="358"/>
    </row>
    <row r="34" spans="1:117" s="4" customFormat="1" ht="18" customHeight="1" x14ac:dyDescent="0.45">
      <c r="A34" s="561"/>
      <c r="B34" s="1197" t="s">
        <v>373</v>
      </c>
      <c r="C34" s="58"/>
      <c r="D34" s="59"/>
      <c r="E34" s="59"/>
      <c r="F34" s="60"/>
      <c r="G34" s="43"/>
      <c r="H34" s="60"/>
      <c r="I34" s="43"/>
      <c r="J34" s="60"/>
      <c r="K34" s="43"/>
      <c r="L34" s="60"/>
      <c r="M34" s="43"/>
      <c r="N34" s="364"/>
      <c r="O34" s="360"/>
      <c r="P34" s="364"/>
      <c r="Q34" s="360"/>
      <c r="R34" s="364"/>
      <c r="S34" s="360"/>
      <c r="T34" s="364"/>
      <c r="U34" s="360"/>
      <c r="V34" s="364"/>
      <c r="W34" s="360"/>
      <c r="X34" s="364"/>
      <c r="Y34" s="360"/>
      <c r="Z34" s="364"/>
      <c r="AA34" s="360"/>
      <c r="AB34" s="364"/>
      <c r="AC34" s="360"/>
      <c r="AD34" s="364"/>
      <c r="AE34" s="360"/>
      <c r="AF34" s="620"/>
      <c r="AG34" s="637"/>
      <c r="AH34" s="364"/>
      <c r="AI34" s="360"/>
      <c r="AJ34" s="364"/>
      <c r="AK34" s="360"/>
      <c r="AL34" s="364"/>
      <c r="AM34" s="360"/>
      <c r="AN34" s="632"/>
      <c r="AO34" s="632"/>
      <c r="AP34" s="632"/>
      <c r="AR34" s="364"/>
      <c r="AS34" s="360"/>
      <c r="AT34" s="364"/>
      <c r="AU34" s="360"/>
      <c r="AV34" s="364"/>
      <c r="AW34" s="360"/>
      <c r="AX34" s="725"/>
      <c r="AY34" s="725"/>
      <c r="AZ34" s="725"/>
      <c r="BB34" s="364"/>
      <c r="BC34" s="360"/>
      <c r="BD34" s="364"/>
      <c r="BE34" s="360"/>
      <c r="BF34" s="364"/>
      <c r="BG34" s="360"/>
      <c r="BH34" s="725"/>
      <c r="BI34" s="725"/>
      <c r="BJ34" s="725"/>
      <c r="BL34" s="364"/>
      <c r="BM34" s="360"/>
      <c r="BN34" s="364"/>
      <c r="BO34" s="360"/>
      <c r="BP34" s="364"/>
      <c r="BQ34" s="360"/>
      <c r="BR34" s="725"/>
      <c r="BS34" s="725"/>
      <c r="BT34" s="725"/>
      <c r="BV34" s="364"/>
      <c r="BW34" s="360"/>
      <c r="BY34" s="364"/>
      <c r="BZ34" s="360"/>
      <c r="CA34" s="364"/>
      <c r="CB34" s="360"/>
      <c r="CC34" s="364"/>
      <c r="CD34" s="360"/>
      <c r="CF34" s="364"/>
      <c r="CG34" s="360"/>
      <c r="CH34" s="364"/>
      <c r="CI34" s="360"/>
      <c r="CJ34" s="364"/>
      <c r="CK34" s="360"/>
      <c r="CM34" s="364"/>
      <c r="CN34" s="360"/>
      <c r="CO34" s="364"/>
      <c r="CP34" s="360"/>
      <c r="CQ34" s="364"/>
      <c r="CR34" s="360"/>
      <c r="CT34" s="364"/>
      <c r="CU34" s="973"/>
      <c r="CV34" s="364"/>
      <c r="CW34" s="973"/>
      <c r="CX34" s="364"/>
      <c r="CY34" s="973"/>
      <c r="DA34" s="364"/>
      <c r="DB34" s="973"/>
      <c r="DC34" s="364"/>
      <c r="DD34" s="973"/>
      <c r="DE34" s="364"/>
      <c r="DF34" s="973"/>
      <c r="DH34" s="364"/>
      <c r="DI34" s="973"/>
      <c r="DJ34" s="364"/>
      <c r="DK34" s="973"/>
      <c r="DL34" s="364"/>
      <c r="DM34" s="973"/>
    </row>
    <row r="35" spans="1:117" s="49" customFormat="1" ht="18" customHeight="1" x14ac:dyDescent="0.45">
      <c r="A35" s="561"/>
      <c r="B35" s="1194"/>
      <c r="C35" s="44" t="s">
        <v>374</v>
      </c>
      <c r="D35" s="45"/>
      <c r="E35" s="46"/>
      <c r="F35" s="47"/>
      <c r="G35" s="48"/>
      <c r="H35" s="47"/>
      <c r="I35" s="48"/>
      <c r="J35" s="47"/>
      <c r="K35" s="48"/>
      <c r="L35" s="361">
        <f t="shared" ref="L35:M35" si="160">L36/L32</f>
        <v>8.8374999999999884E-2</v>
      </c>
      <c r="M35" s="362">
        <f t="shared" si="160"/>
        <v>8.8374999999999967E-2</v>
      </c>
      <c r="N35" s="361"/>
      <c r="O35" s="362"/>
      <c r="P35" s="361"/>
      <c r="Q35" s="362"/>
      <c r="R35" s="361">
        <f t="shared" ref="R35:S35" si="161">R36/R32</f>
        <v>8.8375000000000051E-2</v>
      </c>
      <c r="S35" s="362">
        <f t="shared" si="161"/>
        <v>8.8375000000000009E-2</v>
      </c>
      <c r="T35" s="361"/>
      <c r="U35" s="362"/>
      <c r="V35" s="361"/>
      <c r="W35" s="362"/>
      <c r="X35" s="361">
        <f t="shared" ref="X35:Y35" si="162">X36/X32</f>
        <v>8.8375000000000051E-2</v>
      </c>
      <c r="Y35" s="362">
        <f t="shared" si="162"/>
        <v>8.8375000000000009E-2</v>
      </c>
      <c r="Z35" s="361"/>
      <c r="AA35" s="362"/>
      <c r="AB35" s="361"/>
      <c r="AC35" s="362"/>
      <c r="AD35" s="361">
        <f t="shared" ref="AD35:AE35" si="163">AD36/AD32</f>
        <v>8.8375000000000051E-2</v>
      </c>
      <c r="AE35" s="362">
        <f t="shared" si="163"/>
        <v>8.8375000000000009E-2</v>
      </c>
      <c r="AF35" s="620"/>
      <c r="AG35" s="635"/>
      <c r="AH35" s="361"/>
      <c r="AI35" s="362"/>
      <c r="AJ35" s="361"/>
      <c r="AK35" s="362"/>
      <c r="AL35" s="361">
        <f t="shared" ref="AL35:AM35" si="164">AL36/AL32</f>
        <v>7.3749999999999968E-2</v>
      </c>
      <c r="AM35" s="362">
        <f t="shared" si="164"/>
        <v>7.3749999999999982E-2</v>
      </c>
      <c r="AN35" s="635"/>
      <c r="AO35" s="635"/>
      <c r="AP35" s="635"/>
      <c r="AR35" s="361"/>
      <c r="AS35" s="362"/>
      <c r="AT35" s="361"/>
      <c r="AU35" s="362"/>
      <c r="AV35" s="361">
        <f t="shared" ref="AV35:AW35" si="165">AV36/AV32</f>
        <v>8.2926829268292576E-2</v>
      </c>
      <c r="AW35" s="362">
        <f t="shared" si="165"/>
        <v>8.2926829268292659E-2</v>
      </c>
      <c r="AX35" s="725"/>
      <c r="AY35" s="725"/>
      <c r="AZ35" s="725"/>
      <c r="BB35" s="361"/>
      <c r="BC35" s="362"/>
      <c r="BD35" s="361"/>
      <c r="BE35" s="362"/>
      <c r="BF35" s="361">
        <f t="shared" ref="BF35:BG35" si="166">BF36/BF32</f>
        <v>0.18854166666666669</v>
      </c>
      <c r="BG35" s="362">
        <f t="shared" si="166"/>
        <v>0.18854166666666664</v>
      </c>
      <c r="BH35" s="725"/>
      <c r="BI35" s="725"/>
      <c r="BJ35" s="725"/>
      <c r="BL35" s="361"/>
      <c r="BM35" s="362"/>
      <c r="BN35" s="361"/>
      <c r="BO35" s="362"/>
      <c r="BP35" s="361">
        <f t="shared" ref="BP35:BQ35" si="167">BP36/BP32</f>
        <v>9.7208951470957775E-2</v>
      </c>
      <c r="BQ35" s="362">
        <f t="shared" si="167"/>
        <v>9.7208951470957872E-2</v>
      </c>
      <c r="BR35" s="725"/>
      <c r="BS35" s="725"/>
      <c r="BT35" s="725"/>
      <c r="BV35" s="361"/>
      <c r="BW35" s="362"/>
      <c r="BY35" s="361"/>
      <c r="BZ35" s="362"/>
      <c r="CA35" s="361"/>
      <c r="CB35" s="362"/>
      <c r="CC35" s="361">
        <f t="shared" ref="CC35:CD35" si="168">CC36/CC32</f>
        <v>5.5555555555555601E-2</v>
      </c>
      <c r="CD35" s="362">
        <f t="shared" si="168"/>
        <v>5.5555555555555552E-2</v>
      </c>
      <c r="CF35" s="361"/>
      <c r="CG35" s="362"/>
      <c r="CH35" s="361"/>
      <c r="CI35" s="362"/>
      <c r="CJ35" s="361">
        <f t="shared" ref="CJ35:CK35" si="169">CJ36/CJ32</f>
        <v>8.0327868852458892E-2</v>
      </c>
      <c r="CK35" s="362">
        <f t="shared" si="169"/>
        <v>8.0327868852458906E-2</v>
      </c>
      <c r="CM35" s="361"/>
      <c r="CN35" s="362"/>
      <c r="CO35" s="361"/>
      <c r="CP35" s="362"/>
      <c r="CQ35" s="361">
        <f t="shared" ref="CQ35:CR35" si="170">CQ36/CQ32</f>
        <v>8.0327868852458947E-2</v>
      </c>
      <c r="CR35" s="362">
        <f t="shared" si="170"/>
        <v>8.0327868852459003E-2</v>
      </c>
      <c r="CT35" s="361"/>
      <c r="CU35" s="975"/>
      <c r="CV35" s="549">
        <f>8.5/7.8-1</f>
        <v>8.9743589743589869E-2</v>
      </c>
      <c r="CW35" s="974"/>
      <c r="CX35" s="361">
        <f t="shared" ref="CX35:CY35" si="171">CX36/CX32</f>
        <v>0.20559102674719576</v>
      </c>
      <c r="CY35" s="362">
        <f t="shared" si="171"/>
        <v>0.20559102674719579</v>
      </c>
      <c r="DA35" s="361"/>
      <c r="DB35" s="975"/>
      <c r="DC35" s="549">
        <f>8.5/7.8-1</f>
        <v>8.9743589743589869E-2</v>
      </c>
      <c r="DD35" s="974"/>
      <c r="DE35" s="361">
        <f t="shared" ref="DE35:DF35" si="172">DE36/DE32</f>
        <v>8.0327868852458947E-2</v>
      </c>
      <c r="DF35" s="362">
        <f t="shared" si="172"/>
        <v>8.0327868852459003E-2</v>
      </c>
      <c r="DH35" s="361"/>
      <c r="DI35" s="975"/>
      <c r="DJ35" s="549">
        <f>8.5/7.8-1</f>
        <v>8.9743589743589869E-2</v>
      </c>
      <c r="DK35" s="974"/>
      <c r="DL35" s="361">
        <f t="shared" ref="DL35:DM35" si="173">DL36/DL32</f>
        <v>0.16138050043140625</v>
      </c>
      <c r="DM35" s="362">
        <f t="shared" si="173"/>
        <v>0.16138050043140631</v>
      </c>
    </row>
    <row r="36" spans="1:117" s="4" customFormat="1" ht="18" customHeight="1" x14ac:dyDescent="0.45">
      <c r="A36" s="561"/>
      <c r="B36" s="1194"/>
      <c r="C36" s="71" t="s">
        <v>375</v>
      </c>
      <c r="D36" s="16"/>
      <c r="E36" s="35"/>
      <c r="F36" s="50"/>
      <c r="G36" s="24"/>
      <c r="H36" s="50"/>
      <c r="I36" s="24"/>
      <c r="J36" s="50"/>
      <c r="K36" s="24"/>
      <c r="L36" s="363">
        <f t="shared" ref="L36:M36" si="174">L32-L38</f>
        <v>2806.383043902435</v>
      </c>
      <c r="M36" s="351">
        <f t="shared" si="174"/>
        <v>0.68975609756097533</v>
      </c>
      <c r="N36" s="363"/>
      <c r="O36" s="351"/>
      <c r="P36" s="363"/>
      <c r="Q36" s="351"/>
      <c r="R36" s="363">
        <f t="shared" ref="R36:S36" si="175">R32-R38</f>
        <v>2829.3861836065589</v>
      </c>
      <c r="S36" s="351">
        <f t="shared" si="175"/>
        <v>0.69540983606557383</v>
      </c>
      <c r="T36" s="363"/>
      <c r="U36" s="351"/>
      <c r="V36" s="363"/>
      <c r="W36" s="351"/>
      <c r="X36" s="363">
        <f t="shared" ref="X36:Y36" si="176">X32-X38</f>
        <v>2829.3861836065589</v>
      </c>
      <c r="Y36" s="351">
        <f t="shared" si="176"/>
        <v>0.69540983606557383</v>
      </c>
      <c r="Z36" s="363"/>
      <c r="AA36" s="351"/>
      <c r="AB36" s="363"/>
      <c r="AC36" s="351"/>
      <c r="AD36" s="363">
        <f t="shared" ref="AD36:AE36" si="177">AD32-AD38</f>
        <v>2829.3861836065589</v>
      </c>
      <c r="AE36" s="351">
        <f t="shared" si="177"/>
        <v>0.69540983606557383</v>
      </c>
      <c r="AF36" s="620"/>
      <c r="AG36" s="630"/>
      <c r="AH36" s="363"/>
      <c r="AI36" s="351"/>
      <c r="AJ36" s="363"/>
      <c r="AK36" s="351"/>
      <c r="AL36" s="363">
        <f t="shared" ref="AL36:AM36" si="178">AL32-AL38</f>
        <v>2400.509399999999</v>
      </c>
      <c r="AM36" s="351">
        <f t="shared" si="178"/>
        <v>0.58999999999999986</v>
      </c>
      <c r="AN36" s="630"/>
      <c r="AO36" s="630"/>
      <c r="AP36" s="630"/>
      <c r="AR36" s="363"/>
      <c r="AS36" s="351"/>
      <c r="AT36" s="363"/>
      <c r="AU36" s="351"/>
      <c r="AV36" s="363">
        <f t="shared" ref="AV36:AW36" si="179">AV32-AV38</f>
        <v>2766.6887999999963</v>
      </c>
      <c r="AW36" s="351">
        <f t="shared" si="179"/>
        <v>0.67999999999999972</v>
      </c>
      <c r="AX36" s="723">
        <f>IFERROR(AS36/$O36-1,0)</f>
        <v>0</v>
      </c>
      <c r="AY36" s="723">
        <f>IFERROR(AT36/$O36-1,0)</f>
        <v>0</v>
      </c>
      <c r="AZ36" s="723">
        <f>AW36/$S36-1</f>
        <v>-2.2159358793022665E-2</v>
      </c>
      <c r="BB36" s="363"/>
      <c r="BC36" s="351"/>
      <c r="BD36" s="363"/>
      <c r="BE36" s="351"/>
      <c r="BF36" s="363">
        <f t="shared" ref="BF36:BG36" si="180">BF32-BF38</f>
        <v>7364.2746000000006</v>
      </c>
      <c r="BG36" s="351">
        <f t="shared" si="180"/>
        <v>1.8099999999999996</v>
      </c>
      <c r="BH36" s="723">
        <f>IFERROR(BC36/$O36-1,0)</f>
        <v>0</v>
      </c>
      <c r="BI36" s="723">
        <f>IFERROR(BD36/$O36-1,0)</f>
        <v>0</v>
      </c>
      <c r="BJ36" s="723">
        <f>BG36/$S36-1</f>
        <v>1.602781706742102</v>
      </c>
      <c r="BL36" s="363"/>
      <c r="BM36" s="351"/>
      <c r="BN36" s="363"/>
      <c r="BO36" s="351"/>
      <c r="BP36" s="363">
        <f t="shared" ref="BP36:BQ36" si="181">BP32-BP38</f>
        <v>3836.448673170722</v>
      </c>
      <c r="BQ36" s="351">
        <f t="shared" si="181"/>
        <v>0.9429268292682913</v>
      </c>
      <c r="BR36" s="723">
        <f>IFERROR(BM36/$O36-1,0)</f>
        <v>0</v>
      </c>
      <c r="BS36" s="723">
        <f>IFERROR(BN36/$O36-1,0)</f>
        <v>0</v>
      </c>
      <c r="BT36" s="723">
        <f>BQ36/$S36-1</f>
        <v>0.35592966962201245</v>
      </c>
      <c r="BV36" s="363"/>
      <c r="BW36" s="351"/>
      <c r="BY36" s="363"/>
      <c r="BZ36" s="351"/>
      <c r="CA36" s="363"/>
      <c r="CB36" s="351"/>
      <c r="CC36" s="363">
        <f t="shared" ref="CC36:CD36" si="182">CC32-CC38</f>
        <v>2034.3300000000017</v>
      </c>
      <c r="CD36" s="351">
        <f t="shared" si="182"/>
        <v>0.5</v>
      </c>
      <c r="CF36" s="363"/>
      <c r="CG36" s="351"/>
      <c r="CH36" s="363"/>
      <c r="CI36" s="351"/>
      <c r="CJ36" s="363">
        <f t="shared" ref="CJ36:CK36" si="183">CJ32-CJ38</f>
        <v>3268.2678688524538</v>
      </c>
      <c r="CK36" s="351">
        <f t="shared" si="183"/>
        <v>0.80327868852458906</v>
      </c>
      <c r="CM36" s="363"/>
      <c r="CN36" s="351"/>
      <c r="CO36" s="363"/>
      <c r="CP36" s="351"/>
      <c r="CQ36" s="363">
        <f t="shared" ref="CQ36:CR36" si="184">CQ32-CQ38</f>
        <v>3104.854475409833</v>
      </c>
      <c r="CR36" s="351">
        <f t="shared" si="184"/>
        <v>0.76311475409836049</v>
      </c>
      <c r="CT36" s="363"/>
      <c r="CU36" s="351"/>
      <c r="CV36" s="363"/>
      <c r="CW36" s="351"/>
      <c r="CX36" s="363">
        <f t="shared" ref="CX36:CY36" si="185">CX32-CX38</f>
        <v>7946.5598754098319</v>
      </c>
      <c r="CY36" s="351">
        <f t="shared" si="185"/>
        <v>1.95311475409836</v>
      </c>
      <c r="DA36" s="363"/>
      <c r="DB36" s="351"/>
      <c r="DC36" s="363"/>
      <c r="DD36" s="351"/>
      <c r="DE36" s="363">
        <f t="shared" ref="DE36:DF36" si="186">DE32-DE38</f>
        <v>3104.854475409833</v>
      </c>
      <c r="DF36" s="351">
        <f t="shared" si="186"/>
        <v>0.76311475409836049</v>
      </c>
      <c r="DH36" s="363"/>
      <c r="DI36" s="351"/>
      <c r="DJ36" s="363"/>
      <c r="DK36" s="351"/>
      <c r="DL36" s="363">
        <f t="shared" ref="DL36:DM36" si="187">DL32-DL38</f>
        <v>6237.7226754098301</v>
      </c>
      <c r="DM36" s="351">
        <f t="shared" si="187"/>
        <v>1.5331147540983601</v>
      </c>
    </row>
    <row r="37" spans="1:117" s="4" customFormat="1" ht="18" customHeight="1" x14ac:dyDescent="0.45">
      <c r="A37" s="561"/>
      <c r="B37" s="1194"/>
      <c r="C37" s="56" t="s">
        <v>376</v>
      </c>
      <c r="D37" s="52"/>
      <c r="E37" s="53"/>
      <c r="F37" s="54"/>
      <c r="G37" s="55"/>
      <c r="H37" s="54"/>
      <c r="I37" s="55"/>
      <c r="J37" s="54"/>
      <c r="K37" s="55"/>
      <c r="L37" s="54">
        <f>+L38</f>
        <v>28949.012078048781</v>
      </c>
      <c r="M37" s="55">
        <f>M38</f>
        <v>7.1151219512195123</v>
      </c>
      <c r="N37" s="54"/>
      <c r="O37" s="55"/>
      <c r="P37" s="54"/>
      <c r="Q37" s="55"/>
      <c r="R37" s="54">
        <f>+R38</f>
        <v>29186.299062295078</v>
      </c>
      <c r="S37" s="55">
        <f>S38</f>
        <v>7.1734426229508195</v>
      </c>
      <c r="T37" s="54"/>
      <c r="U37" s="55"/>
      <c r="V37" s="54"/>
      <c r="W37" s="55"/>
      <c r="X37" s="54">
        <f>+X38</f>
        <v>29186.299062295078</v>
      </c>
      <c r="Y37" s="55">
        <f>Y38</f>
        <v>7.1734426229508195</v>
      </c>
      <c r="Z37" s="54"/>
      <c r="AA37" s="55"/>
      <c r="AB37" s="54"/>
      <c r="AC37" s="55"/>
      <c r="AD37" s="54">
        <f>+AD38</f>
        <v>29186.299062295078</v>
      </c>
      <c r="AE37" s="55">
        <f>AE38</f>
        <v>7.1734426229508195</v>
      </c>
      <c r="AF37" s="620"/>
      <c r="AG37" s="630"/>
      <c r="AH37" s="54"/>
      <c r="AI37" s="55"/>
      <c r="AJ37" s="54"/>
      <c r="AK37" s="55"/>
      <c r="AL37" s="54">
        <f>+AL38</f>
        <v>30148.7706</v>
      </c>
      <c r="AM37" s="55">
        <f>AM38</f>
        <v>7.41</v>
      </c>
      <c r="AN37" s="274"/>
      <c r="AO37" s="274"/>
      <c r="AP37" s="274"/>
      <c r="AR37" s="54"/>
      <c r="AS37" s="55"/>
      <c r="AT37" s="54"/>
      <c r="AU37" s="55"/>
      <c r="AV37" s="54">
        <f>+AV38</f>
        <v>30596.323199999999</v>
      </c>
      <c r="AW37" s="55">
        <f>AW38</f>
        <v>7.52</v>
      </c>
      <c r="AX37" s="274"/>
      <c r="AY37" s="274"/>
      <c r="AZ37" s="274"/>
      <c r="BB37" s="54"/>
      <c r="BC37" s="55"/>
      <c r="BD37" s="54"/>
      <c r="BE37" s="55"/>
      <c r="BF37" s="54">
        <f>+BF38</f>
        <v>31694.861399999998</v>
      </c>
      <c r="BG37" s="55">
        <f>BG38</f>
        <v>7.79</v>
      </c>
      <c r="BH37" s="274"/>
      <c r="BI37" s="274"/>
      <c r="BJ37" s="274"/>
      <c r="BL37" s="54"/>
      <c r="BM37" s="55"/>
      <c r="BN37" s="54"/>
      <c r="BO37" s="55"/>
      <c r="BP37" s="54">
        <f>+BP38</f>
        <v>35629.553326829271</v>
      </c>
      <c r="BQ37" s="55">
        <f>BQ38</f>
        <v>8.757073170731708</v>
      </c>
      <c r="BR37" s="274"/>
      <c r="BS37" s="274"/>
      <c r="BT37" s="274"/>
      <c r="BV37" s="54"/>
      <c r="BW37" s="55"/>
      <c r="BY37" s="54"/>
      <c r="BZ37" s="55"/>
      <c r="CA37" s="54"/>
      <c r="CB37" s="55"/>
      <c r="CC37" s="54">
        <f>+CC38</f>
        <v>34583.61</v>
      </c>
      <c r="CD37" s="55">
        <f>CD38</f>
        <v>8.5</v>
      </c>
      <c r="CF37" s="54"/>
      <c r="CG37" s="55"/>
      <c r="CH37" s="54"/>
      <c r="CI37" s="55"/>
      <c r="CJ37" s="54">
        <f>+CJ38</f>
        <v>37418.332131147545</v>
      </c>
      <c r="CK37" s="55">
        <f>CK38</f>
        <v>9.1967213114754109</v>
      </c>
      <c r="CM37" s="54"/>
      <c r="CN37" s="55"/>
      <c r="CO37" s="54"/>
      <c r="CP37" s="55"/>
      <c r="CQ37" s="54">
        <f>+CQ38</f>
        <v>35547.415524590164</v>
      </c>
      <c r="CR37" s="55">
        <f>CR38</f>
        <v>8.7368852459016395</v>
      </c>
      <c r="CT37" s="54"/>
      <c r="CU37" s="55"/>
      <c r="CV37" s="54"/>
      <c r="CW37" s="55"/>
      <c r="CX37" s="54">
        <f>+CX38</f>
        <v>30705.710124590165</v>
      </c>
      <c r="CY37" s="55">
        <f>CY38</f>
        <v>7.54688524590164</v>
      </c>
      <c r="DA37" s="54"/>
      <c r="DB37" s="55"/>
      <c r="DC37" s="54"/>
      <c r="DD37" s="55"/>
      <c r="DE37" s="54">
        <f>+DE38</f>
        <v>35547.415524590164</v>
      </c>
      <c r="DF37" s="55">
        <f>DF38</f>
        <v>8.7368852459016395</v>
      </c>
      <c r="DH37" s="54"/>
      <c r="DI37" s="55"/>
      <c r="DJ37" s="54"/>
      <c r="DK37" s="55"/>
      <c r="DL37" s="54">
        <f>+DL38</f>
        <v>32414.547324590167</v>
      </c>
      <c r="DM37" s="55">
        <f>DM38</f>
        <v>7.9668852459016399</v>
      </c>
    </row>
    <row r="38" spans="1:117" s="4" customFormat="1" ht="18" customHeight="1" x14ac:dyDescent="0.45">
      <c r="A38" s="561"/>
      <c r="B38" s="1194"/>
      <c r="C38" s="56" t="s">
        <v>377</v>
      </c>
      <c r="D38" s="52"/>
      <c r="E38" s="53"/>
      <c r="F38" s="54"/>
      <c r="G38" s="55"/>
      <c r="H38" s="54"/>
      <c r="I38" s="55"/>
      <c r="J38" s="54"/>
      <c r="K38" s="55"/>
      <c r="L38" s="54">
        <f>M38*L12</f>
        <v>28949.012078048781</v>
      </c>
      <c r="M38" s="55">
        <v>7.1151219512195123</v>
      </c>
      <c r="N38" s="54"/>
      <c r="O38" s="55"/>
      <c r="P38" s="54"/>
      <c r="Q38" s="55"/>
      <c r="R38" s="54">
        <f>S38*R12</f>
        <v>29186.299062295078</v>
      </c>
      <c r="S38" s="55">
        <v>7.1734426229508195</v>
      </c>
      <c r="T38" s="54"/>
      <c r="U38" s="55"/>
      <c r="V38" s="54"/>
      <c r="W38" s="55"/>
      <c r="X38" s="54">
        <f>Y38*X12</f>
        <v>29186.299062295078</v>
      </c>
      <c r="Y38" s="55">
        <v>7.1734426229508195</v>
      </c>
      <c r="Z38" s="54"/>
      <c r="AA38" s="55"/>
      <c r="AB38" s="54"/>
      <c r="AC38" s="55"/>
      <c r="AD38" s="54">
        <f>AE38*AD12</f>
        <v>29186.299062295078</v>
      </c>
      <c r="AE38" s="55">
        <v>7.1734426229508195</v>
      </c>
      <c r="AF38" s="620"/>
      <c r="AG38" s="630"/>
      <c r="AH38" s="54"/>
      <c r="AI38" s="55"/>
      <c r="AJ38" s="54"/>
      <c r="AK38" s="55"/>
      <c r="AL38" s="54">
        <f>AM38*AL12</f>
        <v>30148.7706</v>
      </c>
      <c r="AM38" s="55">
        <v>7.41</v>
      </c>
      <c r="AN38" s="274"/>
      <c r="AO38" s="274"/>
      <c r="AP38" s="274"/>
      <c r="AR38" s="54"/>
      <c r="AS38" s="55"/>
      <c r="AT38" s="54"/>
      <c r="AU38" s="55"/>
      <c r="AV38" s="54">
        <f>AW38*AV12</f>
        <v>30596.323199999999</v>
      </c>
      <c r="AW38" s="55">
        <v>7.52</v>
      </c>
      <c r="AX38" s="274"/>
      <c r="AY38" s="274"/>
      <c r="AZ38" s="274"/>
      <c r="BB38" s="54"/>
      <c r="BC38" s="55"/>
      <c r="BD38" s="54"/>
      <c r="BE38" s="55"/>
      <c r="BF38" s="54">
        <f>BG38*BF12</f>
        <v>31694.861399999998</v>
      </c>
      <c r="BG38" s="55">
        <v>7.79</v>
      </c>
      <c r="BH38" s="274"/>
      <c r="BI38" s="274"/>
      <c r="BJ38" s="274"/>
      <c r="BL38" s="54"/>
      <c r="BM38" s="55"/>
      <c r="BN38" s="54"/>
      <c r="BO38" s="55"/>
      <c r="BP38" s="54">
        <f>BQ38*BP12</f>
        <v>35629.553326829271</v>
      </c>
      <c r="BQ38" s="55">
        <f>9.6*40/41*93.5%</f>
        <v>8.757073170731708</v>
      </c>
      <c r="BR38" s="274"/>
      <c r="BS38" s="274"/>
      <c r="BT38" s="274"/>
      <c r="BV38" s="54"/>
      <c r="BW38" s="55"/>
      <c r="BY38" s="54"/>
      <c r="BZ38" s="55"/>
      <c r="CA38" s="54"/>
      <c r="CB38" s="55"/>
      <c r="CC38" s="54">
        <f>CD38*CC12</f>
        <v>34583.61</v>
      </c>
      <c r="CD38" s="55">
        <f>8.5</f>
        <v>8.5</v>
      </c>
      <c r="CF38" s="54"/>
      <c r="CG38" s="55"/>
      <c r="CH38" s="54"/>
      <c r="CI38" s="55"/>
      <c r="CJ38" s="54">
        <f>CK38*CJ12</f>
        <v>37418.332131147545</v>
      </c>
      <c r="CK38" s="55">
        <f>10*60/61*93.5%</f>
        <v>9.1967213114754109</v>
      </c>
      <c r="CM38" s="54"/>
      <c r="CN38" s="55"/>
      <c r="CO38" s="54"/>
      <c r="CP38" s="55"/>
      <c r="CQ38" s="54">
        <f>CR38*CQ12</f>
        <v>35547.415524590164</v>
      </c>
      <c r="CR38" s="55">
        <f>9.5*60/61*93.5%</f>
        <v>8.7368852459016395</v>
      </c>
      <c r="CT38" s="54"/>
      <c r="CU38" s="55"/>
      <c r="CV38" s="54"/>
      <c r="CW38" s="55"/>
      <c r="CX38" s="54">
        <f>CY38*CX12</f>
        <v>30705.710124590165</v>
      </c>
      <c r="CY38" s="55">
        <f>9.5*60/61*93.5%-1.19</f>
        <v>7.54688524590164</v>
      </c>
      <c r="DA38" s="54"/>
      <c r="DB38" s="55"/>
      <c r="DC38" s="54"/>
      <c r="DD38" s="55"/>
      <c r="DE38" s="54">
        <f>DF38*DE12</f>
        <v>35547.415524590164</v>
      </c>
      <c r="DF38" s="55">
        <f>9.5*60/61*93.5%</f>
        <v>8.7368852459016395</v>
      </c>
      <c r="DH38" s="54"/>
      <c r="DI38" s="55"/>
      <c r="DJ38" s="54"/>
      <c r="DK38" s="55"/>
      <c r="DL38" s="54">
        <f>DM38*DL12</f>
        <v>32414.547324590167</v>
      </c>
      <c r="DM38" s="55">
        <f>9.5*60/61*93.5%-0.82+0.22-0.17</f>
        <v>7.9668852459016399</v>
      </c>
    </row>
    <row r="39" spans="1:117" s="4" customFormat="1" ht="18" customHeight="1" x14ac:dyDescent="0.45">
      <c r="A39" s="561"/>
      <c r="B39" s="1195"/>
      <c r="C39" s="25"/>
      <c r="D39" s="26"/>
      <c r="E39" s="26"/>
      <c r="F39" s="61"/>
      <c r="G39" s="41"/>
      <c r="H39" s="61"/>
      <c r="I39" s="41"/>
      <c r="J39" s="61"/>
      <c r="K39" s="41"/>
      <c r="L39" s="61"/>
      <c r="M39" s="41"/>
      <c r="N39" s="553"/>
      <c r="O39" s="358"/>
      <c r="P39" s="553"/>
      <c r="Q39" s="358"/>
      <c r="R39" s="553"/>
      <c r="S39" s="358"/>
      <c r="T39" s="553"/>
      <c r="U39" s="358"/>
      <c r="V39" s="553"/>
      <c r="W39" s="358"/>
      <c r="X39" s="553"/>
      <c r="Y39" s="358"/>
      <c r="Z39" s="553"/>
      <c r="AA39" s="358"/>
      <c r="AB39" s="553"/>
      <c r="AC39" s="358"/>
      <c r="AD39" s="553"/>
      <c r="AE39" s="358"/>
      <c r="AF39" s="620"/>
      <c r="AG39" s="634"/>
      <c r="AH39" s="553"/>
      <c r="AI39" s="358"/>
      <c r="AJ39" s="553"/>
      <c r="AK39" s="358"/>
      <c r="AL39" s="553"/>
      <c r="AM39" s="358"/>
      <c r="AN39" s="632"/>
      <c r="AO39" s="632"/>
      <c r="AP39" s="632"/>
      <c r="AR39" s="553"/>
      <c r="AS39" s="358"/>
      <c r="AT39" s="553"/>
      <c r="AU39" s="358"/>
      <c r="AV39" s="553"/>
      <c r="AW39" s="358"/>
      <c r="AX39" s="632"/>
      <c r="AY39" s="632"/>
      <c r="AZ39" s="632"/>
      <c r="BB39" s="553"/>
      <c r="BC39" s="358"/>
      <c r="BD39" s="553"/>
      <c r="BE39" s="358"/>
      <c r="BF39" s="553"/>
      <c r="BG39" s="358"/>
      <c r="BH39" s="632"/>
      <c r="BI39" s="632"/>
      <c r="BJ39" s="632"/>
      <c r="BL39" s="553"/>
      <c r="BM39" s="358"/>
      <c r="BN39" s="553"/>
      <c r="BO39" s="358"/>
      <c r="BP39" s="553"/>
      <c r="BQ39" s="358"/>
      <c r="BR39" s="632"/>
      <c r="BS39" s="632"/>
      <c r="BT39" s="632"/>
      <c r="BV39" s="553"/>
      <c r="BW39" s="358"/>
      <c r="BY39" s="553"/>
      <c r="BZ39" s="358"/>
      <c r="CA39" s="553"/>
      <c r="CB39" s="358"/>
      <c r="CC39" s="553"/>
      <c r="CD39" s="358"/>
      <c r="CF39" s="553"/>
      <c r="CG39" s="358"/>
      <c r="CH39" s="553"/>
      <c r="CI39" s="358"/>
      <c r="CJ39" s="553"/>
      <c r="CK39" s="358"/>
      <c r="CM39" s="553"/>
      <c r="CN39" s="358"/>
      <c r="CO39" s="553"/>
      <c r="CP39" s="358"/>
      <c r="CQ39" s="553"/>
      <c r="CR39" s="358"/>
      <c r="CT39" s="365"/>
      <c r="CU39" s="358"/>
      <c r="CV39" s="365"/>
      <c r="CW39" s="358"/>
      <c r="CX39" s="365"/>
      <c r="CY39" s="358"/>
      <c r="DA39" s="365"/>
      <c r="DB39" s="358"/>
      <c r="DC39" s="365"/>
      <c r="DD39" s="358"/>
      <c r="DE39" s="365"/>
      <c r="DF39" s="358"/>
      <c r="DH39" s="365"/>
      <c r="DI39" s="358"/>
      <c r="DJ39" s="365"/>
      <c r="DK39" s="358"/>
      <c r="DL39" s="365"/>
      <c r="DM39" s="358"/>
    </row>
    <row r="40" spans="1:117" s="4" customFormat="1" ht="18" customHeight="1" x14ac:dyDescent="0.45">
      <c r="A40" s="561"/>
      <c r="B40" s="1197" t="s">
        <v>46</v>
      </c>
      <c r="C40" s="58"/>
      <c r="D40" s="59"/>
      <c r="E40" s="59"/>
      <c r="F40" s="60"/>
      <c r="G40" s="43"/>
      <c r="H40" s="60"/>
      <c r="I40" s="43"/>
      <c r="J40" s="60"/>
      <c r="K40" s="43"/>
      <c r="L40" s="60"/>
      <c r="M40" s="43"/>
      <c r="N40" s="364"/>
      <c r="O40" s="360"/>
      <c r="P40" s="364"/>
      <c r="Q40" s="360"/>
      <c r="R40" s="364"/>
      <c r="S40" s="360"/>
      <c r="T40" s="364"/>
      <c r="U40" s="360"/>
      <c r="V40" s="364"/>
      <c r="W40" s="360"/>
      <c r="X40" s="364"/>
      <c r="Y40" s="360"/>
      <c r="Z40" s="364"/>
      <c r="AA40" s="360"/>
      <c r="AB40" s="364"/>
      <c r="AC40" s="360"/>
      <c r="AD40" s="364"/>
      <c r="AE40" s="360"/>
      <c r="AF40" s="620"/>
      <c r="AG40" s="637"/>
      <c r="AH40" s="364"/>
      <c r="AI40" s="360"/>
      <c r="AJ40" s="364"/>
      <c r="AK40" s="360"/>
      <c r="AL40" s="364"/>
      <c r="AM40" s="360"/>
      <c r="AN40" s="632"/>
      <c r="AO40" s="632"/>
      <c r="AP40" s="632"/>
      <c r="AR40" s="364"/>
      <c r="AS40" s="360"/>
      <c r="AT40" s="364"/>
      <c r="AU40" s="360"/>
      <c r="AV40" s="364"/>
      <c r="AW40" s="360"/>
      <c r="AX40" s="632"/>
      <c r="AY40" s="632"/>
      <c r="AZ40" s="632"/>
      <c r="BB40" s="364"/>
      <c r="BC40" s="360"/>
      <c r="BD40" s="364"/>
      <c r="BE40" s="360"/>
      <c r="BF40" s="364"/>
      <c r="BG40" s="360"/>
      <c r="BH40" s="632"/>
      <c r="BI40" s="632"/>
      <c r="BJ40" s="632"/>
      <c r="BL40" s="364"/>
      <c r="BM40" s="360"/>
      <c r="BN40" s="364"/>
      <c r="BO40" s="360"/>
      <c r="BP40" s="364"/>
      <c r="BQ40" s="360"/>
      <c r="BR40" s="632"/>
      <c r="BS40" s="632"/>
      <c r="BT40" s="632"/>
      <c r="BV40" s="364"/>
      <c r="BW40" s="360"/>
      <c r="BY40" s="364"/>
      <c r="BZ40" s="360"/>
      <c r="CA40" s="364"/>
      <c r="CB40" s="360"/>
      <c r="CC40" s="364"/>
      <c r="CD40" s="360"/>
      <c r="CF40" s="364"/>
      <c r="CG40" s="360"/>
      <c r="CH40" s="364"/>
      <c r="CI40" s="360"/>
      <c r="CJ40" s="364"/>
      <c r="CK40" s="360"/>
      <c r="CM40" s="364"/>
      <c r="CN40" s="360"/>
      <c r="CO40" s="364"/>
      <c r="CP40" s="360"/>
      <c r="CQ40" s="364"/>
      <c r="CR40" s="360"/>
      <c r="CT40" s="364"/>
      <c r="CU40" s="360"/>
      <c r="CV40" s="364"/>
      <c r="CW40" s="360"/>
      <c r="CX40" s="364"/>
      <c r="CY40" s="360"/>
      <c r="DA40" s="364"/>
      <c r="DB40" s="360"/>
      <c r="DC40" s="364"/>
      <c r="DD40" s="360"/>
      <c r="DE40" s="364"/>
      <c r="DF40" s="360"/>
      <c r="DH40" s="364"/>
      <c r="DI40" s="360"/>
      <c r="DJ40" s="364"/>
      <c r="DK40" s="360"/>
      <c r="DL40" s="364"/>
      <c r="DM40" s="360"/>
    </row>
    <row r="41" spans="1:117" s="4" customFormat="1" ht="18" customHeight="1" x14ac:dyDescent="0.45">
      <c r="A41" s="561"/>
      <c r="B41" s="1194"/>
      <c r="C41" s="71" t="s">
        <v>177</v>
      </c>
      <c r="D41" s="16"/>
      <c r="E41" s="16"/>
      <c r="F41" s="430">
        <f>F42-G61*F12</f>
        <v>543.53598818182218</v>
      </c>
      <c r="G41" s="24">
        <f>G42-G61</f>
        <v>0.13359090909090987</v>
      </c>
      <c r="H41" s="430">
        <f>H42-I61*H12</f>
        <v>500.81505818182222</v>
      </c>
      <c r="I41" s="24">
        <f>I42-I61</f>
        <v>0.12309090909090992</v>
      </c>
      <c r="J41" s="430">
        <f>J42-K61*J12</f>
        <v>573.16685773484232</v>
      </c>
      <c r="K41" s="24">
        <f>K42-K61</f>
        <v>0.14087361876756554</v>
      </c>
      <c r="L41" s="430">
        <f>L42-M61*L12</f>
        <v>410.24001073171121</v>
      </c>
      <c r="M41" s="24">
        <f>M42-M61</f>
        <v>0.10082926829268357</v>
      </c>
      <c r="N41" s="430">
        <f>N42-O61*N12</f>
        <v>428.03656739589906</v>
      </c>
      <c r="O41" s="24">
        <f>O42-O61</f>
        <v>0.1052033267453899</v>
      </c>
      <c r="P41" s="430">
        <f>P42-Q61*P12</f>
        <v>517.26983641712695</v>
      </c>
      <c r="Q41" s="24">
        <f>Q42-Q61</f>
        <v>0.12713518367647547</v>
      </c>
      <c r="R41" s="430">
        <f>R42-S61*R12</f>
        <v>346.23163394581252</v>
      </c>
      <c r="S41" s="24">
        <f>S42-S61</f>
        <v>8.5097214794505605E-2</v>
      </c>
      <c r="T41" s="430">
        <f>T42-U61*T12</f>
        <v>428.03656739589906</v>
      </c>
      <c r="U41" s="24">
        <f>U42-U61</f>
        <v>0.1052033267453899</v>
      </c>
      <c r="V41" s="430">
        <f>V42-W61*V12</f>
        <v>517.26983641712695</v>
      </c>
      <c r="W41" s="24">
        <f>W42-W61</f>
        <v>0.12713518367647547</v>
      </c>
      <c r="X41" s="430">
        <f>X42-Y61*X12</f>
        <v>346.23163394581252</v>
      </c>
      <c r="Y41" s="24">
        <f>Y42-Y61</f>
        <v>8.5097214794505605E-2</v>
      </c>
      <c r="Z41" s="430">
        <f>Z42-AA61*Z12</f>
        <v>428.03656739589906</v>
      </c>
      <c r="AA41" s="24">
        <f>AA42-AA61</f>
        <v>0.1052033267453899</v>
      </c>
      <c r="AB41" s="430">
        <f>AB42-AC61*AB12</f>
        <v>517.26983641712695</v>
      </c>
      <c r="AC41" s="24">
        <f>AC42-AC61</f>
        <v>0.12713518367647547</v>
      </c>
      <c r="AD41" s="430">
        <f>AD42-AE61*AD12</f>
        <v>346.23163394581252</v>
      </c>
      <c r="AE41" s="24">
        <f>AE42-AE61</f>
        <v>8.5097214794505605E-2</v>
      </c>
      <c r="AF41" s="620"/>
      <c r="AG41" s="630"/>
      <c r="AH41" s="430">
        <f>AH42-AI61*AH12</f>
        <v>264.71781630235228</v>
      </c>
      <c r="AI41" s="24">
        <f>AI42-AI61</f>
        <v>6.5062653626096423E-2</v>
      </c>
      <c r="AJ41" s="430">
        <f>AJ42-AK61*AJ12</f>
        <v>314.62122014180886</v>
      </c>
      <c r="AK41" s="24">
        <f>AK42-AK61</f>
        <v>7.7327970423139436E-2</v>
      </c>
      <c r="AL41" s="430">
        <f>AL42-AM61*AL12</f>
        <v>219.17939144174261</v>
      </c>
      <c r="AM41" s="24">
        <f>AM42-AM61</f>
        <v>5.3870166453265145E-2</v>
      </c>
      <c r="AN41" s="269"/>
      <c r="AO41" s="269"/>
      <c r="AP41" s="269"/>
      <c r="AR41" s="430">
        <f>AR42-AS61*AR12</f>
        <v>345.77615639333044</v>
      </c>
      <c r="AS41" s="24">
        <f>AS42-AS61</f>
        <v>8.4985266990441732E-2</v>
      </c>
      <c r="AT41" s="430">
        <f>AT42-AU61*AT12</f>
        <v>439.92103884406197</v>
      </c>
      <c r="AU41" s="24">
        <f>AU42-AU61</f>
        <v>0.10812430599855094</v>
      </c>
      <c r="AV41" s="430">
        <f>AV42-AW61*AV12</f>
        <v>259.86599144174352</v>
      </c>
      <c r="AW41" s="24">
        <f>AW42-AW61</f>
        <v>6.387016645326582E-2</v>
      </c>
      <c r="AX41" s="269"/>
      <c r="AY41" s="269"/>
      <c r="AZ41" s="269"/>
      <c r="BB41" s="430">
        <f>BB42-BC61*BB12</f>
        <v>716.59157035083581</v>
      </c>
      <c r="BC41" s="24">
        <f>BC42-BC61</f>
        <v>0.17612471190781143</v>
      </c>
      <c r="BD41" s="430">
        <f>BD42-BE61*BD12</f>
        <v>1103.1882459871954</v>
      </c>
      <c r="BE41" s="24">
        <f>BE42-BE61</f>
        <v>0.27114289372599376</v>
      </c>
      <c r="BF41" s="430">
        <f>BF42-BG61*BF12</f>
        <v>359.73310053265186</v>
      </c>
      <c r="BG41" s="24">
        <f>BG42-BG61</f>
        <v>8.8415620998720246E-2</v>
      </c>
      <c r="BH41" s="269"/>
      <c r="BI41" s="269"/>
      <c r="BJ41" s="269"/>
      <c r="BL41" s="430">
        <f>BL42-BM61*BL12</f>
        <v>376.93473581374701</v>
      </c>
      <c r="BM41" s="24">
        <f>BM42-BM61</f>
        <v>9.2643458980045224E-2</v>
      </c>
      <c r="BN41" s="430">
        <f>BN42-BO61*BN12</f>
        <v>515.98006363636659</v>
      </c>
      <c r="BO41" s="24">
        <f>BO42-BO61</f>
        <v>0.12681818181818316</v>
      </c>
      <c r="BP41" s="430">
        <f>BP42-BQ61*BP12</f>
        <v>248.5852024390274</v>
      </c>
      <c r="BQ41" s="24">
        <f>BQ42-BQ61</f>
        <v>6.1097560975610476E-2</v>
      </c>
      <c r="BR41" s="269"/>
      <c r="BS41" s="269"/>
      <c r="BT41" s="269"/>
      <c r="BV41" s="430">
        <f>BV42-BW61*BV12</f>
        <v>376.93473581374701</v>
      </c>
      <c r="BW41" s="24">
        <f>BW42-BW61</f>
        <v>9.2643458980045224E-2</v>
      </c>
      <c r="BY41" s="430">
        <f>BY42-BZ61*BY12</f>
        <v>303.02270045454998</v>
      </c>
      <c r="BZ41" s="24">
        <f>BZ42-BZ61</f>
        <v>7.4477272727273336E-2</v>
      </c>
      <c r="CA41" s="430">
        <f>CA42-CB61*CA12</f>
        <v>303.02270045454998</v>
      </c>
      <c r="CB41" s="24">
        <f>CB42-CB61</f>
        <v>7.4477272727273336E-2</v>
      </c>
      <c r="CC41" s="430">
        <f>CC42-CD61*CC12</f>
        <v>303.02270045454998</v>
      </c>
      <c r="CD41" s="24">
        <f>CD42-CD61</f>
        <v>7.4477272727273336E-2</v>
      </c>
      <c r="CF41" s="430">
        <f>CF42-CG61*CF12</f>
        <v>447.83870432204503</v>
      </c>
      <c r="CG41" s="24">
        <f>CG42-CG61</f>
        <v>0.11007031905395159</v>
      </c>
      <c r="CH41" s="430">
        <f>CH42-CI61*CH12</f>
        <v>556.95056642912323</v>
      </c>
      <c r="CI41" s="24">
        <f>CI42-CI61</f>
        <v>0.13688795977769708</v>
      </c>
      <c r="CJ41" s="430">
        <f>CJ42-CK61*CJ12</f>
        <v>347.12006237705145</v>
      </c>
      <c r="CK41" s="24">
        <f>CK42-CK61</f>
        <v>8.5315573770492037E-2</v>
      </c>
      <c r="CM41" s="430">
        <f>CM42-CN61*CM12</f>
        <v>450.15878026975952</v>
      </c>
      <c r="CN41" s="24">
        <f>CN42-CN61</f>
        <v>0.11064055002623874</v>
      </c>
      <c r="CO41" s="430">
        <f>CO42-CP61*CO12</f>
        <v>630.38386874956359</v>
      </c>
      <c r="CP41" s="24">
        <f>CP42-CP61</f>
        <v>0.15493648246586433</v>
      </c>
      <c r="CQ41" s="430">
        <f>CQ42-CR61*CQ12</f>
        <v>283.88445049632446</v>
      </c>
      <c r="CR41" s="24">
        <f>CR42-CR61</f>
        <v>6.977345133196744E-2</v>
      </c>
      <c r="CT41" s="710">
        <f>CT$42-CT$49</f>
        <v>268.28207054805898</v>
      </c>
      <c r="CU41" s="24">
        <f>CU$42-CU$49</f>
        <v>6.5938680191527155E-2</v>
      </c>
      <c r="CV41" s="430">
        <f>CV42-CW61*CV12</f>
        <v>151.72106433445379</v>
      </c>
      <c r="CW41" s="24">
        <f>CW42-CW61</f>
        <v>3.7290180141484996E-2</v>
      </c>
      <c r="CX41" s="430">
        <f>CX42-CY61*CX12</f>
        <v>-194.77835391878898</v>
      </c>
      <c r="CY41" s="24">
        <f>CY42-CY61</f>
        <v>-4.7872850992411897E-2</v>
      </c>
      <c r="DA41" s="710">
        <f>DA$42-DA$49</f>
        <v>244.12100434145759</v>
      </c>
      <c r="DB41" s="24">
        <f>DB$42-DB$49</f>
        <v>6.0000345160680979E-2</v>
      </c>
      <c r="DC41" s="430">
        <f>DC42-DD61*DC12</f>
        <v>100.58540569808792</v>
      </c>
      <c r="DD41" s="24">
        <f>DD42-DD61</f>
        <v>2.4721998323302463E-2</v>
      </c>
      <c r="DE41" s="430">
        <f>DE42-DF61*DE12</f>
        <v>-245.9140125551512</v>
      </c>
      <c r="DF41" s="24">
        <f>DF42-DF61</f>
        <v>-6.0441032810594431E-2</v>
      </c>
      <c r="DH41" s="710">
        <f>DH$42-DH$49</f>
        <v>181.24171343236594</v>
      </c>
      <c r="DI41" s="24">
        <f>DI$42-DI$49</f>
        <v>4.4545799706135369E-2</v>
      </c>
      <c r="DJ41" s="430">
        <f>DJ42-DK61*DJ12</f>
        <v>50.744320698088814</v>
      </c>
      <c r="DK41" s="24">
        <f>DK42-DK61</f>
        <v>1.2471998323303923E-2</v>
      </c>
      <c r="DL41" s="430">
        <f>DL42-DM61*DL12</f>
        <v>-295.75509755515031</v>
      </c>
      <c r="DM41" s="24">
        <f>DM42-DM61</f>
        <v>-7.2691032810593859E-2</v>
      </c>
    </row>
    <row r="42" spans="1:117" s="4" customFormat="1" ht="18" customHeight="1" x14ac:dyDescent="0.45">
      <c r="A42" s="561"/>
      <c r="B42" s="1194"/>
      <c r="C42" s="71" t="s">
        <v>378</v>
      </c>
      <c r="D42" s="16"/>
      <c r="E42" s="16"/>
      <c r="F42" s="42">
        <f t="shared" ref="F42:Q42" si="188">F32-F32/1.1</f>
        <v>2722.3034181818221</v>
      </c>
      <c r="G42" s="24">
        <f t="shared" si="188"/>
        <v>0.66909090909090985</v>
      </c>
      <c r="H42" s="42">
        <f t="shared" si="188"/>
        <v>2722.3034181818221</v>
      </c>
      <c r="I42" s="24">
        <f t="shared" si="188"/>
        <v>0.66909090909090985</v>
      </c>
      <c r="J42" s="42">
        <f t="shared" si="188"/>
        <v>2794.6552177348422</v>
      </c>
      <c r="K42" s="24">
        <f t="shared" si="188"/>
        <v>0.68687361876756547</v>
      </c>
      <c r="L42" s="42">
        <f>L38-L38/1.1</f>
        <v>2631.728370731711</v>
      </c>
      <c r="M42" s="24">
        <f>M38-M38/1.1</f>
        <v>0.6468292682926835</v>
      </c>
      <c r="N42" s="42">
        <f t="shared" si="188"/>
        <v>2735.1048482041879</v>
      </c>
      <c r="O42" s="24">
        <f t="shared" si="188"/>
        <v>0.67223725949186885</v>
      </c>
      <c r="P42" s="42">
        <f t="shared" si="188"/>
        <v>2824.3381172254158</v>
      </c>
      <c r="Q42" s="24">
        <f t="shared" si="188"/>
        <v>0.69416911642295442</v>
      </c>
      <c r="R42" s="42">
        <f>R38-R38/1.1</f>
        <v>2653.2999147541013</v>
      </c>
      <c r="S42" s="24">
        <f>S38-S38/1.1</f>
        <v>0.65213114754098456</v>
      </c>
      <c r="T42" s="42">
        <f t="shared" ref="T42:W42" si="189">T32-T32/1.1</f>
        <v>2735.1048482041879</v>
      </c>
      <c r="U42" s="24">
        <f t="shared" si="189"/>
        <v>0.67223725949186885</v>
      </c>
      <c r="V42" s="42">
        <f t="shared" si="189"/>
        <v>2824.3381172254158</v>
      </c>
      <c r="W42" s="24">
        <f t="shared" si="189"/>
        <v>0.69416911642295442</v>
      </c>
      <c r="X42" s="42">
        <f>X38-X38/1.1</f>
        <v>2653.2999147541013</v>
      </c>
      <c r="Y42" s="24">
        <f>Y38-Y38/1.1</f>
        <v>0.65213114754098456</v>
      </c>
      <c r="Z42" s="42">
        <f t="shared" ref="Z42:AC42" si="190">Z32-Z32/1.1</f>
        <v>2735.1048482041879</v>
      </c>
      <c r="AA42" s="24">
        <f t="shared" si="190"/>
        <v>0.67223725949186885</v>
      </c>
      <c r="AB42" s="42">
        <f t="shared" si="190"/>
        <v>2824.3381172254158</v>
      </c>
      <c r="AC42" s="24">
        <f t="shared" si="190"/>
        <v>0.69416911642295442</v>
      </c>
      <c r="AD42" s="42">
        <f>AD38-AD38/1.1</f>
        <v>2653.2999147541013</v>
      </c>
      <c r="AE42" s="24">
        <f>AE38-AE38/1.1</f>
        <v>0.65213114754098456</v>
      </c>
      <c r="AF42" s="620"/>
      <c r="AG42" s="630"/>
      <c r="AH42" s="42">
        <f t="shared" ref="AH42:AK42" si="191">AH32-AH32/1.1</f>
        <v>2786.3357521333382</v>
      </c>
      <c r="AI42" s="24">
        <f t="shared" si="191"/>
        <v>0.68482885080919509</v>
      </c>
      <c r="AJ42" s="42">
        <f t="shared" si="191"/>
        <v>2836.2391559727948</v>
      </c>
      <c r="AK42" s="24">
        <f t="shared" si="191"/>
        <v>0.6970941676062381</v>
      </c>
      <c r="AL42" s="42">
        <f>AL38-AL38/1.1</f>
        <v>2740.7973272727286</v>
      </c>
      <c r="AM42" s="24">
        <f>AM38-AM38/1.1</f>
        <v>0.67363636363636381</v>
      </c>
      <c r="AN42" s="269"/>
      <c r="AO42" s="269"/>
      <c r="AP42" s="269"/>
      <c r="AR42" s="42">
        <f t="shared" ref="AR42:AU42" si="192">AR32-AR32/1.1</f>
        <v>2867.3940922243164</v>
      </c>
      <c r="AS42" s="24">
        <f t="shared" si="192"/>
        <v>0.7047514641735404</v>
      </c>
      <c r="AT42" s="42">
        <f t="shared" si="192"/>
        <v>2961.5389746750479</v>
      </c>
      <c r="AU42" s="24">
        <f t="shared" si="192"/>
        <v>0.72789050318164961</v>
      </c>
      <c r="AV42" s="42">
        <f>AV38-AV38/1.1</f>
        <v>2781.4839272727295</v>
      </c>
      <c r="AW42" s="24">
        <f>AW38-AW38/1.1</f>
        <v>0.68363636363636449</v>
      </c>
      <c r="AX42" s="269"/>
      <c r="AY42" s="269"/>
      <c r="AZ42" s="269"/>
      <c r="BB42" s="42">
        <f t="shared" ref="BB42:BE42" si="193">BB32-BB32/1.1</f>
        <v>3238.2095061818218</v>
      </c>
      <c r="BC42" s="24">
        <f t="shared" si="193"/>
        <v>0.79589090909091009</v>
      </c>
      <c r="BD42" s="42">
        <f t="shared" si="193"/>
        <v>3624.8061818181814</v>
      </c>
      <c r="BE42" s="24">
        <f t="shared" si="193"/>
        <v>0.89090909090909243</v>
      </c>
      <c r="BF42" s="42">
        <f>BF38-BF38/1.1</f>
        <v>2881.3510363636378</v>
      </c>
      <c r="BG42" s="24">
        <f>BG38-BG38/1.1</f>
        <v>0.70818181818181891</v>
      </c>
      <c r="BH42" s="269"/>
      <c r="BI42" s="269"/>
      <c r="BJ42" s="269"/>
      <c r="BK42" s="861"/>
      <c r="BL42" s="42">
        <f t="shared" ref="BL42:BO42" si="194">BL32-BL32/1.1</f>
        <v>3367.3998358137469</v>
      </c>
      <c r="BM42" s="24">
        <f t="shared" si="194"/>
        <v>0.82764345898004521</v>
      </c>
      <c r="BN42" s="42">
        <f t="shared" si="194"/>
        <v>3506.4451636363665</v>
      </c>
      <c r="BO42" s="24">
        <f t="shared" si="194"/>
        <v>0.86181818181818315</v>
      </c>
      <c r="BP42" s="42">
        <f>BP38-BP38/1.1</f>
        <v>3239.0503024390273</v>
      </c>
      <c r="BQ42" s="24">
        <f>BQ38-BQ38/1.1</f>
        <v>0.79609756097561046</v>
      </c>
      <c r="BR42" s="269"/>
      <c r="BS42" s="269"/>
      <c r="BT42" s="269"/>
      <c r="BV42" s="42">
        <f t="shared" ref="BV42:BW42" si="195">BV32-BV32/1.1</f>
        <v>3367.3998358137469</v>
      </c>
      <c r="BW42" s="24">
        <f t="shared" si="195"/>
        <v>0.82764345898004521</v>
      </c>
      <c r="BY42" s="42">
        <f>BY32-BY32/1.1</f>
        <v>3143.9645454545498</v>
      </c>
      <c r="BZ42" s="24">
        <f>BZ32-BZ32/1.1</f>
        <v>0.77272727272727337</v>
      </c>
      <c r="CA42" s="42">
        <f>CA32-CA32/1.1</f>
        <v>3143.9645454545498</v>
      </c>
      <c r="CB42" s="24">
        <f>CB32-CB32/1.1</f>
        <v>0.77272727272727337</v>
      </c>
      <c r="CC42" s="42">
        <f>CC38-CC38/1.1</f>
        <v>3143.9645454545498</v>
      </c>
      <c r="CD42" s="24">
        <f>CD38-CD38/1.1</f>
        <v>0.77272727272727337</v>
      </c>
      <c r="CF42" s="42">
        <f t="shared" ref="CF42:CI42" si="196">CF32-CF32/1.1</f>
        <v>3502.3851993220451</v>
      </c>
      <c r="CG42" s="24">
        <f t="shared" si="196"/>
        <v>0.86082031905395162</v>
      </c>
      <c r="CH42" s="42">
        <f t="shared" si="196"/>
        <v>3611.4970614291233</v>
      </c>
      <c r="CI42" s="24">
        <f t="shared" si="196"/>
        <v>0.88763795977769711</v>
      </c>
      <c r="CJ42" s="42">
        <f>CJ38-CJ38/1.1</f>
        <v>3401.6665573770515</v>
      </c>
      <c r="CK42" s="24">
        <f>CK38-CK38/1.1</f>
        <v>0.83606557377049207</v>
      </c>
      <c r="CM42" s="42">
        <f t="shared" ref="CM42:CP42" si="197">CM32-CM32/1.1</f>
        <v>3397.9029502697595</v>
      </c>
      <c r="CN42" s="24">
        <f t="shared" si="197"/>
        <v>0.83514055002623877</v>
      </c>
      <c r="CO42" s="42">
        <f t="shared" si="197"/>
        <v>3578.0826477614391</v>
      </c>
      <c r="CP42" s="24">
        <f t="shared" si="197"/>
        <v>0.87942532621586444</v>
      </c>
      <c r="CQ42" s="42">
        <f>CQ38-CQ38/1.1</f>
        <v>3231.5832295082</v>
      </c>
      <c r="CR42" s="24">
        <f>CR38-CR38/1.1</f>
        <v>0.79426229508196755</v>
      </c>
      <c r="CT42" s="42">
        <f>CT$32-CT$32/1.1</f>
        <v>2957.7479139061179</v>
      </c>
      <c r="CU42" s="24">
        <f>CU$32-CU$32/1.1</f>
        <v>0.72695873184442039</v>
      </c>
      <c r="CV42" s="42">
        <f>CV32-CV32/1.1</f>
        <v>3137.9276113978049</v>
      </c>
      <c r="CW42" s="24">
        <f>CW32-CW32/1.1</f>
        <v>0.77124350803404695</v>
      </c>
      <c r="CX42" s="42">
        <f>CX38-CX38/1.1</f>
        <v>2791.4281931445621</v>
      </c>
      <c r="CY42" s="24">
        <f>CY38-CY38/1.1</f>
        <v>0.68608047690015006</v>
      </c>
      <c r="DA42" s="42">
        <f>DA$32-DA$32/1.1</f>
        <v>3397.9029502697595</v>
      </c>
      <c r="DB42" s="24">
        <f>DB$32-DB$32/1.1</f>
        <v>0.83514055002623877</v>
      </c>
      <c r="DC42" s="42">
        <f>DC32-DC32/1.1</f>
        <v>3578.0826477614391</v>
      </c>
      <c r="DD42" s="24">
        <f>DD32-DD32/1.1</f>
        <v>0.87942532621586444</v>
      </c>
      <c r="DE42" s="42">
        <f>DE38-DE38/1.1</f>
        <v>3231.5832295082</v>
      </c>
      <c r="DF42" s="24">
        <f>DF38-DF38/1.1</f>
        <v>0.79426229508196755</v>
      </c>
      <c r="DH42" s="42">
        <f>DH$32-DH$32/1.1</f>
        <v>3113.0967502697567</v>
      </c>
      <c r="DI42" s="24">
        <f>DI$32-DI$32/1.1</f>
        <v>0.76514055002623849</v>
      </c>
      <c r="DJ42" s="42">
        <f>DJ32-DJ32/1.1</f>
        <v>3293.2764477614401</v>
      </c>
      <c r="DK42" s="24">
        <f>DK32-DK32/1.1</f>
        <v>0.80942532621586594</v>
      </c>
      <c r="DL42" s="42">
        <f>DL38-DL38/1.1</f>
        <v>2946.7770295082009</v>
      </c>
      <c r="DM42" s="24">
        <f>DM38-DM38/1.1</f>
        <v>0.72426229508196815</v>
      </c>
    </row>
    <row r="43" spans="1:117" s="65" customFormat="1" ht="18" customHeight="1" x14ac:dyDescent="0.45">
      <c r="A43" s="561"/>
      <c r="B43" s="1194"/>
      <c r="C43" s="62" t="s">
        <v>47</v>
      </c>
      <c r="D43" s="63"/>
      <c r="E43" s="64"/>
      <c r="F43" s="47">
        <f t="shared" ref="F43:Q43" si="198">+F44/F32</f>
        <v>0.11261777681901675</v>
      </c>
      <c r="G43" s="48">
        <f t="shared" si="198"/>
        <v>0.11261777681901686</v>
      </c>
      <c r="H43" s="47">
        <f t="shared" si="198"/>
        <v>9.8351472471190721E-2</v>
      </c>
      <c r="I43" s="48">
        <f t="shared" si="198"/>
        <v>9.8351472471190762E-2</v>
      </c>
      <c r="J43" s="47">
        <f t="shared" si="198"/>
        <v>0.11934098732647433</v>
      </c>
      <c r="K43" s="48">
        <f t="shared" si="198"/>
        <v>0.11934098732647429</v>
      </c>
      <c r="L43" s="361">
        <f>+L44/L38</f>
        <v>7.0448606902625138E-2</v>
      </c>
      <c r="M43" s="362">
        <f>+M44/M38</f>
        <v>7.044860690262511E-2</v>
      </c>
      <c r="N43" s="361">
        <f t="shared" si="198"/>
        <v>7.3701118066114804E-2</v>
      </c>
      <c r="O43" s="362">
        <f t="shared" si="198"/>
        <v>7.3701118066114749E-2</v>
      </c>
      <c r="P43" s="361">
        <f t="shared" si="198"/>
        <v>0.10009475751935988</v>
      </c>
      <c r="Q43" s="362">
        <f t="shared" si="198"/>
        <v>0.10009475751935978</v>
      </c>
      <c r="R43" s="361">
        <f>+R44/R38</f>
        <v>4.7944886786094154E-2</v>
      </c>
      <c r="S43" s="362">
        <f>+S44/S38</f>
        <v>4.7944886786094168E-2</v>
      </c>
      <c r="T43" s="361">
        <f t="shared" ref="T43:W43" si="199">+T44/T32</f>
        <v>7.3701118066114804E-2</v>
      </c>
      <c r="U43" s="362">
        <f t="shared" si="199"/>
        <v>7.3701118066114749E-2</v>
      </c>
      <c r="V43" s="361">
        <f t="shared" si="199"/>
        <v>0.10009475751935988</v>
      </c>
      <c r="W43" s="362">
        <f t="shared" si="199"/>
        <v>0.10009475751935978</v>
      </c>
      <c r="X43" s="361">
        <f>+X44/X38</f>
        <v>4.7944886786094154E-2</v>
      </c>
      <c r="Y43" s="362">
        <f>+Y44/Y38</f>
        <v>4.7944886786094168E-2</v>
      </c>
      <c r="Z43" s="361">
        <f t="shared" ref="Z43:AC43" si="200">+Z44/Z32</f>
        <v>7.3701118066114804E-2</v>
      </c>
      <c r="AA43" s="362">
        <f t="shared" si="200"/>
        <v>7.3701118066114749E-2</v>
      </c>
      <c r="AB43" s="361">
        <f t="shared" si="200"/>
        <v>0.10009475751935988</v>
      </c>
      <c r="AC43" s="362">
        <f t="shared" si="200"/>
        <v>0.10009475751935978</v>
      </c>
      <c r="AD43" s="361">
        <f>+AD44/AD38</f>
        <v>4.7944886786094154E-2</v>
      </c>
      <c r="AE43" s="362">
        <f>+AE44/AE38</f>
        <v>4.7944886786094168E-2</v>
      </c>
      <c r="AF43" s="620"/>
      <c r="AG43" s="635"/>
      <c r="AH43" s="361">
        <f t="shared" ref="AH43:AK43" si="201">+AH44/AH32</f>
        <v>1.9060406986779313E-2</v>
      </c>
      <c r="AI43" s="362">
        <f t="shared" si="201"/>
        <v>1.9060406986779323E-2</v>
      </c>
      <c r="AJ43" s="361">
        <f t="shared" si="201"/>
        <v>3.472042334414617E-2</v>
      </c>
      <c r="AK43" s="362">
        <f t="shared" si="201"/>
        <v>3.4720423344146198E-2</v>
      </c>
      <c r="AL43" s="361">
        <f>+AL44/AL38</f>
        <v>4.2725251027695881E-3</v>
      </c>
      <c r="AM43" s="362">
        <f>+AM44/AM38</f>
        <v>4.2725251027696401E-3</v>
      </c>
      <c r="AN43" s="635"/>
      <c r="AO43" s="635"/>
      <c r="AP43" s="635"/>
      <c r="AR43" s="361">
        <f t="shared" ref="AR43:AU43" si="202">+AR44/AR32</f>
        <v>4.4220671955776288E-2</v>
      </c>
      <c r="AS43" s="362">
        <f t="shared" si="202"/>
        <v>4.4220671955776329E-2</v>
      </c>
      <c r="AT43" s="361">
        <f t="shared" si="202"/>
        <v>7.1714183777331311E-2</v>
      </c>
      <c r="AU43" s="362">
        <f t="shared" si="202"/>
        <v>7.1714183777331325E-2</v>
      </c>
      <c r="AV43" s="361">
        <f>+AV44/AV38</f>
        <v>1.7507900400468377E-2</v>
      </c>
      <c r="AW43" s="362">
        <f>+AW44/AW38</f>
        <v>1.7507900400468325E-2</v>
      </c>
      <c r="AX43" s="635"/>
      <c r="AY43" s="635"/>
      <c r="AZ43" s="635"/>
      <c r="BB43" s="361">
        <f t="shared" ref="BB43:BE43" si="203">+BB44/BB32</f>
        <v>0.1432591110655842</v>
      </c>
      <c r="BC43" s="362">
        <f t="shared" si="203"/>
        <v>0.14325911106558414</v>
      </c>
      <c r="BD43" s="361">
        <f t="shared" si="203"/>
        <v>0.22493741670804043</v>
      </c>
      <c r="BE43" s="362">
        <f t="shared" si="203"/>
        <v>0.22493741670804027</v>
      </c>
      <c r="BF43" s="361">
        <f>+BF44/BF38</f>
        <v>4.8410007248532429E-2</v>
      </c>
      <c r="BG43" s="362">
        <f>+BG44/BG38</f>
        <v>4.8410007248532456E-2</v>
      </c>
      <c r="BH43" s="635"/>
      <c r="BI43" s="635"/>
      <c r="BJ43" s="635"/>
      <c r="BL43" s="361">
        <f t="shared" ref="BL43:BO43" si="204">+BL44/BL32</f>
        <v>4.6066425840395379E-2</v>
      </c>
      <c r="BM43" s="362">
        <f t="shared" si="204"/>
        <v>4.6066425840395206E-2</v>
      </c>
      <c r="BN43" s="361">
        <f t="shared" si="204"/>
        <v>8.0288983613996986E-2</v>
      </c>
      <c r="BO43" s="362">
        <f t="shared" si="204"/>
        <v>8.0288983613996862E-2</v>
      </c>
      <c r="BP43" s="361">
        <f>+BP44/BP38</f>
        <v>1.18685038035701E-2</v>
      </c>
      <c r="BQ43" s="362">
        <f>+BQ44/BQ38</f>
        <v>1.1868503803570057E-2</v>
      </c>
      <c r="BR43" s="635"/>
      <c r="BS43" s="635"/>
      <c r="BT43" s="635"/>
      <c r="BV43" s="361">
        <f t="shared" ref="BV43:BW43" si="205">+BV44/BV32</f>
        <v>4.6066425840395379E-2</v>
      </c>
      <c r="BW43" s="362">
        <f t="shared" si="205"/>
        <v>4.6066425840395206E-2</v>
      </c>
      <c r="BY43" s="361">
        <f>+BY44/BY32</f>
        <v>2.7968291029599777E-2</v>
      </c>
      <c r="BZ43" s="362">
        <f>+BZ44/BZ32</f>
        <v>2.7968291029599888E-2</v>
      </c>
      <c r="CA43" s="361">
        <f>+CA44/CA32</f>
        <v>2.7968291029599777E-2</v>
      </c>
      <c r="CB43" s="362">
        <f>+CB44/CB32</f>
        <v>2.7968291029599888E-2</v>
      </c>
      <c r="CC43" s="361">
        <f>+CC44/CC38</f>
        <v>2.7968291029599777E-2</v>
      </c>
      <c r="CD43" s="362">
        <f>+CD44/CD38</f>
        <v>2.7968291029599888E-2</v>
      </c>
      <c r="CF43" s="361">
        <f t="shared" ref="CF43:CI43" si="206">+CF44/CF32</f>
        <v>6.2695053657530184E-2</v>
      </c>
      <c r="CG43" s="362">
        <f t="shared" si="206"/>
        <v>6.2695053657529934E-2</v>
      </c>
      <c r="CH43" s="361">
        <f t="shared" si="206"/>
        <v>8.8266672932087856E-2</v>
      </c>
      <c r="CI43" s="362">
        <f t="shared" si="206"/>
        <v>8.8266672932087717E-2</v>
      </c>
      <c r="CJ43" s="361">
        <f>+CJ44/CJ38</f>
        <v>3.7634443021767099E-2</v>
      </c>
      <c r="CK43" s="362">
        <f>+CK44/CK38</f>
        <v>3.7634443021767099E-2</v>
      </c>
      <c r="CM43" s="361">
        <f t="shared" ref="CM43:CP43" si="207">+CM44/CM32</f>
        <v>6.5243590296096221E-2</v>
      </c>
      <c r="CN43" s="362">
        <f t="shared" si="207"/>
        <v>6.5243590296096166E-2</v>
      </c>
      <c r="CO43" s="361">
        <f t="shared" si="207"/>
        <v>0.10774831535028953</v>
      </c>
      <c r="CP43" s="362">
        <f t="shared" si="207"/>
        <v>0.10774831535028943</v>
      </c>
      <c r="CQ43" s="361">
        <f>+CQ44/CQ38</f>
        <v>2.1826114734423974E-2</v>
      </c>
      <c r="CR43" s="362">
        <f>+CR44/CR38</f>
        <v>2.1826114734423974E-2</v>
      </c>
      <c r="CT43" s="361">
        <f>+CT$44/CT$32</f>
        <v>8.2458951373321071E-2</v>
      </c>
      <c r="CU43" s="362">
        <f>+CU$44/CU$32</f>
        <v>8.245895137332114E-2</v>
      </c>
      <c r="CV43" s="361">
        <f>+CV44/CV32</f>
        <v>-1.0841314965543521E-2</v>
      </c>
      <c r="CW43" s="362">
        <f>+CW44/CW32</f>
        <v>-1.084131496554358E-2</v>
      </c>
      <c r="CX43" s="361">
        <f>+CX44/CX38</f>
        <v>-0.12503231627834907</v>
      </c>
      <c r="CY43" s="362">
        <f>+CY44/CY38</f>
        <v>-0.12503231627834913</v>
      </c>
      <c r="DA43" s="361">
        <f>+DA$44/DA$32</f>
        <v>6.5313279694271628E-2</v>
      </c>
      <c r="DB43" s="362">
        <f>+DB$44/DB$32</f>
        <v>6.5313279694271573E-2</v>
      </c>
      <c r="DC43" s="361">
        <f>+DC44/DC32</f>
        <v>-2.2499822361929111E-2</v>
      </c>
      <c r="DD43" s="362">
        <f>+DD44/DD32</f>
        <v>-2.2499822361929229E-2</v>
      </c>
      <c r="DE43" s="361">
        <f>+DE44/DE38</f>
        <v>-0.122387593641039</v>
      </c>
      <c r="DF43" s="362">
        <f>+DF44/DF38</f>
        <v>-0.12238759364103902</v>
      </c>
      <c r="DH43" s="361">
        <f>+DH$44/DH$32</f>
        <v>5.2926461092204898E-2</v>
      </c>
      <c r="DI43" s="362">
        <f>+DI$44/DI$32</f>
        <v>5.2926461092205071E-2</v>
      </c>
      <c r="DJ43" s="361">
        <f>+DJ44/DJ32</f>
        <v>-3.8203990232639803E-2</v>
      </c>
      <c r="DK43" s="362">
        <f>+DK44/DK32</f>
        <v>-3.8203990232639901E-2</v>
      </c>
      <c r="DL43" s="361">
        <f>+DL44/DL38</f>
        <v>-0.14959251004360599</v>
      </c>
      <c r="DM43" s="362">
        <f>+DM44/DM38</f>
        <v>-0.14959251004360608</v>
      </c>
    </row>
    <row r="44" spans="1:117" s="4" customFormat="1" ht="18" customHeight="1" x14ac:dyDescent="0.45">
      <c r="A44" s="561" t="s">
        <v>379</v>
      </c>
      <c r="B44" s="1194"/>
      <c r="C44" s="15" t="s">
        <v>48</v>
      </c>
      <c r="D44" s="16"/>
      <c r="E44" s="35"/>
      <c r="F44" s="42">
        <f t="shared" ref="F44:Q44" si="208">+F32-F45-F41</f>
        <v>3372.3773466069106</v>
      </c>
      <c r="G44" s="24">
        <f t="shared" si="208"/>
        <v>0.82886683738796407</v>
      </c>
      <c r="H44" s="42">
        <f t="shared" si="208"/>
        <v>2945.1680466069124</v>
      </c>
      <c r="I44" s="24">
        <f t="shared" si="208"/>
        <v>0.72386683738796409</v>
      </c>
      <c r="J44" s="42">
        <f t="shared" si="208"/>
        <v>3668.6860421371498</v>
      </c>
      <c r="K44" s="24">
        <f t="shared" si="208"/>
        <v>0.90169393415452481</v>
      </c>
      <c r="L44" s="42">
        <f>+L38-L45-L41</f>
        <v>2039.4175721058059</v>
      </c>
      <c r="M44" s="24">
        <f>+M38-M45-M41</f>
        <v>0.50125042940570241</v>
      </c>
      <c r="N44" s="42">
        <f t="shared" si="208"/>
        <v>2217.3831387476962</v>
      </c>
      <c r="O44" s="24">
        <f t="shared" si="208"/>
        <v>0.54499101393276772</v>
      </c>
      <c r="P44" s="42">
        <f t="shared" si="208"/>
        <v>3109.715828959997</v>
      </c>
      <c r="Q44" s="24">
        <f t="shared" si="208"/>
        <v>0.76430958324362164</v>
      </c>
      <c r="R44" s="42">
        <f>+R38-R45-R41</f>
        <v>1399.3338042468235</v>
      </c>
      <c r="S44" s="24">
        <f>+S38-S45-S41</f>
        <v>0.34392989442391941</v>
      </c>
      <c r="T44" s="42">
        <f t="shared" ref="T44:W44" si="209">+T32-T45-T41</f>
        <v>2217.3831387476962</v>
      </c>
      <c r="U44" s="24">
        <f t="shared" si="209"/>
        <v>0.54499101393276772</v>
      </c>
      <c r="V44" s="42">
        <f t="shared" si="209"/>
        <v>3109.715828959997</v>
      </c>
      <c r="W44" s="24">
        <f t="shared" si="209"/>
        <v>0.76430958324362164</v>
      </c>
      <c r="X44" s="42">
        <f>+X38-X45-X41</f>
        <v>1399.3338042468235</v>
      </c>
      <c r="Y44" s="24">
        <f>+Y38-Y45-Y41</f>
        <v>0.34392989442391941</v>
      </c>
      <c r="Z44" s="42">
        <f t="shared" ref="Z44:AC44" si="210">+Z32-Z45-Z41</f>
        <v>2217.3831387476962</v>
      </c>
      <c r="AA44" s="24">
        <f t="shared" si="210"/>
        <v>0.54499101393276772</v>
      </c>
      <c r="AB44" s="42">
        <f t="shared" si="210"/>
        <v>3109.715828959997</v>
      </c>
      <c r="AC44" s="24">
        <f t="shared" si="210"/>
        <v>0.76430958324362164</v>
      </c>
      <c r="AD44" s="42">
        <f>+AD38-AD45-AD41</f>
        <v>1399.3338042468235</v>
      </c>
      <c r="AE44" s="24">
        <f>+AE38-AE45-AE41</f>
        <v>0.34392989442391941</v>
      </c>
      <c r="AF44" s="620"/>
      <c r="AG44" s="630"/>
      <c r="AH44" s="42">
        <f t="shared" ref="AH44:AK44" si="211">+AH32-AH45-AH41</f>
        <v>584.19562781222749</v>
      </c>
      <c r="AI44" s="24">
        <f t="shared" si="211"/>
        <v>0.14358428273982782</v>
      </c>
      <c r="AJ44" s="42">
        <f t="shared" si="211"/>
        <v>1083.2296662068115</v>
      </c>
      <c r="AK44" s="24">
        <f t="shared" si="211"/>
        <v>0.2662374507102615</v>
      </c>
      <c r="AL44" s="42">
        <f>+AL38-AL45-AL41</f>
        <v>128.81137920614174</v>
      </c>
      <c r="AM44" s="24">
        <f>+AM38-AM45-AM41</f>
        <v>3.1659411011523031E-2</v>
      </c>
      <c r="AN44" s="723">
        <f>AI44/$O44-1</f>
        <v>-0.73653825646831494</v>
      </c>
      <c r="AO44" s="723">
        <f>AK44/$Q44-1</f>
        <v>-0.65166281236408485</v>
      </c>
      <c r="AP44" s="723">
        <f>AM44/$S44-1</f>
        <v>-0.90794806870582634</v>
      </c>
      <c r="AR44" s="42">
        <f t="shared" ref="AR44:AU44" si="212">+AR32-AR45-AR41</f>
        <v>1394.7790287220055</v>
      </c>
      <c r="AS44" s="24">
        <f t="shared" si="212"/>
        <v>0.34281041638328269</v>
      </c>
      <c r="AT44" s="42">
        <f t="shared" si="212"/>
        <v>2336.2278532293317</v>
      </c>
      <c r="AU44" s="24">
        <f t="shared" si="212"/>
        <v>0.5742008064643721</v>
      </c>
      <c r="AV44" s="42">
        <f>+AV38-AV45-AV41</f>
        <v>535.6773792061399</v>
      </c>
      <c r="AW44" s="24">
        <f>+AW38-AW45-AW41</f>
        <v>0.13165941101152179</v>
      </c>
      <c r="AX44" s="723">
        <f>AS44/$O44-1</f>
        <v>-0.37097969027141953</v>
      </c>
      <c r="AY44" s="723">
        <f>AU44/$Q44-1</f>
        <v>-0.24873268757465372</v>
      </c>
      <c r="AZ44" s="723">
        <f>AW44/$S44-1</f>
        <v>-0.61719113939760728</v>
      </c>
      <c r="BB44" s="42">
        <f t="shared" ref="BB44:BE44" si="213">+BB32-BB45-BB41</f>
        <v>5102.9331682970478</v>
      </c>
      <c r="BC44" s="24">
        <f t="shared" si="213"/>
        <v>1.254204865556976</v>
      </c>
      <c r="BD44" s="42">
        <f t="shared" si="213"/>
        <v>8968.8999246606909</v>
      </c>
      <c r="BE44" s="24">
        <f t="shared" si="213"/>
        <v>2.2043866837387949</v>
      </c>
      <c r="BF44" s="42">
        <f>+BF38-BF45-BF41</f>
        <v>1534.3484701152306</v>
      </c>
      <c r="BG44" s="24">
        <f>+BG38-BG45-BG41</f>
        <v>0.37711395646606782</v>
      </c>
      <c r="BH44" s="723">
        <f>BC44/$O44-1</f>
        <v>1.3013312761000857</v>
      </c>
      <c r="BI44" s="723">
        <f>BE44/$Q44-1</f>
        <v>1.8841541857733746</v>
      </c>
      <c r="BJ44" s="723">
        <f>BG44/$S44-1</f>
        <v>9.648495981348626E-2</v>
      </c>
      <c r="BL44" s="42">
        <f t="shared" ref="BL44:BO44" si="214">+BL32-BL45-BL41</f>
        <v>1706.3648229262094</v>
      </c>
      <c r="BM44" s="24">
        <f t="shared" si="214"/>
        <v>0.41939233627931627</v>
      </c>
      <c r="BN44" s="42">
        <f t="shared" si="214"/>
        <v>3096.8181011523689</v>
      </c>
      <c r="BO44" s="24">
        <f t="shared" si="214"/>
        <v>0.76113956466069033</v>
      </c>
      <c r="BP44" s="42">
        <f>+BP38-BP45-BP41</f>
        <v>422.86948917897689</v>
      </c>
      <c r="BQ44" s="24">
        <f>+BQ38-BQ45-BQ41</f>
        <v>0.10393335623497058</v>
      </c>
      <c r="BR44" s="723">
        <f>BM44/$O44-1</f>
        <v>-0.23046008914368232</v>
      </c>
      <c r="BS44" s="723">
        <f>BO44/$Q44-1</f>
        <v>-4.1475583355611301E-3</v>
      </c>
      <c r="BT44" s="723">
        <f>BQ44/$S44-1</f>
        <v>-0.69780656488422343</v>
      </c>
      <c r="BV44" s="42">
        <f t="shared" ref="BV44:BW44" si="215">+BV32-BV45-BV41</f>
        <v>1706.3648229262094</v>
      </c>
      <c r="BW44" s="24">
        <f t="shared" si="215"/>
        <v>0.41939233627931627</v>
      </c>
      <c r="BY44" s="42">
        <f>+BY32-BY45-BY41</f>
        <v>967.24446933417721</v>
      </c>
      <c r="BZ44" s="24">
        <f>+BZ32-BZ45-BZ41</f>
        <v>0.23773047375159906</v>
      </c>
      <c r="CA44" s="42">
        <f>+CA32-CA45-CA41</f>
        <v>967.24446933417721</v>
      </c>
      <c r="CB44" s="24">
        <f>+CB32-CB45-CB41</f>
        <v>0.23773047375159906</v>
      </c>
      <c r="CC44" s="42">
        <f>+CC38-CC45-CC41</f>
        <v>967.24446933417721</v>
      </c>
      <c r="CD44" s="24">
        <f>+CD38-CD45-CD41</f>
        <v>0.23773047375159906</v>
      </c>
      <c r="CF44" s="42">
        <f t="shared" ref="CF44:CI44" si="216">+CF32-CF45-CF41</f>
        <v>2415.4045080091869</v>
      </c>
      <c r="CG44" s="24">
        <f t="shared" si="216"/>
        <v>0.59366093701837386</v>
      </c>
      <c r="CH44" s="42">
        <f t="shared" si="216"/>
        <v>3506.5231290799688</v>
      </c>
      <c r="CI44" s="24">
        <f t="shared" si="216"/>
        <v>0.86183734425583935</v>
      </c>
      <c r="CJ44" s="42">
        <f>+CJ38-CJ45-CJ41</f>
        <v>1408.2180885592293</v>
      </c>
      <c r="CK44" s="24">
        <f>+CK38-CK45-CK41</f>
        <v>0.34611348418379251</v>
      </c>
      <c r="CM44" s="42">
        <f t="shared" ref="CM44:CP44" si="217">+CM32-CM45-CM41</f>
        <v>2438.6052674862603</v>
      </c>
      <c r="CN44" s="24">
        <f t="shared" si="217"/>
        <v>0.59936324674125097</v>
      </c>
      <c r="CO44" s="42">
        <f t="shared" si="217"/>
        <v>4240.8561522843838</v>
      </c>
      <c r="CP44" s="24">
        <f t="shared" si="217"/>
        <v>1.0423225711375195</v>
      </c>
      <c r="CQ44" s="42">
        <f>+CQ38-CQ45-CQ41</f>
        <v>775.86196975194889</v>
      </c>
      <c r="CR44" s="24">
        <f>+CR38-CR45-CR41</f>
        <v>0.19069225979854521</v>
      </c>
      <c r="CT44" s="42">
        <f>+CT$32-CT$45-CT$41</f>
        <v>2682.8207054805898</v>
      </c>
      <c r="CU44" s="24">
        <f>+CU$32-CU$45-CU$41</f>
        <v>0.65938680191527244</v>
      </c>
      <c r="CV44" s="42">
        <f>+CV32-CV45-CV41</f>
        <v>-374.21187731663167</v>
      </c>
      <c r="CW44" s="24">
        <f>+CW32-CW45-CW41</f>
        <v>-9.1974231643006221E-2</v>
      </c>
      <c r="CX44" s="42">
        <f>+CX38-CX45-CX41</f>
        <v>-3839.206059849063</v>
      </c>
      <c r="CY44" s="24">
        <f>+CY38-CY45-CY41</f>
        <v>-0.94360454298198049</v>
      </c>
      <c r="DA44" s="42">
        <f>+DA$32-DA$45-DA$41</f>
        <v>2441.2100434145505</v>
      </c>
      <c r="DB44" s="24">
        <f>+DB$32-DB$45-DB$41</f>
        <v>0.60000345160680624</v>
      </c>
      <c r="DC44" s="42">
        <f>+DC32-DC45-DC41</f>
        <v>-885.56846368026709</v>
      </c>
      <c r="DD44" s="24">
        <f>+DD32-DD45-DD41</f>
        <v>-0.21765604982482478</v>
      </c>
      <c r="DE44" s="42">
        <f>+DE38-DE45-DE41</f>
        <v>-4350.562646212702</v>
      </c>
      <c r="DF44" s="24">
        <f>+DF38-DF45-DF41</f>
        <v>-1.069286361163799</v>
      </c>
      <c r="DH44" s="42">
        <f>+DH$32-DH$45-DH$41</f>
        <v>1812.4171343236376</v>
      </c>
      <c r="DI44" s="24">
        <f>+DI$32-DI$45-DI$41</f>
        <v>0.44545799706135281</v>
      </c>
      <c r="DJ44" s="42">
        <f>+DJ32-DJ45-DJ41</f>
        <v>-1383.9793136802682</v>
      </c>
      <c r="DK44" s="24">
        <f>+DK32-DK45-DK41</f>
        <v>-0.34015604982482484</v>
      </c>
      <c r="DL44" s="42">
        <f>+DL38-DL45-DL41</f>
        <v>-4848.9734962126959</v>
      </c>
      <c r="DM44" s="24">
        <f>+DM38-DM45-DM41</f>
        <v>-1.1917863611637982</v>
      </c>
    </row>
    <row r="45" spans="1:117" s="4" customFormat="1" ht="18" customHeight="1" x14ac:dyDescent="0.45">
      <c r="A45" s="561"/>
      <c r="B45" s="1194"/>
      <c r="C45" s="19" t="s">
        <v>49</v>
      </c>
      <c r="D45" s="20"/>
      <c r="E45" s="30"/>
      <c r="F45" s="66">
        <f>+G56*F12</f>
        <v>26029.424265211266</v>
      </c>
      <c r="G45" s="32">
        <f>+G56</f>
        <v>6.3975422535211264</v>
      </c>
      <c r="H45" s="66">
        <f>+I56*H12</f>
        <v>26499.354495211264</v>
      </c>
      <c r="I45" s="32">
        <f>+I56</f>
        <v>6.5130422535211263</v>
      </c>
      <c r="J45" s="66">
        <f>+K56*J12</f>
        <v>26499.354495211264</v>
      </c>
      <c r="K45" s="32">
        <f t="shared" ref="K45" si="218">+K56</f>
        <v>6.5130422535211263</v>
      </c>
      <c r="L45" s="66">
        <f>+M56*L12</f>
        <v>26499.354495211264</v>
      </c>
      <c r="M45" s="32">
        <f>+M56</f>
        <v>6.5130422535211263</v>
      </c>
      <c r="N45" s="66">
        <f>+O56*N12</f>
        <v>27440.733624102442</v>
      </c>
      <c r="O45" s="32">
        <f>+O56</f>
        <v>6.7444155137323945</v>
      </c>
      <c r="P45" s="66">
        <f>+Q56*P12</f>
        <v>27440.733624102442</v>
      </c>
      <c r="Q45" s="32">
        <f>+Q56</f>
        <v>6.7444155137323945</v>
      </c>
      <c r="R45" s="66">
        <f>+S56*R12</f>
        <v>27440.733624102442</v>
      </c>
      <c r="S45" s="32">
        <f>+S56</f>
        <v>6.7444155137323945</v>
      </c>
      <c r="T45" s="66">
        <f>+U56*T12</f>
        <v>27440.733624102442</v>
      </c>
      <c r="U45" s="32">
        <f>+U56</f>
        <v>6.7444155137323945</v>
      </c>
      <c r="V45" s="66">
        <f>+W56*V12</f>
        <v>27440.733624102442</v>
      </c>
      <c r="W45" s="32">
        <f>+W56</f>
        <v>6.7444155137323945</v>
      </c>
      <c r="X45" s="66">
        <f>+Y56*X12</f>
        <v>27440.733624102442</v>
      </c>
      <c r="Y45" s="32">
        <f>+Y56</f>
        <v>6.7444155137323945</v>
      </c>
      <c r="Z45" s="66">
        <f>+AA56*Z12</f>
        <v>27440.733624102442</v>
      </c>
      <c r="AA45" s="32">
        <f>+AA56</f>
        <v>6.7444155137323945</v>
      </c>
      <c r="AB45" s="66">
        <f>+AC56*AB12</f>
        <v>27440.733624102442</v>
      </c>
      <c r="AC45" s="32">
        <f>+AC56</f>
        <v>6.7444155137323945</v>
      </c>
      <c r="AD45" s="66">
        <f>+AE56*AD12</f>
        <v>27440.733624102442</v>
      </c>
      <c r="AE45" s="32">
        <f>+AE56</f>
        <v>6.7444155137323945</v>
      </c>
      <c r="AF45" s="620"/>
      <c r="AG45" s="630"/>
      <c r="AH45" s="66">
        <f>+AI56*AH12</f>
        <v>29800.779829352115</v>
      </c>
      <c r="AI45" s="32">
        <f>+AI56</f>
        <v>7.324470422535212</v>
      </c>
      <c r="AJ45" s="66">
        <f>+AK56*AJ12</f>
        <v>29800.779829352115</v>
      </c>
      <c r="AK45" s="32">
        <f>+AK56</f>
        <v>7.324470422535212</v>
      </c>
      <c r="AL45" s="66">
        <f>+AM56*AL12</f>
        <v>29800.779829352115</v>
      </c>
      <c r="AM45" s="32">
        <f>+AM56</f>
        <v>7.324470422535212</v>
      </c>
      <c r="AN45" s="724"/>
      <c r="AO45" s="724"/>
      <c r="AP45" s="724"/>
      <c r="AR45" s="66">
        <f>+AS56*AR12</f>
        <v>29800.779829352115</v>
      </c>
      <c r="AS45" s="32">
        <f>+AS56</f>
        <v>7.324470422535212</v>
      </c>
      <c r="AT45" s="66">
        <f>+AU56*AT12</f>
        <v>29800.779829352115</v>
      </c>
      <c r="AU45" s="32">
        <f>+AU56</f>
        <v>7.324470422535212</v>
      </c>
      <c r="AV45" s="66">
        <f>+AW56*AV12</f>
        <v>29800.779829352115</v>
      </c>
      <c r="AW45" s="32">
        <f>+AW56</f>
        <v>7.324470422535212</v>
      </c>
      <c r="AX45" s="724"/>
      <c r="AY45" s="724"/>
      <c r="AZ45" s="724"/>
      <c r="BB45" s="66">
        <f>+BC56*BB12</f>
        <v>29800.779829352115</v>
      </c>
      <c r="BC45" s="32">
        <f>+BC56</f>
        <v>7.324470422535212</v>
      </c>
      <c r="BD45" s="66">
        <f>+BE56*BD12</f>
        <v>29800.779829352115</v>
      </c>
      <c r="BE45" s="32">
        <f>+BE56</f>
        <v>7.324470422535212</v>
      </c>
      <c r="BF45" s="66">
        <f>+BG56*BF12</f>
        <v>29800.779829352115</v>
      </c>
      <c r="BG45" s="32">
        <f>+BG56</f>
        <v>7.324470422535212</v>
      </c>
      <c r="BH45" s="724"/>
      <c r="BI45" s="724"/>
      <c r="BJ45" s="724"/>
      <c r="BL45" s="66">
        <f>+BM56*BL12</f>
        <v>34958.098635211267</v>
      </c>
      <c r="BM45" s="32">
        <f>+BM56</f>
        <v>8.5920422535211269</v>
      </c>
      <c r="BN45" s="66">
        <f>+BO56*BN12</f>
        <v>34958.098635211267</v>
      </c>
      <c r="BO45" s="32">
        <f>+BO56</f>
        <v>8.5920422535211269</v>
      </c>
      <c r="BP45" s="66">
        <f>+BQ56*BP12</f>
        <v>34958.098635211267</v>
      </c>
      <c r="BQ45" s="32">
        <f>+BQ56</f>
        <v>8.5920422535211269</v>
      </c>
      <c r="BR45" s="724"/>
      <c r="BS45" s="724"/>
      <c r="BT45" s="724"/>
      <c r="BV45" s="66">
        <f>+BW56*BV12</f>
        <v>34958.098635211267</v>
      </c>
      <c r="BW45" s="32">
        <f>+BW56</f>
        <v>8.5920422535211269</v>
      </c>
      <c r="BY45" s="66">
        <f>+BZ56*BY12</f>
        <v>33313.342830211273</v>
      </c>
      <c r="BZ45" s="32">
        <f>+BZ56</f>
        <v>8.1877922535211276</v>
      </c>
      <c r="CA45" s="66">
        <f>+CB56*CA12</f>
        <v>33313.342830211273</v>
      </c>
      <c r="CB45" s="32">
        <f>+CB56</f>
        <v>8.1877922535211276</v>
      </c>
      <c r="CC45" s="66">
        <f>+CD56*CC12</f>
        <v>33313.342830211273</v>
      </c>
      <c r="CD45" s="32">
        <f>+CD56</f>
        <v>8.1877922535211276</v>
      </c>
      <c r="CF45" s="66">
        <f>+CG56*CF12</f>
        <v>35662.993980211264</v>
      </c>
      <c r="CG45" s="32">
        <f>+CG56</f>
        <v>8.7652922535211264</v>
      </c>
      <c r="CH45" s="66">
        <f>+CI56*CH12</f>
        <v>35662.993980211264</v>
      </c>
      <c r="CI45" s="32">
        <f>+CI56</f>
        <v>8.7652922535211264</v>
      </c>
      <c r="CJ45" s="66">
        <f>+CK56*CJ12</f>
        <v>35662.993980211264</v>
      </c>
      <c r="CK45" s="32">
        <f>+CK56</f>
        <v>8.7652922535211264</v>
      </c>
      <c r="CM45" s="66">
        <f>+CN56*CM12</f>
        <v>34488.168405211269</v>
      </c>
      <c r="CN45" s="32">
        <f>+CN56</f>
        <v>8.4765422535211279</v>
      </c>
      <c r="CO45" s="66">
        <f>+CP56*CO12</f>
        <v>34487.66910434189</v>
      </c>
      <c r="CP45" s="32">
        <f>+CP56</f>
        <v>8.4764195347711269</v>
      </c>
      <c r="CQ45" s="66">
        <f>+CR56*CQ12</f>
        <v>34487.66910434189</v>
      </c>
      <c r="CR45" s="32">
        <f>+CR56</f>
        <v>8.4764195347711269</v>
      </c>
      <c r="CT45" s="66">
        <f>+CU45*CT12</f>
        <v>29584.124276938637</v>
      </c>
      <c r="CU45" s="32">
        <v>7.2712205681818185</v>
      </c>
      <c r="CV45" s="66">
        <f>+CW56*CV12</f>
        <v>34739.694538358017</v>
      </c>
      <c r="CW45" s="32">
        <f t="shared" ref="CW45" si="219">+CW56</f>
        <v>8.5383626398760324</v>
      </c>
      <c r="CX45" s="66">
        <f>+CY56*CX12</f>
        <v>34739.694538358017</v>
      </c>
      <c r="CY45" s="32">
        <f t="shared" ref="CY45" si="220">+CY56</f>
        <v>8.5383626398760324</v>
      </c>
      <c r="DA45" s="66">
        <f>+DB45*DA12</f>
        <v>34691.601405211281</v>
      </c>
      <c r="DB45" s="32">
        <f>8.47654225352113+0.05</f>
        <v>8.5265422535211304</v>
      </c>
      <c r="DC45" s="66">
        <f>+DD56*DC12</f>
        <v>40143.892183358017</v>
      </c>
      <c r="DD45" s="32">
        <f t="shared" ref="DD45" si="221">+DD56</f>
        <v>9.866612639876033</v>
      </c>
      <c r="DE45" s="66">
        <f>+DF56*DE12</f>
        <v>40143.892183358017</v>
      </c>
      <c r="DF45" s="32">
        <f t="shared" ref="DF45" si="222">+DF56</f>
        <v>9.866612639876033</v>
      </c>
      <c r="DG45" s="1087">
        <f>DB45/1.1</f>
        <v>7.7514020486555726</v>
      </c>
      <c r="DH45" s="66">
        <f>+DI45*DH12</f>
        <v>32250.405405211281</v>
      </c>
      <c r="DI45" s="32">
        <f>8.47654225352113+0.05-0.82+0.22</f>
        <v>7.9265422535211298</v>
      </c>
      <c r="DJ45" s="66">
        <f>+DK56*DJ12</f>
        <v>37559.275918358013</v>
      </c>
      <c r="DK45" s="32">
        <f t="shared" ref="DK45" si="223">+DK56</f>
        <v>9.231362639876032</v>
      </c>
      <c r="DL45" s="66">
        <f>+DM56*DL12</f>
        <v>37559.275918358013</v>
      </c>
      <c r="DM45" s="32">
        <f t="shared" ref="DM45" si="224">+DM56</f>
        <v>9.231362639876032</v>
      </c>
    </row>
    <row r="46" spans="1:117" s="4" customFormat="1" ht="18" customHeight="1" x14ac:dyDescent="0.45">
      <c r="A46" s="561"/>
      <c r="B46" s="1195"/>
      <c r="C46" s="67" t="s">
        <v>50</v>
      </c>
      <c r="D46" s="26"/>
      <c r="E46" s="26"/>
      <c r="F46" s="27">
        <v>0</v>
      </c>
      <c r="G46" s="41"/>
      <c r="H46" s="27">
        <v>0</v>
      </c>
      <c r="I46" s="41"/>
      <c r="J46" s="27">
        <v>0</v>
      </c>
      <c r="K46" s="41"/>
      <c r="L46" s="27">
        <v>0</v>
      </c>
      <c r="M46" s="41"/>
      <c r="N46" s="352">
        <v>0</v>
      </c>
      <c r="O46" s="358"/>
      <c r="P46" s="352">
        <v>0</v>
      </c>
      <c r="Q46" s="358"/>
      <c r="R46" s="352">
        <v>0</v>
      </c>
      <c r="S46" s="358"/>
      <c r="T46" s="352">
        <v>0</v>
      </c>
      <c r="U46" s="358"/>
      <c r="V46" s="352">
        <v>0</v>
      </c>
      <c r="W46" s="358"/>
      <c r="X46" s="352">
        <v>0</v>
      </c>
      <c r="Y46" s="358"/>
      <c r="Z46" s="352">
        <v>0</v>
      </c>
      <c r="AA46" s="358"/>
      <c r="AB46" s="352">
        <v>0</v>
      </c>
      <c r="AC46" s="358"/>
      <c r="AD46" s="352">
        <v>0</v>
      </c>
      <c r="AE46" s="358"/>
      <c r="AF46" s="620"/>
      <c r="AG46" s="634"/>
      <c r="AH46" s="352">
        <v>0</v>
      </c>
      <c r="AI46" s="358"/>
      <c r="AJ46" s="352">
        <v>0</v>
      </c>
      <c r="AK46" s="358"/>
      <c r="AL46" s="352">
        <v>0</v>
      </c>
      <c r="AM46" s="358"/>
      <c r="AN46" s="725"/>
      <c r="AO46" s="725"/>
      <c r="AP46" s="725"/>
      <c r="AR46" s="352">
        <v>0</v>
      </c>
      <c r="AS46" s="358"/>
      <c r="AT46" s="352">
        <v>0</v>
      </c>
      <c r="AU46" s="358"/>
      <c r="AV46" s="352">
        <v>0</v>
      </c>
      <c r="AW46" s="358"/>
      <c r="AX46" s="725"/>
      <c r="AY46" s="725"/>
      <c r="AZ46" s="725"/>
      <c r="BB46" s="352">
        <v>0</v>
      </c>
      <c r="BC46" s="358"/>
      <c r="BD46" s="352">
        <v>0</v>
      </c>
      <c r="BE46" s="358"/>
      <c r="BF46" s="352">
        <v>0</v>
      </c>
      <c r="BG46" s="358"/>
      <c r="BH46" s="725"/>
      <c r="BI46" s="725"/>
      <c r="BJ46" s="725"/>
      <c r="BL46" s="352">
        <v>0</v>
      </c>
      <c r="BM46" s="358"/>
      <c r="BN46" s="352">
        <v>0</v>
      </c>
      <c r="BO46" s="358"/>
      <c r="BP46" s="352">
        <v>0</v>
      </c>
      <c r="BQ46" s="358"/>
      <c r="BR46" s="725"/>
      <c r="BS46" s="725"/>
      <c r="BT46" s="725"/>
      <c r="BV46" s="352">
        <v>0</v>
      </c>
      <c r="BW46" s="358"/>
      <c r="BY46" s="352">
        <v>0</v>
      </c>
      <c r="BZ46" s="358"/>
      <c r="CA46" s="352">
        <v>0</v>
      </c>
      <c r="CB46" s="358"/>
      <c r="CC46" s="352">
        <v>0</v>
      </c>
      <c r="CD46" s="358"/>
      <c r="CF46" s="352">
        <v>0</v>
      </c>
      <c r="CG46" s="358"/>
      <c r="CH46" s="352">
        <v>0</v>
      </c>
      <c r="CI46" s="358"/>
      <c r="CJ46" s="352">
        <v>0</v>
      </c>
      <c r="CK46" s="358"/>
      <c r="CM46" s="352">
        <v>0</v>
      </c>
      <c r="CN46" s="358"/>
      <c r="CO46" s="352">
        <v>0</v>
      </c>
      <c r="CP46" s="358"/>
      <c r="CQ46" s="352">
        <v>0</v>
      </c>
      <c r="CR46" s="358"/>
      <c r="CT46" s="352">
        <v>0</v>
      </c>
      <c r="CU46" s="358"/>
      <c r="CV46" s="352">
        <v>0</v>
      </c>
      <c r="CW46" s="358"/>
      <c r="CX46" s="352">
        <v>0</v>
      </c>
      <c r="CY46" s="358"/>
      <c r="DA46" s="352">
        <v>0</v>
      </c>
      <c r="DB46" s="358"/>
      <c r="DC46" s="352">
        <v>0</v>
      </c>
      <c r="DD46" s="358"/>
      <c r="DE46" s="352">
        <v>0</v>
      </c>
      <c r="DF46" s="358"/>
      <c r="DH46" s="352">
        <v>0</v>
      </c>
      <c r="DI46" s="358"/>
      <c r="DJ46" s="352">
        <v>0</v>
      </c>
      <c r="DK46" s="358"/>
      <c r="DL46" s="352">
        <v>0</v>
      </c>
      <c r="DM46" s="358"/>
    </row>
    <row r="47" spans="1:117" s="4" customFormat="1" ht="18" customHeight="1" x14ac:dyDescent="0.45">
      <c r="A47" s="561"/>
      <c r="B47" s="1197" t="s">
        <v>413</v>
      </c>
      <c r="C47" s="58"/>
      <c r="D47" s="59"/>
      <c r="E47" s="59"/>
      <c r="F47" s="60"/>
      <c r="G47" s="43"/>
      <c r="H47" s="60"/>
      <c r="I47" s="43"/>
      <c r="J47" s="60"/>
      <c r="K47" s="43"/>
      <c r="L47" s="60"/>
      <c r="M47" s="43"/>
      <c r="N47" s="364"/>
      <c r="O47" s="360"/>
      <c r="P47" s="364"/>
      <c r="Q47" s="360"/>
      <c r="R47" s="364"/>
      <c r="S47" s="360"/>
      <c r="T47" s="364"/>
      <c r="U47" s="360"/>
      <c r="V47" s="364"/>
      <c r="W47" s="360"/>
      <c r="X47" s="364"/>
      <c r="Y47" s="360"/>
      <c r="Z47" s="364"/>
      <c r="AA47" s="360"/>
      <c r="AB47" s="364"/>
      <c r="AC47" s="360"/>
      <c r="AD47" s="364"/>
      <c r="AE47" s="360"/>
      <c r="AF47" s="620"/>
      <c r="AG47" s="637"/>
      <c r="AH47" s="364"/>
      <c r="AI47" s="360"/>
      <c r="AJ47" s="364"/>
      <c r="AK47" s="360"/>
      <c r="AL47" s="364"/>
      <c r="AM47" s="360"/>
      <c r="AN47" s="632"/>
      <c r="AO47" s="632"/>
      <c r="AP47" s="632"/>
      <c r="AR47" s="364"/>
      <c r="AS47" s="360"/>
      <c r="AT47" s="364"/>
      <c r="AU47" s="360"/>
      <c r="AV47" s="364"/>
      <c r="AW47" s="360"/>
      <c r="AX47" s="632"/>
      <c r="AY47" s="632"/>
      <c r="AZ47" s="632"/>
      <c r="BB47" s="364"/>
      <c r="BC47" s="360"/>
      <c r="BD47" s="364"/>
      <c r="BE47" s="360"/>
      <c r="BF47" s="364"/>
      <c r="BG47" s="360"/>
      <c r="BH47" s="632"/>
      <c r="BI47" s="632"/>
      <c r="BJ47" s="632"/>
      <c r="BL47" s="364"/>
      <c r="BM47" s="360"/>
      <c r="BN47" s="364"/>
      <c r="BO47" s="360"/>
      <c r="BP47" s="364"/>
      <c r="BQ47" s="360"/>
      <c r="BR47" s="632"/>
      <c r="BS47" s="632"/>
      <c r="BT47" s="632"/>
      <c r="BV47" s="364"/>
      <c r="BW47" s="360"/>
      <c r="BY47" s="364"/>
      <c r="BZ47" s="360"/>
      <c r="CA47" s="364"/>
      <c r="CB47" s="360"/>
      <c r="CC47" s="364"/>
      <c r="CD47" s="360"/>
      <c r="CF47" s="364"/>
      <c r="CG47" s="360"/>
      <c r="CH47" s="364"/>
      <c r="CI47" s="360"/>
      <c r="CJ47" s="364"/>
      <c r="CK47" s="360"/>
      <c r="CM47" s="364"/>
      <c r="CN47" s="360"/>
      <c r="CO47" s="364"/>
      <c r="CP47" s="360"/>
      <c r="CQ47" s="364"/>
      <c r="CR47" s="360"/>
      <c r="CT47" s="364"/>
      <c r="CU47" s="360"/>
      <c r="CV47" s="364"/>
      <c r="CW47" s="360"/>
      <c r="CX47" s="364"/>
      <c r="CY47" s="360"/>
      <c r="DA47" s="364"/>
      <c r="DB47" s="360"/>
      <c r="DC47" s="364"/>
      <c r="DD47" s="360"/>
      <c r="DE47" s="364"/>
      <c r="DF47" s="360"/>
      <c r="DH47" s="364"/>
      <c r="DI47" s="360"/>
      <c r="DJ47" s="364"/>
      <c r="DK47" s="360"/>
      <c r="DL47" s="364"/>
      <c r="DM47" s="360"/>
    </row>
    <row r="48" spans="1:117" s="4" customFormat="1" ht="18" customHeight="1" x14ac:dyDescent="0.45">
      <c r="A48" s="561"/>
      <c r="B48" s="1194"/>
      <c r="C48" s="71" t="s">
        <v>177</v>
      </c>
      <c r="D48" s="16"/>
      <c r="E48" s="16"/>
      <c r="F48" s="430"/>
      <c r="G48" s="24"/>
      <c r="H48" s="430"/>
      <c r="I48" s="24"/>
      <c r="J48" s="430"/>
      <c r="K48" s="24"/>
      <c r="L48" s="430"/>
      <c r="M48" s="24"/>
      <c r="N48" s="430"/>
      <c r="O48" s="24"/>
      <c r="P48" s="430"/>
      <c r="Q48" s="24"/>
      <c r="R48" s="430"/>
      <c r="S48" s="24"/>
      <c r="T48" s="430"/>
      <c r="U48" s="24"/>
      <c r="V48" s="430"/>
      <c r="W48" s="24"/>
      <c r="X48" s="430"/>
      <c r="Y48" s="24"/>
      <c r="Z48" s="430"/>
      <c r="AA48" s="24"/>
      <c r="AB48" s="430"/>
      <c r="AC48" s="24"/>
      <c r="AD48" s="430"/>
      <c r="AE48" s="24"/>
      <c r="AF48" s="620"/>
      <c r="AG48" s="630"/>
      <c r="AH48" s="430"/>
      <c r="AI48" s="24"/>
      <c r="AJ48" s="430"/>
      <c r="AK48" s="24"/>
      <c r="AL48" s="430"/>
      <c r="AM48" s="24"/>
      <c r="AN48" s="269"/>
      <c r="AO48" s="269"/>
      <c r="AP48" s="269"/>
      <c r="AR48" s="430"/>
      <c r="AS48" s="24"/>
      <c r="AT48" s="430"/>
      <c r="AU48" s="24"/>
      <c r="AV48" s="430"/>
      <c r="AW48" s="24"/>
      <c r="AX48" s="269"/>
      <c r="AY48" s="269"/>
      <c r="AZ48" s="269"/>
      <c r="BB48" s="430"/>
      <c r="BC48" s="24"/>
      <c r="BD48" s="430"/>
      <c r="BE48" s="24"/>
      <c r="BF48" s="430"/>
      <c r="BG48" s="24"/>
      <c r="BH48" s="269"/>
      <c r="BI48" s="269"/>
      <c r="BJ48" s="269"/>
      <c r="BL48" s="430"/>
      <c r="BM48" s="24"/>
      <c r="BN48" s="430"/>
      <c r="BO48" s="24"/>
      <c r="BP48" s="430"/>
      <c r="BQ48" s="24"/>
      <c r="BR48" s="269"/>
      <c r="BS48" s="269"/>
      <c r="BT48" s="269"/>
      <c r="BV48" s="430"/>
      <c r="BW48" s="24"/>
      <c r="BY48" s="430"/>
      <c r="BZ48" s="24"/>
      <c r="CA48" s="430"/>
      <c r="CB48" s="24"/>
      <c r="CC48" s="430"/>
      <c r="CD48" s="24"/>
      <c r="CF48" s="430"/>
      <c r="CG48" s="24"/>
      <c r="CH48" s="430"/>
      <c r="CI48" s="24"/>
      <c r="CJ48" s="430"/>
      <c r="CK48" s="24"/>
      <c r="CM48" s="430"/>
      <c r="CN48" s="24"/>
      <c r="CO48" s="430"/>
      <c r="CP48" s="24"/>
      <c r="CQ48" s="430"/>
      <c r="CR48" s="24"/>
      <c r="CT48" s="42">
        <f>CT$49-CU$61*CT$12</f>
        <v>2689.4658433580589</v>
      </c>
      <c r="CU48" s="24">
        <f>CU$49-CU$61</f>
        <v>0.66102005165289324</v>
      </c>
      <c r="CV48" s="430"/>
      <c r="CW48" s="24"/>
      <c r="CX48" s="430"/>
      <c r="CY48" s="24"/>
      <c r="DA48" s="42">
        <f>DA$49-DB$61*DA$12</f>
        <v>3153.7819459283019</v>
      </c>
      <c r="DB48" s="24">
        <f>DB$49-DB$61</f>
        <v>0.77514020486555779</v>
      </c>
      <c r="DC48" s="430"/>
      <c r="DD48" s="24"/>
      <c r="DE48" s="430"/>
      <c r="DF48" s="24"/>
      <c r="DH48" s="42">
        <f>DH$49-DI$61*DH$12</f>
        <v>2931.8550368373908</v>
      </c>
      <c r="DI48" s="24">
        <f>DI$49-DI$61</f>
        <v>0.72059475032010312</v>
      </c>
      <c r="DJ48" s="430"/>
      <c r="DK48" s="24"/>
      <c r="DL48" s="430"/>
      <c r="DM48" s="24"/>
    </row>
    <row r="49" spans="1:117" s="4" customFormat="1" ht="18" customHeight="1" x14ac:dyDescent="0.45">
      <c r="A49" s="561"/>
      <c r="B49" s="1194"/>
      <c r="C49" s="71" t="s">
        <v>378</v>
      </c>
      <c r="D49" s="16"/>
      <c r="E49" s="16"/>
      <c r="F49" s="42"/>
      <c r="G49" s="24"/>
      <c r="H49" s="42"/>
      <c r="I49" s="24"/>
      <c r="J49" s="42"/>
      <c r="K49" s="24"/>
      <c r="L49" s="42"/>
      <c r="M49" s="24"/>
      <c r="N49" s="42"/>
      <c r="O49" s="24"/>
      <c r="P49" s="42"/>
      <c r="Q49" s="24"/>
      <c r="R49" s="42"/>
      <c r="S49" s="24"/>
      <c r="T49" s="42"/>
      <c r="U49" s="24"/>
      <c r="V49" s="42"/>
      <c r="W49" s="24"/>
      <c r="X49" s="42"/>
      <c r="Y49" s="24"/>
      <c r="Z49" s="42"/>
      <c r="AA49" s="24"/>
      <c r="AB49" s="42"/>
      <c r="AC49" s="24"/>
      <c r="AD49" s="42"/>
      <c r="AE49" s="24"/>
      <c r="AF49" s="620"/>
      <c r="AG49" s="630"/>
      <c r="AH49" s="42"/>
      <c r="AI49" s="24"/>
      <c r="AJ49" s="42"/>
      <c r="AK49" s="24"/>
      <c r="AL49" s="42"/>
      <c r="AM49" s="24"/>
      <c r="AN49" s="269"/>
      <c r="AO49" s="269"/>
      <c r="AP49" s="269"/>
      <c r="AR49" s="42"/>
      <c r="AS49" s="24"/>
      <c r="AT49" s="42"/>
      <c r="AU49" s="24"/>
      <c r="AV49" s="42"/>
      <c r="AW49" s="24"/>
      <c r="AX49" s="269"/>
      <c r="AY49" s="269"/>
      <c r="AZ49" s="269"/>
      <c r="BB49" s="42"/>
      <c r="BC49" s="24"/>
      <c r="BD49" s="42"/>
      <c r="BE49" s="24"/>
      <c r="BF49" s="42"/>
      <c r="BG49" s="24"/>
      <c r="BH49" s="269"/>
      <c r="BI49" s="269"/>
      <c r="BJ49" s="269"/>
      <c r="BK49" s="861"/>
      <c r="BL49" s="42"/>
      <c r="BM49" s="24"/>
      <c r="BN49" s="42"/>
      <c r="BO49" s="24"/>
      <c r="BP49" s="42"/>
      <c r="BQ49" s="24"/>
      <c r="BR49" s="269"/>
      <c r="BS49" s="269"/>
      <c r="BT49" s="269"/>
      <c r="BV49" s="42"/>
      <c r="BW49" s="24"/>
      <c r="BY49" s="42"/>
      <c r="BZ49" s="24"/>
      <c r="CA49" s="42"/>
      <c r="CB49" s="24"/>
      <c r="CC49" s="42"/>
      <c r="CD49" s="24"/>
      <c r="CF49" s="42"/>
      <c r="CG49" s="24"/>
      <c r="CH49" s="42"/>
      <c r="CI49" s="24"/>
      <c r="CJ49" s="42"/>
      <c r="CK49" s="24"/>
      <c r="CM49" s="42"/>
      <c r="CN49" s="24"/>
      <c r="CO49" s="42"/>
      <c r="CP49" s="24"/>
      <c r="CQ49" s="42"/>
      <c r="CR49" s="24"/>
      <c r="CT49" s="42">
        <f>CT$45-CT$45/1.1</f>
        <v>2689.4658433580589</v>
      </c>
      <c r="CU49" s="24">
        <f>CU$45-CU$45/1.1</f>
        <v>0.66102005165289324</v>
      </c>
      <c r="CV49" s="42"/>
      <c r="CW49" s="24"/>
      <c r="CX49" s="42"/>
      <c r="CY49" s="24"/>
      <c r="DA49" s="42">
        <f>DA$45-DA$45/1.1</f>
        <v>3153.7819459283019</v>
      </c>
      <c r="DB49" s="24">
        <f>DB$45-DB$45/1.1</f>
        <v>0.77514020486555779</v>
      </c>
      <c r="DC49" s="42"/>
      <c r="DD49" s="24"/>
      <c r="DE49" s="42"/>
      <c r="DF49" s="24"/>
      <c r="DH49" s="42">
        <f>DH$45-DH$45/1.1</f>
        <v>2931.8550368373908</v>
      </c>
      <c r="DI49" s="24">
        <f>DI$45-DI$45/1.1</f>
        <v>0.72059475032010312</v>
      </c>
      <c r="DJ49" s="42"/>
      <c r="DK49" s="24"/>
      <c r="DL49" s="42"/>
      <c r="DM49" s="24"/>
    </row>
    <row r="50" spans="1:117" s="65" customFormat="1" ht="18" customHeight="1" x14ac:dyDescent="0.45">
      <c r="A50" s="561"/>
      <c r="B50" s="1194"/>
      <c r="C50" s="62" t="s">
        <v>47</v>
      </c>
      <c r="D50" s="63"/>
      <c r="E50" s="64"/>
      <c r="F50" s="47"/>
      <c r="G50" s="48"/>
      <c r="H50" s="47"/>
      <c r="I50" s="48"/>
      <c r="J50" s="47"/>
      <c r="K50" s="48"/>
      <c r="L50" s="361"/>
      <c r="M50" s="362"/>
      <c r="N50" s="361"/>
      <c r="O50" s="362"/>
      <c r="P50" s="361"/>
      <c r="Q50" s="362"/>
      <c r="R50" s="361"/>
      <c r="S50" s="362"/>
      <c r="T50" s="361"/>
      <c r="U50" s="362"/>
      <c r="V50" s="361"/>
      <c r="W50" s="362"/>
      <c r="X50" s="361"/>
      <c r="Y50" s="362"/>
      <c r="Z50" s="361"/>
      <c r="AA50" s="362"/>
      <c r="AB50" s="361"/>
      <c r="AC50" s="362"/>
      <c r="AD50" s="361"/>
      <c r="AE50" s="362"/>
      <c r="AF50" s="620"/>
      <c r="AG50" s="635"/>
      <c r="AH50" s="361"/>
      <c r="AI50" s="362"/>
      <c r="AJ50" s="361"/>
      <c r="AK50" s="362"/>
      <c r="AL50" s="361"/>
      <c r="AM50" s="362"/>
      <c r="AN50" s="635"/>
      <c r="AO50" s="635"/>
      <c r="AP50" s="635"/>
      <c r="AR50" s="361"/>
      <c r="AS50" s="362"/>
      <c r="AT50" s="361"/>
      <c r="AU50" s="362"/>
      <c r="AV50" s="361"/>
      <c r="AW50" s="362"/>
      <c r="AX50" s="635"/>
      <c r="AY50" s="635"/>
      <c r="AZ50" s="635"/>
      <c r="BB50" s="361"/>
      <c r="BC50" s="362"/>
      <c r="BD50" s="361"/>
      <c r="BE50" s="362"/>
      <c r="BF50" s="361"/>
      <c r="BG50" s="362"/>
      <c r="BH50" s="635"/>
      <c r="BI50" s="635"/>
      <c r="BJ50" s="635"/>
      <c r="BL50" s="361"/>
      <c r="BM50" s="362"/>
      <c r="BN50" s="361"/>
      <c r="BO50" s="362"/>
      <c r="BP50" s="361"/>
      <c r="BQ50" s="362"/>
      <c r="BR50" s="635"/>
      <c r="BS50" s="635"/>
      <c r="BT50" s="635"/>
      <c r="BV50" s="361"/>
      <c r="BW50" s="362"/>
      <c r="BY50" s="361"/>
      <c r="BZ50" s="362"/>
      <c r="CA50" s="361"/>
      <c r="CB50" s="362"/>
      <c r="CC50" s="361"/>
      <c r="CD50" s="362"/>
      <c r="CF50" s="361"/>
      <c r="CG50" s="362"/>
      <c r="CH50" s="361"/>
      <c r="CI50" s="362"/>
      <c r="CJ50" s="361"/>
      <c r="CK50" s="362"/>
      <c r="CM50" s="361"/>
      <c r="CN50" s="362"/>
      <c r="CO50" s="361"/>
      <c r="CP50" s="362"/>
      <c r="CQ50" s="361"/>
      <c r="CR50" s="362"/>
      <c r="CT50" s="1084">
        <f>+CT$51/CT$45</f>
        <v>9.8494695103403061E-4</v>
      </c>
      <c r="CU50" s="1085">
        <f>+CU$51/CU$45</f>
        <v>9.849469510338966E-4</v>
      </c>
      <c r="CV50" s="361"/>
      <c r="CW50" s="362"/>
      <c r="CX50" s="361"/>
      <c r="CY50" s="362"/>
      <c r="DA50" s="1084">
        <f>+DA$51/DA$45</f>
        <v>-1.9195370124998942E-4</v>
      </c>
      <c r="DB50" s="1085">
        <f>+DB$51/DB$45</f>
        <v>-1.9195370124994098E-4</v>
      </c>
      <c r="DC50" s="361"/>
      <c r="DD50" s="362"/>
      <c r="DE50" s="361"/>
      <c r="DF50" s="362"/>
      <c r="DH50" s="1084">
        <f>+DH$51/DH$45</f>
        <v>3.6696369084954743E-4</v>
      </c>
      <c r="DI50" s="1085">
        <f>+DI$51/DI$45</f>
        <v>3.6696369084949289E-4</v>
      </c>
      <c r="DJ50" s="361"/>
      <c r="DK50" s="362"/>
      <c r="DL50" s="361"/>
      <c r="DM50" s="362"/>
    </row>
    <row r="51" spans="1:117" s="4" customFormat="1" ht="18" customHeight="1" x14ac:dyDescent="0.45">
      <c r="A51" s="561" t="s">
        <v>379</v>
      </c>
      <c r="B51" s="1194"/>
      <c r="C51" s="15" t="s">
        <v>48</v>
      </c>
      <c r="D51" s="16"/>
      <c r="E51" s="35"/>
      <c r="F51" s="42"/>
      <c r="G51" s="24"/>
      <c r="H51" s="42"/>
      <c r="I51" s="24"/>
      <c r="J51" s="42"/>
      <c r="K51" s="24"/>
      <c r="L51" s="42"/>
      <c r="M51" s="24"/>
      <c r="N51" s="42"/>
      <c r="O51" s="24"/>
      <c r="P51" s="42"/>
      <c r="Q51" s="24"/>
      <c r="R51" s="42"/>
      <c r="S51" s="24"/>
      <c r="T51" s="42"/>
      <c r="U51" s="24"/>
      <c r="V51" s="42"/>
      <c r="W51" s="24"/>
      <c r="X51" s="42"/>
      <c r="Y51" s="24"/>
      <c r="Z51" s="42"/>
      <c r="AA51" s="24"/>
      <c r="AB51" s="42"/>
      <c r="AC51" s="24"/>
      <c r="AD51" s="42"/>
      <c r="AE51" s="24"/>
      <c r="AF51" s="620"/>
      <c r="AG51" s="630"/>
      <c r="AH51" s="42"/>
      <c r="AI51" s="24"/>
      <c r="AJ51" s="42"/>
      <c r="AK51" s="24"/>
      <c r="AL51" s="42"/>
      <c r="AM51" s="24"/>
      <c r="AN51" s="723"/>
      <c r="AO51" s="723"/>
      <c r="AP51" s="723"/>
      <c r="AR51" s="42"/>
      <c r="AS51" s="24"/>
      <c r="AT51" s="42"/>
      <c r="AU51" s="24"/>
      <c r="AV51" s="42"/>
      <c r="AW51" s="24"/>
      <c r="AX51" s="723"/>
      <c r="AY51" s="723"/>
      <c r="AZ51" s="723"/>
      <c r="BB51" s="42"/>
      <c r="BC51" s="24"/>
      <c r="BD51" s="42"/>
      <c r="BE51" s="24"/>
      <c r="BF51" s="42"/>
      <c r="BG51" s="24"/>
      <c r="BH51" s="723"/>
      <c r="BI51" s="723"/>
      <c r="BJ51" s="723"/>
      <c r="BL51" s="42"/>
      <c r="BM51" s="24"/>
      <c r="BN51" s="42"/>
      <c r="BO51" s="24"/>
      <c r="BP51" s="42"/>
      <c r="BQ51" s="24"/>
      <c r="BR51" s="723"/>
      <c r="BS51" s="723"/>
      <c r="BT51" s="723"/>
      <c r="BV51" s="42"/>
      <c r="BW51" s="24"/>
      <c r="BY51" s="42"/>
      <c r="BZ51" s="24"/>
      <c r="CA51" s="42"/>
      <c r="CB51" s="24"/>
      <c r="CC51" s="42"/>
      <c r="CD51" s="24"/>
      <c r="CF51" s="42"/>
      <c r="CG51" s="24"/>
      <c r="CH51" s="42"/>
      <c r="CI51" s="24"/>
      <c r="CJ51" s="42"/>
      <c r="CK51" s="24"/>
      <c r="CM51" s="42"/>
      <c r="CN51" s="24"/>
      <c r="CO51" s="42"/>
      <c r="CP51" s="24"/>
      <c r="CQ51" s="42"/>
      <c r="CR51" s="24"/>
      <c r="CT51" s="42">
        <f>+CT$45-CT$52-CT$48</f>
        <v>29.138793005582556</v>
      </c>
      <c r="CU51" s="24">
        <f>+CU$45-CU$52-CU$48</f>
        <v>7.1617665289256394E-3</v>
      </c>
      <c r="CV51" s="42"/>
      <c r="CW51" s="24"/>
      <c r="CX51" s="42"/>
      <c r="CY51" s="24"/>
      <c r="DA51" s="42">
        <f>+DA$45-DA$52-DA$48</f>
        <v>-6.6591812920196389</v>
      </c>
      <c r="DB51" s="24">
        <f>+DB$45-DB$52-DB$48</f>
        <v>-1.6367013444273937E-3</v>
      </c>
      <c r="DC51" s="42"/>
      <c r="DD51" s="24"/>
      <c r="DE51" s="42"/>
      <c r="DF51" s="24"/>
      <c r="DH51" s="42">
        <f>+DH$45-DH$52-DH$48</f>
        <v>11.834727798890526</v>
      </c>
      <c r="DI51" s="24">
        <f>+DI$45-DI$52-DI$48</f>
        <v>2.9087532010265704E-3</v>
      </c>
      <c r="DJ51" s="42"/>
      <c r="DK51" s="24"/>
      <c r="DL51" s="42"/>
      <c r="DM51" s="24"/>
    </row>
    <row r="52" spans="1:117" s="4" customFormat="1" ht="18" customHeight="1" x14ac:dyDescent="0.45">
      <c r="A52" s="561"/>
      <c r="B52" s="1194"/>
      <c r="C52" s="19" t="s">
        <v>49</v>
      </c>
      <c r="D52" s="20"/>
      <c r="E52" s="30"/>
      <c r="F52" s="66"/>
      <c r="G52" s="32"/>
      <c r="H52" s="66"/>
      <c r="I52" s="32"/>
      <c r="J52" s="66"/>
      <c r="K52" s="32"/>
      <c r="L52" s="66"/>
      <c r="M52" s="32"/>
      <c r="N52" s="66"/>
      <c r="O52" s="32"/>
      <c r="P52" s="66"/>
      <c r="Q52" s="32"/>
      <c r="R52" s="66"/>
      <c r="S52" s="32"/>
      <c r="T52" s="66"/>
      <c r="U52" s="32"/>
      <c r="V52" s="66"/>
      <c r="W52" s="32"/>
      <c r="X52" s="66"/>
      <c r="Y52" s="32"/>
      <c r="Z52" s="66"/>
      <c r="AA52" s="32"/>
      <c r="AB52" s="66"/>
      <c r="AC52" s="32"/>
      <c r="AD52" s="66"/>
      <c r="AE52" s="32"/>
      <c r="AF52" s="620"/>
      <c r="AG52" s="630"/>
      <c r="AH52" s="66"/>
      <c r="AI52" s="32"/>
      <c r="AJ52" s="66"/>
      <c r="AK52" s="32"/>
      <c r="AL52" s="66"/>
      <c r="AM52" s="32"/>
      <c r="AN52" s="724"/>
      <c r="AO52" s="724"/>
      <c r="AP52" s="724"/>
      <c r="AR52" s="66"/>
      <c r="AS52" s="32"/>
      <c r="AT52" s="66"/>
      <c r="AU52" s="32"/>
      <c r="AV52" s="66"/>
      <c r="AW52" s="32"/>
      <c r="AX52" s="724"/>
      <c r="AY52" s="724"/>
      <c r="AZ52" s="724"/>
      <c r="BB52" s="66"/>
      <c r="BC52" s="32"/>
      <c r="BD52" s="66"/>
      <c r="BE52" s="32"/>
      <c r="BF52" s="66"/>
      <c r="BG52" s="32"/>
      <c r="BH52" s="724"/>
      <c r="BI52" s="724"/>
      <c r="BJ52" s="724"/>
      <c r="BL52" s="66"/>
      <c r="BM52" s="32"/>
      <c r="BN52" s="66"/>
      <c r="BO52" s="32"/>
      <c r="BP52" s="66"/>
      <c r="BQ52" s="32"/>
      <c r="BR52" s="724"/>
      <c r="BS52" s="724"/>
      <c r="BT52" s="724"/>
      <c r="BV52" s="66"/>
      <c r="BW52" s="32"/>
      <c r="BY52" s="66"/>
      <c r="BZ52" s="32"/>
      <c r="CA52" s="66"/>
      <c r="CB52" s="32"/>
      <c r="CC52" s="66"/>
      <c r="CD52" s="32"/>
      <c r="CF52" s="66"/>
      <c r="CG52" s="32"/>
      <c r="CH52" s="66"/>
      <c r="CI52" s="32"/>
      <c r="CJ52" s="66"/>
      <c r="CK52" s="32"/>
      <c r="CM52" s="66"/>
      <c r="CN52" s="32"/>
      <c r="CO52" s="66"/>
      <c r="CP52" s="32"/>
      <c r="CQ52" s="66"/>
      <c r="CR52" s="32"/>
      <c r="CT52" s="66">
        <f>+CU$56*CT$12</f>
        <v>26865.519640574996</v>
      </c>
      <c r="CU52" s="32">
        <f>+CU$56</f>
        <v>6.6030387499999996</v>
      </c>
      <c r="CV52" s="66"/>
      <c r="CW52" s="32"/>
      <c r="CX52" s="66"/>
      <c r="CY52" s="32"/>
      <c r="DA52" s="66">
        <f>+DB$56*DA$12</f>
        <v>31544.478640574998</v>
      </c>
      <c r="DB52" s="32">
        <f>+DB$56</f>
        <v>7.75303875</v>
      </c>
      <c r="DC52" s="66"/>
      <c r="DD52" s="32"/>
      <c r="DE52" s="66"/>
      <c r="DF52" s="32"/>
      <c r="DH52" s="66">
        <f>+DI$56*DH$12</f>
        <v>29306.715640574999</v>
      </c>
      <c r="DI52" s="32">
        <f>+DI$56</f>
        <v>7.2030387500000002</v>
      </c>
      <c r="DJ52" s="66"/>
      <c r="DK52" s="32"/>
      <c r="DL52" s="66"/>
      <c r="DM52" s="32"/>
    </row>
    <row r="53" spans="1:117" s="4" customFormat="1" ht="18" customHeight="1" x14ac:dyDescent="0.45">
      <c r="A53" s="561"/>
      <c r="B53" s="1195"/>
      <c r="C53" s="67" t="s">
        <v>50</v>
      </c>
      <c r="D53" s="26"/>
      <c r="E53" s="26"/>
      <c r="F53" s="27"/>
      <c r="G53" s="41"/>
      <c r="H53" s="27"/>
      <c r="I53" s="41"/>
      <c r="J53" s="27"/>
      <c r="K53" s="41"/>
      <c r="L53" s="27"/>
      <c r="M53" s="41"/>
      <c r="N53" s="352"/>
      <c r="O53" s="358"/>
      <c r="P53" s="352"/>
      <c r="Q53" s="358"/>
      <c r="R53" s="352"/>
      <c r="S53" s="358"/>
      <c r="T53" s="352"/>
      <c r="U53" s="358"/>
      <c r="V53" s="352"/>
      <c r="W53" s="358"/>
      <c r="X53" s="352"/>
      <c r="Y53" s="358"/>
      <c r="Z53" s="352"/>
      <c r="AA53" s="358"/>
      <c r="AB53" s="352"/>
      <c r="AC53" s="358"/>
      <c r="AD53" s="352"/>
      <c r="AE53" s="358"/>
      <c r="AF53" s="620"/>
      <c r="AG53" s="634"/>
      <c r="AH53" s="352"/>
      <c r="AI53" s="358"/>
      <c r="AJ53" s="352"/>
      <c r="AK53" s="358"/>
      <c r="AL53" s="352"/>
      <c r="AM53" s="358"/>
      <c r="AN53" s="725"/>
      <c r="AO53" s="725"/>
      <c r="AP53" s="725"/>
      <c r="AR53" s="352"/>
      <c r="AS53" s="358"/>
      <c r="AT53" s="352"/>
      <c r="AU53" s="358"/>
      <c r="AV53" s="352"/>
      <c r="AW53" s="358"/>
      <c r="AX53" s="725"/>
      <c r="AY53" s="725"/>
      <c r="AZ53" s="725"/>
      <c r="BB53" s="352"/>
      <c r="BC53" s="358"/>
      <c r="BD53" s="352"/>
      <c r="BE53" s="358"/>
      <c r="BF53" s="352"/>
      <c r="BG53" s="358"/>
      <c r="BH53" s="725"/>
      <c r="BI53" s="725"/>
      <c r="BJ53" s="725"/>
      <c r="BL53" s="352"/>
      <c r="BM53" s="358"/>
      <c r="BN53" s="352"/>
      <c r="BO53" s="358"/>
      <c r="BP53" s="352"/>
      <c r="BQ53" s="358"/>
      <c r="BR53" s="725"/>
      <c r="BS53" s="725"/>
      <c r="BT53" s="725"/>
      <c r="BV53" s="352"/>
      <c r="BW53" s="358"/>
      <c r="BY53" s="352"/>
      <c r="BZ53" s="358"/>
      <c r="CA53" s="352"/>
      <c r="CB53" s="358"/>
      <c r="CC53" s="352"/>
      <c r="CD53" s="358"/>
      <c r="CF53" s="352"/>
      <c r="CG53" s="358"/>
      <c r="CH53" s="352"/>
      <c r="CI53" s="358"/>
      <c r="CJ53" s="352"/>
      <c r="CK53" s="358"/>
      <c r="CM53" s="352"/>
      <c r="CN53" s="358"/>
      <c r="CO53" s="352"/>
      <c r="CP53" s="358"/>
      <c r="CQ53" s="352"/>
      <c r="CR53" s="358"/>
      <c r="CT53" s="352"/>
      <c r="CU53" s="358"/>
      <c r="CV53" s="352"/>
      <c r="CW53" s="358"/>
      <c r="CX53" s="352"/>
      <c r="CY53" s="358"/>
      <c r="DA53" s="352"/>
      <c r="DB53" s="358"/>
      <c r="DC53" s="352"/>
      <c r="DD53" s="358"/>
      <c r="DE53" s="352"/>
      <c r="DF53" s="358"/>
      <c r="DH53" s="352"/>
      <c r="DI53" s="358"/>
      <c r="DJ53" s="352"/>
      <c r="DK53" s="358"/>
      <c r="DL53" s="352"/>
      <c r="DM53" s="358"/>
    </row>
    <row r="54" spans="1:117" s="4" customFormat="1" ht="18" customHeight="1" x14ac:dyDescent="0.45">
      <c r="A54" s="561"/>
      <c r="B54" s="1183" t="s">
        <v>51</v>
      </c>
      <c r="C54" s="554" t="s">
        <v>380</v>
      </c>
      <c r="D54" s="555"/>
      <c r="E54" s="555"/>
      <c r="F54" s="60"/>
      <c r="G54" s="68"/>
      <c r="H54" s="60"/>
      <c r="I54" s="68"/>
      <c r="J54" s="60"/>
      <c r="K54" s="68"/>
      <c r="L54" s="60"/>
      <c r="M54" s="68"/>
      <c r="N54" s="364"/>
      <c r="O54" s="366"/>
      <c r="P54" s="364"/>
      <c r="Q54" s="366"/>
      <c r="R54" s="364"/>
      <c r="S54" s="366"/>
      <c r="T54" s="364"/>
      <c r="U54" s="366"/>
      <c r="V54" s="364"/>
      <c r="W54" s="366"/>
      <c r="X54" s="364"/>
      <c r="Y54" s="366"/>
      <c r="Z54" s="364"/>
      <c r="AA54" s="366"/>
      <c r="AB54" s="364"/>
      <c r="AC54" s="366"/>
      <c r="AD54" s="364"/>
      <c r="AE54" s="366"/>
      <c r="AF54" s="620"/>
      <c r="AG54" s="637"/>
      <c r="AH54" s="364"/>
      <c r="AI54" s="685">
        <f>AI44-$O44</f>
        <v>-0.4014067311929399</v>
      </c>
      <c r="AJ54" s="359"/>
      <c r="AK54" s="685">
        <f>AK44-$Q44</f>
        <v>-0.49807213253336013</v>
      </c>
      <c r="AL54" s="359"/>
      <c r="AM54" s="685">
        <f>AM44-$S44</f>
        <v>-0.31227048341239638</v>
      </c>
      <c r="AN54" s="725"/>
      <c r="AO54" s="725"/>
      <c r="AP54" s="725"/>
      <c r="AR54" s="364"/>
      <c r="AS54" s="685">
        <f>AS44-$O44</f>
        <v>-0.20218059754948503</v>
      </c>
      <c r="AT54" s="359"/>
      <c r="AU54" s="685">
        <f>AU44-$Q44</f>
        <v>-0.19010877677924953</v>
      </c>
      <c r="AV54" s="359"/>
      <c r="AW54" s="685">
        <f>AW44-$S44</f>
        <v>-0.21227048341239763</v>
      </c>
      <c r="AX54" s="725"/>
      <c r="AY54" s="725"/>
      <c r="AZ54" s="725"/>
      <c r="BB54" s="364"/>
      <c r="BC54" s="685">
        <f>BC44-$O44</f>
        <v>0.70921385162420825</v>
      </c>
      <c r="BD54" s="359"/>
      <c r="BE54" s="685">
        <f>BE44-$Q44</f>
        <v>1.4400771004951731</v>
      </c>
      <c r="BF54" s="359"/>
      <c r="BG54" s="685">
        <f>BG44-$S44</f>
        <v>3.318406204214841E-2</v>
      </c>
      <c r="BH54" s="725"/>
      <c r="BI54" s="725"/>
      <c r="BJ54" s="725"/>
      <c r="BL54" s="364"/>
      <c r="BM54" s="685">
        <f>BM44-$O44</f>
        <v>-0.12559867765345145</v>
      </c>
      <c r="BN54" s="359"/>
      <c r="BO54" s="685">
        <f>BO44-$Q44</f>
        <v>-3.170018582931311E-3</v>
      </c>
      <c r="BP54" s="359"/>
      <c r="BQ54" s="685">
        <f>BQ44-$S44</f>
        <v>-0.23999653818894884</v>
      </c>
      <c r="BR54" s="725"/>
      <c r="BS54" s="725"/>
      <c r="BT54" s="725"/>
      <c r="BV54" s="364"/>
      <c r="BW54" s="685">
        <f>BW44-$O44</f>
        <v>-0.12559867765345145</v>
      </c>
      <c r="BY54" s="364"/>
      <c r="BZ54" s="685">
        <f>BZ44-$O44</f>
        <v>-0.30726054018116866</v>
      </c>
      <c r="CA54" s="364"/>
      <c r="CB54" s="685">
        <f>CB44-$O44</f>
        <v>-0.30726054018116866</v>
      </c>
      <c r="CC54" s="364"/>
      <c r="CD54" s="685">
        <f>CD44-$O44</f>
        <v>-0.30726054018116866</v>
      </c>
      <c r="CF54" s="364"/>
      <c r="CG54" s="685">
        <f>CG44-$O44</f>
        <v>4.8669923085606137E-2</v>
      </c>
      <c r="CH54" s="364"/>
      <c r="CI54" s="685">
        <f>CI44-$O44</f>
        <v>0.31684633032307163</v>
      </c>
      <c r="CJ54" s="364"/>
      <c r="CK54" s="685">
        <f>CK44-$O44</f>
        <v>-0.19887752974897521</v>
      </c>
      <c r="CM54" s="364"/>
      <c r="CN54" s="685">
        <f>CN44-$O44</f>
        <v>5.4372232808483245E-2</v>
      </c>
      <c r="CO54" s="364"/>
      <c r="CP54" s="685">
        <f>CP44-$O44</f>
        <v>0.49733155720475175</v>
      </c>
      <c r="CQ54" s="364"/>
      <c r="CR54" s="685">
        <f>CR44-$O44</f>
        <v>-0.35429875413422252</v>
      </c>
      <c r="CT54" s="558"/>
      <c r="CU54" s="709"/>
      <c r="CV54" s="558"/>
      <c r="CW54" s="709"/>
      <c r="CX54" s="558"/>
      <c r="CY54" s="709"/>
      <c r="DA54" s="558"/>
      <c r="DB54" s="709"/>
      <c r="DC54" s="558"/>
      <c r="DD54" s="709"/>
      <c r="DE54" s="558"/>
      <c r="DF54" s="709"/>
      <c r="DH54" s="558"/>
      <c r="DI54" s="709"/>
      <c r="DJ54" s="558"/>
      <c r="DK54" s="709"/>
      <c r="DL54" s="558"/>
      <c r="DM54" s="709"/>
    </row>
    <row r="55" spans="1:117" s="4" customFormat="1" ht="18" customHeight="1" x14ac:dyDescent="0.45">
      <c r="A55" s="561"/>
      <c r="B55" s="1184"/>
      <c r="C55" s="19" t="s">
        <v>52</v>
      </c>
      <c r="D55" s="20"/>
      <c r="E55" s="30" t="s">
        <v>53</v>
      </c>
      <c r="F55" s="69">
        <f t="shared" ref="F55:AE55" si="225">+F56/F10</f>
        <v>650.73560663028161</v>
      </c>
      <c r="G55" s="70">
        <f t="shared" si="225"/>
        <v>0.15993855633802817</v>
      </c>
      <c r="H55" s="69">
        <f t="shared" si="225"/>
        <v>662.48386238028161</v>
      </c>
      <c r="I55" s="70">
        <f t="shared" si="225"/>
        <v>0.16282605633802816</v>
      </c>
      <c r="J55" s="69">
        <f t="shared" si="225"/>
        <v>662.48386238028161</v>
      </c>
      <c r="K55" s="70">
        <f t="shared" si="225"/>
        <v>0.16282605633802816</v>
      </c>
      <c r="L55" s="69">
        <f t="shared" si="225"/>
        <v>662.48386238028161</v>
      </c>
      <c r="M55" s="70">
        <f t="shared" si="225"/>
        <v>0.16282605633802816</v>
      </c>
      <c r="N55" s="69">
        <f t="shared" si="225"/>
        <v>686.01834060256101</v>
      </c>
      <c r="O55" s="70">
        <f t="shared" si="225"/>
        <v>0.16861038784330987</v>
      </c>
      <c r="P55" s="69">
        <f t="shared" si="225"/>
        <v>686.01834060256101</v>
      </c>
      <c r="Q55" s="70">
        <f t="shared" si="225"/>
        <v>0.16861038784330987</v>
      </c>
      <c r="R55" s="69">
        <f t="shared" si="225"/>
        <v>686.01834060256101</v>
      </c>
      <c r="S55" s="70">
        <f t="shared" si="225"/>
        <v>0.16861038784330987</v>
      </c>
      <c r="T55" s="69">
        <f t="shared" si="225"/>
        <v>686.01834060256101</v>
      </c>
      <c r="U55" s="70">
        <f t="shared" si="225"/>
        <v>0.16861038784330987</v>
      </c>
      <c r="V55" s="69">
        <f t="shared" si="225"/>
        <v>686.01834060256101</v>
      </c>
      <c r="W55" s="70">
        <f t="shared" si="225"/>
        <v>0.16861038784330987</v>
      </c>
      <c r="X55" s="69">
        <f t="shared" si="225"/>
        <v>686.01834060256101</v>
      </c>
      <c r="Y55" s="70">
        <f t="shared" si="225"/>
        <v>0.16861038784330987</v>
      </c>
      <c r="Z55" s="69">
        <f t="shared" si="225"/>
        <v>686.01834060256101</v>
      </c>
      <c r="AA55" s="70">
        <f t="shared" si="225"/>
        <v>0.16861038784330987</v>
      </c>
      <c r="AB55" s="69">
        <f t="shared" si="225"/>
        <v>686.01834060256101</v>
      </c>
      <c r="AC55" s="70">
        <f t="shared" si="225"/>
        <v>0.16861038784330987</v>
      </c>
      <c r="AD55" s="69">
        <f t="shared" si="225"/>
        <v>686.01834060256101</v>
      </c>
      <c r="AE55" s="70">
        <f t="shared" si="225"/>
        <v>0.16861038784330987</v>
      </c>
      <c r="AF55" s="620"/>
      <c r="AG55" s="630"/>
      <c r="AH55" s="69">
        <f t="shared" ref="AH55:AM55" si="226">+AH56/AH10</f>
        <v>745.01949573380284</v>
      </c>
      <c r="AI55" s="70">
        <f t="shared" si="226"/>
        <v>0.1831117605633803</v>
      </c>
      <c r="AJ55" s="69">
        <f t="shared" si="226"/>
        <v>745.01949573380284</v>
      </c>
      <c r="AK55" s="70">
        <f t="shared" si="226"/>
        <v>0.1831117605633803</v>
      </c>
      <c r="AL55" s="69">
        <f t="shared" si="226"/>
        <v>745.01949573380284</v>
      </c>
      <c r="AM55" s="70">
        <f t="shared" si="226"/>
        <v>0.1831117605633803</v>
      </c>
      <c r="AN55" s="724"/>
      <c r="AO55" s="724"/>
      <c r="AP55" s="724"/>
      <c r="AR55" s="69">
        <f t="shared" ref="AR55:AW55" si="227">+AR56/AR10</f>
        <v>745.01949573380284</v>
      </c>
      <c r="AS55" s="70">
        <f t="shared" si="227"/>
        <v>0.1831117605633803</v>
      </c>
      <c r="AT55" s="69">
        <f t="shared" si="227"/>
        <v>745.01949573380284</v>
      </c>
      <c r="AU55" s="70">
        <f t="shared" si="227"/>
        <v>0.1831117605633803</v>
      </c>
      <c r="AV55" s="69">
        <f t="shared" si="227"/>
        <v>745.01949573380284</v>
      </c>
      <c r="AW55" s="70">
        <f t="shared" si="227"/>
        <v>0.1831117605633803</v>
      </c>
      <c r="AX55" s="724"/>
      <c r="AY55" s="724"/>
      <c r="AZ55" s="724"/>
      <c r="BB55" s="69">
        <f t="shared" ref="BB55:BG55" si="228">+BB56/BB10</f>
        <v>745.01949573380284</v>
      </c>
      <c r="BC55" s="70">
        <f t="shared" si="228"/>
        <v>0.1831117605633803</v>
      </c>
      <c r="BD55" s="69">
        <f t="shared" si="228"/>
        <v>745.01949573380284</v>
      </c>
      <c r="BE55" s="70">
        <f t="shared" si="228"/>
        <v>0.1831117605633803</v>
      </c>
      <c r="BF55" s="69">
        <f t="shared" si="228"/>
        <v>745.01949573380284</v>
      </c>
      <c r="BG55" s="70">
        <f t="shared" si="228"/>
        <v>0.1831117605633803</v>
      </c>
      <c r="BH55" s="724"/>
      <c r="BI55" s="724"/>
      <c r="BJ55" s="724"/>
      <c r="BL55" s="69">
        <f t="shared" ref="BL55:BQ55" si="229">+BL56/BL10</f>
        <v>873.95246588028169</v>
      </c>
      <c r="BM55" s="70">
        <f t="shared" si="229"/>
        <v>0.21480105633802818</v>
      </c>
      <c r="BN55" s="69">
        <f t="shared" si="229"/>
        <v>873.95246588028169</v>
      </c>
      <c r="BO55" s="70">
        <f t="shared" si="229"/>
        <v>0.21480105633802818</v>
      </c>
      <c r="BP55" s="69">
        <f t="shared" si="229"/>
        <v>873.95246588028169</v>
      </c>
      <c r="BQ55" s="70">
        <f t="shared" si="229"/>
        <v>0.21480105633802818</v>
      </c>
      <c r="BR55" s="724"/>
      <c r="BS55" s="724"/>
      <c r="BT55" s="724"/>
      <c r="BV55" s="69">
        <f>+BV56/BV10</f>
        <v>873.95246588028169</v>
      </c>
      <c r="BW55" s="70">
        <f>+BW56/BW10</f>
        <v>0.21480105633802818</v>
      </c>
      <c r="BY55" s="69">
        <f t="shared" ref="BY55:CD55" si="230">+BY56/BY10</f>
        <v>832.83357075528181</v>
      </c>
      <c r="BZ55" s="70">
        <f t="shared" si="230"/>
        <v>0.2046948063380282</v>
      </c>
      <c r="CA55" s="69">
        <f t="shared" si="230"/>
        <v>832.83357075528181</v>
      </c>
      <c r="CB55" s="70">
        <f t="shared" si="230"/>
        <v>0.2046948063380282</v>
      </c>
      <c r="CC55" s="69">
        <f t="shared" si="230"/>
        <v>832.83357075528181</v>
      </c>
      <c r="CD55" s="70">
        <f t="shared" si="230"/>
        <v>0.2046948063380282</v>
      </c>
      <c r="CF55" s="69">
        <f t="shared" ref="CF55:CK55" si="231">+CF56/CF10</f>
        <v>891.57484950528158</v>
      </c>
      <c r="CG55" s="70">
        <f t="shared" si="231"/>
        <v>0.21913230633802816</v>
      </c>
      <c r="CH55" s="69">
        <f t="shared" si="231"/>
        <v>891.57484950528158</v>
      </c>
      <c r="CI55" s="70">
        <f t="shared" si="231"/>
        <v>0.21913230633802816</v>
      </c>
      <c r="CJ55" s="69">
        <f t="shared" si="231"/>
        <v>891.57484950528158</v>
      </c>
      <c r="CK55" s="70">
        <f t="shared" si="231"/>
        <v>0.21913230633802816</v>
      </c>
      <c r="CM55" s="69">
        <f t="shared" ref="CM55:CR55" si="232">+CM56/CM10</f>
        <v>862.20421013028169</v>
      </c>
      <c r="CN55" s="70">
        <f t="shared" si="232"/>
        <v>0.21191355633802819</v>
      </c>
      <c r="CO55" s="69">
        <f t="shared" si="232"/>
        <v>862.19172760854724</v>
      </c>
      <c r="CP55" s="70">
        <f t="shared" si="232"/>
        <v>0.21191048836927817</v>
      </c>
      <c r="CQ55" s="69">
        <f t="shared" si="232"/>
        <v>862.19172760854724</v>
      </c>
      <c r="CR55" s="70">
        <f t="shared" si="232"/>
        <v>0.21191048836927817</v>
      </c>
      <c r="CT55" s="69">
        <f t="shared" ref="CT55:CY55" si="233">+CT56/CT10</f>
        <v>671.63799101437485</v>
      </c>
      <c r="CU55" s="70">
        <f t="shared" si="233"/>
        <v>0.16507596875</v>
      </c>
      <c r="CV55" s="69">
        <f t="shared" si="233"/>
        <v>868.49236345895042</v>
      </c>
      <c r="CW55" s="70">
        <f t="shared" si="233"/>
        <v>0.21345906599690082</v>
      </c>
      <c r="CX55" s="69">
        <f t="shared" si="233"/>
        <v>868.49236345895042</v>
      </c>
      <c r="CY55" s="70">
        <f t="shared" si="233"/>
        <v>0.21345906599690082</v>
      </c>
      <c r="DA55" s="69">
        <f t="shared" ref="DA55:DF55" si="234">+DA56/DA10</f>
        <v>788.61196601437496</v>
      </c>
      <c r="DB55" s="70">
        <f t="shared" si="234"/>
        <v>0.19382596874999999</v>
      </c>
      <c r="DC55" s="69">
        <f t="shared" si="234"/>
        <v>1003.5973045839504</v>
      </c>
      <c r="DD55" s="70">
        <f t="shared" si="234"/>
        <v>0.24666531599690084</v>
      </c>
      <c r="DE55" s="69">
        <f t="shared" si="234"/>
        <v>1003.5973045839504</v>
      </c>
      <c r="DF55" s="70">
        <f t="shared" si="234"/>
        <v>0.24666531599690084</v>
      </c>
      <c r="DH55" s="69">
        <f t="shared" ref="DH55:DM55" si="235">+DH56/DH10</f>
        <v>732.66789101437496</v>
      </c>
      <c r="DI55" s="70">
        <f t="shared" si="235"/>
        <v>0.18007596875000001</v>
      </c>
      <c r="DJ55" s="69">
        <f t="shared" si="235"/>
        <v>938.9818979589503</v>
      </c>
      <c r="DK55" s="70">
        <f t="shared" si="235"/>
        <v>0.23078406599690079</v>
      </c>
      <c r="DL55" s="69">
        <f t="shared" si="235"/>
        <v>938.9818979589503</v>
      </c>
      <c r="DM55" s="70">
        <f t="shared" si="235"/>
        <v>0.23078406599690079</v>
      </c>
    </row>
    <row r="56" spans="1:117" s="4" customFormat="1" ht="18" customHeight="1" x14ac:dyDescent="0.45">
      <c r="A56" s="561"/>
      <c r="B56" s="1184"/>
      <c r="C56" s="19" t="s">
        <v>54</v>
      </c>
      <c r="D56" s="20"/>
      <c r="E56" s="30" t="s">
        <v>53</v>
      </c>
      <c r="F56" s="69">
        <f>+G56*F12</f>
        <v>26029.424265211266</v>
      </c>
      <c r="G56" s="70">
        <f>+G57+G59+G63+G61</f>
        <v>6.3975422535211264</v>
      </c>
      <c r="H56" s="69">
        <f>+I56*H12</f>
        <v>26499.354495211264</v>
      </c>
      <c r="I56" s="70">
        <f>+I57+I59+I63+I61</f>
        <v>6.5130422535211263</v>
      </c>
      <c r="J56" s="69">
        <f>+K56*J12</f>
        <v>26499.354495211264</v>
      </c>
      <c r="K56" s="70">
        <f t="shared" ref="K56" si="236">+K57+K59+K63+K61</f>
        <v>6.5130422535211263</v>
      </c>
      <c r="L56" s="69">
        <f>+M56*L12</f>
        <v>26499.354495211264</v>
      </c>
      <c r="M56" s="70">
        <f t="shared" ref="M56" si="237">+M57+M59+M63+M61</f>
        <v>6.5130422535211263</v>
      </c>
      <c r="N56" s="69">
        <f>+O56*N12</f>
        <v>27440.733624102442</v>
      </c>
      <c r="O56" s="70">
        <f>+O57+O59+O63+O61</f>
        <v>6.7444155137323945</v>
      </c>
      <c r="P56" s="69">
        <f>+Q56*P12</f>
        <v>27440.733624102442</v>
      </c>
      <c r="Q56" s="70">
        <f>+Q57+Q59+Q63+Q61</f>
        <v>6.7444155137323945</v>
      </c>
      <c r="R56" s="69">
        <f>+S56*R12</f>
        <v>27440.733624102442</v>
      </c>
      <c r="S56" s="70">
        <f>+S57+S59+S63+S61</f>
        <v>6.7444155137323945</v>
      </c>
      <c r="T56" s="69">
        <f>+U56*T12</f>
        <v>27440.733624102442</v>
      </c>
      <c r="U56" s="70">
        <f>+U57+U59+U63+U61</f>
        <v>6.7444155137323945</v>
      </c>
      <c r="V56" s="69">
        <f>+W56*V12</f>
        <v>27440.733624102442</v>
      </c>
      <c r="W56" s="70">
        <f>+W57+W59+W63+W61</f>
        <v>6.7444155137323945</v>
      </c>
      <c r="X56" s="69">
        <f>+Y56*X12</f>
        <v>27440.733624102442</v>
      </c>
      <c r="Y56" s="70">
        <f>+Y57+Y59+Y63+Y61</f>
        <v>6.7444155137323945</v>
      </c>
      <c r="Z56" s="69">
        <f>+AA56*Z12</f>
        <v>27440.733624102442</v>
      </c>
      <c r="AA56" s="70">
        <f>+AA57+AA59+AA63+AA61</f>
        <v>6.7444155137323945</v>
      </c>
      <c r="AB56" s="69">
        <f>+AC56*AB12</f>
        <v>27440.733624102442</v>
      </c>
      <c r="AC56" s="70">
        <f>+AC57+AC59+AC63+AC61</f>
        <v>6.7444155137323945</v>
      </c>
      <c r="AD56" s="69">
        <f>+AE56*AD12</f>
        <v>27440.733624102442</v>
      </c>
      <c r="AE56" s="70">
        <f>+AE57+AE59+AE63+AE61</f>
        <v>6.7444155137323945</v>
      </c>
      <c r="AF56" s="620"/>
      <c r="AG56" s="630"/>
      <c r="AH56" s="69">
        <f>+AI56*AH12</f>
        <v>29800.779829352115</v>
      </c>
      <c r="AI56" s="70">
        <f>+AI57+AI59+AI63+AI61</f>
        <v>7.324470422535212</v>
      </c>
      <c r="AJ56" s="69">
        <f>+AK56*AJ12</f>
        <v>29800.779829352115</v>
      </c>
      <c r="AK56" s="70">
        <f>+AK57+AK59+AK63+AK61</f>
        <v>7.324470422535212</v>
      </c>
      <c r="AL56" s="69">
        <f>+AM56*AL12</f>
        <v>29800.779829352115</v>
      </c>
      <c r="AM56" s="70">
        <f>+AM57+AM59+AM63+AM61</f>
        <v>7.324470422535212</v>
      </c>
      <c r="AN56" s="724"/>
      <c r="AO56" s="724"/>
      <c r="AP56" s="724"/>
      <c r="AR56" s="69">
        <f>+AS56*AR12</f>
        <v>29800.779829352115</v>
      </c>
      <c r="AS56" s="70">
        <f>+AS57+AS59+AS63+AS61</f>
        <v>7.324470422535212</v>
      </c>
      <c r="AT56" s="69">
        <f>+AU56*AT12</f>
        <v>29800.779829352115</v>
      </c>
      <c r="AU56" s="70">
        <f>+AU57+AU59+AU63+AU61</f>
        <v>7.324470422535212</v>
      </c>
      <c r="AV56" s="69">
        <f>+AW56*AV12</f>
        <v>29800.779829352115</v>
      </c>
      <c r="AW56" s="70">
        <f>+AW57+AW59+AW63+AW61</f>
        <v>7.324470422535212</v>
      </c>
      <c r="AX56" s="724"/>
      <c r="AY56" s="724"/>
      <c r="AZ56" s="724"/>
      <c r="BB56" s="69">
        <f>+BC56*BB12</f>
        <v>29800.779829352115</v>
      </c>
      <c r="BC56" s="70">
        <f>+BC57+BC59+BC63+BC61</f>
        <v>7.324470422535212</v>
      </c>
      <c r="BD56" s="69">
        <f>+BE56*BD12</f>
        <v>29800.779829352115</v>
      </c>
      <c r="BE56" s="70">
        <f>+BE57+BE59+BE63+BE61</f>
        <v>7.324470422535212</v>
      </c>
      <c r="BF56" s="69">
        <f>+BG56*BF12</f>
        <v>29800.779829352115</v>
      </c>
      <c r="BG56" s="70">
        <f>+BG57+BG59+BG63+BG61</f>
        <v>7.324470422535212</v>
      </c>
      <c r="BH56" s="724"/>
      <c r="BI56" s="724"/>
      <c r="BJ56" s="724"/>
      <c r="BL56" s="69">
        <f>+BM56*BL12</f>
        <v>34958.098635211267</v>
      </c>
      <c r="BM56" s="70">
        <f>+BM57+BM59+BM63+BM61</f>
        <v>8.5920422535211269</v>
      </c>
      <c r="BN56" s="69">
        <f>+BO56*BN12</f>
        <v>34958.098635211267</v>
      </c>
      <c r="BO56" s="70">
        <f>+BO57+BO59+BO63+BO61</f>
        <v>8.5920422535211269</v>
      </c>
      <c r="BP56" s="69">
        <f>+BQ56*BP12</f>
        <v>34958.098635211267</v>
      </c>
      <c r="BQ56" s="70">
        <f>+BQ57+BQ59+BQ63+BQ61</f>
        <v>8.5920422535211269</v>
      </c>
      <c r="BR56" s="724"/>
      <c r="BS56" s="724"/>
      <c r="BT56" s="724"/>
      <c r="BV56" s="69">
        <f>+BW56*BV12</f>
        <v>34958.098635211267</v>
      </c>
      <c r="BW56" s="70">
        <f>+BW57+BW59+BW63+BW61</f>
        <v>8.5920422535211269</v>
      </c>
      <c r="BY56" s="69">
        <f>+BZ56*BY12</f>
        <v>33313.342830211273</v>
      </c>
      <c r="BZ56" s="70">
        <f>+BZ57+BZ59+BZ63+BZ61</f>
        <v>8.1877922535211276</v>
      </c>
      <c r="CA56" s="69">
        <f>+CB56*CA12</f>
        <v>33313.342830211273</v>
      </c>
      <c r="CB56" s="70">
        <f>+CB57+CB59+CB63+CB61</f>
        <v>8.1877922535211276</v>
      </c>
      <c r="CC56" s="69">
        <f>+CD56*CC12</f>
        <v>33313.342830211273</v>
      </c>
      <c r="CD56" s="70">
        <f>+CD57+CD59+CD63+CD61</f>
        <v>8.1877922535211276</v>
      </c>
      <c r="CF56" s="69">
        <f>+CG56*CF12</f>
        <v>35662.993980211264</v>
      </c>
      <c r="CG56" s="70">
        <f>+CG57+CG59+CG63+CG61</f>
        <v>8.7652922535211264</v>
      </c>
      <c r="CH56" s="69">
        <f>+CI56*CH12</f>
        <v>35662.993980211264</v>
      </c>
      <c r="CI56" s="70">
        <f>+CI57+CI59+CI63+CI61</f>
        <v>8.7652922535211264</v>
      </c>
      <c r="CJ56" s="69">
        <f>+CK56*CJ12</f>
        <v>35662.993980211264</v>
      </c>
      <c r="CK56" s="70">
        <f>+CK57+CK59+CK63+CK61</f>
        <v>8.7652922535211264</v>
      </c>
      <c r="CM56" s="69">
        <f>+CN56*CM12</f>
        <v>34488.168405211269</v>
      </c>
      <c r="CN56" s="70">
        <f>+CN57+CN59+CN63+CN61</f>
        <v>8.4765422535211279</v>
      </c>
      <c r="CO56" s="69">
        <f>+CP56*CO12</f>
        <v>34487.66910434189</v>
      </c>
      <c r="CP56" s="70">
        <f>+CP57+CP59+CP63+CP61</f>
        <v>8.4764195347711269</v>
      </c>
      <c r="CQ56" s="69">
        <f>+CR56*CQ12</f>
        <v>34487.66910434189</v>
      </c>
      <c r="CR56" s="70">
        <f>+CR57+CR59+CR63+CR61</f>
        <v>8.4764195347711269</v>
      </c>
      <c r="CT56" s="69">
        <f>+CU56*CT12</f>
        <v>26865.519640574996</v>
      </c>
      <c r="CU56" s="70">
        <f>+CU57+CU59+CU63+CU61</f>
        <v>6.6030387499999996</v>
      </c>
      <c r="CV56" s="69">
        <f>+CW56*CV12</f>
        <v>34739.694538358017</v>
      </c>
      <c r="CW56" s="70">
        <f t="shared" ref="CW56" si="238">+CW57+CW59+CW63+CW61</f>
        <v>8.5383626398760324</v>
      </c>
      <c r="CX56" s="69">
        <f>+CY56*CX12</f>
        <v>34739.694538358017</v>
      </c>
      <c r="CY56" s="70">
        <f t="shared" ref="CY56" si="239">+CY57+CY59+CY63+CY61</f>
        <v>8.5383626398760324</v>
      </c>
      <c r="DA56" s="69">
        <f>+DB56*DA12</f>
        <v>31544.478640574998</v>
      </c>
      <c r="DB56" s="70">
        <f>+DB57+DB59+DB63+DB61</f>
        <v>7.75303875</v>
      </c>
      <c r="DC56" s="69">
        <f>+DD56*DC12</f>
        <v>40143.892183358017</v>
      </c>
      <c r="DD56" s="70">
        <f t="shared" ref="DD56" si="240">+DD57+DD59+DD63+DD61</f>
        <v>9.866612639876033</v>
      </c>
      <c r="DE56" s="69">
        <f>+DF56*DE12</f>
        <v>40143.892183358017</v>
      </c>
      <c r="DF56" s="70">
        <f t="shared" ref="DF56" si="241">+DF57+DF59+DF63+DF61</f>
        <v>9.866612639876033</v>
      </c>
      <c r="DH56" s="69">
        <f>+DI56*DH12</f>
        <v>29306.715640574999</v>
      </c>
      <c r="DI56" s="70">
        <f>+DI57+DI59+DI63+DI61</f>
        <v>7.2030387500000002</v>
      </c>
      <c r="DJ56" s="69">
        <f>+DK56*DJ12</f>
        <v>37559.275918358013</v>
      </c>
      <c r="DK56" s="70">
        <f t="shared" ref="DK56" si="242">+DK57+DK59+DK63+DK61</f>
        <v>9.231362639876032</v>
      </c>
      <c r="DL56" s="69">
        <f>+DM56*DL12</f>
        <v>37559.275918358013</v>
      </c>
      <c r="DM56" s="70">
        <f t="shared" ref="DM56" si="243">+DM57+DM59+DM63+DM61</f>
        <v>9.231362639876032</v>
      </c>
    </row>
    <row r="57" spans="1:117" s="4" customFormat="1" ht="18" customHeight="1" x14ac:dyDescent="0.45">
      <c r="A57" s="561"/>
      <c r="B57" s="1184"/>
      <c r="C57" s="71" t="s">
        <v>55</v>
      </c>
      <c r="D57" s="16"/>
      <c r="E57" s="35" t="s">
        <v>53</v>
      </c>
      <c r="F57" s="50"/>
      <c r="G57" s="72">
        <f>+G58*G63</f>
        <v>0.255</v>
      </c>
      <c r="H57" s="50"/>
      <c r="I57" s="72">
        <f>+I58*I63</f>
        <v>0.25999999999999995</v>
      </c>
      <c r="J57" s="50"/>
      <c r="K57" s="72">
        <f t="shared" ref="K57" si="244">+K58*K63</f>
        <v>0.25999999999999995</v>
      </c>
      <c r="L57" s="50"/>
      <c r="M57" s="72">
        <f t="shared" ref="M57" si="245">+M58*M63</f>
        <v>0.25999999999999995</v>
      </c>
      <c r="N57" s="367"/>
      <c r="O57" s="368">
        <f>+O58*O63</f>
        <v>0.27001615845070426</v>
      </c>
      <c r="P57" s="367"/>
      <c r="Q57" s="368">
        <f>+Q58*Q63</f>
        <v>0.27001615845070426</v>
      </c>
      <c r="R57" s="367"/>
      <c r="S57" s="368">
        <f>+S58*S63</f>
        <v>0.27001615845070426</v>
      </c>
      <c r="T57" s="367"/>
      <c r="U57" s="368">
        <f>+U58*U63</f>
        <v>0.27001615845070426</v>
      </c>
      <c r="V57" s="367"/>
      <c r="W57" s="368">
        <f>+W58*W63</f>
        <v>0.27001615845070426</v>
      </c>
      <c r="X57" s="367"/>
      <c r="Y57" s="368">
        <f>+Y58*Y63</f>
        <v>0.27001615845070426</v>
      </c>
      <c r="Z57" s="367"/>
      <c r="AA57" s="368">
        <f>+AA58*AA63</f>
        <v>0.27001615845070426</v>
      </c>
      <c r="AB57" s="367"/>
      <c r="AC57" s="368">
        <f>+AC58*AC63</f>
        <v>0.27001615845070426</v>
      </c>
      <c r="AD57" s="367"/>
      <c r="AE57" s="368">
        <f>+AE58*AE63</f>
        <v>0.27001615845070426</v>
      </c>
      <c r="AF57" s="620"/>
      <c r="AG57" s="630"/>
      <c r="AH57" s="367"/>
      <c r="AI57" s="368">
        <f>+AI58*AI63</f>
        <v>0.29512676056338033</v>
      </c>
      <c r="AJ57" s="367"/>
      <c r="AK57" s="368">
        <f>+AK58*AK63</f>
        <v>0.29512676056338033</v>
      </c>
      <c r="AL57" s="367"/>
      <c r="AM57" s="368">
        <f>+AM58*AM63</f>
        <v>0.29512676056338033</v>
      </c>
      <c r="AN57" s="725"/>
      <c r="AO57" s="725"/>
      <c r="AP57" s="725"/>
      <c r="AR57" s="367"/>
      <c r="AS57" s="368">
        <f>+AS58*AS63</f>
        <v>0.29512676056338033</v>
      </c>
      <c r="AT57" s="367"/>
      <c r="AU57" s="368">
        <f>+AU58*AU63</f>
        <v>0.29512676056338033</v>
      </c>
      <c r="AV57" s="367"/>
      <c r="AW57" s="368">
        <f>+AW58*AW63</f>
        <v>0.29512676056338033</v>
      </c>
      <c r="AX57" s="725"/>
      <c r="AY57" s="725"/>
      <c r="AZ57" s="725"/>
      <c r="BB57" s="367"/>
      <c r="BC57" s="368">
        <f>+BC58*BC63</f>
        <v>0.29512676056338033</v>
      </c>
      <c r="BD57" s="367"/>
      <c r="BE57" s="368">
        <f>+BE58*BE63</f>
        <v>0.29512676056338033</v>
      </c>
      <c r="BF57" s="367"/>
      <c r="BG57" s="368">
        <f>+BG58*BG63</f>
        <v>0.29512676056338033</v>
      </c>
      <c r="BH57" s="725"/>
      <c r="BI57" s="725"/>
      <c r="BJ57" s="725"/>
      <c r="BL57" s="367"/>
      <c r="BM57" s="368">
        <f>+BM58*BM63</f>
        <v>0.35000000000000003</v>
      </c>
      <c r="BN57" s="367"/>
      <c r="BO57" s="368">
        <f>+BO58*BO63</f>
        <v>0.35000000000000003</v>
      </c>
      <c r="BP57" s="367"/>
      <c r="BQ57" s="368">
        <f>+BQ58*BQ63</f>
        <v>0.35000000000000003</v>
      </c>
      <c r="BR57" s="725"/>
      <c r="BS57" s="725"/>
      <c r="BT57" s="725"/>
      <c r="BV57" s="367"/>
      <c r="BW57" s="368">
        <f>+BW58*BW63</f>
        <v>0.35000000000000003</v>
      </c>
      <c r="BY57" s="367"/>
      <c r="BZ57" s="368">
        <f>+BZ58*BZ63</f>
        <v>0.33250000000000002</v>
      </c>
      <c r="CA57" s="367"/>
      <c r="CB57" s="368">
        <f>+CB58*CB63</f>
        <v>0.33250000000000002</v>
      </c>
      <c r="CC57" s="367"/>
      <c r="CD57" s="368">
        <f>+CD58*CD63</f>
        <v>0.33250000000000002</v>
      </c>
      <c r="CF57" s="367"/>
      <c r="CG57" s="368">
        <f>+CG58*CG63</f>
        <v>0.35750000000000004</v>
      </c>
      <c r="CH57" s="367"/>
      <c r="CI57" s="368">
        <f>+CI58*CI63</f>
        <v>0.35750000000000004</v>
      </c>
      <c r="CJ57" s="367"/>
      <c r="CK57" s="368">
        <f>+CK58*CK63</f>
        <v>0.35750000000000004</v>
      </c>
      <c r="CM57" s="367"/>
      <c r="CN57" s="368">
        <f>+CN58*CN63</f>
        <v>0.34500000000000003</v>
      </c>
      <c r="CO57" s="367"/>
      <c r="CP57" s="368">
        <f>+CP58*CP63</f>
        <v>0.34499468750000006</v>
      </c>
      <c r="CQ57" s="367"/>
      <c r="CR57" s="368">
        <f>+CR58*CR63</f>
        <v>0.34499468750000006</v>
      </c>
      <c r="CT57" s="367"/>
      <c r="CU57" s="368">
        <f>+CU58*CU63</f>
        <v>0</v>
      </c>
      <c r="CV57" s="367"/>
      <c r="CW57" s="368">
        <f t="shared" ref="CW57" si="246">+CW58*CW63</f>
        <v>0.34950158471074377</v>
      </c>
      <c r="CX57" s="367"/>
      <c r="CY57" s="368">
        <f t="shared" ref="CY57" si="247">+CY58*CY63</f>
        <v>0.34950158471074377</v>
      </c>
      <c r="DA57" s="367"/>
      <c r="DB57" s="368">
        <f>+DB58*DB63</f>
        <v>0</v>
      </c>
      <c r="DC57" s="367"/>
      <c r="DD57" s="368">
        <f t="shared" ref="DD57" si="248">+DD58*DD63</f>
        <v>0.40700158471074382</v>
      </c>
      <c r="DE57" s="367"/>
      <c r="DF57" s="368">
        <f t="shared" ref="DF57" si="249">+DF58*DF63</f>
        <v>0.40700158471074382</v>
      </c>
      <c r="DH57" s="367"/>
      <c r="DI57" s="368">
        <f>+DI58*DI63</f>
        <v>0</v>
      </c>
      <c r="DJ57" s="367"/>
      <c r="DK57" s="368">
        <f t="shared" ref="DK57" si="250">+DK58*DK63</f>
        <v>0.3795015847107438</v>
      </c>
      <c r="DL57" s="367"/>
      <c r="DM57" s="368">
        <f t="shared" ref="DM57" si="251">+DM58*DM63</f>
        <v>0.3795015847107438</v>
      </c>
    </row>
    <row r="58" spans="1:117" s="4" customFormat="1" ht="18" customHeight="1" x14ac:dyDescent="0.45">
      <c r="A58" s="561"/>
      <c r="B58" s="1184"/>
      <c r="C58" s="15" t="s">
        <v>56</v>
      </c>
      <c r="D58" s="16"/>
      <c r="E58" s="16"/>
      <c r="F58" s="73"/>
      <c r="G58" s="74">
        <v>0.05</v>
      </c>
      <c r="H58" s="73"/>
      <c r="I58" s="74">
        <v>0.05</v>
      </c>
      <c r="J58" s="73"/>
      <c r="K58" s="74">
        <v>0.05</v>
      </c>
      <c r="L58" s="73"/>
      <c r="M58" s="74">
        <v>0.05</v>
      </c>
      <c r="N58" s="369"/>
      <c r="O58" s="370">
        <v>0.05</v>
      </c>
      <c r="P58" s="369"/>
      <c r="Q58" s="370">
        <v>0.05</v>
      </c>
      <c r="R58" s="369"/>
      <c r="S58" s="370">
        <v>0.05</v>
      </c>
      <c r="T58" s="369"/>
      <c r="U58" s="370">
        <v>0.05</v>
      </c>
      <c r="V58" s="369"/>
      <c r="W58" s="370">
        <v>0.05</v>
      </c>
      <c r="X58" s="369"/>
      <c r="Y58" s="370">
        <v>0.05</v>
      </c>
      <c r="Z58" s="369"/>
      <c r="AA58" s="370">
        <v>0.05</v>
      </c>
      <c r="AB58" s="369"/>
      <c r="AC58" s="370">
        <v>0.05</v>
      </c>
      <c r="AD58" s="369"/>
      <c r="AE58" s="370">
        <v>0.05</v>
      </c>
      <c r="AF58" s="620"/>
      <c r="AG58" s="633"/>
      <c r="AH58" s="369"/>
      <c r="AI58" s="370">
        <v>0.05</v>
      </c>
      <c r="AJ58" s="369"/>
      <c r="AK58" s="370">
        <v>0.05</v>
      </c>
      <c r="AL58" s="369"/>
      <c r="AM58" s="370">
        <v>0.05</v>
      </c>
      <c r="AN58" s="725"/>
      <c r="AO58" s="725"/>
      <c r="AP58" s="725"/>
      <c r="AR58" s="369"/>
      <c r="AS58" s="370">
        <v>0.05</v>
      </c>
      <c r="AT58" s="369"/>
      <c r="AU58" s="370">
        <v>0.05</v>
      </c>
      <c r="AV58" s="369"/>
      <c r="AW58" s="370">
        <v>0.05</v>
      </c>
      <c r="AX58" s="725"/>
      <c r="AY58" s="725"/>
      <c r="AZ58" s="725"/>
      <c r="BB58" s="369"/>
      <c r="BC58" s="370">
        <v>0.05</v>
      </c>
      <c r="BD58" s="369"/>
      <c r="BE58" s="370">
        <v>0.05</v>
      </c>
      <c r="BF58" s="369"/>
      <c r="BG58" s="370">
        <v>0.05</v>
      </c>
      <c r="BH58" s="725"/>
      <c r="BI58" s="725"/>
      <c r="BJ58" s="725"/>
      <c r="BL58" s="369"/>
      <c r="BM58" s="370">
        <v>0.05</v>
      </c>
      <c r="BN58" s="369"/>
      <c r="BO58" s="370">
        <v>0.05</v>
      </c>
      <c r="BP58" s="369"/>
      <c r="BQ58" s="370">
        <v>0.05</v>
      </c>
      <c r="BR58" s="725"/>
      <c r="BS58" s="725"/>
      <c r="BT58" s="725"/>
      <c r="BV58" s="369"/>
      <c r="BW58" s="370">
        <v>0.05</v>
      </c>
      <c r="BY58" s="369"/>
      <c r="BZ58" s="370">
        <v>0.05</v>
      </c>
      <c r="CA58" s="369"/>
      <c r="CB58" s="370">
        <v>0.05</v>
      </c>
      <c r="CC58" s="369"/>
      <c r="CD58" s="370">
        <v>0.05</v>
      </c>
      <c r="CF58" s="369"/>
      <c r="CG58" s="370">
        <v>0.05</v>
      </c>
      <c r="CH58" s="369"/>
      <c r="CI58" s="370">
        <v>0.05</v>
      </c>
      <c r="CJ58" s="369"/>
      <c r="CK58" s="370">
        <v>0.05</v>
      </c>
      <c r="CM58" s="369"/>
      <c r="CN58" s="370">
        <v>0.05</v>
      </c>
      <c r="CO58" s="369"/>
      <c r="CP58" s="370">
        <v>0.05</v>
      </c>
      <c r="CQ58" s="369"/>
      <c r="CR58" s="370">
        <v>0.05</v>
      </c>
      <c r="CT58" s="369"/>
      <c r="CU58" s="370">
        <v>0</v>
      </c>
      <c r="CV58" s="369"/>
      <c r="CW58" s="370">
        <v>0.05</v>
      </c>
      <c r="CX58" s="369"/>
      <c r="CY58" s="370">
        <v>0.05</v>
      </c>
      <c r="DA58" s="369"/>
      <c r="DB58" s="370">
        <v>0</v>
      </c>
      <c r="DC58" s="369"/>
      <c r="DD58" s="370">
        <v>0.05</v>
      </c>
      <c r="DE58" s="369"/>
      <c r="DF58" s="370">
        <v>0.05</v>
      </c>
      <c r="DH58" s="369"/>
      <c r="DI58" s="370">
        <v>0</v>
      </c>
      <c r="DJ58" s="369"/>
      <c r="DK58" s="370">
        <v>0.05</v>
      </c>
      <c r="DL58" s="369"/>
      <c r="DM58" s="370">
        <v>0.05</v>
      </c>
    </row>
    <row r="59" spans="1:117" s="4" customFormat="1" ht="18" customHeight="1" x14ac:dyDescent="0.45">
      <c r="A59" s="561"/>
      <c r="B59" s="1184"/>
      <c r="C59" s="71" t="s">
        <v>57</v>
      </c>
      <c r="D59" s="526">
        <v>651</v>
      </c>
      <c r="E59" s="35" t="s">
        <v>53</v>
      </c>
      <c r="F59" s="50"/>
      <c r="G59" s="72">
        <f>$D$60/G73</f>
        <v>0.50704225352112675</v>
      </c>
      <c r="H59" s="50"/>
      <c r="I59" s="72">
        <f>$D$60/I73</f>
        <v>0.50704225352112675</v>
      </c>
      <c r="J59" s="50"/>
      <c r="K59" s="72">
        <f t="shared" ref="K59" si="252">$D$60/K73</f>
        <v>0.50704225352112675</v>
      </c>
      <c r="L59" s="50"/>
      <c r="M59" s="72">
        <f t="shared" ref="M59" si="253">$D$60/M73</f>
        <v>0.50704225352112675</v>
      </c>
      <c r="N59" s="367"/>
      <c r="O59" s="368">
        <f>$D$60/O73</f>
        <v>0.50704225352112675</v>
      </c>
      <c r="P59" s="367"/>
      <c r="Q59" s="368">
        <f>$D$60/Q73</f>
        <v>0.50704225352112675</v>
      </c>
      <c r="R59" s="367"/>
      <c r="S59" s="368">
        <f>$D$60/S73</f>
        <v>0.50704225352112675</v>
      </c>
      <c r="T59" s="367"/>
      <c r="U59" s="368">
        <f>$D$60/U73</f>
        <v>0.50704225352112675</v>
      </c>
      <c r="V59" s="367"/>
      <c r="W59" s="368">
        <f>$D$60/W73</f>
        <v>0.50704225352112675</v>
      </c>
      <c r="X59" s="367"/>
      <c r="Y59" s="368">
        <f>$D$60/Y73</f>
        <v>0.50704225352112675</v>
      </c>
      <c r="Z59" s="367"/>
      <c r="AA59" s="368">
        <f>$D$60/AA73</f>
        <v>0.50704225352112675</v>
      </c>
      <c r="AB59" s="367"/>
      <c r="AC59" s="368">
        <f>$D$60/AC73</f>
        <v>0.50704225352112675</v>
      </c>
      <c r="AD59" s="367"/>
      <c r="AE59" s="368">
        <f>$D$60/AE73</f>
        <v>0.50704225352112675</v>
      </c>
      <c r="AF59" s="620"/>
      <c r="AG59" s="630"/>
      <c r="AH59" s="367"/>
      <c r="AI59" s="368">
        <f>$D$60/AI73</f>
        <v>0.50704225352112675</v>
      </c>
      <c r="AJ59" s="367"/>
      <c r="AK59" s="368">
        <f>$D$60/AK73</f>
        <v>0.50704225352112675</v>
      </c>
      <c r="AL59" s="367"/>
      <c r="AM59" s="368">
        <f>$D$60/AM73</f>
        <v>0.50704225352112675</v>
      </c>
      <c r="AN59" s="725"/>
      <c r="AO59" s="725"/>
      <c r="AP59" s="725"/>
      <c r="AR59" s="367"/>
      <c r="AS59" s="368">
        <f>$D$60/AS73</f>
        <v>0.50704225352112675</v>
      </c>
      <c r="AT59" s="367"/>
      <c r="AU59" s="368">
        <f>$D$60/AU73</f>
        <v>0.50704225352112675</v>
      </c>
      <c r="AV59" s="367"/>
      <c r="AW59" s="368">
        <f>$D$60/AW73</f>
        <v>0.50704225352112675</v>
      </c>
      <c r="AX59" s="725"/>
      <c r="AY59" s="725"/>
      <c r="AZ59" s="725"/>
      <c r="BB59" s="367"/>
      <c r="BC59" s="368">
        <f>$D$60/BC73</f>
        <v>0.50704225352112675</v>
      </c>
      <c r="BD59" s="367"/>
      <c r="BE59" s="368">
        <f>$D$60/BE73</f>
        <v>0.50704225352112675</v>
      </c>
      <c r="BF59" s="367"/>
      <c r="BG59" s="368">
        <f>$D$60/BG73</f>
        <v>0.50704225352112675</v>
      </c>
      <c r="BH59" s="725"/>
      <c r="BI59" s="725"/>
      <c r="BJ59" s="725"/>
      <c r="BL59" s="367"/>
      <c r="BM59" s="368">
        <f>$D$60/BM73</f>
        <v>0.50704225352112675</v>
      </c>
      <c r="BN59" s="367"/>
      <c r="BO59" s="368">
        <f>$D$60/BO73</f>
        <v>0.50704225352112675</v>
      </c>
      <c r="BP59" s="367"/>
      <c r="BQ59" s="368">
        <f>$D$60/BQ73</f>
        <v>0.50704225352112675</v>
      </c>
      <c r="BR59" s="725"/>
      <c r="BS59" s="725"/>
      <c r="BT59" s="725"/>
      <c r="BV59" s="367"/>
      <c r="BW59" s="368">
        <f>$D$60/BW73</f>
        <v>0.50704225352112675</v>
      </c>
      <c r="BY59" s="367"/>
      <c r="BZ59" s="368">
        <f>$D$60/BZ73</f>
        <v>0.50704225352112675</v>
      </c>
      <c r="CA59" s="367"/>
      <c r="CB59" s="368">
        <f>$D$60/CB73</f>
        <v>0.50704225352112675</v>
      </c>
      <c r="CC59" s="367"/>
      <c r="CD59" s="368">
        <f>$D$60/CD73</f>
        <v>0.50704225352112675</v>
      </c>
      <c r="CF59" s="367"/>
      <c r="CG59" s="368">
        <f>$D$60/CG73</f>
        <v>0.50704225352112675</v>
      </c>
      <c r="CH59" s="367"/>
      <c r="CI59" s="368">
        <f>$D$60/CI73</f>
        <v>0.50704225352112675</v>
      </c>
      <c r="CJ59" s="367"/>
      <c r="CK59" s="368">
        <f>$D$60/CK73</f>
        <v>0.50704225352112675</v>
      </c>
      <c r="CM59" s="367"/>
      <c r="CN59" s="368">
        <f>$D$60/CN73</f>
        <v>0.50704225352112675</v>
      </c>
      <c r="CO59" s="367"/>
      <c r="CP59" s="368">
        <f>$D$60/CP73</f>
        <v>0.50704225352112675</v>
      </c>
      <c r="CQ59" s="367"/>
      <c r="CR59" s="368">
        <f>$D$60/CR73</f>
        <v>0.50704225352112675</v>
      </c>
      <c r="CT59" s="367"/>
      <c r="CU59" s="368">
        <v>0</v>
      </c>
      <c r="CV59" s="367"/>
      <c r="CW59" s="368">
        <f t="shared" ref="CW59" si="254">$D$60/CW73</f>
        <v>0.46487603305785125</v>
      </c>
      <c r="CX59" s="367"/>
      <c r="CY59" s="368">
        <f t="shared" ref="CY59" si="255">$D$60/CY73</f>
        <v>0.46487603305785125</v>
      </c>
      <c r="DA59" s="367"/>
      <c r="DB59" s="368">
        <v>0</v>
      </c>
      <c r="DC59" s="367"/>
      <c r="DD59" s="368">
        <f t="shared" ref="DD59" si="256">$D$60/DD73</f>
        <v>0.46487603305785125</v>
      </c>
      <c r="DE59" s="367"/>
      <c r="DF59" s="368">
        <f t="shared" ref="DF59" si="257">$D$60/DF73</f>
        <v>0.46487603305785125</v>
      </c>
      <c r="DH59" s="367"/>
      <c r="DI59" s="368">
        <v>0</v>
      </c>
      <c r="DJ59" s="367"/>
      <c r="DK59" s="368">
        <f t="shared" ref="DK59" si="258">$D$60/DK73</f>
        <v>0.46487603305785125</v>
      </c>
      <c r="DL59" s="367"/>
      <c r="DM59" s="368">
        <f t="shared" ref="DM59" si="259">$D$60/DM73</f>
        <v>0.46487603305785125</v>
      </c>
    </row>
    <row r="60" spans="1:117" s="4" customFormat="1" ht="18" customHeight="1" x14ac:dyDescent="0.45">
      <c r="A60" s="561"/>
      <c r="B60" s="1184"/>
      <c r="C60" s="71" t="s">
        <v>58</v>
      </c>
      <c r="D60" s="76">
        <v>1800</v>
      </c>
      <c r="E60" s="16"/>
      <c r="F60" s="73"/>
      <c r="G60" s="74">
        <f>G59/G63</f>
        <v>9.9420049710024855E-2</v>
      </c>
      <c r="H60" s="73"/>
      <c r="I60" s="74">
        <f>I59/I63</f>
        <v>9.7508125677139776E-2</v>
      </c>
      <c r="J60" s="73"/>
      <c r="K60" s="74">
        <f t="shared" ref="K60" si="260">K59/K63</f>
        <v>9.7508125677139776E-2</v>
      </c>
      <c r="L60" s="73"/>
      <c r="M60" s="74">
        <f t="shared" ref="M60" si="261">M59/M63</f>
        <v>9.7508125677139776E-2</v>
      </c>
      <c r="N60" s="369"/>
      <c r="O60" s="370">
        <f>O59/O63</f>
        <v>9.3891094597898933E-2</v>
      </c>
      <c r="P60" s="369"/>
      <c r="Q60" s="370">
        <f>Q59/Q63</f>
        <v>9.3891094597898933E-2</v>
      </c>
      <c r="R60" s="369"/>
      <c r="S60" s="370">
        <f>S59/S63</f>
        <v>9.3891094597898933E-2</v>
      </c>
      <c r="T60" s="369"/>
      <c r="U60" s="370">
        <f>U59/U63</f>
        <v>9.3891094597898933E-2</v>
      </c>
      <c r="V60" s="369"/>
      <c r="W60" s="370">
        <f>W59/W63</f>
        <v>9.3891094597898933E-2</v>
      </c>
      <c r="X60" s="369"/>
      <c r="Y60" s="370">
        <f>Y59/Y63</f>
        <v>9.3891094597898933E-2</v>
      </c>
      <c r="Z60" s="369"/>
      <c r="AA60" s="370">
        <f>AA59/AA63</f>
        <v>9.3891094597898933E-2</v>
      </c>
      <c r="AB60" s="369"/>
      <c r="AC60" s="370">
        <f>AC59/AC63</f>
        <v>9.3891094597898933E-2</v>
      </c>
      <c r="AD60" s="369"/>
      <c r="AE60" s="370">
        <f>AE59/AE63</f>
        <v>9.3891094597898933E-2</v>
      </c>
      <c r="AF60" s="620"/>
      <c r="AG60" s="633"/>
      <c r="AH60" s="369"/>
      <c r="AI60" s="370">
        <f>AI59/AI63</f>
        <v>8.5902452992268771E-2</v>
      </c>
      <c r="AJ60" s="369"/>
      <c r="AK60" s="370">
        <f>AK59/AK63</f>
        <v>8.5902452992268771E-2</v>
      </c>
      <c r="AL60" s="369"/>
      <c r="AM60" s="370">
        <f>AM59/AM63</f>
        <v>8.5902452992268771E-2</v>
      </c>
      <c r="AN60" s="725"/>
      <c r="AO60" s="725"/>
      <c r="AP60" s="725"/>
      <c r="AR60" s="369"/>
      <c r="AS60" s="370">
        <f>AS59/AS63</f>
        <v>8.5902452992268771E-2</v>
      </c>
      <c r="AT60" s="369"/>
      <c r="AU60" s="370">
        <f>AU59/AU63</f>
        <v>8.5902452992268771E-2</v>
      </c>
      <c r="AV60" s="369"/>
      <c r="AW60" s="370">
        <f>AW59/AW63</f>
        <v>8.5902452992268771E-2</v>
      </c>
      <c r="AX60" s="725"/>
      <c r="AY60" s="725"/>
      <c r="AZ60" s="725"/>
      <c r="BB60" s="369"/>
      <c r="BC60" s="370">
        <f>BC59/BC63</f>
        <v>8.5902452992268771E-2</v>
      </c>
      <c r="BD60" s="369"/>
      <c r="BE60" s="370">
        <f>BE59/BE63</f>
        <v>8.5902452992268771E-2</v>
      </c>
      <c r="BF60" s="369"/>
      <c r="BG60" s="370">
        <f>BG59/BG63</f>
        <v>8.5902452992268771E-2</v>
      </c>
      <c r="BH60" s="725"/>
      <c r="BI60" s="725"/>
      <c r="BJ60" s="725"/>
      <c r="BL60" s="369"/>
      <c r="BM60" s="370">
        <f>BM59/BM63</f>
        <v>7.2434607645875254E-2</v>
      </c>
      <c r="BN60" s="369"/>
      <c r="BO60" s="370">
        <f>BO59/BO63</f>
        <v>7.2434607645875254E-2</v>
      </c>
      <c r="BP60" s="369"/>
      <c r="BQ60" s="370">
        <f>BQ59/BQ63</f>
        <v>7.2434607645875254E-2</v>
      </c>
      <c r="BR60" s="725"/>
      <c r="BS60" s="725"/>
      <c r="BT60" s="725"/>
      <c r="BV60" s="369"/>
      <c r="BW60" s="370">
        <f>BW59/BW63</f>
        <v>7.2434607645875254E-2</v>
      </c>
      <c r="BY60" s="369"/>
      <c r="BZ60" s="370">
        <f>BZ59/BZ63</f>
        <v>7.6246955416710782E-2</v>
      </c>
      <c r="CA60" s="369"/>
      <c r="CB60" s="370">
        <f>CB59/CB63</f>
        <v>7.6246955416710782E-2</v>
      </c>
      <c r="CC60" s="369"/>
      <c r="CD60" s="370">
        <f>CD59/CD63</f>
        <v>7.6246955416710782E-2</v>
      </c>
      <c r="CF60" s="369"/>
      <c r="CG60" s="370">
        <f>CG59/CG63</f>
        <v>7.0915000492465283E-2</v>
      </c>
      <c r="CH60" s="369"/>
      <c r="CI60" s="370">
        <f>CI59/CI63</f>
        <v>7.0915000492465283E-2</v>
      </c>
      <c r="CJ60" s="369"/>
      <c r="CK60" s="370">
        <f>CK59/CK63</f>
        <v>7.0915000492465283E-2</v>
      </c>
      <c r="CM60" s="369"/>
      <c r="CN60" s="370">
        <f>CN59/CN63</f>
        <v>7.3484384568279229E-2</v>
      </c>
      <c r="CO60" s="369"/>
      <c r="CP60" s="370">
        <f>CP59/CP63</f>
        <v>7.3485516138727017E-2</v>
      </c>
      <c r="CQ60" s="369"/>
      <c r="CR60" s="370">
        <f>CR59/CR63</f>
        <v>7.3485516138727017E-2</v>
      </c>
      <c r="CT60" s="369"/>
      <c r="CU60" s="370">
        <f>CU59/CU63</f>
        <v>0</v>
      </c>
      <c r="CV60" s="369"/>
      <c r="CW60" s="370">
        <f t="shared" ref="CW60" si="262">CW59/CW63</f>
        <v>6.6505568700438694E-2</v>
      </c>
      <c r="CX60" s="369"/>
      <c r="CY60" s="370">
        <f t="shared" ref="CY60" si="263">CY59/CY63</f>
        <v>6.6505568700438694E-2</v>
      </c>
      <c r="DA60" s="369"/>
      <c r="DB60" s="370">
        <f>DB59/DB63</f>
        <v>0</v>
      </c>
      <c r="DC60" s="369"/>
      <c r="DD60" s="370">
        <f t="shared" ref="DD60" si="264">DD59/DD63</f>
        <v>5.7109855406120694E-2</v>
      </c>
      <c r="DE60" s="369"/>
      <c r="DF60" s="370">
        <f t="shared" ref="DF60" si="265">DF59/DF63</f>
        <v>5.7109855406120694E-2</v>
      </c>
      <c r="DH60" s="369"/>
      <c r="DI60" s="370">
        <f>DI59/DI63</f>
        <v>0</v>
      </c>
      <c r="DJ60" s="369"/>
      <c r="DK60" s="370">
        <f t="shared" ref="DK60" si="266">DK59/DK63</f>
        <v>6.1248233444424205E-2</v>
      </c>
      <c r="DL60" s="369"/>
      <c r="DM60" s="370">
        <f t="shared" ref="DM60" si="267">DM59/DM63</f>
        <v>6.1248233444424205E-2</v>
      </c>
    </row>
    <row r="61" spans="1:117" s="4" customFormat="1" ht="18" customHeight="1" x14ac:dyDescent="0.45">
      <c r="A61" s="561"/>
      <c r="B61" s="1184"/>
      <c r="C61" s="77" t="s">
        <v>59</v>
      </c>
      <c r="D61" s="76"/>
      <c r="E61" s="16"/>
      <c r="F61" s="73"/>
      <c r="G61" s="72">
        <f>(G62*(G63+G57))</f>
        <v>0.53549999999999998</v>
      </c>
      <c r="H61" s="73"/>
      <c r="I61" s="72">
        <f>(I62*(I63+I57))</f>
        <v>0.54599999999999993</v>
      </c>
      <c r="J61" s="73"/>
      <c r="K61" s="72">
        <f t="shared" ref="K61" si="268">(K62*(K63+K57))</f>
        <v>0.54599999999999993</v>
      </c>
      <c r="L61" s="73"/>
      <c r="M61" s="72">
        <f t="shared" ref="M61" si="269">(M62*(M63+M57))</f>
        <v>0.54599999999999993</v>
      </c>
      <c r="N61" s="371"/>
      <c r="O61" s="368">
        <f>(O62*(O63+O57))</f>
        <v>0.56703393274647895</v>
      </c>
      <c r="P61" s="371"/>
      <c r="Q61" s="368">
        <f>(Q62*(Q63+Q57))</f>
        <v>0.56703393274647895</v>
      </c>
      <c r="R61" s="371"/>
      <c r="S61" s="368">
        <f>(S62*(S63+S57))</f>
        <v>0.56703393274647895</v>
      </c>
      <c r="T61" s="371"/>
      <c r="U61" s="368">
        <f>(U62*(U63+U57))</f>
        <v>0.56703393274647895</v>
      </c>
      <c r="V61" s="371"/>
      <c r="W61" s="368">
        <f>(W62*(W63+W57))</f>
        <v>0.56703393274647895</v>
      </c>
      <c r="X61" s="371"/>
      <c r="Y61" s="368">
        <f>(Y62*(Y63+Y57))</f>
        <v>0.56703393274647895</v>
      </c>
      <c r="Z61" s="371"/>
      <c r="AA61" s="368">
        <f>(AA62*(AA63+AA57))</f>
        <v>0.56703393274647895</v>
      </c>
      <c r="AB61" s="371"/>
      <c r="AC61" s="368">
        <f>(AC62*(AC63+AC57))</f>
        <v>0.56703393274647895</v>
      </c>
      <c r="AD61" s="371"/>
      <c r="AE61" s="368">
        <f>(AE62*(AE63+AE57))</f>
        <v>0.56703393274647895</v>
      </c>
      <c r="AF61" s="620"/>
      <c r="AG61" s="630"/>
      <c r="AH61" s="371"/>
      <c r="AI61" s="368">
        <f>(AI62*(AI63+AI57))</f>
        <v>0.61976619718309867</v>
      </c>
      <c r="AJ61" s="371"/>
      <c r="AK61" s="368">
        <f>(AK62*(AK63+AK57))</f>
        <v>0.61976619718309867</v>
      </c>
      <c r="AL61" s="371"/>
      <c r="AM61" s="368">
        <f>(AM62*(AM63+AM57))</f>
        <v>0.61976619718309867</v>
      </c>
      <c r="AN61" s="725"/>
      <c r="AO61" s="725"/>
      <c r="AP61" s="725"/>
      <c r="AR61" s="371"/>
      <c r="AS61" s="368">
        <f>(AS62*(AS63+AS57))</f>
        <v>0.61976619718309867</v>
      </c>
      <c r="AT61" s="371"/>
      <c r="AU61" s="368">
        <f>(AU62*(AU63+AU57))</f>
        <v>0.61976619718309867</v>
      </c>
      <c r="AV61" s="371"/>
      <c r="AW61" s="368">
        <f>(AW62*(AW63+AW57))</f>
        <v>0.61976619718309867</v>
      </c>
      <c r="AX61" s="725"/>
      <c r="AY61" s="725"/>
      <c r="AZ61" s="725"/>
      <c r="BB61" s="371"/>
      <c r="BC61" s="368">
        <f>(BC62*(BC63+BC57))</f>
        <v>0.61976619718309867</v>
      </c>
      <c r="BD61" s="371"/>
      <c r="BE61" s="368">
        <f>(BE62*(BE63+BE57))</f>
        <v>0.61976619718309867</v>
      </c>
      <c r="BF61" s="371"/>
      <c r="BG61" s="368">
        <f>(BG62*(BG63+BG57))</f>
        <v>0.61976619718309867</v>
      </c>
      <c r="BH61" s="725"/>
      <c r="BI61" s="725"/>
      <c r="BJ61" s="725"/>
      <c r="BL61" s="371"/>
      <c r="BM61" s="368">
        <f>(BM62*(BM63+BM57))</f>
        <v>0.73499999999999999</v>
      </c>
      <c r="BN61" s="371"/>
      <c r="BO61" s="368">
        <f>(BO62*(BO63+BO57))</f>
        <v>0.73499999999999999</v>
      </c>
      <c r="BP61" s="371"/>
      <c r="BQ61" s="368">
        <f>(BQ62*(BQ63+BQ57))</f>
        <v>0.73499999999999999</v>
      </c>
      <c r="BR61" s="725"/>
      <c r="BS61" s="725"/>
      <c r="BT61" s="725"/>
      <c r="BV61" s="371"/>
      <c r="BW61" s="368">
        <f>(BW62*(BW63+BW57))</f>
        <v>0.73499999999999999</v>
      </c>
      <c r="BY61" s="371"/>
      <c r="BZ61" s="368">
        <f>(BZ62*(BZ63+BZ57))</f>
        <v>0.69825000000000004</v>
      </c>
      <c r="CA61" s="371"/>
      <c r="CB61" s="368">
        <f>(CB62*(CB63+CB57))</f>
        <v>0.69825000000000004</v>
      </c>
      <c r="CC61" s="371"/>
      <c r="CD61" s="368">
        <f>(CD62*(CD63+CD57))</f>
        <v>0.69825000000000004</v>
      </c>
      <c r="CF61" s="371"/>
      <c r="CG61" s="368">
        <f>(CG62*(CG63+CG57))</f>
        <v>0.75075000000000003</v>
      </c>
      <c r="CH61" s="371"/>
      <c r="CI61" s="368">
        <f>(CI62*(CI63+CI57))</f>
        <v>0.75075000000000003</v>
      </c>
      <c r="CJ61" s="371"/>
      <c r="CK61" s="368">
        <f>(CK62*(CK63+CK57))</f>
        <v>0.75075000000000003</v>
      </c>
      <c r="CM61" s="371"/>
      <c r="CN61" s="368">
        <f>(CN62*(CN63+CN57))</f>
        <v>0.72450000000000003</v>
      </c>
      <c r="CO61" s="371"/>
      <c r="CP61" s="368">
        <f>(CP62*(CP63+CP57))</f>
        <v>0.72448884375000011</v>
      </c>
      <c r="CQ61" s="371"/>
      <c r="CR61" s="368">
        <f>(CR62*(CR63+CR57))</f>
        <v>0.72448884375000011</v>
      </c>
      <c r="CT61" s="371"/>
      <c r="CU61" s="368">
        <f>(CU62*(CU81+CU57))</f>
        <v>0</v>
      </c>
      <c r="CV61" s="371"/>
      <c r="CW61" s="368">
        <f t="shared" ref="CW61" si="270">(CW62*(CW63+CW57))</f>
        <v>0.73395332789256196</v>
      </c>
      <c r="CX61" s="371"/>
      <c r="CY61" s="368">
        <f t="shared" ref="CY61" si="271">(CY62*(CY63+CY57))</f>
        <v>0.73395332789256196</v>
      </c>
      <c r="DA61" s="371"/>
      <c r="DB61" s="368">
        <f>(DB62*(DB81+DB57))</f>
        <v>0</v>
      </c>
      <c r="DC61" s="371"/>
      <c r="DD61" s="368">
        <f t="shared" ref="DD61" si="272">(DD62*(DD63+DD57))</f>
        <v>0.85470332789256198</v>
      </c>
      <c r="DE61" s="371"/>
      <c r="DF61" s="368">
        <f t="shared" ref="DF61" si="273">(DF62*(DF63+DF57))</f>
        <v>0.85470332789256198</v>
      </c>
      <c r="DH61" s="371"/>
      <c r="DI61" s="368">
        <f>(DI62*(DI81+DI57))</f>
        <v>0</v>
      </c>
      <c r="DJ61" s="371"/>
      <c r="DK61" s="368">
        <f t="shared" ref="DK61" si="274">(DK62*(DK63+DK57))</f>
        <v>0.79695332789256201</v>
      </c>
      <c r="DL61" s="371"/>
      <c r="DM61" s="368">
        <f t="shared" ref="DM61" si="275">(DM62*(DM63+DM57))</f>
        <v>0.79695332789256201</v>
      </c>
    </row>
    <row r="62" spans="1:117" s="4" customFormat="1" ht="18" customHeight="1" x14ac:dyDescent="0.45">
      <c r="A62" s="561"/>
      <c r="B62" s="1184"/>
      <c r="C62" s="77" t="s">
        <v>60</v>
      </c>
      <c r="D62" s="76"/>
      <c r="E62" s="16"/>
      <c r="F62" s="73"/>
      <c r="G62" s="74">
        <v>0.1</v>
      </c>
      <c r="H62" s="73"/>
      <c r="I62" s="74">
        <v>0.1</v>
      </c>
      <c r="J62" s="73"/>
      <c r="K62" s="74">
        <v>0.1</v>
      </c>
      <c r="L62" s="73"/>
      <c r="M62" s="74">
        <v>0.1</v>
      </c>
      <c r="N62" s="369"/>
      <c r="O62" s="370">
        <v>0.1</v>
      </c>
      <c r="P62" s="369"/>
      <c r="Q62" s="370">
        <v>0.1</v>
      </c>
      <c r="R62" s="369"/>
      <c r="S62" s="370">
        <v>0.1</v>
      </c>
      <c r="T62" s="369"/>
      <c r="U62" s="370">
        <v>0.1</v>
      </c>
      <c r="V62" s="369"/>
      <c r="W62" s="370">
        <v>0.1</v>
      </c>
      <c r="X62" s="369"/>
      <c r="Y62" s="370">
        <v>0.1</v>
      </c>
      <c r="Z62" s="369"/>
      <c r="AA62" s="370">
        <v>0.1</v>
      </c>
      <c r="AB62" s="369"/>
      <c r="AC62" s="370">
        <v>0.1</v>
      </c>
      <c r="AD62" s="369"/>
      <c r="AE62" s="370">
        <v>0.1</v>
      </c>
      <c r="AF62" s="620"/>
      <c r="AG62" s="633"/>
      <c r="AH62" s="369"/>
      <c r="AI62" s="370">
        <v>0.1</v>
      </c>
      <c r="AJ62" s="369"/>
      <c r="AK62" s="370">
        <v>0.1</v>
      </c>
      <c r="AL62" s="369"/>
      <c r="AM62" s="370">
        <v>0.1</v>
      </c>
      <c r="AN62" s="725"/>
      <c r="AO62" s="725"/>
      <c r="AP62" s="725"/>
      <c r="AR62" s="369"/>
      <c r="AS62" s="370">
        <v>0.1</v>
      </c>
      <c r="AT62" s="369"/>
      <c r="AU62" s="370">
        <v>0.1</v>
      </c>
      <c r="AV62" s="369"/>
      <c r="AW62" s="370">
        <v>0.1</v>
      </c>
      <c r="AX62" s="725"/>
      <c r="AY62" s="725"/>
      <c r="AZ62" s="725"/>
      <c r="BB62" s="369"/>
      <c r="BC62" s="370">
        <v>0.1</v>
      </c>
      <c r="BD62" s="369"/>
      <c r="BE62" s="370">
        <v>0.1</v>
      </c>
      <c r="BF62" s="369"/>
      <c r="BG62" s="370">
        <v>0.1</v>
      </c>
      <c r="BH62" s="725"/>
      <c r="BI62" s="725"/>
      <c r="BJ62" s="725"/>
      <c r="BL62" s="369"/>
      <c r="BM62" s="370">
        <v>0.1</v>
      </c>
      <c r="BN62" s="369"/>
      <c r="BO62" s="370">
        <v>0.1</v>
      </c>
      <c r="BP62" s="369"/>
      <c r="BQ62" s="370">
        <v>0.1</v>
      </c>
      <c r="BR62" s="725"/>
      <c r="BS62" s="725"/>
      <c r="BT62" s="725"/>
      <c r="BV62" s="369"/>
      <c r="BW62" s="370">
        <v>0.1</v>
      </c>
      <c r="BY62" s="369"/>
      <c r="BZ62" s="370">
        <v>0.1</v>
      </c>
      <c r="CA62" s="369"/>
      <c r="CB62" s="370">
        <v>0.1</v>
      </c>
      <c r="CC62" s="369"/>
      <c r="CD62" s="370">
        <v>0.1</v>
      </c>
      <c r="CF62" s="369"/>
      <c r="CG62" s="370">
        <v>0.1</v>
      </c>
      <c r="CH62" s="369"/>
      <c r="CI62" s="370">
        <v>0.1</v>
      </c>
      <c r="CJ62" s="369"/>
      <c r="CK62" s="370">
        <v>0.1</v>
      </c>
      <c r="CM62" s="369"/>
      <c r="CN62" s="370">
        <v>0.1</v>
      </c>
      <c r="CO62" s="369"/>
      <c r="CP62" s="370">
        <v>0.1</v>
      </c>
      <c r="CQ62" s="369"/>
      <c r="CR62" s="370">
        <v>0.1</v>
      </c>
      <c r="CT62" s="369"/>
      <c r="CU62" s="370">
        <v>0</v>
      </c>
      <c r="CV62" s="369"/>
      <c r="CW62" s="370">
        <v>0.1</v>
      </c>
      <c r="CX62" s="369"/>
      <c r="CY62" s="370">
        <v>0.1</v>
      </c>
      <c r="DA62" s="369"/>
      <c r="DB62" s="370">
        <v>0</v>
      </c>
      <c r="DC62" s="369"/>
      <c r="DD62" s="370">
        <v>0.1</v>
      </c>
      <c r="DE62" s="369"/>
      <c r="DF62" s="370">
        <v>0.1</v>
      </c>
      <c r="DH62" s="369"/>
      <c r="DI62" s="370">
        <v>0</v>
      </c>
      <c r="DJ62" s="369"/>
      <c r="DK62" s="370">
        <v>0.1</v>
      </c>
      <c r="DL62" s="369"/>
      <c r="DM62" s="370">
        <v>0.1</v>
      </c>
    </row>
    <row r="63" spans="1:117" s="4" customFormat="1" ht="18" customHeight="1" x14ac:dyDescent="0.45">
      <c r="A63" s="561"/>
      <c r="B63" s="1184"/>
      <c r="C63" s="78" t="s">
        <v>61</v>
      </c>
      <c r="D63" s="79"/>
      <c r="E63" s="80" t="s">
        <v>53</v>
      </c>
      <c r="F63" s="81"/>
      <c r="G63" s="82">
        <f>G67-G64+G65</f>
        <v>5.0999999999999996</v>
      </c>
      <c r="H63" s="81"/>
      <c r="I63" s="82">
        <f>I67-I64+I65</f>
        <v>5.1999999999999993</v>
      </c>
      <c r="J63" s="81"/>
      <c r="K63" s="82">
        <f t="shared" ref="K63" si="276">K67-K64+K65</f>
        <v>5.1999999999999993</v>
      </c>
      <c r="L63" s="81"/>
      <c r="M63" s="82">
        <f t="shared" ref="M63" si="277">M67-M64+M65</f>
        <v>5.1999999999999993</v>
      </c>
      <c r="N63" s="550"/>
      <c r="O63" s="82">
        <f>O67-O64+O65</f>
        <v>5.4003231690140847</v>
      </c>
      <c r="P63" s="550"/>
      <c r="Q63" s="82">
        <f>Q67-Q64+Q65</f>
        <v>5.4003231690140847</v>
      </c>
      <c r="R63" s="550"/>
      <c r="S63" s="82">
        <f>S67-S64+S65</f>
        <v>5.4003231690140847</v>
      </c>
      <c r="T63" s="550"/>
      <c r="U63" s="82">
        <f>U67-U64+U65</f>
        <v>5.4003231690140847</v>
      </c>
      <c r="V63" s="550"/>
      <c r="W63" s="82">
        <f>W67-W64+W65</f>
        <v>5.4003231690140847</v>
      </c>
      <c r="X63" s="550"/>
      <c r="Y63" s="82">
        <f>Y67-Y64+Y65</f>
        <v>5.4003231690140847</v>
      </c>
      <c r="Z63" s="550"/>
      <c r="AA63" s="82">
        <f>AA67-AA64+AA65</f>
        <v>5.4003231690140847</v>
      </c>
      <c r="AB63" s="550"/>
      <c r="AC63" s="82">
        <f>AC67-AC64+AC65</f>
        <v>5.4003231690140847</v>
      </c>
      <c r="AD63" s="550"/>
      <c r="AE63" s="82">
        <f>AE67-AE64+AE65</f>
        <v>5.4003231690140847</v>
      </c>
      <c r="AF63" s="620"/>
      <c r="AG63" s="691"/>
      <c r="AH63" s="550"/>
      <c r="AI63" s="82">
        <f>AI67-AI64+AI65</f>
        <v>5.9025352112676064</v>
      </c>
      <c r="AJ63" s="550"/>
      <c r="AK63" s="82">
        <f>AK67-AK64+AK65</f>
        <v>5.9025352112676064</v>
      </c>
      <c r="AL63" s="550"/>
      <c r="AM63" s="82">
        <f>AM67-AM64+AM65</f>
        <v>5.9025352112676064</v>
      </c>
      <c r="AN63" s="726">
        <f>AI63/$O63-1</f>
        <v>9.2996664557985831E-2</v>
      </c>
      <c r="AO63" s="726">
        <f>AK63/$Q63-1</f>
        <v>9.2996664557985831E-2</v>
      </c>
      <c r="AP63" s="726">
        <f>AM63/$S63-1</f>
        <v>9.2996664557985831E-2</v>
      </c>
      <c r="AR63" s="550"/>
      <c r="AS63" s="82">
        <f>AS67-AS64+AS65</f>
        <v>5.9025352112676064</v>
      </c>
      <c r="AT63" s="550"/>
      <c r="AU63" s="82">
        <f>AU67-AU64+AU65</f>
        <v>5.9025352112676064</v>
      </c>
      <c r="AV63" s="550"/>
      <c r="AW63" s="82">
        <f>AW67-AW64+AW65</f>
        <v>5.9025352112676064</v>
      </c>
      <c r="AX63" s="726">
        <f>AS63/$O63-1</f>
        <v>9.2996664557985831E-2</v>
      </c>
      <c r="AY63" s="726">
        <f>AU63/$Q63-1</f>
        <v>9.2996664557985831E-2</v>
      </c>
      <c r="AZ63" s="726">
        <f>AW63/$S63-1</f>
        <v>9.2996664557985831E-2</v>
      </c>
      <c r="BB63" s="550"/>
      <c r="BC63" s="82">
        <f>BC67-BC64+BC65</f>
        <v>5.9025352112676064</v>
      </c>
      <c r="BD63" s="550"/>
      <c r="BE63" s="82">
        <f>BE67-BE64+BE65</f>
        <v>5.9025352112676064</v>
      </c>
      <c r="BF63" s="550"/>
      <c r="BG63" s="82">
        <f>BG67-BG64+BG65</f>
        <v>5.9025352112676064</v>
      </c>
      <c r="BH63" s="726">
        <f>BC63/$O63-1</f>
        <v>9.2996664557985831E-2</v>
      </c>
      <c r="BI63" s="726">
        <f>BE63/$Q63-1</f>
        <v>9.2996664557985831E-2</v>
      </c>
      <c r="BJ63" s="726">
        <f>BG63/$S63-1</f>
        <v>9.2996664557985831E-2</v>
      </c>
      <c r="BL63" s="550"/>
      <c r="BM63" s="82">
        <f>BM67-BM64+BM65</f>
        <v>7</v>
      </c>
      <c r="BN63" s="550"/>
      <c r="BO63" s="82">
        <f>BO67-BO64+BO65</f>
        <v>7</v>
      </c>
      <c r="BP63" s="550"/>
      <c r="BQ63" s="82">
        <f>BQ67-BQ64+BQ65</f>
        <v>7</v>
      </c>
      <c r="BR63" s="726">
        <f>BM63/$O63-1</f>
        <v>0.2962187226432158</v>
      </c>
      <c r="BS63" s="726">
        <f>BO63/$Q63-1</f>
        <v>0.2962187226432158</v>
      </c>
      <c r="BT63" s="726">
        <f>BQ63/$S63-1</f>
        <v>0.2962187226432158</v>
      </c>
      <c r="BV63" s="550"/>
      <c r="BW63" s="82">
        <f>BW67-BW64+BW65</f>
        <v>7</v>
      </c>
      <c r="BY63" s="550">
        <f>BZ63/O63-1</f>
        <v>0.23140778651105509</v>
      </c>
      <c r="BZ63" s="82">
        <f>BZ67-BZ64+BZ65</f>
        <v>6.65</v>
      </c>
      <c r="CA63" s="550">
        <f>CB63/Q63-1</f>
        <v>0.23140778651105509</v>
      </c>
      <c r="CB63" s="82">
        <f>CB67-CB64+CB65</f>
        <v>6.65</v>
      </c>
      <c r="CC63" s="550">
        <f>CD63/S63-1</f>
        <v>0.23140778651105509</v>
      </c>
      <c r="CD63" s="82">
        <f>CD67-CD64+CD65</f>
        <v>6.65</v>
      </c>
      <c r="CF63" s="550"/>
      <c r="CG63" s="82">
        <f>CG67-CG64+CG65</f>
        <v>7.15</v>
      </c>
      <c r="CH63" s="550"/>
      <c r="CI63" s="82">
        <f>CI67-CI64+CI65</f>
        <v>7.15</v>
      </c>
      <c r="CJ63" s="550"/>
      <c r="CK63" s="82">
        <f>CK67-CK64+CK65</f>
        <v>7.15</v>
      </c>
      <c r="CM63" s="550"/>
      <c r="CN63" s="82">
        <f>CN67-CN64+CN65</f>
        <v>6.9</v>
      </c>
      <c r="CO63" s="550"/>
      <c r="CP63" s="82">
        <f>CP67-CP64+CP65</f>
        <v>6.8998937500000004</v>
      </c>
      <c r="CQ63" s="550"/>
      <c r="CR63" s="82">
        <f>CR67-CR64+CR65</f>
        <v>6.8998937500000004</v>
      </c>
      <c r="CT63" s="550"/>
      <c r="CU63" s="82">
        <f>CU67-CU64+CU65</f>
        <v>6.6030387499999996</v>
      </c>
      <c r="CV63" s="550"/>
      <c r="CW63" s="82">
        <f t="shared" ref="CW63" si="278">CW67-CW64+CW65</f>
        <v>6.990031694214875</v>
      </c>
      <c r="CX63" s="550"/>
      <c r="CY63" s="82">
        <f t="shared" ref="CY63" si="279">CY67-CY64+CY65</f>
        <v>6.990031694214875</v>
      </c>
      <c r="DA63" s="550"/>
      <c r="DB63" s="82">
        <f>DB67-DB64+DB65</f>
        <v>7.75303875</v>
      </c>
      <c r="DC63" s="550"/>
      <c r="DD63" s="82">
        <f t="shared" ref="DD63" si="280">DD67-DD64+DD65</f>
        <v>8.1400316942148763</v>
      </c>
      <c r="DE63" s="550"/>
      <c r="DF63" s="82">
        <f t="shared" ref="DF63" si="281">DF67-DF64+DF65</f>
        <v>8.1400316942148763</v>
      </c>
      <c r="DH63" s="550"/>
      <c r="DI63" s="82">
        <f>DI67-DI64+DI65</f>
        <v>7.2030387500000002</v>
      </c>
      <c r="DJ63" s="550"/>
      <c r="DK63" s="82">
        <f t="shared" ref="DK63" si="282">DK67-DK64+DK65</f>
        <v>7.5900316942148756</v>
      </c>
      <c r="DL63" s="550"/>
      <c r="DM63" s="82">
        <f t="shared" ref="DM63" si="283">DM67-DM64+DM65</f>
        <v>7.5900316942148756</v>
      </c>
    </row>
    <row r="64" spans="1:117" s="4" customFormat="1" ht="18" customHeight="1" x14ac:dyDescent="0.45">
      <c r="A64" s="561"/>
      <c r="B64" s="1184"/>
      <c r="C64" s="83" t="s">
        <v>62</v>
      </c>
      <c r="D64" s="83"/>
      <c r="E64" s="84" t="str">
        <f>+E63</f>
        <v xml:space="preserve">USD </v>
      </c>
      <c r="F64" s="85"/>
      <c r="G64" s="86">
        <v>0.5</v>
      </c>
      <c r="H64" s="85"/>
      <c r="I64" s="86">
        <v>0.4</v>
      </c>
      <c r="J64" s="85"/>
      <c r="K64" s="86">
        <v>0.4</v>
      </c>
      <c r="L64" s="85"/>
      <c r="M64" s="86">
        <v>0.4</v>
      </c>
      <c r="N64" s="551"/>
      <c r="O64" s="86">
        <f>0.34+0.26+0.05</f>
        <v>0.65000000000000013</v>
      </c>
      <c r="P64" s="551"/>
      <c r="Q64" s="86">
        <f>0.34+0.26+0.05</f>
        <v>0.65000000000000013</v>
      </c>
      <c r="R64" s="551"/>
      <c r="S64" s="86">
        <f>0.34+0.26+0.05</f>
        <v>0.65000000000000013</v>
      </c>
      <c r="T64" s="551"/>
      <c r="U64" s="86">
        <f>0.34+0.26+0.05</f>
        <v>0.65000000000000013</v>
      </c>
      <c r="V64" s="551"/>
      <c r="W64" s="86">
        <f>0.34+0.26+0.05</f>
        <v>0.65000000000000013</v>
      </c>
      <c r="X64" s="551"/>
      <c r="Y64" s="86">
        <f>0.34+0.26+0.05</f>
        <v>0.65000000000000013</v>
      </c>
      <c r="Z64" s="551"/>
      <c r="AA64" s="86">
        <f>0.34+0.26+0.05</f>
        <v>0.65000000000000013</v>
      </c>
      <c r="AB64" s="551"/>
      <c r="AC64" s="86">
        <f>0.34+0.26+0.05</f>
        <v>0.65000000000000013</v>
      </c>
      <c r="AD64" s="551"/>
      <c r="AE64" s="86">
        <f>0.34+0.26+0.05</f>
        <v>0.65000000000000013</v>
      </c>
      <c r="AF64" s="620"/>
      <c r="AG64" s="691"/>
      <c r="AH64" s="551"/>
      <c r="AI64" s="86">
        <f>0.34+0.26+0.05-0.1</f>
        <v>0.55000000000000016</v>
      </c>
      <c r="AJ64" s="551"/>
      <c r="AK64" s="86">
        <f>0.34+0.26+0.05-0.1</f>
        <v>0.55000000000000016</v>
      </c>
      <c r="AL64" s="551"/>
      <c r="AM64" s="86">
        <f>0.34+0.26+0.05-0.1</f>
        <v>0.55000000000000016</v>
      </c>
      <c r="AN64" s="727"/>
      <c r="AO64" s="727"/>
      <c r="AP64" s="727"/>
      <c r="AR64" s="551"/>
      <c r="AS64" s="86">
        <f>0.34+0.26+0.05-0.1</f>
        <v>0.55000000000000016</v>
      </c>
      <c r="AT64" s="551"/>
      <c r="AU64" s="86">
        <f>0.34+0.26+0.05-0.1</f>
        <v>0.55000000000000016</v>
      </c>
      <c r="AV64" s="551"/>
      <c r="AW64" s="86">
        <f>0.34+0.26+0.05-0.1</f>
        <v>0.55000000000000016</v>
      </c>
      <c r="AX64" s="727"/>
      <c r="AY64" s="727"/>
      <c r="AZ64" s="727"/>
      <c r="BB64" s="551"/>
      <c r="BC64" s="86">
        <f>0.34+0.26+0.05-0.1</f>
        <v>0.55000000000000016</v>
      </c>
      <c r="BD64" s="551"/>
      <c r="BE64" s="86">
        <f>0.34+0.26+0.05-0.1</f>
        <v>0.55000000000000016</v>
      </c>
      <c r="BF64" s="551"/>
      <c r="BG64" s="86">
        <f>0.34+0.26+0.05-0.1</f>
        <v>0.55000000000000016</v>
      </c>
      <c r="BH64" s="727"/>
      <c r="BI64" s="727"/>
      <c r="BJ64" s="727"/>
      <c r="BL64" s="551"/>
      <c r="BM64" s="86">
        <f>BO64</f>
        <v>0</v>
      </c>
      <c r="BN64" s="551"/>
      <c r="BO64" s="86">
        <v>0</v>
      </c>
      <c r="BP64" s="551"/>
      <c r="BQ64" s="86">
        <f>BO64</f>
        <v>0</v>
      </c>
      <c r="BR64" s="727"/>
      <c r="BS64" s="727"/>
      <c r="BT64" s="727"/>
      <c r="BV64" s="551"/>
      <c r="BW64" s="86">
        <f>CF64</f>
        <v>0</v>
      </c>
      <c r="BY64" s="551"/>
      <c r="BZ64" s="86">
        <v>0</v>
      </c>
      <c r="CA64" s="551"/>
      <c r="CB64" s="86">
        <f>BZ64</f>
        <v>0</v>
      </c>
      <c r="CC64" s="551"/>
      <c r="CD64" s="86">
        <f>CB64</f>
        <v>0</v>
      </c>
      <c r="CF64" s="551"/>
      <c r="CG64" s="86">
        <v>0</v>
      </c>
      <c r="CH64" s="551"/>
      <c r="CI64" s="86">
        <f>CG64</f>
        <v>0</v>
      </c>
      <c r="CJ64" s="551"/>
      <c r="CK64" s="86">
        <f>CI64</f>
        <v>0</v>
      </c>
      <c r="CM64" s="551"/>
      <c r="CN64" s="86">
        <v>0.25</v>
      </c>
      <c r="CO64" s="551"/>
      <c r="CP64" s="86">
        <f>CN64</f>
        <v>0.25</v>
      </c>
      <c r="CQ64" s="551"/>
      <c r="CR64" s="86">
        <f>CP64</f>
        <v>0.25</v>
      </c>
      <c r="CT64" s="551"/>
      <c r="CU64" s="86">
        <v>0</v>
      </c>
      <c r="CV64" s="551"/>
      <c r="CW64" s="86">
        <f>CU64</f>
        <v>0</v>
      </c>
      <c r="CX64" s="551"/>
      <c r="CY64" s="86">
        <f>CW64</f>
        <v>0</v>
      </c>
      <c r="DA64" s="551"/>
      <c r="DB64" s="86">
        <v>0</v>
      </c>
      <c r="DC64" s="551"/>
      <c r="DD64" s="86">
        <f>DB64</f>
        <v>0</v>
      </c>
      <c r="DE64" s="551"/>
      <c r="DF64" s="86">
        <f>DD64</f>
        <v>0</v>
      </c>
      <c r="DH64" s="551"/>
      <c r="DI64" s="86">
        <v>0</v>
      </c>
      <c r="DJ64" s="551"/>
      <c r="DK64" s="86">
        <f>DI64</f>
        <v>0</v>
      </c>
      <c r="DL64" s="551"/>
      <c r="DM64" s="86">
        <f>DK64</f>
        <v>0</v>
      </c>
    </row>
    <row r="65" spans="1:117" s="4" customFormat="1" ht="18" customHeight="1" x14ac:dyDescent="0.45">
      <c r="A65" s="561"/>
      <c r="B65" s="1184"/>
      <c r="C65" s="87" t="s">
        <v>63</v>
      </c>
      <c r="D65" s="83"/>
      <c r="E65" s="84" t="str">
        <f>+E64</f>
        <v xml:space="preserve">USD </v>
      </c>
      <c r="F65" s="85"/>
      <c r="G65" s="86">
        <v>0</v>
      </c>
      <c r="H65" s="85"/>
      <c r="I65" s="86">
        <v>0</v>
      </c>
      <c r="J65" s="85"/>
      <c r="K65" s="86">
        <v>0</v>
      </c>
      <c r="L65" s="85"/>
      <c r="M65" s="86">
        <v>0</v>
      </c>
      <c r="N65" s="85"/>
      <c r="O65" s="86">
        <v>0</v>
      </c>
      <c r="P65" s="85"/>
      <c r="Q65" s="86">
        <v>0</v>
      </c>
      <c r="R65" s="85"/>
      <c r="S65" s="86">
        <v>0</v>
      </c>
      <c r="T65" s="85"/>
      <c r="U65" s="86">
        <v>0</v>
      </c>
      <c r="V65" s="85"/>
      <c r="W65" s="86">
        <v>0</v>
      </c>
      <c r="X65" s="85"/>
      <c r="Y65" s="86">
        <v>0</v>
      </c>
      <c r="Z65" s="85"/>
      <c r="AA65" s="86">
        <v>0</v>
      </c>
      <c r="AB65" s="85"/>
      <c r="AC65" s="86">
        <v>0</v>
      </c>
      <c r="AD65" s="85"/>
      <c r="AE65" s="86">
        <v>0</v>
      </c>
      <c r="AF65" s="620"/>
      <c r="AG65" s="691"/>
      <c r="AH65" s="85"/>
      <c r="AI65" s="86">
        <v>0</v>
      </c>
      <c r="AJ65" s="85"/>
      <c r="AK65" s="86">
        <v>0</v>
      </c>
      <c r="AL65" s="85"/>
      <c r="AM65" s="86">
        <v>0</v>
      </c>
      <c r="AN65" s="727"/>
      <c r="AO65" s="727"/>
      <c r="AP65" s="727"/>
      <c r="AR65" s="85"/>
      <c r="AS65" s="86">
        <v>0</v>
      </c>
      <c r="AT65" s="85"/>
      <c r="AU65" s="86">
        <v>0</v>
      </c>
      <c r="AV65" s="85"/>
      <c r="AW65" s="86">
        <v>0</v>
      </c>
      <c r="AX65" s="727"/>
      <c r="AY65" s="727"/>
      <c r="AZ65" s="727"/>
      <c r="BB65" s="85"/>
      <c r="BC65" s="86">
        <v>0</v>
      </c>
      <c r="BD65" s="85"/>
      <c r="BE65" s="86">
        <v>0</v>
      </c>
      <c r="BF65" s="85"/>
      <c r="BG65" s="86">
        <v>0</v>
      </c>
      <c r="BH65" s="727"/>
      <c r="BI65" s="727"/>
      <c r="BJ65" s="727"/>
      <c r="BL65" s="85"/>
      <c r="BM65" s="86">
        <v>0</v>
      </c>
      <c r="BN65" s="85"/>
      <c r="BO65" s="86">
        <v>0</v>
      </c>
      <c r="BP65" s="85"/>
      <c r="BQ65" s="86">
        <v>0</v>
      </c>
      <c r="BR65" s="727"/>
      <c r="BS65" s="727"/>
      <c r="BT65" s="727"/>
      <c r="BV65" s="85"/>
      <c r="BW65" s="86">
        <v>0</v>
      </c>
      <c r="BY65" s="85"/>
      <c r="BZ65" s="86">
        <v>0</v>
      </c>
      <c r="CA65" s="85"/>
      <c r="CB65" s="86">
        <v>0</v>
      </c>
      <c r="CC65" s="85"/>
      <c r="CD65" s="86">
        <v>0</v>
      </c>
      <c r="CF65" s="85"/>
      <c r="CG65" s="86">
        <v>0</v>
      </c>
      <c r="CH65" s="85"/>
      <c r="CI65" s="86">
        <v>0</v>
      </c>
      <c r="CJ65" s="85"/>
      <c r="CK65" s="86">
        <v>0</v>
      </c>
      <c r="CM65" s="85"/>
      <c r="CN65" s="86">
        <v>0</v>
      </c>
      <c r="CO65" s="85"/>
      <c r="CP65" s="86">
        <v>0</v>
      </c>
      <c r="CQ65" s="85"/>
      <c r="CR65" s="86">
        <v>0</v>
      </c>
      <c r="CT65" s="85"/>
      <c r="CU65" s="86">
        <v>0</v>
      </c>
      <c r="CV65" s="85"/>
      <c r="CW65" s="86">
        <v>0</v>
      </c>
      <c r="CX65" s="85"/>
      <c r="CY65" s="86">
        <v>0</v>
      </c>
      <c r="DA65" s="85"/>
      <c r="DB65" s="86">
        <v>0</v>
      </c>
      <c r="DC65" s="85"/>
      <c r="DD65" s="86">
        <v>0</v>
      </c>
      <c r="DE65" s="85"/>
      <c r="DF65" s="86">
        <v>0</v>
      </c>
      <c r="DH65" s="85"/>
      <c r="DI65" s="86">
        <v>0</v>
      </c>
      <c r="DJ65" s="85"/>
      <c r="DK65" s="86">
        <v>0</v>
      </c>
      <c r="DL65" s="85"/>
      <c r="DM65" s="86">
        <v>0</v>
      </c>
    </row>
    <row r="66" spans="1:117" s="4" customFormat="1" ht="18" hidden="1" customHeight="1" x14ac:dyDescent="0.45">
      <c r="A66" s="561"/>
      <c r="B66" s="1184"/>
      <c r="C66" s="87" t="s">
        <v>64</v>
      </c>
      <c r="D66" s="83"/>
      <c r="E66" s="84" t="s">
        <v>53</v>
      </c>
      <c r="F66" s="85"/>
      <c r="G66" s="86">
        <f>+G69+G72+G74</f>
        <v>5.6030800000000003</v>
      </c>
      <c r="H66" s="85"/>
      <c r="I66" s="86">
        <f>+I69+I72+I74</f>
        <v>5.6030799999999994</v>
      </c>
      <c r="J66" s="85"/>
      <c r="K66" s="86">
        <f t="shared" ref="K66" si="284">+K69+K72+K74</f>
        <v>5.6030799999999994</v>
      </c>
      <c r="L66" s="85"/>
      <c r="M66" s="86">
        <f t="shared" ref="M66" si="285">+M69+M72+M74</f>
        <v>5.6030799999999994</v>
      </c>
      <c r="N66" s="85"/>
      <c r="O66" s="86">
        <f>+O69+O72+O74</f>
        <v>6.0480281690140849</v>
      </c>
      <c r="P66" s="85"/>
      <c r="Q66" s="86">
        <f>+Q69+Q72+Q74</f>
        <v>6.0480281690140849</v>
      </c>
      <c r="R66" s="85"/>
      <c r="S66" s="86">
        <f>+S69+S72+S74</f>
        <v>6.0480281690140849</v>
      </c>
      <c r="T66" s="85"/>
      <c r="U66" s="86">
        <f>+U69+U72+U74</f>
        <v>6.0480281690140849</v>
      </c>
      <c r="V66" s="85"/>
      <c r="W66" s="86">
        <f>+W69+W72+W74</f>
        <v>6.0480281690140849</v>
      </c>
      <c r="X66" s="85"/>
      <c r="Y66" s="86">
        <f>+Y69+Y72+Y74</f>
        <v>6.0480281690140849</v>
      </c>
      <c r="Z66" s="85"/>
      <c r="AA66" s="86">
        <f>+AA69+AA72+AA74</f>
        <v>6.0480281690140849</v>
      </c>
      <c r="AB66" s="85"/>
      <c r="AC66" s="86">
        <f>+AC69+AC72+AC74</f>
        <v>6.0480281690140849</v>
      </c>
      <c r="AD66" s="85"/>
      <c r="AE66" s="86">
        <f>+AE69+AE72+AE74</f>
        <v>6.0480281690140849</v>
      </c>
      <c r="AF66" s="620"/>
      <c r="AG66" s="691"/>
      <c r="AH66" s="85"/>
      <c r="AI66" s="86">
        <f>+AI69+AI72+AI74</f>
        <v>6.4560841056338027</v>
      </c>
      <c r="AJ66" s="85"/>
      <c r="AK66" s="86">
        <f>+AK69+AK72+AK74</f>
        <v>6.4560841056338027</v>
      </c>
      <c r="AL66" s="85"/>
      <c r="AM66" s="86">
        <f>+AM69+AM72+AM74</f>
        <v>6.4560841056338027</v>
      </c>
      <c r="AN66" s="727"/>
      <c r="AO66" s="727"/>
      <c r="AP66" s="727"/>
      <c r="AR66" s="85"/>
      <c r="AS66" s="86">
        <f>+AS69+AS72+AS74</f>
        <v>6.4560841056338027</v>
      </c>
      <c r="AT66" s="85"/>
      <c r="AU66" s="86">
        <f>+AU69+AU72+AU74</f>
        <v>6.4560841056338027</v>
      </c>
      <c r="AV66" s="85"/>
      <c r="AW66" s="86">
        <f>+AW69+AW72+AW74</f>
        <v>6.4560841056338027</v>
      </c>
      <c r="AX66" s="727"/>
      <c r="AY66" s="727"/>
      <c r="AZ66" s="727"/>
      <c r="BB66" s="85"/>
      <c r="BC66" s="86">
        <f>+BC69+BC72+BC74</f>
        <v>6.4560841056338027</v>
      </c>
      <c r="BD66" s="85"/>
      <c r="BE66" s="86">
        <f>+BE69+BE72+BE74</f>
        <v>6.4560841056338027</v>
      </c>
      <c r="BF66" s="85"/>
      <c r="BG66" s="86">
        <f>+BG69+BG72+BG74</f>
        <v>6.4560841056338027</v>
      </c>
      <c r="BH66" s="727"/>
      <c r="BI66" s="727"/>
      <c r="BJ66" s="727"/>
      <c r="BL66" s="85"/>
      <c r="BM66" s="86">
        <f>+BM69+BM72+BM74</f>
        <v>6.9970249999999998</v>
      </c>
      <c r="BN66" s="85"/>
      <c r="BO66" s="86">
        <f>+BO69+BO72+BO74</f>
        <v>6.9970249999999998</v>
      </c>
      <c r="BP66" s="85"/>
      <c r="BQ66" s="86">
        <f>+BQ69+BQ72+BQ74</f>
        <v>6.9970249999999998</v>
      </c>
      <c r="BR66" s="727"/>
      <c r="BS66" s="727"/>
      <c r="BT66" s="727"/>
      <c r="BV66" s="85"/>
      <c r="BW66" s="86">
        <f>+BW69+BW72+BW74</f>
        <v>6.9970249999999998</v>
      </c>
      <c r="BY66" s="85"/>
      <c r="BZ66" s="86">
        <f>+BZ69+BZ72+BZ74</f>
        <v>6.6470250000000002</v>
      </c>
      <c r="CA66" s="85"/>
      <c r="CB66" s="86">
        <f>+CB69+CB72+CB74</f>
        <v>6.6470250000000002</v>
      </c>
      <c r="CC66" s="85"/>
      <c r="CD66" s="86">
        <f>+CD69+CD72+CD74</f>
        <v>6.6470250000000002</v>
      </c>
      <c r="CF66" s="85"/>
      <c r="CG66" s="86">
        <f>+CG69+CG72+CG74</f>
        <v>7.1470250000000002</v>
      </c>
      <c r="CH66" s="85"/>
      <c r="CI66" s="86">
        <f>+CI69+CI72+CI74</f>
        <v>7.1470250000000002</v>
      </c>
      <c r="CJ66" s="85"/>
      <c r="CK66" s="86">
        <f>+CK69+CK72+CK74</f>
        <v>7.1470250000000002</v>
      </c>
      <c r="CM66" s="85"/>
      <c r="CN66" s="86">
        <f>+CN69+CN72+CN74</f>
        <v>7.1471312500000002</v>
      </c>
      <c r="CO66" s="85"/>
      <c r="CP66" s="86">
        <f>+CP69+CP72+CP74</f>
        <v>7.1470250000000002</v>
      </c>
      <c r="CQ66" s="85"/>
      <c r="CR66" s="86">
        <f>+CR69+CR72+CR74</f>
        <v>7.1470250000000002</v>
      </c>
      <c r="CT66" s="85"/>
      <c r="CU66" s="86">
        <f>+CU69+CU72+CU74</f>
        <v>6.6</v>
      </c>
      <c r="CV66" s="85"/>
      <c r="CW66" s="86">
        <f t="shared" ref="CW66" si="286">+CW69+CW72+CW74</f>
        <v>6.9873966942148753</v>
      </c>
      <c r="CX66" s="85"/>
      <c r="CY66" s="86">
        <f t="shared" ref="CY66" si="287">+CY69+CY72+CY74</f>
        <v>6.9873966942148753</v>
      </c>
      <c r="DA66" s="85"/>
      <c r="DB66" s="86">
        <f>+DB69+DB72+DB74</f>
        <v>7.75</v>
      </c>
      <c r="DC66" s="85"/>
      <c r="DD66" s="86">
        <f t="shared" ref="DD66" si="288">+DD69+DD72+DD74</f>
        <v>8.1373966942148765</v>
      </c>
      <c r="DE66" s="85"/>
      <c r="DF66" s="86">
        <f t="shared" ref="DF66" si="289">+DF69+DF72+DF74</f>
        <v>8.1373966942148765</v>
      </c>
      <c r="DH66" s="85"/>
      <c r="DI66" s="86">
        <f>+DI69+DI72+DI74</f>
        <v>7.2</v>
      </c>
      <c r="DJ66" s="85"/>
      <c r="DK66" s="86">
        <f t="shared" ref="DK66" si="290">+DK69+DK72+DK74</f>
        <v>7.5873966942148758</v>
      </c>
      <c r="DL66" s="85"/>
      <c r="DM66" s="86">
        <f t="shared" ref="DM66" si="291">+DM69+DM72+DM74</f>
        <v>7.5873966942148758</v>
      </c>
    </row>
    <row r="67" spans="1:117" s="4" customFormat="1" ht="18" customHeight="1" x14ac:dyDescent="0.45">
      <c r="A67" s="561"/>
      <c r="B67" s="1184"/>
      <c r="C67" s="78" t="s">
        <v>65</v>
      </c>
      <c r="D67" s="79"/>
      <c r="E67" s="80" t="s">
        <v>53</v>
      </c>
      <c r="F67" s="81"/>
      <c r="G67" s="82">
        <v>5.6</v>
      </c>
      <c r="H67" s="81"/>
      <c r="I67" s="82">
        <v>5.6</v>
      </c>
      <c r="J67" s="81"/>
      <c r="K67" s="82">
        <v>5.6</v>
      </c>
      <c r="L67" s="81"/>
      <c r="M67" s="82">
        <v>5.6</v>
      </c>
      <c r="N67" s="550"/>
      <c r="O67" s="82">
        <f>O72+O74+O70+O69</f>
        <v>6.0503231690140851</v>
      </c>
      <c r="P67" s="550"/>
      <c r="Q67" s="82">
        <f>Q72+Q74+Q70+Q69</f>
        <v>6.0503231690140851</v>
      </c>
      <c r="R67" s="550"/>
      <c r="S67" s="82">
        <f>S72+S74+S70+S69</f>
        <v>6.0503231690140851</v>
      </c>
      <c r="T67" s="550"/>
      <c r="U67" s="82">
        <f>U72+U74+U70+U69</f>
        <v>6.0503231690140851</v>
      </c>
      <c r="V67" s="550"/>
      <c r="W67" s="82">
        <f>W72+W74+W70+W69</f>
        <v>6.0503231690140851</v>
      </c>
      <c r="X67" s="550"/>
      <c r="Y67" s="82">
        <f>Y72+Y74+Y70+Y69</f>
        <v>6.0503231690140851</v>
      </c>
      <c r="Z67" s="550"/>
      <c r="AA67" s="82">
        <f>AA72+AA74+AA70+AA69</f>
        <v>6.0503231690140851</v>
      </c>
      <c r="AB67" s="550"/>
      <c r="AC67" s="82">
        <f>AC72+AC74+AC70+AC69</f>
        <v>6.0503231690140851</v>
      </c>
      <c r="AD67" s="550"/>
      <c r="AE67" s="82">
        <f>AE72+AE74+AE70+AE69</f>
        <v>6.0503231690140851</v>
      </c>
      <c r="AF67" s="620"/>
      <c r="AG67" s="691"/>
      <c r="AH67" s="550"/>
      <c r="AI67" s="82">
        <f>AI72+AI74</f>
        <v>6.4525352112676062</v>
      </c>
      <c r="AJ67" s="550"/>
      <c r="AK67" s="82">
        <f>AK72+AK74</f>
        <v>6.4525352112676062</v>
      </c>
      <c r="AL67" s="550"/>
      <c r="AM67" s="82">
        <f>AM72+AM74</f>
        <v>6.4525352112676062</v>
      </c>
      <c r="AN67" s="726"/>
      <c r="AO67" s="726"/>
      <c r="AP67" s="726"/>
      <c r="AR67" s="550"/>
      <c r="AS67" s="82">
        <f>AS72+AS74</f>
        <v>6.4525352112676062</v>
      </c>
      <c r="AT67" s="550"/>
      <c r="AU67" s="82">
        <f>AU72+AU74</f>
        <v>6.4525352112676062</v>
      </c>
      <c r="AV67" s="550"/>
      <c r="AW67" s="82">
        <f>AW72+AW74</f>
        <v>6.4525352112676062</v>
      </c>
      <c r="AX67" s="726"/>
      <c r="AY67" s="726"/>
      <c r="AZ67" s="726"/>
      <c r="BB67" s="550"/>
      <c r="BC67" s="82">
        <f>BC72+BC74</f>
        <v>6.4525352112676062</v>
      </c>
      <c r="BD67" s="550"/>
      <c r="BE67" s="82">
        <f>BE72+BE74</f>
        <v>6.4525352112676062</v>
      </c>
      <c r="BF67" s="550"/>
      <c r="BG67" s="82">
        <f>BG72+BG74</f>
        <v>6.4525352112676062</v>
      </c>
      <c r="BH67" s="726"/>
      <c r="BI67" s="726"/>
      <c r="BJ67" s="726"/>
      <c r="BL67" s="550"/>
      <c r="BM67" s="82">
        <f>BM72+BM74+BM70+BM69</f>
        <v>7</v>
      </c>
      <c r="BN67" s="550"/>
      <c r="BO67" s="82">
        <f>BO72+BO74+BO70+BO69</f>
        <v>7</v>
      </c>
      <c r="BP67" s="550"/>
      <c r="BQ67" s="82">
        <f>BQ72+BQ74+BQ70+BQ69</f>
        <v>7</v>
      </c>
      <c r="BR67" s="726"/>
      <c r="BS67" s="726"/>
      <c r="BT67" s="726"/>
      <c r="BV67" s="550"/>
      <c r="BW67" s="82">
        <f>BW72+BW74+BW70+BW69</f>
        <v>7</v>
      </c>
      <c r="BY67" s="550"/>
      <c r="BZ67" s="82">
        <f>BZ72+BZ74+BZ70+BZ69</f>
        <v>6.65</v>
      </c>
      <c r="CA67" s="550"/>
      <c r="CB67" s="82">
        <f>CB72+CB74+CB70+CB69</f>
        <v>6.65</v>
      </c>
      <c r="CC67" s="550"/>
      <c r="CD67" s="82">
        <f>CD72+CD74+CD70+CD69</f>
        <v>6.65</v>
      </c>
      <c r="CF67" s="550"/>
      <c r="CG67" s="82">
        <f>CG72+CG74+CG70+CG69</f>
        <v>7.15</v>
      </c>
      <c r="CH67" s="550"/>
      <c r="CI67" s="82">
        <f>CI72+CI74+CI70+CI69</f>
        <v>7.15</v>
      </c>
      <c r="CJ67" s="550"/>
      <c r="CK67" s="82">
        <f>CK72+CK74+CK70+CK69</f>
        <v>7.15</v>
      </c>
      <c r="CM67" s="550"/>
      <c r="CN67" s="82">
        <f>CN72+CN74+CN70+CN69</f>
        <v>7.15</v>
      </c>
      <c r="CO67" s="550"/>
      <c r="CP67" s="82">
        <f>CP72+CP74+CP70+CP69</f>
        <v>7.1498937500000004</v>
      </c>
      <c r="CQ67" s="550"/>
      <c r="CR67" s="82">
        <f>CR72+CR74+CR70+CR69</f>
        <v>7.1498937500000004</v>
      </c>
      <c r="CT67" s="550"/>
      <c r="CU67" s="82">
        <f>CU72+CU74+CU70+CU69</f>
        <v>6.6030387499999996</v>
      </c>
      <c r="CV67" s="550"/>
      <c r="CW67" s="82">
        <f t="shared" ref="CW67" si="292">CW72+CW74+CW70+CW69</f>
        <v>6.990031694214875</v>
      </c>
      <c r="CX67" s="550"/>
      <c r="CY67" s="82">
        <f t="shared" ref="CY67" si="293">CY72+CY74+CY70+CY69</f>
        <v>6.990031694214875</v>
      </c>
      <c r="DA67" s="550"/>
      <c r="DB67" s="82">
        <f>DB72+DB74+DB70+DB69</f>
        <v>7.75303875</v>
      </c>
      <c r="DC67" s="550"/>
      <c r="DD67" s="82">
        <f t="shared" ref="DD67" si="294">DD72+DD74+DD70+DD69</f>
        <v>8.1400316942148763</v>
      </c>
      <c r="DE67" s="550"/>
      <c r="DF67" s="82">
        <f t="shared" ref="DF67" si="295">DF72+DF74+DF70+DF69</f>
        <v>8.1400316942148763</v>
      </c>
      <c r="DH67" s="550"/>
      <c r="DI67" s="82">
        <f>DI72+DI74+DI70+DI69</f>
        <v>7.2030387500000002</v>
      </c>
      <c r="DJ67" s="550"/>
      <c r="DK67" s="82">
        <f t="shared" ref="DK67" si="296">DK72+DK74+DK70+DK69</f>
        <v>7.5900316942148756</v>
      </c>
      <c r="DL67" s="550"/>
      <c r="DM67" s="82">
        <f t="shared" ref="DM67" si="297">DM72+DM74+DM70+DM69</f>
        <v>7.5900316942148756</v>
      </c>
    </row>
    <row r="68" spans="1:117" s="4" customFormat="1" ht="18" customHeight="1" x14ac:dyDescent="0.45">
      <c r="A68" s="561"/>
      <c r="B68" s="1184"/>
      <c r="C68" s="12" t="s">
        <v>66</v>
      </c>
      <c r="D68" s="11"/>
      <c r="E68" s="16"/>
      <c r="F68" s="42"/>
      <c r="G68" s="88"/>
      <c r="H68" s="42"/>
      <c r="I68" s="88"/>
      <c r="J68" s="42"/>
      <c r="K68" s="88"/>
      <c r="L68" s="42"/>
      <c r="M68" s="88"/>
      <c r="N68" s="359"/>
      <c r="O68" s="372"/>
      <c r="P68" s="359"/>
      <c r="Q68" s="372"/>
      <c r="R68" s="359"/>
      <c r="S68" s="372"/>
      <c r="T68" s="359"/>
      <c r="U68" s="372"/>
      <c r="V68" s="359"/>
      <c r="W68" s="372"/>
      <c r="X68" s="359"/>
      <c r="Y68" s="372"/>
      <c r="Z68" s="359"/>
      <c r="AA68" s="372"/>
      <c r="AB68" s="359"/>
      <c r="AC68" s="372"/>
      <c r="AD68" s="359"/>
      <c r="AE68" s="372"/>
      <c r="AF68" s="620"/>
      <c r="AG68" s="632"/>
      <c r="AH68" s="359"/>
      <c r="AI68" s="372"/>
      <c r="AJ68" s="359"/>
      <c r="AK68" s="372"/>
      <c r="AL68" s="359"/>
      <c r="AM68" s="372"/>
      <c r="AN68" s="725"/>
      <c r="AO68" s="725"/>
      <c r="AP68" s="725"/>
      <c r="AR68" s="359"/>
      <c r="AS68" s="372"/>
      <c r="AT68" s="359"/>
      <c r="AU68" s="372"/>
      <c r="AV68" s="359"/>
      <c r="AW68" s="372"/>
      <c r="AX68" s="725"/>
      <c r="AY68" s="725"/>
      <c r="AZ68" s="725"/>
      <c r="BB68" s="359"/>
      <c r="BC68" s="372"/>
      <c r="BD68" s="359"/>
      <c r="BE68" s="372"/>
      <c r="BF68" s="359"/>
      <c r="BG68" s="372"/>
      <c r="BH68" s="725"/>
      <c r="BI68" s="725"/>
      <c r="BJ68" s="725"/>
      <c r="BL68" s="359"/>
      <c r="BM68" s="372"/>
      <c r="BN68" s="359"/>
      <c r="BO68" s="372"/>
      <c r="BP68" s="359"/>
      <c r="BQ68" s="372"/>
      <c r="BR68" s="725"/>
      <c r="BS68" s="725"/>
      <c r="BT68" s="725"/>
      <c r="BV68" s="359"/>
      <c r="BW68" s="372"/>
      <c r="BY68" s="359"/>
      <c r="BZ68" s="372"/>
      <c r="CA68" s="359"/>
      <c r="CB68" s="372"/>
      <c r="CC68" s="359"/>
      <c r="CD68" s="372"/>
      <c r="CF68" s="359"/>
      <c r="CG68" s="372"/>
      <c r="CH68" s="359"/>
      <c r="CI68" s="372"/>
      <c r="CJ68" s="359"/>
      <c r="CK68" s="372"/>
      <c r="CM68" s="359"/>
      <c r="CN68" s="372"/>
      <c r="CO68" s="359"/>
      <c r="CP68" s="372"/>
      <c r="CQ68" s="359"/>
      <c r="CR68" s="372"/>
      <c r="CT68" s="549"/>
      <c r="CU68" s="368"/>
      <c r="CV68" s="549"/>
      <c r="CW68" s="368"/>
      <c r="CX68" s="549"/>
      <c r="CY68" s="368"/>
      <c r="DA68" s="549"/>
      <c r="DB68" s="368"/>
      <c r="DC68" s="549"/>
      <c r="DD68" s="368"/>
      <c r="DE68" s="549"/>
      <c r="DF68" s="368"/>
      <c r="DH68" s="549"/>
      <c r="DI68" s="368"/>
      <c r="DJ68" s="549"/>
      <c r="DK68" s="368"/>
      <c r="DL68" s="549"/>
      <c r="DM68" s="368"/>
    </row>
    <row r="69" spans="1:117" s="4" customFormat="1" ht="18" customHeight="1" x14ac:dyDescent="0.45">
      <c r="A69" s="561"/>
      <c r="B69" s="1184"/>
      <c r="C69" s="71" t="s">
        <v>385</v>
      </c>
      <c r="D69" s="16"/>
      <c r="E69" s="35" t="s">
        <v>68</v>
      </c>
      <c r="F69" s="89"/>
      <c r="G69" s="90">
        <f>0.055/100*(G74+(G71/G73))</f>
        <v>3.0799999999999998E-3</v>
      </c>
      <c r="H69" s="89"/>
      <c r="I69" s="90">
        <f>0.055/100*(I74+(I71/I73))</f>
        <v>3.0799999999999998E-3</v>
      </c>
      <c r="J69" s="89"/>
      <c r="K69" s="90">
        <f t="shared" ref="K69:K70" si="298">0.055/100*(K74+(K71/K73))</f>
        <v>3.0799999999999998E-3</v>
      </c>
      <c r="L69" s="89"/>
      <c r="M69" s="90">
        <f t="shared" ref="M69:M70" si="299">0.055/100*(M74+(M71/M73))</f>
        <v>3.0799999999999998E-3</v>
      </c>
      <c r="N69" s="373"/>
      <c r="O69" s="374"/>
      <c r="P69" s="373"/>
      <c r="Q69" s="374"/>
      <c r="R69" s="373"/>
      <c r="S69" s="374"/>
      <c r="T69" s="373"/>
      <c r="U69" s="374"/>
      <c r="V69" s="373"/>
      <c r="W69" s="374"/>
      <c r="X69" s="373"/>
      <c r="Y69" s="374"/>
      <c r="Z69" s="373"/>
      <c r="AA69" s="374"/>
      <c r="AB69" s="373"/>
      <c r="AC69" s="374"/>
      <c r="AD69" s="373"/>
      <c r="AE69" s="374"/>
      <c r="AF69" s="620"/>
      <c r="AG69" s="639"/>
      <c r="AH69" s="373"/>
      <c r="AI69" s="374">
        <f>0.055/100*(AI74+(AI71/AI73))</f>
        <v>3.5488943661971836E-3</v>
      </c>
      <c r="AJ69" s="373"/>
      <c r="AK69" s="374">
        <f>0.055/100*(AK74+(AK71/AK73))</f>
        <v>3.5488943661971836E-3</v>
      </c>
      <c r="AL69" s="373"/>
      <c r="AM69" s="374">
        <f>0.055/100*(AM74+(AM71/AM73))</f>
        <v>3.5488943661971836E-3</v>
      </c>
      <c r="AN69" s="728"/>
      <c r="AO69" s="728"/>
      <c r="AP69" s="728"/>
      <c r="AR69" s="373"/>
      <c r="AS69" s="374">
        <f>0.055/100*(AS74+(AS71/AS73))</f>
        <v>3.5488943661971836E-3</v>
      </c>
      <c r="AT69" s="373"/>
      <c r="AU69" s="374">
        <f>0.055/100*(AU74+(AU71/AU73))</f>
        <v>3.5488943661971836E-3</v>
      </c>
      <c r="AV69" s="373"/>
      <c r="AW69" s="374">
        <f>0.055/100*(AW74+(AW71/AW73))</f>
        <v>3.5488943661971836E-3</v>
      </c>
      <c r="AX69" s="728"/>
      <c r="AY69" s="728"/>
      <c r="AZ69" s="728"/>
      <c r="BB69" s="373"/>
      <c r="BC69" s="374">
        <f>0.055/100*(BC74+(BC71/BC73))</f>
        <v>3.5488943661971836E-3</v>
      </c>
      <c r="BD69" s="373"/>
      <c r="BE69" s="374">
        <f>0.055/100*(BE74+(BE71/BE73))</f>
        <v>3.5488943661971836E-3</v>
      </c>
      <c r="BF69" s="373"/>
      <c r="BG69" s="374">
        <f>0.055/100*(BG74+(BG71/BG73))</f>
        <v>3.5488943661971836E-3</v>
      </c>
      <c r="BH69" s="728"/>
      <c r="BI69" s="728"/>
      <c r="BJ69" s="728"/>
      <c r="BL69" s="373">
        <f>7-BM67</f>
        <v>0</v>
      </c>
      <c r="BM69" s="374">
        <v>-2.5510211267605776E-2</v>
      </c>
      <c r="BN69" s="373"/>
      <c r="BO69" s="374">
        <f>BM69</f>
        <v>-2.5510211267605776E-2</v>
      </c>
      <c r="BP69" s="373"/>
      <c r="BQ69" s="374">
        <f>BO69</f>
        <v>-2.5510211267605776E-2</v>
      </c>
      <c r="BR69" s="728"/>
      <c r="BS69" s="728"/>
      <c r="BT69" s="728"/>
      <c r="BV69" s="373">
        <f>7-BW67</f>
        <v>0</v>
      </c>
      <c r="BW69" s="374">
        <v>-2.5510211267605776E-2</v>
      </c>
      <c r="BY69" s="373">
        <f>7-BZ67</f>
        <v>0.34999999999999964</v>
      </c>
      <c r="BZ69" s="374">
        <v>-2.5510211267605776E-2</v>
      </c>
      <c r="CA69" s="373">
        <f>7-CB67</f>
        <v>0.34999999999999964</v>
      </c>
      <c r="CB69" s="374">
        <v>-2.5510211267605776E-2</v>
      </c>
      <c r="CC69" s="373">
        <f>7-CD67</f>
        <v>0.34999999999999964</v>
      </c>
      <c r="CD69" s="374">
        <v>-2.5510211267605776E-2</v>
      </c>
      <c r="CF69" s="373">
        <f>7-CG67</f>
        <v>-0.15000000000000036</v>
      </c>
      <c r="CG69" s="374">
        <v>-2.5510211267605776E-2</v>
      </c>
      <c r="CH69" s="373">
        <f>7-CI67</f>
        <v>-0.15000000000000036</v>
      </c>
      <c r="CI69" s="374">
        <v>-2.5510211267605776E-2</v>
      </c>
      <c r="CJ69" s="373">
        <f>7-CK67</f>
        <v>-0.15000000000000036</v>
      </c>
      <c r="CK69" s="374">
        <v>-2.5510211267605776E-2</v>
      </c>
      <c r="CM69" s="373">
        <f>7.15-CN67</f>
        <v>0</v>
      </c>
      <c r="CN69" s="374">
        <v>-2.5403961267605801E-2</v>
      </c>
      <c r="CO69" s="373">
        <f>7-CP67</f>
        <v>-0.14989375000000038</v>
      </c>
      <c r="CP69" s="374">
        <v>-2.5510211267605776E-2</v>
      </c>
      <c r="CQ69" s="373">
        <f>7-CR67</f>
        <v>-0.14989375000000038</v>
      </c>
      <c r="CR69" s="374">
        <v>-2.5510211267605776E-2</v>
      </c>
      <c r="CT69" s="373">
        <f>6.6-CU67</f>
        <v>-3.038749999999979E-3</v>
      </c>
      <c r="CU69" s="374"/>
      <c r="CV69" s="373"/>
      <c r="CW69" s="374">
        <f>CU69</f>
        <v>0</v>
      </c>
      <c r="CX69" s="373"/>
      <c r="CY69" s="374">
        <f>CW69</f>
        <v>0</v>
      </c>
      <c r="DA69" s="373">
        <f>6.6-DB67</f>
        <v>-1.1530387500000003</v>
      </c>
      <c r="DB69" s="374"/>
      <c r="DC69" s="373"/>
      <c r="DD69" s="374">
        <f>DB69</f>
        <v>0</v>
      </c>
      <c r="DE69" s="373"/>
      <c r="DF69" s="374">
        <f>DD69</f>
        <v>0</v>
      </c>
      <c r="DH69" s="373">
        <f>6.6-DI67</f>
        <v>-0.60303875000000051</v>
      </c>
      <c r="DI69" s="374"/>
      <c r="DJ69" s="373"/>
      <c r="DK69" s="374">
        <f>DI69</f>
        <v>0</v>
      </c>
      <c r="DL69" s="373"/>
      <c r="DM69" s="374">
        <f>DK69</f>
        <v>0</v>
      </c>
    </row>
    <row r="70" spans="1:117" s="4" customFormat="1" ht="18" customHeight="1" x14ac:dyDescent="0.45">
      <c r="A70" s="561"/>
      <c r="B70" s="1184"/>
      <c r="C70" s="15" t="s">
        <v>67</v>
      </c>
      <c r="D70" s="16"/>
      <c r="E70" s="35" t="s">
        <v>68</v>
      </c>
      <c r="F70" s="89"/>
      <c r="G70" s="90">
        <f>0.055/100*(G75+(G72/G74))</f>
        <v>2.7141187626804667E-3</v>
      </c>
      <c r="H70" s="89"/>
      <c r="I70" s="90">
        <f>0.055/100*(I75+(I72/I74))</f>
        <v>2.7156003398930684E-3</v>
      </c>
      <c r="J70" s="89"/>
      <c r="K70" s="90">
        <f t="shared" si="298"/>
        <v>2.7156003398930684E-3</v>
      </c>
      <c r="L70" s="89"/>
      <c r="M70" s="90">
        <f t="shared" si="299"/>
        <v>2.7156003398930684E-3</v>
      </c>
      <c r="N70" s="373"/>
      <c r="O70" s="374">
        <f>0.0425/100*(6.05-O64)</f>
        <v>2.2949999999999997E-3</v>
      </c>
      <c r="P70" s="373"/>
      <c r="Q70" s="374">
        <f>0.0425/100*(6.05-Q64)</f>
        <v>2.2949999999999997E-3</v>
      </c>
      <c r="R70" s="373"/>
      <c r="S70" s="374">
        <f>0.0425/100*(6.05-S64)</f>
        <v>2.2949999999999997E-3</v>
      </c>
      <c r="T70" s="373"/>
      <c r="U70" s="374">
        <f>0.0425/100*(6.05-U64)</f>
        <v>2.2949999999999997E-3</v>
      </c>
      <c r="V70" s="373"/>
      <c r="W70" s="374">
        <f>0.0425/100*(6.05-W64)</f>
        <v>2.2949999999999997E-3</v>
      </c>
      <c r="X70" s="373"/>
      <c r="Y70" s="374">
        <f>0.0425/100*(6.05-Y64)</f>
        <v>2.2949999999999997E-3</v>
      </c>
      <c r="Z70" s="373"/>
      <c r="AA70" s="374">
        <f>0.0425/100*(6.05-AA64)</f>
        <v>2.2949999999999997E-3</v>
      </c>
      <c r="AB70" s="373"/>
      <c r="AC70" s="374">
        <f>0.0425/100*(6.05-AC64)</f>
        <v>2.2949999999999997E-3</v>
      </c>
      <c r="AD70" s="373"/>
      <c r="AE70" s="374">
        <f>0.0425/100*(6.05-AE64)</f>
        <v>2.2949999999999997E-3</v>
      </c>
      <c r="AF70" s="620"/>
      <c r="AG70" s="639"/>
      <c r="AH70" s="373"/>
      <c r="AI70" s="374">
        <f>0.055/100*(AI75+(AI72/AI74))</f>
        <v>3.052539695886764E-3</v>
      </c>
      <c r="AJ70" s="373"/>
      <c r="AK70" s="374">
        <f>0.055/100*(AK75+(AK72/AK74))</f>
        <v>3.052539695886764E-3</v>
      </c>
      <c r="AL70" s="373"/>
      <c r="AM70" s="374">
        <f>0.055/100*(AM75+(AM72/AM74))</f>
        <v>3.052539695886764E-3</v>
      </c>
      <c r="AN70" s="728"/>
      <c r="AO70" s="728"/>
      <c r="AP70" s="728"/>
      <c r="AR70" s="373"/>
      <c r="AS70" s="374">
        <f>0.055/100*(AS75+(AS72/AS74))</f>
        <v>3.052539695886764E-3</v>
      </c>
      <c r="AT70" s="373"/>
      <c r="AU70" s="374">
        <f>0.055/100*(AU75+(AU72/AU74))</f>
        <v>3.052539695886764E-3</v>
      </c>
      <c r="AV70" s="373"/>
      <c r="AW70" s="374">
        <f>0.055/100*(AW75+(AW72/AW74))</f>
        <v>3.052539695886764E-3</v>
      </c>
      <c r="AX70" s="728"/>
      <c r="AY70" s="728"/>
      <c r="AZ70" s="728"/>
      <c r="BB70" s="373"/>
      <c r="BC70" s="374">
        <f>0.055/100*(BC75+(BC72/BC74))</f>
        <v>3.052539695886764E-3</v>
      </c>
      <c r="BD70" s="373"/>
      <c r="BE70" s="374">
        <f>0.055/100*(BE75+(BE72/BE74))</f>
        <v>3.052539695886764E-3</v>
      </c>
      <c r="BF70" s="373"/>
      <c r="BG70" s="374">
        <f>0.055/100*(BG75+(BG72/BG74))</f>
        <v>3.052539695886764E-3</v>
      </c>
      <c r="BH70" s="728"/>
      <c r="BI70" s="728"/>
      <c r="BJ70" s="728"/>
      <c r="BL70" s="373"/>
      <c r="BM70" s="374">
        <f>0.0425/100*(7-BM64)</f>
        <v>2.9750000000000002E-3</v>
      </c>
      <c r="BN70" s="373"/>
      <c r="BO70" s="374">
        <f>0.0425/100*(7-BO64)</f>
        <v>2.9750000000000002E-3</v>
      </c>
      <c r="BP70" s="373"/>
      <c r="BQ70" s="374">
        <f>0.0425/100*(7-BQ64)</f>
        <v>2.9750000000000002E-3</v>
      </c>
      <c r="BR70" s="728"/>
      <c r="BS70" s="728"/>
      <c r="BT70" s="728"/>
      <c r="BV70" s="373"/>
      <c r="BW70" s="374">
        <f>0.0425/100*(7-BW64)</f>
        <v>2.9750000000000002E-3</v>
      </c>
      <c r="BY70" s="373"/>
      <c r="BZ70" s="374">
        <f>0.0425/100*(7-BZ64)</f>
        <v>2.9750000000000002E-3</v>
      </c>
      <c r="CA70" s="373"/>
      <c r="CB70" s="374">
        <f>0.0425/100*(7-CB64)</f>
        <v>2.9750000000000002E-3</v>
      </c>
      <c r="CC70" s="373"/>
      <c r="CD70" s="374">
        <f>0.0425/100*(7-CD64)</f>
        <v>2.9750000000000002E-3</v>
      </c>
      <c r="CF70" s="373"/>
      <c r="CG70" s="374">
        <f>0.0425/100*(7-CG64)</f>
        <v>2.9750000000000002E-3</v>
      </c>
      <c r="CH70" s="373"/>
      <c r="CI70" s="374">
        <f>0.0425/100*(7-CI64)</f>
        <v>2.9750000000000002E-3</v>
      </c>
      <c r="CJ70" s="373"/>
      <c r="CK70" s="374">
        <f>0.0425/100*(7-CK64)</f>
        <v>2.9750000000000002E-3</v>
      </c>
      <c r="CM70" s="373"/>
      <c r="CN70" s="374">
        <f>0.0425/100*(7-CN64)</f>
        <v>2.8687500000000002E-3</v>
      </c>
      <c r="CO70" s="373"/>
      <c r="CP70" s="374">
        <f>0.0425/100*(7-CP64)</f>
        <v>2.8687500000000002E-3</v>
      </c>
      <c r="CQ70" s="373"/>
      <c r="CR70" s="374">
        <f>0.0425/100*(7-CR64)</f>
        <v>2.8687500000000002E-3</v>
      </c>
      <c r="CT70" s="373"/>
      <c r="CU70" s="374">
        <f>0.0425/100*(7.15-CU64)</f>
        <v>3.0387500000000002E-3</v>
      </c>
      <c r="CV70" s="373"/>
      <c r="CW70" s="374">
        <f t="shared" ref="CW70" si="300">0.0425/100*(6.2-CW64)</f>
        <v>2.6350000000000002E-3</v>
      </c>
      <c r="CX70" s="373"/>
      <c r="CY70" s="374">
        <f t="shared" ref="CY70" si="301">0.0425/100*(6.2-CY64)</f>
        <v>2.6350000000000002E-3</v>
      </c>
      <c r="DA70" s="373"/>
      <c r="DB70" s="374">
        <f>0.0425/100*(7.15-DB64)</f>
        <v>3.0387500000000002E-3</v>
      </c>
      <c r="DC70" s="373"/>
      <c r="DD70" s="374">
        <f t="shared" ref="DD70" si="302">0.0425/100*(6.2-DD64)</f>
        <v>2.6350000000000002E-3</v>
      </c>
      <c r="DE70" s="373"/>
      <c r="DF70" s="374">
        <f t="shared" ref="DF70" si="303">0.0425/100*(6.2-DF64)</f>
        <v>2.6350000000000002E-3</v>
      </c>
      <c r="DH70" s="373"/>
      <c r="DI70" s="374">
        <f>0.0425/100*(7.15-DI64)</f>
        <v>3.0387500000000002E-3</v>
      </c>
      <c r="DJ70" s="373"/>
      <c r="DK70" s="374">
        <f t="shared" ref="DK70" si="304">0.0425/100*(6.2-DK64)</f>
        <v>2.6350000000000002E-3</v>
      </c>
      <c r="DL70" s="373"/>
      <c r="DM70" s="374">
        <f t="shared" ref="DM70" si="305">0.0425/100*(6.2-DM64)</f>
        <v>2.6350000000000002E-3</v>
      </c>
    </row>
    <row r="71" spans="1:117" s="4" customFormat="1" ht="18" customHeight="1" x14ac:dyDescent="0.45">
      <c r="A71" s="561"/>
      <c r="B71" s="1184"/>
      <c r="C71" s="15" t="s">
        <v>69</v>
      </c>
      <c r="D71" s="34" t="s">
        <v>70</v>
      </c>
      <c r="E71" s="16"/>
      <c r="F71" s="42"/>
      <c r="G71" s="91">
        <v>720</v>
      </c>
      <c r="H71" s="42"/>
      <c r="I71" s="91">
        <v>1150</v>
      </c>
      <c r="J71" s="42"/>
      <c r="K71" s="91">
        <v>1150</v>
      </c>
      <c r="L71" s="42"/>
      <c r="M71" s="91">
        <v>1150</v>
      </c>
      <c r="N71" s="359"/>
      <c r="O71" s="91">
        <v>1200</v>
      </c>
      <c r="P71" s="359"/>
      <c r="Q71" s="91">
        <v>1200</v>
      </c>
      <c r="R71" s="359"/>
      <c r="S71" s="91">
        <v>1200</v>
      </c>
      <c r="T71" s="359"/>
      <c r="U71" s="91">
        <v>1200</v>
      </c>
      <c r="V71" s="359"/>
      <c r="W71" s="91">
        <v>1200</v>
      </c>
      <c r="X71" s="359"/>
      <c r="Y71" s="91">
        <v>1200</v>
      </c>
      <c r="Z71" s="359"/>
      <c r="AA71" s="91">
        <v>1200</v>
      </c>
      <c r="AB71" s="359"/>
      <c r="AC71" s="91">
        <v>1200</v>
      </c>
      <c r="AD71" s="359"/>
      <c r="AE71" s="91">
        <v>1200</v>
      </c>
      <c r="AF71" s="620"/>
      <c r="AG71" s="632"/>
      <c r="AH71" s="860"/>
      <c r="AI71" s="91">
        <v>1500</v>
      </c>
      <c r="AJ71" s="359"/>
      <c r="AK71" s="91">
        <v>1500</v>
      </c>
      <c r="AL71" s="359"/>
      <c r="AM71" s="91">
        <v>1500</v>
      </c>
      <c r="AN71" s="729"/>
      <c r="AO71" s="729"/>
      <c r="AP71" s="729"/>
      <c r="AR71" s="359"/>
      <c r="AS71" s="91">
        <v>1500</v>
      </c>
      <c r="AT71" s="359"/>
      <c r="AU71" s="91">
        <v>1500</v>
      </c>
      <c r="AV71" s="359"/>
      <c r="AW71" s="91">
        <v>1500</v>
      </c>
      <c r="AX71" s="729"/>
      <c r="AY71" s="729"/>
      <c r="AZ71" s="729"/>
      <c r="BB71" s="359"/>
      <c r="BC71" s="91">
        <v>1500</v>
      </c>
      <c r="BD71" s="359"/>
      <c r="BE71" s="91">
        <v>1500</v>
      </c>
      <c r="BF71" s="359"/>
      <c r="BG71" s="91">
        <v>1500</v>
      </c>
      <c r="BH71" s="729"/>
      <c r="BI71" s="729"/>
      <c r="BJ71" s="729"/>
      <c r="BL71" s="359"/>
      <c r="BM71" s="91">
        <v>1500</v>
      </c>
      <c r="BN71" s="359"/>
      <c r="BO71" s="91">
        <v>1500</v>
      </c>
      <c r="BP71" s="359"/>
      <c r="BQ71" s="91">
        <v>1500</v>
      </c>
      <c r="BR71" s="729"/>
      <c r="BS71" s="729"/>
      <c r="BT71" s="729"/>
      <c r="BV71" s="359"/>
      <c r="BW71" s="91">
        <v>1500</v>
      </c>
      <c r="BY71" s="359"/>
      <c r="BZ71" s="91">
        <v>1500</v>
      </c>
      <c r="CA71" s="359"/>
      <c r="CB71" s="91">
        <v>1500</v>
      </c>
      <c r="CC71" s="359"/>
      <c r="CD71" s="91">
        <v>1500</v>
      </c>
      <c r="CF71" s="359"/>
      <c r="CG71" s="91">
        <v>1500</v>
      </c>
      <c r="CH71" s="359"/>
      <c r="CI71" s="91">
        <v>1500</v>
      </c>
      <c r="CJ71" s="359"/>
      <c r="CK71" s="91">
        <v>1500</v>
      </c>
      <c r="CM71" s="359"/>
      <c r="CN71" s="91">
        <v>1500</v>
      </c>
      <c r="CO71" s="359"/>
      <c r="CP71" s="91">
        <v>1500</v>
      </c>
      <c r="CQ71" s="359"/>
      <c r="CR71" s="91">
        <v>1500</v>
      </c>
      <c r="CT71" s="359"/>
      <c r="CU71" s="594">
        <v>0</v>
      </c>
      <c r="CV71" s="359"/>
      <c r="CW71" s="594">
        <v>1500</v>
      </c>
      <c r="CX71" s="359"/>
      <c r="CY71" s="594">
        <v>1500</v>
      </c>
      <c r="DA71" s="359"/>
      <c r="DB71" s="594">
        <v>0</v>
      </c>
      <c r="DC71" s="359"/>
      <c r="DD71" s="594">
        <v>1500</v>
      </c>
      <c r="DE71" s="359"/>
      <c r="DF71" s="594">
        <v>1500</v>
      </c>
      <c r="DH71" s="359"/>
      <c r="DI71" s="594">
        <v>0</v>
      </c>
      <c r="DJ71" s="359"/>
      <c r="DK71" s="594">
        <v>1500</v>
      </c>
      <c r="DL71" s="359"/>
      <c r="DM71" s="594">
        <v>1500</v>
      </c>
    </row>
    <row r="72" spans="1:117" s="97" customFormat="1" ht="18" customHeight="1" x14ac:dyDescent="0.45">
      <c r="A72" s="561"/>
      <c r="B72" s="1184"/>
      <c r="C72" s="92" t="str">
        <f>+C71</f>
        <v>Freight cost</v>
      </c>
      <c r="D72" s="93"/>
      <c r="E72" s="94" t="str">
        <f>+E69</f>
        <v xml:space="preserve">per carton USD </v>
      </c>
      <c r="F72" s="95"/>
      <c r="G72" s="96">
        <f>+G71/G73</f>
        <v>0.20281690140845071</v>
      </c>
      <c r="H72" s="95"/>
      <c r="I72" s="96">
        <f>+I71/I73</f>
        <v>0.323943661971831</v>
      </c>
      <c r="J72" s="95"/>
      <c r="K72" s="96">
        <f t="shared" ref="K72" si="306">+K71/K73</f>
        <v>0.323943661971831</v>
      </c>
      <c r="L72" s="95"/>
      <c r="M72" s="96">
        <f t="shared" ref="M72" si="307">+M71/M73</f>
        <v>0.323943661971831</v>
      </c>
      <c r="N72" s="375"/>
      <c r="O72" s="376">
        <f>+O71/O73</f>
        <v>0.3380281690140845</v>
      </c>
      <c r="P72" s="375"/>
      <c r="Q72" s="376">
        <f>+Q71/Q73</f>
        <v>0.3380281690140845</v>
      </c>
      <c r="R72" s="375"/>
      <c r="S72" s="376">
        <f>+S71/S73</f>
        <v>0.3380281690140845</v>
      </c>
      <c r="T72" s="375"/>
      <c r="U72" s="376">
        <f>+U71/U73</f>
        <v>0.3380281690140845</v>
      </c>
      <c r="V72" s="375"/>
      <c r="W72" s="376">
        <f>+W71/W73</f>
        <v>0.3380281690140845</v>
      </c>
      <c r="X72" s="375"/>
      <c r="Y72" s="376">
        <f>+Y71/Y73</f>
        <v>0.3380281690140845</v>
      </c>
      <c r="Z72" s="375"/>
      <c r="AA72" s="376">
        <f>+AA71/AA73</f>
        <v>0.3380281690140845</v>
      </c>
      <c r="AB72" s="375"/>
      <c r="AC72" s="376">
        <f>+AC71/AC73</f>
        <v>0.3380281690140845</v>
      </c>
      <c r="AD72" s="375"/>
      <c r="AE72" s="376">
        <f>+AE71/AE73</f>
        <v>0.3380281690140845</v>
      </c>
      <c r="AF72" s="620"/>
      <c r="AG72" s="662"/>
      <c r="AH72" s="860"/>
      <c r="AI72" s="376">
        <f>+AI71/AI73</f>
        <v>0.42253521126760563</v>
      </c>
      <c r="AJ72" s="375"/>
      <c r="AK72" s="376">
        <f>+AK71/AK73</f>
        <v>0.42253521126760563</v>
      </c>
      <c r="AL72" s="375"/>
      <c r="AM72" s="376">
        <f>+AM71/AM73</f>
        <v>0.42253521126760563</v>
      </c>
      <c r="AN72" s="725"/>
      <c r="AO72" s="725"/>
      <c r="AP72" s="725"/>
      <c r="AR72" s="375"/>
      <c r="AS72" s="376">
        <f>+AS71/AS73</f>
        <v>0.42253521126760563</v>
      </c>
      <c r="AT72" s="375"/>
      <c r="AU72" s="376">
        <f>+AU71/AU73</f>
        <v>0.42253521126760563</v>
      </c>
      <c r="AV72" s="375"/>
      <c r="AW72" s="376">
        <f>+AW71/AW73</f>
        <v>0.42253521126760563</v>
      </c>
      <c r="AX72" s="725"/>
      <c r="AY72" s="725"/>
      <c r="AZ72" s="725"/>
      <c r="BB72" s="375"/>
      <c r="BC72" s="376">
        <f>+BC71/BC73</f>
        <v>0.42253521126760563</v>
      </c>
      <c r="BD72" s="375"/>
      <c r="BE72" s="376">
        <f>+BE71/BE73</f>
        <v>0.42253521126760563</v>
      </c>
      <c r="BF72" s="375"/>
      <c r="BG72" s="376">
        <f>+BG71/BG73</f>
        <v>0.42253521126760563</v>
      </c>
      <c r="BH72" s="725"/>
      <c r="BI72" s="725"/>
      <c r="BJ72" s="725"/>
      <c r="BL72" s="375"/>
      <c r="BM72" s="376">
        <f>+BM71/BM73</f>
        <v>0.42253521126760563</v>
      </c>
      <c r="BN72" s="375"/>
      <c r="BO72" s="376">
        <f>+BO71/BO73</f>
        <v>0.42253521126760563</v>
      </c>
      <c r="BP72" s="375"/>
      <c r="BQ72" s="376">
        <f>+BQ71/BQ73</f>
        <v>0.42253521126760563</v>
      </c>
      <c r="BR72" s="725"/>
      <c r="BS72" s="725"/>
      <c r="BT72" s="725"/>
      <c r="BV72" s="375"/>
      <c r="BW72" s="376">
        <f>+BW71/BW73</f>
        <v>0.42253521126760563</v>
      </c>
      <c r="BY72" s="375"/>
      <c r="BZ72" s="376">
        <f>+BZ71/BZ73</f>
        <v>0.42253521126760563</v>
      </c>
      <c r="CA72" s="375"/>
      <c r="CB72" s="376">
        <f>+CB71/CB73</f>
        <v>0.42253521126760563</v>
      </c>
      <c r="CC72" s="375"/>
      <c r="CD72" s="376">
        <f>+CD71/CD73</f>
        <v>0.42253521126760563</v>
      </c>
      <c r="CF72" s="375"/>
      <c r="CG72" s="376">
        <f>+CG71/CG73</f>
        <v>0.42253521126760563</v>
      </c>
      <c r="CH72" s="375"/>
      <c r="CI72" s="376">
        <f>+CI71/CI73</f>
        <v>0.42253521126760563</v>
      </c>
      <c r="CJ72" s="375"/>
      <c r="CK72" s="376">
        <f>+CK71/CK73</f>
        <v>0.42253521126760563</v>
      </c>
      <c r="CM72" s="375"/>
      <c r="CN72" s="376">
        <f>+CN71/CN73</f>
        <v>0.42253521126760563</v>
      </c>
      <c r="CO72" s="375"/>
      <c r="CP72" s="376">
        <f>+CP71/CP73</f>
        <v>0.42253521126760563</v>
      </c>
      <c r="CQ72" s="375"/>
      <c r="CR72" s="376">
        <f>+CR71/CR73</f>
        <v>0.42253521126760563</v>
      </c>
      <c r="CT72" s="375"/>
      <c r="CU72" s="368">
        <f>+CU71/CU73</f>
        <v>0</v>
      </c>
      <c r="CV72" s="375"/>
      <c r="CW72" s="368">
        <f t="shared" ref="CW72" si="308">+CW71/CW73</f>
        <v>0.38739669421487605</v>
      </c>
      <c r="CX72" s="375"/>
      <c r="CY72" s="368">
        <f t="shared" ref="CY72" si="309">+CY71/CY73</f>
        <v>0.38739669421487605</v>
      </c>
      <c r="DA72" s="375"/>
      <c r="DB72" s="368">
        <f>+DB71/DB73</f>
        <v>0</v>
      </c>
      <c r="DC72" s="375"/>
      <c r="DD72" s="368">
        <f t="shared" ref="DD72" si="310">+DD71/DD73</f>
        <v>0.38739669421487605</v>
      </c>
      <c r="DE72" s="375"/>
      <c r="DF72" s="368">
        <f t="shared" ref="DF72" si="311">+DF71/DF73</f>
        <v>0.38739669421487605</v>
      </c>
      <c r="DH72" s="375"/>
      <c r="DI72" s="368">
        <f>+DI71/DI73</f>
        <v>0</v>
      </c>
      <c r="DJ72" s="375"/>
      <c r="DK72" s="368">
        <f t="shared" ref="DK72" si="312">+DK71/DK73</f>
        <v>0.38739669421487605</v>
      </c>
      <c r="DL72" s="375"/>
      <c r="DM72" s="368">
        <f t="shared" ref="DM72" si="313">+DM71/DM73</f>
        <v>0.38739669421487605</v>
      </c>
    </row>
    <row r="73" spans="1:117" s="4" customFormat="1" ht="18" customHeight="1" x14ac:dyDescent="0.45">
      <c r="A73" s="561"/>
      <c r="B73" s="1184"/>
      <c r="C73" s="15" t="s">
        <v>71</v>
      </c>
      <c r="D73" s="16"/>
      <c r="E73" s="35" t="s">
        <v>68</v>
      </c>
      <c r="F73" s="42"/>
      <c r="G73" s="88">
        <v>3550</v>
      </c>
      <c r="H73" s="42"/>
      <c r="I73" s="88">
        <v>3550</v>
      </c>
      <c r="J73" s="42"/>
      <c r="K73" s="88">
        <v>3550</v>
      </c>
      <c r="L73" s="42"/>
      <c r="M73" s="88">
        <v>3550</v>
      </c>
      <c r="N73" s="359"/>
      <c r="O73" s="372">
        <f>I73</f>
        <v>3550</v>
      </c>
      <c r="P73" s="359"/>
      <c r="Q73" s="372">
        <f>O73</f>
        <v>3550</v>
      </c>
      <c r="R73" s="359"/>
      <c r="S73" s="372">
        <f>Q73</f>
        <v>3550</v>
      </c>
      <c r="T73" s="359"/>
      <c r="U73" s="372">
        <f>O73</f>
        <v>3550</v>
      </c>
      <c r="V73" s="359"/>
      <c r="W73" s="372">
        <f>U73</f>
        <v>3550</v>
      </c>
      <c r="X73" s="359"/>
      <c r="Y73" s="372">
        <f>W73</f>
        <v>3550</v>
      </c>
      <c r="Z73" s="359"/>
      <c r="AA73" s="372">
        <f>U73</f>
        <v>3550</v>
      </c>
      <c r="AB73" s="359"/>
      <c r="AC73" s="372">
        <f>AA73</f>
        <v>3550</v>
      </c>
      <c r="AD73" s="359"/>
      <c r="AE73" s="372">
        <f>AC73</f>
        <v>3550</v>
      </c>
      <c r="AF73" s="620"/>
      <c r="AG73" s="632"/>
      <c r="AH73" s="359"/>
      <c r="AI73" s="372">
        <f>O73</f>
        <v>3550</v>
      </c>
      <c r="AJ73" s="359"/>
      <c r="AK73" s="372">
        <f>Q73</f>
        <v>3550</v>
      </c>
      <c r="AL73" s="359"/>
      <c r="AM73" s="372">
        <f>AI73</f>
        <v>3550</v>
      </c>
      <c r="AN73" s="725"/>
      <c r="AO73" s="725"/>
      <c r="AP73" s="725"/>
      <c r="AR73" s="359"/>
      <c r="AS73" s="372">
        <f>AI73</f>
        <v>3550</v>
      </c>
      <c r="AT73" s="359"/>
      <c r="AU73" s="372">
        <f>AK73</f>
        <v>3550</v>
      </c>
      <c r="AV73" s="359"/>
      <c r="AW73" s="372">
        <f>AS73</f>
        <v>3550</v>
      </c>
      <c r="AX73" s="725"/>
      <c r="AY73" s="725"/>
      <c r="AZ73" s="725"/>
      <c r="BB73" s="359"/>
      <c r="BC73" s="372">
        <f>AS73</f>
        <v>3550</v>
      </c>
      <c r="BD73" s="359"/>
      <c r="BE73" s="372">
        <f>AU73</f>
        <v>3550</v>
      </c>
      <c r="BF73" s="359"/>
      <c r="BG73" s="372">
        <f>BC73</f>
        <v>3550</v>
      </c>
      <c r="BH73" s="725"/>
      <c r="BI73" s="725"/>
      <c r="BJ73" s="725"/>
      <c r="BL73" s="359"/>
      <c r="BM73" s="372">
        <f>BC73</f>
        <v>3550</v>
      </c>
      <c r="BN73" s="359"/>
      <c r="BO73" s="372">
        <f>BE73</f>
        <v>3550</v>
      </c>
      <c r="BP73" s="359"/>
      <c r="BQ73" s="372">
        <f>BM73</f>
        <v>3550</v>
      </c>
      <c r="BR73" s="725"/>
      <c r="BS73" s="725"/>
      <c r="BT73" s="725"/>
      <c r="BV73" s="359"/>
      <c r="BW73" s="372">
        <f>BM73</f>
        <v>3550</v>
      </c>
      <c r="BY73" s="359"/>
      <c r="BZ73" s="372">
        <f>CG73</f>
        <v>3550</v>
      </c>
      <c r="CA73" s="359"/>
      <c r="CB73" s="372">
        <f>CG73</f>
        <v>3550</v>
      </c>
      <c r="CC73" s="359"/>
      <c r="CD73" s="372">
        <f>CG73</f>
        <v>3550</v>
      </c>
      <c r="CF73" s="359"/>
      <c r="CG73" s="372">
        <f>BM73</f>
        <v>3550</v>
      </c>
      <c r="CH73" s="359"/>
      <c r="CI73" s="372">
        <f>BO73</f>
        <v>3550</v>
      </c>
      <c r="CJ73" s="359"/>
      <c r="CK73" s="372">
        <f>BQ73</f>
        <v>3550</v>
      </c>
      <c r="CM73" s="359"/>
      <c r="CN73" s="372">
        <f>CG73</f>
        <v>3550</v>
      </c>
      <c r="CO73" s="359"/>
      <c r="CP73" s="372">
        <f>CI73</f>
        <v>3550</v>
      </c>
      <c r="CQ73" s="359"/>
      <c r="CR73" s="372">
        <f>CK73</f>
        <v>3550</v>
      </c>
      <c r="CT73" s="359"/>
      <c r="CU73" s="372">
        <v>3872</v>
      </c>
      <c r="CV73" s="359"/>
      <c r="CW73" s="372">
        <v>3872</v>
      </c>
      <c r="CX73" s="359"/>
      <c r="CY73" s="372">
        <v>3872</v>
      </c>
      <c r="DA73" s="359"/>
      <c r="DB73" s="372">
        <v>3872</v>
      </c>
      <c r="DC73" s="359"/>
      <c r="DD73" s="372">
        <v>3872</v>
      </c>
      <c r="DE73" s="359"/>
      <c r="DF73" s="372">
        <v>3872</v>
      </c>
      <c r="DH73" s="359"/>
      <c r="DI73" s="372">
        <v>3872</v>
      </c>
      <c r="DJ73" s="359"/>
      <c r="DK73" s="372">
        <v>3872</v>
      </c>
      <c r="DL73" s="359"/>
      <c r="DM73" s="372">
        <v>3872</v>
      </c>
    </row>
    <row r="74" spans="1:117" s="7" customFormat="1" ht="18" customHeight="1" x14ac:dyDescent="0.45">
      <c r="A74" s="561"/>
      <c r="B74" s="1184"/>
      <c r="C74" s="78" t="s">
        <v>72</v>
      </c>
      <c r="D74" s="79"/>
      <c r="E74" s="80" t="s">
        <v>68</v>
      </c>
      <c r="F74" s="81"/>
      <c r="G74" s="82">
        <f>G67-G72</f>
        <v>5.3971830985915492</v>
      </c>
      <c r="H74" s="81"/>
      <c r="I74" s="82">
        <f>I67-I72</f>
        <v>5.2760563380281686</v>
      </c>
      <c r="J74" s="81"/>
      <c r="K74" s="82">
        <f t="shared" ref="K74" si="314">K67-K72</f>
        <v>5.2760563380281686</v>
      </c>
      <c r="L74" s="81"/>
      <c r="M74" s="82">
        <f t="shared" ref="M74" si="315">M67-M72</f>
        <v>5.2760563380281686</v>
      </c>
      <c r="N74" s="81"/>
      <c r="O74" s="82">
        <f>5.4+0.26+0.05</f>
        <v>5.71</v>
      </c>
      <c r="P74" s="81"/>
      <c r="Q74" s="82">
        <f>5.4+0.26+0.05</f>
        <v>5.71</v>
      </c>
      <c r="R74" s="81"/>
      <c r="S74" s="82">
        <f>5.4+0.26+0.05</f>
        <v>5.71</v>
      </c>
      <c r="T74" s="81"/>
      <c r="U74" s="82">
        <f>5.4+0.26+0.05</f>
        <v>5.71</v>
      </c>
      <c r="V74" s="81"/>
      <c r="W74" s="82">
        <f>5.4+0.26+0.05</f>
        <v>5.71</v>
      </c>
      <c r="X74" s="81"/>
      <c r="Y74" s="82">
        <f>5.4+0.26+0.05</f>
        <v>5.71</v>
      </c>
      <c r="Z74" s="81"/>
      <c r="AA74" s="82">
        <f>5.4+0.26+0.05</f>
        <v>5.71</v>
      </c>
      <c r="AB74" s="81"/>
      <c r="AC74" s="82">
        <f>5.4+0.26+0.05</f>
        <v>5.71</v>
      </c>
      <c r="AD74" s="81"/>
      <c r="AE74" s="82">
        <f>5.4+0.26+0.05</f>
        <v>5.71</v>
      </c>
      <c r="AF74" s="620"/>
      <c r="AG74" s="691"/>
      <c r="AH74" s="81"/>
      <c r="AI74" s="82">
        <f>5.4+0.26+0.05+0.32</f>
        <v>6.03</v>
      </c>
      <c r="AJ74" s="81"/>
      <c r="AK74" s="82">
        <f>5.4+0.26+0.05+0.32</f>
        <v>6.03</v>
      </c>
      <c r="AL74" s="81"/>
      <c r="AM74" s="82">
        <f>5.4+0.26+0.05+0.32</f>
        <v>6.03</v>
      </c>
      <c r="AN74" s="726"/>
      <c r="AO74" s="726"/>
      <c r="AP74" s="726"/>
      <c r="AR74" s="81"/>
      <c r="AS74" s="82">
        <f>5.4+0.26+0.05+0.32</f>
        <v>6.03</v>
      </c>
      <c r="AT74" s="81"/>
      <c r="AU74" s="82">
        <f>5.4+0.26+0.05+0.32</f>
        <v>6.03</v>
      </c>
      <c r="AV74" s="81"/>
      <c r="AW74" s="82">
        <f>5.4+0.26+0.05+0.32</f>
        <v>6.03</v>
      </c>
      <c r="AX74" s="726"/>
      <c r="AY74" s="726"/>
      <c r="AZ74" s="726"/>
      <c r="BB74" s="81"/>
      <c r="BC74" s="82">
        <f>5.4+0.26+0.05+0.32</f>
        <v>6.03</v>
      </c>
      <c r="BD74" s="81"/>
      <c r="BE74" s="82">
        <f>5.4+0.26+0.05+0.32</f>
        <v>6.03</v>
      </c>
      <c r="BF74" s="81"/>
      <c r="BG74" s="82">
        <f>5.4+0.26+0.05+0.32</f>
        <v>6.03</v>
      </c>
      <c r="BH74" s="726"/>
      <c r="BI74" s="726"/>
      <c r="BJ74" s="726"/>
      <c r="BL74" s="81"/>
      <c r="BM74" s="82">
        <f>7.08-0.5+0.02</f>
        <v>6.6</v>
      </c>
      <c r="BN74" s="81"/>
      <c r="BO74" s="82">
        <f>BM74</f>
        <v>6.6</v>
      </c>
      <c r="BP74" s="81"/>
      <c r="BQ74" s="82">
        <f>BO74</f>
        <v>6.6</v>
      </c>
      <c r="BR74" s="726"/>
      <c r="BS74" s="726"/>
      <c r="BT74" s="726"/>
      <c r="BV74" s="81"/>
      <c r="BW74" s="82">
        <f>BM74</f>
        <v>6.6</v>
      </c>
      <c r="BY74" s="81"/>
      <c r="BZ74" s="82">
        <f>7.08-0.5+0.02+0.25-0.25-0.35</f>
        <v>6.25</v>
      </c>
      <c r="CA74" s="81"/>
      <c r="CB74" s="82">
        <f>7.08-0.5+0.02+0.25-0.25-0.35</f>
        <v>6.25</v>
      </c>
      <c r="CC74" s="81"/>
      <c r="CD74" s="82">
        <f>7.08-0.5+0.02+0.25-0.25-0.35</f>
        <v>6.25</v>
      </c>
      <c r="CF74" s="81"/>
      <c r="CG74" s="82">
        <f>7.08-0.5+0.02+0.25-0.1</f>
        <v>6.75</v>
      </c>
      <c r="CH74" s="81"/>
      <c r="CI74" s="82">
        <f>7.08-0.5+0.02+0.25-0.1</f>
        <v>6.75</v>
      </c>
      <c r="CJ74" s="81"/>
      <c r="CK74" s="82">
        <f>7.08-0.5+0.02+0.25-0.1</f>
        <v>6.75</v>
      </c>
      <c r="CM74" s="81"/>
      <c r="CN74" s="82">
        <f>7.08-0.5+0.02+0.25-0.1</f>
        <v>6.75</v>
      </c>
      <c r="CO74" s="81"/>
      <c r="CP74" s="82">
        <f>7.08-0.5+0.02+0.25-0.1</f>
        <v>6.75</v>
      </c>
      <c r="CQ74" s="81"/>
      <c r="CR74" s="82">
        <f>7.08-0.5+0.02+0.25-0.1</f>
        <v>6.75</v>
      </c>
      <c r="CT74" s="550"/>
      <c r="CU74" s="82">
        <v>6.6</v>
      </c>
      <c r="CV74" s="81"/>
      <c r="CW74" s="82">
        <f>CU74</f>
        <v>6.6</v>
      </c>
      <c r="CX74" s="81"/>
      <c r="CY74" s="82">
        <f>CW74</f>
        <v>6.6</v>
      </c>
      <c r="DA74" s="550"/>
      <c r="DB74" s="82">
        <f>6.6+1.11+0.04</f>
        <v>7.75</v>
      </c>
      <c r="DC74" s="81"/>
      <c r="DD74" s="82">
        <f>DB74</f>
        <v>7.75</v>
      </c>
      <c r="DE74" s="81"/>
      <c r="DF74" s="82">
        <f>DD74</f>
        <v>7.75</v>
      </c>
      <c r="DH74" s="550"/>
      <c r="DI74" s="82">
        <v>7.2</v>
      </c>
      <c r="DJ74" s="81"/>
      <c r="DK74" s="82">
        <f>DI74</f>
        <v>7.2</v>
      </c>
      <c r="DL74" s="81"/>
      <c r="DM74" s="82">
        <f>DK74</f>
        <v>7.2</v>
      </c>
    </row>
    <row r="75" spans="1:117" s="7" customFormat="1" ht="18" customHeight="1" x14ac:dyDescent="0.45">
      <c r="A75" s="561"/>
      <c r="B75" s="1184"/>
      <c r="C75" s="78" t="s">
        <v>73</v>
      </c>
      <c r="D75" s="79"/>
      <c r="E75" s="80" t="s">
        <v>68</v>
      </c>
      <c r="F75" s="81"/>
      <c r="G75" s="82">
        <f>G63-G72</f>
        <v>4.8971830985915492</v>
      </c>
      <c r="H75" s="81"/>
      <c r="I75" s="82">
        <f>I63-I72</f>
        <v>4.8760563380281683</v>
      </c>
      <c r="J75" s="81"/>
      <c r="K75" s="82">
        <f t="shared" ref="K75" si="316">K63-K72</f>
        <v>4.8760563380281683</v>
      </c>
      <c r="L75" s="81"/>
      <c r="M75" s="82">
        <f t="shared" ref="M75" si="317">M63-M72</f>
        <v>4.8760563380281683</v>
      </c>
      <c r="N75" s="81"/>
      <c r="O75" s="82">
        <f>O63-O72</f>
        <v>5.0622950000000007</v>
      </c>
      <c r="P75" s="81"/>
      <c r="Q75" s="82">
        <f>Q63-Q72</f>
        <v>5.0622950000000007</v>
      </c>
      <c r="R75" s="81"/>
      <c r="S75" s="82">
        <f>S63-S72</f>
        <v>5.0622950000000007</v>
      </c>
      <c r="T75" s="81"/>
      <c r="U75" s="82">
        <f>U63-U72</f>
        <v>5.0622950000000007</v>
      </c>
      <c r="V75" s="81"/>
      <c r="W75" s="82">
        <f>W63-W72</f>
        <v>5.0622950000000007</v>
      </c>
      <c r="X75" s="81"/>
      <c r="Y75" s="82">
        <f>Y63-Y72</f>
        <v>5.0622950000000007</v>
      </c>
      <c r="Z75" s="81"/>
      <c r="AA75" s="82">
        <f>AA63-AA72</f>
        <v>5.0622950000000007</v>
      </c>
      <c r="AB75" s="81"/>
      <c r="AC75" s="82">
        <f>AC63-AC72</f>
        <v>5.0622950000000007</v>
      </c>
      <c r="AD75" s="81"/>
      <c r="AE75" s="82">
        <f>AE63-AE72</f>
        <v>5.0622950000000007</v>
      </c>
      <c r="AF75" s="620"/>
      <c r="AG75" s="691"/>
      <c r="AH75" s="81"/>
      <c r="AI75" s="82">
        <f>AI63-AI72</f>
        <v>5.48</v>
      </c>
      <c r="AJ75" s="81"/>
      <c r="AK75" s="82">
        <f>AK63-AK72</f>
        <v>5.48</v>
      </c>
      <c r="AL75" s="81"/>
      <c r="AM75" s="82">
        <f>AM63-AM72</f>
        <v>5.48</v>
      </c>
      <c r="AN75" s="726"/>
      <c r="AO75" s="726"/>
      <c r="AP75" s="726"/>
      <c r="AR75" s="81"/>
      <c r="AS75" s="82">
        <f>AS63-AS72</f>
        <v>5.48</v>
      </c>
      <c r="AT75" s="81"/>
      <c r="AU75" s="82">
        <f>AU63-AU72</f>
        <v>5.48</v>
      </c>
      <c r="AV75" s="81"/>
      <c r="AW75" s="82">
        <f>AW63-AW72</f>
        <v>5.48</v>
      </c>
      <c r="AX75" s="726"/>
      <c r="AY75" s="726"/>
      <c r="AZ75" s="726"/>
      <c r="BB75" s="81"/>
      <c r="BC75" s="82">
        <f>BC63-BC72</f>
        <v>5.48</v>
      </c>
      <c r="BD75" s="81"/>
      <c r="BE75" s="82">
        <f>BE63-BE72</f>
        <v>5.48</v>
      </c>
      <c r="BF75" s="81"/>
      <c r="BG75" s="82">
        <f>BG63-BG72</f>
        <v>5.48</v>
      </c>
      <c r="BH75" s="726"/>
      <c r="BI75" s="726"/>
      <c r="BJ75" s="726"/>
      <c r="BL75" s="81"/>
      <c r="BM75" s="82">
        <f>BM63-BM72</f>
        <v>6.577464788732394</v>
      </c>
      <c r="BN75" s="81"/>
      <c r="BO75" s="82">
        <f>BO63-BO72</f>
        <v>6.577464788732394</v>
      </c>
      <c r="BP75" s="81"/>
      <c r="BQ75" s="82">
        <f>BQ63-BQ72</f>
        <v>6.577464788732394</v>
      </c>
      <c r="BR75" s="726"/>
      <c r="BS75" s="726"/>
      <c r="BT75" s="726"/>
      <c r="BV75" s="81"/>
      <c r="BW75" s="82">
        <f>BW63-BW72</f>
        <v>6.577464788732394</v>
      </c>
      <c r="BY75" s="81"/>
      <c r="BZ75" s="82">
        <f>BZ63-BZ72</f>
        <v>6.2274647887323944</v>
      </c>
      <c r="CA75" s="81"/>
      <c r="CB75" s="82">
        <f>CB63-CB72</f>
        <v>6.2274647887323944</v>
      </c>
      <c r="CC75" s="81"/>
      <c r="CD75" s="82">
        <f>CD63-CD72</f>
        <v>6.2274647887323944</v>
      </c>
      <c r="CF75" s="81"/>
      <c r="CG75" s="82">
        <f>CG63-CG72</f>
        <v>6.7274647887323944</v>
      </c>
      <c r="CH75" s="81"/>
      <c r="CI75" s="82">
        <f>CI63-CI72</f>
        <v>6.7274647887323944</v>
      </c>
      <c r="CJ75" s="81"/>
      <c r="CK75" s="82">
        <f>CK63-CK72</f>
        <v>6.7274647887323944</v>
      </c>
      <c r="CM75" s="81"/>
      <c r="CN75" s="82">
        <f>CN63-CN72</f>
        <v>6.4774647887323944</v>
      </c>
      <c r="CO75" s="81"/>
      <c r="CP75" s="82">
        <f>CP63-CP72</f>
        <v>6.4773585387323944</v>
      </c>
      <c r="CQ75" s="81"/>
      <c r="CR75" s="82">
        <f>CR63-CR72</f>
        <v>6.4773585387323944</v>
      </c>
      <c r="CT75" s="81"/>
      <c r="CU75" s="82">
        <f>CU63-CU72</f>
        <v>6.6030387499999996</v>
      </c>
      <c r="CV75" s="81"/>
      <c r="CW75" s="82">
        <f t="shared" ref="CW75" si="318">CW63-CW72</f>
        <v>6.6026349999999994</v>
      </c>
      <c r="CX75" s="81"/>
      <c r="CY75" s="82">
        <f t="shared" ref="CY75" si="319">CY63-CY72</f>
        <v>6.6026349999999994</v>
      </c>
      <c r="DA75" s="81"/>
      <c r="DB75" s="82">
        <f>DB63-DB72</f>
        <v>7.75303875</v>
      </c>
      <c r="DC75" s="81"/>
      <c r="DD75" s="82">
        <f t="shared" ref="DD75" si="320">DD63-DD72</f>
        <v>7.7526350000000006</v>
      </c>
      <c r="DE75" s="81"/>
      <c r="DF75" s="82">
        <f t="shared" ref="DF75" si="321">DF63-DF72</f>
        <v>7.7526350000000006</v>
      </c>
      <c r="DH75" s="81"/>
      <c r="DI75" s="82">
        <f>DI63-DI72</f>
        <v>7.2030387500000002</v>
      </c>
      <c r="DJ75" s="81"/>
      <c r="DK75" s="82">
        <f t="shared" ref="DK75" si="322">DK63-DK72</f>
        <v>7.2026349999999999</v>
      </c>
      <c r="DL75" s="81"/>
      <c r="DM75" s="82">
        <f t="shared" ref="DM75" si="323">DM63-DM72</f>
        <v>7.2026349999999999</v>
      </c>
    </row>
    <row r="76" spans="1:117" s="103" customFormat="1" ht="18" customHeight="1" x14ac:dyDescent="0.45">
      <c r="A76" s="561"/>
      <c r="B76" s="1184"/>
      <c r="C76" s="98"/>
      <c r="D76" s="99"/>
      <c r="E76" s="100" t="s">
        <v>74</v>
      </c>
      <c r="F76" s="101"/>
      <c r="G76" s="102">
        <f>+G74/G10</f>
        <v>0.13492957746478873</v>
      </c>
      <c r="H76" s="101"/>
      <c r="I76" s="102">
        <f>+I74/I10</f>
        <v>0.13190140845070422</v>
      </c>
      <c r="J76" s="101"/>
      <c r="K76" s="102">
        <f>+K74/K10</f>
        <v>0.13190140845070422</v>
      </c>
      <c r="L76" s="101"/>
      <c r="M76" s="102">
        <f>+M74/M10</f>
        <v>0.13190140845070422</v>
      </c>
      <c r="N76" s="101"/>
      <c r="O76" s="102">
        <f>+O74/O10</f>
        <v>0.14274999999999999</v>
      </c>
      <c r="P76" s="101"/>
      <c r="Q76" s="102">
        <f>+Q74/Q10</f>
        <v>0.14274999999999999</v>
      </c>
      <c r="R76" s="101"/>
      <c r="S76" s="102">
        <f>+S74/S10</f>
        <v>0.14274999999999999</v>
      </c>
      <c r="T76" s="101"/>
      <c r="U76" s="102">
        <f>+U74/U10</f>
        <v>0.14274999999999999</v>
      </c>
      <c r="V76" s="101"/>
      <c r="W76" s="102">
        <f>+W74/W10</f>
        <v>0.14274999999999999</v>
      </c>
      <c r="X76" s="101"/>
      <c r="Y76" s="102">
        <f>+Y74/Y10</f>
        <v>0.14274999999999999</v>
      </c>
      <c r="Z76" s="101"/>
      <c r="AA76" s="102">
        <f>+AA74/AA10</f>
        <v>0.14274999999999999</v>
      </c>
      <c r="AB76" s="101"/>
      <c r="AC76" s="102">
        <f>+AC74/AC10</f>
        <v>0.14274999999999999</v>
      </c>
      <c r="AD76" s="101"/>
      <c r="AE76" s="102">
        <f>+AE74/AE10</f>
        <v>0.14274999999999999</v>
      </c>
      <c r="AF76" s="620"/>
      <c r="AG76" s="711"/>
      <c r="AH76" s="101"/>
      <c r="AI76" s="102">
        <f>+AI74/AI10</f>
        <v>0.15075</v>
      </c>
      <c r="AJ76" s="101"/>
      <c r="AK76" s="102">
        <f>+AK74/AK10</f>
        <v>0.15075</v>
      </c>
      <c r="AL76" s="101"/>
      <c r="AM76" s="102">
        <f>+AM74/AM10</f>
        <v>0.15075</v>
      </c>
      <c r="AN76" s="726"/>
      <c r="AO76" s="726"/>
      <c r="AP76" s="726"/>
      <c r="AR76" s="101"/>
      <c r="AS76" s="102">
        <f>+AS74/AS10</f>
        <v>0.15075</v>
      </c>
      <c r="AT76" s="101"/>
      <c r="AU76" s="102">
        <f>+AU74/AU10</f>
        <v>0.15075</v>
      </c>
      <c r="AV76" s="101"/>
      <c r="AW76" s="102">
        <f>+AW74/AW10</f>
        <v>0.15075</v>
      </c>
      <c r="AX76" s="726"/>
      <c r="AY76" s="726"/>
      <c r="AZ76" s="726"/>
      <c r="BB76" s="101"/>
      <c r="BC76" s="102">
        <f>+BC74/BC10</f>
        <v>0.15075</v>
      </c>
      <c r="BD76" s="101"/>
      <c r="BE76" s="102">
        <f>+BE74/BE10</f>
        <v>0.15075</v>
      </c>
      <c r="BF76" s="101"/>
      <c r="BG76" s="102">
        <f>+BG74/BG10</f>
        <v>0.15075</v>
      </c>
      <c r="BH76" s="726"/>
      <c r="BI76" s="726"/>
      <c r="BJ76" s="726"/>
      <c r="BL76" s="101"/>
      <c r="BM76" s="102">
        <f>+BM74/BM10</f>
        <v>0.16499999999999998</v>
      </c>
      <c r="BN76" s="101"/>
      <c r="BO76" s="102">
        <f>+BO74/BO10</f>
        <v>0.16499999999999998</v>
      </c>
      <c r="BP76" s="101"/>
      <c r="BQ76" s="102">
        <f>+BQ74/BQ10</f>
        <v>0.16499999999999998</v>
      </c>
      <c r="BR76" s="726"/>
      <c r="BS76" s="726"/>
      <c r="BT76" s="726"/>
      <c r="BV76" s="101"/>
      <c r="BW76" s="102">
        <f>+BW74/BW10</f>
        <v>0.16499999999999998</v>
      </c>
      <c r="BY76" s="101"/>
      <c r="BZ76" s="102">
        <f>+BZ74/BZ10</f>
        <v>0.15625</v>
      </c>
      <c r="CA76" s="101"/>
      <c r="CB76" s="102">
        <f>+CB74/CB10</f>
        <v>0.15625</v>
      </c>
      <c r="CC76" s="101"/>
      <c r="CD76" s="102">
        <f>+CD74/CD10</f>
        <v>0.15625</v>
      </c>
      <c r="CF76" s="101"/>
      <c r="CG76" s="102">
        <f>+CG74/CG10</f>
        <v>0.16875000000000001</v>
      </c>
      <c r="CH76" s="101"/>
      <c r="CI76" s="102">
        <f>+CI74/CI10</f>
        <v>0.16875000000000001</v>
      </c>
      <c r="CJ76" s="101"/>
      <c r="CK76" s="102">
        <f>+CK74/CK10</f>
        <v>0.16875000000000001</v>
      </c>
      <c r="CM76" s="101"/>
      <c r="CN76" s="102">
        <f>+CN74/CN10</f>
        <v>0.16875000000000001</v>
      </c>
      <c r="CO76" s="101"/>
      <c r="CP76" s="102">
        <f>+CP74/CP10</f>
        <v>0.16875000000000001</v>
      </c>
      <c r="CQ76" s="101"/>
      <c r="CR76" s="102">
        <f>+CR74/CR10</f>
        <v>0.16875000000000001</v>
      </c>
      <c r="CT76" s="101"/>
      <c r="CU76" s="82">
        <f>+CU74/CU10</f>
        <v>0.16499999999999998</v>
      </c>
      <c r="CV76" s="101"/>
      <c r="CW76" s="82">
        <f>+CW74/CW10</f>
        <v>0.16499999999999998</v>
      </c>
      <c r="CX76" s="101"/>
      <c r="CY76" s="82">
        <f>+CY74/CY10</f>
        <v>0.16499999999999998</v>
      </c>
      <c r="DA76" s="101"/>
      <c r="DB76" s="82">
        <f>+DB74/DB10</f>
        <v>0.19375000000000001</v>
      </c>
      <c r="DC76" s="101"/>
      <c r="DD76" s="82">
        <f>+DD74/DD10</f>
        <v>0.19375000000000001</v>
      </c>
      <c r="DE76" s="101"/>
      <c r="DF76" s="82">
        <f>+DF74/DF10</f>
        <v>0.19375000000000001</v>
      </c>
      <c r="DH76" s="101"/>
      <c r="DI76" s="82">
        <f>+DI74/DI10</f>
        <v>0.18</v>
      </c>
      <c r="DJ76" s="101"/>
      <c r="DK76" s="82">
        <f>+DK74/DK10</f>
        <v>0.18</v>
      </c>
      <c r="DL76" s="101"/>
      <c r="DM76" s="82">
        <f>+DM74/DM10</f>
        <v>0.18</v>
      </c>
    </row>
    <row r="77" spans="1:117" s="4" customFormat="1" ht="18" customHeight="1" thickBot="1" x14ac:dyDescent="0.5">
      <c r="A77" s="561"/>
      <c r="B77" s="1184"/>
      <c r="C77" s="104"/>
      <c r="D77" s="105"/>
      <c r="E77" s="105"/>
      <c r="F77" s="106"/>
      <c r="G77" s="107"/>
      <c r="H77" s="106"/>
      <c r="I77" s="107"/>
      <c r="J77" s="106"/>
      <c r="K77" s="107"/>
      <c r="L77" s="106"/>
      <c r="M77" s="107"/>
      <c r="N77" s="377"/>
      <c r="O77" s="378"/>
      <c r="P77" s="377"/>
      <c r="Q77" s="378"/>
      <c r="R77" s="377"/>
      <c r="S77" s="378"/>
      <c r="T77" s="377"/>
      <c r="U77" s="378"/>
      <c r="V77" s="377"/>
      <c r="W77" s="378"/>
      <c r="X77" s="377"/>
      <c r="Y77" s="378"/>
      <c r="Z77" s="377"/>
      <c r="AA77" s="378"/>
      <c r="AB77" s="377"/>
      <c r="AC77" s="378"/>
      <c r="AD77" s="377"/>
      <c r="AE77" s="378"/>
      <c r="AF77" s="620"/>
      <c r="AG77" s="670"/>
      <c r="AH77" s="377"/>
      <c r="AI77" s="378"/>
      <c r="AJ77" s="377"/>
      <c r="AK77" s="378"/>
      <c r="AL77" s="377"/>
      <c r="AM77" s="378"/>
      <c r="AN77" s="725"/>
      <c r="AO77" s="725"/>
      <c r="AP77" s="725"/>
      <c r="AR77" s="377"/>
      <c r="AS77" s="378"/>
      <c r="AT77" s="377"/>
      <c r="AU77" s="378"/>
      <c r="AV77" s="377"/>
      <c r="AW77" s="378"/>
      <c r="AX77" s="725"/>
      <c r="AY77" s="725"/>
      <c r="AZ77" s="725"/>
      <c r="BB77" s="377"/>
      <c r="BC77" s="378"/>
      <c r="BD77" s="377"/>
      <c r="BE77" s="378"/>
      <c r="BF77" s="377"/>
      <c r="BG77" s="378"/>
      <c r="BH77" s="725"/>
      <c r="BI77" s="725"/>
      <c r="BJ77" s="725"/>
      <c r="BL77" s="377"/>
      <c r="BM77" s="378"/>
      <c r="BN77" s="377"/>
      <c r="BO77" s="378"/>
      <c r="BP77" s="377"/>
      <c r="BQ77" s="378"/>
      <c r="BR77" s="725"/>
      <c r="BS77" s="725"/>
      <c r="BT77" s="725"/>
      <c r="BV77" s="377"/>
      <c r="BW77" s="378"/>
      <c r="BY77" s="377"/>
      <c r="BZ77" s="378"/>
      <c r="CA77" s="377"/>
      <c r="CB77" s="378"/>
      <c r="CC77" s="377"/>
      <c r="CD77" s="378"/>
      <c r="CF77" s="377"/>
      <c r="CG77" s="378"/>
      <c r="CH77" s="377"/>
      <c r="CI77" s="378"/>
      <c r="CJ77" s="377"/>
      <c r="CK77" s="378"/>
      <c r="CM77" s="377"/>
      <c r="CN77" s="378"/>
      <c r="CO77" s="377"/>
      <c r="CP77" s="378"/>
      <c r="CQ77" s="377"/>
      <c r="CR77" s="378"/>
      <c r="CT77" s="377"/>
      <c r="CU77" s="595"/>
      <c r="CV77" s="377"/>
      <c r="CW77" s="595"/>
      <c r="CX77" s="377"/>
      <c r="CY77" s="595"/>
      <c r="DA77" s="377"/>
      <c r="DB77" s="595"/>
      <c r="DC77" s="377"/>
      <c r="DD77" s="595"/>
      <c r="DE77" s="377"/>
      <c r="DF77" s="595"/>
      <c r="DH77" s="377"/>
      <c r="DI77" s="595"/>
      <c r="DJ77" s="377"/>
      <c r="DK77" s="595"/>
      <c r="DL77" s="377"/>
      <c r="DM77" s="595"/>
    </row>
    <row r="78" spans="1:117" s="4" customFormat="1" ht="18" customHeight="1" thickTop="1" x14ac:dyDescent="0.45">
      <c r="A78" s="561"/>
      <c r="B78" s="1240" t="s">
        <v>75</v>
      </c>
      <c r="C78" s="110" t="s">
        <v>76</v>
      </c>
      <c r="D78" s="109"/>
      <c r="E78" s="110" t="s">
        <v>77</v>
      </c>
      <c r="F78" s="111"/>
      <c r="G78" s="112">
        <f>G81+G79</f>
        <v>4.55258978879362</v>
      </c>
      <c r="H78" s="111"/>
      <c r="I78" s="112">
        <f>I81+I79</f>
        <v>4.7424272172985571</v>
      </c>
      <c r="J78" s="111"/>
      <c r="K78" s="112">
        <f t="shared" ref="K78" si="324">K81+K79</f>
        <v>4.7424272172985571</v>
      </c>
      <c r="L78" s="111"/>
      <c r="M78" s="112">
        <f t="shared" ref="M78" si="325">M81+M79</f>
        <v>4.7424272172985571</v>
      </c>
      <c r="N78" s="111"/>
      <c r="O78" s="112">
        <f>O81+O79</f>
        <v>4.9685145308318805</v>
      </c>
      <c r="P78" s="111"/>
      <c r="Q78" s="112">
        <f>Q81+Q79</f>
        <v>4.9685145308318805</v>
      </c>
      <c r="R78" s="111"/>
      <c r="S78" s="112">
        <f>S81+S79</f>
        <v>4.9685145308318805</v>
      </c>
      <c r="T78" s="111"/>
      <c r="U78" s="112">
        <f>U81+U79</f>
        <v>5.1276792008947956</v>
      </c>
      <c r="V78" s="111"/>
      <c r="W78" s="112">
        <f>W81+W79</f>
        <v>5.1276792008947956</v>
      </c>
      <c r="X78" s="111"/>
      <c r="Y78" s="112">
        <f>Y81+Y79</f>
        <v>5.1276792008947956</v>
      </c>
      <c r="Z78" s="111"/>
      <c r="AA78" s="112">
        <f>AA81+AA79</f>
        <v>5.3565413608411028</v>
      </c>
      <c r="AB78" s="111"/>
      <c r="AC78" s="112">
        <f>AC81+AC79</f>
        <v>5.3565413608411028</v>
      </c>
      <c r="AD78" s="111"/>
      <c r="AE78" s="112">
        <f>AE81+AE79</f>
        <v>5.3565413608411028</v>
      </c>
      <c r="AF78" s="620"/>
      <c r="AG78" s="630"/>
      <c r="AH78" s="111"/>
      <c r="AI78" s="112">
        <f>AI81+AI79</f>
        <v>5.3565413608411028</v>
      </c>
      <c r="AJ78" s="111"/>
      <c r="AK78" s="112">
        <f>AK81+AK79</f>
        <v>5.3565413608411028</v>
      </c>
      <c r="AL78" s="111"/>
      <c r="AM78" s="112">
        <f>AM81+AM79</f>
        <v>5.3565413608411028</v>
      </c>
      <c r="AN78" s="730"/>
      <c r="AO78" s="730"/>
      <c r="AP78" s="730"/>
      <c r="AR78" s="111"/>
      <c r="AS78" s="112">
        <f>AS81+AS79</f>
        <v>5.3565413608411028</v>
      </c>
      <c r="AT78" s="111"/>
      <c r="AU78" s="112">
        <f>AU81+AU79</f>
        <v>5.3565413608411028</v>
      </c>
      <c r="AV78" s="111"/>
      <c r="AW78" s="112">
        <f>AW81+AW79</f>
        <v>5.3565413608411028</v>
      </c>
      <c r="AX78" s="730"/>
      <c r="AY78" s="730"/>
      <c r="AZ78" s="730"/>
      <c r="BB78" s="111"/>
      <c r="BC78" s="112">
        <f>BC81+BC79</f>
        <v>5.3565413608411028</v>
      </c>
      <c r="BD78" s="111"/>
      <c r="BE78" s="112">
        <f>BE81+BE79</f>
        <v>5.3565413608411028</v>
      </c>
      <c r="BF78" s="111"/>
      <c r="BG78" s="112">
        <f>BG81+BG79</f>
        <v>5.3565413608411028</v>
      </c>
      <c r="BH78" s="730"/>
      <c r="BI78" s="730"/>
      <c r="BJ78" s="730"/>
      <c r="BL78" s="111"/>
      <c r="BM78" s="112">
        <f>BM81+BM79</f>
        <v>5.3565413608411028</v>
      </c>
      <c r="BN78" s="111"/>
      <c r="BO78" s="112">
        <f>BO81+BO79</f>
        <v>5.3565413608411028</v>
      </c>
      <c r="BP78" s="111"/>
      <c r="BQ78" s="112">
        <f>BQ81+BQ79</f>
        <v>5.3565413608411028</v>
      </c>
      <c r="BR78" s="730"/>
      <c r="BS78" s="730"/>
      <c r="BT78" s="730"/>
      <c r="BV78" s="111"/>
      <c r="BW78" s="112">
        <f>BW81+BW79</f>
        <v>6.140766712953778</v>
      </c>
      <c r="BY78" s="111"/>
      <c r="BZ78" s="112">
        <f>BZ81+BZ79</f>
        <v>6.0466822059115248</v>
      </c>
      <c r="CA78" s="111"/>
      <c r="CB78" s="112">
        <f>CB81+CB79</f>
        <v>6.0466822059115248</v>
      </c>
      <c r="CC78" s="111"/>
      <c r="CD78" s="112">
        <f>CD81+CD79</f>
        <v>6.0466822059115248</v>
      </c>
      <c r="CF78" s="111"/>
      <c r="CG78" s="112">
        <f>CG81+CG79</f>
        <v>6.0466822059115248</v>
      </c>
      <c r="CH78" s="111"/>
      <c r="CI78" s="112">
        <f>CI81+CI79</f>
        <v>6.0466822059115248</v>
      </c>
      <c r="CJ78" s="111"/>
      <c r="CK78" s="112">
        <f>CK81+CK79</f>
        <v>6.0466822059115248</v>
      </c>
      <c r="CM78" s="111"/>
      <c r="CN78" s="112">
        <f>CN81+CN79</f>
        <v>6.669217417179131</v>
      </c>
      <c r="CO78" s="111"/>
      <c r="CP78" s="112">
        <f>CP81+CP79</f>
        <v>6.669217417179131</v>
      </c>
      <c r="CQ78" s="111"/>
      <c r="CR78" s="112">
        <f>CR81+CR79</f>
        <v>6.669217417179131</v>
      </c>
      <c r="CT78" s="111"/>
      <c r="CU78" s="112">
        <f>CU81+CU79</f>
        <v>6.1463049994179952</v>
      </c>
      <c r="CV78" s="111"/>
      <c r="CW78" s="112">
        <f t="shared" ref="CW78" si="326">CW81+CW79</f>
        <v>6.1463049994179952</v>
      </c>
      <c r="CX78" s="111"/>
      <c r="CY78" s="112">
        <f t="shared" ref="CY78" si="327">CY81+CY79</f>
        <v>6.1463049994179952</v>
      </c>
      <c r="DA78" s="111"/>
      <c r="DB78" s="112">
        <f>DB81+DB79</f>
        <v>6.1463049994179952</v>
      </c>
      <c r="DC78" s="111"/>
      <c r="DD78" s="112">
        <f t="shared" ref="DD78" si="328">DD81+DD79</f>
        <v>6.1463049994179952</v>
      </c>
      <c r="DE78" s="111"/>
      <c r="DF78" s="112">
        <f t="shared" ref="DF78" si="329">DF81+DF79</f>
        <v>6.1463049994179952</v>
      </c>
      <c r="DH78" s="111"/>
      <c r="DI78" s="112">
        <f>DI81+DI79</f>
        <v>6.1463049994179952</v>
      </c>
      <c r="DJ78" s="111"/>
      <c r="DK78" s="112">
        <f t="shared" ref="DK78" si="330">DK81+DK79</f>
        <v>6.1463049994179952</v>
      </c>
      <c r="DL78" s="111"/>
      <c r="DM78" s="112">
        <f t="shared" ref="DM78" si="331">DM81+DM79</f>
        <v>6.1463049994179952</v>
      </c>
    </row>
    <row r="79" spans="1:117" s="4" customFormat="1" ht="18" customHeight="1" x14ac:dyDescent="0.45">
      <c r="A79" s="561"/>
      <c r="B79" s="1241"/>
      <c r="C79" s="115" t="s">
        <v>78</v>
      </c>
      <c r="D79" s="114"/>
      <c r="E79" s="115" t="s">
        <v>77</v>
      </c>
      <c r="F79" s="116"/>
      <c r="G79" s="117">
        <f>G122</f>
        <v>0.12821118148910329</v>
      </c>
      <c r="H79" s="116"/>
      <c r="I79" s="117">
        <f>I122</f>
        <v>0.12821118148910329</v>
      </c>
      <c r="J79" s="116"/>
      <c r="K79" s="117">
        <f t="shared" ref="K79" si="332">K122</f>
        <v>0.12821118148910329</v>
      </c>
      <c r="L79" s="116"/>
      <c r="M79" s="117">
        <f t="shared" ref="M79" si="333">M122</f>
        <v>0.12821118148910329</v>
      </c>
      <c r="N79" s="116"/>
      <c r="O79" s="117">
        <f>O122</f>
        <v>0.12837234675659592</v>
      </c>
      <c r="P79" s="116"/>
      <c r="Q79" s="117">
        <f>Q122</f>
        <v>0.12837234675659592</v>
      </c>
      <c r="R79" s="116"/>
      <c r="S79" s="117">
        <f>S122</f>
        <v>0.12837234675659592</v>
      </c>
      <c r="T79" s="116"/>
      <c r="U79" s="117">
        <f>U122</f>
        <v>0.12837234675659592</v>
      </c>
      <c r="V79" s="116"/>
      <c r="W79" s="117">
        <f>W122</f>
        <v>0.12837234675659592</v>
      </c>
      <c r="X79" s="116"/>
      <c r="Y79" s="117">
        <f>Y122</f>
        <v>0.12837234675659592</v>
      </c>
      <c r="Z79" s="116"/>
      <c r="AA79" s="117">
        <f>AA122</f>
        <v>0.12837234675659592</v>
      </c>
      <c r="AB79" s="116"/>
      <c r="AC79" s="117">
        <f>AC122</f>
        <v>0.12837234675659592</v>
      </c>
      <c r="AD79" s="116"/>
      <c r="AE79" s="117">
        <f>AE122</f>
        <v>0.12837234675659592</v>
      </c>
      <c r="AF79" s="620"/>
      <c r="AG79" s="693"/>
      <c r="AH79" s="116"/>
      <c r="AI79" s="117">
        <f>AI122</f>
        <v>0.12837234675659592</v>
      </c>
      <c r="AJ79" s="116"/>
      <c r="AK79" s="117">
        <f>AK122</f>
        <v>0.12837234675659592</v>
      </c>
      <c r="AL79" s="116"/>
      <c r="AM79" s="117">
        <f>AM122</f>
        <v>0.12837234675659592</v>
      </c>
      <c r="AN79" s="731"/>
      <c r="AO79" s="731"/>
      <c r="AP79" s="731"/>
      <c r="AR79" s="116"/>
      <c r="AS79" s="117">
        <f>AS122</f>
        <v>0.12837234675659592</v>
      </c>
      <c r="AT79" s="116"/>
      <c r="AU79" s="117">
        <f>AU122</f>
        <v>0.12837234675659592</v>
      </c>
      <c r="AV79" s="116"/>
      <c r="AW79" s="117">
        <f>AW122</f>
        <v>0.12837234675659592</v>
      </c>
      <c r="AX79" s="731"/>
      <c r="AY79" s="731"/>
      <c r="AZ79" s="731"/>
      <c r="BB79" s="116"/>
      <c r="BC79" s="117">
        <f>BC122</f>
        <v>0.12837234675659592</v>
      </c>
      <c r="BD79" s="116"/>
      <c r="BE79" s="117">
        <f>BE122</f>
        <v>0.12837234675659592</v>
      </c>
      <c r="BF79" s="116"/>
      <c r="BG79" s="117">
        <f>BG122</f>
        <v>0.12837234675659592</v>
      </c>
      <c r="BH79" s="731"/>
      <c r="BI79" s="731"/>
      <c r="BJ79" s="731"/>
      <c r="BL79" s="116"/>
      <c r="BM79" s="117">
        <f>BM122</f>
        <v>0.12837234675659592</v>
      </c>
      <c r="BN79" s="116"/>
      <c r="BO79" s="117">
        <f>BO122</f>
        <v>0.12837234675659592</v>
      </c>
      <c r="BP79" s="116"/>
      <c r="BQ79" s="117">
        <f>BQ122</f>
        <v>0.12837234675659592</v>
      </c>
      <c r="BR79" s="731"/>
      <c r="BS79" s="731"/>
      <c r="BT79" s="731"/>
      <c r="BV79" s="116"/>
      <c r="BW79" s="117">
        <f>BW122</f>
        <v>0.12837234675659592</v>
      </c>
      <c r="BY79" s="116"/>
      <c r="BZ79" s="117">
        <f>BZ122</f>
        <v>0.12837234675659592</v>
      </c>
      <c r="CA79" s="116"/>
      <c r="CB79" s="117">
        <f>CB122</f>
        <v>0.12837234675659592</v>
      </c>
      <c r="CC79" s="116"/>
      <c r="CD79" s="117">
        <f>CD122</f>
        <v>0.12837234675659592</v>
      </c>
      <c r="CF79" s="116"/>
      <c r="CG79" s="117">
        <f>CG122</f>
        <v>0.12837234675659592</v>
      </c>
      <c r="CH79" s="116"/>
      <c r="CI79" s="117">
        <f>CI122</f>
        <v>0.12837234675659592</v>
      </c>
      <c r="CJ79" s="116"/>
      <c r="CK79" s="117">
        <f>CK122</f>
        <v>0.12837234675659592</v>
      </c>
      <c r="CM79" s="116"/>
      <c r="CN79" s="117">
        <f>CN122</f>
        <v>0.12837234675659592</v>
      </c>
      <c r="CO79" s="116"/>
      <c r="CP79" s="117">
        <f>CP122</f>
        <v>0.12837234675659592</v>
      </c>
      <c r="CQ79" s="116"/>
      <c r="CR79" s="117">
        <f>CR122</f>
        <v>0.12837234675659592</v>
      </c>
      <c r="CT79" s="116"/>
      <c r="CU79" s="596">
        <f>CU122</f>
        <v>0.11813598533348853</v>
      </c>
      <c r="CV79" s="116"/>
      <c r="CW79" s="596">
        <f t="shared" ref="CW79" si="334">CW122</f>
        <v>0.11813598533348853</v>
      </c>
      <c r="CX79" s="116"/>
      <c r="CY79" s="596">
        <f t="shared" ref="CY79" si="335">CY122</f>
        <v>0.11813598533348853</v>
      </c>
      <c r="DA79" s="116"/>
      <c r="DB79" s="596">
        <f>DB122</f>
        <v>0.11813598533348853</v>
      </c>
      <c r="DC79" s="116"/>
      <c r="DD79" s="596">
        <f t="shared" ref="DD79" si="336">DD122</f>
        <v>0.11813598533348853</v>
      </c>
      <c r="DE79" s="116"/>
      <c r="DF79" s="596">
        <f t="shared" ref="DF79" si="337">DF122</f>
        <v>0.11813598533348853</v>
      </c>
      <c r="DH79" s="116"/>
      <c r="DI79" s="596">
        <f>DI122</f>
        <v>0.11813598533348853</v>
      </c>
      <c r="DJ79" s="116"/>
      <c r="DK79" s="596">
        <f t="shared" ref="DK79" si="338">DK122</f>
        <v>0.11813598533348853</v>
      </c>
      <c r="DL79" s="116"/>
      <c r="DM79" s="596">
        <f t="shared" ref="DM79" si="339">DM122</f>
        <v>0.11813598533348853</v>
      </c>
    </row>
    <row r="80" spans="1:117" s="4" customFormat="1" ht="18" customHeight="1" x14ac:dyDescent="0.45">
      <c r="A80" s="561"/>
      <c r="B80" s="1241"/>
      <c r="C80" s="16"/>
      <c r="D80" s="16"/>
      <c r="E80" s="16"/>
      <c r="F80" s="42"/>
      <c r="G80" s="88"/>
      <c r="H80" s="42"/>
      <c r="I80" s="88"/>
      <c r="J80" s="42"/>
      <c r="K80" s="88"/>
      <c r="L80" s="42"/>
      <c r="M80" s="88"/>
      <c r="N80" s="359"/>
      <c r="O80" s="685"/>
      <c r="P80" s="359"/>
      <c r="Q80" s="685"/>
      <c r="R80" s="359"/>
      <c r="S80" s="685"/>
      <c r="T80" s="359"/>
      <c r="U80" s="685"/>
      <c r="V80" s="359"/>
      <c r="W80" s="685"/>
      <c r="X80" s="359"/>
      <c r="Y80" s="685"/>
      <c r="Z80" s="359"/>
      <c r="AA80" s="685"/>
      <c r="AB80" s="359"/>
      <c r="AC80" s="685"/>
      <c r="AD80" s="359"/>
      <c r="AE80" s="685"/>
      <c r="AF80" s="620"/>
      <c r="AG80" s="679"/>
      <c r="AH80" s="359"/>
      <c r="AI80" s="685">
        <f>AI81-$O81</f>
        <v>0.38802683000922222</v>
      </c>
      <c r="AJ80" s="359"/>
      <c r="AK80" s="685">
        <f>AK81-$Q81</f>
        <v>0.38802683000922222</v>
      </c>
      <c r="AL80" s="359"/>
      <c r="AM80" s="685">
        <f>AM81-$S81</f>
        <v>0.38802683000922222</v>
      </c>
      <c r="AN80" s="725"/>
      <c r="AO80" s="725"/>
      <c r="AP80" s="725"/>
      <c r="AR80" s="359"/>
      <c r="AS80" s="685">
        <f>AS81-$O81</f>
        <v>0.38802683000922222</v>
      </c>
      <c r="AT80" s="359"/>
      <c r="AU80" s="685">
        <f>AU81-$Q81</f>
        <v>0.38802683000922222</v>
      </c>
      <c r="AV80" s="359"/>
      <c r="AW80" s="685">
        <f>AW81-$S81</f>
        <v>0.38802683000922222</v>
      </c>
      <c r="AX80" s="725"/>
      <c r="AY80" s="725"/>
      <c r="AZ80" s="725"/>
      <c r="BB80" s="359"/>
      <c r="BC80" s="685">
        <f>BC81-$O81</f>
        <v>0.38802683000922222</v>
      </c>
      <c r="BD80" s="359"/>
      <c r="BE80" s="685">
        <f>BE81-$Q81</f>
        <v>0.38802683000922222</v>
      </c>
      <c r="BF80" s="359"/>
      <c r="BG80" s="685">
        <f>BG81-$S81</f>
        <v>0.38802683000922222</v>
      </c>
      <c r="BH80" s="725"/>
      <c r="BI80" s="725"/>
      <c r="BJ80" s="725"/>
      <c r="BL80" s="359"/>
      <c r="BM80" s="685">
        <f>BM81-$O81</f>
        <v>0.38802683000922222</v>
      </c>
      <c r="BN80" s="359"/>
      <c r="BO80" s="685">
        <f>BO81-$Q81</f>
        <v>0.38802683000922222</v>
      </c>
      <c r="BP80" s="359"/>
      <c r="BQ80" s="685">
        <f>BQ81-$S81</f>
        <v>0.38802683000922222</v>
      </c>
      <c r="BR80" s="725"/>
      <c r="BS80" s="725"/>
      <c r="BT80" s="725"/>
      <c r="BV80" s="359"/>
      <c r="BW80" s="685">
        <f>BW81-$BM81</f>
        <v>0.78422535211267519</v>
      </c>
      <c r="BY80" s="359"/>
      <c r="BZ80" s="685">
        <f>BZ81-$BM81</f>
        <v>0.69014084507042206</v>
      </c>
      <c r="CA80" s="359"/>
      <c r="CB80" s="685">
        <f>CB81-$BM81</f>
        <v>0.69014084507042206</v>
      </c>
      <c r="CC80" s="359"/>
      <c r="CD80" s="685">
        <f>CD81-$BM81</f>
        <v>0.69014084507042206</v>
      </c>
      <c r="CF80" s="359"/>
      <c r="CG80" s="685">
        <f>CG81-$BM81</f>
        <v>0.69014084507042206</v>
      </c>
      <c r="CH80" s="359"/>
      <c r="CI80" s="685">
        <f>CI81-$BM81</f>
        <v>0.69014084507042206</v>
      </c>
      <c r="CJ80" s="359"/>
      <c r="CK80" s="685">
        <f>CK81-$BM81</f>
        <v>0.69014084507042206</v>
      </c>
      <c r="CM80" s="359"/>
      <c r="CN80" s="685">
        <f>CN81-$BM81</f>
        <v>1.3126760563380282</v>
      </c>
      <c r="CO80" s="359"/>
      <c r="CP80" s="685">
        <f>CP81-$BM81</f>
        <v>1.3126760563380282</v>
      </c>
      <c r="CQ80" s="359"/>
      <c r="CR80" s="685">
        <f>CR81-$BM81</f>
        <v>1.3126760563380282</v>
      </c>
      <c r="CT80" s="745"/>
      <c r="CU80" s="682"/>
      <c r="CV80" s="359"/>
      <c r="CW80" s="682">
        <f>CW81-BC81</f>
        <v>0.79999999999999982</v>
      </c>
      <c r="CX80" s="359"/>
      <c r="CY80" s="682">
        <f>CY81-BE81</f>
        <v>0.79999999999999982</v>
      </c>
      <c r="DA80" s="745"/>
      <c r="DB80" s="682"/>
      <c r="DC80" s="359"/>
      <c r="DD80" s="682">
        <f>DD81-BJ81</f>
        <v>5.9480005365373216</v>
      </c>
      <c r="DE80" s="359"/>
      <c r="DF80" s="682">
        <f>DF81-BL81</f>
        <v>6.028169014084507</v>
      </c>
      <c r="DH80" s="745"/>
      <c r="DI80" s="682"/>
      <c r="DJ80" s="359"/>
      <c r="DK80" s="682">
        <f>DK81-BR81</f>
        <v>5.9480005365373216</v>
      </c>
      <c r="DL80" s="359"/>
      <c r="DM80" s="682">
        <f>DM81-BT81</f>
        <v>5.9480005365373216</v>
      </c>
    </row>
    <row r="81" spans="1:117" s="4" customFormat="1" ht="18" customHeight="1" x14ac:dyDescent="0.45">
      <c r="A81" s="561"/>
      <c r="B81" s="1241"/>
      <c r="C81" s="20" t="s">
        <v>79</v>
      </c>
      <c r="D81" s="20"/>
      <c r="E81" s="30" t="str">
        <f>+E74</f>
        <v xml:space="preserve">per carton USD </v>
      </c>
      <c r="F81" s="66"/>
      <c r="G81" s="70">
        <f>'Pricing Structure - All SKU'!AI74</f>
        <v>4.4243786073045168</v>
      </c>
      <c r="H81" s="66"/>
      <c r="I81" s="70">
        <v>4.6142160358094539</v>
      </c>
      <c r="J81" s="66"/>
      <c r="K81" s="70">
        <v>4.6142160358094539</v>
      </c>
      <c r="L81" s="66"/>
      <c r="M81" s="70">
        <v>4.6142160358094539</v>
      </c>
      <c r="N81" s="552"/>
      <c r="O81" s="70">
        <f>O83/O86</f>
        <v>4.840142184075285</v>
      </c>
      <c r="P81" s="552"/>
      <c r="Q81" s="70">
        <f>Q83/Q86</f>
        <v>4.840142184075285</v>
      </c>
      <c r="R81" s="552"/>
      <c r="S81" s="70">
        <f>S83/S86</f>
        <v>4.840142184075285</v>
      </c>
      <c r="T81" s="552"/>
      <c r="U81" s="70">
        <f>U83/U86</f>
        <v>4.9993068541382</v>
      </c>
      <c r="V81" s="552"/>
      <c r="W81" s="70">
        <f>W83/W86</f>
        <v>4.9993068541382</v>
      </c>
      <c r="X81" s="552"/>
      <c r="Y81" s="70">
        <f>Y83/Y86</f>
        <v>4.9993068541382</v>
      </c>
      <c r="Z81" s="552"/>
      <c r="AA81" s="70">
        <f>AA83/AA86</f>
        <v>5.2281690140845072</v>
      </c>
      <c r="AB81" s="552"/>
      <c r="AC81" s="70">
        <f>AC83/AC86</f>
        <v>5.2281690140845072</v>
      </c>
      <c r="AD81" s="552"/>
      <c r="AE81" s="70">
        <f>AE83/AE86</f>
        <v>5.2281690140845072</v>
      </c>
      <c r="AF81" s="620"/>
      <c r="AG81" s="630"/>
      <c r="AH81" s="552"/>
      <c r="AI81" s="70">
        <f>AI83/AI86</f>
        <v>5.2281690140845072</v>
      </c>
      <c r="AJ81" s="552"/>
      <c r="AK81" s="70">
        <f>AK83/AK86</f>
        <v>5.2281690140845072</v>
      </c>
      <c r="AL81" s="552"/>
      <c r="AM81" s="70">
        <f>AM83/AM86</f>
        <v>5.2281690140845072</v>
      </c>
      <c r="AN81" s="724">
        <f>AI81/$O81-1</f>
        <v>8.0168477547184924E-2</v>
      </c>
      <c r="AO81" s="724">
        <f>AK81/$Q81-1</f>
        <v>8.0168477547184924E-2</v>
      </c>
      <c r="AP81" s="724">
        <f>AM81/$S81-1</f>
        <v>8.0168477547184924E-2</v>
      </c>
      <c r="AR81" s="552"/>
      <c r="AS81" s="70">
        <f>AS83/AS86</f>
        <v>5.2281690140845072</v>
      </c>
      <c r="AT81" s="552"/>
      <c r="AU81" s="70">
        <f>AU83/AU86</f>
        <v>5.2281690140845072</v>
      </c>
      <c r="AV81" s="552"/>
      <c r="AW81" s="70">
        <f>AW83/AW86</f>
        <v>5.2281690140845072</v>
      </c>
      <c r="AX81" s="724">
        <f>AS81/$O81-1</f>
        <v>8.0168477547184924E-2</v>
      </c>
      <c r="AY81" s="724">
        <f>AU81/$Q81-1</f>
        <v>8.0168477547184924E-2</v>
      </c>
      <c r="AZ81" s="724">
        <f>AW81/$S81-1</f>
        <v>8.0168477547184924E-2</v>
      </c>
      <c r="BB81" s="552"/>
      <c r="BC81" s="70">
        <f>BC83/BC86</f>
        <v>5.2281690140845072</v>
      </c>
      <c r="BD81" s="552"/>
      <c r="BE81" s="70">
        <f>BE83/BE86</f>
        <v>5.2281690140845072</v>
      </c>
      <c r="BF81" s="552"/>
      <c r="BG81" s="70">
        <f>BG83/BG86</f>
        <v>5.2281690140845072</v>
      </c>
      <c r="BH81" s="724">
        <f>BC81/$O81-1</f>
        <v>8.0168477547184924E-2</v>
      </c>
      <c r="BI81" s="724">
        <f>BE81/$Q81-1</f>
        <v>8.0168477547184924E-2</v>
      </c>
      <c r="BJ81" s="724">
        <f>BG81/$S81-1</f>
        <v>8.0168477547184924E-2</v>
      </c>
      <c r="BL81" s="552"/>
      <c r="BM81" s="70">
        <f>BM83/BM86</f>
        <v>5.2281690140845072</v>
      </c>
      <c r="BN81" s="552"/>
      <c r="BO81" s="70">
        <f>BO83/BO86</f>
        <v>5.2281690140845072</v>
      </c>
      <c r="BP81" s="552"/>
      <c r="BQ81" s="70">
        <f>BQ83/BQ86</f>
        <v>5.2281690140845072</v>
      </c>
      <c r="BR81" s="724">
        <f>BM81/$O81-1</f>
        <v>8.0168477547184924E-2</v>
      </c>
      <c r="BS81" s="724">
        <f>BO81/$Q81-1</f>
        <v>8.0168477547184924E-2</v>
      </c>
      <c r="BT81" s="724">
        <f>BQ81/$S81-1</f>
        <v>8.0168477547184924E-2</v>
      </c>
      <c r="BV81" s="552"/>
      <c r="BW81" s="70">
        <f>BW83/BW86</f>
        <v>6.0123943661971824</v>
      </c>
      <c r="BY81" s="552"/>
      <c r="BZ81" s="70">
        <f>BZ83/BZ86</f>
        <v>5.9183098591549292</v>
      </c>
      <c r="CA81" s="552"/>
      <c r="CB81" s="70">
        <f>CB83/CB86</f>
        <v>5.9183098591549292</v>
      </c>
      <c r="CC81" s="552"/>
      <c r="CD81" s="70">
        <f>CD83/CD86</f>
        <v>5.9183098591549292</v>
      </c>
      <c r="CF81" s="552"/>
      <c r="CG81" s="70">
        <f>CG83/CG86</f>
        <v>5.9183098591549292</v>
      </c>
      <c r="CH81" s="552"/>
      <c r="CI81" s="70">
        <f>CI83/CI86</f>
        <v>5.9183098591549292</v>
      </c>
      <c r="CJ81" s="552"/>
      <c r="CK81" s="70">
        <f>CK83/CK86</f>
        <v>5.9183098591549292</v>
      </c>
      <c r="CM81" s="552"/>
      <c r="CN81" s="70">
        <f>CN83/CN86</f>
        <v>6.5408450704225354</v>
      </c>
      <c r="CO81" s="552"/>
      <c r="CP81" s="70">
        <f>CP83/CP86</f>
        <v>6.5408450704225354</v>
      </c>
      <c r="CQ81" s="552"/>
      <c r="CR81" s="70">
        <f>CR83/CR86</f>
        <v>6.5408450704225354</v>
      </c>
      <c r="CT81" s="552"/>
      <c r="CU81" s="70">
        <f>CU83/CU86</f>
        <v>6.028169014084507</v>
      </c>
      <c r="CV81" s="552"/>
      <c r="CW81" s="70">
        <f t="shared" ref="CW81" si="340">CW83/CW86</f>
        <v>6.028169014084507</v>
      </c>
      <c r="CX81" s="552"/>
      <c r="CY81" s="70">
        <f t="shared" ref="CY81" si="341">CY83/CY86</f>
        <v>6.028169014084507</v>
      </c>
      <c r="DA81" s="552"/>
      <c r="DB81" s="70">
        <f>DB83/DB86</f>
        <v>6.028169014084507</v>
      </c>
      <c r="DC81" s="552"/>
      <c r="DD81" s="70">
        <f t="shared" ref="DD81" si="342">DD83/DD86</f>
        <v>6.028169014084507</v>
      </c>
      <c r="DE81" s="552"/>
      <c r="DF81" s="70">
        <f t="shared" ref="DF81" si="343">DF83/DF86</f>
        <v>6.028169014084507</v>
      </c>
      <c r="DH81" s="552"/>
      <c r="DI81" s="70">
        <f>DI83/DI86</f>
        <v>6.028169014084507</v>
      </c>
      <c r="DJ81" s="552"/>
      <c r="DK81" s="70">
        <f t="shared" ref="DK81" si="344">DK83/DK86</f>
        <v>6.028169014084507</v>
      </c>
      <c r="DL81" s="552"/>
      <c r="DM81" s="70">
        <f t="shared" ref="DM81" si="345">DM83/DM86</f>
        <v>6.028169014084507</v>
      </c>
    </row>
    <row r="82" spans="1:117" s="97" customFormat="1" ht="18" customHeight="1" x14ac:dyDescent="0.45">
      <c r="A82" s="561"/>
      <c r="B82" s="1241"/>
      <c r="C82" s="122"/>
      <c r="D82" s="122"/>
      <c r="E82" s="123" t="str">
        <f>+E76</f>
        <v xml:space="preserve">per pack USD </v>
      </c>
      <c r="F82" s="124"/>
      <c r="G82" s="125">
        <f>+G81/G10</f>
        <v>0.11060946518261291</v>
      </c>
      <c r="H82" s="124"/>
      <c r="I82" s="125">
        <f>+I81/I10</f>
        <v>0.11535540089523635</v>
      </c>
      <c r="J82" s="124"/>
      <c r="K82" s="125">
        <f>+K81/K10</f>
        <v>0.11535540089523635</v>
      </c>
      <c r="L82" s="124"/>
      <c r="M82" s="125">
        <f>+M81/M10</f>
        <v>0.11535540089523635</v>
      </c>
      <c r="N82" s="124"/>
      <c r="O82" s="125">
        <f>+O81/O10</f>
        <v>0.12100355460188213</v>
      </c>
      <c r="P82" s="124"/>
      <c r="Q82" s="125">
        <f>+Q81/Q10</f>
        <v>0.12100355460188213</v>
      </c>
      <c r="R82" s="124"/>
      <c r="S82" s="125">
        <f>+S81/S10</f>
        <v>0.12100355460188213</v>
      </c>
      <c r="T82" s="124"/>
      <c r="U82" s="125">
        <f>+U81/U10</f>
        <v>0.124982671353455</v>
      </c>
      <c r="V82" s="124"/>
      <c r="W82" s="125">
        <f>+W81/W10</f>
        <v>0.124982671353455</v>
      </c>
      <c r="X82" s="124"/>
      <c r="Y82" s="125">
        <f>+Y81/Y10</f>
        <v>0.124982671353455</v>
      </c>
      <c r="Z82" s="124"/>
      <c r="AA82" s="125">
        <f>+AA81/AA10</f>
        <v>0.13070422535211268</v>
      </c>
      <c r="AB82" s="124"/>
      <c r="AC82" s="125">
        <f>+AC81/AC10</f>
        <v>0.13070422535211268</v>
      </c>
      <c r="AD82" s="124"/>
      <c r="AE82" s="125">
        <f>+AE81/AE10</f>
        <v>0.13070422535211268</v>
      </c>
      <c r="AF82" s="620"/>
      <c r="AG82" s="662"/>
      <c r="AH82" s="124"/>
      <c r="AI82" s="125">
        <f>+AI81/AI10</f>
        <v>0.13070422535211268</v>
      </c>
      <c r="AJ82" s="124"/>
      <c r="AK82" s="125">
        <f>+AK81/AK10</f>
        <v>0.13070422535211268</v>
      </c>
      <c r="AL82" s="124"/>
      <c r="AM82" s="125">
        <f>+AM81/AM10</f>
        <v>0.13070422535211268</v>
      </c>
      <c r="AN82" s="724"/>
      <c r="AO82" s="724"/>
      <c r="AP82" s="724"/>
      <c r="AR82" s="124"/>
      <c r="AS82" s="125">
        <f>+AS81/AS10</f>
        <v>0.13070422535211268</v>
      </c>
      <c r="AT82" s="124"/>
      <c r="AU82" s="125">
        <f>+AU81/AU10</f>
        <v>0.13070422535211268</v>
      </c>
      <c r="AV82" s="124"/>
      <c r="AW82" s="125">
        <f>+AW81/AW10</f>
        <v>0.13070422535211268</v>
      </c>
      <c r="AX82" s="724"/>
      <c r="AY82" s="724"/>
      <c r="AZ82" s="724"/>
      <c r="BB82" s="124"/>
      <c r="BC82" s="125">
        <f>+BC81/BC10</f>
        <v>0.13070422535211268</v>
      </c>
      <c r="BD82" s="124"/>
      <c r="BE82" s="125">
        <f>+BE81/BE10</f>
        <v>0.13070422535211268</v>
      </c>
      <c r="BF82" s="124"/>
      <c r="BG82" s="125">
        <f>+BG81/BG10</f>
        <v>0.13070422535211268</v>
      </c>
      <c r="BH82" s="724"/>
      <c r="BI82" s="724"/>
      <c r="BJ82" s="724"/>
      <c r="BL82" s="124"/>
      <c r="BM82" s="125">
        <f>+BM81/BM10</f>
        <v>0.13070422535211268</v>
      </c>
      <c r="BN82" s="124"/>
      <c r="BO82" s="125">
        <f>+BO81/BO10</f>
        <v>0.13070422535211268</v>
      </c>
      <c r="BP82" s="124"/>
      <c r="BQ82" s="125">
        <f>+BQ81/BQ10</f>
        <v>0.13070422535211268</v>
      </c>
      <c r="BR82" s="724"/>
      <c r="BS82" s="724"/>
      <c r="BT82" s="724"/>
      <c r="BV82" s="124"/>
      <c r="BW82" s="125">
        <f>+BW81/BW10</f>
        <v>0.15030985915492956</v>
      </c>
      <c r="BY82" s="124"/>
      <c r="BZ82" s="125">
        <f>+BZ81/BZ10</f>
        <v>0.14795774647887322</v>
      </c>
      <c r="CA82" s="124"/>
      <c r="CB82" s="125">
        <f>+CB81/CB10</f>
        <v>0.14795774647887322</v>
      </c>
      <c r="CC82" s="124"/>
      <c r="CD82" s="125">
        <f>+CD81/CD10</f>
        <v>0.14795774647887322</v>
      </c>
      <c r="CF82" s="124"/>
      <c r="CG82" s="125">
        <f>+CG81/CG10</f>
        <v>0.14795774647887322</v>
      </c>
      <c r="CH82" s="124"/>
      <c r="CI82" s="125">
        <f>+CI81/CI10</f>
        <v>0.14795774647887322</v>
      </c>
      <c r="CJ82" s="124"/>
      <c r="CK82" s="125">
        <f>+CK81/CK10</f>
        <v>0.14795774647887322</v>
      </c>
      <c r="CM82" s="124"/>
      <c r="CN82" s="125">
        <f>+CN81/CN10</f>
        <v>0.16352112676056338</v>
      </c>
      <c r="CO82" s="124"/>
      <c r="CP82" s="125">
        <f>+CP81/CP10</f>
        <v>0.16352112676056338</v>
      </c>
      <c r="CQ82" s="124"/>
      <c r="CR82" s="125">
        <f>+CR81/CR10</f>
        <v>0.16352112676056338</v>
      </c>
      <c r="CT82" s="124"/>
      <c r="CU82" s="70">
        <f>+CU81/CU10</f>
        <v>0.15070422535211267</v>
      </c>
      <c r="CV82" s="124"/>
      <c r="CW82" s="70">
        <f>+CW81/CW10</f>
        <v>0.15070422535211267</v>
      </c>
      <c r="CX82" s="124"/>
      <c r="CY82" s="70">
        <f>+CY81/CY10</f>
        <v>0.15070422535211267</v>
      </c>
      <c r="DA82" s="124"/>
      <c r="DB82" s="70">
        <f>+DB81/DB10</f>
        <v>0.15070422535211267</v>
      </c>
      <c r="DC82" s="124"/>
      <c r="DD82" s="70">
        <f>+DD81/DD10</f>
        <v>0.15070422535211267</v>
      </c>
      <c r="DE82" s="124"/>
      <c r="DF82" s="70">
        <f>+DF81/DF10</f>
        <v>0.15070422535211267</v>
      </c>
      <c r="DH82" s="124"/>
      <c r="DI82" s="70">
        <f>+DI81/DI10</f>
        <v>0.15070422535211267</v>
      </c>
      <c r="DJ82" s="124"/>
      <c r="DK82" s="70">
        <f>+DK81/DK10</f>
        <v>0.15070422535211267</v>
      </c>
      <c r="DL82" s="124"/>
      <c r="DM82" s="70">
        <f>+DM81/DM10</f>
        <v>0.15070422535211267</v>
      </c>
    </row>
    <row r="83" spans="1:117" s="4" customFormat="1" ht="18" customHeight="1" x14ac:dyDescent="0.45">
      <c r="A83" s="561"/>
      <c r="B83" s="1241"/>
      <c r="C83" s="258" t="s">
        <v>141</v>
      </c>
      <c r="D83" s="16"/>
      <c r="E83" s="126" t="s">
        <v>81</v>
      </c>
      <c r="F83" s="127"/>
      <c r="G83" s="90">
        <f>G81*G86</f>
        <v>62954.483203335971</v>
      </c>
      <c r="H83" s="127"/>
      <c r="I83" s="90">
        <f>I81*I86</f>
        <v>65655.679973532722</v>
      </c>
      <c r="J83" s="127"/>
      <c r="K83" s="90">
        <f t="shared" ref="K83" si="346">K81*K86</f>
        <v>65655.679973532722</v>
      </c>
      <c r="L83" s="127"/>
      <c r="M83" s="90">
        <f t="shared" ref="M83" si="347">M81*M86</f>
        <v>65655.679973532722</v>
      </c>
      <c r="N83" s="380"/>
      <c r="O83" s="374">
        <f>O84*O10</f>
        <v>68730.019013869052</v>
      </c>
      <c r="P83" s="380"/>
      <c r="Q83" s="374">
        <f>Q84*Q10</f>
        <v>68730.019013869052</v>
      </c>
      <c r="R83" s="380"/>
      <c r="S83" s="374">
        <f>S84*S10</f>
        <v>68730.019013869052</v>
      </c>
      <c r="T83" s="380"/>
      <c r="U83" s="374">
        <f>U84*U10</f>
        <v>70990.157328762434</v>
      </c>
      <c r="V83" s="380"/>
      <c r="W83" s="374">
        <f>W84*W10</f>
        <v>70990.157328762434</v>
      </c>
      <c r="X83" s="380"/>
      <c r="Y83" s="374">
        <f>Y84*Y10</f>
        <v>70990.157328762434</v>
      </c>
      <c r="Z83" s="380"/>
      <c r="AA83" s="374">
        <f>AA84*AA10</f>
        <v>74240</v>
      </c>
      <c r="AB83" s="380"/>
      <c r="AC83" s="374">
        <f>AC84*AC10</f>
        <v>74240</v>
      </c>
      <c r="AD83" s="380"/>
      <c r="AE83" s="374">
        <f>AE84*AE10</f>
        <v>74240</v>
      </c>
      <c r="AF83" s="620"/>
      <c r="AG83" s="639"/>
      <c r="AH83" s="380"/>
      <c r="AI83" s="374">
        <f>AI84*AI10</f>
        <v>74240</v>
      </c>
      <c r="AJ83" s="380"/>
      <c r="AK83" s="374">
        <f>AK84*AK10</f>
        <v>74240</v>
      </c>
      <c r="AL83" s="380"/>
      <c r="AM83" s="374">
        <f>AM84*AM10</f>
        <v>74240</v>
      </c>
      <c r="AN83" s="728"/>
      <c r="AO83" s="728"/>
      <c r="AP83" s="728"/>
      <c r="AR83" s="380"/>
      <c r="AS83" s="374">
        <f>AS84*AS10</f>
        <v>74240</v>
      </c>
      <c r="AT83" s="380"/>
      <c r="AU83" s="374">
        <f>AU84*AU10</f>
        <v>74240</v>
      </c>
      <c r="AV83" s="380"/>
      <c r="AW83" s="374">
        <f>AW84*AW10</f>
        <v>74240</v>
      </c>
      <c r="AX83" s="728"/>
      <c r="AY83" s="728"/>
      <c r="AZ83" s="728"/>
      <c r="BB83" s="380"/>
      <c r="BC83" s="374">
        <f>BC84*BC10</f>
        <v>74240</v>
      </c>
      <c r="BD83" s="380"/>
      <c r="BE83" s="374">
        <f>BE84*BE10</f>
        <v>74240</v>
      </c>
      <c r="BF83" s="380"/>
      <c r="BG83" s="374">
        <f>BG84*BG10</f>
        <v>74240</v>
      </c>
      <c r="BH83" s="728"/>
      <c r="BI83" s="728"/>
      <c r="BJ83" s="728"/>
      <c r="BL83" s="380"/>
      <c r="BM83" s="374">
        <f>BM84*BM10</f>
        <v>74240</v>
      </c>
      <c r="BN83" s="380"/>
      <c r="BO83" s="374">
        <f>BO84*BO10</f>
        <v>74240</v>
      </c>
      <c r="BP83" s="380"/>
      <c r="BQ83" s="374">
        <f>BQ84*BQ10</f>
        <v>74240</v>
      </c>
      <c r="BR83" s="728"/>
      <c r="BS83" s="728"/>
      <c r="BT83" s="728"/>
      <c r="BV83" s="380"/>
      <c r="BW83" s="374">
        <f>BW84*BW10</f>
        <v>85375.999999999985</v>
      </c>
      <c r="BY83" s="380"/>
      <c r="BZ83" s="374">
        <f>BZ84*BZ10</f>
        <v>84040</v>
      </c>
      <c r="CA83" s="380"/>
      <c r="CB83" s="374">
        <f>CB84*CB10</f>
        <v>84040</v>
      </c>
      <c r="CC83" s="380"/>
      <c r="CD83" s="374">
        <f>CD84*CD10</f>
        <v>84040</v>
      </c>
      <c r="CF83" s="380"/>
      <c r="CG83" s="374">
        <f>CG84*CG10</f>
        <v>84040</v>
      </c>
      <c r="CH83" s="380"/>
      <c r="CI83" s="374">
        <f>CI84*CI10</f>
        <v>84040</v>
      </c>
      <c r="CJ83" s="380"/>
      <c r="CK83" s="374">
        <f>CK84*CK10</f>
        <v>84040</v>
      </c>
      <c r="CM83" s="380"/>
      <c r="CN83" s="374">
        <f>CN84*CN10</f>
        <v>92880</v>
      </c>
      <c r="CO83" s="380"/>
      <c r="CP83" s="374">
        <f>CP84*CP10</f>
        <v>92880</v>
      </c>
      <c r="CQ83" s="380"/>
      <c r="CR83" s="374">
        <f>CR84*CR10</f>
        <v>92880</v>
      </c>
      <c r="CT83" s="380"/>
      <c r="CU83" s="374">
        <f>CU84*CU10</f>
        <v>85600</v>
      </c>
      <c r="CV83" s="380"/>
      <c r="CW83" s="374">
        <f>CW84*CW10</f>
        <v>85600</v>
      </c>
      <c r="CX83" s="380"/>
      <c r="CY83" s="374">
        <f>CY84*CY10</f>
        <v>85600</v>
      </c>
      <c r="DA83" s="380"/>
      <c r="DB83" s="374">
        <f>DB84*DB10</f>
        <v>85600</v>
      </c>
      <c r="DC83" s="380"/>
      <c r="DD83" s="374">
        <f>DD84*DD10</f>
        <v>85600</v>
      </c>
      <c r="DE83" s="380"/>
      <c r="DF83" s="374">
        <f>DF84*DF10</f>
        <v>85600</v>
      </c>
      <c r="DH83" s="380"/>
      <c r="DI83" s="374">
        <f>DI84*DI10</f>
        <v>85600</v>
      </c>
      <c r="DJ83" s="380"/>
      <c r="DK83" s="374">
        <f>DK84*DK10</f>
        <v>85600</v>
      </c>
      <c r="DL83" s="380"/>
      <c r="DM83" s="374">
        <f>DM84*DM10</f>
        <v>85600</v>
      </c>
    </row>
    <row r="84" spans="1:117" s="4" customFormat="1" ht="18" customHeight="1" x14ac:dyDescent="0.45">
      <c r="A84" s="561"/>
      <c r="B84" s="1241"/>
      <c r="C84" s="16" t="s">
        <v>80</v>
      </c>
      <c r="D84" s="16"/>
      <c r="E84" s="126" t="s">
        <v>81</v>
      </c>
      <c r="F84" s="127"/>
      <c r="G84" s="90">
        <f>G83/G10</f>
        <v>1573.8620800833992</v>
      </c>
      <c r="H84" s="127"/>
      <c r="I84" s="90">
        <f>I83/I10</f>
        <v>1641.3919993383181</v>
      </c>
      <c r="J84" s="127"/>
      <c r="K84" s="90">
        <f>K83/K10</f>
        <v>1641.3919993383181</v>
      </c>
      <c r="L84" s="127"/>
      <c r="M84" s="90">
        <f>M83/M10</f>
        <v>1641.3919993383181</v>
      </c>
      <c r="N84" s="380"/>
      <c r="O84" s="622">
        <v>1718.2504753467265</v>
      </c>
      <c r="P84" s="380"/>
      <c r="Q84" s="622">
        <v>1718.2504753467265</v>
      </c>
      <c r="R84" s="380"/>
      <c r="S84" s="622">
        <v>1718.2504753467265</v>
      </c>
      <c r="T84" s="380"/>
      <c r="U84" s="622">
        <v>1774.7539332190609</v>
      </c>
      <c r="V84" s="380"/>
      <c r="W84" s="622">
        <f>U84</f>
        <v>1774.7539332190609</v>
      </c>
      <c r="X84" s="380"/>
      <c r="Y84" s="622">
        <f>W84</f>
        <v>1774.7539332190609</v>
      </c>
      <c r="Z84" s="380"/>
      <c r="AA84" s="622">
        <v>1856</v>
      </c>
      <c r="AB84" s="380"/>
      <c r="AC84" s="622">
        <f>AA84</f>
        <v>1856</v>
      </c>
      <c r="AD84" s="380"/>
      <c r="AE84" s="622">
        <f>AC84</f>
        <v>1856</v>
      </c>
      <c r="AF84" s="620"/>
      <c r="AG84" s="639"/>
      <c r="AH84" s="684">
        <f>AI84/O84-1</f>
        <v>8.0168477547184702E-2</v>
      </c>
      <c r="AI84" s="622">
        <v>1856</v>
      </c>
      <c r="AJ84" s="684">
        <f>AK84/Q84-1</f>
        <v>8.0168477547184702E-2</v>
      </c>
      <c r="AK84" s="622">
        <v>1856</v>
      </c>
      <c r="AL84" s="380"/>
      <c r="AM84" s="622">
        <v>1856</v>
      </c>
      <c r="AN84" s="732"/>
      <c r="AO84" s="732"/>
      <c r="AP84" s="732"/>
      <c r="AR84" s="684">
        <f>AS84/AI84-1</f>
        <v>0</v>
      </c>
      <c r="AS84" s="622">
        <v>1856</v>
      </c>
      <c r="AT84" s="684">
        <f>AU84/AK84-1</f>
        <v>0</v>
      </c>
      <c r="AU84" s="622">
        <v>1856</v>
      </c>
      <c r="AV84" s="380"/>
      <c r="AW84" s="622">
        <v>1856</v>
      </c>
      <c r="AX84" s="732"/>
      <c r="AY84" s="732"/>
      <c r="AZ84" s="732"/>
      <c r="BB84" s="684">
        <f>BC84/AS84-1</f>
        <v>0</v>
      </c>
      <c r="BC84" s="622">
        <v>1856</v>
      </c>
      <c r="BD84" s="684">
        <f>BE84/AU84-1</f>
        <v>0</v>
      </c>
      <c r="BE84" s="622">
        <v>1856</v>
      </c>
      <c r="BF84" s="380"/>
      <c r="BG84" s="622">
        <v>1856</v>
      </c>
      <c r="BH84" s="732"/>
      <c r="BI84" s="732"/>
      <c r="BJ84" s="732"/>
      <c r="BL84" s="684">
        <f>BM84/S84-1</f>
        <v>8.0168477547184702E-2</v>
      </c>
      <c r="BM84" s="622">
        <v>1856</v>
      </c>
      <c r="BN84" s="684">
        <f>BO84/BE84-1</f>
        <v>0</v>
      </c>
      <c r="BO84" s="622">
        <f>BM84</f>
        <v>1856</v>
      </c>
      <c r="BP84" s="380"/>
      <c r="BQ84" s="622">
        <f>BO84</f>
        <v>1856</v>
      </c>
      <c r="BR84" s="732"/>
      <c r="BS84" s="732"/>
      <c r="BT84" s="732"/>
      <c r="BV84" s="684">
        <f>BW84/O84-1</f>
        <v>0.24219374917926229</v>
      </c>
      <c r="BW84" s="622">
        <f>BM84*1.15</f>
        <v>2134.3999999999996</v>
      </c>
      <c r="BY84" s="684">
        <f>BZ84/AS84-1</f>
        <v>0.13200431034482762</v>
      </c>
      <c r="BZ84" s="622">
        <v>2101</v>
      </c>
      <c r="CA84" s="684">
        <f>CB84/AU84-1</f>
        <v>0.13200431034482762</v>
      </c>
      <c r="CB84" s="622">
        <v>2101</v>
      </c>
      <c r="CC84" s="684">
        <f>CD84/AW84-1</f>
        <v>0.13200431034482762</v>
      </c>
      <c r="CD84" s="622">
        <v>2101</v>
      </c>
      <c r="CF84" s="684">
        <f>CG84/BQ84-1</f>
        <v>0.13200431034482762</v>
      </c>
      <c r="CG84" s="622">
        <v>2101</v>
      </c>
      <c r="CH84" s="684"/>
      <c r="CI84" s="622">
        <f>CG84</f>
        <v>2101</v>
      </c>
      <c r="CJ84" s="684"/>
      <c r="CK84" s="622">
        <f>CI84</f>
        <v>2101</v>
      </c>
      <c r="CM84" s="684" t="e">
        <f>CN84/BX84-1</f>
        <v>#DIV/0!</v>
      </c>
      <c r="CN84" s="622">
        <v>2322</v>
      </c>
      <c r="CO84" s="684"/>
      <c r="CP84" s="622">
        <f>CN84</f>
        <v>2322</v>
      </c>
      <c r="CQ84" s="684"/>
      <c r="CR84" s="622">
        <f>CP84</f>
        <v>2322</v>
      </c>
      <c r="CT84" s="684"/>
      <c r="CU84" s="622">
        <v>2140</v>
      </c>
      <c r="CV84" s="684"/>
      <c r="CW84" s="622">
        <f>CU84</f>
        <v>2140</v>
      </c>
      <c r="CX84" s="684"/>
      <c r="CY84" s="622">
        <f>CW84</f>
        <v>2140</v>
      </c>
      <c r="DA84" s="684"/>
      <c r="DB84" s="622">
        <v>2140</v>
      </c>
      <c r="DC84" s="684"/>
      <c r="DD84" s="622">
        <f>DB84</f>
        <v>2140</v>
      </c>
      <c r="DE84" s="684"/>
      <c r="DF84" s="622">
        <f>DD84</f>
        <v>2140</v>
      </c>
      <c r="DH84" s="684"/>
      <c r="DI84" s="622">
        <v>2140</v>
      </c>
      <c r="DJ84" s="684"/>
      <c r="DK84" s="622">
        <f>DI84</f>
        <v>2140</v>
      </c>
      <c r="DL84" s="684"/>
      <c r="DM84" s="622">
        <f>DK84</f>
        <v>2140</v>
      </c>
    </row>
    <row r="85" spans="1:117" s="4" customFormat="1" ht="18" customHeight="1" x14ac:dyDescent="0.45">
      <c r="A85" s="561"/>
      <c r="B85" s="1241"/>
      <c r="C85" s="259"/>
      <c r="D85" s="16"/>
      <c r="E85" s="126"/>
      <c r="F85" s="127"/>
      <c r="G85" s="90"/>
      <c r="H85" s="127"/>
      <c r="I85" s="90"/>
      <c r="J85" s="127"/>
      <c r="K85" s="90"/>
      <c r="L85" s="127"/>
      <c r="M85" s="90"/>
      <c r="N85" s="380"/>
      <c r="O85" s="374"/>
      <c r="P85" s="380"/>
      <c r="Q85" s="374"/>
      <c r="R85" s="380"/>
      <c r="S85" s="374"/>
      <c r="T85" s="380"/>
      <c r="U85" s="374"/>
      <c r="V85" s="380"/>
      <c r="W85" s="374"/>
      <c r="X85" s="380"/>
      <c r="Y85" s="374"/>
      <c r="Z85" s="380"/>
      <c r="AA85" s="374"/>
      <c r="AB85" s="380"/>
      <c r="AC85" s="374"/>
      <c r="AD85" s="380"/>
      <c r="AE85" s="374"/>
      <c r="AF85" s="620"/>
      <c r="AG85" s="639"/>
      <c r="AH85" s="380"/>
      <c r="AI85" s="374"/>
      <c r="AJ85" s="380"/>
      <c r="AK85" s="374"/>
      <c r="AL85" s="380"/>
      <c r="AM85" s="374"/>
      <c r="AN85" s="728"/>
      <c r="AO85" s="728"/>
      <c r="AP85" s="728"/>
      <c r="AR85" s="380"/>
      <c r="AS85" s="374"/>
      <c r="AT85" s="380"/>
      <c r="AU85" s="374"/>
      <c r="AV85" s="380"/>
      <c r="AW85" s="374"/>
      <c r="AX85" s="728"/>
      <c r="AY85" s="728"/>
      <c r="AZ85" s="728"/>
      <c r="BB85" s="380"/>
      <c r="BC85" s="374"/>
      <c r="BD85" s="380"/>
      <c r="BE85" s="374"/>
      <c r="BF85" s="380"/>
      <c r="BG85" s="374"/>
      <c r="BH85" s="728"/>
      <c r="BI85" s="728"/>
      <c r="BJ85" s="728"/>
      <c r="BL85" s="380"/>
      <c r="BM85" s="374"/>
      <c r="BN85" s="380"/>
      <c r="BO85" s="374"/>
      <c r="BP85" s="380"/>
      <c r="BQ85" s="374"/>
      <c r="BR85" s="728"/>
      <c r="BS85" s="728"/>
      <c r="BT85" s="728"/>
      <c r="BV85" s="380"/>
      <c r="BW85" s="374"/>
      <c r="BY85" s="380"/>
      <c r="BZ85" s="374"/>
      <c r="CA85" s="380"/>
      <c r="CB85" s="374"/>
      <c r="CC85" s="380"/>
      <c r="CD85" s="374"/>
      <c r="CF85" s="380"/>
      <c r="CG85" s="374"/>
      <c r="CH85" s="380"/>
      <c r="CI85" s="374"/>
      <c r="CJ85" s="380"/>
      <c r="CK85" s="374"/>
      <c r="CM85" s="380"/>
      <c r="CN85" s="374"/>
      <c r="CO85" s="380"/>
      <c r="CP85" s="374"/>
      <c r="CQ85" s="380"/>
      <c r="CR85" s="374"/>
      <c r="CT85" s="380"/>
      <c r="CU85" s="374"/>
      <c r="CV85" s="380"/>
      <c r="CW85" s="374"/>
      <c r="CX85" s="380"/>
      <c r="CY85" s="374"/>
      <c r="DA85" s="380"/>
      <c r="DB85" s="374"/>
      <c r="DC85" s="380"/>
      <c r="DD85" s="374"/>
      <c r="DE85" s="380"/>
      <c r="DF85" s="374"/>
      <c r="DH85" s="380"/>
      <c r="DI85" s="374"/>
      <c r="DJ85" s="380"/>
      <c r="DK85" s="374"/>
      <c r="DL85" s="380"/>
      <c r="DM85" s="374"/>
    </row>
    <row r="86" spans="1:117" s="4" customFormat="1" ht="18" customHeight="1" x14ac:dyDescent="0.45">
      <c r="A86" s="561"/>
      <c r="B86" s="1241"/>
      <c r="C86" s="16" t="s">
        <v>82</v>
      </c>
      <c r="D86" s="16"/>
      <c r="E86" s="35" t="s">
        <v>83</v>
      </c>
      <c r="F86" s="42"/>
      <c r="G86" s="88">
        <v>14229</v>
      </c>
      <c r="H86" s="42"/>
      <c r="I86" s="88">
        <v>14229</v>
      </c>
      <c r="J86" s="42"/>
      <c r="K86" s="88">
        <v>14229</v>
      </c>
      <c r="L86" s="42"/>
      <c r="M86" s="88">
        <v>14229</v>
      </c>
      <c r="N86" s="359"/>
      <c r="O86" s="372">
        <v>14200</v>
      </c>
      <c r="P86" s="359"/>
      <c r="Q86" s="372">
        <v>14200</v>
      </c>
      <c r="R86" s="359"/>
      <c r="S86" s="372">
        <v>14200</v>
      </c>
      <c r="T86" s="359"/>
      <c r="U86" s="372">
        <v>14200</v>
      </c>
      <c r="V86" s="359"/>
      <c r="W86" s="372">
        <v>14200</v>
      </c>
      <c r="X86" s="359"/>
      <c r="Y86" s="372">
        <v>14200</v>
      </c>
      <c r="Z86" s="359"/>
      <c r="AA86" s="372">
        <v>14200</v>
      </c>
      <c r="AB86" s="359"/>
      <c r="AC86" s="372">
        <v>14200</v>
      </c>
      <c r="AD86" s="359"/>
      <c r="AE86" s="372">
        <v>14200</v>
      </c>
      <c r="AF86" s="620"/>
      <c r="AG86" s="632"/>
      <c r="AH86" s="359"/>
      <c r="AI86" s="372">
        <v>14200</v>
      </c>
      <c r="AJ86" s="359"/>
      <c r="AK86" s="372">
        <v>14200</v>
      </c>
      <c r="AL86" s="359"/>
      <c r="AM86" s="372">
        <v>14200</v>
      </c>
      <c r="AN86" s="725"/>
      <c r="AO86" s="725"/>
      <c r="AP86" s="725"/>
      <c r="AR86" s="359"/>
      <c r="AS86" s="372">
        <v>14200</v>
      </c>
      <c r="AT86" s="359"/>
      <c r="AU86" s="372">
        <v>14200</v>
      </c>
      <c r="AV86" s="359"/>
      <c r="AW86" s="372">
        <v>14200</v>
      </c>
      <c r="AX86" s="725"/>
      <c r="AY86" s="725"/>
      <c r="AZ86" s="725"/>
      <c r="BB86" s="359"/>
      <c r="BC86" s="372">
        <v>14200</v>
      </c>
      <c r="BD86" s="359"/>
      <c r="BE86" s="372">
        <v>14200</v>
      </c>
      <c r="BF86" s="359"/>
      <c r="BG86" s="372">
        <v>14200</v>
      </c>
      <c r="BH86" s="725"/>
      <c r="BI86" s="725"/>
      <c r="BJ86" s="725"/>
      <c r="BL86" s="359"/>
      <c r="BM86" s="372">
        <v>14200</v>
      </c>
      <c r="BN86" s="359"/>
      <c r="BO86" s="372">
        <v>14200</v>
      </c>
      <c r="BP86" s="359"/>
      <c r="BQ86" s="372">
        <v>14200</v>
      </c>
      <c r="BR86" s="725"/>
      <c r="BS86" s="725"/>
      <c r="BT86" s="725"/>
      <c r="BV86" s="359"/>
      <c r="BW86" s="372">
        <v>14200</v>
      </c>
      <c r="BY86" s="359"/>
      <c r="BZ86" s="372">
        <v>14200</v>
      </c>
      <c r="CA86" s="359"/>
      <c r="CB86" s="372">
        <v>14200</v>
      </c>
      <c r="CC86" s="359"/>
      <c r="CD86" s="372">
        <v>14200</v>
      </c>
      <c r="CF86" s="359"/>
      <c r="CG86" s="372">
        <v>14200</v>
      </c>
      <c r="CH86" s="359"/>
      <c r="CI86" s="372">
        <v>14200</v>
      </c>
      <c r="CJ86" s="359"/>
      <c r="CK86" s="372">
        <v>14200</v>
      </c>
      <c r="CM86" s="359"/>
      <c r="CN86" s="372">
        <v>14200</v>
      </c>
      <c r="CO86" s="359"/>
      <c r="CP86" s="372">
        <v>14200</v>
      </c>
      <c r="CQ86" s="359"/>
      <c r="CR86" s="372">
        <v>14200</v>
      </c>
      <c r="CT86" s="359"/>
      <c r="CU86" s="372">
        <v>14200</v>
      </c>
      <c r="CV86" s="359"/>
      <c r="CW86" s="372">
        <f>CU86</f>
        <v>14200</v>
      </c>
      <c r="CX86" s="359"/>
      <c r="CY86" s="372">
        <f>CW86</f>
        <v>14200</v>
      </c>
      <c r="DA86" s="359"/>
      <c r="DB86" s="372">
        <v>14200</v>
      </c>
      <c r="DC86" s="359"/>
      <c r="DD86" s="372">
        <f>DB86</f>
        <v>14200</v>
      </c>
      <c r="DE86" s="359"/>
      <c r="DF86" s="372">
        <f>DD86</f>
        <v>14200</v>
      </c>
      <c r="DH86" s="359"/>
      <c r="DI86" s="372">
        <v>14200</v>
      </c>
      <c r="DJ86" s="359"/>
      <c r="DK86" s="372">
        <f>DI86</f>
        <v>14200</v>
      </c>
      <c r="DL86" s="359"/>
      <c r="DM86" s="372">
        <f>DK86</f>
        <v>14200</v>
      </c>
    </row>
    <row r="87" spans="1:117" s="4" customFormat="1" ht="18" customHeight="1" x14ac:dyDescent="0.45">
      <c r="A87" s="561"/>
      <c r="B87" s="1241"/>
      <c r="C87" s="16" t="s">
        <v>84</v>
      </c>
      <c r="D87" s="16"/>
      <c r="E87" s="35" t="str">
        <f>+E81</f>
        <v xml:space="preserve">per carton USD </v>
      </c>
      <c r="F87" s="50"/>
      <c r="G87" s="368">
        <f>+G74-G81</f>
        <v>0.97280449128703239</v>
      </c>
      <c r="H87" s="50"/>
      <c r="I87" s="72">
        <f>+I74-I81</f>
        <v>0.6618403022187147</v>
      </c>
      <c r="J87" s="50"/>
      <c r="K87" s="72">
        <f t="shared" ref="K87" si="348">+K74-K81</f>
        <v>0.6618403022187147</v>
      </c>
      <c r="L87" s="50"/>
      <c r="M87" s="72">
        <f t="shared" ref="M87" si="349">+M74-M81</f>
        <v>0.6618403022187147</v>
      </c>
      <c r="N87" s="363"/>
      <c r="O87" s="368">
        <f>+O74-O81</f>
        <v>0.86985781592471501</v>
      </c>
      <c r="P87" s="363"/>
      <c r="Q87" s="368">
        <f>+Q74-Q81</f>
        <v>0.86985781592471501</v>
      </c>
      <c r="R87" s="363"/>
      <c r="S87" s="368">
        <f>+S74-S81</f>
        <v>0.86985781592471501</v>
      </c>
      <c r="T87" s="363"/>
      <c r="U87" s="368">
        <f>+U74-U81</f>
        <v>0.71069314586179999</v>
      </c>
      <c r="V87" s="363"/>
      <c r="W87" s="368">
        <f>+W74-W81</f>
        <v>0.71069314586179999</v>
      </c>
      <c r="X87" s="363"/>
      <c r="Y87" s="368">
        <f>+Y74-Y81</f>
        <v>0.71069314586179999</v>
      </c>
      <c r="Z87" s="363"/>
      <c r="AA87" s="368">
        <f>+AA74-AA81</f>
        <v>0.48183098591549278</v>
      </c>
      <c r="AB87" s="363"/>
      <c r="AC87" s="368">
        <f>+AC74-AC81</f>
        <v>0.48183098591549278</v>
      </c>
      <c r="AD87" s="363"/>
      <c r="AE87" s="368">
        <f>+AE74-AE81</f>
        <v>0.48183098591549278</v>
      </c>
      <c r="AF87" s="620"/>
      <c r="AG87" s="630"/>
      <c r="AH87" s="363"/>
      <c r="AI87" s="368">
        <f>+AI74-AI81</f>
        <v>0.80183098591549307</v>
      </c>
      <c r="AJ87" s="363"/>
      <c r="AK87" s="368">
        <f>+AK74-AK81</f>
        <v>0.80183098591549307</v>
      </c>
      <c r="AL87" s="363"/>
      <c r="AM87" s="368">
        <f>+AM74-AM81</f>
        <v>0.80183098591549307</v>
      </c>
      <c r="AN87" s="725"/>
      <c r="AO87" s="725"/>
      <c r="AP87" s="725"/>
      <c r="AR87" s="363"/>
      <c r="AS87" s="368">
        <f>+AS74-AS81</f>
        <v>0.80183098591549307</v>
      </c>
      <c r="AT87" s="363"/>
      <c r="AU87" s="368">
        <f>+AU74-AU81</f>
        <v>0.80183098591549307</v>
      </c>
      <c r="AV87" s="363"/>
      <c r="AW87" s="368">
        <f>+AW74-AW81</f>
        <v>0.80183098591549307</v>
      </c>
      <c r="AX87" s="725"/>
      <c r="AY87" s="725"/>
      <c r="AZ87" s="725"/>
      <c r="BB87" s="363"/>
      <c r="BC87" s="368">
        <f>+BC74-BC81</f>
        <v>0.80183098591549307</v>
      </c>
      <c r="BD87" s="363"/>
      <c r="BE87" s="368">
        <f>+BE74-BE81</f>
        <v>0.80183098591549307</v>
      </c>
      <c r="BF87" s="363"/>
      <c r="BG87" s="368">
        <f>+BG74-BG81</f>
        <v>0.80183098591549307</v>
      </c>
      <c r="BH87" s="725"/>
      <c r="BI87" s="725"/>
      <c r="BJ87" s="725"/>
      <c r="BL87" s="363"/>
      <c r="BM87" s="368">
        <f>+BM74-BM81</f>
        <v>1.3718309859154925</v>
      </c>
      <c r="BN87" s="363"/>
      <c r="BO87" s="368">
        <f>+BO74-BO81</f>
        <v>1.3718309859154925</v>
      </c>
      <c r="BP87" s="363"/>
      <c r="BQ87" s="368">
        <f>+BQ74-BQ81</f>
        <v>1.3718309859154925</v>
      </c>
      <c r="BR87" s="725"/>
      <c r="BS87" s="725"/>
      <c r="BT87" s="725"/>
      <c r="BV87" s="363"/>
      <c r="BW87" s="368">
        <f>+BW74-BW81</f>
        <v>0.58760563380281727</v>
      </c>
      <c r="BY87" s="363"/>
      <c r="BZ87" s="368">
        <f>+BZ74-BZ81</f>
        <v>0.33169014084507076</v>
      </c>
      <c r="CA87" s="363"/>
      <c r="CB87" s="368">
        <f>+CB74-CB81</f>
        <v>0.33169014084507076</v>
      </c>
      <c r="CC87" s="363"/>
      <c r="CD87" s="368">
        <f>+CD74-CD81</f>
        <v>0.33169014084507076</v>
      </c>
      <c r="CF87" s="363"/>
      <c r="CG87" s="368">
        <f>+CG74-CG81</f>
        <v>0.83169014084507076</v>
      </c>
      <c r="CH87" s="363"/>
      <c r="CI87" s="368">
        <f>+CI74-CI81</f>
        <v>0.83169014084507076</v>
      </c>
      <c r="CJ87" s="363"/>
      <c r="CK87" s="368">
        <f>+CK74-CK81</f>
        <v>0.83169014084507076</v>
      </c>
      <c r="CM87" s="363"/>
      <c r="CN87" s="368">
        <f>+CN74-CN81</f>
        <v>0.20915492957746462</v>
      </c>
      <c r="CO87" s="363"/>
      <c r="CP87" s="368">
        <f>+CP74-CP81</f>
        <v>0.20915492957746462</v>
      </c>
      <c r="CQ87" s="363"/>
      <c r="CR87" s="368">
        <f>+CR74-CR81</f>
        <v>0.20915492957746462</v>
      </c>
      <c r="CT87" s="363"/>
      <c r="CU87" s="368">
        <f>+CU74-CU81</f>
        <v>0.57183098591549264</v>
      </c>
      <c r="CV87" s="363"/>
      <c r="CW87" s="368">
        <f t="shared" ref="CW87" si="350">+CW74-CW81</f>
        <v>0.57183098591549264</v>
      </c>
      <c r="CX87" s="363"/>
      <c r="CY87" s="368">
        <f t="shared" ref="CY87" si="351">+CY74-CY81</f>
        <v>0.57183098591549264</v>
      </c>
      <c r="DA87" s="363"/>
      <c r="DB87" s="368">
        <f>+DB74-DB81</f>
        <v>1.721830985915493</v>
      </c>
      <c r="DC87" s="363"/>
      <c r="DD87" s="368">
        <f t="shared" ref="DD87" si="352">+DD74-DD81</f>
        <v>1.721830985915493</v>
      </c>
      <c r="DE87" s="363"/>
      <c r="DF87" s="368">
        <f t="shared" ref="DF87" si="353">+DF74-DF81</f>
        <v>1.721830985915493</v>
      </c>
      <c r="DH87" s="363"/>
      <c r="DI87" s="368">
        <f>+DI74-DI81</f>
        <v>1.1718309859154932</v>
      </c>
      <c r="DJ87" s="363"/>
      <c r="DK87" s="368">
        <f t="shared" ref="DK87" si="354">+DK74-DK81</f>
        <v>1.1718309859154932</v>
      </c>
      <c r="DL87" s="363"/>
      <c r="DM87" s="368">
        <f t="shared" ref="DM87" si="355">+DM74-DM81</f>
        <v>1.1718309859154932</v>
      </c>
    </row>
    <row r="88" spans="1:117" s="4" customFormat="1" ht="18" customHeight="1" x14ac:dyDescent="0.45">
      <c r="A88" s="561"/>
      <c r="B88" s="1241"/>
      <c r="C88" s="16"/>
      <c r="D88" s="16"/>
      <c r="E88" s="35" t="str">
        <f>+E82</f>
        <v xml:space="preserve">per pack USD </v>
      </c>
      <c r="F88" s="50"/>
      <c r="G88" s="72">
        <f>+G87/G10</f>
        <v>2.4320112282175808E-2</v>
      </c>
      <c r="H88" s="50"/>
      <c r="I88" s="72">
        <f>+I87/I10</f>
        <v>1.6546007555467868E-2</v>
      </c>
      <c r="J88" s="50"/>
      <c r="K88" s="72">
        <f>+K87/K10</f>
        <v>1.6546007555467868E-2</v>
      </c>
      <c r="L88" s="50"/>
      <c r="M88" s="72">
        <f>+M87/M10</f>
        <v>1.6546007555467868E-2</v>
      </c>
      <c r="N88" s="363"/>
      <c r="O88" s="368">
        <f>+O87/O10</f>
        <v>2.1746445398117875E-2</v>
      </c>
      <c r="P88" s="363"/>
      <c r="Q88" s="368">
        <f>+Q87/Q10</f>
        <v>2.1746445398117875E-2</v>
      </c>
      <c r="R88" s="363"/>
      <c r="S88" s="368">
        <f>+S87/S10</f>
        <v>2.1746445398117875E-2</v>
      </c>
      <c r="T88" s="363"/>
      <c r="U88" s="368">
        <f>+U87/U10</f>
        <v>1.7767328646545E-2</v>
      </c>
      <c r="V88" s="363"/>
      <c r="W88" s="368">
        <f>+W87/W10</f>
        <v>1.7767328646545E-2</v>
      </c>
      <c r="X88" s="363"/>
      <c r="Y88" s="368">
        <f>+Y87/Y10</f>
        <v>1.7767328646545E-2</v>
      </c>
      <c r="Z88" s="363"/>
      <c r="AA88" s="368">
        <f>+AA87/AA10</f>
        <v>1.2045774647887319E-2</v>
      </c>
      <c r="AB88" s="363"/>
      <c r="AC88" s="368">
        <f>+AC87/AC10</f>
        <v>1.2045774647887319E-2</v>
      </c>
      <c r="AD88" s="363"/>
      <c r="AE88" s="368">
        <f>+AE87/AE10</f>
        <v>1.2045774647887319E-2</v>
      </c>
      <c r="AF88" s="620"/>
      <c r="AG88" s="630"/>
      <c r="AH88" s="363"/>
      <c r="AI88" s="368">
        <f>+AI87/AI10</f>
        <v>2.0045774647887326E-2</v>
      </c>
      <c r="AJ88" s="363"/>
      <c r="AK88" s="368">
        <f>+AK87/AK10</f>
        <v>2.0045774647887326E-2</v>
      </c>
      <c r="AL88" s="363"/>
      <c r="AM88" s="368">
        <f>+AM87/AM10</f>
        <v>2.0045774647887326E-2</v>
      </c>
      <c r="AN88" s="725"/>
      <c r="AO88" s="725"/>
      <c r="AP88" s="725"/>
      <c r="AR88" s="363"/>
      <c r="AS88" s="368">
        <f>+AS87/AS10</f>
        <v>2.0045774647887326E-2</v>
      </c>
      <c r="AT88" s="363"/>
      <c r="AU88" s="368">
        <f>+AU87/AU10</f>
        <v>2.0045774647887326E-2</v>
      </c>
      <c r="AV88" s="363"/>
      <c r="AW88" s="368">
        <f>+AW87/AW10</f>
        <v>2.0045774647887326E-2</v>
      </c>
      <c r="AX88" s="725"/>
      <c r="AY88" s="725"/>
      <c r="AZ88" s="725"/>
      <c r="BB88" s="363"/>
      <c r="BC88" s="368">
        <f>+BC87/BC10</f>
        <v>2.0045774647887326E-2</v>
      </c>
      <c r="BD88" s="363"/>
      <c r="BE88" s="368">
        <f>+BE87/BE10</f>
        <v>2.0045774647887326E-2</v>
      </c>
      <c r="BF88" s="363"/>
      <c r="BG88" s="368">
        <f>+BG87/BG10</f>
        <v>2.0045774647887326E-2</v>
      </c>
      <c r="BH88" s="725"/>
      <c r="BI88" s="725"/>
      <c r="BJ88" s="725"/>
      <c r="BL88" s="363"/>
      <c r="BM88" s="368">
        <f>+BM87/BM10</f>
        <v>3.4295774647887314E-2</v>
      </c>
      <c r="BN88" s="363"/>
      <c r="BO88" s="368">
        <f>+BO87/BO10</f>
        <v>3.4295774647887314E-2</v>
      </c>
      <c r="BP88" s="363"/>
      <c r="BQ88" s="368">
        <f>+BQ87/BQ10</f>
        <v>3.4295774647887314E-2</v>
      </c>
      <c r="BR88" s="725"/>
      <c r="BS88" s="725"/>
      <c r="BT88" s="725"/>
      <c r="BV88" s="363"/>
      <c r="BW88" s="368">
        <f>+BW87/BW10</f>
        <v>1.4690140845070431E-2</v>
      </c>
      <c r="BY88" s="363"/>
      <c r="BZ88" s="368">
        <f>+BZ87/BZ10</f>
        <v>8.2922535211267696E-3</v>
      </c>
      <c r="CA88" s="363"/>
      <c r="CB88" s="368">
        <f>+CB87/CB10</f>
        <v>8.2922535211267696E-3</v>
      </c>
      <c r="CC88" s="363"/>
      <c r="CD88" s="368">
        <f>+CD87/CD10</f>
        <v>8.2922535211267696E-3</v>
      </c>
      <c r="CF88" s="363"/>
      <c r="CG88" s="368">
        <f>+CG87/CG10</f>
        <v>2.079225352112677E-2</v>
      </c>
      <c r="CH88" s="363"/>
      <c r="CI88" s="368">
        <f>+CI87/CI10</f>
        <v>2.079225352112677E-2</v>
      </c>
      <c r="CJ88" s="363"/>
      <c r="CK88" s="368">
        <f>+CK87/CK10</f>
        <v>2.079225352112677E-2</v>
      </c>
      <c r="CM88" s="363"/>
      <c r="CN88" s="368">
        <f>+CN87/CN10</f>
        <v>5.2288732394366157E-3</v>
      </c>
      <c r="CO88" s="363"/>
      <c r="CP88" s="368">
        <f>+CP87/CP10</f>
        <v>5.2288732394366157E-3</v>
      </c>
      <c r="CQ88" s="363"/>
      <c r="CR88" s="368">
        <f>+CR87/CR10</f>
        <v>5.2288732394366157E-3</v>
      </c>
      <c r="CT88" s="363"/>
      <c r="CU88" s="368">
        <f>+CU87/CU10</f>
        <v>1.4295774647887316E-2</v>
      </c>
      <c r="CV88" s="363"/>
      <c r="CW88" s="368">
        <f>+CW87/CW10</f>
        <v>1.4295774647887316E-2</v>
      </c>
      <c r="CX88" s="363"/>
      <c r="CY88" s="368">
        <f>+CY87/CY10</f>
        <v>1.4295774647887316E-2</v>
      </c>
      <c r="DA88" s="363"/>
      <c r="DB88" s="368">
        <f>+DB87/DB10</f>
        <v>4.3045774647887322E-2</v>
      </c>
      <c r="DC88" s="363"/>
      <c r="DD88" s="368">
        <f>+DD87/DD10</f>
        <v>4.3045774647887322E-2</v>
      </c>
      <c r="DE88" s="363"/>
      <c r="DF88" s="368">
        <f>+DF87/DF10</f>
        <v>4.3045774647887322E-2</v>
      </c>
      <c r="DH88" s="363"/>
      <c r="DI88" s="368">
        <f>+DI87/DI10</f>
        <v>2.9295774647887331E-2</v>
      </c>
      <c r="DJ88" s="363"/>
      <c r="DK88" s="368">
        <f>+DK87/DK10</f>
        <v>2.9295774647887331E-2</v>
      </c>
      <c r="DL88" s="363"/>
      <c r="DM88" s="368">
        <f>+DM87/DM10</f>
        <v>2.9295774647887331E-2</v>
      </c>
    </row>
    <row r="89" spans="1:117" s="65" customFormat="1" ht="18" customHeight="1" x14ac:dyDescent="0.45">
      <c r="A89" s="561"/>
      <c r="B89" s="1241"/>
      <c r="C89" s="131" t="s">
        <v>85</v>
      </c>
      <c r="D89" s="131"/>
      <c r="E89" s="131"/>
      <c r="F89" s="132"/>
      <c r="G89" s="382">
        <f>+G87/G74</f>
        <v>0.18024300334389171</v>
      </c>
      <c r="H89" s="132"/>
      <c r="I89" s="133">
        <f>+I87/I74</f>
        <v>0.1254422356047217</v>
      </c>
      <c r="J89" s="132"/>
      <c r="K89" s="133">
        <f t="shared" ref="K89" si="356">+K87/K74</f>
        <v>0.1254422356047217</v>
      </c>
      <c r="L89" s="132"/>
      <c r="M89" s="133">
        <f t="shared" ref="M89" si="357">+M87/M74</f>
        <v>0.1254422356047217</v>
      </c>
      <c r="N89" s="381"/>
      <c r="O89" s="382">
        <f>+O87/O74</f>
        <v>0.15233937231606218</v>
      </c>
      <c r="P89" s="381"/>
      <c r="Q89" s="382">
        <f>+Q87/Q74</f>
        <v>0.15233937231606218</v>
      </c>
      <c r="R89" s="381"/>
      <c r="S89" s="382">
        <f>+S87/S74</f>
        <v>0.15233937231606218</v>
      </c>
      <c r="T89" s="381"/>
      <c r="U89" s="382">
        <f>+U87/U74</f>
        <v>0.12446464901257442</v>
      </c>
      <c r="V89" s="381"/>
      <c r="W89" s="382">
        <f>+W87/W74</f>
        <v>0.12446464901257442</v>
      </c>
      <c r="X89" s="381"/>
      <c r="Y89" s="382">
        <f>+Y87/Y74</f>
        <v>0.12446464901257442</v>
      </c>
      <c r="Z89" s="381"/>
      <c r="AA89" s="382">
        <f>+AA87/AA74</f>
        <v>8.4383710317949695E-2</v>
      </c>
      <c r="AB89" s="381"/>
      <c r="AC89" s="382">
        <f>+AC87/AC74</f>
        <v>8.4383710317949695E-2</v>
      </c>
      <c r="AD89" s="381"/>
      <c r="AE89" s="382">
        <f>+AE87/AE74</f>
        <v>8.4383710317949695E-2</v>
      </c>
      <c r="AF89" s="620"/>
      <c r="AG89" s="672"/>
      <c r="AH89" s="381"/>
      <c r="AI89" s="382">
        <f>+AI87/AI74</f>
        <v>0.1329736295050569</v>
      </c>
      <c r="AJ89" s="381"/>
      <c r="AK89" s="382">
        <f>+AK87/AK74</f>
        <v>0.1329736295050569</v>
      </c>
      <c r="AL89" s="381"/>
      <c r="AM89" s="382">
        <f>+AM87/AM74</f>
        <v>0.1329736295050569</v>
      </c>
      <c r="AN89" s="645"/>
      <c r="AO89" s="645"/>
      <c r="AP89" s="645"/>
      <c r="AR89" s="381"/>
      <c r="AS89" s="382">
        <f>+AS87/AS74</f>
        <v>0.1329736295050569</v>
      </c>
      <c r="AT89" s="381"/>
      <c r="AU89" s="382">
        <f>+AU87/AU74</f>
        <v>0.1329736295050569</v>
      </c>
      <c r="AV89" s="381"/>
      <c r="AW89" s="382">
        <f>+AW87/AW74</f>
        <v>0.1329736295050569</v>
      </c>
      <c r="AX89" s="645"/>
      <c r="AY89" s="645"/>
      <c r="AZ89" s="645"/>
      <c r="BB89" s="381"/>
      <c r="BC89" s="382">
        <f>+BC87/BC74</f>
        <v>0.1329736295050569</v>
      </c>
      <c r="BD89" s="381"/>
      <c r="BE89" s="382">
        <f>+BE87/BE74</f>
        <v>0.1329736295050569</v>
      </c>
      <c r="BF89" s="381"/>
      <c r="BG89" s="382">
        <f>+BG87/BG74</f>
        <v>0.1329736295050569</v>
      </c>
      <c r="BH89" s="645"/>
      <c r="BI89" s="645"/>
      <c r="BJ89" s="645"/>
      <c r="BL89" s="381"/>
      <c r="BM89" s="382">
        <f>+BM87/BM74</f>
        <v>0.20785317968416553</v>
      </c>
      <c r="BN89" s="381"/>
      <c r="BO89" s="382">
        <f>+BO87/BO74</f>
        <v>0.20785317968416553</v>
      </c>
      <c r="BP89" s="381"/>
      <c r="BQ89" s="382">
        <f>+BQ87/BQ74</f>
        <v>0.20785317968416553</v>
      </c>
      <c r="BR89" s="645"/>
      <c r="BS89" s="645"/>
      <c r="BT89" s="645"/>
      <c r="BV89" s="381"/>
      <c r="BW89" s="382">
        <f>+BW87/BW74</f>
        <v>8.9031156636790496E-2</v>
      </c>
      <c r="BY89" s="381"/>
      <c r="BZ89" s="382">
        <f>+BZ87/BZ74</f>
        <v>5.3070422535211319E-2</v>
      </c>
      <c r="CA89" s="381"/>
      <c r="CB89" s="382">
        <f>+CB87/CB74</f>
        <v>5.3070422535211319E-2</v>
      </c>
      <c r="CC89" s="381"/>
      <c r="CD89" s="382">
        <f>+CD87/CD74</f>
        <v>5.3070422535211319E-2</v>
      </c>
      <c r="CF89" s="381"/>
      <c r="CG89" s="382">
        <f>+CG87/CG74</f>
        <v>0.12321335419926974</v>
      </c>
      <c r="CH89" s="381"/>
      <c r="CI89" s="382">
        <f>+CI87/CI74</f>
        <v>0.12321335419926974</v>
      </c>
      <c r="CJ89" s="381"/>
      <c r="CK89" s="382">
        <f>+CK87/CK74</f>
        <v>0.12321335419926974</v>
      </c>
      <c r="CM89" s="381"/>
      <c r="CN89" s="382">
        <f>+CN87/CN74</f>
        <v>3.0985915492957723E-2</v>
      </c>
      <c r="CO89" s="381"/>
      <c r="CP89" s="382">
        <f>+CP87/CP74</f>
        <v>3.0985915492957723E-2</v>
      </c>
      <c r="CQ89" s="381"/>
      <c r="CR89" s="382">
        <f>+CR87/CR74</f>
        <v>3.0985915492957723E-2</v>
      </c>
      <c r="CT89" s="381"/>
      <c r="CU89" s="611">
        <f>+CU87/CU74</f>
        <v>8.6641058472044341E-2</v>
      </c>
      <c r="CV89" s="381"/>
      <c r="CW89" s="611">
        <f t="shared" ref="CW89" si="358">+CW87/CW74</f>
        <v>8.6641058472044341E-2</v>
      </c>
      <c r="CX89" s="381"/>
      <c r="CY89" s="611">
        <f t="shared" ref="CY89" si="359">+CY87/CY74</f>
        <v>8.6641058472044341E-2</v>
      </c>
      <c r="DA89" s="381"/>
      <c r="DB89" s="611">
        <f>+DB87/DB74</f>
        <v>0.22217174011812812</v>
      </c>
      <c r="DC89" s="381"/>
      <c r="DD89" s="611">
        <f t="shared" ref="DD89" si="360">+DD87/DD74</f>
        <v>0.22217174011812812</v>
      </c>
      <c r="DE89" s="381"/>
      <c r="DF89" s="611">
        <f t="shared" ref="DF89" si="361">+DF87/DF74</f>
        <v>0.22217174011812812</v>
      </c>
      <c r="DH89" s="381"/>
      <c r="DI89" s="611">
        <f>+DI87/DI74</f>
        <v>0.16275430359937404</v>
      </c>
      <c r="DJ89" s="381"/>
      <c r="DK89" s="611">
        <f t="shared" ref="DK89" si="362">+DK87/DK74</f>
        <v>0.16275430359937404</v>
      </c>
      <c r="DL89" s="381"/>
      <c r="DM89" s="611">
        <f t="shared" ref="DM89" si="363">+DM87/DM74</f>
        <v>0.16275430359937404</v>
      </c>
    </row>
    <row r="90" spans="1:117" s="65" customFormat="1" ht="18" customHeight="1" x14ac:dyDescent="0.45">
      <c r="A90" s="561"/>
      <c r="B90" s="1241"/>
      <c r="C90" s="260" t="s">
        <v>86</v>
      </c>
      <c r="D90" s="135"/>
      <c r="E90" s="136" t="str">
        <f>E87</f>
        <v xml:space="preserve">per carton USD </v>
      </c>
      <c r="F90" s="137"/>
      <c r="G90" s="138">
        <f>G87-G64</f>
        <v>0.47280449128703239</v>
      </c>
      <c r="H90" s="137"/>
      <c r="I90" s="138">
        <f>I87-I64</f>
        <v>0.26184030221871468</v>
      </c>
      <c r="J90" s="137"/>
      <c r="K90" s="138">
        <f t="shared" ref="K90" si="364">K87-K64</f>
        <v>0.26184030221871468</v>
      </c>
      <c r="L90" s="137"/>
      <c r="M90" s="138">
        <f t="shared" ref="M90" si="365">M87-M64</f>
        <v>0.26184030221871468</v>
      </c>
      <c r="N90" s="137"/>
      <c r="O90" s="138">
        <f>O87-O64</f>
        <v>0.21985781592471487</v>
      </c>
      <c r="P90" s="137"/>
      <c r="Q90" s="138">
        <f>Q87-Q64</f>
        <v>0.21985781592471487</v>
      </c>
      <c r="R90" s="137"/>
      <c r="S90" s="138">
        <f>S87-S64</f>
        <v>0.21985781592471487</v>
      </c>
      <c r="T90" s="137"/>
      <c r="U90" s="138">
        <f>U87-U64</f>
        <v>6.0693145861799858E-2</v>
      </c>
      <c r="V90" s="137"/>
      <c r="W90" s="138">
        <f>W87-W64</f>
        <v>6.0693145861799858E-2</v>
      </c>
      <c r="X90" s="137"/>
      <c r="Y90" s="138">
        <f>Y87-Y64</f>
        <v>6.0693145861799858E-2</v>
      </c>
      <c r="Z90" s="137"/>
      <c r="AA90" s="138">
        <f>AA87-AA64</f>
        <v>-0.16816901408450735</v>
      </c>
      <c r="AB90" s="137"/>
      <c r="AC90" s="138">
        <f>AC87-AC64</f>
        <v>-0.16816901408450735</v>
      </c>
      <c r="AD90" s="137"/>
      <c r="AE90" s="138">
        <f>AE87-AE64</f>
        <v>-0.16816901408450735</v>
      </c>
      <c r="AF90" s="620"/>
      <c r="AG90" s="630"/>
      <c r="AH90" s="137"/>
      <c r="AI90" s="138">
        <f>AI87-AI64</f>
        <v>0.25183098591549291</v>
      </c>
      <c r="AJ90" s="137"/>
      <c r="AK90" s="138">
        <f>AK87-AK64</f>
        <v>0.25183098591549291</v>
      </c>
      <c r="AL90" s="137"/>
      <c r="AM90" s="138">
        <f>AM87-AM64</f>
        <v>0.25183098591549291</v>
      </c>
      <c r="AN90" s="733">
        <f>AI90/$O90-1</f>
        <v>0.14542657879275267</v>
      </c>
      <c r="AO90" s="733">
        <f>AK90/$Q90-1</f>
        <v>0.14542657879275267</v>
      </c>
      <c r="AP90" s="733">
        <f>AM90/$S90-1</f>
        <v>0.14542657879275267</v>
      </c>
      <c r="AR90" s="137"/>
      <c r="AS90" s="138">
        <f>AS87-AS64</f>
        <v>0.25183098591549291</v>
      </c>
      <c r="AT90" s="137"/>
      <c r="AU90" s="138">
        <f>AU87-AU64</f>
        <v>0.25183098591549291</v>
      </c>
      <c r="AV90" s="137"/>
      <c r="AW90" s="138">
        <f>AW87-AW64</f>
        <v>0.25183098591549291</v>
      </c>
      <c r="AX90" s="733">
        <f>AS90/$O90-1</f>
        <v>0.14542657879275267</v>
      </c>
      <c r="AY90" s="733">
        <f>AU90/$Q90-1</f>
        <v>0.14542657879275267</v>
      </c>
      <c r="AZ90" s="733">
        <f>AW90/$S90-1</f>
        <v>0.14542657879275267</v>
      </c>
      <c r="BB90" s="137"/>
      <c r="BC90" s="138">
        <f>BC87-BC64</f>
        <v>0.25183098591549291</v>
      </c>
      <c r="BD90" s="137"/>
      <c r="BE90" s="138">
        <f>BE87-BE64</f>
        <v>0.25183098591549291</v>
      </c>
      <c r="BF90" s="137"/>
      <c r="BG90" s="138">
        <f>BG87-BG64</f>
        <v>0.25183098591549291</v>
      </c>
      <c r="BH90" s="733">
        <f>BC90/$O90-1</f>
        <v>0.14542657879275267</v>
      </c>
      <c r="BI90" s="733">
        <f>BE90/$Q90-1</f>
        <v>0.14542657879275267</v>
      </c>
      <c r="BJ90" s="733">
        <f>BG90/$S90-1</f>
        <v>0.14542657879275267</v>
      </c>
      <c r="BL90" s="137"/>
      <c r="BM90" s="138">
        <f>BM87-BM64</f>
        <v>1.3718309859154925</v>
      </c>
      <c r="BN90" s="137"/>
      <c r="BO90" s="138">
        <f>BO87-BO64</f>
        <v>1.3718309859154925</v>
      </c>
      <c r="BP90" s="137"/>
      <c r="BQ90" s="138">
        <f>BQ87-BQ64</f>
        <v>1.3718309859154925</v>
      </c>
      <c r="BR90" s="733">
        <f>BM90/$O90-1</f>
        <v>5.2396280075175659</v>
      </c>
      <c r="BS90" s="733">
        <f>BO90/$Q90-1</f>
        <v>5.2396280075175659</v>
      </c>
      <c r="BT90" s="733">
        <f>BQ90/$S90-1</f>
        <v>5.2396280075175659</v>
      </c>
      <c r="BV90" s="137"/>
      <c r="BW90" s="138">
        <f>BW87-BW64</f>
        <v>0.58760563380281727</v>
      </c>
      <c r="BY90" s="137"/>
      <c r="BZ90" s="138">
        <f>BZ87-BZ64</f>
        <v>0.33169014084507076</v>
      </c>
      <c r="CA90" s="137"/>
      <c r="CB90" s="138">
        <f>CB87-CB64</f>
        <v>0.33169014084507076</v>
      </c>
      <c r="CC90" s="137"/>
      <c r="CD90" s="138">
        <f>CD87-CD64</f>
        <v>0.33169014084507076</v>
      </c>
      <c r="CF90" s="137"/>
      <c r="CG90" s="138">
        <f>CG87-CG64</f>
        <v>0.83169014084507076</v>
      </c>
      <c r="CH90" s="137"/>
      <c r="CI90" s="138">
        <f>CI87-CI64</f>
        <v>0.83169014084507076</v>
      </c>
      <c r="CJ90" s="137"/>
      <c r="CK90" s="138">
        <f>CK87-CK64</f>
        <v>0.83169014084507076</v>
      </c>
      <c r="CM90" s="137"/>
      <c r="CN90" s="138">
        <f>CN87-CN64</f>
        <v>-4.0845070422535379E-2</v>
      </c>
      <c r="CO90" s="137"/>
      <c r="CP90" s="138">
        <f>CP87-CP64</f>
        <v>-4.0845070422535379E-2</v>
      </c>
      <c r="CQ90" s="137"/>
      <c r="CR90" s="138">
        <f>CR87-CR64</f>
        <v>-4.0845070422535379E-2</v>
      </c>
      <c r="CT90" s="137"/>
      <c r="CU90" s="138">
        <f>CU87-CU64</f>
        <v>0.57183098591549264</v>
      </c>
      <c r="CV90" s="137"/>
      <c r="CW90" s="138">
        <f t="shared" ref="CW90" si="366">CW87-CW64</f>
        <v>0.57183098591549264</v>
      </c>
      <c r="CX90" s="137"/>
      <c r="CY90" s="138">
        <f t="shared" ref="CY90" si="367">CY87-CY64</f>
        <v>0.57183098591549264</v>
      </c>
      <c r="DA90" s="137"/>
      <c r="DB90" s="138">
        <f>DB87-DB64</f>
        <v>1.721830985915493</v>
      </c>
      <c r="DC90" s="137"/>
      <c r="DD90" s="138">
        <f t="shared" ref="DD90" si="368">DD87-DD64</f>
        <v>1.721830985915493</v>
      </c>
      <c r="DE90" s="137"/>
      <c r="DF90" s="138">
        <f t="shared" ref="DF90" si="369">DF87-DF64</f>
        <v>1.721830985915493</v>
      </c>
      <c r="DH90" s="137"/>
      <c r="DI90" s="138">
        <f>DI87-DI64</f>
        <v>1.1718309859154932</v>
      </c>
      <c r="DJ90" s="137"/>
      <c r="DK90" s="138">
        <f t="shared" ref="DK90" si="370">DK87-DK64</f>
        <v>1.1718309859154932</v>
      </c>
      <c r="DL90" s="137"/>
      <c r="DM90" s="138">
        <f t="shared" ref="DM90" si="371">DM87-DM64</f>
        <v>1.1718309859154932</v>
      </c>
    </row>
    <row r="91" spans="1:117" s="65" customFormat="1" ht="18" customHeight="1" x14ac:dyDescent="0.45">
      <c r="A91" s="561"/>
      <c r="B91" s="1241"/>
      <c r="C91" s="131" t="s">
        <v>87</v>
      </c>
      <c r="D91" s="131"/>
      <c r="E91" s="131"/>
      <c r="F91" s="132"/>
      <c r="G91" s="133">
        <f>G90/G74</f>
        <v>8.7602084763515914E-2</v>
      </c>
      <c r="H91" s="132"/>
      <c r="I91" s="133">
        <f>I90/I74</f>
        <v>4.9628033789452068E-2</v>
      </c>
      <c r="J91" s="132"/>
      <c r="K91" s="133">
        <f t="shared" ref="K91" si="372">K90/K74</f>
        <v>4.9628033789452068E-2</v>
      </c>
      <c r="L91" s="132"/>
      <c r="M91" s="133">
        <f t="shared" ref="M91" si="373">M90/M74</f>
        <v>4.9628033789452068E-2</v>
      </c>
      <c r="N91" s="381"/>
      <c r="O91" s="382">
        <f>O90/O74</f>
        <v>3.8503995783662849E-2</v>
      </c>
      <c r="P91" s="381"/>
      <c r="Q91" s="382">
        <f>Q90/Q74</f>
        <v>3.8503995783662849E-2</v>
      </c>
      <c r="R91" s="381"/>
      <c r="S91" s="382">
        <f>S90/S74</f>
        <v>3.8503995783662849E-2</v>
      </c>
      <c r="T91" s="381"/>
      <c r="U91" s="382">
        <f>U90/U74</f>
        <v>1.0629272480175107E-2</v>
      </c>
      <c r="V91" s="381"/>
      <c r="W91" s="382">
        <f>W90/W74</f>
        <v>1.0629272480175107E-2</v>
      </c>
      <c r="X91" s="381"/>
      <c r="Y91" s="382">
        <f>Y90/Y74</f>
        <v>1.0629272480175107E-2</v>
      </c>
      <c r="Z91" s="381"/>
      <c r="AA91" s="382">
        <f>AA90/AA74</f>
        <v>-2.9451666214449623E-2</v>
      </c>
      <c r="AB91" s="381"/>
      <c r="AC91" s="382">
        <f>AC90/AC74</f>
        <v>-2.9451666214449623E-2</v>
      </c>
      <c r="AD91" s="381"/>
      <c r="AE91" s="382">
        <f>AE90/AE74</f>
        <v>-2.9451666214449623E-2</v>
      </c>
      <c r="AF91" s="620"/>
      <c r="AG91" s="672"/>
      <c r="AH91" s="381"/>
      <c r="AI91" s="382">
        <f>AI90/AI74</f>
        <v>4.1763015906383566E-2</v>
      </c>
      <c r="AJ91" s="381"/>
      <c r="AK91" s="382">
        <f>AK90/AK74</f>
        <v>4.1763015906383566E-2</v>
      </c>
      <c r="AL91" s="381"/>
      <c r="AM91" s="382">
        <f>AM90/AM74</f>
        <v>4.1763015906383566E-2</v>
      </c>
      <c r="AN91" s="645"/>
      <c r="AO91" s="645"/>
      <c r="AP91" s="645"/>
      <c r="AR91" s="381"/>
      <c r="AS91" s="382">
        <f>AS90/AS74</f>
        <v>4.1763015906383566E-2</v>
      </c>
      <c r="AT91" s="381"/>
      <c r="AU91" s="382">
        <f>AU90/AU74</f>
        <v>4.1763015906383566E-2</v>
      </c>
      <c r="AV91" s="381"/>
      <c r="AW91" s="382">
        <f>AW90/AW74</f>
        <v>4.1763015906383566E-2</v>
      </c>
      <c r="AX91" s="645"/>
      <c r="AY91" s="645"/>
      <c r="AZ91" s="645"/>
      <c r="BB91" s="381"/>
      <c r="BC91" s="382">
        <f>BC90/BC74</f>
        <v>4.1763015906383566E-2</v>
      </c>
      <c r="BD91" s="381"/>
      <c r="BE91" s="382">
        <f>BE90/BE74</f>
        <v>4.1763015906383566E-2</v>
      </c>
      <c r="BF91" s="381"/>
      <c r="BG91" s="382">
        <f>BG90/BG74</f>
        <v>4.1763015906383566E-2</v>
      </c>
      <c r="BH91" s="645"/>
      <c r="BI91" s="645"/>
      <c r="BJ91" s="645"/>
      <c r="BL91" s="381"/>
      <c r="BM91" s="382">
        <f>BM90/BM74</f>
        <v>0.20785317968416553</v>
      </c>
      <c r="BN91" s="381"/>
      <c r="BO91" s="382">
        <f>BO90/BO74</f>
        <v>0.20785317968416553</v>
      </c>
      <c r="BP91" s="381"/>
      <c r="BQ91" s="382">
        <f>BQ90/BQ74</f>
        <v>0.20785317968416553</v>
      </c>
      <c r="BR91" s="645"/>
      <c r="BS91" s="645"/>
      <c r="BT91" s="645"/>
      <c r="BV91" s="381"/>
      <c r="BW91" s="382">
        <f>BW90/BW74</f>
        <v>8.9031156636790496E-2</v>
      </c>
      <c r="BY91" s="381"/>
      <c r="BZ91" s="382">
        <f>BZ90/BZ74</f>
        <v>5.3070422535211319E-2</v>
      </c>
      <c r="CA91" s="381"/>
      <c r="CB91" s="382">
        <f>CB90/CB74</f>
        <v>5.3070422535211319E-2</v>
      </c>
      <c r="CC91" s="381"/>
      <c r="CD91" s="382">
        <f>CD90/CD74</f>
        <v>5.3070422535211319E-2</v>
      </c>
      <c r="CF91" s="381"/>
      <c r="CG91" s="382">
        <f>CG90/CG74</f>
        <v>0.12321335419926974</v>
      </c>
      <c r="CH91" s="381"/>
      <c r="CI91" s="382">
        <f>CI90/CI74</f>
        <v>0.12321335419926974</v>
      </c>
      <c r="CJ91" s="381"/>
      <c r="CK91" s="382">
        <f>CK90/CK74</f>
        <v>0.12321335419926974</v>
      </c>
      <c r="CM91" s="381"/>
      <c r="CN91" s="382">
        <f>CN90/CN74</f>
        <v>-6.051121544079315E-3</v>
      </c>
      <c r="CO91" s="381"/>
      <c r="CP91" s="382">
        <f>CP90/CP74</f>
        <v>-6.051121544079315E-3</v>
      </c>
      <c r="CQ91" s="381"/>
      <c r="CR91" s="382">
        <f>CR90/CR74</f>
        <v>-6.051121544079315E-3</v>
      </c>
      <c r="CT91" s="381"/>
      <c r="CU91" s="611">
        <f>CU90/CU74</f>
        <v>8.6641058472044341E-2</v>
      </c>
      <c r="CV91" s="381"/>
      <c r="CW91" s="611">
        <f t="shared" ref="CW91" si="374">CW90/CW74</f>
        <v>8.6641058472044341E-2</v>
      </c>
      <c r="CX91" s="381"/>
      <c r="CY91" s="611">
        <f t="shared" ref="CY91" si="375">CY90/CY74</f>
        <v>8.6641058472044341E-2</v>
      </c>
      <c r="DA91" s="381"/>
      <c r="DB91" s="611">
        <f>DB90/DB74</f>
        <v>0.22217174011812812</v>
      </c>
      <c r="DC91" s="381"/>
      <c r="DD91" s="611">
        <f t="shared" ref="DD91" si="376">DD90/DD74</f>
        <v>0.22217174011812812</v>
      </c>
      <c r="DE91" s="381"/>
      <c r="DF91" s="611">
        <f t="shared" ref="DF91" si="377">DF90/DF74</f>
        <v>0.22217174011812812</v>
      </c>
      <c r="DH91" s="381"/>
      <c r="DI91" s="611">
        <f>DI90/DI74</f>
        <v>0.16275430359937404</v>
      </c>
      <c r="DJ91" s="381"/>
      <c r="DK91" s="611">
        <f t="shared" ref="DK91" si="378">DK90/DK74</f>
        <v>0.16275430359937404</v>
      </c>
      <c r="DL91" s="381"/>
      <c r="DM91" s="611">
        <f t="shared" ref="DM91" si="379">DM90/DM74</f>
        <v>0.16275430359937404</v>
      </c>
    </row>
    <row r="92" spans="1:117" s="65" customFormat="1" ht="6.75" customHeight="1" x14ac:dyDescent="0.45">
      <c r="A92" s="561"/>
      <c r="B92" s="266"/>
      <c r="C92" s="131"/>
      <c r="D92" s="131"/>
      <c r="E92" s="131"/>
      <c r="F92" s="132"/>
      <c r="G92" s="133"/>
      <c r="H92" s="132"/>
      <c r="I92" s="133"/>
      <c r="J92" s="132"/>
      <c r="K92" s="133"/>
      <c r="L92" s="132"/>
      <c r="M92" s="133"/>
      <c r="N92" s="381"/>
      <c r="O92" s="382"/>
      <c r="P92" s="381"/>
      <c r="Q92" s="382"/>
      <c r="R92" s="381"/>
      <c r="S92" s="382"/>
      <c r="T92" s="381"/>
      <c r="U92" s="382"/>
      <c r="V92" s="381"/>
      <c r="W92" s="382"/>
      <c r="X92" s="381"/>
      <c r="Y92" s="382"/>
      <c r="Z92" s="381"/>
      <c r="AA92" s="382"/>
      <c r="AB92" s="381"/>
      <c r="AC92" s="382"/>
      <c r="AD92" s="381"/>
      <c r="AE92" s="382"/>
      <c r="AF92" s="620"/>
      <c r="AG92" s="672"/>
      <c r="AH92" s="381"/>
      <c r="AI92" s="382"/>
      <c r="AJ92" s="381"/>
      <c r="AK92" s="382"/>
      <c r="AL92" s="381"/>
      <c r="AM92" s="382"/>
      <c r="AN92" s="645"/>
      <c r="AO92" s="645"/>
      <c r="AP92" s="645"/>
      <c r="AR92" s="381"/>
      <c r="AS92" s="382"/>
      <c r="AT92" s="381"/>
      <c r="AU92" s="382"/>
      <c r="AV92" s="381"/>
      <c r="AW92" s="382"/>
      <c r="AX92" s="645"/>
      <c r="AY92" s="645"/>
      <c r="AZ92" s="645"/>
      <c r="BB92" s="381"/>
      <c r="BC92" s="382"/>
      <c r="BD92" s="381"/>
      <c r="BE92" s="382"/>
      <c r="BF92" s="381"/>
      <c r="BG92" s="382"/>
      <c r="BH92" s="645"/>
      <c r="BI92" s="645"/>
      <c r="BJ92" s="645"/>
      <c r="BL92" s="381"/>
      <c r="BM92" s="382"/>
      <c r="BN92" s="381"/>
      <c r="BO92" s="382"/>
      <c r="BP92" s="381"/>
      <c r="BQ92" s="382"/>
      <c r="BR92" s="645"/>
      <c r="BS92" s="645"/>
      <c r="BT92" s="645"/>
      <c r="BV92" s="381"/>
      <c r="BW92" s="382"/>
      <c r="BY92" s="381"/>
      <c r="BZ92" s="382"/>
      <c r="CA92" s="381"/>
      <c r="CB92" s="382"/>
      <c r="CC92" s="381"/>
      <c r="CD92" s="382"/>
      <c r="CF92" s="381"/>
      <c r="CG92" s="382"/>
      <c r="CH92" s="381"/>
      <c r="CI92" s="382"/>
      <c r="CJ92" s="381"/>
      <c r="CK92" s="382"/>
      <c r="CM92" s="381"/>
      <c r="CN92" s="382"/>
      <c r="CO92" s="381"/>
      <c r="CP92" s="382"/>
      <c r="CQ92" s="381"/>
      <c r="CR92" s="382"/>
      <c r="CT92" s="381"/>
      <c r="CU92" s="383"/>
      <c r="CV92" s="381"/>
      <c r="CW92" s="383"/>
      <c r="CX92" s="381"/>
      <c r="CY92" s="383"/>
      <c r="DA92" s="381"/>
      <c r="DB92" s="383"/>
      <c r="DC92" s="381"/>
      <c r="DD92" s="383"/>
      <c r="DE92" s="381"/>
      <c r="DF92" s="383"/>
      <c r="DH92" s="381"/>
      <c r="DI92" s="383"/>
      <c r="DJ92" s="381"/>
      <c r="DK92" s="383"/>
      <c r="DL92" s="381"/>
      <c r="DM92" s="383"/>
    </row>
    <row r="93" spans="1:117" s="65" customFormat="1" ht="18" customHeight="1" x14ac:dyDescent="0.45">
      <c r="A93" s="561"/>
      <c r="B93" s="266"/>
      <c r="C93" s="261" t="s">
        <v>88</v>
      </c>
      <c r="D93" s="140"/>
      <c r="E93" s="136" t="str">
        <f>E90</f>
        <v xml:space="preserve">per carton USD </v>
      </c>
      <c r="F93" s="141"/>
      <c r="G93" s="142">
        <f>G90-G79</f>
        <v>0.34459330979792913</v>
      </c>
      <c r="H93" s="141"/>
      <c r="I93" s="142">
        <f>I90-I79</f>
        <v>0.13362912072961139</v>
      </c>
      <c r="J93" s="141"/>
      <c r="K93" s="142">
        <f t="shared" ref="K93" si="380">K90-K79</f>
        <v>0.13362912072961139</v>
      </c>
      <c r="L93" s="141"/>
      <c r="M93" s="142">
        <f t="shared" ref="M93" si="381">M90-M79</f>
        <v>0.13362912072961139</v>
      </c>
      <c r="N93" s="141"/>
      <c r="O93" s="142">
        <f>O90-O79</f>
        <v>9.1485469168118949E-2</v>
      </c>
      <c r="P93" s="141"/>
      <c r="Q93" s="142">
        <f>Q90-Q79</f>
        <v>9.1485469168118949E-2</v>
      </c>
      <c r="R93" s="141"/>
      <c r="S93" s="142">
        <f>S90-S79</f>
        <v>9.1485469168118949E-2</v>
      </c>
      <c r="T93" s="141"/>
      <c r="U93" s="142">
        <f>U90-U79</f>
        <v>-6.7679200894796065E-2</v>
      </c>
      <c r="V93" s="141"/>
      <c r="W93" s="142">
        <f>W90-W79</f>
        <v>-6.7679200894796065E-2</v>
      </c>
      <c r="X93" s="141"/>
      <c r="Y93" s="142">
        <f>Y90-Y79</f>
        <v>-6.7679200894796065E-2</v>
      </c>
      <c r="Z93" s="141"/>
      <c r="AA93" s="142">
        <f>AA90-AA79</f>
        <v>-0.29654136084110327</v>
      </c>
      <c r="AB93" s="141"/>
      <c r="AC93" s="142">
        <f>AC90-AC79</f>
        <v>-0.29654136084110327</v>
      </c>
      <c r="AD93" s="141"/>
      <c r="AE93" s="142">
        <f>AE90-AE79</f>
        <v>-0.29654136084110327</v>
      </c>
      <c r="AF93" s="620"/>
      <c r="AG93" s="712"/>
      <c r="AH93" s="141"/>
      <c r="AI93" s="142">
        <f>AI90-AI79</f>
        <v>0.12345863915889699</v>
      </c>
      <c r="AJ93" s="141"/>
      <c r="AK93" s="142">
        <f>AK90-AK79</f>
        <v>0.12345863915889699</v>
      </c>
      <c r="AL93" s="141"/>
      <c r="AM93" s="142">
        <f>AM90-AM79</f>
        <v>0.12345863915889699</v>
      </c>
      <c r="AN93" s="734"/>
      <c r="AO93" s="734"/>
      <c r="AP93" s="734"/>
      <c r="AR93" s="141"/>
      <c r="AS93" s="142">
        <f>AS90-AS79</f>
        <v>0.12345863915889699</v>
      </c>
      <c r="AT93" s="141"/>
      <c r="AU93" s="142">
        <f>AU90-AU79</f>
        <v>0.12345863915889699</v>
      </c>
      <c r="AV93" s="141"/>
      <c r="AW93" s="142">
        <f>AW90-AW79</f>
        <v>0.12345863915889699</v>
      </c>
      <c r="AX93" s="734"/>
      <c r="AY93" s="734"/>
      <c r="AZ93" s="734"/>
      <c r="BB93" s="141"/>
      <c r="BC93" s="142">
        <f>BC90-BC79</f>
        <v>0.12345863915889699</v>
      </c>
      <c r="BD93" s="141"/>
      <c r="BE93" s="142">
        <f>BE90-BE79</f>
        <v>0.12345863915889699</v>
      </c>
      <c r="BF93" s="141"/>
      <c r="BG93" s="142">
        <f>BG90-BG79</f>
        <v>0.12345863915889699</v>
      </c>
      <c r="BH93" s="734"/>
      <c r="BI93" s="734"/>
      <c r="BJ93" s="734"/>
      <c r="BL93" s="141"/>
      <c r="BM93" s="142">
        <f>BM90-BM79</f>
        <v>1.2434586391588964</v>
      </c>
      <c r="BN93" s="141"/>
      <c r="BO93" s="142">
        <f>BO90-BO79</f>
        <v>1.2434586391588964</v>
      </c>
      <c r="BP93" s="141"/>
      <c r="BQ93" s="142">
        <f>BQ90-BQ79</f>
        <v>1.2434586391588964</v>
      </c>
      <c r="BR93" s="734"/>
      <c r="BS93" s="734"/>
      <c r="BT93" s="734"/>
      <c r="BV93" s="141"/>
      <c r="BW93" s="142">
        <f>BW90-BW79</f>
        <v>0.45923328704622135</v>
      </c>
      <c r="BY93" s="141"/>
      <c r="BZ93" s="142">
        <f>BZ90-BZ79</f>
        <v>0.20331779408847483</v>
      </c>
      <c r="CA93" s="141"/>
      <c r="CB93" s="142">
        <f>CB90-CB79</f>
        <v>0.20331779408847483</v>
      </c>
      <c r="CC93" s="141"/>
      <c r="CD93" s="142">
        <f>CD90-CD79</f>
        <v>0.20331779408847483</v>
      </c>
      <c r="CF93" s="141"/>
      <c r="CG93" s="142">
        <f>CG90-CG79</f>
        <v>0.70331779408847483</v>
      </c>
      <c r="CH93" s="141"/>
      <c r="CI93" s="142">
        <f>CI90-CI79</f>
        <v>0.70331779408847483</v>
      </c>
      <c r="CJ93" s="141"/>
      <c r="CK93" s="142">
        <f>CK90-CK79</f>
        <v>0.70331779408847483</v>
      </c>
      <c r="CM93" s="141"/>
      <c r="CN93" s="142">
        <f>CN90-CN79</f>
        <v>-0.1692174171791313</v>
      </c>
      <c r="CO93" s="141"/>
      <c r="CP93" s="142">
        <f>CP90-CP79</f>
        <v>-0.1692174171791313</v>
      </c>
      <c r="CQ93" s="141"/>
      <c r="CR93" s="142">
        <f>CR90-CR79</f>
        <v>-0.1692174171791313</v>
      </c>
      <c r="CT93" s="141"/>
      <c r="CU93" s="599">
        <f>CU90-CU79</f>
        <v>0.45369500058200413</v>
      </c>
      <c r="CV93" s="141"/>
      <c r="CW93" s="599">
        <f t="shared" ref="CW93" si="382">CW90-CW79</f>
        <v>0.45369500058200413</v>
      </c>
      <c r="CX93" s="141"/>
      <c r="CY93" s="599">
        <f t="shared" ref="CY93" si="383">CY90-CY79</f>
        <v>0.45369500058200413</v>
      </c>
      <c r="DA93" s="141"/>
      <c r="DB93" s="599">
        <f>DB90-DB79</f>
        <v>1.6036950005820045</v>
      </c>
      <c r="DC93" s="141"/>
      <c r="DD93" s="599">
        <f t="shared" ref="DD93" si="384">DD90-DD79</f>
        <v>1.6036950005820045</v>
      </c>
      <c r="DE93" s="141"/>
      <c r="DF93" s="599">
        <f t="shared" ref="DF93" si="385">DF90-DF79</f>
        <v>1.6036950005820045</v>
      </c>
      <c r="DH93" s="141"/>
      <c r="DI93" s="599">
        <f>DI90-DI79</f>
        <v>1.0536950005820047</v>
      </c>
      <c r="DJ93" s="141"/>
      <c r="DK93" s="599">
        <f t="shared" ref="DK93" si="386">DK90-DK79</f>
        <v>1.0536950005820047</v>
      </c>
      <c r="DL93" s="141"/>
      <c r="DM93" s="599">
        <f t="shared" ref="DM93" si="387">DM90-DM79</f>
        <v>1.0536950005820047</v>
      </c>
    </row>
    <row r="94" spans="1:117" s="65" customFormat="1" ht="18" customHeight="1" x14ac:dyDescent="0.45">
      <c r="A94" s="561"/>
      <c r="B94" s="266"/>
      <c r="C94" s="131" t="s">
        <v>89</v>
      </c>
      <c r="D94" s="131"/>
      <c r="E94" s="131"/>
      <c r="F94" s="132"/>
      <c r="G94" s="133">
        <f>G93/G74</f>
        <v>6.3846881512664322E-2</v>
      </c>
      <c r="H94" s="132"/>
      <c r="I94" s="133">
        <f>I93/I74</f>
        <v>2.532746281847947E-2</v>
      </c>
      <c r="J94" s="132"/>
      <c r="K94" s="133">
        <f t="shared" ref="K94" si="388">K93/K74</f>
        <v>2.532746281847947E-2</v>
      </c>
      <c r="L94" s="132"/>
      <c r="M94" s="133">
        <f t="shared" ref="M94" si="389">M93/M74</f>
        <v>2.532746281847947E-2</v>
      </c>
      <c r="N94" s="381"/>
      <c r="O94" s="382">
        <f>O93/O74</f>
        <v>1.6021973584609273E-2</v>
      </c>
      <c r="P94" s="381"/>
      <c r="Q94" s="382">
        <f>Q93/Q74</f>
        <v>1.6021973584609273E-2</v>
      </c>
      <c r="R94" s="381"/>
      <c r="S94" s="382">
        <f>S93/S74</f>
        <v>1.6021973584609273E-2</v>
      </c>
      <c r="T94" s="381"/>
      <c r="U94" s="382">
        <f>U93/U74</f>
        <v>-1.185274971887847E-2</v>
      </c>
      <c r="V94" s="381"/>
      <c r="W94" s="382">
        <f>W93/W74</f>
        <v>-1.185274971887847E-2</v>
      </c>
      <c r="X94" s="381"/>
      <c r="Y94" s="382">
        <f>Y93/Y74</f>
        <v>-1.185274971887847E-2</v>
      </c>
      <c r="Z94" s="381"/>
      <c r="AA94" s="382">
        <f>AA93/AA74</f>
        <v>-5.1933688413503203E-2</v>
      </c>
      <c r="AB94" s="381"/>
      <c r="AC94" s="382">
        <f>AC93/AC74</f>
        <v>-5.1933688413503203E-2</v>
      </c>
      <c r="AD94" s="381"/>
      <c r="AE94" s="382">
        <f>AE93/AE74</f>
        <v>-5.1933688413503203E-2</v>
      </c>
      <c r="AF94" s="620"/>
      <c r="AG94" s="672"/>
      <c r="AH94" s="381"/>
      <c r="AI94" s="382">
        <f>AI93/AI74</f>
        <v>2.0474069512254889E-2</v>
      </c>
      <c r="AJ94" s="381"/>
      <c r="AK94" s="382">
        <f>AK93/AK74</f>
        <v>2.0474069512254889E-2</v>
      </c>
      <c r="AL94" s="381"/>
      <c r="AM94" s="382">
        <f>AM93/AM74</f>
        <v>2.0474069512254889E-2</v>
      </c>
      <c r="AN94" s="645"/>
      <c r="AO94" s="645"/>
      <c r="AP94" s="645"/>
      <c r="AR94" s="381"/>
      <c r="AS94" s="382">
        <f>AS93/AS74</f>
        <v>2.0474069512254889E-2</v>
      </c>
      <c r="AT94" s="381"/>
      <c r="AU94" s="382">
        <f>AU93/AU74</f>
        <v>2.0474069512254889E-2</v>
      </c>
      <c r="AV94" s="381"/>
      <c r="AW94" s="382">
        <f>AW93/AW74</f>
        <v>2.0474069512254889E-2</v>
      </c>
      <c r="AX94" s="645"/>
      <c r="AY94" s="645"/>
      <c r="AZ94" s="645"/>
      <c r="BB94" s="381"/>
      <c r="BC94" s="382">
        <f>BC93/BC74</f>
        <v>2.0474069512254889E-2</v>
      </c>
      <c r="BD94" s="381"/>
      <c r="BE94" s="382">
        <f>BE93/BE74</f>
        <v>2.0474069512254889E-2</v>
      </c>
      <c r="BF94" s="381"/>
      <c r="BG94" s="382">
        <f>BG93/BG74</f>
        <v>2.0474069512254889E-2</v>
      </c>
      <c r="BH94" s="645"/>
      <c r="BI94" s="645"/>
      <c r="BJ94" s="645"/>
      <c r="BL94" s="381"/>
      <c r="BM94" s="382">
        <f>BM93/BM74</f>
        <v>0.18840282411498432</v>
      </c>
      <c r="BN94" s="381"/>
      <c r="BO94" s="382">
        <f>BO93/BO74</f>
        <v>0.18840282411498432</v>
      </c>
      <c r="BP94" s="381"/>
      <c r="BQ94" s="382">
        <f>BQ93/BQ74</f>
        <v>0.18840282411498432</v>
      </c>
      <c r="BR94" s="645"/>
      <c r="BS94" s="645"/>
      <c r="BT94" s="645"/>
      <c r="BV94" s="381"/>
      <c r="BW94" s="382">
        <f>BW93/BW74</f>
        <v>6.9580801067609305E-2</v>
      </c>
      <c r="BY94" s="381"/>
      <c r="BZ94" s="382">
        <f>BZ93/BZ74</f>
        <v>3.2530847054155973E-2</v>
      </c>
      <c r="CA94" s="381"/>
      <c r="CB94" s="382">
        <f>CB93/CB74</f>
        <v>3.2530847054155973E-2</v>
      </c>
      <c r="CC94" s="381"/>
      <c r="CD94" s="382">
        <f>CD93/CD74</f>
        <v>3.2530847054155973E-2</v>
      </c>
      <c r="CF94" s="381"/>
      <c r="CG94" s="382">
        <f>CG93/CG74</f>
        <v>0.10419522875384812</v>
      </c>
      <c r="CH94" s="381"/>
      <c r="CI94" s="382">
        <f>CI93/CI74</f>
        <v>0.10419522875384812</v>
      </c>
      <c r="CJ94" s="381"/>
      <c r="CK94" s="382">
        <f>CK93/CK74</f>
        <v>0.10419522875384812</v>
      </c>
      <c r="CM94" s="381"/>
      <c r="CN94" s="382">
        <f>CN93/CN74</f>
        <v>-2.5069246989500932E-2</v>
      </c>
      <c r="CO94" s="381"/>
      <c r="CP94" s="382">
        <f>CP93/CP74</f>
        <v>-2.5069246989500932E-2</v>
      </c>
      <c r="CQ94" s="381"/>
      <c r="CR94" s="382">
        <f>CR93/CR74</f>
        <v>-2.5069246989500932E-2</v>
      </c>
      <c r="CT94" s="381"/>
      <c r="CU94" s="611">
        <f>CU93/CU74</f>
        <v>6.8741666754849121E-2</v>
      </c>
      <c r="CV94" s="381"/>
      <c r="CW94" s="611">
        <f t="shared" ref="CW94" si="390">CW93/CW74</f>
        <v>6.8741666754849121E-2</v>
      </c>
      <c r="CX94" s="381"/>
      <c r="CY94" s="611">
        <f t="shared" ref="CY94" si="391">CY93/CY74</f>
        <v>6.8741666754849121E-2</v>
      </c>
      <c r="DA94" s="381"/>
      <c r="DB94" s="611">
        <f>DB93/DB74</f>
        <v>0.20692838717187156</v>
      </c>
      <c r="DC94" s="381"/>
      <c r="DD94" s="611">
        <f t="shared" ref="DD94" si="392">DD93/DD74</f>
        <v>0.20692838717187156</v>
      </c>
      <c r="DE94" s="381"/>
      <c r="DF94" s="611">
        <f t="shared" ref="DF94" si="393">DF93/DF74</f>
        <v>0.20692838717187156</v>
      </c>
      <c r="DH94" s="381"/>
      <c r="DI94" s="611">
        <f>DI93/DI74</f>
        <v>0.14634652785861177</v>
      </c>
      <c r="DJ94" s="381"/>
      <c r="DK94" s="611">
        <f t="shared" ref="DK94" si="394">DK93/DK74</f>
        <v>0.14634652785861177</v>
      </c>
      <c r="DL94" s="381"/>
      <c r="DM94" s="611">
        <f t="shared" ref="DM94" si="395">DM93/DM74</f>
        <v>0.14634652785861177</v>
      </c>
    </row>
    <row r="95" spans="1:117" s="65" customFormat="1" ht="6.75" customHeight="1" x14ac:dyDescent="0.45">
      <c r="A95" s="561"/>
      <c r="B95" s="266"/>
      <c r="C95" s="131"/>
      <c r="D95" s="131"/>
      <c r="E95" s="131"/>
      <c r="F95" s="132"/>
      <c r="G95" s="133"/>
      <c r="H95" s="132"/>
      <c r="I95" s="133"/>
      <c r="J95" s="132"/>
      <c r="K95" s="133"/>
      <c r="L95" s="132"/>
      <c r="M95" s="133"/>
      <c r="N95" s="381"/>
      <c r="O95" s="382"/>
      <c r="P95" s="381"/>
      <c r="Q95" s="382"/>
      <c r="R95" s="381"/>
      <c r="S95" s="382"/>
      <c r="T95" s="381"/>
      <c r="U95" s="382"/>
      <c r="V95" s="381"/>
      <c r="W95" s="382"/>
      <c r="X95" s="381"/>
      <c r="Y95" s="382"/>
      <c r="Z95" s="381"/>
      <c r="AA95" s="382"/>
      <c r="AB95" s="381"/>
      <c r="AC95" s="382"/>
      <c r="AD95" s="381"/>
      <c r="AE95" s="382"/>
      <c r="AF95" s="620"/>
      <c r="AG95" s="672"/>
      <c r="AH95" s="381"/>
      <c r="AI95" s="382"/>
      <c r="AJ95" s="381"/>
      <c r="AK95" s="382"/>
      <c r="AL95" s="381"/>
      <c r="AM95" s="382"/>
      <c r="AN95" s="645"/>
      <c r="AO95" s="645"/>
      <c r="AP95" s="645"/>
      <c r="AR95" s="381"/>
      <c r="AS95" s="382"/>
      <c r="AT95" s="381"/>
      <c r="AU95" s="382"/>
      <c r="AV95" s="381"/>
      <c r="AW95" s="382"/>
      <c r="AX95" s="645"/>
      <c r="AY95" s="645"/>
      <c r="AZ95" s="645"/>
      <c r="BB95" s="381"/>
      <c r="BC95" s="382"/>
      <c r="BD95" s="381"/>
      <c r="BE95" s="382"/>
      <c r="BF95" s="381"/>
      <c r="BG95" s="382"/>
      <c r="BH95" s="645"/>
      <c r="BI95" s="645"/>
      <c r="BJ95" s="645"/>
      <c r="BL95" s="381"/>
      <c r="BM95" s="382"/>
      <c r="BN95" s="381"/>
      <c r="BO95" s="382"/>
      <c r="BP95" s="381"/>
      <c r="BQ95" s="382"/>
      <c r="BR95" s="645"/>
      <c r="BS95" s="645"/>
      <c r="BT95" s="645"/>
      <c r="BV95" s="381"/>
      <c r="BW95" s="382"/>
      <c r="BY95" s="381"/>
      <c r="BZ95" s="382"/>
      <c r="CA95" s="381"/>
      <c r="CB95" s="382"/>
      <c r="CC95" s="381"/>
      <c r="CD95" s="382"/>
      <c r="CF95" s="381"/>
      <c r="CG95" s="382"/>
      <c r="CH95" s="381"/>
      <c r="CI95" s="382"/>
      <c r="CJ95" s="381"/>
      <c r="CK95" s="382"/>
      <c r="CM95" s="381"/>
      <c r="CN95" s="382"/>
      <c r="CO95" s="381"/>
      <c r="CP95" s="382"/>
      <c r="CQ95" s="381"/>
      <c r="CR95" s="382"/>
      <c r="CT95" s="381"/>
      <c r="CU95" s="383"/>
      <c r="CV95" s="381"/>
      <c r="CW95" s="383"/>
      <c r="CX95" s="381"/>
      <c r="CY95" s="383"/>
      <c r="DA95" s="381"/>
      <c r="DB95" s="383"/>
      <c r="DC95" s="381"/>
      <c r="DD95" s="383"/>
      <c r="DE95" s="381"/>
      <c r="DF95" s="383"/>
      <c r="DH95" s="381"/>
      <c r="DI95" s="383"/>
      <c r="DJ95" s="381"/>
      <c r="DK95" s="383"/>
      <c r="DL95" s="381"/>
      <c r="DM95" s="383"/>
    </row>
    <row r="96" spans="1:117" s="65" customFormat="1" ht="18" customHeight="1" x14ac:dyDescent="0.45">
      <c r="A96" s="561"/>
      <c r="B96" s="266"/>
      <c r="C96" s="148" t="s">
        <v>90</v>
      </c>
      <c r="D96" s="144"/>
      <c r="E96" s="145" t="str">
        <f>E93</f>
        <v xml:space="preserve">per carton USD </v>
      </c>
      <c r="F96" s="146"/>
      <c r="G96" s="147">
        <f>G93</f>
        <v>0.34459330979792913</v>
      </c>
      <c r="H96" s="146"/>
      <c r="I96" s="147">
        <f>I93</f>
        <v>0.13362912072961139</v>
      </c>
      <c r="J96" s="146"/>
      <c r="K96" s="147">
        <f t="shared" ref="K96" si="396">K93</f>
        <v>0.13362912072961139</v>
      </c>
      <c r="L96" s="146"/>
      <c r="M96" s="147">
        <f t="shared" ref="M96" si="397">M93</f>
        <v>0.13362912072961139</v>
      </c>
      <c r="N96" s="146"/>
      <c r="O96" s="147">
        <f>O93</f>
        <v>9.1485469168118949E-2</v>
      </c>
      <c r="P96" s="146"/>
      <c r="Q96" s="147">
        <f>Q93</f>
        <v>9.1485469168118949E-2</v>
      </c>
      <c r="R96" s="146"/>
      <c r="S96" s="147">
        <f>S93</f>
        <v>9.1485469168118949E-2</v>
      </c>
      <c r="T96" s="146"/>
      <c r="U96" s="147">
        <f>U93</f>
        <v>-6.7679200894796065E-2</v>
      </c>
      <c r="V96" s="146"/>
      <c r="W96" s="147">
        <f>W93</f>
        <v>-6.7679200894796065E-2</v>
      </c>
      <c r="X96" s="146"/>
      <c r="Y96" s="147">
        <f>Y93</f>
        <v>-6.7679200894796065E-2</v>
      </c>
      <c r="Z96" s="146"/>
      <c r="AA96" s="147">
        <f>AA93</f>
        <v>-0.29654136084110327</v>
      </c>
      <c r="AB96" s="146"/>
      <c r="AC96" s="147">
        <f>AC93</f>
        <v>-0.29654136084110327</v>
      </c>
      <c r="AD96" s="146"/>
      <c r="AE96" s="147">
        <f>AE93</f>
        <v>-0.29654136084110327</v>
      </c>
      <c r="AF96" s="620"/>
      <c r="AG96" s="712"/>
      <c r="AH96" s="146"/>
      <c r="AI96" s="147">
        <f>AI93</f>
        <v>0.12345863915889699</v>
      </c>
      <c r="AJ96" s="146"/>
      <c r="AK96" s="147">
        <f>AK93</f>
        <v>0.12345863915889699</v>
      </c>
      <c r="AL96" s="146"/>
      <c r="AM96" s="147">
        <f>AM93</f>
        <v>0.12345863915889699</v>
      </c>
      <c r="AN96" s="735"/>
      <c r="AO96" s="735"/>
      <c r="AP96" s="735"/>
      <c r="AR96" s="146"/>
      <c r="AS96" s="147">
        <f>AS93</f>
        <v>0.12345863915889699</v>
      </c>
      <c r="AT96" s="146"/>
      <c r="AU96" s="147">
        <f>AU93</f>
        <v>0.12345863915889699</v>
      </c>
      <c r="AV96" s="146"/>
      <c r="AW96" s="147">
        <f>AW93</f>
        <v>0.12345863915889699</v>
      </c>
      <c r="AX96" s="735"/>
      <c r="AY96" s="735"/>
      <c r="AZ96" s="735"/>
      <c r="BB96" s="146"/>
      <c r="BC96" s="147">
        <f>BC93</f>
        <v>0.12345863915889699</v>
      </c>
      <c r="BD96" s="146"/>
      <c r="BE96" s="147">
        <f>BE93</f>
        <v>0.12345863915889699</v>
      </c>
      <c r="BF96" s="146"/>
      <c r="BG96" s="147">
        <f>BG93</f>
        <v>0.12345863915889699</v>
      </c>
      <c r="BH96" s="735"/>
      <c r="BI96" s="735"/>
      <c r="BJ96" s="735"/>
      <c r="BL96" s="146"/>
      <c r="BM96" s="147">
        <f>BM93</f>
        <v>1.2434586391588964</v>
      </c>
      <c r="BN96" s="146"/>
      <c r="BO96" s="147">
        <f>BO93</f>
        <v>1.2434586391588964</v>
      </c>
      <c r="BP96" s="146"/>
      <c r="BQ96" s="147">
        <f>BQ93</f>
        <v>1.2434586391588964</v>
      </c>
      <c r="BR96" s="735"/>
      <c r="BS96" s="735"/>
      <c r="BT96" s="735"/>
      <c r="BV96" s="146"/>
      <c r="BW96" s="147">
        <f>BW93</f>
        <v>0.45923328704622135</v>
      </c>
      <c r="BY96" s="146"/>
      <c r="BZ96" s="147">
        <f>BZ93</f>
        <v>0.20331779408847483</v>
      </c>
      <c r="CA96" s="146"/>
      <c r="CB96" s="147">
        <f>CB93</f>
        <v>0.20331779408847483</v>
      </c>
      <c r="CC96" s="146"/>
      <c r="CD96" s="147">
        <f>CD93</f>
        <v>0.20331779408847483</v>
      </c>
      <c r="CF96" s="146"/>
      <c r="CG96" s="147">
        <f>CG93</f>
        <v>0.70331779408847483</v>
      </c>
      <c r="CH96" s="146"/>
      <c r="CI96" s="147">
        <f>CI93</f>
        <v>0.70331779408847483</v>
      </c>
      <c r="CJ96" s="146"/>
      <c r="CK96" s="147">
        <f>CK93</f>
        <v>0.70331779408847483</v>
      </c>
      <c r="CM96" s="146"/>
      <c r="CN96" s="147">
        <f>CN93</f>
        <v>-0.1692174171791313</v>
      </c>
      <c r="CO96" s="146"/>
      <c r="CP96" s="147">
        <f>CP93</f>
        <v>-0.1692174171791313</v>
      </c>
      <c r="CQ96" s="146"/>
      <c r="CR96" s="147">
        <f>CR93</f>
        <v>-0.1692174171791313</v>
      </c>
      <c r="CT96" s="424"/>
      <c r="CU96" s="601">
        <f>CU93</f>
        <v>0.45369500058200413</v>
      </c>
      <c r="CV96" s="424"/>
      <c r="CW96" s="601">
        <f t="shared" ref="CW96" si="398">CW93</f>
        <v>0.45369500058200413</v>
      </c>
      <c r="CX96" s="424"/>
      <c r="CY96" s="601">
        <f t="shared" ref="CY96" si="399">CY93</f>
        <v>0.45369500058200413</v>
      </c>
      <c r="DA96" s="424"/>
      <c r="DB96" s="601">
        <f>DB93</f>
        <v>1.6036950005820045</v>
      </c>
      <c r="DC96" s="424"/>
      <c r="DD96" s="601">
        <f t="shared" ref="DD96" si="400">DD93</f>
        <v>1.6036950005820045</v>
      </c>
      <c r="DE96" s="424"/>
      <c r="DF96" s="601">
        <f t="shared" ref="DF96" si="401">DF93</f>
        <v>1.6036950005820045</v>
      </c>
      <c r="DH96" s="424"/>
      <c r="DI96" s="601">
        <f>DI93</f>
        <v>1.0536950005820047</v>
      </c>
      <c r="DJ96" s="424"/>
      <c r="DK96" s="601">
        <f t="shared" ref="DK96" si="402">DK93</f>
        <v>1.0536950005820047</v>
      </c>
      <c r="DL96" s="424"/>
      <c r="DM96" s="601">
        <f t="shared" ref="DM96" si="403">DM93</f>
        <v>1.0536950005820047</v>
      </c>
    </row>
    <row r="97" spans="1:117" s="283" customFormat="1" ht="18" customHeight="1" x14ac:dyDescent="0.45">
      <c r="A97" s="561"/>
      <c r="B97" s="266"/>
      <c r="C97" s="132" t="s">
        <v>91</v>
      </c>
      <c r="D97" s="131"/>
      <c r="E97" s="131"/>
      <c r="F97" s="132"/>
      <c r="G97" s="133">
        <f>G96/G74</f>
        <v>6.3846881512664322E-2</v>
      </c>
      <c r="H97" s="132"/>
      <c r="I97" s="133">
        <f>I96/I74</f>
        <v>2.532746281847947E-2</v>
      </c>
      <c r="J97" s="132"/>
      <c r="K97" s="133">
        <f t="shared" ref="K97" si="404">K96/K74</f>
        <v>2.532746281847947E-2</v>
      </c>
      <c r="L97" s="132"/>
      <c r="M97" s="133">
        <f t="shared" ref="M97" si="405">M96/M74</f>
        <v>2.532746281847947E-2</v>
      </c>
      <c r="N97" s="381"/>
      <c r="O97" s="382">
        <f>O96/O74</f>
        <v>1.6021973584609273E-2</v>
      </c>
      <c r="P97" s="381"/>
      <c r="Q97" s="382">
        <f>Q96/Q74</f>
        <v>1.6021973584609273E-2</v>
      </c>
      <c r="R97" s="381"/>
      <c r="S97" s="382">
        <f>S96/S74</f>
        <v>1.6021973584609273E-2</v>
      </c>
      <c r="T97" s="381"/>
      <c r="U97" s="382">
        <f>U96/U74</f>
        <v>-1.185274971887847E-2</v>
      </c>
      <c r="V97" s="381"/>
      <c r="W97" s="382">
        <f>W96/W74</f>
        <v>-1.185274971887847E-2</v>
      </c>
      <c r="X97" s="381"/>
      <c r="Y97" s="382">
        <f>Y96/Y74</f>
        <v>-1.185274971887847E-2</v>
      </c>
      <c r="Z97" s="381"/>
      <c r="AA97" s="382">
        <f>AA96/AA74</f>
        <v>-5.1933688413503203E-2</v>
      </c>
      <c r="AB97" s="381"/>
      <c r="AC97" s="382">
        <f>AC96/AC74</f>
        <v>-5.1933688413503203E-2</v>
      </c>
      <c r="AD97" s="381"/>
      <c r="AE97" s="382">
        <f>AE96/AE74</f>
        <v>-5.1933688413503203E-2</v>
      </c>
      <c r="AF97" s="620"/>
      <c r="AG97" s="672"/>
      <c r="AH97" s="381"/>
      <c r="AI97" s="382">
        <f>AI96/AI74</f>
        <v>2.0474069512254889E-2</v>
      </c>
      <c r="AJ97" s="381"/>
      <c r="AK97" s="382">
        <f>AK96/AK74</f>
        <v>2.0474069512254889E-2</v>
      </c>
      <c r="AL97" s="381"/>
      <c r="AM97" s="382">
        <f>AM96/AM74</f>
        <v>2.0474069512254889E-2</v>
      </c>
      <c r="AN97" s="645"/>
      <c r="AO97" s="645"/>
      <c r="AP97" s="645"/>
      <c r="AR97" s="381"/>
      <c r="AS97" s="382">
        <f>AS96/AS74</f>
        <v>2.0474069512254889E-2</v>
      </c>
      <c r="AT97" s="381"/>
      <c r="AU97" s="382">
        <f>AU96/AU74</f>
        <v>2.0474069512254889E-2</v>
      </c>
      <c r="AV97" s="381"/>
      <c r="AW97" s="382">
        <f>AW96/AW74</f>
        <v>2.0474069512254889E-2</v>
      </c>
      <c r="AX97" s="645"/>
      <c r="AY97" s="645"/>
      <c r="AZ97" s="645"/>
      <c r="BB97" s="381"/>
      <c r="BC97" s="382">
        <f>BC96/BC74</f>
        <v>2.0474069512254889E-2</v>
      </c>
      <c r="BD97" s="381"/>
      <c r="BE97" s="382">
        <f>BE96/BE74</f>
        <v>2.0474069512254889E-2</v>
      </c>
      <c r="BF97" s="381"/>
      <c r="BG97" s="382">
        <f>BG96/BG74</f>
        <v>2.0474069512254889E-2</v>
      </c>
      <c r="BH97" s="645"/>
      <c r="BI97" s="645"/>
      <c r="BJ97" s="645"/>
      <c r="BL97" s="381"/>
      <c r="BM97" s="382">
        <f>BM96/BM74</f>
        <v>0.18840282411498432</v>
      </c>
      <c r="BN97" s="381"/>
      <c r="BO97" s="382">
        <f>BO96/BO74</f>
        <v>0.18840282411498432</v>
      </c>
      <c r="BP97" s="381"/>
      <c r="BQ97" s="382">
        <f>BQ96/BQ74</f>
        <v>0.18840282411498432</v>
      </c>
      <c r="BR97" s="645"/>
      <c r="BS97" s="645"/>
      <c r="BT97" s="645"/>
      <c r="BV97" s="381"/>
      <c r="BW97" s="382">
        <f>BW96/BW74</f>
        <v>6.9580801067609305E-2</v>
      </c>
      <c r="BY97" s="381"/>
      <c r="BZ97" s="382">
        <f>BZ96/BZ74</f>
        <v>3.2530847054155973E-2</v>
      </c>
      <c r="CA97" s="381"/>
      <c r="CB97" s="382">
        <f>CB96/CB74</f>
        <v>3.2530847054155973E-2</v>
      </c>
      <c r="CC97" s="381"/>
      <c r="CD97" s="382">
        <f>CD96/CD74</f>
        <v>3.2530847054155973E-2</v>
      </c>
      <c r="CF97" s="381"/>
      <c r="CG97" s="382">
        <f>CG96/CG74</f>
        <v>0.10419522875384812</v>
      </c>
      <c r="CH97" s="381"/>
      <c r="CI97" s="382">
        <f>CI96/CI74</f>
        <v>0.10419522875384812</v>
      </c>
      <c r="CJ97" s="381"/>
      <c r="CK97" s="382">
        <f>CK96/CK74</f>
        <v>0.10419522875384812</v>
      </c>
      <c r="CM97" s="381"/>
      <c r="CN97" s="382">
        <f>CN96/CN74</f>
        <v>-2.5069246989500932E-2</v>
      </c>
      <c r="CO97" s="381"/>
      <c r="CP97" s="382">
        <f>CP96/CP74</f>
        <v>-2.5069246989500932E-2</v>
      </c>
      <c r="CQ97" s="381"/>
      <c r="CR97" s="382">
        <f>CR96/CR74</f>
        <v>-2.5069246989500932E-2</v>
      </c>
      <c r="CT97" s="381"/>
      <c r="CU97" s="611">
        <f>CU96/CU74</f>
        <v>6.8741666754849121E-2</v>
      </c>
      <c r="CV97" s="381"/>
      <c r="CW97" s="611">
        <f t="shared" ref="CW97" si="406">CW96/CW74</f>
        <v>6.8741666754849121E-2</v>
      </c>
      <c r="CX97" s="381"/>
      <c r="CY97" s="611">
        <f t="shared" ref="CY97" si="407">CY96/CY74</f>
        <v>6.8741666754849121E-2</v>
      </c>
      <c r="DA97" s="381"/>
      <c r="DB97" s="611">
        <f>DB96/DB74</f>
        <v>0.20692838717187156</v>
      </c>
      <c r="DC97" s="381"/>
      <c r="DD97" s="611">
        <f t="shared" ref="DD97" si="408">DD96/DD74</f>
        <v>0.20692838717187156</v>
      </c>
      <c r="DE97" s="381"/>
      <c r="DF97" s="611">
        <f t="shared" ref="DF97" si="409">DF96/DF74</f>
        <v>0.20692838717187156</v>
      </c>
      <c r="DH97" s="381"/>
      <c r="DI97" s="611">
        <f>DI96/DI74</f>
        <v>0.14634652785861177</v>
      </c>
      <c r="DJ97" s="381"/>
      <c r="DK97" s="611">
        <f t="shared" ref="DK97" si="410">DK96/DK74</f>
        <v>0.14634652785861177</v>
      </c>
      <c r="DL97" s="381"/>
      <c r="DM97" s="611">
        <f t="shared" ref="DM97" si="411">DM96/DM74</f>
        <v>0.14634652785861177</v>
      </c>
    </row>
    <row r="98" spans="1:117" s="283" customFormat="1" ht="6.75" customHeight="1" x14ac:dyDescent="0.45">
      <c r="A98" s="561"/>
      <c r="B98" s="266"/>
      <c r="C98" s="131"/>
      <c r="D98" s="131"/>
      <c r="E98" s="131"/>
      <c r="F98" s="132"/>
      <c r="G98" s="133"/>
      <c r="H98" s="132"/>
      <c r="I98" s="133"/>
      <c r="J98" s="132"/>
      <c r="K98" s="133"/>
      <c r="L98" s="132"/>
      <c r="M98" s="133"/>
      <c r="N98" s="381"/>
      <c r="O98" s="382"/>
      <c r="P98" s="381"/>
      <c r="Q98" s="382"/>
      <c r="R98" s="381"/>
      <c r="S98" s="382"/>
      <c r="T98" s="381"/>
      <c r="U98" s="382"/>
      <c r="V98" s="381"/>
      <c r="W98" s="382"/>
      <c r="X98" s="381"/>
      <c r="Y98" s="382"/>
      <c r="Z98" s="381"/>
      <c r="AA98" s="382"/>
      <c r="AB98" s="381"/>
      <c r="AC98" s="382"/>
      <c r="AD98" s="381"/>
      <c r="AE98" s="382"/>
      <c r="AF98" s="620"/>
      <c r="AG98" s="672"/>
      <c r="AH98" s="381"/>
      <c r="AI98" s="382"/>
      <c r="AJ98" s="381"/>
      <c r="AK98" s="382"/>
      <c r="AL98" s="381"/>
      <c r="AM98" s="382"/>
      <c r="AN98" s="645"/>
      <c r="AO98" s="645"/>
      <c r="AP98" s="645"/>
      <c r="AR98" s="381"/>
      <c r="AS98" s="382"/>
      <c r="AT98" s="381"/>
      <c r="AU98" s="382"/>
      <c r="AV98" s="381"/>
      <c r="AW98" s="382"/>
      <c r="AX98" s="645"/>
      <c r="AY98" s="645"/>
      <c r="AZ98" s="645"/>
      <c r="BB98" s="381"/>
      <c r="BC98" s="382"/>
      <c r="BD98" s="381"/>
      <c r="BE98" s="382"/>
      <c r="BF98" s="381"/>
      <c r="BG98" s="382"/>
      <c r="BH98" s="645"/>
      <c r="BI98" s="645"/>
      <c r="BJ98" s="645"/>
      <c r="BL98" s="381"/>
      <c r="BM98" s="382"/>
      <c r="BN98" s="381"/>
      <c r="BO98" s="382"/>
      <c r="BP98" s="381"/>
      <c r="BQ98" s="382"/>
      <c r="BR98" s="645"/>
      <c r="BS98" s="645"/>
      <c r="BT98" s="645"/>
      <c r="BV98" s="381"/>
      <c r="BW98" s="382"/>
      <c r="BY98" s="381"/>
      <c r="BZ98" s="382"/>
      <c r="CA98" s="381"/>
      <c r="CB98" s="382"/>
      <c r="CC98" s="381"/>
      <c r="CD98" s="382"/>
      <c r="CF98" s="381"/>
      <c r="CG98" s="382"/>
      <c r="CH98" s="381"/>
      <c r="CI98" s="382"/>
      <c r="CJ98" s="381"/>
      <c r="CK98" s="382"/>
      <c r="CM98" s="381"/>
      <c r="CN98" s="382"/>
      <c r="CO98" s="381"/>
      <c r="CP98" s="382"/>
      <c r="CQ98" s="381"/>
      <c r="CR98" s="382"/>
      <c r="CT98" s="381"/>
      <c r="CU98" s="383"/>
      <c r="CV98" s="381"/>
      <c r="CW98" s="383"/>
      <c r="CX98" s="381"/>
      <c r="CY98" s="383"/>
      <c r="DA98" s="381"/>
      <c r="DB98" s="383"/>
      <c r="DC98" s="381"/>
      <c r="DD98" s="383"/>
      <c r="DE98" s="381"/>
      <c r="DF98" s="383"/>
      <c r="DH98" s="381"/>
      <c r="DI98" s="383"/>
      <c r="DJ98" s="381"/>
      <c r="DK98" s="383"/>
      <c r="DL98" s="381"/>
      <c r="DM98" s="383"/>
    </row>
    <row r="99" spans="1:117" s="65" customFormat="1" ht="18" customHeight="1" x14ac:dyDescent="0.45">
      <c r="A99" s="561"/>
      <c r="B99" s="266"/>
      <c r="C99" s="255" t="s">
        <v>142</v>
      </c>
      <c r="D99" s="254"/>
      <c r="E99" s="255" t="s">
        <v>77</v>
      </c>
      <c r="F99" s="256"/>
      <c r="G99" s="257">
        <v>0</v>
      </c>
      <c r="H99" s="256"/>
      <c r="I99" s="257">
        <v>0</v>
      </c>
      <c r="J99" s="256"/>
      <c r="K99" s="257">
        <v>0</v>
      </c>
      <c r="L99" s="256"/>
      <c r="M99" s="257">
        <v>0</v>
      </c>
      <c r="N99" s="256"/>
      <c r="O99" s="257">
        <v>0</v>
      </c>
      <c r="P99" s="256"/>
      <c r="Q99" s="257">
        <v>0</v>
      </c>
      <c r="R99" s="256"/>
      <c r="S99" s="257">
        <v>0</v>
      </c>
      <c r="T99" s="256"/>
      <c r="U99" s="257">
        <v>0</v>
      </c>
      <c r="V99" s="256"/>
      <c r="W99" s="257">
        <v>0</v>
      </c>
      <c r="X99" s="256"/>
      <c r="Y99" s="257">
        <v>0</v>
      </c>
      <c r="Z99" s="256"/>
      <c r="AA99" s="257">
        <v>0</v>
      </c>
      <c r="AB99" s="256"/>
      <c r="AC99" s="257">
        <v>0</v>
      </c>
      <c r="AD99" s="256"/>
      <c r="AE99" s="257">
        <v>0</v>
      </c>
      <c r="AF99" s="620"/>
      <c r="AG99" s="712"/>
      <c r="AH99" s="256"/>
      <c r="AI99" s="257">
        <v>0</v>
      </c>
      <c r="AJ99" s="256"/>
      <c r="AK99" s="257">
        <v>0</v>
      </c>
      <c r="AL99" s="256"/>
      <c r="AM99" s="257">
        <v>0</v>
      </c>
      <c r="AN99" s="736"/>
      <c r="AO99" s="736"/>
      <c r="AP99" s="736"/>
      <c r="AR99" s="256"/>
      <c r="AS99" s="257">
        <v>0</v>
      </c>
      <c r="AT99" s="256"/>
      <c r="AU99" s="257">
        <v>0</v>
      </c>
      <c r="AV99" s="256"/>
      <c r="AW99" s="257">
        <v>0</v>
      </c>
      <c r="AX99" s="736"/>
      <c r="AY99" s="736"/>
      <c r="AZ99" s="736"/>
      <c r="BB99" s="256"/>
      <c r="BC99" s="257">
        <v>0</v>
      </c>
      <c r="BD99" s="256"/>
      <c r="BE99" s="257">
        <v>0</v>
      </c>
      <c r="BF99" s="256"/>
      <c r="BG99" s="257">
        <v>0</v>
      </c>
      <c r="BH99" s="736"/>
      <c r="BI99" s="736"/>
      <c r="BJ99" s="736"/>
      <c r="BL99" s="256"/>
      <c r="BM99" s="257">
        <v>1</v>
      </c>
      <c r="BN99" s="256"/>
      <c r="BO99" s="257">
        <f>BM99</f>
        <v>1</v>
      </c>
      <c r="BP99" s="256"/>
      <c r="BQ99" s="257">
        <f>BO99</f>
        <v>1</v>
      </c>
      <c r="BR99" s="736"/>
      <c r="BS99" s="736"/>
      <c r="BT99" s="736"/>
      <c r="BV99" s="256"/>
      <c r="BW99" s="257">
        <v>0.35</v>
      </c>
      <c r="BY99" s="256"/>
      <c r="BZ99" s="257">
        <v>0</v>
      </c>
      <c r="CA99" s="256"/>
      <c r="CB99" s="257">
        <v>0</v>
      </c>
      <c r="CC99" s="256"/>
      <c r="CD99" s="257">
        <v>0</v>
      </c>
      <c r="CF99" s="256"/>
      <c r="CG99" s="257">
        <v>0.5</v>
      </c>
      <c r="CH99" s="256"/>
      <c r="CI99" s="257">
        <f>CG99</f>
        <v>0.5</v>
      </c>
      <c r="CJ99" s="256"/>
      <c r="CK99" s="257">
        <f>CI99</f>
        <v>0.5</v>
      </c>
      <c r="CM99" s="256"/>
      <c r="CN99" s="257">
        <v>0</v>
      </c>
      <c r="CO99" s="256"/>
      <c r="CP99" s="257">
        <f>CN99</f>
        <v>0</v>
      </c>
      <c r="CQ99" s="256"/>
      <c r="CR99" s="257">
        <f>CP99</f>
        <v>0</v>
      </c>
      <c r="CT99" s="256"/>
      <c r="CU99" s="604">
        <v>0</v>
      </c>
      <c r="CV99" s="256"/>
      <c r="CW99" s="604">
        <f>CU99</f>
        <v>0</v>
      </c>
      <c r="CX99" s="256"/>
      <c r="CY99" s="604">
        <f>CW99</f>
        <v>0</v>
      </c>
      <c r="DA99" s="256"/>
      <c r="DB99" s="604">
        <v>0</v>
      </c>
      <c r="DC99" s="256"/>
      <c r="DD99" s="604">
        <f>DB99</f>
        <v>0</v>
      </c>
      <c r="DE99" s="256"/>
      <c r="DF99" s="604">
        <f>DD99</f>
        <v>0</v>
      </c>
      <c r="DH99" s="256"/>
      <c r="DI99" s="604">
        <v>0</v>
      </c>
      <c r="DJ99" s="256"/>
      <c r="DK99" s="604">
        <f>DI99</f>
        <v>0</v>
      </c>
      <c r="DL99" s="256"/>
      <c r="DM99" s="604">
        <f>DK99</f>
        <v>0</v>
      </c>
    </row>
    <row r="100" spans="1:117" s="65" customFormat="1" ht="18" customHeight="1" x14ac:dyDescent="0.45">
      <c r="A100" s="561"/>
      <c r="B100" s="266"/>
      <c r="C100" s="148" t="s">
        <v>92</v>
      </c>
      <c r="D100" s="144"/>
      <c r="E100" s="148" t="s">
        <v>77</v>
      </c>
      <c r="F100" s="146"/>
      <c r="G100" s="147">
        <f>G96-G99</f>
        <v>0.34459330979792913</v>
      </c>
      <c r="H100" s="146"/>
      <c r="I100" s="147">
        <f>I96-I99</f>
        <v>0.13362912072961139</v>
      </c>
      <c r="J100" s="146"/>
      <c r="K100" s="147">
        <f t="shared" ref="K100" si="412">K96-K99</f>
        <v>0.13362912072961139</v>
      </c>
      <c r="L100" s="146"/>
      <c r="M100" s="147">
        <f t="shared" ref="M100" si="413">M96-M99</f>
        <v>0.13362912072961139</v>
      </c>
      <c r="N100" s="146"/>
      <c r="O100" s="147">
        <f>O96-O99</f>
        <v>9.1485469168118949E-2</v>
      </c>
      <c r="P100" s="146"/>
      <c r="Q100" s="147">
        <f>Q96-Q99</f>
        <v>9.1485469168118949E-2</v>
      </c>
      <c r="R100" s="146"/>
      <c r="S100" s="147">
        <f>S96-S99</f>
        <v>9.1485469168118949E-2</v>
      </c>
      <c r="T100" s="146"/>
      <c r="U100" s="147">
        <f>U96-U99</f>
        <v>-6.7679200894796065E-2</v>
      </c>
      <c r="V100" s="146"/>
      <c r="W100" s="147">
        <f>W96-W99</f>
        <v>-6.7679200894796065E-2</v>
      </c>
      <c r="X100" s="146"/>
      <c r="Y100" s="147">
        <f>Y96-Y99</f>
        <v>-6.7679200894796065E-2</v>
      </c>
      <c r="Z100" s="146"/>
      <c r="AA100" s="147">
        <f>AA96-AA99</f>
        <v>-0.29654136084110327</v>
      </c>
      <c r="AB100" s="146"/>
      <c r="AC100" s="147">
        <f>AC96-AC99</f>
        <v>-0.29654136084110327</v>
      </c>
      <c r="AD100" s="146"/>
      <c r="AE100" s="147">
        <f>AE96-AE99</f>
        <v>-0.29654136084110327</v>
      </c>
      <c r="AF100" s="620"/>
      <c r="AG100" s="712"/>
      <c r="AH100" s="146"/>
      <c r="AI100" s="147">
        <f>AI96-AI99</f>
        <v>0.12345863915889699</v>
      </c>
      <c r="AJ100" s="146"/>
      <c r="AK100" s="147">
        <f>AK96-AK99</f>
        <v>0.12345863915889699</v>
      </c>
      <c r="AL100" s="146"/>
      <c r="AM100" s="147">
        <f>AM96-AM99</f>
        <v>0.12345863915889699</v>
      </c>
      <c r="AN100" s="735"/>
      <c r="AO100" s="735"/>
      <c r="AP100" s="735"/>
      <c r="AR100" s="146"/>
      <c r="AS100" s="147">
        <f>AS96-AS99</f>
        <v>0.12345863915889699</v>
      </c>
      <c r="AT100" s="146"/>
      <c r="AU100" s="147">
        <f>AU96-AU99</f>
        <v>0.12345863915889699</v>
      </c>
      <c r="AV100" s="146"/>
      <c r="AW100" s="147">
        <f>AW96-AW99</f>
        <v>0.12345863915889699</v>
      </c>
      <c r="AX100" s="735"/>
      <c r="AY100" s="735"/>
      <c r="AZ100" s="735"/>
      <c r="BB100" s="146"/>
      <c r="BC100" s="147">
        <f>BC96-BC99</f>
        <v>0.12345863915889699</v>
      </c>
      <c r="BD100" s="146"/>
      <c r="BE100" s="147">
        <f>BE96-BE99</f>
        <v>0.12345863915889699</v>
      </c>
      <c r="BF100" s="146"/>
      <c r="BG100" s="147">
        <f>BG96-BG99</f>
        <v>0.12345863915889699</v>
      </c>
      <c r="BH100" s="735"/>
      <c r="BI100" s="735"/>
      <c r="BJ100" s="735"/>
      <c r="BL100" s="146"/>
      <c r="BM100" s="147">
        <f>BM96-BM99</f>
        <v>0.24345863915889643</v>
      </c>
      <c r="BN100" s="146"/>
      <c r="BO100" s="147">
        <f>BO96-BO99</f>
        <v>0.24345863915889643</v>
      </c>
      <c r="BP100" s="146"/>
      <c r="BQ100" s="147">
        <f>BQ96-BQ99</f>
        <v>0.24345863915889643</v>
      </c>
      <c r="BR100" s="735"/>
      <c r="BS100" s="735"/>
      <c r="BT100" s="735"/>
      <c r="BV100" s="146"/>
      <c r="BW100" s="147">
        <f>BW96-BW99</f>
        <v>0.10923328704622137</v>
      </c>
      <c r="BY100" s="146"/>
      <c r="BZ100" s="147">
        <f>BZ96-BZ99</f>
        <v>0.20331779408847483</v>
      </c>
      <c r="CA100" s="146"/>
      <c r="CB100" s="147">
        <f>CB96-CB99</f>
        <v>0.20331779408847483</v>
      </c>
      <c r="CC100" s="146"/>
      <c r="CD100" s="147">
        <f>CD96-CD99</f>
        <v>0.20331779408847483</v>
      </c>
      <c r="CF100" s="146"/>
      <c r="CG100" s="147">
        <f>CG96-CG99</f>
        <v>0.20331779408847483</v>
      </c>
      <c r="CH100" s="146"/>
      <c r="CI100" s="147">
        <f>CI96-CI99</f>
        <v>0.20331779408847483</v>
      </c>
      <c r="CJ100" s="146"/>
      <c r="CK100" s="147">
        <f>CK96-CK99</f>
        <v>0.20331779408847483</v>
      </c>
      <c r="CM100" s="146"/>
      <c r="CN100" s="147">
        <f>CN96-CN99</f>
        <v>-0.1692174171791313</v>
      </c>
      <c r="CO100" s="146"/>
      <c r="CP100" s="147">
        <f>CP96-CP99</f>
        <v>-0.1692174171791313</v>
      </c>
      <c r="CQ100" s="146"/>
      <c r="CR100" s="147">
        <f>CR96-CR99</f>
        <v>-0.1692174171791313</v>
      </c>
      <c r="CT100" s="146"/>
      <c r="CU100" s="601">
        <f>CU96-CU99</f>
        <v>0.45369500058200413</v>
      </c>
      <c r="CV100" s="146"/>
      <c r="CW100" s="601">
        <f t="shared" ref="CW100" si="414">CW96-CW99</f>
        <v>0.45369500058200413</v>
      </c>
      <c r="CX100" s="146"/>
      <c r="CY100" s="601">
        <f t="shared" ref="CY100" si="415">CY96-CY99</f>
        <v>0.45369500058200413</v>
      </c>
      <c r="DA100" s="146"/>
      <c r="DB100" s="601">
        <f>DB96-DB99</f>
        <v>1.6036950005820045</v>
      </c>
      <c r="DC100" s="146"/>
      <c r="DD100" s="601">
        <f t="shared" ref="DD100" si="416">DD96-DD99</f>
        <v>1.6036950005820045</v>
      </c>
      <c r="DE100" s="146"/>
      <c r="DF100" s="601">
        <f t="shared" ref="DF100" si="417">DF96-DF99</f>
        <v>1.6036950005820045</v>
      </c>
      <c r="DH100" s="146"/>
      <c r="DI100" s="601">
        <f>DI96-DI99</f>
        <v>1.0536950005820047</v>
      </c>
      <c r="DJ100" s="146"/>
      <c r="DK100" s="601">
        <f t="shared" ref="DK100" si="418">DK96-DK99</f>
        <v>1.0536950005820047</v>
      </c>
      <c r="DL100" s="146"/>
      <c r="DM100" s="601">
        <f t="shared" ref="DM100" si="419">DM96-DM99</f>
        <v>1.0536950005820047</v>
      </c>
    </row>
    <row r="101" spans="1:117" s="65" customFormat="1" ht="18" customHeight="1" x14ac:dyDescent="0.45">
      <c r="A101" s="561"/>
      <c r="B101" s="266"/>
      <c r="C101" s="131" t="s">
        <v>93</v>
      </c>
      <c r="D101" s="131"/>
      <c r="E101" s="149"/>
      <c r="F101" s="132"/>
      <c r="G101" s="133">
        <f>G100/G74</f>
        <v>6.3846881512664322E-2</v>
      </c>
      <c r="H101" s="132"/>
      <c r="I101" s="133">
        <f>I100/I74</f>
        <v>2.532746281847947E-2</v>
      </c>
      <c r="J101" s="132"/>
      <c r="K101" s="133">
        <f t="shared" ref="K101" si="420">K100/K74</f>
        <v>2.532746281847947E-2</v>
      </c>
      <c r="L101" s="132"/>
      <c r="M101" s="133">
        <f t="shared" ref="M101" si="421">M100/M74</f>
        <v>2.532746281847947E-2</v>
      </c>
      <c r="N101" s="548"/>
      <c r="O101" s="547">
        <f>O100/O74</f>
        <v>1.6021973584609273E-2</v>
      </c>
      <c r="P101" s="548"/>
      <c r="Q101" s="547">
        <f>Q100/Q74</f>
        <v>1.6021973584609273E-2</v>
      </c>
      <c r="R101" s="548"/>
      <c r="S101" s="547">
        <f>S100/S74</f>
        <v>1.6021973584609273E-2</v>
      </c>
      <c r="T101" s="548"/>
      <c r="U101" s="547">
        <f>U100/U74</f>
        <v>-1.185274971887847E-2</v>
      </c>
      <c r="V101" s="548"/>
      <c r="W101" s="547">
        <f>W100/W74</f>
        <v>-1.185274971887847E-2</v>
      </c>
      <c r="X101" s="548"/>
      <c r="Y101" s="547">
        <f>Y100/Y74</f>
        <v>-1.185274971887847E-2</v>
      </c>
      <c r="Z101" s="548"/>
      <c r="AA101" s="547">
        <f>AA100/AA74</f>
        <v>-5.1933688413503203E-2</v>
      </c>
      <c r="AB101" s="548"/>
      <c r="AC101" s="547">
        <f>AC100/AC74</f>
        <v>-5.1933688413503203E-2</v>
      </c>
      <c r="AD101" s="548"/>
      <c r="AE101" s="547">
        <f>AE100/AE74</f>
        <v>-5.1933688413503203E-2</v>
      </c>
      <c r="AF101" s="620"/>
      <c r="AG101" s="645"/>
      <c r="AH101" s="548"/>
      <c r="AI101" s="547">
        <f>AI100/AI74</f>
        <v>2.0474069512254889E-2</v>
      </c>
      <c r="AJ101" s="548"/>
      <c r="AK101" s="547">
        <f>AK100/AK74</f>
        <v>2.0474069512254889E-2</v>
      </c>
      <c r="AL101" s="548"/>
      <c r="AM101" s="547">
        <f>AM100/AM74</f>
        <v>2.0474069512254889E-2</v>
      </c>
      <c r="AN101" s="645"/>
      <c r="AO101" s="645"/>
      <c r="AP101" s="645"/>
      <c r="AR101" s="548"/>
      <c r="AS101" s="547">
        <f>AS100/AS74</f>
        <v>2.0474069512254889E-2</v>
      </c>
      <c r="AT101" s="548"/>
      <c r="AU101" s="547">
        <f>AU100/AU74</f>
        <v>2.0474069512254889E-2</v>
      </c>
      <c r="AV101" s="548"/>
      <c r="AW101" s="547">
        <f>AW100/AW74</f>
        <v>2.0474069512254889E-2</v>
      </c>
      <c r="AX101" s="645"/>
      <c r="AY101" s="645"/>
      <c r="AZ101" s="645"/>
      <c r="BB101" s="548"/>
      <c r="BC101" s="547">
        <f>BC100/BC74</f>
        <v>2.0474069512254889E-2</v>
      </c>
      <c r="BD101" s="548"/>
      <c r="BE101" s="547">
        <f>BE100/BE74</f>
        <v>2.0474069512254889E-2</v>
      </c>
      <c r="BF101" s="548"/>
      <c r="BG101" s="547">
        <f>BG100/BG74</f>
        <v>2.0474069512254889E-2</v>
      </c>
      <c r="BH101" s="645"/>
      <c r="BI101" s="645"/>
      <c r="BJ101" s="645"/>
      <c r="BL101" s="548"/>
      <c r="BM101" s="547">
        <f>BM100/BM74</f>
        <v>3.6887672599832791E-2</v>
      </c>
      <c r="BN101" s="548"/>
      <c r="BO101" s="547">
        <f>BO100/BO74</f>
        <v>3.6887672599832791E-2</v>
      </c>
      <c r="BP101" s="548"/>
      <c r="BQ101" s="547">
        <f>BQ100/BQ74</f>
        <v>3.6887672599832791E-2</v>
      </c>
      <c r="BR101" s="645"/>
      <c r="BS101" s="645"/>
      <c r="BT101" s="645"/>
      <c r="BV101" s="548"/>
      <c r="BW101" s="547">
        <f>BW100/BW74</f>
        <v>1.6550498037306269E-2</v>
      </c>
      <c r="BY101" s="548"/>
      <c r="BZ101" s="547">
        <f>BZ100/BZ74</f>
        <v>3.2530847054155973E-2</v>
      </c>
      <c r="CA101" s="548"/>
      <c r="CB101" s="547">
        <f>CB100/CB74</f>
        <v>3.2530847054155973E-2</v>
      </c>
      <c r="CC101" s="548"/>
      <c r="CD101" s="547">
        <f>CD100/CD74</f>
        <v>3.2530847054155973E-2</v>
      </c>
      <c r="CF101" s="548"/>
      <c r="CG101" s="547">
        <f>CG100/CG74</f>
        <v>3.012115467977405E-2</v>
      </c>
      <c r="CH101" s="548"/>
      <c r="CI101" s="547">
        <f>CI100/CI74</f>
        <v>3.012115467977405E-2</v>
      </c>
      <c r="CJ101" s="548"/>
      <c r="CK101" s="547">
        <f>CK100/CK74</f>
        <v>3.012115467977405E-2</v>
      </c>
      <c r="CM101" s="548"/>
      <c r="CN101" s="547">
        <f>CN100/CN74</f>
        <v>-2.5069246989500932E-2</v>
      </c>
      <c r="CO101" s="548"/>
      <c r="CP101" s="547">
        <f>CP100/CP74</f>
        <v>-2.5069246989500932E-2</v>
      </c>
      <c r="CQ101" s="548"/>
      <c r="CR101" s="547">
        <f>CR100/CR74</f>
        <v>-2.5069246989500932E-2</v>
      </c>
      <c r="CT101" s="381"/>
      <c r="CU101" s="611">
        <f>CU100/CU74</f>
        <v>6.8741666754849121E-2</v>
      </c>
      <c r="CV101" s="381"/>
      <c r="CW101" s="611">
        <f t="shared" ref="CW101" si="422">CW100/CW74</f>
        <v>6.8741666754849121E-2</v>
      </c>
      <c r="CX101" s="381"/>
      <c r="CY101" s="611">
        <f t="shared" ref="CY101" si="423">CY100/CY74</f>
        <v>6.8741666754849121E-2</v>
      </c>
      <c r="DA101" s="381"/>
      <c r="DB101" s="611">
        <f>DB100/DB74</f>
        <v>0.20692838717187156</v>
      </c>
      <c r="DC101" s="381"/>
      <c r="DD101" s="611">
        <f t="shared" ref="DD101" si="424">DD100/DD74</f>
        <v>0.20692838717187156</v>
      </c>
      <c r="DE101" s="381"/>
      <c r="DF101" s="611">
        <f t="shared" ref="DF101" si="425">DF100/DF74</f>
        <v>0.20692838717187156</v>
      </c>
      <c r="DH101" s="381"/>
      <c r="DI101" s="611">
        <f>DI100/DI74</f>
        <v>0.14634652785861177</v>
      </c>
      <c r="DJ101" s="381"/>
      <c r="DK101" s="611">
        <f t="shared" ref="DK101" si="426">DK100/DK74</f>
        <v>0.14634652785861177</v>
      </c>
      <c r="DL101" s="381"/>
      <c r="DM101" s="611">
        <f t="shared" ref="DM101" si="427">DM100/DM74</f>
        <v>0.14634652785861177</v>
      </c>
    </row>
    <row r="102" spans="1:117" s="65" customFormat="1" ht="6.75" customHeight="1" x14ac:dyDescent="0.45">
      <c r="A102" s="561"/>
      <c r="B102" s="266"/>
      <c r="C102" s="131"/>
      <c r="D102" s="131"/>
      <c r="E102" s="131"/>
      <c r="F102" s="132"/>
      <c r="G102" s="133"/>
      <c r="H102" s="132"/>
      <c r="I102" s="133"/>
      <c r="J102" s="132"/>
      <c r="K102" s="133"/>
      <c r="L102" s="132"/>
      <c r="M102" s="133"/>
      <c r="N102" s="381"/>
      <c r="O102" s="382"/>
      <c r="P102" s="381"/>
      <c r="Q102" s="382"/>
      <c r="R102" s="381"/>
      <c r="S102" s="382"/>
      <c r="T102" s="381"/>
      <c r="U102" s="382"/>
      <c r="V102" s="381"/>
      <c r="W102" s="382"/>
      <c r="X102" s="381"/>
      <c r="Y102" s="382"/>
      <c r="Z102" s="381"/>
      <c r="AA102" s="382"/>
      <c r="AB102" s="381"/>
      <c r="AC102" s="382"/>
      <c r="AD102" s="381"/>
      <c r="AE102" s="382"/>
      <c r="AF102" s="620"/>
      <c r="AG102" s="672"/>
      <c r="AH102" s="381"/>
      <c r="AI102" s="382"/>
      <c r="AJ102" s="381"/>
      <c r="AK102" s="382"/>
      <c r="AL102" s="381"/>
      <c r="AM102" s="382"/>
      <c r="AN102" s="645"/>
      <c r="AO102" s="645"/>
      <c r="AP102" s="645"/>
      <c r="AR102" s="381"/>
      <c r="AS102" s="382"/>
      <c r="AT102" s="381"/>
      <c r="AU102" s="382"/>
      <c r="AV102" s="381"/>
      <c r="AW102" s="382"/>
      <c r="AX102" s="645"/>
      <c r="AY102" s="645"/>
      <c r="AZ102" s="645"/>
      <c r="BB102" s="381"/>
      <c r="BC102" s="382"/>
      <c r="BD102" s="381"/>
      <c r="BE102" s="382"/>
      <c r="BF102" s="381"/>
      <c r="BG102" s="382"/>
      <c r="BH102" s="645"/>
      <c r="BI102" s="645"/>
      <c r="BJ102" s="645"/>
      <c r="BL102" s="381"/>
      <c r="BM102" s="382"/>
      <c r="BN102" s="381"/>
      <c r="BO102" s="382"/>
      <c r="BP102" s="381"/>
      <c r="BQ102" s="382"/>
      <c r="BR102" s="645"/>
      <c r="BS102" s="645"/>
      <c r="BT102" s="645"/>
      <c r="BV102" s="381"/>
      <c r="BW102" s="382"/>
      <c r="BY102" s="381"/>
      <c r="BZ102" s="382"/>
      <c r="CA102" s="381"/>
      <c r="CB102" s="382"/>
      <c r="CC102" s="381"/>
      <c r="CD102" s="382"/>
      <c r="CF102" s="381"/>
      <c r="CG102" s="382"/>
      <c r="CH102" s="381"/>
      <c r="CI102" s="382"/>
      <c r="CJ102" s="381"/>
      <c r="CK102" s="382"/>
      <c r="CM102" s="381"/>
      <c r="CN102" s="382"/>
      <c r="CO102" s="381"/>
      <c r="CP102" s="382"/>
      <c r="CQ102" s="381"/>
      <c r="CR102" s="382"/>
      <c r="CT102" s="381"/>
      <c r="CU102" s="383"/>
      <c r="CV102" s="381"/>
      <c r="CW102" s="383"/>
      <c r="CX102" s="381"/>
      <c r="CY102" s="383"/>
      <c r="DA102" s="381"/>
      <c r="DB102" s="383"/>
      <c r="DC102" s="381"/>
      <c r="DD102" s="383"/>
      <c r="DE102" s="381"/>
      <c r="DF102" s="383"/>
      <c r="DH102" s="381"/>
      <c r="DI102" s="383"/>
      <c r="DJ102" s="381"/>
      <c r="DK102" s="383"/>
      <c r="DL102" s="381"/>
      <c r="DM102" s="383"/>
    </row>
    <row r="103" spans="1:117" s="65" customFormat="1" ht="18" customHeight="1" x14ac:dyDescent="0.45">
      <c r="A103" s="561"/>
      <c r="B103" s="266"/>
      <c r="C103" s="262" t="s">
        <v>94</v>
      </c>
      <c r="D103" s="131"/>
      <c r="E103" s="131"/>
      <c r="F103" s="132"/>
      <c r="G103" s="383">
        <f>(G143-G142)/G73</f>
        <v>0.21971830985915494</v>
      </c>
      <c r="H103" s="132"/>
      <c r="I103" s="383">
        <f>(I143-I142)/I73</f>
        <v>9.8591549295774641E-2</v>
      </c>
      <c r="J103" s="132"/>
      <c r="K103" s="383">
        <f t="shared" ref="K103" si="428">(K143-K142)/K73</f>
        <v>9.8591549295774641E-2</v>
      </c>
      <c r="L103" s="132"/>
      <c r="M103" s="383">
        <f t="shared" ref="M103" si="429">(M143-M142)/M73</f>
        <v>9.8591549295774641E-2</v>
      </c>
      <c r="N103" s="381"/>
      <c r="O103" s="383">
        <f>(O143-O142)/O73</f>
        <v>5.0704225352112674E-3</v>
      </c>
      <c r="P103" s="381"/>
      <c r="Q103" s="383">
        <f>(Q143-Q142)/Q73</f>
        <v>5.0704225352112674E-3</v>
      </c>
      <c r="R103" s="381"/>
      <c r="S103" s="383">
        <f>(S143-S142)/S73</f>
        <v>5.0704225352112674E-3</v>
      </c>
      <c r="T103" s="381"/>
      <c r="U103" s="383">
        <f>(U143-U142)/U73</f>
        <v>1.2394366197183098E-2</v>
      </c>
      <c r="V103" s="381"/>
      <c r="W103" s="383">
        <f>(W143-W142)/W73</f>
        <v>1.2394366197183098E-2</v>
      </c>
      <c r="X103" s="381"/>
      <c r="Y103" s="383">
        <f>(Y143-Y142)/Y73</f>
        <v>1.2394366197183098E-2</v>
      </c>
      <c r="Z103" s="381"/>
      <c r="AA103" s="383">
        <f>(AA143-AA142)/AA73</f>
        <v>8.4507042253521125E-2</v>
      </c>
      <c r="AB103" s="381"/>
      <c r="AC103" s="383">
        <f>(AC143-AC142)/AC73</f>
        <v>8.4507042253521125E-2</v>
      </c>
      <c r="AD103" s="381"/>
      <c r="AE103" s="383">
        <f>(AE143-AE142)/AE73</f>
        <v>8.4507042253521125E-2</v>
      </c>
      <c r="AF103" s="620"/>
      <c r="AG103" s="646"/>
      <c r="AH103" s="381"/>
      <c r="AI103" s="383">
        <f>(AI143-AI142)/AI73</f>
        <v>0</v>
      </c>
      <c r="AJ103" s="381"/>
      <c r="AK103" s="383">
        <f>(AK143-AK142)/AK73</f>
        <v>0</v>
      </c>
      <c r="AL103" s="381"/>
      <c r="AM103" s="383">
        <f>(AM143-AM142)/AM73</f>
        <v>0</v>
      </c>
      <c r="AN103" s="645"/>
      <c r="AO103" s="645"/>
      <c r="AP103" s="645"/>
      <c r="AR103" s="381"/>
      <c r="AS103" s="383">
        <f>(AS143-AS142)/AS73</f>
        <v>0</v>
      </c>
      <c r="AT103" s="381"/>
      <c r="AU103" s="383">
        <f>(AU143-AU142)/AU73</f>
        <v>0</v>
      </c>
      <c r="AV103" s="381"/>
      <c r="AW103" s="383">
        <f>(AW143-AW142)/AW73</f>
        <v>0</v>
      </c>
      <c r="AX103" s="645"/>
      <c r="AY103" s="645"/>
      <c r="AZ103" s="645"/>
      <c r="BB103" s="381"/>
      <c r="BC103" s="383">
        <f>(BC143-BC142)/BC73</f>
        <v>0</v>
      </c>
      <c r="BD103" s="381"/>
      <c r="BE103" s="383">
        <f>(BE143-BE142)/BE73</f>
        <v>0</v>
      </c>
      <c r="BF103" s="381"/>
      <c r="BG103" s="383">
        <f>(BG143-BG142)/BG73</f>
        <v>0</v>
      </c>
      <c r="BH103" s="645"/>
      <c r="BI103" s="645"/>
      <c r="BJ103" s="645"/>
      <c r="BL103" s="381"/>
      <c r="BM103" s="383">
        <f>(BM143-BM142)/BM73</f>
        <v>0</v>
      </c>
      <c r="BN103" s="381"/>
      <c r="BO103" s="383">
        <f>(BO143-BO142)/BO73</f>
        <v>0</v>
      </c>
      <c r="BP103" s="381"/>
      <c r="BQ103" s="383">
        <f>(BQ143-BQ142)/BQ73</f>
        <v>0</v>
      </c>
      <c r="BR103" s="645"/>
      <c r="BS103" s="645"/>
      <c r="BT103" s="645"/>
      <c r="BV103" s="381"/>
      <c r="BW103" s="383">
        <f>(BW143-BW142)/BW73</f>
        <v>0</v>
      </c>
      <c r="BY103" s="381"/>
      <c r="BZ103" s="383">
        <f>(BZ143-BZ142)/BZ73</f>
        <v>0</v>
      </c>
      <c r="CA103" s="381"/>
      <c r="CB103" s="383">
        <f>(CB143-CB142)/CB73</f>
        <v>0</v>
      </c>
      <c r="CC103" s="381"/>
      <c r="CD103" s="383">
        <f>(CD143-CD142)/CD73</f>
        <v>0</v>
      </c>
      <c r="CF103" s="381"/>
      <c r="CG103" s="383">
        <f>(CG143-CG142)/CG73</f>
        <v>-8.4507042253521125E-2</v>
      </c>
      <c r="CH103" s="381"/>
      <c r="CI103" s="383">
        <f>(CI143-CI142)/CI73</f>
        <v>-8.4507042253521125E-2</v>
      </c>
      <c r="CJ103" s="381"/>
      <c r="CK103" s="383">
        <f>(CK143-CK142)/CK73</f>
        <v>-8.4507042253521125E-2</v>
      </c>
      <c r="CM103" s="381"/>
      <c r="CN103" s="383">
        <f>(CN143-CN142)/CN73</f>
        <v>-8.4507042253521125E-2</v>
      </c>
      <c r="CO103" s="381"/>
      <c r="CP103" s="383">
        <f>(CP143-CP142)/CP73</f>
        <v>-8.4507042253521125E-2</v>
      </c>
      <c r="CQ103" s="381"/>
      <c r="CR103" s="383">
        <f>(CR143-CR142)/CR73</f>
        <v>-8.4507042253521125E-2</v>
      </c>
      <c r="CT103" s="381"/>
      <c r="CU103" s="383">
        <f>(CU143-CU142)/CU73-CU65</f>
        <v>0</v>
      </c>
      <c r="CV103" s="381"/>
      <c r="CW103" s="383">
        <f>(CW143-CW142)/CW73-CW65</f>
        <v>-0.38739669421487605</v>
      </c>
      <c r="CX103" s="381"/>
      <c r="CY103" s="383">
        <f>(CY143-CY142)/CY73-CY65</f>
        <v>-0.38739669421487605</v>
      </c>
      <c r="DA103" s="381"/>
      <c r="DB103" s="383">
        <f>(DB143-DB142)/DB73-DB65</f>
        <v>0</v>
      </c>
      <c r="DC103" s="381"/>
      <c r="DD103" s="383">
        <f>(DD143-DD142)/DD73-DD65</f>
        <v>-0.38739669421487605</v>
      </c>
      <c r="DE103" s="381"/>
      <c r="DF103" s="383">
        <f>(DF143-DF142)/DF73-DF65</f>
        <v>-0.38739669421487605</v>
      </c>
      <c r="DH103" s="381"/>
      <c r="DI103" s="383">
        <f>(DI143-DI142)/DI73-DI65</f>
        <v>0</v>
      </c>
      <c r="DJ103" s="381"/>
      <c r="DK103" s="383">
        <f>(DK143-DK142)/DK73-DK65</f>
        <v>-0.38739669421487605</v>
      </c>
      <c r="DL103" s="381"/>
      <c r="DM103" s="383">
        <f>(DM143-DM142)/DM73-DM65</f>
        <v>-0.38739669421487605</v>
      </c>
    </row>
    <row r="104" spans="1:117" s="65" customFormat="1" ht="6.75" customHeight="1" x14ac:dyDescent="0.45">
      <c r="A104" s="561"/>
      <c r="B104" s="266"/>
      <c r="C104" s="131"/>
      <c r="D104" s="131"/>
      <c r="E104" s="131"/>
      <c r="F104" s="132"/>
      <c r="G104" s="133"/>
      <c r="H104" s="132"/>
      <c r="I104" s="133"/>
      <c r="J104" s="132"/>
      <c r="K104" s="133"/>
      <c r="L104" s="132"/>
      <c r="M104" s="133"/>
      <c r="N104" s="381"/>
      <c r="O104" s="382"/>
      <c r="P104" s="381"/>
      <c r="Q104" s="382"/>
      <c r="R104" s="381"/>
      <c r="S104" s="382"/>
      <c r="T104" s="381"/>
      <c r="U104" s="382"/>
      <c r="V104" s="381"/>
      <c r="W104" s="382"/>
      <c r="X104" s="381"/>
      <c r="Y104" s="382"/>
      <c r="Z104" s="381"/>
      <c r="AA104" s="382"/>
      <c r="AB104" s="381"/>
      <c r="AC104" s="382"/>
      <c r="AD104" s="381"/>
      <c r="AE104" s="382"/>
      <c r="AF104" s="620"/>
      <c r="AG104" s="672"/>
      <c r="AH104" s="381"/>
      <c r="AI104" s="382"/>
      <c r="AJ104" s="381"/>
      <c r="AK104" s="382"/>
      <c r="AL104" s="381"/>
      <c r="AM104" s="382"/>
      <c r="AN104" s="645"/>
      <c r="AO104" s="645"/>
      <c r="AP104" s="645"/>
      <c r="AR104" s="381"/>
      <c r="AS104" s="382"/>
      <c r="AT104" s="381"/>
      <c r="AU104" s="382"/>
      <c r="AV104" s="381"/>
      <c r="AW104" s="382"/>
      <c r="AX104" s="645"/>
      <c r="AY104" s="645"/>
      <c r="AZ104" s="645"/>
      <c r="BB104" s="381"/>
      <c r="BC104" s="382"/>
      <c r="BD104" s="381"/>
      <c r="BE104" s="382"/>
      <c r="BF104" s="381"/>
      <c r="BG104" s="382"/>
      <c r="BH104" s="645"/>
      <c r="BI104" s="645"/>
      <c r="BJ104" s="645"/>
      <c r="BL104" s="381"/>
      <c r="BM104" s="382"/>
      <c r="BN104" s="381"/>
      <c r="BO104" s="382"/>
      <c r="BP104" s="381"/>
      <c r="BQ104" s="382"/>
      <c r="BR104" s="645"/>
      <c r="BS104" s="645"/>
      <c r="BT104" s="645"/>
      <c r="BV104" s="381"/>
      <c r="BW104" s="382"/>
      <c r="BY104" s="381"/>
      <c r="BZ104" s="382"/>
      <c r="CA104" s="381"/>
      <c r="CB104" s="382"/>
      <c r="CC104" s="381"/>
      <c r="CD104" s="382"/>
      <c r="CF104" s="381"/>
      <c r="CG104" s="382"/>
      <c r="CH104" s="381"/>
      <c r="CI104" s="382"/>
      <c r="CJ104" s="381"/>
      <c r="CK104" s="382"/>
      <c r="CM104" s="381"/>
      <c r="CN104" s="382"/>
      <c r="CO104" s="381"/>
      <c r="CP104" s="382"/>
      <c r="CQ104" s="381"/>
      <c r="CR104" s="382"/>
      <c r="CT104" s="381"/>
      <c r="CU104" s="383"/>
      <c r="CV104" s="381"/>
      <c r="CW104" s="383"/>
      <c r="CX104" s="381"/>
      <c r="CY104" s="383"/>
      <c r="DA104" s="381"/>
      <c r="DB104" s="383"/>
      <c r="DC104" s="381"/>
      <c r="DD104" s="383"/>
      <c r="DE104" s="381"/>
      <c r="DF104" s="383"/>
      <c r="DH104" s="381"/>
      <c r="DI104" s="383"/>
      <c r="DJ104" s="381"/>
      <c r="DK104" s="383"/>
      <c r="DL104" s="381"/>
      <c r="DM104" s="383"/>
    </row>
    <row r="105" spans="1:117" s="65" customFormat="1" ht="18" customHeight="1" x14ac:dyDescent="0.45">
      <c r="A105" s="561"/>
      <c r="B105" s="266"/>
      <c r="C105" s="154" t="s">
        <v>95</v>
      </c>
      <c r="D105" s="154"/>
      <c r="E105" s="154" t="s">
        <v>77</v>
      </c>
      <c r="F105" s="591"/>
      <c r="G105" s="590">
        <f>G100-G103</f>
        <v>0.12487499993877418</v>
      </c>
      <c r="H105" s="591"/>
      <c r="I105" s="590">
        <f>I100-I103</f>
        <v>3.5037571433836748E-2</v>
      </c>
      <c r="J105" s="591"/>
      <c r="K105" s="590">
        <f t="shared" ref="K105" si="430">K100-K103</f>
        <v>3.5037571433836748E-2</v>
      </c>
      <c r="L105" s="591"/>
      <c r="M105" s="590">
        <f t="shared" ref="M105" si="431">M100-M103</f>
        <v>3.5037571433836748E-2</v>
      </c>
      <c r="N105" s="591"/>
      <c r="O105" s="590">
        <f>O100-O103</f>
        <v>8.641504663290768E-2</v>
      </c>
      <c r="P105" s="591"/>
      <c r="Q105" s="590">
        <f>Q100-Q103</f>
        <v>8.641504663290768E-2</v>
      </c>
      <c r="R105" s="591"/>
      <c r="S105" s="590">
        <f>S100-S103</f>
        <v>8.641504663290768E-2</v>
      </c>
      <c r="T105" s="591"/>
      <c r="U105" s="590">
        <f>U100-U103</f>
        <v>-8.0073567091979159E-2</v>
      </c>
      <c r="V105" s="591"/>
      <c r="W105" s="590">
        <f>W100-W103</f>
        <v>-8.0073567091979159E-2</v>
      </c>
      <c r="X105" s="591"/>
      <c r="Y105" s="590">
        <f>Y100-Y103</f>
        <v>-8.0073567091979159E-2</v>
      </c>
      <c r="Z105" s="591"/>
      <c r="AA105" s="590">
        <f>AA100-AA103</f>
        <v>-0.3810484030946244</v>
      </c>
      <c r="AB105" s="591"/>
      <c r="AC105" s="590">
        <f>AC100-AC103</f>
        <v>-0.3810484030946244</v>
      </c>
      <c r="AD105" s="591"/>
      <c r="AE105" s="590">
        <f>AE100-AE103</f>
        <v>-0.3810484030946244</v>
      </c>
      <c r="AF105" s="620"/>
      <c r="AG105" s="713"/>
      <c r="AH105" s="591"/>
      <c r="AI105" s="590">
        <f>AI100-AI103</f>
        <v>0.12345863915889699</v>
      </c>
      <c r="AJ105" s="591"/>
      <c r="AK105" s="590">
        <f>AK100-AK103</f>
        <v>0.12345863915889699</v>
      </c>
      <c r="AL105" s="591"/>
      <c r="AM105" s="590">
        <f>AM100-AM103</f>
        <v>0.12345863915889699</v>
      </c>
      <c r="AN105" s="737">
        <f>AI105/$O105-1</f>
        <v>0.42867063051358412</v>
      </c>
      <c r="AO105" s="737">
        <f>AK105/$Q105-1</f>
        <v>0.42867063051358412</v>
      </c>
      <c r="AP105" s="737">
        <f>AM105/$S105-1</f>
        <v>0.42867063051358412</v>
      </c>
      <c r="AR105" s="591"/>
      <c r="AS105" s="590">
        <f>AS100-AS103</f>
        <v>0.12345863915889699</v>
      </c>
      <c r="AT105" s="591"/>
      <c r="AU105" s="590">
        <f>AU100-AU103</f>
        <v>0.12345863915889699</v>
      </c>
      <c r="AV105" s="591"/>
      <c r="AW105" s="590">
        <f>AW100-AW103</f>
        <v>0.12345863915889699</v>
      </c>
      <c r="AX105" s="737">
        <f>AS105/$O105-1</f>
        <v>0.42867063051358412</v>
      </c>
      <c r="AY105" s="737">
        <f>AU105/$Q105-1</f>
        <v>0.42867063051358412</v>
      </c>
      <c r="AZ105" s="737">
        <f>AW105/$S105-1</f>
        <v>0.42867063051358412</v>
      </c>
      <c r="BB105" s="591"/>
      <c r="BC105" s="590">
        <f>BC100-BC103</f>
        <v>0.12345863915889699</v>
      </c>
      <c r="BD105" s="591"/>
      <c r="BE105" s="590">
        <f>BE100-BE103</f>
        <v>0.12345863915889699</v>
      </c>
      <c r="BF105" s="591"/>
      <c r="BG105" s="590">
        <f>BG100-BG103</f>
        <v>0.12345863915889699</v>
      </c>
      <c r="BH105" s="737">
        <f>BC105/$O105-1</f>
        <v>0.42867063051358412</v>
      </c>
      <c r="BI105" s="737">
        <f>BE105/$Q105-1</f>
        <v>0.42867063051358412</v>
      </c>
      <c r="BJ105" s="737">
        <f>BG105/$S105-1</f>
        <v>0.42867063051358412</v>
      </c>
      <c r="BL105" s="591"/>
      <c r="BM105" s="590">
        <f>BM100-BM103</f>
        <v>0.24345863915889643</v>
      </c>
      <c r="BN105" s="591"/>
      <c r="BO105" s="590">
        <f>BO100-BO103</f>
        <v>0.24345863915889643</v>
      </c>
      <c r="BP105" s="591"/>
      <c r="BQ105" s="590">
        <f>BQ100-BQ103</f>
        <v>0.24345863915889643</v>
      </c>
      <c r="BR105" s="737">
        <f>BM105/$O105-1</f>
        <v>1.8173176853460729</v>
      </c>
      <c r="BS105" s="737">
        <f>BO105/$Q105-1</f>
        <v>1.8173176853460729</v>
      </c>
      <c r="BT105" s="737">
        <f>BQ105/$S105-1</f>
        <v>1.8173176853460729</v>
      </c>
      <c r="BU105" s="933"/>
      <c r="BV105" s="591"/>
      <c r="BW105" s="590">
        <f>BW100-BW103</f>
        <v>0.10923328704622137</v>
      </c>
      <c r="BY105" s="591"/>
      <c r="BZ105" s="590">
        <f>BZ100-BZ103</f>
        <v>0.20331779408847483</v>
      </c>
      <c r="CA105" s="591"/>
      <c r="CB105" s="590">
        <f>CB100-CB103</f>
        <v>0.20331779408847483</v>
      </c>
      <c r="CC105" s="591"/>
      <c r="CD105" s="590">
        <f>CD100-CD103</f>
        <v>0.20331779408847483</v>
      </c>
      <c r="CE105" s="933"/>
      <c r="CF105" s="591"/>
      <c r="CG105" s="590">
        <f>CG100-CG103</f>
        <v>0.28782483634199596</v>
      </c>
      <c r="CH105" s="591"/>
      <c r="CI105" s="590">
        <f>CI100-CI103</f>
        <v>0.28782483634199596</v>
      </c>
      <c r="CJ105" s="591"/>
      <c r="CK105" s="590">
        <f>CK100-CK103</f>
        <v>0.28782483634199596</v>
      </c>
      <c r="CM105" s="591"/>
      <c r="CN105" s="590">
        <f>CN100-CN103</f>
        <v>-8.4710374925610177E-2</v>
      </c>
      <c r="CO105" s="591"/>
      <c r="CP105" s="590">
        <f>CP100-CP103</f>
        <v>-8.4710374925610177E-2</v>
      </c>
      <c r="CQ105" s="591"/>
      <c r="CR105" s="590">
        <f>CR100-CR103</f>
        <v>-8.4710374925610177E-2</v>
      </c>
      <c r="CT105" s="683"/>
      <c r="CU105" s="590">
        <f>CU100-CU103</f>
        <v>0.45369500058200413</v>
      </c>
      <c r="CV105" s="683"/>
      <c r="CW105" s="590">
        <f t="shared" ref="CW105" si="432">CW100-CW103</f>
        <v>0.84109169479688017</v>
      </c>
      <c r="CX105" s="683"/>
      <c r="CY105" s="590">
        <f t="shared" ref="CY105" si="433">CY100-CY103</f>
        <v>0.84109169479688017</v>
      </c>
      <c r="DA105" s="683"/>
      <c r="DB105" s="590">
        <f>DB100-DB103</f>
        <v>1.6036950005820045</v>
      </c>
      <c r="DC105" s="683"/>
      <c r="DD105" s="590">
        <f t="shared" ref="DD105" si="434">DD100-DD103</f>
        <v>1.9910916947968806</v>
      </c>
      <c r="DE105" s="683"/>
      <c r="DF105" s="590">
        <f t="shared" ref="DF105" si="435">DF100-DF103</f>
        <v>1.9910916947968806</v>
      </c>
      <c r="DH105" s="683"/>
      <c r="DI105" s="590">
        <f>DI100-DI103</f>
        <v>1.0536950005820047</v>
      </c>
      <c r="DJ105" s="683"/>
      <c r="DK105" s="590">
        <f t="shared" ref="DK105" si="436">DK100-DK103</f>
        <v>1.4410916947968808</v>
      </c>
      <c r="DL105" s="683"/>
      <c r="DM105" s="590">
        <f t="shared" ref="DM105" si="437">DM100-DM103</f>
        <v>1.4410916947968808</v>
      </c>
    </row>
    <row r="106" spans="1:117" s="65" customFormat="1" ht="18" customHeight="1" thickBot="1" x14ac:dyDescent="0.5">
      <c r="A106" s="561"/>
      <c r="B106" s="267"/>
      <c r="C106" s="158" t="s">
        <v>96</v>
      </c>
      <c r="D106" s="158"/>
      <c r="E106" s="158"/>
      <c r="F106" s="159"/>
      <c r="G106" s="160">
        <f>G105/G74</f>
        <v>2.3137069404104819E-2</v>
      </c>
      <c r="H106" s="159"/>
      <c r="I106" s="160">
        <f>I105/I74</f>
        <v>6.6408637795045628E-3</v>
      </c>
      <c r="J106" s="159"/>
      <c r="K106" s="160">
        <f t="shared" ref="K106" si="438">K105/K74</f>
        <v>6.6408637795045628E-3</v>
      </c>
      <c r="L106" s="159"/>
      <c r="M106" s="160">
        <f t="shared" ref="M106" si="439">M105/M74</f>
        <v>6.6408637795045628E-3</v>
      </c>
      <c r="N106" s="159"/>
      <c r="O106" s="160">
        <f>O105/O74</f>
        <v>1.5133983648495216E-2</v>
      </c>
      <c r="P106" s="159"/>
      <c r="Q106" s="160">
        <f>Q105/Q74</f>
        <v>1.5133983648495216E-2</v>
      </c>
      <c r="R106" s="159"/>
      <c r="S106" s="160">
        <f>S105/S74</f>
        <v>1.5133983648495216E-2</v>
      </c>
      <c r="T106" s="159"/>
      <c r="U106" s="160">
        <f>U105/U74</f>
        <v>-1.4023391784935054E-2</v>
      </c>
      <c r="V106" s="159"/>
      <c r="W106" s="160">
        <f>W105/W74</f>
        <v>-1.4023391784935054E-2</v>
      </c>
      <c r="X106" s="159"/>
      <c r="Y106" s="160">
        <f>Y105/Y74</f>
        <v>-1.4023391784935054E-2</v>
      </c>
      <c r="Z106" s="159"/>
      <c r="AA106" s="160">
        <f>AA105/AA74</f>
        <v>-6.6733520682070821E-2</v>
      </c>
      <c r="AB106" s="159"/>
      <c r="AC106" s="160">
        <f>AC105/AC74</f>
        <v>-6.6733520682070821E-2</v>
      </c>
      <c r="AD106" s="159"/>
      <c r="AE106" s="160">
        <f>AE105/AE74</f>
        <v>-6.6733520682070821E-2</v>
      </c>
      <c r="AF106" s="620"/>
      <c r="AG106" s="714"/>
      <c r="AH106" s="159"/>
      <c r="AI106" s="160">
        <f>AI105/AI74</f>
        <v>2.0474069512254889E-2</v>
      </c>
      <c r="AJ106" s="159"/>
      <c r="AK106" s="160">
        <f>AK105/AK74</f>
        <v>2.0474069512254889E-2</v>
      </c>
      <c r="AL106" s="159"/>
      <c r="AM106" s="160">
        <f>AM105/AM74</f>
        <v>2.0474069512254889E-2</v>
      </c>
      <c r="AN106" s="720"/>
      <c r="AO106" s="720"/>
      <c r="AP106" s="720"/>
      <c r="AR106" s="159"/>
      <c r="AS106" s="160">
        <f>AS105/AS74</f>
        <v>2.0474069512254889E-2</v>
      </c>
      <c r="AT106" s="159"/>
      <c r="AU106" s="160">
        <f>AU105/AU74</f>
        <v>2.0474069512254889E-2</v>
      </c>
      <c r="AV106" s="159"/>
      <c r="AW106" s="160">
        <f>AW105/AW74</f>
        <v>2.0474069512254889E-2</v>
      </c>
      <c r="AX106" s="720"/>
      <c r="AY106" s="720"/>
      <c r="AZ106" s="720"/>
      <c r="BB106" s="159"/>
      <c r="BC106" s="160">
        <f>BC105/BC74</f>
        <v>2.0474069512254889E-2</v>
      </c>
      <c r="BD106" s="159"/>
      <c r="BE106" s="160">
        <f>BE105/BE74</f>
        <v>2.0474069512254889E-2</v>
      </c>
      <c r="BF106" s="159"/>
      <c r="BG106" s="160">
        <f>BG105/BG74</f>
        <v>2.0474069512254889E-2</v>
      </c>
      <c r="BH106" s="720"/>
      <c r="BI106" s="720"/>
      <c r="BJ106" s="720"/>
      <c r="BL106" s="159"/>
      <c r="BM106" s="160">
        <f>BM105/BM74</f>
        <v>3.6887672599832791E-2</v>
      </c>
      <c r="BN106" s="159"/>
      <c r="BO106" s="160">
        <f>BO105/BO74</f>
        <v>3.6887672599832791E-2</v>
      </c>
      <c r="BP106" s="159"/>
      <c r="BQ106" s="160">
        <f>BQ105/BQ74</f>
        <v>3.6887672599832791E-2</v>
      </c>
      <c r="BR106" s="720"/>
      <c r="BS106" s="720"/>
      <c r="BT106" s="720"/>
      <c r="BU106" s="933"/>
      <c r="BV106" s="159"/>
      <c r="BW106" s="160">
        <f>BW105/BW74</f>
        <v>1.6550498037306269E-2</v>
      </c>
      <c r="BY106" s="159"/>
      <c r="BZ106" s="160">
        <f>BZ105/BZ74</f>
        <v>3.2530847054155973E-2</v>
      </c>
      <c r="CA106" s="159"/>
      <c r="CB106" s="160">
        <f>CB105/CB74</f>
        <v>3.2530847054155973E-2</v>
      </c>
      <c r="CC106" s="159"/>
      <c r="CD106" s="160">
        <f>CD105/CD74</f>
        <v>3.2530847054155973E-2</v>
      </c>
      <c r="CE106" s="933"/>
      <c r="CF106" s="159"/>
      <c r="CG106" s="160">
        <f>CG105/CG74</f>
        <v>4.264071649511051E-2</v>
      </c>
      <c r="CH106" s="159"/>
      <c r="CI106" s="160">
        <f>CI105/CI74</f>
        <v>4.264071649511051E-2</v>
      </c>
      <c r="CJ106" s="159"/>
      <c r="CK106" s="160">
        <f>CK105/CK74</f>
        <v>4.264071649511051E-2</v>
      </c>
      <c r="CM106" s="159"/>
      <c r="CN106" s="160">
        <f>CN105/CN74</f>
        <v>-1.2549685174164471E-2</v>
      </c>
      <c r="CO106" s="159"/>
      <c r="CP106" s="160">
        <f>CP105/CP74</f>
        <v>-1.2549685174164471E-2</v>
      </c>
      <c r="CQ106" s="159"/>
      <c r="CR106" s="160">
        <f>CR105/CR74</f>
        <v>-1.2549685174164471E-2</v>
      </c>
      <c r="CT106" s="159"/>
      <c r="CU106" s="609">
        <f>CU105/CU74</f>
        <v>6.8741666754849121E-2</v>
      </c>
      <c r="CV106" s="159"/>
      <c r="CW106" s="609">
        <f t="shared" ref="CW106" si="440">CW105/CW74</f>
        <v>0.12743813557528488</v>
      </c>
      <c r="CX106" s="159"/>
      <c r="CY106" s="609">
        <f t="shared" ref="CY106" si="441">CY105/CY74</f>
        <v>0.12743813557528488</v>
      </c>
      <c r="DA106" s="159"/>
      <c r="DB106" s="609">
        <f>DB105/DB74</f>
        <v>0.20692838717187156</v>
      </c>
      <c r="DC106" s="159"/>
      <c r="DD106" s="609">
        <f t="shared" ref="DD106" si="442">DD105/DD74</f>
        <v>0.25691505739314591</v>
      </c>
      <c r="DE106" s="159"/>
      <c r="DF106" s="609">
        <f t="shared" ref="DF106" si="443">DF105/DF74</f>
        <v>0.25691505739314591</v>
      </c>
      <c r="DH106" s="159"/>
      <c r="DI106" s="609">
        <f>DI105/DI74</f>
        <v>0.14634652785861177</v>
      </c>
      <c r="DJ106" s="159"/>
      <c r="DK106" s="609">
        <f t="shared" ref="DK106" si="444">DK105/DK74</f>
        <v>0.20015162427734456</v>
      </c>
      <c r="DL106" s="159"/>
      <c r="DM106" s="609">
        <f t="shared" ref="DM106" si="445">DM105/DM74</f>
        <v>0.20015162427734456</v>
      </c>
    </row>
    <row r="107" spans="1:117" s="4" customFormat="1" ht="18" hidden="1" customHeight="1" thickTop="1" x14ac:dyDescent="0.45">
      <c r="A107" s="561"/>
      <c r="B107" s="1235" t="s">
        <v>97</v>
      </c>
      <c r="C107" s="248" t="s">
        <v>98</v>
      </c>
      <c r="D107" s="249"/>
      <c r="E107" s="250" t="s">
        <v>99</v>
      </c>
      <c r="F107" s="251"/>
      <c r="G107" s="167">
        <v>620</v>
      </c>
      <c r="H107" s="251"/>
      <c r="I107" s="167">
        <v>620</v>
      </c>
      <c r="J107" s="251"/>
      <c r="K107" s="167">
        <v>620</v>
      </c>
      <c r="L107" s="251"/>
      <c r="M107" s="167">
        <v>620</v>
      </c>
      <c r="N107" s="251"/>
      <c r="O107" s="167">
        <v>620</v>
      </c>
      <c r="P107" s="251"/>
      <c r="Q107" s="167">
        <v>620</v>
      </c>
      <c r="R107" s="251"/>
      <c r="S107" s="167">
        <v>620</v>
      </c>
      <c r="T107" s="251"/>
      <c r="U107" s="167">
        <v>620</v>
      </c>
      <c r="V107" s="251"/>
      <c r="W107" s="167">
        <v>620</v>
      </c>
      <c r="X107" s="251"/>
      <c r="Y107" s="167">
        <v>620</v>
      </c>
      <c r="Z107" s="251"/>
      <c r="AA107" s="167">
        <v>620</v>
      </c>
      <c r="AB107" s="251"/>
      <c r="AC107" s="167">
        <v>620</v>
      </c>
      <c r="AD107" s="251"/>
      <c r="AE107" s="167">
        <v>620</v>
      </c>
      <c r="AF107" s="620"/>
      <c r="AG107" s="692"/>
      <c r="AH107" s="251"/>
      <c r="AI107" s="167">
        <v>620</v>
      </c>
      <c r="AJ107" s="251"/>
      <c r="AK107" s="167">
        <v>620</v>
      </c>
      <c r="AL107" s="251"/>
      <c r="AM107" s="167">
        <v>620</v>
      </c>
      <c r="AN107" s="166"/>
      <c r="AO107" s="166"/>
      <c r="AP107" s="166"/>
      <c r="AR107" s="251"/>
      <c r="AS107" s="167">
        <v>620</v>
      </c>
      <c r="AT107" s="251"/>
      <c r="AU107" s="167">
        <v>620</v>
      </c>
      <c r="AV107" s="251"/>
      <c r="AW107" s="167">
        <v>620</v>
      </c>
      <c r="AX107" s="166"/>
      <c r="AY107" s="166"/>
      <c r="AZ107" s="166"/>
      <c r="BB107" s="251"/>
      <c r="BC107" s="167">
        <v>620</v>
      </c>
      <c r="BD107" s="251"/>
      <c r="BE107" s="167">
        <v>620</v>
      </c>
      <c r="BF107" s="251"/>
      <c r="BG107" s="167">
        <v>620</v>
      </c>
      <c r="BH107" s="166"/>
      <c r="BI107" s="166"/>
      <c r="BJ107" s="166"/>
      <c r="BL107" s="251"/>
      <c r="BM107" s="167">
        <v>620</v>
      </c>
      <c r="BN107" s="251"/>
      <c r="BO107" s="167">
        <v>620</v>
      </c>
      <c r="BP107" s="251"/>
      <c r="BQ107" s="167">
        <v>620</v>
      </c>
      <c r="BR107" s="166"/>
      <c r="BS107" s="166"/>
      <c r="BT107" s="166"/>
      <c r="BV107" s="251"/>
      <c r="BW107" s="167">
        <v>620</v>
      </c>
      <c r="BY107" s="251"/>
      <c r="BZ107" s="167">
        <v>620</v>
      </c>
      <c r="CA107" s="251"/>
      <c r="CB107" s="167">
        <v>620</v>
      </c>
      <c r="CC107" s="251"/>
      <c r="CD107" s="167">
        <v>620</v>
      </c>
      <c r="CF107" s="251"/>
      <c r="CG107" s="167">
        <v>620</v>
      </c>
      <c r="CH107" s="251"/>
      <c r="CI107" s="167">
        <v>620</v>
      </c>
      <c r="CJ107" s="251"/>
      <c r="CK107" s="167">
        <v>620</v>
      </c>
      <c r="CM107" s="251"/>
      <c r="CN107" s="167">
        <v>620</v>
      </c>
      <c r="CO107" s="251"/>
      <c r="CP107" s="167">
        <v>620</v>
      </c>
      <c r="CQ107" s="251"/>
      <c r="CR107" s="167">
        <v>620</v>
      </c>
      <c r="CT107" s="251"/>
      <c r="CU107" s="167">
        <f>CU71</f>
        <v>0</v>
      </c>
      <c r="CV107" s="251"/>
      <c r="CW107" s="167">
        <f t="shared" ref="CW107" si="446">CW71</f>
        <v>1500</v>
      </c>
      <c r="CX107" s="251"/>
      <c r="CY107" s="167">
        <f t="shared" ref="CY107" si="447">CY71</f>
        <v>1500</v>
      </c>
      <c r="DA107" s="251"/>
      <c r="DB107" s="167">
        <f>DB71</f>
        <v>0</v>
      </c>
      <c r="DC107" s="251"/>
      <c r="DD107" s="167">
        <f t="shared" ref="DD107" si="448">DD71</f>
        <v>1500</v>
      </c>
      <c r="DE107" s="251"/>
      <c r="DF107" s="167">
        <f t="shared" ref="DF107" si="449">DF71</f>
        <v>1500</v>
      </c>
      <c r="DH107" s="251"/>
      <c r="DI107" s="167">
        <f>DI71</f>
        <v>0</v>
      </c>
      <c r="DJ107" s="251"/>
      <c r="DK107" s="167">
        <f t="shared" ref="DK107" si="450">DK71</f>
        <v>1500</v>
      </c>
      <c r="DL107" s="251"/>
      <c r="DM107" s="167">
        <f t="shared" ref="DM107" si="451">DM71</f>
        <v>1500</v>
      </c>
    </row>
    <row r="108" spans="1:117" s="4" customFormat="1" ht="18" hidden="1" customHeight="1" x14ac:dyDescent="0.45">
      <c r="A108" s="561"/>
      <c r="B108" s="1187"/>
      <c r="C108" s="161" t="s">
        <v>143</v>
      </c>
      <c r="D108" s="162"/>
      <c r="E108" s="163" t="s">
        <v>99</v>
      </c>
      <c r="F108" s="164"/>
      <c r="G108" s="168">
        <v>1150</v>
      </c>
      <c r="H108" s="164"/>
      <c r="I108" s="168">
        <v>1150</v>
      </c>
      <c r="J108" s="164"/>
      <c r="K108" s="168">
        <v>1150</v>
      </c>
      <c r="L108" s="164"/>
      <c r="M108" s="168">
        <v>1150</v>
      </c>
      <c r="N108" s="164"/>
      <c r="O108" s="168">
        <v>1150</v>
      </c>
      <c r="P108" s="164"/>
      <c r="Q108" s="168">
        <v>1150</v>
      </c>
      <c r="R108" s="164"/>
      <c r="S108" s="168">
        <v>1150</v>
      </c>
      <c r="T108" s="164"/>
      <c r="U108" s="168">
        <v>1150</v>
      </c>
      <c r="V108" s="164"/>
      <c r="W108" s="168">
        <v>1150</v>
      </c>
      <c r="X108" s="164"/>
      <c r="Y108" s="168">
        <v>1150</v>
      </c>
      <c r="Z108" s="164"/>
      <c r="AA108" s="168">
        <v>1150</v>
      </c>
      <c r="AB108" s="164"/>
      <c r="AC108" s="168">
        <v>1150</v>
      </c>
      <c r="AD108" s="164"/>
      <c r="AE108" s="168">
        <v>1150</v>
      </c>
      <c r="AF108" s="620"/>
      <c r="AG108" s="693"/>
      <c r="AH108" s="164"/>
      <c r="AI108" s="168">
        <v>1150</v>
      </c>
      <c r="AJ108" s="164"/>
      <c r="AK108" s="168">
        <v>1150</v>
      </c>
      <c r="AL108" s="164"/>
      <c r="AM108" s="168">
        <v>1150</v>
      </c>
      <c r="AN108" s="169"/>
      <c r="AO108" s="169"/>
      <c r="AP108" s="169"/>
      <c r="AR108" s="164"/>
      <c r="AS108" s="168">
        <v>1150</v>
      </c>
      <c r="AT108" s="164"/>
      <c r="AU108" s="168">
        <v>1150</v>
      </c>
      <c r="AV108" s="164"/>
      <c r="AW108" s="168">
        <v>1150</v>
      </c>
      <c r="AX108" s="169"/>
      <c r="AY108" s="169"/>
      <c r="AZ108" s="169"/>
      <c r="BB108" s="164"/>
      <c r="BC108" s="168">
        <v>1150</v>
      </c>
      <c r="BD108" s="164"/>
      <c r="BE108" s="168">
        <v>1150</v>
      </c>
      <c r="BF108" s="164"/>
      <c r="BG108" s="168">
        <v>1150</v>
      </c>
      <c r="BH108" s="169"/>
      <c r="BI108" s="169"/>
      <c r="BJ108" s="169"/>
      <c r="BL108" s="164"/>
      <c r="BM108" s="168">
        <v>1150</v>
      </c>
      <c r="BN108" s="164"/>
      <c r="BO108" s="168">
        <v>1150</v>
      </c>
      <c r="BP108" s="164"/>
      <c r="BQ108" s="168">
        <v>1150</v>
      </c>
      <c r="BR108" s="169"/>
      <c r="BS108" s="169"/>
      <c r="BT108" s="169"/>
      <c r="BV108" s="164"/>
      <c r="BW108" s="168">
        <v>1150</v>
      </c>
      <c r="BY108" s="164"/>
      <c r="BZ108" s="168">
        <v>1150</v>
      </c>
      <c r="CA108" s="164"/>
      <c r="CB108" s="168">
        <v>1150</v>
      </c>
      <c r="CC108" s="164"/>
      <c r="CD108" s="168">
        <v>1150</v>
      </c>
      <c r="CF108" s="164"/>
      <c r="CG108" s="168">
        <v>1150</v>
      </c>
      <c r="CH108" s="164"/>
      <c r="CI108" s="168">
        <v>1150</v>
      </c>
      <c r="CJ108" s="164"/>
      <c r="CK108" s="168">
        <v>1150</v>
      </c>
      <c r="CM108" s="164"/>
      <c r="CN108" s="168">
        <v>1150</v>
      </c>
      <c r="CO108" s="164"/>
      <c r="CP108" s="168">
        <v>1150</v>
      </c>
      <c r="CQ108" s="164"/>
      <c r="CR108" s="168">
        <v>1150</v>
      </c>
      <c r="CT108" s="164"/>
      <c r="CU108" s="168">
        <v>1150</v>
      </c>
      <c r="CV108" s="164"/>
      <c r="CW108" s="168">
        <v>1150</v>
      </c>
      <c r="CX108" s="164"/>
      <c r="CY108" s="168">
        <v>1150</v>
      </c>
      <c r="DA108" s="164"/>
      <c r="DB108" s="168">
        <v>1150</v>
      </c>
      <c r="DC108" s="164"/>
      <c r="DD108" s="168">
        <v>1150</v>
      </c>
      <c r="DE108" s="164"/>
      <c r="DF108" s="168">
        <v>1150</v>
      </c>
      <c r="DH108" s="164"/>
      <c r="DI108" s="168">
        <v>1150</v>
      </c>
      <c r="DJ108" s="164"/>
      <c r="DK108" s="168">
        <v>1150</v>
      </c>
      <c r="DL108" s="164"/>
      <c r="DM108" s="168">
        <v>1150</v>
      </c>
    </row>
    <row r="109" spans="1:117" s="4" customFormat="1" ht="18" hidden="1" customHeight="1" x14ac:dyDescent="0.45">
      <c r="A109" s="561"/>
      <c r="B109" s="1187"/>
      <c r="C109" s="161" t="s">
        <v>101</v>
      </c>
      <c r="D109" s="162"/>
      <c r="E109" s="163" t="s">
        <v>99</v>
      </c>
      <c r="F109" s="164"/>
      <c r="G109" s="168">
        <v>750</v>
      </c>
      <c r="H109" s="164"/>
      <c r="I109" s="168">
        <v>750</v>
      </c>
      <c r="J109" s="164"/>
      <c r="K109" s="168">
        <v>750</v>
      </c>
      <c r="L109" s="164"/>
      <c r="M109" s="168">
        <v>750</v>
      </c>
      <c r="N109" s="164"/>
      <c r="O109" s="168">
        <v>750</v>
      </c>
      <c r="P109" s="164"/>
      <c r="Q109" s="168">
        <v>750</v>
      </c>
      <c r="R109" s="164"/>
      <c r="S109" s="168">
        <v>750</v>
      </c>
      <c r="T109" s="164"/>
      <c r="U109" s="168">
        <v>750</v>
      </c>
      <c r="V109" s="164"/>
      <c r="W109" s="168">
        <v>750</v>
      </c>
      <c r="X109" s="164"/>
      <c r="Y109" s="168">
        <v>750</v>
      </c>
      <c r="Z109" s="164"/>
      <c r="AA109" s="168">
        <v>750</v>
      </c>
      <c r="AB109" s="164"/>
      <c r="AC109" s="168">
        <v>750</v>
      </c>
      <c r="AD109" s="164"/>
      <c r="AE109" s="168">
        <v>750</v>
      </c>
      <c r="AF109" s="620"/>
      <c r="AG109" s="693"/>
      <c r="AH109" s="164"/>
      <c r="AI109" s="168">
        <v>750</v>
      </c>
      <c r="AJ109" s="164"/>
      <c r="AK109" s="168">
        <v>750</v>
      </c>
      <c r="AL109" s="164"/>
      <c r="AM109" s="168">
        <v>750</v>
      </c>
      <c r="AN109" s="169"/>
      <c r="AO109" s="169"/>
      <c r="AP109" s="169"/>
      <c r="AR109" s="164"/>
      <c r="AS109" s="168">
        <v>750</v>
      </c>
      <c r="AT109" s="164"/>
      <c r="AU109" s="168">
        <v>750</v>
      </c>
      <c r="AV109" s="164"/>
      <c r="AW109" s="168">
        <v>750</v>
      </c>
      <c r="AX109" s="169"/>
      <c r="AY109" s="169"/>
      <c r="AZ109" s="169"/>
      <c r="BB109" s="164"/>
      <c r="BC109" s="168">
        <v>750</v>
      </c>
      <c r="BD109" s="164"/>
      <c r="BE109" s="168">
        <v>750</v>
      </c>
      <c r="BF109" s="164"/>
      <c r="BG109" s="168">
        <v>750</v>
      </c>
      <c r="BH109" s="169"/>
      <c r="BI109" s="169"/>
      <c r="BJ109" s="169"/>
      <c r="BL109" s="164"/>
      <c r="BM109" s="168">
        <v>750</v>
      </c>
      <c r="BN109" s="164"/>
      <c r="BO109" s="168">
        <v>750</v>
      </c>
      <c r="BP109" s="164"/>
      <c r="BQ109" s="168">
        <v>750</v>
      </c>
      <c r="BR109" s="169"/>
      <c r="BS109" s="169"/>
      <c r="BT109" s="169"/>
      <c r="BV109" s="164"/>
      <c r="BW109" s="168">
        <v>750</v>
      </c>
      <c r="BY109" s="164"/>
      <c r="BZ109" s="168">
        <v>750</v>
      </c>
      <c r="CA109" s="164"/>
      <c r="CB109" s="168">
        <v>750</v>
      </c>
      <c r="CC109" s="164"/>
      <c r="CD109" s="168">
        <v>750</v>
      </c>
      <c r="CF109" s="164"/>
      <c r="CG109" s="168">
        <v>750</v>
      </c>
      <c r="CH109" s="164"/>
      <c r="CI109" s="168">
        <v>750</v>
      </c>
      <c r="CJ109" s="164"/>
      <c r="CK109" s="168">
        <v>750</v>
      </c>
      <c r="CM109" s="164"/>
      <c r="CN109" s="168">
        <v>750</v>
      </c>
      <c r="CO109" s="164"/>
      <c r="CP109" s="168">
        <v>750</v>
      </c>
      <c r="CQ109" s="164"/>
      <c r="CR109" s="168">
        <v>750</v>
      </c>
      <c r="CT109" s="164"/>
      <c r="CU109" s="168">
        <v>750</v>
      </c>
      <c r="CV109" s="164"/>
      <c r="CW109" s="168">
        <v>750</v>
      </c>
      <c r="CX109" s="164"/>
      <c r="CY109" s="168">
        <v>750</v>
      </c>
      <c r="DA109" s="164"/>
      <c r="DB109" s="168">
        <v>750</v>
      </c>
      <c r="DC109" s="164"/>
      <c r="DD109" s="168">
        <v>750</v>
      </c>
      <c r="DE109" s="164"/>
      <c r="DF109" s="168">
        <v>750</v>
      </c>
      <c r="DH109" s="164"/>
      <c r="DI109" s="168">
        <v>750</v>
      </c>
      <c r="DJ109" s="164"/>
      <c r="DK109" s="168">
        <v>750</v>
      </c>
      <c r="DL109" s="164"/>
      <c r="DM109" s="168">
        <v>750</v>
      </c>
    </row>
    <row r="110" spans="1:117" s="4" customFormat="1" ht="18" hidden="1" customHeight="1" x14ac:dyDescent="0.45">
      <c r="A110" s="561"/>
      <c r="B110" s="1187"/>
      <c r="C110" s="170"/>
      <c r="D110" s="162"/>
      <c r="E110" s="162"/>
      <c r="F110" s="164"/>
      <c r="G110" s="171"/>
      <c r="H110" s="164"/>
      <c r="I110" s="171"/>
      <c r="J110" s="164"/>
      <c r="K110" s="171"/>
      <c r="L110" s="164"/>
      <c r="M110" s="171"/>
      <c r="N110" s="164"/>
      <c r="O110" s="171"/>
      <c r="P110" s="164"/>
      <c r="Q110" s="171"/>
      <c r="R110" s="164"/>
      <c r="S110" s="171"/>
      <c r="T110" s="164"/>
      <c r="U110" s="171"/>
      <c r="V110" s="164"/>
      <c r="W110" s="171"/>
      <c r="X110" s="164"/>
      <c r="Y110" s="171"/>
      <c r="Z110" s="164"/>
      <c r="AA110" s="171"/>
      <c r="AB110" s="164"/>
      <c r="AC110" s="171"/>
      <c r="AD110" s="164"/>
      <c r="AE110" s="171"/>
      <c r="AF110" s="620"/>
      <c r="AG110" s="632"/>
      <c r="AH110" s="164"/>
      <c r="AI110" s="171"/>
      <c r="AJ110" s="164"/>
      <c r="AK110" s="171"/>
      <c r="AL110" s="164"/>
      <c r="AM110" s="171"/>
      <c r="AN110" s="172"/>
      <c r="AO110" s="172"/>
      <c r="AP110" s="172"/>
      <c r="AR110" s="164"/>
      <c r="AS110" s="171"/>
      <c r="AT110" s="164"/>
      <c r="AU110" s="171"/>
      <c r="AV110" s="164"/>
      <c r="AW110" s="171"/>
      <c r="AX110" s="172"/>
      <c r="AY110" s="172"/>
      <c r="AZ110" s="172"/>
      <c r="BB110" s="164"/>
      <c r="BC110" s="171"/>
      <c r="BD110" s="164"/>
      <c r="BE110" s="171"/>
      <c r="BF110" s="164"/>
      <c r="BG110" s="171"/>
      <c r="BH110" s="172"/>
      <c r="BI110" s="172"/>
      <c r="BJ110" s="172"/>
      <c r="BL110" s="164"/>
      <c r="BM110" s="171"/>
      <c r="BN110" s="164"/>
      <c r="BO110" s="171"/>
      <c r="BP110" s="164"/>
      <c r="BQ110" s="171"/>
      <c r="BR110" s="172"/>
      <c r="BS110" s="172"/>
      <c r="BT110" s="172"/>
      <c r="BV110" s="164"/>
      <c r="BW110" s="171"/>
      <c r="BY110" s="164"/>
      <c r="BZ110" s="171"/>
      <c r="CA110" s="164"/>
      <c r="CB110" s="171"/>
      <c r="CC110" s="164"/>
      <c r="CD110" s="171"/>
      <c r="CF110" s="164"/>
      <c r="CG110" s="171"/>
      <c r="CH110" s="164"/>
      <c r="CI110" s="171"/>
      <c r="CJ110" s="164"/>
      <c r="CK110" s="171"/>
      <c r="CM110" s="164"/>
      <c r="CN110" s="171"/>
      <c r="CO110" s="164"/>
      <c r="CP110" s="171"/>
      <c r="CQ110" s="164"/>
      <c r="CR110" s="171"/>
      <c r="CT110" s="164"/>
      <c r="CU110" s="171"/>
      <c r="CV110" s="164"/>
      <c r="CW110" s="171"/>
      <c r="CX110" s="164"/>
      <c r="CY110" s="171"/>
      <c r="DA110" s="164"/>
      <c r="DB110" s="171"/>
      <c r="DC110" s="164"/>
      <c r="DD110" s="171"/>
      <c r="DE110" s="164"/>
      <c r="DF110" s="171"/>
      <c r="DH110" s="164"/>
      <c r="DI110" s="171"/>
      <c r="DJ110" s="164"/>
      <c r="DK110" s="171"/>
      <c r="DL110" s="164"/>
      <c r="DM110" s="171"/>
    </row>
    <row r="111" spans="1:117" s="4" customFormat="1" ht="18" hidden="1" customHeight="1" x14ac:dyDescent="0.45">
      <c r="A111" s="561"/>
      <c r="B111" s="1187"/>
      <c r="C111" s="161" t="s">
        <v>102</v>
      </c>
      <c r="D111" s="162"/>
      <c r="E111" s="163" t="s">
        <v>99</v>
      </c>
      <c r="F111" s="173"/>
      <c r="G111" s="165">
        <f>G108-G107</f>
        <v>530</v>
      </c>
      <c r="H111" s="173"/>
      <c r="I111" s="165">
        <f>I108-I107</f>
        <v>530</v>
      </c>
      <c r="J111" s="173"/>
      <c r="K111" s="165">
        <f t="shared" ref="K111" si="452">K108-K107</f>
        <v>530</v>
      </c>
      <c r="L111" s="173"/>
      <c r="M111" s="165">
        <f t="shared" ref="M111" si="453">M108-M107</f>
        <v>530</v>
      </c>
      <c r="N111" s="173"/>
      <c r="O111" s="165">
        <f>O108-O107</f>
        <v>530</v>
      </c>
      <c r="P111" s="173"/>
      <c r="Q111" s="165">
        <f>Q108-Q107</f>
        <v>530</v>
      </c>
      <c r="R111" s="173"/>
      <c r="S111" s="165">
        <f>S108-S107</f>
        <v>530</v>
      </c>
      <c r="T111" s="173"/>
      <c r="U111" s="165">
        <f>U108-U107</f>
        <v>530</v>
      </c>
      <c r="V111" s="173"/>
      <c r="W111" s="165">
        <f>W108-W107</f>
        <v>530</v>
      </c>
      <c r="X111" s="173"/>
      <c r="Y111" s="165">
        <f>Y108-Y107</f>
        <v>530</v>
      </c>
      <c r="Z111" s="173"/>
      <c r="AA111" s="165">
        <f>AA108-AA107</f>
        <v>530</v>
      </c>
      <c r="AB111" s="173"/>
      <c r="AC111" s="165">
        <f>AC108-AC107</f>
        <v>530</v>
      </c>
      <c r="AD111" s="173"/>
      <c r="AE111" s="165">
        <f>AE108-AE107</f>
        <v>530</v>
      </c>
      <c r="AF111" s="620"/>
      <c r="AG111" s="630"/>
      <c r="AH111" s="173"/>
      <c r="AI111" s="165">
        <f>AI108-AI107</f>
        <v>530</v>
      </c>
      <c r="AJ111" s="173"/>
      <c r="AK111" s="165">
        <f>AK108-AK107</f>
        <v>530</v>
      </c>
      <c r="AL111" s="173"/>
      <c r="AM111" s="165">
        <f>AM108-AM107</f>
        <v>530</v>
      </c>
      <c r="AN111" s="166"/>
      <c r="AO111" s="166"/>
      <c r="AP111" s="166"/>
      <c r="AR111" s="173"/>
      <c r="AS111" s="165">
        <f>AS108-AS107</f>
        <v>530</v>
      </c>
      <c r="AT111" s="173"/>
      <c r="AU111" s="165">
        <f>AU108-AU107</f>
        <v>530</v>
      </c>
      <c r="AV111" s="173"/>
      <c r="AW111" s="165">
        <f>AW108-AW107</f>
        <v>530</v>
      </c>
      <c r="AX111" s="166"/>
      <c r="AY111" s="166"/>
      <c r="AZ111" s="166"/>
      <c r="BB111" s="173"/>
      <c r="BC111" s="165">
        <f>BC108-BC107</f>
        <v>530</v>
      </c>
      <c r="BD111" s="173"/>
      <c r="BE111" s="165">
        <f>BE108-BE107</f>
        <v>530</v>
      </c>
      <c r="BF111" s="173"/>
      <c r="BG111" s="165">
        <f>BG108-BG107</f>
        <v>530</v>
      </c>
      <c r="BH111" s="166"/>
      <c r="BI111" s="166"/>
      <c r="BJ111" s="166"/>
      <c r="BL111" s="173"/>
      <c r="BM111" s="165">
        <f>BM108-BM107</f>
        <v>530</v>
      </c>
      <c r="BN111" s="173"/>
      <c r="BO111" s="165">
        <f>BO108-BO107</f>
        <v>530</v>
      </c>
      <c r="BP111" s="173"/>
      <c r="BQ111" s="165">
        <f>BQ108-BQ107</f>
        <v>530</v>
      </c>
      <c r="BR111" s="166"/>
      <c r="BS111" s="166"/>
      <c r="BT111" s="166"/>
      <c r="BV111" s="173"/>
      <c r="BW111" s="165">
        <f>BW108-BW107</f>
        <v>530</v>
      </c>
      <c r="BY111" s="173"/>
      <c r="BZ111" s="165">
        <f>BZ108-BZ107</f>
        <v>530</v>
      </c>
      <c r="CA111" s="173"/>
      <c r="CB111" s="165">
        <f>CB108-CB107</f>
        <v>530</v>
      </c>
      <c r="CC111" s="173"/>
      <c r="CD111" s="165">
        <f>CD108-CD107</f>
        <v>530</v>
      </c>
      <c r="CF111" s="173"/>
      <c r="CG111" s="165">
        <f>CG108-CG107</f>
        <v>530</v>
      </c>
      <c r="CH111" s="173"/>
      <c r="CI111" s="165">
        <f>CI108-CI107</f>
        <v>530</v>
      </c>
      <c r="CJ111" s="173"/>
      <c r="CK111" s="165">
        <f>CK108-CK107</f>
        <v>530</v>
      </c>
      <c r="CM111" s="173"/>
      <c r="CN111" s="165">
        <f>CN108-CN107</f>
        <v>530</v>
      </c>
      <c r="CO111" s="173"/>
      <c r="CP111" s="165">
        <f>CP108-CP107</f>
        <v>530</v>
      </c>
      <c r="CQ111" s="173"/>
      <c r="CR111" s="165">
        <f>CR108-CR107</f>
        <v>530</v>
      </c>
      <c r="CT111" s="173"/>
      <c r="CU111" s="165">
        <f>CU108-CU107</f>
        <v>1150</v>
      </c>
      <c r="CV111" s="173"/>
      <c r="CW111" s="165">
        <f t="shared" ref="CW111" si="454">CW108-CW107</f>
        <v>-350</v>
      </c>
      <c r="CX111" s="173"/>
      <c r="CY111" s="165">
        <f t="shared" ref="CY111" si="455">CY108-CY107</f>
        <v>-350</v>
      </c>
      <c r="DA111" s="173"/>
      <c r="DB111" s="165">
        <f>DB108-DB107</f>
        <v>1150</v>
      </c>
      <c r="DC111" s="173"/>
      <c r="DD111" s="165">
        <f t="shared" ref="DD111" si="456">DD108-DD107</f>
        <v>-350</v>
      </c>
      <c r="DE111" s="173"/>
      <c r="DF111" s="165">
        <f t="shared" ref="DF111" si="457">DF108-DF107</f>
        <v>-350</v>
      </c>
      <c r="DH111" s="173"/>
      <c r="DI111" s="165">
        <f>DI108-DI107</f>
        <v>1150</v>
      </c>
      <c r="DJ111" s="173"/>
      <c r="DK111" s="165">
        <f t="shared" ref="DK111" si="458">DK108-DK107</f>
        <v>-350</v>
      </c>
      <c r="DL111" s="173"/>
      <c r="DM111" s="165">
        <f t="shared" ref="DM111" si="459">DM108-DM107</f>
        <v>-350</v>
      </c>
    </row>
    <row r="112" spans="1:117" s="97" customFormat="1" ht="18" hidden="1" customHeight="1" x14ac:dyDescent="0.45">
      <c r="A112" s="561"/>
      <c r="B112" s="1187"/>
      <c r="C112" s="174" t="s">
        <v>103</v>
      </c>
      <c r="D112" s="175"/>
      <c r="E112" s="176" t="s">
        <v>104</v>
      </c>
      <c r="F112" s="177"/>
      <c r="G112" s="178">
        <f>G111/G73</f>
        <v>0.14929577464788732</v>
      </c>
      <c r="H112" s="177"/>
      <c r="I112" s="178">
        <f>I111/I73</f>
        <v>0.14929577464788732</v>
      </c>
      <c r="J112" s="177"/>
      <c r="K112" s="178">
        <f t="shared" ref="K112" si="460">K111/K73</f>
        <v>0.14929577464788732</v>
      </c>
      <c r="L112" s="177"/>
      <c r="M112" s="178">
        <f t="shared" ref="M112" si="461">M111/M73</f>
        <v>0.14929577464788732</v>
      </c>
      <c r="N112" s="177"/>
      <c r="O112" s="178">
        <f>O111/O73</f>
        <v>0.14929577464788732</v>
      </c>
      <c r="P112" s="177"/>
      <c r="Q112" s="178">
        <f>Q111/Q73</f>
        <v>0.14929577464788732</v>
      </c>
      <c r="R112" s="177"/>
      <c r="S112" s="178">
        <f>S111/S73</f>
        <v>0.14929577464788732</v>
      </c>
      <c r="T112" s="177"/>
      <c r="U112" s="178">
        <f>U111/U73</f>
        <v>0.14929577464788732</v>
      </c>
      <c r="V112" s="177"/>
      <c r="W112" s="178">
        <f>W111/W73</f>
        <v>0.14929577464788732</v>
      </c>
      <c r="X112" s="177"/>
      <c r="Y112" s="178">
        <f>Y111/Y73</f>
        <v>0.14929577464788732</v>
      </c>
      <c r="Z112" s="177"/>
      <c r="AA112" s="178">
        <f>AA111/AA73</f>
        <v>0.14929577464788732</v>
      </c>
      <c r="AB112" s="177"/>
      <c r="AC112" s="178">
        <f>AC111/AC73</f>
        <v>0.14929577464788732</v>
      </c>
      <c r="AD112" s="177"/>
      <c r="AE112" s="178">
        <f>AE111/AE73</f>
        <v>0.14929577464788732</v>
      </c>
      <c r="AF112" s="620"/>
      <c r="AG112" s="662"/>
      <c r="AH112" s="177"/>
      <c r="AI112" s="178">
        <f>AI111/AI73</f>
        <v>0.14929577464788732</v>
      </c>
      <c r="AJ112" s="177"/>
      <c r="AK112" s="178">
        <f>AK111/AK73</f>
        <v>0.14929577464788732</v>
      </c>
      <c r="AL112" s="177"/>
      <c r="AM112" s="178">
        <f>AM111/AM73</f>
        <v>0.14929577464788732</v>
      </c>
      <c r="AN112" s="175"/>
      <c r="AO112" s="175"/>
      <c r="AP112" s="175"/>
      <c r="AR112" s="177"/>
      <c r="AS112" s="178">
        <f>AS111/AS73</f>
        <v>0.14929577464788732</v>
      </c>
      <c r="AT112" s="177"/>
      <c r="AU112" s="178">
        <f>AU111/AU73</f>
        <v>0.14929577464788732</v>
      </c>
      <c r="AV112" s="177"/>
      <c r="AW112" s="178">
        <f>AW111/AW73</f>
        <v>0.14929577464788732</v>
      </c>
      <c r="AX112" s="175"/>
      <c r="AY112" s="175"/>
      <c r="AZ112" s="175"/>
      <c r="BB112" s="177"/>
      <c r="BC112" s="178">
        <f>BC111/BC73</f>
        <v>0.14929577464788732</v>
      </c>
      <c r="BD112" s="177"/>
      <c r="BE112" s="178">
        <f>BE111/BE73</f>
        <v>0.14929577464788732</v>
      </c>
      <c r="BF112" s="177"/>
      <c r="BG112" s="178">
        <f>BG111/BG73</f>
        <v>0.14929577464788732</v>
      </c>
      <c r="BH112" s="175"/>
      <c r="BI112" s="175"/>
      <c r="BJ112" s="175"/>
      <c r="BL112" s="177"/>
      <c r="BM112" s="178">
        <f>BM111/BM73</f>
        <v>0.14929577464788732</v>
      </c>
      <c r="BN112" s="177"/>
      <c r="BO112" s="178">
        <f>BO111/BO73</f>
        <v>0.14929577464788732</v>
      </c>
      <c r="BP112" s="177"/>
      <c r="BQ112" s="178">
        <f>BQ111/BQ73</f>
        <v>0.14929577464788732</v>
      </c>
      <c r="BR112" s="175"/>
      <c r="BS112" s="175"/>
      <c r="BT112" s="175"/>
      <c r="BV112" s="177"/>
      <c r="BW112" s="178">
        <f>BW111/BW73</f>
        <v>0.14929577464788732</v>
      </c>
      <c r="BY112" s="177"/>
      <c r="BZ112" s="178">
        <f>BZ111/BZ73</f>
        <v>0.14929577464788732</v>
      </c>
      <c r="CA112" s="177"/>
      <c r="CB112" s="178">
        <f>CB111/CB73</f>
        <v>0.14929577464788732</v>
      </c>
      <c r="CC112" s="177"/>
      <c r="CD112" s="178">
        <f>CD111/CD73</f>
        <v>0.14929577464788732</v>
      </c>
      <c r="CF112" s="177"/>
      <c r="CG112" s="178">
        <f>CG111/CG73</f>
        <v>0.14929577464788732</v>
      </c>
      <c r="CH112" s="177"/>
      <c r="CI112" s="178">
        <f>CI111/CI73</f>
        <v>0.14929577464788732</v>
      </c>
      <c r="CJ112" s="177"/>
      <c r="CK112" s="178">
        <f>CK111/CK73</f>
        <v>0.14929577464788732</v>
      </c>
      <c r="CM112" s="177"/>
      <c r="CN112" s="178">
        <f>CN111/CN73</f>
        <v>0.14929577464788732</v>
      </c>
      <c r="CO112" s="177"/>
      <c r="CP112" s="178">
        <f>CP111/CP73</f>
        <v>0.14929577464788732</v>
      </c>
      <c r="CQ112" s="177"/>
      <c r="CR112" s="178">
        <f>CR111/CR73</f>
        <v>0.14929577464788732</v>
      </c>
      <c r="CT112" s="177"/>
      <c r="CU112" s="178">
        <f>CU111/CU73</f>
        <v>0.29700413223140498</v>
      </c>
      <c r="CV112" s="177"/>
      <c r="CW112" s="178">
        <f t="shared" ref="CW112" si="462">CW111/CW73</f>
        <v>-9.0392561983471079E-2</v>
      </c>
      <c r="CX112" s="177"/>
      <c r="CY112" s="178">
        <f t="shared" ref="CY112" si="463">CY111/CY73</f>
        <v>-9.0392561983471079E-2</v>
      </c>
      <c r="DA112" s="177"/>
      <c r="DB112" s="178">
        <f>DB111/DB73</f>
        <v>0.29700413223140498</v>
      </c>
      <c r="DC112" s="177"/>
      <c r="DD112" s="178">
        <f t="shared" ref="DD112" si="464">DD111/DD73</f>
        <v>-9.0392561983471079E-2</v>
      </c>
      <c r="DE112" s="177"/>
      <c r="DF112" s="178">
        <f t="shared" ref="DF112" si="465">DF111/DF73</f>
        <v>-9.0392561983471079E-2</v>
      </c>
      <c r="DH112" s="177"/>
      <c r="DI112" s="178">
        <f>DI111/DI73</f>
        <v>0.29700413223140498</v>
      </c>
      <c r="DJ112" s="177"/>
      <c r="DK112" s="178">
        <f t="shared" ref="DK112" si="466">DK111/DK73</f>
        <v>-9.0392561983471079E-2</v>
      </c>
      <c r="DL112" s="177"/>
      <c r="DM112" s="178">
        <f t="shared" ref="DM112" si="467">DM111/DM73</f>
        <v>-9.0392561983471079E-2</v>
      </c>
    </row>
    <row r="113" spans="1:117" s="97" customFormat="1" ht="18" hidden="1" customHeight="1" x14ac:dyDescent="0.45">
      <c r="A113" s="561"/>
      <c r="B113" s="1187"/>
      <c r="C113" s="174" t="s">
        <v>105</v>
      </c>
      <c r="D113" s="175"/>
      <c r="E113" s="176" t="s">
        <v>104</v>
      </c>
      <c r="F113" s="177"/>
      <c r="G113" s="178">
        <f>(G108-G109)/G73</f>
        <v>0.11267605633802817</v>
      </c>
      <c r="H113" s="177"/>
      <c r="I113" s="178">
        <f>(I108-I109)/I73</f>
        <v>0.11267605633802817</v>
      </c>
      <c r="J113" s="177"/>
      <c r="K113" s="178">
        <f t="shared" ref="K113" si="468">(K108-K109)/K73</f>
        <v>0.11267605633802817</v>
      </c>
      <c r="L113" s="177"/>
      <c r="M113" s="178">
        <f t="shared" ref="M113" si="469">(M108-M109)/M73</f>
        <v>0.11267605633802817</v>
      </c>
      <c r="N113" s="177"/>
      <c r="O113" s="178">
        <f>(O108-O109)/O73</f>
        <v>0.11267605633802817</v>
      </c>
      <c r="P113" s="177"/>
      <c r="Q113" s="178">
        <f>(Q108-Q109)/Q73</f>
        <v>0.11267605633802817</v>
      </c>
      <c r="R113" s="177"/>
      <c r="S113" s="178">
        <f>(S108-S109)/S73</f>
        <v>0.11267605633802817</v>
      </c>
      <c r="T113" s="177"/>
      <c r="U113" s="178">
        <f>(U108-U109)/U73</f>
        <v>0.11267605633802817</v>
      </c>
      <c r="V113" s="177"/>
      <c r="W113" s="178">
        <f>(W108-W109)/W73</f>
        <v>0.11267605633802817</v>
      </c>
      <c r="X113" s="177"/>
      <c r="Y113" s="178">
        <f>(Y108-Y109)/Y73</f>
        <v>0.11267605633802817</v>
      </c>
      <c r="Z113" s="177"/>
      <c r="AA113" s="178">
        <f>(AA108-AA109)/AA73</f>
        <v>0.11267605633802817</v>
      </c>
      <c r="AB113" s="177"/>
      <c r="AC113" s="178">
        <f>(AC108-AC109)/AC73</f>
        <v>0.11267605633802817</v>
      </c>
      <c r="AD113" s="177"/>
      <c r="AE113" s="178">
        <f>(AE108-AE109)/AE73</f>
        <v>0.11267605633802817</v>
      </c>
      <c r="AF113" s="620"/>
      <c r="AG113" s="662"/>
      <c r="AH113" s="177"/>
      <c r="AI113" s="178">
        <f>(AI108-AI109)/AI73</f>
        <v>0.11267605633802817</v>
      </c>
      <c r="AJ113" s="177"/>
      <c r="AK113" s="178">
        <f>(AK108-AK109)/AK73</f>
        <v>0.11267605633802817</v>
      </c>
      <c r="AL113" s="177"/>
      <c r="AM113" s="178">
        <f>(AM108-AM109)/AM73</f>
        <v>0.11267605633802817</v>
      </c>
      <c r="AN113" s="175"/>
      <c r="AO113" s="175"/>
      <c r="AP113" s="175"/>
      <c r="AR113" s="177"/>
      <c r="AS113" s="178">
        <f>(AS108-AS109)/AS73</f>
        <v>0.11267605633802817</v>
      </c>
      <c r="AT113" s="177"/>
      <c r="AU113" s="178">
        <f>(AU108-AU109)/AU73</f>
        <v>0.11267605633802817</v>
      </c>
      <c r="AV113" s="177"/>
      <c r="AW113" s="178">
        <f>(AW108-AW109)/AW73</f>
        <v>0.11267605633802817</v>
      </c>
      <c r="AX113" s="175"/>
      <c r="AY113" s="175"/>
      <c r="AZ113" s="175"/>
      <c r="BB113" s="177"/>
      <c r="BC113" s="178">
        <f>(BC108-BC109)/BC73</f>
        <v>0.11267605633802817</v>
      </c>
      <c r="BD113" s="177"/>
      <c r="BE113" s="178">
        <f>(BE108-BE109)/BE73</f>
        <v>0.11267605633802817</v>
      </c>
      <c r="BF113" s="177"/>
      <c r="BG113" s="178">
        <f>(BG108-BG109)/BG73</f>
        <v>0.11267605633802817</v>
      </c>
      <c r="BH113" s="175"/>
      <c r="BI113" s="175"/>
      <c r="BJ113" s="175"/>
      <c r="BL113" s="177"/>
      <c r="BM113" s="178">
        <f>(BM108-BM109)/BM73</f>
        <v>0.11267605633802817</v>
      </c>
      <c r="BN113" s="177"/>
      <c r="BO113" s="178">
        <f>(BO108-BO109)/BO73</f>
        <v>0.11267605633802817</v>
      </c>
      <c r="BP113" s="177"/>
      <c r="BQ113" s="178">
        <f>(BQ108-BQ109)/BQ73</f>
        <v>0.11267605633802817</v>
      </c>
      <c r="BR113" s="175"/>
      <c r="BS113" s="175"/>
      <c r="BT113" s="175"/>
      <c r="BV113" s="177"/>
      <c r="BW113" s="178">
        <f>(BW108-BW109)/BW73</f>
        <v>0.11267605633802817</v>
      </c>
      <c r="BY113" s="177"/>
      <c r="BZ113" s="178">
        <f>(BZ108-BZ109)/BZ73</f>
        <v>0.11267605633802817</v>
      </c>
      <c r="CA113" s="177"/>
      <c r="CB113" s="178">
        <f>(CB108-CB109)/CB73</f>
        <v>0.11267605633802817</v>
      </c>
      <c r="CC113" s="177"/>
      <c r="CD113" s="178">
        <f>(CD108-CD109)/CD73</f>
        <v>0.11267605633802817</v>
      </c>
      <c r="CF113" s="177"/>
      <c r="CG113" s="178">
        <f>(CG108-CG109)/CG73</f>
        <v>0.11267605633802817</v>
      </c>
      <c r="CH113" s="177"/>
      <c r="CI113" s="178">
        <f>(CI108-CI109)/CI73</f>
        <v>0.11267605633802817</v>
      </c>
      <c r="CJ113" s="177"/>
      <c r="CK113" s="178">
        <f>(CK108-CK109)/CK73</f>
        <v>0.11267605633802817</v>
      </c>
      <c r="CM113" s="177"/>
      <c r="CN113" s="178">
        <f>(CN108-CN109)/CN73</f>
        <v>0.11267605633802817</v>
      </c>
      <c r="CO113" s="177"/>
      <c r="CP113" s="178">
        <f>(CP108-CP109)/CP73</f>
        <v>0.11267605633802817</v>
      </c>
      <c r="CQ113" s="177"/>
      <c r="CR113" s="178">
        <f>(CR108-CR109)/CR73</f>
        <v>0.11267605633802817</v>
      </c>
      <c r="CT113" s="177"/>
      <c r="CU113" s="178">
        <f>(CU108-CU109)/CU73</f>
        <v>0.10330578512396695</v>
      </c>
      <c r="CV113" s="177"/>
      <c r="CW113" s="178">
        <f t="shared" ref="CW113" si="470">(CW108-CW109)/CW73</f>
        <v>0.10330578512396695</v>
      </c>
      <c r="CX113" s="177"/>
      <c r="CY113" s="178">
        <f t="shared" ref="CY113" si="471">(CY108-CY109)/CY73</f>
        <v>0.10330578512396695</v>
      </c>
      <c r="DA113" s="177"/>
      <c r="DB113" s="178">
        <f>(DB108-DB109)/DB73</f>
        <v>0.10330578512396695</v>
      </c>
      <c r="DC113" s="177"/>
      <c r="DD113" s="178">
        <f t="shared" ref="DD113" si="472">(DD108-DD109)/DD73</f>
        <v>0.10330578512396695</v>
      </c>
      <c r="DE113" s="177"/>
      <c r="DF113" s="178">
        <f t="shared" ref="DF113" si="473">(DF108-DF109)/DF73</f>
        <v>0.10330578512396695</v>
      </c>
      <c r="DH113" s="177"/>
      <c r="DI113" s="178">
        <f>(DI108-DI109)/DI73</f>
        <v>0.10330578512396695</v>
      </c>
      <c r="DJ113" s="177"/>
      <c r="DK113" s="178">
        <f t="shared" ref="DK113" si="474">(DK108-DK109)/DK73</f>
        <v>0.10330578512396695</v>
      </c>
      <c r="DL113" s="177"/>
      <c r="DM113" s="178">
        <f t="shared" ref="DM113" si="475">(DM108-DM109)/DM73</f>
        <v>0.10330578512396695</v>
      </c>
    </row>
    <row r="114" spans="1:117" s="4" customFormat="1" ht="18" hidden="1" customHeight="1" x14ac:dyDescent="0.45">
      <c r="A114" s="561"/>
      <c r="B114" s="1187"/>
      <c r="C114" s="170"/>
      <c r="D114" s="162"/>
      <c r="E114" s="179"/>
      <c r="F114" s="180"/>
      <c r="G114" s="181"/>
      <c r="H114" s="180"/>
      <c r="I114" s="181"/>
      <c r="J114" s="180"/>
      <c r="K114" s="181"/>
      <c r="L114" s="180"/>
      <c r="M114" s="181"/>
      <c r="N114" s="180"/>
      <c r="O114" s="181"/>
      <c r="P114" s="180"/>
      <c r="Q114" s="181"/>
      <c r="R114" s="180"/>
      <c r="S114" s="181"/>
      <c r="T114" s="180"/>
      <c r="U114" s="181"/>
      <c r="V114" s="180"/>
      <c r="W114" s="181"/>
      <c r="X114" s="180"/>
      <c r="Y114" s="181"/>
      <c r="Z114" s="180"/>
      <c r="AA114" s="181"/>
      <c r="AB114" s="180"/>
      <c r="AC114" s="181"/>
      <c r="AD114" s="180"/>
      <c r="AE114" s="181"/>
      <c r="AF114" s="620"/>
      <c r="AG114" s="639"/>
      <c r="AH114" s="180"/>
      <c r="AI114" s="181"/>
      <c r="AJ114" s="180"/>
      <c r="AK114" s="181"/>
      <c r="AL114" s="180"/>
      <c r="AM114" s="181"/>
      <c r="AN114" s="182"/>
      <c r="AO114" s="182"/>
      <c r="AP114" s="182"/>
      <c r="AR114" s="180"/>
      <c r="AS114" s="181"/>
      <c r="AT114" s="180"/>
      <c r="AU114" s="181"/>
      <c r="AV114" s="180"/>
      <c r="AW114" s="181"/>
      <c r="AX114" s="182"/>
      <c r="AY114" s="182"/>
      <c r="AZ114" s="182"/>
      <c r="BB114" s="180"/>
      <c r="BC114" s="181"/>
      <c r="BD114" s="180"/>
      <c r="BE114" s="181"/>
      <c r="BF114" s="180"/>
      <c r="BG114" s="181"/>
      <c r="BH114" s="182"/>
      <c r="BI114" s="182"/>
      <c r="BJ114" s="182"/>
      <c r="BL114" s="180"/>
      <c r="BM114" s="181"/>
      <c r="BN114" s="180"/>
      <c r="BO114" s="181"/>
      <c r="BP114" s="180"/>
      <c r="BQ114" s="181"/>
      <c r="BR114" s="182"/>
      <c r="BS114" s="182"/>
      <c r="BT114" s="182"/>
      <c r="BV114" s="180"/>
      <c r="BW114" s="181"/>
      <c r="BY114" s="180"/>
      <c r="BZ114" s="181"/>
      <c r="CA114" s="180"/>
      <c r="CB114" s="181"/>
      <c r="CC114" s="180"/>
      <c r="CD114" s="181"/>
      <c r="CF114" s="180"/>
      <c r="CG114" s="181"/>
      <c r="CH114" s="180"/>
      <c r="CI114" s="181"/>
      <c r="CJ114" s="180"/>
      <c r="CK114" s="181"/>
      <c r="CM114" s="180"/>
      <c r="CN114" s="181"/>
      <c r="CO114" s="180"/>
      <c r="CP114" s="181"/>
      <c r="CQ114" s="180"/>
      <c r="CR114" s="181"/>
      <c r="CT114" s="180"/>
      <c r="CU114" s="181"/>
      <c r="CV114" s="180"/>
      <c r="CW114" s="181"/>
      <c r="CX114" s="180"/>
      <c r="CY114" s="181"/>
      <c r="DA114" s="180"/>
      <c r="DB114" s="181"/>
      <c r="DC114" s="180"/>
      <c r="DD114" s="181"/>
      <c r="DE114" s="180"/>
      <c r="DF114" s="181"/>
      <c r="DH114" s="180"/>
      <c r="DI114" s="181"/>
      <c r="DJ114" s="180"/>
      <c r="DK114" s="181"/>
      <c r="DL114" s="180"/>
      <c r="DM114" s="181"/>
    </row>
    <row r="115" spans="1:117" s="4" customFormat="1" ht="18" hidden="1" customHeight="1" x14ac:dyDescent="0.45">
      <c r="A115" s="561"/>
      <c r="B115" s="1187"/>
      <c r="C115" s="183" t="s">
        <v>106</v>
      </c>
      <c r="D115" s="184"/>
      <c r="E115" s="185"/>
      <c r="F115" s="186"/>
      <c r="G115" s="187">
        <f>G67-(G108/G73)-G81</f>
        <v>0.85167773072365183</v>
      </c>
      <c r="H115" s="186"/>
      <c r="I115" s="187">
        <f>I67-(I108/I73)-I81</f>
        <v>0.6618403022187147</v>
      </c>
      <c r="J115" s="186"/>
      <c r="K115" s="187">
        <f t="shared" ref="K115" si="476">K67-(K108/K73)-K81</f>
        <v>0.6618403022187147</v>
      </c>
      <c r="L115" s="186"/>
      <c r="M115" s="187">
        <f t="shared" ref="M115" si="477">M67-(M108/M73)-M81</f>
        <v>0.6618403022187147</v>
      </c>
      <c r="N115" s="186"/>
      <c r="O115" s="187">
        <f>O67-(O108/O73)-O81</f>
        <v>0.88623732296696911</v>
      </c>
      <c r="P115" s="186"/>
      <c r="Q115" s="187">
        <f>Q67-(Q108/Q73)-Q81</f>
        <v>0.88623732296696911</v>
      </c>
      <c r="R115" s="186"/>
      <c r="S115" s="187">
        <f>S67-(S108/S73)-S81</f>
        <v>0.88623732296696911</v>
      </c>
      <c r="T115" s="186"/>
      <c r="U115" s="187">
        <f>U67-(U108/U73)-U81</f>
        <v>0.7270726529040541</v>
      </c>
      <c r="V115" s="186"/>
      <c r="W115" s="187">
        <f>W67-(W108/W73)-W81</f>
        <v>0.7270726529040541</v>
      </c>
      <c r="X115" s="186"/>
      <c r="Y115" s="187">
        <f>Y67-(Y108/Y73)-Y81</f>
        <v>0.7270726529040541</v>
      </c>
      <c r="Z115" s="186"/>
      <c r="AA115" s="187">
        <f>AA67-(AA108/AA73)-AA81</f>
        <v>0.49821049295774689</v>
      </c>
      <c r="AB115" s="186"/>
      <c r="AC115" s="187">
        <f>AC67-(AC108/AC73)-AC81</f>
        <v>0.49821049295774689</v>
      </c>
      <c r="AD115" s="186"/>
      <c r="AE115" s="187">
        <f>AE67-(AE108/AE73)-AE81</f>
        <v>0.49821049295774689</v>
      </c>
      <c r="AF115" s="620"/>
      <c r="AG115" s="694"/>
      <c r="AH115" s="186"/>
      <c r="AI115" s="187">
        <f>AI67-(AI108/AI73)-AI81</f>
        <v>0.90042253521126803</v>
      </c>
      <c r="AJ115" s="186"/>
      <c r="AK115" s="187">
        <f>AK67-(AK108/AK73)-AK81</f>
        <v>0.90042253521126803</v>
      </c>
      <c r="AL115" s="186"/>
      <c r="AM115" s="187">
        <f>AM67-(AM108/AM73)-AM81</f>
        <v>0.90042253521126803</v>
      </c>
      <c r="AN115" s="653"/>
      <c r="AO115" s="653"/>
      <c r="AP115" s="653"/>
      <c r="AR115" s="186"/>
      <c r="AS115" s="187">
        <f>AS67-(AS108/AS73)-AS81</f>
        <v>0.90042253521126803</v>
      </c>
      <c r="AT115" s="186"/>
      <c r="AU115" s="187">
        <f>AU67-(AU108/AU73)-AU81</f>
        <v>0.90042253521126803</v>
      </c>
      <c r="AV115" s="186"/>
      <c r="AW115" s="187">
        <f>AW67-(AW108/AW73)-AW81</f>
        <v>0.90042253521126803</v>
      </c>
      <c r="AX115" s="653"/>
      <c r="AY115" s="653"/>
      <c r="AZ115" s="653"/>
      <c r="BB115" s="186"/>
      <c r="BC115" s="187">
        <f>BC67-(BC108/BC73)-BC81</f>
        <v>0.90042253521126803</v>
      </c>
      <c r="BD115" s="186"/>
      <c r="BE115" s="187">
        <f>BE67-(BE108/BE73)-BE81</f>
        <v>0.90042253521126803</v>
      </c>
      <c r="BF115" s="186"/>
      <c r="BG115" s="187">
        <f>BG67-(BG108/BG73)-BG81</f>
        <v>0.90042253521126803</v>
      </c>
      <c r="BH115" s="653"/>
      <c r="BI115" s="653"/>
      <c r="BJ115" s="653"/>
      <c r="BL115" s="186"/>
      <c r="BM115" s="187">
        <f>BM67-(BM108/BM73)-BM81</f>
        <v>1.4478873239436618</v>
      </c>
      <c r="BN115" s="186"/>
      <c r="BO115" s="187">
        <f>BO67-(BO108/BO73)-BO81</f>
        <v>1.4478873239436618</v>
      </c>
      <c r="BP115" s="186"/>
      <c r="BQ115" s="187">
        <f>BQ67-(BQ108/BQ73)-BQ81</f>
        <v>1.4478873239436618</v>
      </c>
      <c r="BR115" s="653"/>
      <c r="BS115" s="653"/>
      <c r="BT115" s="653"/>
      <c r="BV115" s="186"/>
      <c r="BW115" s="187">
        <f>BW67-(BW108/BW73)-BW81</f>
        <v>0.66366197183098663</v>
      </c>
      <c r="BY115" s="186"/>
      <c r="BZ115" s="187">
        <f>BZ67-(BZ108/BZ73)-BZ81</f>
        <v>0.40774647887324011</v>
      </c>
      <c r="CA115" s="186"/>
      <c r="CB115" s="187">
        <f>CB67-(CB108/CB73)-CB81</f>
        <v>0.40774647887324011</v>
      </c>
      <c r="CC115" s="186"/>
      <c r="CD115" s="187">
        <f>CD67-(CD108/CD73)-CD81</f>
        <v>0.40774647887324011</v>
      </c>
      <c r="CF115" s="186"/>
      <c r="CG115" s="187">
        <f>CG67-(CG108/CG73)-CG81</f>
        <v>0.90774647887324011</v>
      </c>
      <c r="CH115" s="186"/>
      <c r="CI115" s="187">
        <f>CI67-(CI108/CI73)-CI81</f>
        <v>0.90774647887324011</v>
      </c>
      <c r="CJ115" s="186"/>
      <c r="CK115" s="187">
        <f>CK67-(CK108/CK73)-CK81</f>
        <v>0.90774647887324011</v>
      </c>
      <c r="CM115" s="186"/>
      <c r="CN115" s="187">
        <f>CN67-(CN108/CN73)-CN81</f>
        <v>0.28521126760563398</v>
      </c>
      <c r="CO115" s="186"/>
      <c r="CP115" s="187">
        <f>CP67-(CP108/CP73)-CP81</f>
        <v>0.285105017605634</v>
      </c>
      <c r="CQ115" s="186"/>
      <c r="CR115" s="187">
        <f>CR67-(CR108/CR73)-CR81</f>
        <v>0.285105017605634</v>
      </c>
      <c r="CT115" s="186"/>
      <c r="CU115" s="187">
        <f>CU67-(CU108/CU73)-CU81</f>
        <v>0.27786560368408786</v>
      </c>
      <c r="CV115" s="186"/>
      <c r="CW115" s="187">
        <f t="shared" ref="CW115" si="478">CW67-(CW108/CW73)-CW81</f>
        <v>0.66485854789896326</v>
      </c>
      <c r="CX115" s="186"/>
      <c r="CY115" s="187">
        <f t="shared" ref="CY115" si="479">CY67-(CY108/CY73)-CY81</f>
        <v>0.66485854789896326</v>
      </c>
      <c r="DA115" s="186"/>
      <c r="DB115" s="187">
        <f>DB67-(DB108/DB73)-DB81</f>
        <v>1.4278656036840882</v>
      </c>
      <c r="DC115" s="186"/>
      <c r="DD115" s="187">
        <f t="shared" ref="DD115" si="480">DD67-(DD108/DD73)-DD81</f>
        <v>1.8148585478989645</v>
      </c>
      <c r="DE115" s="186"/>
      <c r="DF115" s="187">
        <f t="shared" ref="DF115" si="481">DF67-(DF108/DF73)-DF81</f>
        <v>1.8148585478989645</v>
      </c>
      <c r="DH115" s="186"/>
      <c r="DI115" s="187">
        <f>DI67-(DI108/DI73)-DI81</f>
        <v>0.87786560368408839</v>
      </c>
      <c r="DJ115" s="186"/>
      <c r="DK115" s="187">
        <f t="shared" ref="DK115" si="482">DK67-(DK108/DK73)-DK81</f>
        <v>1.2648585478989638</v>
      </c>
      <c r="DL115" s="186"/>
      <c r="DM115" s="187">
        <f t="shared" ref="DM115" si="483">DM67-(DM108/DM73)-DM81</f>
        <v>1.2648585478989638</v>
      </c>
    </row>
    <row r="116" spans="1:117" s="4" customFormat="1" ht="18" hidden="1" customHeight="1" x14ac:dyDescent="0.45">
      <c r="A116" s="561"/>
      <c r="B116" s="1187"/>
      <c r="C116" s="190" t="s">
        <v>107</v>
      </c>
      <c r="D116" s="184"/>
      <c r="E116" s="191"/>
      <c r="F116" s="192"/>
      <c r="G116" s="193">
        <f>G115/G74</f>
        <v>0.15780041461737809</v>
      </c>
      <c r="H116" s="192"/>
      <c r="I116" s="193">
        <f>I115/I74</f>
        <v>0.1254422356047217</v>
      </c>
      <c r="J116" s="192"/>
      <c r="K116" s="193">
        <f t="shared" ref="K116" si="484">K115/K74</f>
        <v>0.1254422356047217</v>
      </c>
      <c r="L116" s="192"/>
      <c r="M116" s="193">
        <f t="shared" ref="M116" si="485">M115/M74</f>
        <v>0.1254422356047217</v>
      </c>
      <c r="N116" s="192"/>
      <c r="O116" s="193">
        <f>O115/O74</f>
        <v>0.15520793747232384</v>
      </c>
      <c r="P116" s="192"/>
      <c r="Q116" s="193">
        <f>Q115/Q74</f>
        <v>0.15520793747232384</v>
      </c>
      <c r="R116" s="192"/>
      <c r="S116" s="193">
        <f>S115/S74</f>
        <v>0.15520793747232384</v>
      </c>
      <c r="T116" s="192"/>
      <c r="U116" s="193">
        <f>U115/U74</f>
        <v>0.12733321416883608</v>
      </c>
      <c r="V116" s="192"/>
      <c r="W116" s="193">
        <f>W115/W74</f>
        <v>0.12733321416883608</v>
      </c>
      <c r="X116" s="192"/>
      <c r="Y116" s="193">
        <f>Y115/Y74</f>
        <v>0.12733321416883608</v>
      </c>
      <c r="Z116" s="192"/>
      <c r="AA116" s="193">
        <f>AA115/AA74</f>
        <v>8.7252275474211369E-2</v>
      </c>
      <c r="AB116" s="192"/>
      <c r="AC116" s="193">
        <f>AC115/AC74</f>
        <v>8.7252275474211369E-2</v>
      </c>
      <c r="AD116" s="192"/>
      <c r="AE116" s="193">
        <f>AE115/AE74</f>
        <v>8.7252275474211369E-2</v>
      </c>
      <c r="AF116" s="620"/>
      <c r="AG116" s="695"/>
      <c r="AH116" s="192"/>
      <c r="AI116" s="193">
        <f>AI115/AI74</f>
        <v>0.14932380351762323</v>
      </c>
      <c r="AJ116" s="192"/>
      <c r="AK116" s="193">
        <f>AK115/AK74</f>
        <v>0.14932380351762323</v>
      </c>
      <c r="AL116" s="192"/>
      <c r="AM116" s="193">
        <f>AM115/AM74</f>
        <v>0.14932380351762323</v>
      </c>
      <c r="AN116" s="654"/>
      <c r="AO116" s="654"/>
      <c r="AP116" s="654"/>
      <c r="AR116" s="192"/>
      <c r="AS116" s="193">
        <f>AS115/AS74</f>
        <v>0.14932380351762323</v>
      </c>
      <c r="AT116" s="192"/>
      <c r="AU116" s="193">
        <f>AU115/AU74</f>
        <v>0.14932380351762323</v>
      </c>
      <c r="AV116" s="192"/>
      <c r="AW116" s="193">
        <f>AW115/AW74</f>
        <v>0.14932380351762323</v>
      </c>
      <c r="AX116" s="654"/>
      <c r="AY116" s="654"/>
      <c r="AZ116" s="654"/>
      <c r="BB116" s="192"/>
      <c r="BC116" s="193">
        <f>BC115/BC74</f>
        <v>0.14932380351762323</v>
      </c>
      <c r="BD116" s="192"/>
      <c r="BE116" s="193">
        <f>BE115/BE74</f>
        <v>0.14932380351762323</v>
      </c>
      <c r="BF116" s="192"/>
      <c r="BG116" s="193">
        <f>BG115/BG74</f>
        <v>0.14932380351762323</v>
      </c>
      <c r="BH116" s="654"/>
      <c r="BI116" s="654"/>
      <c r="BJ116" s="654"/>
      <c r="BL116" s="192"/>
      <c r="BM116" s="193">
        <f>BM115/BM74</f>
        <v>0.2193768672641912</v>
      </c>
      <c r="BN116" s="192"/>
      <c r="BO116" s="193">
        <f>BO115/BO74</f>
        <v>0.2193768672641912</v>
      </c>
      <c r="BP116" s="192"/>
      <c r="BQ116" s="193">
        <f>BQ115/BQ74</f>
        <v>0.2193768672641912</v>
      </c>
      <c r="BR116" s="654"/>
      <c r="BS116" s="654"/>
      <c r="BT116" s="654"/>
      <c r="BV116" s="192"/>
      <c r="BW116" s="193">
        <f>BW115/BW74</f>
        <v>0.10055484421681617</v>
      </c>
      <c r="BY116" s="192"/>
      <c r="BZ116" s="193">
        <f>BZ115/BZ74</f>
        <v>6.5239436619718413E-2</v>
      </c>
      <c r="CA116" s="192"/>
      <c r="CB116" s="193">
        <f>CB115/CB74</f>
        <v>6.5239436619718413E-2</v>
      </c>
      <c r="CC116" s="192"/>
      <c r="CD116" s="193">
        <f>CD115/CD74</f>
        <v>6.5239436619718413E-2</v>
      </c>
      <c r="CF116" s="192"/>
      <c r="CG116" s="193">
        <f>CG115/CG74</f>
        <v>0.13448095983307262</v>
      </c>
      <c r="CH116" s="192"/>
      <c r="CI116" s="193">
        <f>CI115/CI74</f>
        <v>0.13448095983307262</v>
      </c>
      <c r="CJ116" s="192"/>
      <c r="CK116" s="193">
        <f>CK115/CK74</f>
        <v>0.13448095983307262</v>
      </c>
      <c r="CM116" s="192"/>
      <c r="CN116" s="193">
        <f>CN115/CN74</f>
        <v>4.225352112676059E-2</v>
      </c>
      <c r="CO116" s="192"/>
      <c r="CP116" s="193">
        <f>CP115/CP74</f>
        <v>4.2237780386019851E-2</v>
      </c>
      <c r="CQ116" s="192"/>
      <c r="CR116" s="193">
        <f>CR115/CR74</f>
        <v>4.2237780386019851E-2</v>
      </c>
      <c r="CT116" s="192"/>
      <c r="CU116" s="193">
        <f>CU115/CU74</f>
        <v>4.210084904304362E-2</v>
      </c>
      <c r="CV116" s="192"/>
      <c r="CW116" s="193">
        <f t="shared" ref="CW116" si="486">CW115/CW74</f>
        <v>0.10073614362105504</v>
      </c>
      <c r="CX116" s="192"/>
      <c r="CY116" s="193">
        <f t="shared" ref="CY116" si="487">CY115/CY74</f>
        <v>0.10073614362105504</v>
      </c>
      <c r="DA116" s="192"/>
      <c r="DB116" s="193">
        <f>DB115/DB74</f>
        <v>0.18424072305601139</v>
      </c>
      <c r="DC116" s="192"/>
      <c r="DD116" s="193">
        <f t="shared" ref="DD116" si="488">DD115/DD74</f>
        <v>0.23417529650309218</v>
      </c>
      <c r="DE116" s="192"/>
      <c r="DF116" s="193">
        <f t="shared" ref="DF116" si="489">DF115/DF74</f>
        <v>0.23417529650309218</v>
      </c>
      <c r="DH116" s="192"/>
      <c r="DI116" s="193">
        <f>DI115/DI74</f>
        <v>0.12192577828945672</v>
      </c>
      <c r="DJ116" s="192"/>
      <c r="DK116" s="193">
        <f t="shared" ref="DK116" si="490">DK115/DK74</f>
        <v>0.17567479831930052</v>
      </c>
      <c r="DL116" s="192"/>
      <c r="DM116" s="193">
        <f t="shared" ref="DM116" si="491">DM115/DM74</f>
        <v>0.17567479831930052</v>
      </c>
    </row>
    <row r="117" spans="1:117" s="162" customFormat="1" ht="18" hidden="1" customHeight="1" x14ac:dyDescent="0.45">
      <c r="A117" s="561"/>
      <c r="B117" s="1187"/>
      <c r="C117" s="196"/>
      <c r="E117" s="197"/>
      <c r="F117" s="164"/>
      <c r="G117" s="198"/>
      <c r="H117" s="164"/>
      <c r="I117" s="198"/>
      <c r="J117" s="164"/>
      <c r="K117" s="198"/>
      <c r="L117" s="164"/>
      <c r="M117" s="198"/>
      <c r="N117" s="164"/>
      <c r="O117" s="198"/>
      <c r="P117" s="164"/>
      <c r="Q117" s="198"/>
      <c r="R117" s="164"/>
      <c r="S117" s="198"/>
      <c r="T117" s="164"/>
      <c r="U117" s="198"/>
      <c r="V117" s="164"/>
      <c r="W117" s="198"/>
      <c r="X117" s="164"/>
      <c r="Y117" s="198"/>
      <c r="Z117" s="164"/>
      <c r="AA117" s="198"/>
      <c r="AB117" s="164"/>
      <c r="AC117" s="198"/>
      <c r="AD117" s="164"/>
      <c r="AE117" s="198"/>
      <c r="AF117" s="620"/>
      <c r="AG117" s="695"/>
      <c r="AH117" s="164"/>
      <c r="AI117" s="198"/>
      <c r="AJ117" s="164"/>
      <c r="AK117" s="198"/>
      <c r="AL117" s="164"/>
      <c r="AM117" s="198"/>
      <c r="AN117" s="655"/>
      <c r="AO117" s="655"/>
      <c r="AP117" s="655"/>
      <c r="AR117" s="164"/>
      <c r="AS117" s="198"/>
      <c r="AT117" s="164"/>
      <c r="AU117" s="198"/>
      <c r="AV117" s="164"/>
      <c r="AW117" s="198"/>
      <c r="AX117" s="655"/>
      <c r="AY117" s="655"/>
      <c r="AZ117" s="655"/>
      <c r="BB117" s="164"/>
      <c r="BC117" s="198"/>
      <c r="BD117" s="164"/>
      <c r="BE117" s="198"/>
      <c r="BF117" s="164"/>
      <c r="BG117" s="198"/>
      <c r="BH117" s="655"/>
      <c r="BI117" s="655"/>
      <c r="BJ117" s="655"/>
      <c r="BL117" s="164"/>
      <c r="BM117" s="198"/>
      <c r="BN117" s="164"/>
      <c r="BO117" s="198"/>
      <c r="BP117" s="164"/>
      <c r="BQ117" s="198"/>
      <c r="BR117" s="655"/>
      <c r="BS117" s="655"/>
      <c r="BT117" s="655"/>
      <c r="BV117" s="164"/>
      <c r="BW117" s="198"/>
      <c r="BY117" s="164"/>
      <c r="BZ117" s="198"/>
      <c r="CA117" s="164"/>
      <c r="CB117" s="198"/>
      <c r="CC117" s="164"/>
      <c r="CD117" s="198"/>
      <c r="CF117" s="164"/>
      <c r="CG117" s="198"/>
      <c r="CH117" s="164"/>
      <c r="CI117" s="198"/>
      <c r="CJ117" s="164"/>
      <c r="CK117" s="198"/>
      <c r="CM117" s="164"/>
      <c r="CN117" s="198"/>
      <c r="CO117" s="164"/>
      <c r="CP117" s="198"/>
      <c r="CQ117" s="164"/>
      <c r="CR117" s="198"/>
      <c r="CT117" s="164"/>
      <c r="CU117" s="198"/>
      <c r="CV117" s="164"/>
      <c r="CW117" s="198"/>
      <c r="CX117" s="164"/>
      <c r="CY117" s="198"/>
      <c r="DA117" s="164"/>
      <c r="DB117" s="198"/>
      <c r="DC117" s="164"/>
      <c r="DD117" s="198"/>
      <c r="DE117" s="164"/>
      <c r="DF117" s="198"/>
      <c r="DH117" s="164"/>
      <c r="DI117" s="198"/>
      <c r="DJ117" s="164"/>
      <c r="DK117" s="198"/>
      <c r="DL117" s="164"/>
      <c r="DM117" s="198"/>
    </row>
    <row r="118" spans="1:117" s="4" customFormat="1" ht="18" hidden="1" customHeight="1" x14ac:dyDescent="0.45">
      <c r="A118" s="561"/>
      <c r="B118" s="1187"/>
      <c r="C118" s="183" t="s">
        <v>108</v>
      </c>
      <c r="D118" s="184"/>
      <c r="E118" s="185"/>
      <c r="F118" s="186"/>
      <c r="G118" s="187">
        <f>G67-(G109/G73)-G81</f>
        <v>0.96435378706167985</v>
      </c>
      <c r="H118" s="186"/>
      <c r="I118" s="187">
        <f>I67-(I109/I73)-I81</f>
        <v>0.77451635855674272</v>
      </c>
      <c r="J118" s="186"/>
      <c r="K118" s="187">
        <f t="shared" ref="K118" si="492">K67-(K109/K73)-K81</f>
        <v>0.77451635855674272</v>
      </c>
      <c r="L118" s="186"/>
      <c r="M118" s="187">
        <f t="shared" ref="M118" si="493">M67-(M109/M73)-M81</f>
        <v>0.77451635855674272</v>
      </c>
      <c r="N118" s="186"/>
      <c r="O118" s="187">
        <f>O67-(O109/O73)-O81</f>
        <v>0.99891337930499713</v>
      </c>
      <c r="P118" s="186"/>
      <c r="Q118" s="187">
        <f>Q67-(Q109/Q73)-Q81</f>
        <v>0.99891337930499713</v>
      </c>
      <c r="R118" s="186"/>
      <c r="S118" s="187">
        <f>S67-(S109/S73)-S81</f>
        <v>0.99891337930499713</v>
      </c>
      <c r="T118" s="186"/>
      <c r="U118" s="187">
        <f>U67-(U109/U73)-U81</f>
        <v>0.83974870924208211</v>
      </c>
      <c r="V118" s="186"/>
      <c r="W118" s="187">
        <f>W67-(W109/W73)-W81</f>
        <v>0.83974870924208211</v>
      </c>
      <c r="X118" s="186"/>
      <c r="Y118" s="187">
        <f>Y67-(Y109/Y73)-Y81</f>
        <v>0.83974870924208211</v>
      </c>
      <c r="Z118" s="186"/>
      <c r="AA118" s="187">
        <f>AA67-(AA109/AA73)-AA81</f>
        <v>0.61088654929577491</v>
      </c>
      <c r="AB118" s="186"/>
      <c r="AC118" s="187">
        <f>AC67-(AC109/AC73)-AC81</f>
        <v>0.61088654929577491</v>
      </c>
      <c r="AD118" s="186"/>
      <c r="AE118" s="187">
        <f>AE67-(AE109/AE73)-AE81</f>
        <v>0.61088654929577491</v>
      </c>
      <c r="AF118" s="620"/>
      <c r="AG118" s="694"/>
      <c r="AH118" s="186"/>
      <c r="AI118" s="187">
        <f>AI67-(AI109/AI73)-AI81</f>
        <v>1.013098591549296</v>
      </c>
      <c r="AJ118" s="186"/>
      <c r="AK118" s="187">
        <f>AK67-(AK109/AK73)-AK81</f>
        <v>1.013098591549296</v>
      </c>
      <c r="AL118" s="186"/>
      <c r="AM118" s="187">
        <f>AM67-(AM109/AM73)-AM81</f>
        <v>1.013098591549296</v>
      </c>
      <c r="AN118" s="653"/>
      <c r="AO118" s="653"/>
      <c r="AP118" s="653"/>
      <c r="AR118" s="186"/>
      <c r="AS118" s="187">
        <f>AS67-(AS109/AS73)-AS81</f>
        <v>1.013098591549296</v>
      </c>
      <c r="AT118" s="186"/>
      <c r="AU118" s="187">
        <f>AU67-(AU109/AU73)-AU81</f>
        <v>1.013098591549296</v>
      </c>
      <c r="AV118" s="186"/>
      <c r="AW118" s="187">
        <f>AW67-(AW109/AW73)-AW81</f>
        <v>1.013098591549296</v>
      </c>
      <c r="AX118" s="653"/>
      <c r="AY118" s="653"/>
      <c r="AZ118" s="653"/>
      <c r="BB118" s="186"/>
      <c r="BC118" s="187">
        <f>BC67-(BC109/BC73)-BC81</f>
        <v>1.013098591549296</v>
      </c>
      <c r="BD118" s="186"/>
      <c r="BE118" s="187">
        <f>BE67-(BE109/BE73)-BE81</f>
        <v>1.013098591549296</v>
      </c>
      <c r="BF118" s="186"/>
      <c r="BG118" s="187">
        <f>BG67-(BG109/BG73)-BG81</f>
        <v>1.013098591549296</v>
      </c>
      <c r="BH118" s="653"/>
      <c r="BI118" s="653"/>
      <c r="BJ118" s="653"/>
      <c r="BL118" s="186"/>
      <c r="BM118" s="187">
        <f>BM67-(BM109/BM73)-BM81</f>
        <v>1.5605633802816898</v>
      </c>
      <c r="BN118" s="186"/>
      <c r="BO118" s="187">
        <f>BO67-(BO109/BO73)-BO81</f>
        <v>1.5605633802816898</v>
      </c>
      <c r="BP118" s="186"/>
      <c r="BQ118" s="187">
        <f>BQ67-(BQ109/BQ73)-BQ81</f>
        <v>1.5605633802816898</v>
      </c>
      <c r="BR118" s="653"/>
      <c r="BS118" s="653"/>
      <c r="BT118" s="653"/>
      <c r="BV118" s="186"/>
      <c r="BW118" s="187">
        <f>BW67-(BW109/BW73)-BW81</f>
        <v>0.77633802816901465</v>
      </c>
      <c r="BY118" s="186"/>
      <c r="BZ118" s="187">
        <f>BZ67-(BZ109/BZ73)-BZ81</f>
        <v>0.52042253521126813</v>
      </c>
      <c r="CA118" s="186"/>
      <c r="CB118" s="187">
        <f>CB67-(CB109/CB73)-CB81</f>
        <v>0.52042253521126813</v>
      </c>
      <c r="CC118" s="186"/>
      <c r="CD118" s="187">
        <f>CD67-(CD109/CD73)-CD81</f>
        <v>0.52042253521126813</v>
      </c>
      <c r="CF118" s="186"/>
      <c r="CG118" s="187">
        <f>CG67-(CG109/CG73)-CG81</f>
        <v>1.0204225352112681</v>
      </c>
      <c r="CH118" s="186"/>
      <c r="CI118" s="187">
        <f>CI67-(CI109/CI73)-CI81</f>
        <v>1.0204225352112681</v>
      </c>
      <c r="CJ118" s="186"/>
      <c r="CK118" s="187">
        <f>CK67-(CK109/CK73)-CK81</f>
        <v>1.0204225352112681</v>
      </c>
      <c r="CM118" s="186"/>
      <c r="CN118" s="187">
        <f>CN67-(CN109/CN73)-CN81</f>
        <v>0.397887323943662</v>
      </c>
      <c r="CO118" s="186"/>
      <c r="CP118" s="187">
        <f>CP67-(CP109/CP73)-CP81</f>
        <v>0.39778107394366202</v>
      </c>
      <c r="CQ118" s="186"/>
      <c r="CR118" s="187">
        <f>CR67-(CR109/CR73)-CR81</f>
        <v>0.39778107394366202</v>
      </c>
      <c r="CT118" s="186"/>
      <c r="CU118" s="187">
        <f>CU67-(CU109/CU73)-CU81</f>
        <v>0.38117138880805435</v>
      </c>
      <c r="CV118" s="186"/>
      <c r="CW118" s="187">
        <f t="shared" ref="CW118" si="494">CW67-(CW109/CW73)-CW81</f>
        <v>0.76816433302292975</v>
      </c>
      <c r="CX118" s="186"/>
      <c r="CY118" s="187">
        <f t="shared" ref="CY118" si="495">CY67-(CY109/CY73)-CY81</f>
        <v>0.76816433302292975</v>
      </c>
      <c r="DA118" s="186"/>
      <c r="DB118" s="187">
        <f>DB67-(DB109/DB73)-DB81</f>
        <v>1.5311713888080547</v>
      </c>
      <c r="DC118" s="186"/>
      <c r="DD118" s="187">
        <f t="shared" ref="DD118" si="496">DD67-(DD109/DD73)-DD81</f>
        <v>1.918164333022931</v>
      </c>
      <c r="DE118" s="186"/>
      <c r="DF118" s="187">
        <f t="shared" ref="DF118" si="497">DF67-(DF109/DF73)-DF81</f>
        <v>1.918164333022931</v>
      </c>
      <c r="DH118" s="186"/>
      <c r="DI118" s="187">
        <f>DI67-(DI109/DI73)-DI81</f>
        <v>0.98117138880805488</v>
      </c>
      <c r="DJ118" s="186"/>
      <c r="DK118" s="187">
        <f t="shared" ref="DK118" si="498">DK67-(DK109/DK73)-DK81</f>
        <v>1.3681643330229303</v>
      </c>
      <c r="DL118" s="186"/>
      <c r="DM118" s="187">
        <f t="shared" ref="DM118" si="499">DM67-(DM109/DM73)-DM81</f>
        <v>1.3681643330229303</v>
      </c>
    </row>
    <row r="119" spans="1:117" s="4" customFormat="1" ht="18" hidden="1" customHeight="1" x14ac:dyDescent="0.45">
      <c r="A119" s="561"/>
      <c r="B119" s="1187"/>
      <c r="C119" s="190" t="s">
        <v>109</v>
      </c>
      <c r="D119" s="184"/>
      <c r="E119" s="191"/>
      <c r="F119" s="192"/>
      <c r="G119" s="193">
        <f>G118/G74</f>
        <v>0.17867724133971627</v>
      </c>
      <c r="H119" s="192"/>
      <c r="I119" s="193">
        <f>I118/I74</f>
        <v>0.14679834879212156</v>
      </c>
      <c r="J119" s="192"/>
      <c r="K119" s="193">
        <f t="shared" ref="K119" si="500">K118/K74</f>
        <v>0.14679834879212156</v>
      </c>
      <c r="L119" s="192"/>
      <c r="M119" s="193">
        <f t="shared" ref="M119" si="501">M118/M74</f>
        <v>0.14679834879212156</v>
      </c>
      <c r="N119" s="192"/>
      <c r="O119" s="193">
        <f>O118/O74</f>
        <v>0.17494104716374731</v>
      </c>
      <c r="P119" s="192"/>
      <c r="Q119" s="193">
        <f>Q118/Q74</f>
        <v>0.17494104716374731</v>
      </c>
      <c r="R119" s="192"/>
      <c r="S119" s="193">
        <f>S118/S74</f>
        <v>0.17494104716374731</v>
      </c>
      <c r="T119" s="192"/>
      <c r="U119" s="193">
        <f>U118/U74</f>
        <v>0.14706632386025956</v>
      </c>
      <c r="V119" s="192"/>
      <c r="W119" s="193">
        <f>W118/W74</f>
        <v>0.14706632386025956</v>
      </c>
      <c r="X119" s="192"/>
      <c r="Y119" s="193">
        <f>Y118/Y74</f>
        <v>0.14706632386025956</v>
      </c>
      <c r="Z119" s="192"/>
      <c r="AA119" s="193">
        <f>AA118/AA74</f>
        <v>0.10698538516563484</v>
      </c>
      <c r="AB119" s="192"/>
      <c r="AC119" s="193">
        <f>AC118/AC74</f>
        <v>0.10698538516563484</v>
      </c>
      <c r="AD119" s="192"/>
      <c r="AE119" s="193">
        <f>AE118/AE74</f>
        <v>0.10698538516563484</v>
      </c>
      <c r="AF119" s="620"/>
      <c r="AG119" s="695"/>
      <c r="AH119" s="192"/>
      <c r="AI119" s="193">
        <f>AI118/AI74</f>
        <v>0.1680097166748418</v>
      </c>
      <c r="AJ119" s="192"/>
      <c r="AK119" s="193">
        <f>AK118/AK74</f>
        <v>0.1680097166748418</v>
      </c>
      <c r="AL119" s="192"/>
      <c r="AM119" s="193">
        <f>AM118/AM74</f>
        <v>0.1680097166748418</v>
      </c>
      <c r="AN119" s="654"/>
      <c r="AO119" s="654"/>
      <c r="AP119" s="654"/>
      <c r="AR119" s="192"/>
      <c r="AS119" s="193">
        <f>AS118/AS74</f>
        <v>0.1680097166748418</v>
      </c>
      <c r="AT119" s="192"/>
      <c r="AU119" s="193">
        <f>AU118/AU74</f>
        <v>0.1680097166748418</v>
      </c>
      <c r="AV119" s="192"/>
      <c r="AW119" s="193">
        <f>AW118/AW74</f>
        <v>0.1680097166748418</v>
      </c>
      <c r="AX119" s="654"/>
      <c r="AY119" s="654"/>
      <c r="AZ119" s="654"/>
      <c r="BB119" s="192"/>
      <c r="BC119" s="193">
        <f>BC118/BC74</f>
        <v>0.1680097166748418</v>
      </c>
      <c r="BD119" s="192"/>
      <c r="BE119" s="193">
        <f>BE118/BE74</f>
        <v>0.1680097166748418</v>
      </c>
      <c r="BF119" s="192"/>
      <c r="BG119" s="193">
        <f>BG118/BG74</f>
        <v>0.1680097166748418</v>
      </c>
      <c r="BH119" s="654"/>
      <c r="BI119" s="654"/>
      <c r="BJ119" s="654"/>
      <c r="BL119" s="192"/>
      <c r="BM119" s="193">
        <f>BM118/BM74</f>
        <v>0.23644899701237726</v>
      </c>
      <c r="BN119" s="192"/>
      <c r="BO119" s="193">
        <f>BO118/BO74</f>
        <v>0.23644899701237726</v>
      </c>
      <c r="BP119" s="192"/>
      <c r="BQ119" s="193">
        <f>BQ118/BQ74</f>
        <v>0.23644899701237726</v>
      </c>
      <c r="BR119" s="654"/>
      <c r="BS119" s="654"/>
      <c r="BT119" s="654"/>
      <c r="BV119" s="192"/>
      <c r="BW119" s="193">
        <f>BW118/BW74</f>
        <v>0.11762697396500223</v>
      </c>
      <c r="BY119" s="192"/>
      <c r="BZ119" s="193">
        <f>BZ118/BZ74</f>
        <v>8.3267605633802907E-2</v>
      </c>
      <c r="CA119" s="192"/>
      <c r="CB119" s="193">
        <f>CB118/CB74</f>
        <v>8.3267605633802907E-2</v>
      </c>
      <c r="CC119" s="192"/>
      <c r="CD119" s="193">
        <f>CD118/CD74</f>
        <v>8.3267605633802907E-2</v>
      </c>
      <c r="CF119" s="192"/>
      <c r="CG119" s="193">
        <f>CG118/CG74</f>
        <v>0.15117370892018786</v>
      </c>
      <c r="CH119" s="192"/>
      <c r="CI119" s="193">
        <f>CI118/CI74</f>
        <v>0.15117370892018786</v>
      </c>
      <c r="CJ119" s="192"/>
      <c r="CK119" s="193">
        <f>CK118/CK74</f>
        <v>0.15117370892018786</v>
      </c>
      <c r="CM119" s="192"/>
      <c r="CN119" s="193">
        <f>CN118/CN74</f>
        <v>5.894627021387585E-2</v>
      </c>
      <c r="CO119" s="192"/>
      <c r="CP119" s="193">
        <f>CP118/CP74</f>
        <v>5.8930529473135117E-2</v>
      </c>
      <c r="CQ119" s="192"/>
      <c r="CR119" s="193">
        <f>CR118/CR74</f>
        <v>5.8930529473135117E-2</v>
      </c>
      <c r="CT119" s="192"/>
      <c r="CU119" s="193">
        <f>CU118/CU74</f>
        <v>5.7753240728493083E-2</v>
      </c>
      <c r="CV119" s="192"/>
      <c r="CW119" s="193">
        <f t="shared" ref="CW119" si="502">CW118/CW74</f>
        <v>0.11638853530650452</v>
      </c>
      <c r="CX119" s="192"/>
      <c r="CY119" s="193">
        <f t="shared" ref="CY119" si="503">CY118/CY74</f>
        <v>0.11638853530650452</v>
      </c>
      <c r="DA119" s="192"/>
      <c r="DB119" s="193">
        <f>DB118/DB74</f>
        <v>0.19757050178168448</v>
      </c>
      <c r="DC119" s="192"/>
      <c r="DD119" s="193">
        <f t="shared" ref="DD119" si="504">DD118/DD74</f>
        <v>0.24750507522876528</v>
      </c>
      <c r="DE119" s="192"/>
      <c r="DF119" s="193">
        <f t="shared" ref="DF119" si="505">DF118/DF74</f>
        <v>0.24750507522876528</v>
      </c>
      <c r="DH119" s="192"/>
      <c r="DI119" s="193">
        <f>DI118/DI74</f>
        <v>0.13627380400111874</v>
      </c>
      <c r="DJ119" s="192"/>
      <c r="DK119" s="193">
        <f t="shared" ref="DK119" si="506">DK118/DK74</f>
        <v>0.19002282403096254</v>
      </c>
      <c r="DL119" s="192"/>
      <c r="DM119" s="193">
        <f t="shared" ref="DM119" si="507">DM118/DM74</f>
        <v>0.19002282403096254</v>
      </c>
    </row>
    <row r="120" spans="1:117" s="4" customFormat="1" ht="18" hidden="1" customHeight="1" x14ac:dyDescent="0.45">
      <c r="A120" s="561"/>
      <c r="B120" s="1187"/>
      <c r="C120" s="170"/>
      <c r="D120" s="162"/>
      <c r="E120" s="197"/>
      <c r="F120" s="173"/>
      <c r="G120" s="165"/>
      <c r="H120" s="173"/>
      <c r="I120" s="165"/>
      <c r="J120" s="173"/>
      <c r="K120" s="165"/>
      <c r="L120" s="173"/>
      <c r="M120" s="165"/>
      <c r="N120" s="173"/>
      <c r="O120" s="165"/>
      <c r="P120" s="173"/>
      <c r="Q120" s="165"/>
      <c r="R120" s="173"/>
      <c r="S120" s="165"/>
      <c r="T120" s="173"/>
      <c r="U120" s="165"/>
      <c r="V120" s="173"/>
      <c r="W120" s="165"/>
      <c r="X120" s="173"/>
      <c r="Y120" s="165"/>
      <c r="Z120" s="173"/>
      <c r="AA120" s="165"/>
      <c r="AB120" s="173"/>
      <c r="AC120" s="165"/>
      <c r="AD120" s="173"/>
      <c r="AE120" s="165"/>
      <c r="AF120" s="620"/>
      <c r="AG120" s="630"/>
      <c r="AH120" s="173"/>
      <c r="AI120" s="165"/>
      <c r="AJ120" s="173"/>
      <c r="AK120" s="165"/>
      <c r="AL120" s="173"/>
      <c r="AM120" s="165"/>
      <c r="AN120" s="166"/>
      <c r="AO120" s="166"/>
      <c r="AP120" s="166"/>
      <c r="AR120" s="173"/>
      <c r="AS120" s="165"/>
      <c r="AT120" s="173"/>
      <c r="AU120" s="165"/>
      <c r="AV120" s="173"/>
      <c r="AW120" s="165"/>
      <c r="AX120" s="166"/>
      <c r="AY120" s="166"/>
      <c r="AZ120" s="166"/>
      <c r="BB120" s="173"/>
      <c r="BC120" s="165"/>
      <c r="BD120" s="173"/>
      <c r="BE120" s="165"/>
      <c r="BF120" s="173"/>
      <c r="BG120" s="165"/>
      <c r="BH120" s="166"/>
      <c r="BI120" s="166"/>
      <c r="BJ120" s="166"/>
      <c r="BL120" s="173"/>
      <c r="BM120" s="165"/>
      <c r="BN120" s="173"/>
      <c r="BO120" s="165"/>
      <c r="BP120" s="173"/>
      <c r="BQ120" s="165"/>
      <c r="BR120" s="166"/>
      <c r="BS120" s="166"/>
      <c r="BT120" s="166"/>
      <c r="BV120" s="173"/>
      <c r="BW120" s="165"/>
      <c r="BY120" s="173"/>
      <c r="BZ120" s="165"/>
      <c r="CA120" s="173"/>
      <c r="CB120" s="165"/>
      <c r="CC120" s="173"/>
      <c r="CD120" s="165"/>
      <c r="CF120" s="173"/>
      <c r="CG120" s="165"/>
      <c r="CH120" s="173"/>
      <c r="CI120" s="165"/>
      <c r="CJ120" s="173"/>
      <c r="CK120" s="165"/>
      <c r="CM120" s="173"/>
      <c r="CN120" s="165"/>
      <c r="CO120" s="173"/>
      <c r="CP120" s="165"/>
      <c r="CQ120" s="173"/>
      <c r="CR120" s="165"/>
      <c r="CT120" s="173"/>
      <c r="CU120" s="165"/>
      <c r="CV120" s="173"/>
      <c r="CW120" s="165"/>
      <c r="CX120" s="173"/>
      <c r="CY120" s="165"/>
      <c r="DA120" s="173"/>
      <c r="DB120" s="165"/>
      <c r="DC120" s="173"/>
      <c r="DD120" s="165"/>
      <c r="DE120" s="173"/>
      <c r="DF120" s="165"/>
      <c r="DH120" s="173"/>
      <c r="DI120" s="165"/>
      <c r="DJ120" s="173"/>
      <c r="DK120" s="165"/>
      <c r="DL120" s="173"/>
      <c r="DM120" s="165"/>
    </row>
    <row r="121" spans="1:117" s="65" customFormat="1" ht="18" hidden="1" customHeight="1" outlineLevel="1" x14ac:dyDescent="0.45">
      <c r="A121" s="561"/>
      <c r="B121" s="199"/>
      <c r="C121" s="200" t="s">
        <v>110</v>
      </c>
      <c r="D121" s="201"/>
      <c r="E121" s="201"/>
      <c r="F121" s="202" t="s">
        <v>111</v>
      </c>
      <c r="G121" s="203">
        <f>G123/G86</f>
        <v>455.14969428631667</v>
      </c>
      <c r="H121" s="202" t="s">
        <v>111</v>
      </c>
      <c r="I121" s="203">
        <f>I123/I86</f>
        <v>455.14969428631667</v>
      </c>
      <c r="J121" s="202" t="s">
        <v>111</v>
      </c>
      <c r="K121" s="203">
        <f t="shared" ref="K121" si="508">K123/K86</f>
        <v>455.14969428631667</v>
      </c>
      <c r="L121" s="202" t="s">
        <v>111</v>
      </c>
      <c r="M121" s="203">
        <f t="shared" ref="M121" si="509">M123/M86</f>
        <v>455.14969428631667</v>
      </c>
      <c r="N121" s="202" t="s">
        <v>111</v>
      </c>
      <c r="O121" s="203">
        <f>O123/O86</f>
        <v>455.72183098591552</v>
      </c>
      <c r="P121" s="202" t="s">
        <v>111</v>
      </c>
      <c r="Q121" s="203">
        <f>Q123/Q86</f>
        <v>455.72183098591552</v>
      </c>
      <c r="R121" s="202" t="s">
        <v>111</v>
      </c>
      <c r="S121" s="203">
        <f>S123/S86</f>
        <v>455.72183098591552</v>
      </c>
      <c r="T121" s="202" t="s">
        <v>111</v>
      </c>
      <c r="U121" s="203">
        <f>U123/U86</f>
        <v>455.72183098591552</v>
      </c>
      <c r="V121" s="202" t="s">
        <v>111</v>
      </c>
      <c r="W121" s="203">
        <f>W123/W86</f>
        <v>455.72183098591552</v>
      </c>
      <c r="X121" s="202" t="s">
        <v>111</v>
      </c>
      <c r="Y121" s="203">
        <f>Y123/Y86</f>
        <v>455.72183098591552</v>
      </c>
      <c r="Z121" s="202" t="s">
        <v>111</v>
      </c>
      <c r="AA121" s="203">
        <f>AA123/AA86</f>
        <v>455.72183098591552</v>
      </c>
      <c r="AB121" s="202" t="s">
        <v>111</v>
      </c>
      <c r="AC121" s="203">
        <f>AC123/AC86</f>
        <v>455.72183098591552</v>
      </c>
      <c r="AD121" s="202" t="s">
        <v>111</v>
      </c>
      <c r="AE121" s="203">
        <f>AE123/AE86</f>
        <v>455.72183098591552</v>
      </c>
      <c r="AF121" s="620"/>
      <c r="AG121" s="696"/>
      <c r="AH121" s="202" t="s">
        <v>111</v>
      </c>
      <c r="AI121" s="203">
        <f>AI123/AI86</f>
        <v>455.72183098591552</v>
      </c>
      <c r="AJ121" s="202" t="s">
        <v>111</v>
      </c>
      <c r="AK121" s="203">
        <f>AK123/AK86</f>
        <v>455.72183098591552</v>
      </c>
      <c r="AL121" s="202" t="s">
        <v>111</v>
      </c>
      <c r="AM121" s="203">
        <f>AM123/AM86</f>
        <v>455.72183098591552</v>
      </c>
      <c r="AN121" s="656"/>
      <c r="AO121" s="656"/>
      <c r="AP121" s="656"/>
      <c r="AR121" s="202" t="s">
        <v>111</v>
      </c>
      <c r="AS121" s="203">
        <f>AS123/AS86</f>
        <v>455.72183098591552</v>
      </c>
      <c r="AT121" s="202" t="s">
        <v>111</v>
      </c>
      <c r="AU121" s="203">
        <f>AU123/AU86</f>
        <v>455.72183098591552</v>
      </c>
      <c r="AV121" s="202" t="s">
        <v>111</v>
      </c>
      <c r="AW121" s="203">
        <f>AW123/AW86</f>
        <v>455.72183098591552</v>
      </c>
      <c r="AX121" s="656"/>
      <c r="AY121" s="656"/>
      <c r="AZ121" s="656"/>
      <c r="BB121" s="202" t="s">
        <v>111</v>
      </c>
      <c r="BC121" s="203">
        <f>BC123/BC86</f>
        <v>455.72183098591552</v>
      </c>
      <c r="BD121" s="202" t="s">
        <v>111</v>
      </c>
      <c r="BE121" s="203">
        <f>BE123/BE86</f>
        <v>455.72183098591552</v>
      </c>
      <c r="BF121" s="202" t="s">
        <v>111</v>
      </c>
      <c r="BG121" s="203">
        <f>BG123/BG86</f>
        <v>455.72183098591552</v>
      </c>
      <c r="BH121" s="656"/>
      <c r="BI121" s="656"/>
      <c r="BJ121" s="656"/>
      <c r="BL121" s="202" t="s">
        <v>111</v>
      </c>
      <c r="BM121" s="203">
        <f>BM123/BM86</f>
        <v>455.72183098591552</v>
      </c>
      <c r="BN121" s="202" t="s">
        <v>111</v>
      </c>
      <c r="BO121" s="203">
        <f>BO123/BO86</f>
        <v>455.72183098591552</v>
      </c>
      <c r="BP121" s="202" t="s">
        <v>111</v>
      </c>
      <c r="BQ121" s="203">
        <f>BQ123/BQ86</f>
        <v>455.72183098591552</v>
      </c>
      <c r="BR121" s="656"/>
      <c r="BS121" s="656"/>
      <c r="BT121" s="656"/>
      <c r="BV121" s="202" t="s">
        <v>111</v>
      </c>
      <c r="BW121" s="203">
        <f>BW123/BW86</f>
        <v>455.72183098591552</v>
      </c>
      <c r="BY121" s="202" t="s">
        <v>111</v>
      </c>
      <c r="BZ121" s="203">
        <f>BZ123/BZ86</f>
        <v>455.72183098591552</v>
      </c>
      <c r="CA121" s="202" t="s">
        <v>111</v>
      </c>
      <c r="CB121" s="203">
        <f>CB123/CB86</f>
        <v>455.72183098591552</v>
      </c>
      <c r="CC121" s="202" t="s">
        <v>111</v>
      </c>
      <c r="CD121" s="203">
        <f>CD123/CD86</f>
        <v>455.72183098591552</v>
      </c>
      <c r="CF121" s="202" t="s">
        <v>111</v>
      </c>
      <c r="CG121" s="203">
        <f>CG123/CG86</f>
        <v>455.72183098591552</v>
      </c>
      <c r="CH121" s="202" t="s">
        <v>111</v>
      </c>
      <c r="CI121" s="203">
        <f>CI123/CI86</f>
        <v>455.72183098591552</v>
      </c>
      <c r="CJ121" s="202" t="s">
        <v>111</v>
      </c>
      <c r="CK121" s="203">
        <f>CK123/CK86</f>
        <v>455.72183098591552</v>
      </c>
      <c r="CM121" s="202" t="s">
        <v>111</v>
      </c>
      <c r="CN121" s="203">
        <f>CN123/CN86</f>
        <v>455.72183098591552</v>
      </c>
      <c r="CO121" s="202" t="s">
        <v>111</v>
      </c>
      <c r="CP121" s="203">
        <f>CP123/CP86</f>
        <v>455.72183098591552</v>
      </c>
      <c r="CQ121" s="202" t="s">
        <v>111</v>
      </c>
      <c r="CR121" s="203">
        <f>CR123/CR86</f>
        <v>455.72183098591552</v>
      </c>
      <c r="CT121" s="202" t="s">
        <v>111</v>
      </c>
      <c r="CU121" s="203">
        <f>CU123/CU86</f>
        <v>457.42253521126759</v>
      </c>
      <c r="CV121" s="202" t="s">
        <v>111</v>
      </c>
      <c r="CW121" s="203">
        <f t="shared" ref="CW121" si="510">CW123/CW86</f>
        <v>457.42253521126759</v>
      </c>
      <c r="CX121" s="202" t="s">
        <v>111</v>
      </c>
      <c r="CY121" s="203">
        <f t="shared" ref="CY121" si="511">CY123/CY86</f>
        <v>457.42253521126759</v>
      </c>
      <c r="DA121" s="202" t="s">
        <v>111</v>
      </c>
      <c r="DB121" s="203">
        <f>DB123/DB86</f>
        <v>457.42253521126759</v>
      </c>
      <c r="DC121" s="202" t="s">
        <v>111</v>
      </c>
      <c r="DD121" s="203">
        <f t="shared" ref="DD121" si="512">DD123/DD86</f>
        <v>457.42253521126759</v>
      </c>
      <c r="DE121" s="202" t="s">
        <v>111</v>
      </c>
      <c r="DF121" s="203">
        <f t="shared" ref="DF121" si="513">DF123/DF86</f>
        <v>457.42253521126759</v>
      </c>
      <c r="DH121" s="202" t="s">
        <v>111</v>
      </c>
      <c r="DI121" s="203">
        <f>DI123/DI86</f>
        <v>457.42253521126759</v>
      </c>
      <c r="DJ121" s="202" t="s">
        <v>111</v>
      </c>
      <c r="DK121" s="203">
        <f t="shared" ref="DK121" si="514">DK123/DK86</f>
        <v>457.42253521126759</v>
      </c>
      <c r="DL121" s="202" t="s">
        <v>111</v>
      </c>
      <c r="DM121" s="203">
        <f t="shared" ref="DM121" si="515">DM123/DM86</f>
        <v>457.42253521126759</v>
      </c>
    </row>
    <row r="122" spans="1:117" s="65" customFormat="1" ht="18" hidden="1" customHeight="1" outlineLevel="1" x14ac:dyDescent="0.45">
      <c r="A122" s="561"/>
      <c r="B122" s="199"/>
      <c r="C122" s="200" t="s">
        <v>112</v>
      </c>
      <c r="D122" s="201"/>
      <c r="E122" s="201"/>
      <c r="F122" s="202" t="s">
        <v>111</v>
      </c>
      <c r="G122" s="203">
        <f>G121/G73</f>
        <v>0.12821118148910329</v>
      </c>
      <c r="H122" s="202" t="s">
        <v>111</v>
      </c>
      <c r="I122" s="203">
        <f>I121/I73</f>
        <v>0.12821118148910329</v>
      </c>
      <c r="J122" s="202" t="s">
        <v>111</v>
      </c>
      <c r="K122" s="203">
        <f t="shared" ref="K122" si="516">K121/K73</f>
        <v>0.12821118148910329</v>
      </c>
      <c r="L122" s="202" t="s">
        <v>111</v>
      </c>
      <c r="M122" s="203">
        <f t="shared" ref="M122" si="517">M121/M73</f>
        <v>0.12821118148910329</v>
      </c>
      <c r="N122" s="202" t="s">
        <v>111</v>
      </c>
      <c r="O122" s="203">
        <f>O121/O73</f>
        <v>0.12837234675659592</v>
      </c>
      <c r="P122" s="202" t="s">
        <v>111</v>
      </c>
      <c r="Q122" s="203">
        <f>Q121/Q73</f>
        <v>0.12837234675659592</v>
      </c>
      <c r="R122" s="202" t="s">
        <v>111</v>
      </c>
      <c r="S122" s="203">
        <f>S121/S73</f>
        <v>0.12837234675659592</v>
      </c>
      <c r="T122" s="202" t="s">
        <v>111</v>
      </c>
      <c r="U122" s="203">
        <f>U121/U73</f>
        <v>0.12837234675659592</v>
      </c>
      <c r="V122" s="202" t="s">
        <v>111</v>
      </c>
      <c r="W122" s="203">
        <f>W121/W73</f>
        <v>0.12837234675659592</v>
      </c>
      <c r="X122" s="202" t="s">
        <v>111</v>
      </c>
      <c r="Y122" s="203">
        <f>Y121/Y73</f>
        <v>0.12837234675659592</v>
      </c>
      <c r="Z122" s="202" t="s">
        <v>111</v>
      </c>
      <c r="AA122" s="203">
        <f>AA121/AA73</f>
        <v>0.12837234675659592</v>
      </c>
      <c r="AB122" s="202" t="s">
        <v>111</v>
      </c>
      <c r="AC122" s="203">
        <f>AC121/AC73</f>
        <v>0.12837234675659592</v>
      </c>
      <c r="AD122" s="202" t="s">
        <v>111</v>
      </c>
      <c r="AE122" s="203">
        <f>AE121/AE73</f>
        <v>0.12837234675659592</v>
      </c>
      <c r="AF122" s="620"/>
      <c r="AG122" s="696"/>
      <c r="AH122" s="202" t="s">
        <v>111</v>
      </c>
      <c r="AI122" s="203">
        <f>AI121/AI73</f>
        <v>0.12837234675659592</v>
      </c>
      <c r="AJ122" s="202" t="s">
        <v>111</v>
      </c>
      <c r="AK122" s="203">
        <f>AK121/AK73</f>
        <v>0.12837234675659592</v>
      </c>
      <c r="AL122" s="202" t="s">
        <v>111</v>
      </c>
      <c r="AM122" s="203">
        <f>AM121/AM73</f>
        <v>0.12837234675659592</v>
      </c>
      <c r="AN122" s="656"/>
      <c r="AO122" s="656"/>
      <c r="AP122" s="656"/>
      <c r="AR122" s="202" t="s">
        <v>111</v>
      </c>
      <c r="AS122" s="203">
        <f>AS121/AS73</f>
        <v>0.12837234675659592</v>
      </c>
      <c r="AT122" s="202" t="s">
        <v>111</v>
      </c>
      <c r="AU122" s="203">
        <f>AU121/AU73</f>
        <v>0.12837234675659592</v>
      </c>
      <c r="AV122" s="202" t="s">
        <v>111</v>
      </c>
      <c r="AW122" s="203">
        <f>AW121/AW73</f>
        <v>0.12837234675659592</v>
      </c>
      <c r="AX122" s="656"/>
      <c r="AY122" s="656"/>
      <c r="AZ122" s="656"/>
      <c r="BB122" s="202" t="s">
        <v>111</v>
      </c>
      <c r="BC122" s="203">
        <f>BC121/BC73</f>
        <v>0.12837234675659592</v>
      </c>
      <c r="BD122" s="202" t="s">
        <v>111</v>
      </c>
      <c r="BE122" s="203">
        <f>BE121/BE73</f>
        <v>0.12837234675659592</v>
      </c>
      <c r="BF122" s="202" t="s">
        <v>111</v>
      </c>
      <c r="BG122" s="203">
        <f>BG121/BG73</f>
        <v>0.12837234675659592</v>
      </c>
      <c r="BH122" s="656"/>
      <c r="BI122" s="656"/>
      <c r="BJ122" s="656"/>
      <c r="BL122" s="202" t="s">
        <v>111</v>
      </c>
      <c r="BM122" s="203">
        <f>BM121/BM73</f>
        <v>0.12837234675659592</v>
      </c>
      <c r="BN122" s="202" t="s">
        <v>111</v>
      </c>
      <c r="BO122" s="203">
        <f>BO121/BO73</f>
        <v>0.12837234675659592</v>
      </c>
      <c r="BP122" s="202" t="s">
        <v>111</v>
      </c>
      <c r="BQ122" s="203">
        <f>BQ121/BQ73</f>
        <v>0.12837234675659592</v>
      </c>
      <c r="BR122" s="656"/>
      <c r="BS122" s="656"/>
      <c r="BT122" s="656"/>
      <c r="BV122" s="202" t="s">
        <v>111</v>
      </c>
      <c r="BW122" s="203">
        <f>BW121/BW73</f>
        <v>0.12837234675659592</v>
      </c>
      <c r="BY122" s="202" t="s">
        <v>111</v>
      </c>
      <c r="BZ122" s="203">
        <f>BZ121/BZ73</f>
        <v>0.12837234675659592</v>
      </c>
      <c r="CA122" s="202" t="s">
        <v>111</v>
      </c>
      <c r="CB122" s="203">
        <f>CB121/CB73</f>
        <v>0.12837234675659592</v>
      </c>
      <c r="CC122" s="202" t="s">
        <v>111</v>
      </c>
      <c r="CD122" s="203">
        <f>CD121/CD73</f>
        <v>0.12837234675659592</v>
      </c>
      <c r="CF122" s="202" t="s">
        <v>111</v>
      </c>
      <c r="CG122" s="203">
        <f>CG121/CG73</f>
        <v>0.12837234675659592</v>
      </c>
      <c r="CH122" s="202" t="s">
        <v>111</v>
      </c>
      <c r="CI122" s="203">
        <f>CI121/CI73</f>
        <v>0.12837234675659592</v>
      </c>
      <c r="CJ122" s="202" t="s">
        <v>111</v>
      </c>
      <c r="CK122" s="203">
        <f>CK121/CK73</f>
        <v>0.12837234675659592</v>
      </c>
      <c r="CM122" s="202" t="s">
        <v>111</v>
      </c>
      <c r="CN122" s="203">
        <f>CN121/CN73</f>
        <v>0.12837234675659592</v>
      </c>
      <c r="CO122" s="202" t="s">
        <v>111</v>
      </c>
      <c r="CP122" s="203">
        <f>CP121/CP73</f>
        <v>0.12837234675659592</v>
      </c>
      <c r="CQ122" s="202" t="s">
        <v>111</v>
      </c>
      <c r="CR122" s="203">
        <f>CR121/CR73</f>
        <v>0.12837234675659592</v>
      </c>
      <c r="CT122" s="202" t="s">
        <v>111</v>
      </c>
      <c r="CU122" s="203">
        <f>CU121/CU73</f>
        <v>0.11813598533348853</v>
      </c>
      <c r="CV122" s="202" t="s">
        <v>111</v>
      </c>
      <c r="CW122" s="203">
        <f t="shared" ref="CW122" si="518">CW121/CW73</f>
        <v>0.11813598533348853</v>
      </c>
      <c r="CX122" s="202" t="s">
        <v>111</v>
      </c>
      <c r="CY122" s="203">
        <f t="shared" ref="CY122" si="519">CY121/CY73</f>
        <v>0.11813598533348853</v>
      </c>
      <c r="DA122" s="202" t="s">
        <v>111</v>
      </c>
      <c r="DB122" s="203">
        <f>DB121/DB73</f>
        <v>0.11813598533348853</v>
      </c>
      <c r="DC122" s="202" t="s">
        <v>111</v>
      </c>
      <c r="DD122" s="203">
        <f t="shared" ref="DD122" si="520">DD121/DD73</f>
        <v>0.11813598533348853</v>
      </c>
      <c r="DE122" s="202" t="s">
        <v>111</v>
      </c>
      <c r="DF122" s="203">
        <f t="shared" ref="DF122" si="521">DF121/DF73</f>
        <v>0.11813598533348853</v>
      </c>
      <c r="DH122" s="202" t="s">
        <v>111</v>
      </c>
      <c r="DI122" s="203">
        <f>DI121/DI73</f>
        <v>0.11813598533348853</v>
      </c>
      <c r="DJ122" s="202" t="s">
        <v>111</v>
      </c>
      <c r="DK122" s="203">
        <f t="shared" ref="DK122" si="522">DK121/DK73</f>
        <v>0.11813598533348853</v>
      </c>
      <c r="DL122" s="202" t="s">
        <v>111</v>
      </c>
      <c r="DM122" s="203">
        <f t="shared" ref="DM122" si="523">DM121/DM73</f>
        <v>0.11813598533348853</v>
      </c>
    </row>
    <row r="123" spans="1:117" s="65" customFormat="1" ht="18" hidden="1" customHeight="1" outlineLevel="1" x14ac:dyDescent="0.45">
      <c r="A123" s="561"/>
      <c r="B123" s="199"/>
      <c r="C123" s="200" t="s">
        <v>113</v>
      </c>
      <c r="D123" s="201"/>
      <c r="E123" s="201"/>
      <c r="F123" s="202" t="s">
        <v>114</v>
      </c>
      <c r="G123" s="204">
        <f>G124*G73</f>
        <v>6476325</v>
      </c>
      <c r="H123" s="202" t="s">
        <v>114</v>
      </c>
      <c r="I123" s="204">
        <f>I124*I73</f>
        <v>6476325</v>
      </c>
      <c r="J123" s="202" t="s">
        <v>114</v>
      </c>
      <c r="K123" s="204">
        <f t="shared" ref="K123" si="524">K124*K73</f>
        <v>6476325</v>
      </c>
      <c r="L123" s="202" t="s">
        <v>114</v>
      </c>
      <c r="M123" s="204">
        <f t="shared" ref="M123" si="525">M124*M73</f>
        <v>6476325</v>
      </c>
      <c r="N123" s="202" t="s">
        <v>114</v>
      </c>
      <c r="O123" s="204">
        <f>O124*O73</f>
        <v>6471250</v>
      </c>
      <c r="P123" s="202" t="s">
        <v>114</v>
      </c>
      <c r="Q123" s="204">
        <f>Q124*Q73</f>
        <v>6471250</v>
      </c>
      <c r="R123" s="202" t="s">
        <v>114</v>
      </c>
      <c r="S123" s="204">
        <f>S124*S73</f>
        <v>6471250</v>
      </c>
      <c r="T123" s="202" t="s">
        <v>114</v>
      </c>
      <c r="U123" s="204">
        <f>U124*U73</f>
        <v>6471250</v>
      </c>
      <c r="V123" s="202" t="s">
        <v>114</v>
      </c>
      <c r="W123" s="204">
        <f>W124*W73</f>
        <v>6471250</v>
      </c>
      <c r="X123" s="202" t="s">
        <v>114</v>
      </c>
      <c r="Y123" s="204">
        <f>Y124*Y73</f>
        <v>6471250</v>
      </c>
      <c r="Z123" s="202" t="s">
        <v>114</v>
      </c>
      <c r="AA123" s="204">
        <f>AA124*AA73</f>
        <v>6471250</v>
      </c>
      <c r="AB123" s="202" t="s">
        <v>114</v>
      </c>
      <c r="AC123" s="204">
        <f>AC124*AC73</f>
        <v>6471250</v>
      </c>
      <c r="AD123" s="202" t="s">
        <v>114</v>
      </c>
      <c r="AE123" s="204">
        <f>AE124*AE73</f>
        <v>6471250</v>
      </c>
      <c r="AF123" s="620"/>
      <c r="AG123" s="697"/>
      <c r="AH123" s="202" t="s">
        <v>114</v>
      </c>
      <c r="AI123" s="204">
        <f>AI124*AI73</f>
        <v>6471250</v>
      </c>
      <c r="AJ123" s="202" t="s">
        <v>114</v>
      </c>
      <c r="AK123" s="204">
        <f>AK124*AK73</f>
        <v>6471250</v>
      </c>
      <c r="AL123" s="202" t="s">
        <v>114</v>
      </c>
      <c r="AM123" s="204">
        <f>AM124*AM73</f>
        <v>6471250</v>
      </c>
      <c r="AN123" s="657"/>
      <c r="AO123" s="657"/>
      <c r="AP123" s="657"/>
      <c r="AR123" s="202" t="s">
        <v>114</v>
      </c>
      <c r="AS123" s="204">
        <f>AS124*AS73</f>
        <v>6471250</v>
      </c>
      <c r="AT123" s="202" t="s">
        <v>114</v>
      </c>
      <c r="AU123" s="204">
        <f>AU124*AU73</f>
        <v>6471250</v>
      </c>
      <c r="AV123" s="202" t="s">
        <v>114</v>
      </c>
      <c r="AW123" s="204">
        <f>AW124*AW73</f>
        <v>6471250</v>
      </c>
      <c r="AX123" s="657"/>
      <c r="AY123" s="657"/>
      <c r="AZ123" s="657"/>
      <c r="BB123" s="202" t="s">
        <v>114</v>
      </c>
      <c r="BC123" s="204">
        <f>BC124*BC73</f>
        <v>6471250</v>
      </c>
      <c r="BD123" s="202" t="s">
        <v>114</v>
      </c>
      <c r="BE123" s="204">
        <f>BE124*BE73</f>
        <v>6471250</v>
      </c>
      <c r="BF123" s="202" t="s">
        <v>114</v>
      </c>
      <c r="BG123" s="204">
        <f>BG124*BG73</f>
        <v>6471250</v>
      </c>
      <c r="BH123" s="657"/>
      <c r="BI123" s="657"/>
      <c r="BJ123" s="657"/>
      <c r="BL123" s="202" t="s">
        <v>114</v>
      </c>
      <c r="BM123" s="204">
        <f>BM124*BM73</f>
        <v>6471250</v>
      </c>
      <c r="BN123" s="202" t="s">
        <v>114</v>
      </c>
      <c r="BO123" s="204">
        <f>BO124*BO73</f>
        <v>6471250</v>
      </c>
      <c r="BP123" s="202" t="s">
        <v>114</v>
      </c>
      <c r="BQ123" s="204">
        <f>BQ124*BQ73</f>
        <v>6471250</v>
      </c>
      <c r="BR123" s="657"/>
      <c r="BS123" s="657"/>
      <c r="BT123" s="657"/>
      <c r="BV123" s="202" t="s">
        <v>114</v>
      </c>
      <c r="BW123" s="204">
        <f>BW124*BW73</f>
        <v>6471250</v>
      </c>
      <c r="BY123" s="202" t="s">
        <v>114</v>
      </c>
      <c r="BZ123" s="204">
        <f>BZ124*BZ73</f>
        <v>6471250</v>
      </c>
      <c r="CA123" s="202" t="s">
        <v>114</v>
      </c>
      <c r="CB123" s="204">
        <f>CB124*CB73</f>
        <v>6471250</v>
      </c>
      <c r="CC123" s="202" t="s">
        <v>114</v>
      </c>
      <c r="CD123" s="204">
        <f>CD124*CD73</f>
        <v>6471250</v>
      </c>
      <c r="CF123" s="202" t="s">
        <v>114</v>
      </c>
      <c r="CG123" s="204">
        <f>CG124*CG73</f>
        <v>6471250</v>
      </c>
      <c r="CH123" s="202" t="s">
        <v>114</v>
      </c>
      <c r="CI123" s="204">
        <f>CI124*CI73</f>
        <v>6471250</v>
      </c>
      <c r="CJ123" s="202" t="s">
        <v>114</v>
      </c>
      <c r="CK123" s="204">
        <f>CK124*CK73</f>
        <v>6471250</v>
      </c>
      <c r="CM123" s="202" t="s">
        <v>114</v>
      </c>
      <c r="CN123" s="204">
        <f>CN124*CN73</f>
        <v>6471250</v>
      </c>
      <c r="CO123" s="202" t="s">
        <v>114</v>
      </c>
      <c r="CP123" s="204">
        <f>CP124*CP73</f>
        <v>6471250</v>
      </c>
      <c r="CQ123" s="202" t="s">
        <v>114</v>
      </c>
      <c r="CR123" s="204">
        <f>CR124*CR73</f>
        <v>6471250</v>
      </c>
      <c r="CT123" s="202" t="s">
        <v>114</v>
      </c>
      <c r="CU123" s="204">
        <f>CU124*CU73</f>
        <v>6495400</v>
      </c>
      <c r="CV123" s="202" t="s">
        <v>114</v>
      </c>
      <c r="CW123" s="204">
        <f t="shared" ref="CW123" si="526">CW124*CW73</f>
        <v>6495400</v>
      </c>
      <c r="CX123" s="202" t="s">
        <v>114</v>
      </c>
      <c r="CY123" s="204">
        <f t="shared" ref="CY123" si="527">CY124*CY73</f>
        <v>6495400</v>
      </c>
      <c r="DA123" s="202" t="s">
        <v>114</v>
      </c>
      <c r="DB123" s="204">
        <f>DB124*DB73</f>
        <v>6495400</v>
      </c>
      <c r="DC123" s="202" t="s">
        <v>114</v>
      </c>
      <c r="DD123" s="204">
        <f t="shared" ref="DD123" si="528">DD124*DD73</f>
        <v>6495400</v>
      </c>
      <c r="DE123" s="202" t="s">
        <v>114</v>
      </c>
      <c r="DF123" s="204">
        <f t="shared" ref="DF123" si="529">DF124*DF73</f>
        <v>6495400</v>
      </c>
      <c r="DH123" s="202" t="s">
        <v>114</v>
      </c>
      <c r="DI123" s="204">
        <f>DI124*DI73</f>
        <v>6495400</v>
      </c>
      <c r="DJ123" s="202" t="s">
        <v>114</v>
      </c>
      <c r="DK123" s="204">
        <f t="shared" ref="DK123" si="530">DK124*DK73</f>
        <v>6495400</v>
      </c>
      <c r="DL123" s="202" t="s">
        <v>114</v>
      </c>
      <c r="DM123" s="204">
        <f t="shared" ref="DM123" si="531">DM124*DM73</f>
        <v>6495400</v>
      </c>
    </row>
    <row r="124" spans="1:117" s="65" customFormat="1" ht="18" hidden="1" customHeight="1" outlineLevel="1" x14ac:dyDescent="0.45">
      <c r="A124" s="561"/>
      <c r="B124" s="199"/>
      <c r="C124" s="200" t="s">
        <v>115</v>
      </c>
      <c r="D124" s="201"/>
      <c r="E124" s="201"/>
      <c r="F124" s="202" t="s">
        <v>114</v>
      </c>
      <c r="G124" s="204">
        <f>SUM(G125:G130)</f>
        <v>1824.3169014084508</v>
      </c>
      <c r="H124" s="202" t="s">
        <v>114</v>
      </c>
      <c r="I124" s="204">
        <f>SUM(I125:I130)</f>
        <v>1824.3169014084508</v>
      </c>
      <c r="J124" s="202" t="s">
        <v>114</v>
      </c>
      <c r="K124" s="204">
        <f t="shared" ref="K124" si="532">SUM(K125:K130)</f>
        <v>1824.3169014084508</v>
      </c>
      <c r="L124" s="202" t="s">
        <v>114</v>
      </c>
      <c r="M124" s="204">
        <f t="shared" ref="M124" si="533">SUM(M125:M130)</f>
        <v>1824.3169014084508</v>
      </c>
      <c r="N124" s="202" t="s">
        <v>114</v>
      </c>
      <c r="O124" s="204">
        <f>SUM(O125:O130)</f>
        <v>1822.8873239436621</v>
      </c>
      <c r="P124" s="202" t="s">
        <v>114</v>
      </c>
      <c r="Q124" s="204">
        <f>SUM(Q125:Q130)</f>
        <v>1822.8873239436621</v>
      </c>
      <c r="R124" s="202" t="s">
        <v>114</v>
      </c>
      <c r="S124" s="204">
        <f>SUM(S125:S130)</f>
        <v>1822.8873239436621</v>
      </c>
      <c r="T124" s="202" t="s">
        <v>114</v>
      </c>
      <c r="U124" s="204">
        <f>SUM(U125:U130)</f>
        <v>1822.8873239436621</v>
      </c>
      <c r="V124" s="202" t="s">
        <v>114</v>
      </c>
      <c r="W124" s="204">
        <f>SUM(W125:W130)</f>
        <v>1822.8873239436621</v>
      </c>
      <c r="X124" s="202" t="s">
        <v>114</v>
      </c>
      <c r="Y124" s="204">
        <f>SUM(Y125:Y130)</f>
        <v>1822.8873239436621</v>
      </c>
      <c r="Z124" s="202" t="s">
        <v>114</v>
      </c>
      <c r="AA124" s="204">
        <f>SUM(AA125:AA130)</f>
        <v>1822.8873239436621</v>
      </c>
      <c r="AB124" s="202" t="s">
        <v>114</v>
      </c>
      <c r="AC124" s="204">
        <f>SUM(AC125:AC130)</f>
        <v>1822.8873239436621</v>
      </c>
      <c r="AD124" s="202" t="s">
        <v>114</v>
      </c>
      <c r="AE124" s="204">
        <f>SUM(AE125:AE130)</f>
        <v>1822.8873239436621</v>
      </c>
      <c r="AF124" s="620"/>
      <c r="AG124" s="697"/>
      <c r="AH124" s="202" t="s">
        <v>114</v>
      </c>
      <c r="AI124" s="204">
        <f>SUM(AI125:AI130)</f>
        <v>1822.8873239436621</v>
      </c>
      <c r="AJ124" s="202" t="s">
        <v>114</v>
      </c>
      <c r="AK124" s="204">
        <f>SUM(AK125:AK130)</f>
        <v>1822.8873239436621</v>
      </c>
      <c r="AL124" s="202" t="s">
        <v>114</v>
      </c>
      <c r="AM124" s="204">
        <f>SUM(AM125:AM130)</f>
        <v>1822.8873239436621</v>
      </c>
      <c r="AN124" s="657"/>
      <c r="AO124" s="657"/>
      <c r="AP124" s="657"/>
      <c r="AR124" s="202" t="s">
        <v>114</v>
      </c>
      <c r="AS124" s="204">
        <f>SUM(AS125:AS130)</f>
        <v>1822.8873239436621</v>
      </c>
      <c r="AT124" s="202" t="s">
        <v>114</v>
      </c>
      <c r="AU124" s="204">
        <f>SUM(AU125:AU130)</f>
        <v>1822.8873239436621</v>
      </c>
      <c r="AV124" s="202" t="s">
        <v>114</v>
      </c>
      <c r="AW124" s="204">
        <f>SUM(AW125:AW130)</f>
        <v>1822.8873239436621</v>
      </c>
      <c r="AX124" s="657"/>
      <c r="AY124" s="657"/>
      <c r="AZ124" s="657"/>
      <c r="BB124" s="202" t="s">
        <v>114</v>
      </c>
      <c r="BC124" s="204">
        <f>SUM(BC125:BC130)</f>
        <v>1822.8873239436621</v>
      </c>
      <c r="BD124" s="202" t="s">
        <v>114</v>
      </c>
      <c r="BE124" s="204">
        <f>SUM(BE125:BE130)</f>
        <v>1822.8873239436621</v>
      </c>
      <c r="BF124" s="202" t="s">
        <v>114</v>
      </c>
      <c r="BG124" s="204">
        <f>SUM(BG125:BG130)</f>
        <v>1822.8873239436621</v>
      </c>
      <c r="BH124" s="657"/>
      <c r="BI124" s="657"/>
      <c r="BJ124" s="657"/>
      <c r="BL124" s="202" t="s">
        <v>114</v>
      </c>
      <c r="BM124" s="204">
        <f>SUM(BM125:BM130)</f>
        <v>1822.8873239436621</v>
      </c>
      <c r="BN124" s="202" t="s">
        <v>114</v>
      </c>
      <c r="BO124" s="204">
        <f>SUM(BO125:BO130)</f>
        <v>1822.8873239436621</v>
      </c>
      <c r="BP124" s="202" t="s">
        <v>114</v>
      </c>
      <c r="BQ124" s="204">
        <f>SUM(BQ125:BQ130)</f>
        <v>1822.8873239436621</v>
      </c>
      <c r="BR124" s="657"/>
      <c r="BS124" s="657"/>
      <c r="BT124" s="657"/>
      <c r="BV124" s="202" t="s">
        <v>114</v>
      </c>
      <c r="BW124" s="204">
        <f>SUM(BW125:BW130)</f>
        <v>1822.8873239436621</v>
      </c>
      <c r="BY124" s="202" t="s">
        <v>114</v>
      </c>
      <c r="BZ124" s="204">
        <f>SUM(BZ125:BZ130)</f>
        <v>1822.8873239436621</v>
      </c>
      <c r="CA124" s="202" t="s">
        <v>114</v>
      </c>
      <c r="CB124" s="204">
        <f>SUM(CB125:CB130)</f>
        <v>1822.8873239436621</v>
      </c>
      <c r="CC124" s="202" t="s">
        <v>114</v>
      </c>
      <c r="CD124" s="204">
        <f>SUM(CD125:CD130)</f>
        <v>1822.8873239436621</v>
      </c>
      <c r="CF124" s="202" t="s">
        <v>114</v>
      </c>
      <c r="CG124" s="204">
        <f>SUM(CG125:CG130)</f>
        <v>1822.8873239436621</v>
      </c>
      <c r="CH124" s="202" t="s">
        <v>114</v>
      </c>
      <c r="CI124" s="204">
        <f>SUM(CI125:CI130)</f>
        <v>1822.8873239436621</v>
      </c>
      <c r="CJ124" s="202" t="s">
        <v>114</v>
      </c>
      <c r="CK124" s="204">
        <f>SUM(CK125:CK130)</f>
        <v>1822.8873239436621</v>
      </c>
      <c r="CM124" s="202" t="s">
        <v>114</v>
      </c>
      <c r="CN124" s="204">
        <f>SUM(CN125:CN130)</f>
        <v>1822.8873239436621</v>
      </c>
      <c r="CO124" s="202" t="s">
        <v>114</v>
      </c>
      <c r="CP124" s="204">
        <f>SUM(CP125:CP130)</f>
        <v>1822.8873239436621</v>
      </c>
      <c r="CQ124" s="202" t="s">
        <v>114</v>
      </c>
      <c r="CR124" s="204">
        <f>SUM(CR125:CR130)</f>
        <v>1822.8873239436621</v>
      </c>
      <c r="CT124" s="202" t="s">
        <v>114</v>
      </c>
      <c r="CU124" s="204">
        <f>SUM(CU125:CU130)</f>
        <v>1677.5309917355371</v>
      </c>
      <c r="CV124" s="202" t="s">
        <v>114</v>
      </c>
      <c r="CW124" s="204">
        <f t="shared" ref="CW124" si="534">SUM(CW125:CW130)</f>
        <v>1677.5309917355371</v>
      </c>
      <c r="CX124" s="202" t="s">
        <v>114</v>
      </c>
      <c r="CY124" s="204">
        <f t="shared" ref="CY124" si="535">SUM(CY125:CY130)</f>
        <v>1677.5309917355371</v>
      </c>
      <c r="DA124" s="202" t="s">
        <v>114</v>
      </c>
      <c r="DB124" s="204">
        <f>SUM(DB125:DB130)</f>
        <v>1677.5309917355371</v>
      </c>
      <c r="DC124" s="202" t="s">
        <v>114</v>
      </c>
      <c r="DD124" s="204">
        <f t="shared" ref="DD124" si="536">SUM(DD125:DD130)</f>
        <v>1677.5309917355371</v>
      </c>
      <c r="DE124" s="202" t="s">
        <v>114</v>
      </c>
      <c r="DF124" s="204">
        <f t="shared" ref="DF124" si="537">SUM(DF125:DF130)</f>
        <v>1677.5309917355371</v>
      </c>
      <c r="DH124" s="202" t="s">
        <v>114</v>
      </c>
      <c r="DI124" s="204">
        <f>SUM(DI125:DI130)</f>
        <v>1677.5309917355371</v>
      </c>
      <c r="DJ124" s="202" t="s">
        <v>114</v>
      </c>
      <c r="DK124" s="204">
        <f t="shared" ref="DK124" si="538">SUM(DK125:DK130)</f>
        <v>1677.5309917355371</v>
      </c>
      <c r="DL124" s="202" t="s">
        <v>114</v>
      </c>
      <c r="DM124" s="204">
        <f t="shared" ref="DM124" si="539">SUM(DM125:DM130)</f>
        <v>1677.5309917355371</v>
      </c>
    </row>
    <row r="125" spans="1:117" s="65" customFormat="1" ht="18" hidden="1" customHeight="1" outlineLevel="1" x14ac:dyDescent="0.45">
      <c r="A125" s="561"/>
      <c r="B125" s="199"/>
      <c r="C125" s="200" t="s">
        <v>116</v>
      </c>
      <c r="D125" s="201"/>
      <c r="E125" s="201"/>
      <c r="F125" s="202" t="s">
        <v>114</v>
      </c>
      <c r="G125" s="204">
        <v>75</v>
      </c>
      <c r="H125" s="202" t="s">
        <v>114</v>
      </c>
      <c r="I125" s="204">
        <v>75</v>
      </c>
      <c r="J125" s="202" t="s">
        <v>114</v>
      </c>
      <c r="K125" s="204">
        <v>75</v>
      </c>
      <c r="L125" s="202" t="s">
        <v>114</v>
      </c>
      <c r="M125" s="204">
        <v>75</v>
      </c>
      <c r="N125" s="202" t="s">
        <v>114</v>
      </c>
      <c r="O125" s="204">
        <v>75</v>
      </c>
      <c r="P125" s="202" t="s">
        <v>114</v>
      </c>
      <c r="Q125" s="204">
        <v>75</v>
      </c>
      <c r="R125" s="202" t="s">
        <v>114</v>
      </c>
      <c r="S125" s="204">
        <v>75</v>
      </c>
      <c r="T125" s="202" t="s">
        <v>114</v>
      </c>
      <c r="U125" s="204">
        <v>75</v>
      </c>
      <c r="V125" s="202" t="s">
        <v>114</v>
      </c>
      <c r="W125" s="204">
        <v>75</v>
      </c>
      <c r="X125" s="202" t="s">
        <v>114</v>
      </c>
      <c r="Y125" s="204">
        <v>75</v>
      </c>
      <c r="Z125" s="202" t="s">
        <v>114</v>
      </c>
      <c r="AA125" s="204">
        <v>75</v>
      </c>
      <c r="AB125" s="202" t="s">
        <v>114</v>
      </c>
      <c r="AC125" s="204">
        <v>75</v>
      </c>
      <c r="AD125" s="202" t="s">
        <v>114</v>
      </c>
      <c r="AE125" s="204">
        <v>75</v>
      </c>
      <c r="AF125" s="620"/>
      <c r="AG125" s="697"/>
      <c r="AH125" s="202" t="s">
        <v>114</v>
      </c>
      <c r="AI125" s="204">
        <v>75</v>
      </c>
      <c r="AJ125" s="202" t="s">
        <v>114</v>
      </c>
      <c r="AK125" s="204">
        <v>75</v>
      </c>
      <c r="AL125" s="202" t="s">
        <v>114</v>
      </c>
      <c r="AM125" s="204">
        <v>75</v>
      </c>
      <c r="AN125" s="657"/>
      <c r="AO125" s="657"/>
      <c r="AP125" s="657"/>
      <c r="AR125" s="202" t="s">
        <v>114</v>
      </c>
      <c r="AS125" s="204">
        <v>75</v>
      </c>
      <c r="AT125" s="202" t="s">
        <v>114</v>
      </c>
      <c r="AU125" s="204">
        <v>75</v>
      </c>
      <c r="AV125" s="202" t="s">
        <v>114</v>
      </c>
      <c r="AW125" s="204">
        <v>75</v>
      </c>
      <c r="AX125" s="657"/>
      <c r="AY125" s="657"/>
      <c r="AZ125" s="657"/>
      <c r="BB125" s="202" t="s">
        <v>114</v>
      </c>
      <c r="BC125" s="204">
        <v>75</v>
      </c>
      <c r="BD125" s="202" t="s">
        <v>114</v>
      </c>
      <c r="BE125" s="204">
        <v>75</v>
      </c>
      <c r="BF125" s="202" t="s">
        <v>114</v>
      </c>
      <c r="BG125" s="204">
        <v>75</v>
      </c>
      <c r="BH125" s="657"/>
      <c r="BI125" s="657"/>
      <c r="BJ125" s="657"/>
      <c r="BL125" s="202" t="s">
        <v>114</v>
      </c>
      <c r="BM125" s="204">
        <v>75</v>
      </c>
      <c r="BN125" s="202" t="s">
        <v>114</v>
      </c>
      <c r="BO125" s="204">
        <v>75</v>
      </c>
      <c r="BP125" s="202" t="s">
        <v>114</v>
      </c>
      <c r="BQ125" s="204">
        <v>75</v>
      </c>
      <c r="BR125" s="657"/>
      <c r="BS125" s="657"/>
      <c r="BT125" s="657"/>
      <c r="BV125" s="202" t="s">
        <v>114</v>
      </c>
      <c r="BW125" s="204">
        <v>75</v>
      </c>
      <c r="BY125" s="202" t="s">
        <v>114</v>
      </c>
      <c r="BZ125" s="204">
        <v>75</v>
      </c>
      <c r="CA125" s="202" t="s">
        <v>114</v>
      </c>
      <c r="CB125" s="204">
        <v>75</v>
      </c>
      <c r="CC125" s="202" t="s">
        <v>114</v>
      </c>
      <c r="CD125" s="204">
        <v>75</v>
      </c>
      <c r="CF125" s="202" t="s">
        <v>114</v>
      </c>
      <c r="CG125" s="204">
        <v>75</v>
      </c>
      <c r="CH125" s="202" t="s">
        <v>114</v>
      </c>
      <c r="CI125" s="204">
        <v>75</v>
      </c>
      <c r="CJ125" s="202" t="s">
        <v>114</v>
      </c>
      <c r="CK125" s="204">
        <v>75</v>
      </c>
      <c r="CM125" s="202" t="s">
        <v>114</v>
      </c>
      <c r="CN125" s="204">
        <v>75</v>
      </c>
      <c r="CO125" s="202" t="s">
        <v>114</v>
      </c>
      <c r="CP125" s="204">
        <v>75</v>
      </c>
      <c r="CQ125" s="202" t="s">
        <v>114</v>
      </c>
      <c r="CR125" s="204">
        <v>75</v>
      </c>
      <c r="CT125" s="202" t="s">
        <v>114</v>
      </c>
      <c r="CU125" s="204">
        <v>75</v>
      </c>
      <c r="CV125" s="202" t="s">
        <v>114</v>
      </c>
      <c r="CW125" s="204">
        <v>75</v>
      </c>
      <c r="CX125" s="202" t="s">
        <v>114</v>
      </c>
      <c r="CY125" s="204">
        <v>75</v>
      </c>
      <c r="DA125" s="202" t="s">
        <v>114</v>
      </c>
      <c r="DB125" s="204">
        <v>75</v>
      </c>
      <c r="DC125" s="202" t="s">
        <v>114</v>
      </c>
      <c r="DD125" s="204">
        <v>75</v>
      </c>
      <c r="DE125" s="202" t="s">
        <v>114</v>
      </c>
      <c r="DF125" s="204">
        <v>75</v>
      </c>
      <c r="DH125" s="202" t="s">
        <v>114</v>
      </c>
      <c r="DI125" s="204">
        <v>75</v>
      </c>
      <c r="DJ125" s="202" t="s">
        <v>114</v>
      </c>
      <c r="DK125" s="204">
        <v>75</v>
      </c>
      <c r="DL125" s="202" t="s">
        <v>114</v>
      </c>
      <c r="DM125" s="204">
        <v>75</v>
      </c>
    </row>
    <row r="126" spans="1:117" s="65" customFormat="1" ht="18" hidden="1" customHeight="1" outlineLevel="1" x14ac:dyDescent="0.45">
      <c r="A126" s="561"/>
      <c r="B126" s="199"/>
      <c r="C126" s="200" t="s">
        <v>117</v>
      </c>
      <c r="D126" s="201"/>
      <c r="E126" s="201"/>
      <c r="F126" s="202" t="s">
        <v>114</v>
      </c>
      <c r="G126" s="204">
        <f>1940000/G73</f>
        <v>546.47887323943667</v>
      </c>
      <c r="H126" s="202" t="s">
        <v>114</v>
      </c>
      <c r="I126" s="204">
        <f>1940000/I73</f>
        <v>546.47887323943667</v>
      </c>
      <c r="J126" s="202" t="s">
        <v>114</v>
      </c>
      <c r="K126" s="204">
        <f t="shared" ref="K126" si="540">1940000/K73</f>
        <v>546.47887323943667</v>
      </c>
      <c r="L126" s="202" t="s">
        <v>114</v>
      </c>
      <c r="M126" s="204">
        <f t="shared" ref="M126" si="541">1940000/M73</f>
        <v>546.47887323943667</v>
      </c>
      <c r="N126" s="202" t="s">
        <v>114</v>
      </c>
      <c r="O126" s="204">
        <f>1940000/O73</f>
        <v>546.47887323943667</v>
      </c>
      <c r="P126" s="202" t="s">
        <v>114</v>
      </c>
      <c r="Q126" s="204">
        <f>1940000/Q73</f>
        <v>546.47887323943667</v>
      </c>
      <c r="R126" s="202" t="s">
        <v>114</v>
      </c>
      <c r="S126" s="204">
        <f>1940000/S73</f>
        <v>546.47887323943667</v>
      </c>
      <c r="T126" s="202" t="s">
        <v>114</v>
      </c>
      <c r="U126" s="204">
        <f>1940000/U73</f>
        <v>546.47887323943667</v>
      </c>
      <c r="V126" s="202" t="s">
        <v>114</v>
      </c>
      <c r="W126" s="204">
        <f>1940000/W73</f>
        <v>546.47887323943667</v>
      </c>
      <c r="X126" s="202" t="s">
        <v>114</v>
      </c>
      <c r="Y126" s="204">
        <f>1940000/Y73</f>
        <v>546.47887323943667</v>
      </c>
      <c r="Z126" s="202" t="s">
        <v>114</v>
      </c>
      <c r="AA126" s="204">
        <f>1940000/AA73</f>
        <v>546.47887323943667</v>
      </c>
      <c r="AB126" s="202" t="s">
        <v>114</v>
      </c>
      <c r="AC126" s="204">
        <f>1940000/AC73</f>
        <v>546.47887323943667</v>
      </c>
      <c r="AD126" s="202" t="s">
        <v>114</v>
      </c>
      <c r="AE126" s="204">
        <f>1940000/AE73</f>
        <v>546.47887323943667</v>
      </c>
      <c r="AF126" s="620"/>
      <c r="AG126" s="697"/>
      <c r="AH126" s="202" t="s">
        <v>114</v>
      </c>
      <c r="AI126" s="204">
        <f>1940000/AI73</f>
        <v>546.47887323943667</v>
      </c>
      <c r="AJ126" s="202" t="s">
        <v>114</v>
      </c>
      <c r="AK126" s="204">
        <f>1940000/AK73</f>
        <v>546.47887323943667</v>
      </c>
      <c r="AL126" s="202" t="s">
        <v>114</v>
      </c>
      <c r="AM126" s="204">
        <f>1940000/AM73</f>
        <v>546.47887323943667</v>
      </c>
      <c r="AN126" s="657"/>
      <c r="AO126" s="657"/>
      <c r="AP126" s="657"/>
      <c r="AR126" s="202" t="s">
        <v>114</v>
      </c>
      <c r="AS126" s="204">
        <f>1940000/AS73</f>
        <v>546.47887323943667</v>
      </c>
      <c r="AT126" s="202" t="s">
        <v>114</v>
      </c>
      <c r="AU126" s="204">
        <f>1940000/AU73</f>
        <v>546.47887323943667</v>
      </c>
      <c r="AV126" s="202" t="s">
        <v>114</v>
      </c>
      <c r="AW126" s="204">
        <f>1940000/AW73</f>
        <v>546.47887323943667</v>
      </c>
      <c r="AX126" s="657"/>
      <c r="AY126" s="657"/>
      <c r="AZ126" s="657"/>
      <c r="BB126" s="202" t="s">
        <v>114</v>
      </c>
      <c r="BC126" s="204">
        <f>1940000/BC73</f>
        <v>546.47887323943667</v>
      </c>
      <c r="BD126" s="202" t="s">
        <v>114</v>
      </c>
      <c r="BE126" s="204">
        <f>1940000/BE73</f>
        <v>546.47887323943667</v>
      </c>
      <c r="BF126" s="202" t="s">
        <v>114</v>
      </c>
      <c r="BG126" s="204">
        <f>1940000/BG73</f>
        <v>546.47887323943667</v>
      </c>
      <c r="BH126" s="657"/>
      <c r="BI126" s="657"/>
      <c r="BJ126" s="657"/>
      <c r="BL126" s="202" t="s">
        <v>114</v>
      </c>
      <c r="BM126" s="204">
        <f>1940000/BM73</f>
        <v>546.47887323943667</v>
      </c>
      <c r="BN126" s="202" t="s">
        <v>114</v>
      </c>
      <c r="BO126" s="204">
        <f>1940000/BO73</f>
        <v>546.47887323943667</v>
      </c>
      <c r="BP126" s="202" t="s">
        <v>114</v>
      </c>
      <c r="BQ126" s="204">
        <f>1940000/BQ73</f>
        <v>546.47887323943667</v>
      </c>
      <c r="BR126" s="657"/>
      <c r="BS126" s="657"/>
      <c r="BT126" s="657"/>
      <c r="BV126" s="202" t="s">
        <v>114</v>
      </c>
      <c r="BW126" s="204">
        <f>1940000/BW73</f>
        <v>546.47887323943667</v>
      </c>
      <c r="BY126" s="202" t="s">
        <v>114</v>
      </c>
      <c r="BZ126" s="204">
        <f>1940000/BZ73</f>
        <v>546.47887323943667</v>
      </c>
      <c r="CA126" s="202" t="s">
        <v>114</v>
      </c>
      <c r="CB126" s="204">
        <f>1940000/CB73</f>
        <v>546.47887323943667</v>
      </c>
      <c r="CC126" s="202" t="s">
        <v>114</v>
      </c>
      <c r="CD126" s="204">
        <f>1940000/CD73</f>
        <v>546.47887323943667</v>
      </c>
      <c r="CF126" s="202" t="s">
        <v>114</v>
      </c>
      <c r="CG126" s="204">
        <f>1940000/CG73</f>
        <v>546.47887323943667</v>
      </c>
      <c r="CH126" s="202" t="s">
        <v>114</v>
      </c>
      <c r="CI126" s="204">
        <f>1940000/CI73</f>
        <v>546.47887323943667</v>
      </c>
      <c r="CJ126" s="202" t="s">
        <v>114</v>
      </c>
      <c r="CK126" s="204">
        <f>1940000/CK73</f>
        <v>546.47887323943667</v>
      </c>
      <c r="CM126" s="202" t="s">
        <v>114</v>
      </c>
      <c r="CN126" s="204">
        <f>1940000/CN73</f>
        <v>546.47887323943667</v>
      </c>
      <c r="CO126" s="202" t="s">
        <v>114</v>
      </c>
      <c r="CP126" s="204">
        <f>1940000/CP73</f>
        <v>546.47887323943667</v>
      </c>
      <c r="CQ126" s="202" t="s">
        <v>114</v>
      </c>
      <c r="CR126" s="204">
        <f>1940000/CR73</f>
        <v>546.47887323943667</v>
      </c>
      <c r="CT126" s="202" t="s">
        <v>114</v>
      </c>
      <c r="CU126" s="204">
        <f>1940000/CU73</f>
        <v>501.03305785123968</v>
      </c>
      <c r="CV126" s="202" t="s">
        <v>114</v>
      </c>
      <c r="CW126" s="204">
        <f t="shared" ref="CW126" si="542">1940000/CW73</f>
        <v>501.03305785123968</v>
      </c>
      <c r="CX126" s="202" t="s">
        <v>114</v>
      </c>
      <c r="CY126" s="204">
        <f t="shared" ref="CY126" si="543">1940000/CY73</f>
        <v>501.03305785123968</v>
      </c>
      <c r="DA126" s="202" t="s">
        <v>114</v>
      </c>
      <c r="DB126" s="204">
        <f>1940000/DB73</f>
        <v>501.03305785123968</v>
      </c>
      <c r="DC126" s="202" t="s">
        <v>114</v>
      </c>
      <c r="DD126" s="204">
        <f t="shared" ref="DD126" si="544">1940000/DD73</f>
        <v>501.03305785123968</v>
      </c>
      <c r="DE126" s="202" t="s">
        <v>114</v>
      </c>
      <c r="DF126" s="204">
        <f t="shared" ref="DF126" si="545">1940000/DF73</f>
        <v>501.03305785123968</v>
      </c>
      <c r="DH126" s="202" t="s">
        <v>114</v>
      </c>
      <c r="DI126" s="204">
        <f>1940000/DI73</f>
        <v>501.03305785123968</v>
      </c>
      <c r="DJ126" s="202" t="s">
        <v>114</v>
      </c>
      <c r="DK126" s="204">
        <f t="shared" ref="DK126" si="546">1940000/DK73</f>
        <v>501.03305785123968</v>
      </c>
      <c r="DL126" s="202" t="s">
        <v>114</v>
      </c>
      <c r="DM126" s="204">
        <f t="shared" ref="DM126" si="547">1940000/DM73</f>
        <v>501.03305785123968</v>
      </c>
    </row>
    <row r="127" spans="1:117" s="65" customFormat="1" ht="18" hidden="1" customHeight="1" outlineLevel="1" x14ac:dyDescent="0.45">
      <c r="A127" s="561"/>
      <c r="B127" s="199"/>
      <c r="C127" s="200" t="s">
        <v>118</v>
      </c>
      <c r="D127" s="201"/>
      <c r="E127" s="201"/>
      <c r="F127" s="202" t="s">
        <v>114</v>
      </c>
      <c r="G127" s="204">
        <f>275000/G73</f>
        <v>77.464788732394368</v>
      </c>
      <c r="H127" s="202" t="s">
        <v>114</v>
      </c>
      <c r="I127" s="204">
        <f>275000/I73</f>
        <v>77.464788732394368</v>
      </c>
      <c r="J127" s="202" t="s">
        <v>114</v>
      </c>
      <c r="K127" s="204">
        <f t="shared" ref="K127" si="548">275000/K73</f>
        <v>77.464788732394368</v>
      </c>
      <c r="L127" s="202" t="s">
        <v>114</v>
      </c>
      <c r="M127" s="204">
        <f t="shared" ref="M127" si="549">275000/M73</f>
        <v>77.464788732394368</v>
      </c>
      <c r="N127" s="202" t="s">
        <v>114</v>
      </c>
      <c r="O127" s="204">
        <f>275000/O73</f>
        <v>77.464788732394368</v>
      </c>
      <c r="P127" s="202" t="s">
        <v>114</v>
      </c>
      <c r="Q127" s="204">
        <f>275000/Q73</f>
        <v>77.464788732394368</v>
      </c>
      <c r="R127" s="202" t="s">
        <v>114</v>
      </c>
      <c r="S127" s="204">
        <f>275000/S73</f>
        <v>77.464788732394368</v>
      </c>
      <c r="T127" s="202" t="s">
        <v>114</v>
      </c>
      <c r="U127" s="204">
        <f>275000/U73</f>
        <v>77.464788732394368</v>
      </c>
      <c r="V127" s="202" t="s">
        <v>114</v>
      </c>
      <c r="W127" s="204">
        <f>275000/W73</f>
        <v>77.464788732394368</v>
      </c>
      <c r="X127" s="202" t="s">
        <v>114</v>
      </c>
      <c r="Y127" s="204">
        <f>275000/Y73</f>
        <v>77.464788732394368</v>
      </c>
      <c r="Z127" s="202" t="s">
        <v>114</v>
      </c>
      <c r="AA127" s="204">
        <f>275000/AA73</f>
        <v>77.464788732394368</v>
      </c>
      <c r="AB127" s="202" t="s">
        <v>114</v>
      </c>
      <c r="AC127" s="204">
        <f>275000/AC73</f>
        <v>77.464788732394368</v>
      </c>
      <c r="AD127" s="202" t="s">
        <v>114</v>
      </c>
      <c r="AE127" s="204">
        <f>275000/AE73</f>
        <v>77.464788732394368</v>
      </c>
      <c r="AF127" s="620"/>
      <c r="AG127" s="697"/>
      <c r="AH127" s="202" t="s">
        <v>114</v>
      </c>
      <c r="AI127" s="204">
        <f>275000/AI73</f>
        <v>77.464788732394368</v>
      </c>
      <c r="AJ127" s="202" t="s">
        <v>114</v>
      </c>
      <c r="AK127" s="204">
        <f>275000/AK73</f>
        <v>77.464788732394368</v>
      </c>
      <c r="AL127" s="202" t="s">
        <v>114</v>
      </c>
      <c r="AM127" s="204">
        <f>275000/AM73</f>
        <v>77.464788732394368</v>
      </c>
      <c r="AN127" s="657"/>
      <c r="AO127" s="657"/>
      <c r="AP127" s="657"/>
      <c r="AR127" s="202" t="s">
        <v>114</v>
      </c>
      <c r="AS127" s="204">
        <f>275000/AS73</f>
        <v>77.464788732394368</v>
      </c>
      <c r="AT127" s="202" t="s">
        <v>114</v>
      </c>
      <c r="AU127" s="204">
        <f>275000/AU73</f>
        <v>77.464788732394368</v>
      </c>
      <c r="AV127" s="202" t="s">
        <v>114</v>
      </c>
      <c r="AW127" s="204">
        <f>275000/AW73</f>
        <v>77.464788732394368</v>
      </c>
      <c r="AX127" s="657"/>
      <c r="AY127" s="657"/>
      <c r="AZ127" s="657"/>
      <c r="BB127" s="202" t="s">
        <v>114</v>
      </c>
      <c r="BC127" s="204">
        <f>275000/BC73</f>
        <v>77.464788732394368</v>
      </c>
      <c r="BD127" s="202" t="s">
        <v>114</v>
      </c>
      <c r="BE127" s="204">
        <f>275000/BE73</f>
        <v>77.464788732394368</v>
      </c>
      <c r="BF127" s="202" t="s">
        <v>114</v>
      </c>
      <c r="BG127" s="204">
        <f>275000/BG73</f>
        <v>77.464788732394368</v>
      </c>
      <c r="BH127" s="657"/>
      <c r="BI127" s="657"/>
      <c r="BJ127" s="657"/>
      <c r="BL127" s="202" t="s">
        <v>114</v>
      </c>
      <c r="BM127" s="204">
        <f>275000/BM73</f>
        <v>77.464788732394368</v>
      </c>
      <c r="BN127" s="202" t="s">
        <v>114</v>
      </c>
      <c r="BO127" s="204">
        <f>275000/BO73</f>
        <v>77.464788732394368</v>
      </c>
      <c r="BP127" s="202" t="s">
        <v>114</v>
      </c>
      <c r="BQ127" s="204">
        <f>275000/BQ73</f>
        <v>77.464788732394368</v>
      </c>
      <c r="BR127" s="657"/>
      <c r="BS127" s="657"/>
      <c r="BT127" s="657"/>
      <c r="BV127" s="202" t="s">
        <v>114</v>
      </c>
      <c r="BW127" s="204">
        <f>275000/BW73</f>
        <v>77.464788732394368</v>
      </c>
      <c r="BY127" s="202" t="s">
        <v>114</v>
      </c>
      <c r="BZ127" s="204">
        <f>275000/BZ73</f>
        <v>77.464788732394368</v>
      </c>
      <c r="CA127" s="202" t="s">
        <v>114</v>
      </c>
      <c r="CB127" s="204">
        <f>275000/CB73</f>
        <v>77.464788732394368</v>
      </c>
      <c r="CC127" s="202" t="s">
        <v>114</v>
      </c>
      <c r="CD127" s="204">
        <f>275000/CD73</f>
        <v>77.464788732394368</v>
      </c>
      <c r="CF127" s="202" t="s">
        <v>114</v>
      </c>
      <c r="CG127" s="204">
        <f>275000/CG73</f>
        <v>77.464788732394368</v>
      </c>
      <c r="CH127" s="202" t="s">
        <v>114</v>
      </c>
      <c r="CI127" s="204">
        <f>275000/CI73</f>
        <v>77.464788732394368</v>
      </c>
      <c r="CJ127" s="202" t="s">
        <v>114</v>
      </c>
      <c r="CK127" s="204">
        <f>275000/CK73</f>
        <v>77.464788732394368</v>
      </c>
      <c r="CM127" s="202" t="s">
        <v>114</v>
      </c>
      <c r="CN127" s="204">
        <f>275000/CN73</f>
        <v>77.464788732394368</v>
      </c>
      <c r="CO127" s="202" t="s">
        <v>114</v>
      </c>
      <c r="CP127" s="204">
        <f>275000/CP73</f>
        <v>77.464788732394368</v>
      </c>
      <c r="CQ127" s="202" t="s">
        <v>114</v>
      </c>
      <c r="CR127" s="204">
        <f>275000/CR73</f>
        <v>77.464788732394368</v>
      </c>
      <c r="CT127" s="202" t="s">
        <v>114</v>
      </c>
      <c r="CU127" s="204">
        <f>275000/CU73</f>
        <v>71.022727272727266</v>
      </c>
      <c r="CV127" s="202" t="s">
        <v>114</v>
      </c>
      <c r="CW127" s="204">
        <f t="shared" ref="CW127" si="550">275000/CW73</f>
        <v>71.022727272727266</v>
      </c>
      <c r="CX127" s="202" t="s">
        <v>114</v>
      </c>
      <c r="CY127" s="204">
        <f t="shared" ref="CY127" si="551">275000/CY73</f>
        <v>71.022727272727266</v>
      </c>
      <c r="DA127" s="202" t="s">
        <v>114</v>
      </c>
      <c r="DB127" s="204">
        <f>275000/DB73</f>
        <v>71.022727272727266</v>
      </c>
      <c r="DC127" s="202" t="s">
        <v>114</v>
      </c>
      <c r="DD127" s="204">
        <f t="shared" ref="DD127" si="552">275000/DD73</f>
        <v>71.022727272727266</v>
      </c>
      <c r="DE127" s="202" t="s">
        <v>114</v>
      </c>
      <c r="DF127" s="204">
        <f t="shared" ref="DF127" si="553">275000/DF73</f>
        <v>71.022727272727266</v>
      </c>
      <c r="DH127" s="202" t="s">
        <v>114</v>
      </c>
      <c r="DI127" s="204">
        <f>275000/DI73</f>
        <v>71.022727272727266</v>
      </c>
      <c r="DJ127" s="202" t="s">
        <v>114</v>
      </c>
      <c r="DK127" s="204">
        <f t="shared" ref="DK127" si="554">275000/DK73</f>
        <v>71.022727272727266</v>
      </c>
      <c r="DL127" s="202" t="s">
        <v>114</v>
      </c>
      <c r="DM127" s="204">
        <f t="shared" ref="DM127" si="555">275000/DM73</f>
        <v>71.022727272727266</v>
      </c>
    </row>
    <row r="128" spans="1:117" s="65" customFormat="1" ht="18" hidden="1" customHeight="1" outlineLevel="1" x14ac:dyDescent="0.45">
      <c r="A128" s="561"/>
      <c r="B128" s="199"/>
      <c r="C128" s="200" t="s">
        <v>119</v>
      </c>
      <c r="D128" s="201"/>
      <c r="E128" s="201"/>
      <c r="F128" s="202" t="s">
        <v>114</v>
      </c>
      <c r="G128" s="204">
        <f>1280000/G73</f>
        <v>360.56338028169012</v>
      </c>
      <c r="H128" s="202" t="s">
        <v>114</v>
      </c>
      <c r="I128" s="204">
        <f>1280000/I73</f>
        <v>360.56338028169012</v>
      </c>
      <c r="J128" s="202" t="s">
        <v>114</v>
      </c>
      <c r="K128" s="204">
        <f t="shared" ref="K128" si="556">1280000/K73</f>
        <v>360.56338028169012</v>
      </c>
      <c r="L128" s="202" t="s">
        <v>114</v>
      </c>
      <c r="M128" s="204">
        <f t="shared" ref="M128" si="557">1280000/M73</f>
        <v>360.56338028169012</v>
      </c>
      <c r="N128" s="202" t="s">
        <v>114</v>
      </c>
      <c r="O128" s="204">
        <f>1280000/O73</f>
        <v>360.56338028169012</v>
      </c>
      <c r="P128" s="202" t="s">
        <v>114</v>
      </c>
      <c r="Q128" s="204">
        <f>1280000/Q73</f>
        <v>360.56338028169012</v>
      </c>
      <c r="R128" s="202" t="s">
        <v>114</v>
      </c>
      <c r="S128" s="204">
        <f>1280000/S73</f>
        <v>360.56338028169012</v>
      </c>
      <c r="T128" s="202" t="s">
        <v>114</v>
      </c>
      <c r="U128" s="204">
        <f>1280000/U73</f>
        <v>360.56338028169012</v>
      </c>
      <c r="V128" s="202" t="s">
        <v>114</v>
      </c>
      <c r="W128" s="204">
        <f>1280000/W73</f>
        <v>360.56338028169012</v>
      </c>
      <c r="X128" s="202" t="s">
        <v>114</v>
      </c>
      <c r="Y128" s="204">
        <f>1280000/Y73</f>
        <v>360.56338028169012</v>
      </c>
      <c r="Z128" s="202" t="s">
        <v>114</v>
      </c>
      <c r="AA128" s="204">
        <f>1280000/AA73</f>
        <v>360.56338028169012</v>
      </c>
      <c r="AB128" s="202" t="s">
        <v>114</v>
      </c>
      <c r="AC128" s="204">
        <f>1280000/AC73</f>
        <v>360.56338028169012</v>
      </c>
      <c r="AD128" s="202" t="s">
        <v>114</v>
      </c>
      <c r="AE128" s="204">
        <f>1280000/AE73</f>
        <v>360.56338028169012</v>
      </c>
      <c r="AF128" s="620"/>
      <c r="AG128" s="697"/>
      <c r="AH128" s="202" t="s">
        <v>114</v>
      </c>
      <c r="AI128" s="204">
        <f>1280000/AI73</f>
        <v>360.56338028169012</v>
      </c>
      <c r="AJ128" s="202" t="s">
        <v>114</v>
      </c>
      <c r="AK128" s="204">
        <f>1280000/AK73</f>
        <v>360.56338028169012</v>
      </c>
      <c r="AL128" s="202" t="s">
        <v>114</v>
      </c>
      <c r="AM128" s="204">
        <f>1280000/AM73</f>
        <v>360.56338028169012</v>
      </c>
      <c r="AN128" s="657"/>
      <c r="AO128" s="657"/>
      <c r="AP128" s="657"/>
      <c r="AR128" s="202" t="s">
        <v>114</v>
      </c>
      <c r="AS128" s="204">
        <f>1280000/AS73</f>
        <v>360.56338028169012</v>
      </c>
      <c r="AT128" s="202" t="s">
        <v>114</v>
      </c>
      <c r="AU128" s="204">
        <f>1280000/AU73</f>
        <v>360.56338028169012</v>
      </c>
      <c r="AV128" s="202" t="s">
        <v>114</v>
      </c>
      <c r="AW128" s="204">
        <f>1280000/AW73</f>
        <v>360.56338028169012</v>
      </c>
      <c r="AX128" s="657"/>
      <c r="AY128" s="657"/>
      <c r="AZ128" s="657"/>
      <c r="BB128" s="202" t="s">
        <v>114</v>
      </c>
      <c r="BC128" s="204">
        <f>1280000/BC73</f>
        <v>360.56338028169012</v>
      </c>
      <c r="BD128" s="202" t="s">
        <v>114</v>
      </c>
      <c r="BE128" s="204">
        <f>1280000/BE73</f>
        <v>360.56338028169012</v>
      </c>
      <c r="BF128" s="202" t="s">
        <v>114</v>
      </c>
      <c r="BG128" s="204">
        <f>1280000/BG73</f>
        <v>360.56338028169012</v>
      </c>
      <c r="BH128" s="657"/>
      <c r="BI128" s="657"/>
      <c r="BJ128" s="657"/>
      <c r="BL128" s="202" t="s">
        <v>114</v>
      </c>
      <c r="BM128" s="204">
        <f>1280000/BM73</f>
        <v>360.56338028169012</v>
      </c>
      <c r="BN128" s="202" t="s">
        <v>114</v>
      </c>
      <c r="BO128" s="204">
        <f>1280000/BO73</f>
        <v>360.56338028169012</v>
      </c>
      <c r="BP128" s="202" t="s">
        <v>114</v>
      </c>
      <c r="BQ128" s="204">
        <f>1280000/BQ73</f>
        <v>360.56338028169012</v>
      </c>
      <c r="BR128" s="657"/>
      <c r="BS128" s="657"/>
      <c r="BT128" s="657"/>
      <c r="BV128" s="202" t="s">
        <v>114</v>
      </c>
      <c r="BW128" s="204">
        <f>1280000/BW73</f>
        <v>360.56338028169012</v>
      </c>
      <c r="BY128" s="202" t="s">
        <v>114</v>
      </c>
      <c r="BZ128" s="204">
        <f>1280000/BZ73</f>
        <v>360.56338028169012</v>
      </c>
      <c r="CA128" s="202" t="s">
        <v>114</v>
      </c>
      <c r="CB128" s="204">
        <f>1280000/CB73</f>
        <v>360.56338028169012</v>
      </c>
      <c r="CC128" s="202" t="s">
        <v>114</v>
      </c>
      <c r="CD128" s="204">
        <f>1280000/CD73</f>
        <v>360.56338028169012</v>
      </c>
      <c r="CF128" s="202" t="s">
        <v>114</v>
      </c>
      <c r="CG128" s="204">
        <f>1280000/CG73</f>
        <v>360.56338028169012</v>
      </c>
      <c r="CH128" s="202" t="s">
        <v>114</v>
      </c>
      <c r="CI128" s="204">
        <f>1280000/CI73</f>
        <v>360.56338028169012</v>
      </c>
      <c r="CJ128" s="202" t="s">
        <v>114</v>
      </c>
      <c r="CK128" s="204">
        <f>1280000/CK73</f>
        <v>360.56338028169012</v>
      </c>
      <c r="CM128" s="202" t="s">
        <v>114</v>
      </c>
      <c r="CN128" s="204">
        <f>1280000/CN73</f>
        <v>360.56338028169012</v>
      </c>
      <c r="CO128" s="202" t="s">
        <v>114</v>
      </c>
      <c r="CP128" s="204">
        <f>1280000/CP73</f>
        <v>360.56338028169012</v>
      </c>
      <c r="CQ128" s="202" t="s">
        <v>114</v>
      </c>
      <c r="CR128" s="204">
        <f>1280000/CR73</f>
        <v>360.56338028169012</v>
      </c>
      <c r="CT128" s="202" t="s">
        <v>114</v>
      </c>
      <c r="CU128" s="204">
        <f>1280000/CU73</f>
        <v>330.57851239669424</v>
      </c>
      <c r="CV128" s="202" t="s">
        <v>114</v>
      </c>
      <c r="CW128" s="204">
        <f t="shared" ref="CW128" si="558">1280000/CW73</f>
        <v>330.57851239669424</v>
      </c>
      <c r="CX128" s="202" t="s">
        <v>114</v>
      </c>
      <c r="CY128" s="204">
        <f t="shared" ref="CY128" si="559">1280000/CY73</f>
        <v>330.57851239669424</v>
      </c>
      <c r="DA128" s="202" t="s">
        <v>114</v>
      </c>
      <c r="DB128" s="204">
        <f>1280000/DB73</f>
        <v>330.57851239669424</v>
      </c>
      <c r="DC128" s="202" t="s">
        <v>114</v>
      </c>
      <c r="DD128" s="204">
        <f t="shared" ref="DD128" si="560">1280000/DD73</f>
        <v>330.57851239669424</v>
      </c>
      <c r="DE128" s="202" t="s">
        <v>114</v>
      </c>
      <c r="DF128" s="204">
        <f t="shared" ref="DF128" si="561">1280000/DF73</f>
        <v>330.57851239669424</v>
      </c>
      <c r="DH128" s="202" t="s">
        <v>114</v>
      </c>
      <c r="DI128" s="204">
        <f>1280000/DI73</f>
        <v>330.57851239669424</v>
      </c>
      <c r="DJ128" s="202" t="s">
        <v>114</v>
      </c>
      <c r="DK128" s="204">
        <f t="shared" ref="DK128" si="562">1280000/DK73</f>
        <v>330.57851239669424</v>
      </c>
      <c r="DL128" s="202" t="s">
        <v>114</v>
      </c>
      <c r="DM128" s="204">
        <f t="shared" ref="DM128" si="563">1280000/DM73</f>
        <v>330.57851239669424</v>
      </c>
    </row>
    <row r="129" spans="1:117" s="65" customFormat="1" ht="18" hidden="1" customHeight="1" outlineLevel="1" x14ac:dyDescent="0.45">
      <c r="A129" s="561"/>
      <c r="B129" s="199"/>
      <c r="C129" s="200" t="s">
        <v>120</v>
      </c>
      <c r="D129" s="201"/>
      <c r="E129" s="201"/>
      <c r="F129" s="202" t="s">
        <v>114</v>
      </c>
      <c r="G129" s="204">
        <f>225000/G73</f>
        <v>63.380281690140848</v>
      </c>
      <c r="H129" s="202" t="s">
        <v>114</v>
      </c>
      <c r="I129" s="204">
        <f>225000/I73</f>
        <v>63.380281690140848</v>
      </c>
      <c r="J129" s="202" t="s">
        <v>114</v>
      </c>
      <c r="K129" s="204">
        <f t="shared" ref="K129" si="564">225000/K73</f>
        <v>63.380281690140848</v>
      </c>
      <c r="L129" s="202" t="s">
        <v>114</v>
      </c>
      <c r="M129" s="204">
        <f t="shared" ref="M129" si="565">225000/M73</f>
        <v>63.380281690140848</v>
      </c>
      <c r="N129" s="202" t="s">
        <v>114</v>
      </c>
      <c r="O129" s="204">
        <f>225000/O73</f>
        <v>63.380281690140848</v>
      </c>
      <c r="P129" s="202" t="s">
        <v>114</v>
      </c>
      <c r="Q129" s="204">
        <f>225000/Q73</f>
        <v>63.380281690140848</v>
      </c>
      <c r="R129" s="202" t="s">
        <v>114</v>
      </c>
      <c r="S129" s="204">
        <f>225000/S73</f>
        <v>63.380281690140848</v>
      </c>
      <c r="T129" s="202" t="s">
        <v>114</v>
      </c>
      <c r="U129" s="204">
        <f>225000/U73</f>
        <v>63.380281690140848</v>
      </c>
      <c r="V129" s="202" t="s">
        <v>114</v>
      </c>
      <c r="W129" s="204">
        <f>225000/W73</f>
        <v>63.380281690140848</v>
      </c>
      <c r="X129" s="202" t="s">
        <v>114</v>
      </c>
      <c r="Y129" s="204">
        <f>225000/Y73</f>
        <v>63.380281690140848</v>
      </c>
      <c r="Z129" s="202" t="s">
        <v>114</v>
      </c>
      <c r="AA129" s="204">
        <f>225000/AA73</f>
        <v>63.380281690140848</v>
      </c>
      <c r="AB129" s="202" t="s">
        <v>114</v>
      </c>
      <c r="AC129" s="204">
        <f>225000/AC73</f>
        <v>63.380281690140848</v>
      </c>
      <c r="AD129" s="202" t="s">
        <v>114</v>
      </c>
      <c r="AE129" s="204">
        <f>225000/AE73</f>
        <v>63.380281690140848</v>
      </c>
      <c r="AF129" s="620"/>
      <c r="AG129" s="697"/>
      <c r="AH129" s="202" t="s">
        <v>114</v>
      </c>
      <c r="AI129" s="204">
        <f>225000/AI73</f>
        <v>63.380281690140848</v>
      </c>
      <c r="AJ129" s="202" t="s">
        <v>114</v>
      </c>
      <c r="AK129" s="204">
        <f>225000/AK73</f>
        <v>63.380281690140848</v>
      </c>
      <c r="AL129" s="202" t="s">
        <v>114</v>
      </c>
      <c r="AM129" s="204">
        <f>225000/AM73</f>
        <v>63.380281690140848</v>
      </c>
      <c r="AN129" s="657"/>
      <c r="AO129" s="657"/>
      <c r="AP129" s="657"/>
      <c r="AR129" s="202" t="s">
        <v>114</v>
      </c>
      <c r="AS129" s="204">
        <f>225000/AS73</f>
        <v>63.380281690140848</v>
      </c>
      <c r="AT129" s="202" t="s">
        <v>114</v>
      </c>
      <c r="AU129" s="204">
        <f>225000/AU73</f>
        <v>63.380281690140848</v>
      </c>
      <c r="AV129" s="202" t="s">
        <v>114</v>
      </c>
      <c r="AW129" s="204">
        <f>225000/AW73</f>
        <v>63.380281690140848</v>
      </c>
      <c r="AX129" s="657"/>
      <c r="AY129" s="657"/>
      <c r="AZ129" s="657"/>
      <c r="BB129" s="202" t="s">
        <v>114</v>
      </c>
      <c r="BC129" s="204">
        <f>225000/BC73</f>
        <v>63.380281690140848</v>
      </c>
      <c r="BD129" s="202" t="s">
        <v>114</v>
      </c>
      <c r="BE129" s="204">
        <f>225000/BE73</f>
        <v>63.380281690140848</v>
      </c>
      <c r="BF129" s="202" t="s">
        <v>114</v>
      </c>
      <c r="BG129" s="204">
        <f>225000/BG73</f>
        <v>63.380281690140848</v>
      </c>
      <c r="BH129" s="657"/>
      <c r="BI129" s="657"/>
      <c r="BJ129" s="657"/>
      <c r="BL129" s="202" t="s">
        <v>114</v>
      </c>
      <c r="BM129" s="204">
        <f>225000/BM73</f>
        <v>63.380281690140848</v>
      </c>
      <c r="BN129" s="202" t="s">
        <v>114</v>
      </c>
      <c r="BO129" s="204">
        <f>225000/BO73</f>
        <v>63.380281690140848</v>
      </c>
      <c r="BP129" s="202" t="s">
        <v>114</v>
      </c>
      <c r="BQ129" s="204">
        <f>225000/BQ73</f>
        <v>63.380281690140848</v>
      </c>
      <c r="BR129" s="657"/>
      <c r="BS129" s="657"/>
      <c r="BT129" s="657"/>
      <c r="BV129" s="202" t="s">
        <v>114</v>
      </c>
      <c r="BW129" s="204">
        <f>225000/BW73</f>
        <v>63.380281690140848</v>
      </c>
      <c r="BY129" s="202" t="s">
        <v>114</v>
      </c>
      <c r="BZ129" s="204">
        <f>225000/BZ73</f>
        <v>63.380281690140848</v>
      </c>
      <c r="CA129" s="202" t="s">
        <v>114</v>
      </c>
      <c r="CB129" s="204">
        <f>225000/CB73</f>
        <v>63.380281690140848</v>
      </c>
      <c r="CC129" s="202" t="s">
        <v>114</v>
      </c>
      <c r="CD129" s="204">
        <f>225000/CD73</f>
        <v>63.380281690140848</v>
      </c>
      <c r="CF129" s="202" t="s">
        <v>114</v>
      </c>
      <c r="CG129" s="204">
        <f>225000/CG73</f>
        <v>63.380281690140848</v>
      </c>
      <c r="CH129" s="202" t="s">
        <v>114</v>
      </c>
      <c r="CI129" s="204">
        <f>225000/CI73</f>
        <v>63.380281690140848</v>
      </c>
      <c r="CJ129" s="202" t="s">
        <v>114</v>
      </c>
      <c r="CK129" s="204">
        <f>225000/CK73</f>
        <v>63.380281690140848</v>
      </c>
      <c r="CM129" s="202" t="s">
        <v>114</v>
      </c>
      <c r="CN129" s="204">
        <f>225000/CN73</f>
        <v>63.380281690140848</v>
      </c>
      <c r="CO129" s="202" t="s">
        <v>114</v>
      </c>
      <c r="CP129" s="204">
        <f>225000/CP73</f>
        <v>63.380281690140848</v>
      </c>
      <c r="CQ129" s="202" t="s">
        <v>114</v>
      </c>
      <c r="CR129" s="204">
        <f>225000/CR73</f>
        <v>63.380281690140848</v>
      </c>
      <c r="CT129" s="202" t="s">
        <v>114</v>
      </c>
      <c r="CU129" s="204">
        <f>225000/CU73</f>
        <v>58.109504132231407</v>
      </c>
      <c r="CV129" s="202" t="s">
        <v>114</v>
      </c>
      <c r="CW129" s="204">
        <f t="shared" ref="CW129" si="566">225000/CW73</f>
        <v>58.109504132231407</v>
      </c>
      <c r="CX129" s="202" t="s">
        <v>114</v>
      </c>
      <c r="CY129" s="204">
        <f t="shared" ref="CY129" si="567">225000/CY73</f>
        <v>58.109504132231407</v>
      </c>
      <c r="DA129" s="202" t="s">
        <v>114</v>
      </c>
      <c r="DB129" s="204">
        <f>225000/DB73</f>
        <v>58.109504132231407</v>
      </c>
      <c r="DC129" s="202" t="s">
        <v>114</v>
      </c>
      <c r="DD129" s="204">
        <f t="shared" ref="DD129" si="568">225000/DD73</f>
        <v>58.109504132231407</v>
      </c>
      <c r="DE129" s="202" t="s">
        <v>114</v>
      </c>
      <c r="DF129" s="204">
        <f t="shared" ref="DF129" si="569">225000/DF73</f>
        <v>58.109504132231407</v>
      </c>
      <c r="DH129" s="202" t="s">
        <v>114</v>
      </c>
      <c r="DI129" s="204">
        <f>225000/DI73</f>
        <v>58.109504132231407</v>
      </c>
      <c r="DJ129" s="202" t="s">
        <v>114</v>
      </c>
      <c r="DK129" s="204">
        <f t="shared" ref="DK129" si="570">225000/DK73</f>
        <v>58.109504132231407</v>
      </c>
      <c r="DL129" s="202" t="s">
        <v>114</v>
      </c>
      <c r="DM129" s="204">
        <f t="shared" ref="DM129" si="571">225000/DM73</f>
        <v>58.109504132231407</v>
      </c>
    </row>
    <row r="130" spans="1:117" s="4" customFormat="1" ht="18" hidden="1" customHeight="1" outlineLevel="1" thickBot="1" x14ac:dyDescent="0.5">
      <c r="A130" s="561"/>
      <c r="B130" s="205"/>
      <c r="C130" s="206" t="s">
        <v>121</v>
      </c>
      <c r="D130" s="207"/>
      <c r="E130" s="207"/>
      <c r="F130" s="208" t="s">
        <v>114</v>
      </c>
      <c r="G130" s="209">
        <f>(175*G86)/G73</f>
        <v>701.42957746478874</v>
      </c>
      <c r="H130" s="208" t="s">
        <v>114</v>
      </c>
      <c r="I130" s="209">
        <f>(175*I86)/I73</f>
        <v>701.42957746478874</v>
      </c>
      <c r="J130" s="208" t="s">
        <v>114</v>
      </c>
      <c r="K130" s="209">
        <f t="shared" ref="K130" si="572">(175*K86)/K73</f>
        <v>701.42957746478874</v>
      </c>
      <c r="L130" s="208" t="s">
        <v>114</v>
      </c>
      <c r="M130" s="209">
        <f t="shared" ref="M130" si="573">(175*M86)/M73</f>
        <v>701.42957746478874</v>
      </c>
      <c r="N130" s="208" t="s">
        <v>114</v>
      </c>
      <c r="O130" s="209">
        <f>(175*O86)/O73</f>
        <v>700</v>
      </c>
      <c r="P130" s="208" t="s">
        <v>114</v>
      </c>
      <c r="Q130" s="209">
        <f>(175*Q86)/Q73</f>
        <v>700</v>
      </c>
      <c r="R130" s="208" t="s">
        <v>114</v>
      </c>
      <c r="S130" s="209">
        <f>(175*S86)/S73</f>
        <v>700</v>
      </c>
      <c r="T130" s="208" t="s">
        <v>114</v>
      </c>
      <c r="U130" s="209">
        <f>(175*U86)/U73</f>
        <v>700</v>
      </c>
      <c r="V130" s="208" t="s">
        <v>114</v>
      </c>
      <c r="W130" s="209">
        <f>(175*W86)/W73</f>
        <v>700</v>
      </c>
      <c r="X130" s="208" t="s">
        <v>114</v>
      </c>
      <c r="Y130" s="209">
        <f>(175*Y86)/Y73</f>
        <v>700</v>
      </c>
      <c r="Z130" s="208" t="s">
        <v>114</v>
      </c>
      <c r="AA130" s="209">
        <f>(175*AA86)/AA73</f>
        <v>700</v>
      </c>
      <c r="AB130" s="208" t="s">
        <v>114</v>
      </c>
      <c r="AC130" s="209">
        <f>(175*AC86)/AC73</f>
        <v>700</v>
      </c>
      <c r="AD130" s="208" t="s">
        <v>114</v>
      </c>
      <c r="AE130" s="209">
        <f>(175*AE86)/AE73</f>
        <v>700</v>
      </c>
      <c r="AF130" s="620"/>
      <c r="AG130" s="698"/>
      <c r="AH130" s="208" t="s">
        <v>114</v>
      </c>
      <c r="AI130" s="209">
        <f>(175*AI86)/AI73</f>
        <v>700</v>
      </c>
      <c r="AJ130" s="208" t="s">
        <v>114</v>
      </c>
      <c r="AK130" s="209">
        <f>(175*AK86)/AK73</f>
        <v>700</v>
      </c>
      <c r="AL130" s="208" t="s">
        <v>114</v>
      </c>
      <c r="AM130" s="209">
        <f>(175*AM86)/AM73</f>
        <v>700</v>
      </c>
      <c r="AN130" s="721"/>
      <c r="AO130" s="721"/>
      <c r="AP130" s="721"/>
      <c r="AR130" s="208" t="s">
        <v>114</v>
      </c>
      <c r="AS130" s="209">
        <f>(175*AS86)/AS73</f>
        <v>700</v>
      </c>
      <c r="AT130" s="208" t="s">
        <v>114</v>
      </c>
      <c r="AU130" s="209">
        <f>(175*AU86)/AU73</f>
        <v>700</v>
      </c>
      <c r="AV130" s="208" t="s">
        <v>114</v>
      </c>
      <c r="AW130" s="209">
        <f>(175*AW86)/AW73</f>
        <v>700</v>
      </c>
      <c r="AX130" s="721"/>
      <c r="AY130" s="721"/>
      <c r="AZ130" s="721"/>
      <c r="BB130" s="208" t="s">
        <v>114</v>
      </c>
      <c r="BC130" s="209">
        <f>(175*BC86)/BC73</f>
        <v>700</v>
      </c>
      <c r="BD130" s="208" t="s">
        <v>114</v>
      </c>
      <c r="BE130" s="209">
        <f>(175*BE86)/BE73</f>
        <v>700</v>
      </c>
      <c r="BF130" s="208" t="s">
        <v>114</v>
      </c>
      <c r="BG130" s="209">
        <f>(175*BG86)/BG73</f>
        <v>700</v>
      </c>
      <c r="BH130" s="721"/>
      <c r="BI130" s="721"/>
      <c r="BJ130" s="721"/>
      <c r="BL130" s="208" t="s">
        <v>114</v>
      </c>
      <c r="BM130" s="209">
        <f>(175*BM86)/BM73</f>
        <v>700</v>
      </c>
      <c r="BN130" s="208" t="s">
        <v>114</v>
      </c>
      <c r="BO130" s="209">
        <f>(175*BO86)/BO73</f>
        <v>700</v>
      </c>
      <c r="BP130" s="208" t="s">
        <v>114</v>
      </c>
      <c r="BQ130" s="209">
        <f>(175*BQ86)/BQ73</f>
        <v>700</v>
      </c>
      <c r="BR130" s="721"/>
      <c r="BS130" s="721"/>
      <c r="BT130" s="721"/>
      <c r="BV130" s="208" t="s">
        <v>114</v>
      </c>
      <c r="BW130" s="209">
        <f>(175*BW86)/BW73</f>
        <v>700</v>
      </c>
      <c r="BY130" s="208" t="s">
        <v>114</v>
      </c>
      <c r="BZ130" s="209">
        <f>(175*BZ86)/BZ73</f>
        <v>700</v>
      </c>
      <c r="CA130" s="208" t="s">
        <v>114</v>
      </c>
      <c r="CB130" s="209">
        <f>(175*CB86)/CB73</f>
        <v>700</v>
      </c>
      <c r="CC130" s="208" t="s">
        <v>114</v>
      </c>
      <c r="CD130" s="209">
        <f>(175*CD86)/CD73</f>
        <v>700</v>
      </c>
      <c r="CF130" s="208" t="s">
        <v>114</v>
      </c>
      <c r="CG130" s="209">
        <f>(175*CG86)/CG73</f>
        <v>700</v>
      </c>
      <c r="CH130" s="208" t="s">
        <v>114</v>
      </c>
      <c r="CI130" s="209">
        <f>(175*CI86)/CI73</f>
        <v>700</v>
      </c>
      <c r="CJ130" s="208" t="s">
        <v>114</v>
      </c>
      <c r="CK130" s="209">
        <f>(175*CK86)/CK73</f>
        <v>700</v>
      </c>
      <c r="CM130" s="208" t="s">
        <v>114</v>
      </c>
      <c r="CN130" s="209">
        <f>(175*CN86)/CN73</f>
        <v>700</v>
      </c>
      <c r="CO130" s="208" t="s">
        <v>114</v>
      </c>
      <c r="CP130" s="209">
        <f>(175*CP86)/CP73</f>
        <v>700</v>
      </c>
      <c r="CQ130" s="208" t="s">
        <v>114</v>
      </c>
      <c r="CR130" s="209">
        <f>(175*CR86)/CR73</f>
        <v>700</v>
      </c>
      <c r="CT130" s="208" t="s">
        <v>114</v>
      </c>
      <c r="CU130" s="209">
        <f>(175*CU86)/CU73</f>
        <v>641.78719008264466</v>
      </c>
      <c r="CV130" s="208" t="s">
        <v>114</v>
      </c>
      <c r="CW130" s="209">
        <f t="shared" ref="CW130" si="574">(175*CW86)/CW73</f>
        <v>641.78719008264466</v>
      </c>
      <c r="CX130" s="208" t="s">
        <v>114</v>
      </c>
      <c r="CY130" s="209">
        <f t="shared" ref="CY130" si="575">(175*CY86)/CY73</f>
        <v>641.78719008264466</v>
      </c>
      <c r="DA130" s="208" t="s">
        <v>114</v>
      </c>
      <c r="DB130" s="209">
        <f>(175*DB86)/DB73</f>
        <v>641.78719008264466</v>
      </c>
      <c r="DC130" s="208" t="s">
        <v>114</v>
      </c>
      <c r="DD130" s="209">
        <f t="shared" ref="DD130" si="576">(175*DD86)/DD73</f>
        <v>641.78719008264466</v>
      </c>
      <c r="DE130" s="208" t="s">
        <v>114</v>
      </c>
      <c r="DF130" s="209">
        <f t="shared" ref="DF130" si="577">(175*DF86)/DF73</f>
        <v>641.78719008264466</v>
      </c>
      <c r="DH130" s="208" t="s">
        <v>114</v>
      </c>
      <c r="DI130" s="209">
        <f>(175*DI86)/DI73</f>
        <v>641.78719008264466</v>
      </c>
      <c r="DJ130" s="208" t="s">
        <v>114</v>
      </c>
      <c r="DK130" s="209">
        <f t="shared" ref="DK130" si="578">(175*DK86)/DK73</f>
        <v>641.78719008264466</v>
      </c>
      <c r="DL130" s="208" t="s">
        <v>114</v>
      </c>
      <c r="DM130" s="209">
        <f t="shared" ref="DM130" si="579">(175*DM86)/DM73</f>
        <v>641.78719008264466</v>
      </c>
    </row>
    <row r="131" spans="1:117" ht="15" customHeight="1" collapsed="1" thickTop="1" x14ac:dyDescent="0.45">
      <c r="A131" s="561"/>
      <c r="B131" s="1187"/>
      <c r="C131" s="161"/>
      <c r="D131" s="162"/>
      <c r="E131" s="210"/>
      <c r="F131" s="164"/>
      <c r="G131" s="165"/>
      <c r="H131" s="164"/>
      <c r="I131" s="165"/>
      <c r="J131" s="164"/>
      <c r="K131" s="165"/>
      <c r="L131" s="164"/>
      <c r="M131" s="165"/>
      <c r="N131" s="359"/>
      <c r="O131" s="368"/>
      <c r="P131" s="359"/>
      <c r="Q131" s="368"/>
      <c r="R131" s="359"/>
      <c r="S131" s="368"/>
      <c r="T131" s="359"/>
      <c r="U131" s="368"/>
      <c r="V131" s="359"/>
      <c r="W131" s="368"/>
      <c r="X131" s="359"/>
      <c r="Y131" s="368"/>
      <c r="Z131" s="359"/>
      <c r="AA131" s="368"/>
      <c r="AB131" s="359"/>
      <c r="AC131" s="368"/>
      <c r="AD131" s="359"/>
      <c r="AE131" s="368"/>
      <c r="AF131" s="620"/>
      <c r="AG131" s="630"/>
      <c r="AH131" s="359"/>
      <c r="AI131" s="368"/>
      <c r="AJ131" s="359"/>
      <c r="AK131" s="368"/>
      <c r="AL131" s="359"/>
      <c r="AM131" s="368"/>
      <c r="AN131" s="630"/>
      <c r="AO131" s="630"/>
      <c r="AP131" s="630"/>
      <c r="AR131" s="359"/>
      <c r="AS131" s="368"/>
      <c r="AT131" s="359"/>
      <c r="AU131" s="368"/>
      <c r="AV131" s="359"/>
      <c r="AW131" s="368"/>
      <c r="AX131" s="630"/>
      <c r="AY131" s="630"/>
      <c r="AZ131" s="630"/>
      <c r="BB131" s="359"/>
      <c r="BC131" s="368"/>
      <c r="BD131" s="359"/>
      <c r="BE131" s="368"/>
      <c r="BF131" s="359"/>
      <c r="BG131" s="368"/>
      <c r="BH131" s="630"/>
      <c r="BI131" s="630"/>
      <c r="BJ131" s="630"/>
      <c r="BL131" s="359"/>
      <c r="BM131" s="368"/>
      <c r="BN131" s="359"/>
      <c r="BO131" s="368"/>
      <c r="BP131" s="359"/>
      <c r="BQ131" s="368"/>
      <c r="BR131" s="630"/>
      <c r="BS131" s="630"/>
      <c r="BT131" s="630"/>
      <c r="BU131" s="934"/>
      <c r="BV131" s="359"/>
      <c r="BW131" s="368"/>
      <c r="BY131" s="359"/>
      <c r="BZ131" s="368"/>
      <c r="CA131" s="359"/>
      <c r="CB131" s="368"/>
      <c r="CC131" s="359"/>
      <c r="CD131" s="368"/>
      <c r="CE131" s="934"/>
      <c r="CF131" s="359"/>
      <c r="CG131" s="368"/>
      <c r="CH131" s="359"/>
      <c r="CI131" s="368"/>
      <c r="CJ131" s="359"/>
      <c r="CK131" s="368"/>
      <c r="CM131" s="359"/>
      <c r="CN131" s="368"/>
      <c r="CO131" s="359"/>
      <c r="CP131" s="368"/>
      <c r="CQ131" s="359"/>
      <c r="CR131" s="368"/>
      <c r="CT131" s="359"/>
      <c r="CU131" s="368"/>
      <c r="CV131" s="359"/>
      <c r="CW131" s="368"/>
      <c r="CX131" s="359"/>
      <c r="CY131" s="368"/>
      <c r="DA131" s="359"/>
      <c r="DB131" s="368"/>
      <c r="DC131" s="359"/>
      <c r="DD131" s="368"/>
      <c r="DE131" s="359"/>
      <c r="DF131" s="368"/>
      <c r="DH131" s="359"/>
      <c r="DI131" s="368"/>
      <c r="DJ131" s="359"/>
      <c r="DK131" s="368"/>
      <c r="DL131" s="359"/>
      <c r="DM131" s="368"/>
    </row>
    <row r="132" spans="1:117" ht="15" hidden="1" customHeight="1" outlineLevel="1" x14ac:dyDescent="0.45">
      <c r="A132" s="561"/>
      <c r="B132" s="1187"/>
      <c r="C132" s="211" t="s">
        <v>122</v>
      </c>
      <c r="D132" s="212"/>
      <c r="E132" s="213" t="s">
        <v>123</v>
      </c>
      <c r="F132" s="214"/>
      <c r="G132" s="215">
        <v>11492280</v>
      </c>
      <c r="H132" s="214"/>
      <c r="I132" s="215">
        <v>11492280</v>
      </c>
      <c r="J132" s="214"/>
      <c r="K132" s="215">
        <v>11492280</v>
      </c>
      <c r="L132" s="214"/>
      <c r="M132" s="215">
        <v>11492280</v>
      </c>
      <c r="N132" s="214"/>
      <c r="O132" s="215">
        <v>11492280</v>
      </c>
      <c r="P132" s="214"/>
      <c r="Q132" s="215">
        <f>O132</f>
        <v>11492280</v>
      </c>
      <c r="R132" s="214"/>
      <c r="S132" s="215">
        <f>Q132</f>
        <v>11492280</v>
      </c>
      <c r="T132" s="214"/>
      <c r="U132" s="215">
        <v>11492280</v>
      </c>
      <c r="V132" s="214"/>
      <c r="W132" s="215">
        <f>U132</f>
        <v>11492280</v>
      </c>
      <c r="X132" s="214"/>
      <c r="Y132" s="215">
        <f>W132</f>
        <v>11492280</v>
      </c>
      <c r="Z132" s="214"/>
      <c r="AA132" s="215">
        <v>11492280</v>
      </c>
      <c r="AB132" s="214"/>
      <c r="AC132" s="215">
        <f>AA132</f>
        <v>11492280</v>
      </c>
      <c r="AD132" s="214"/>
      <c r="AE132" s="215">
        <f>AC132</f>
        <v>11492280</v>
      </c>
      <c r="AF132" s="620"/>
      <c r="AG132" s="699"/>
      <c r="AH132" s="214"/>
      <c r="AI132" s="215">
        <f>S132</f>
        <v>11492280</v>
      </c>
      <c r="AJ132" s="214"/>
      <c r="AK132" s="215">
        <f>AI132</f>
        <v>11492280</v>
      </c>
      <c r="AL132" s="214"/>
      <c r="AM132" s="215">
        <f>AK132</f>
        <v>11492280</v>
      </c>
      <c r="AN132" s="659"/>
      <c r="AO132" s="659"/>
      <c r="AP132" s="659"/>
      <c r="AR132" s="214"/>
      <c r="AS132" s="215">
        <f>AM132</f>
        <v>11492280</v>
      </c>
      <c r="AT132" s="214"/>
      <c r="AU132" s="215">
        <f>AS132</f>
        <v>11492280</v>
      </c>
      <c r="AV132" s="214"/>
      <c r="AW132" s="215">
        <f>AU132</f>
        <v>11492280</v>
      </c>
      <c r="AX132" s="659"/>
      <c r="AY132" s="659"/>
      <c r="AZ132" s="659"/>
      <c r="BB132" s="214"/>
      <c r="BC132" s="215">
        <f>AW132</f>
        <v>11492280</v>
      </c>
      <c r="BD132" s="214"/>
      <c r="BE132" s="215">
        <f>BC132</f>
        <v>11492280</v>
      </c>
      <c r="BF132" s="214"/>
      <c r="BG132" s="215">
        <f>BE132</f>
        <v>11492280</v>
      </c>
      <c r="BH132" s="659"/>
      <c r="BI132" s="659"/>
      <c r="BJ132" s="659"/>
      <c r="BL132" s="214"/>
      <c r="BM132" s="215">
        <f>BG132</f>
        <v>11492280</v>
      </c>
      <c r="BN132" s="214"/>
      <c r="BO132" s="215">
        <f>BM132</f>
        <v>11492280</v>
      </c>
      <c r="BP132" s="214"/>
      <c r="BQ132" s="215">
        <f>BO132</f>
        <v>11492280</v>
      </c>
      <c r="BR132" s="659"/>
      <c r="BS132" s="659"/>
      <c r="BT132" s="659"/>
      <c r="BV132" s="214"/>
      <c r="BW132" s="215">
        <f>BO132</f>
        <v>11492280</v>
      </c>
      <c r="BY132" s="214"/>
      <c r="BZ132" s="215">
        <f>BW132</f>
        <v>11492280</v>
      </c>
      <c r="CA132" s="214"/>
      <c r="CB132" s="215">
        <f>BY132</f>
        <v>0</v>
      </c>
      <c r="CC132" s="214"/>
      <c r="CD132" s="215">
        <f>CA132</f>
        <v>0</v>
      </c>
      <c r="CF132" s="214"/>
      <c r="CG132" s="215">
        <f>BQ132</f>
        <v>11492280</v>
      </c>
      <c r="CH132" s="214"/>
      <c r="CI132" s="215">
        <f>BS132</f>
        <v>0</v>
      </c>
      <c r="CJ132" s="214"/>
      <c r="CK132" s="215">
        <f>BU132</f>
        <v>0</v>
      </c>
      <c r="CM132" s="214"/>
      <c r="CN132" s="215">
        <f>BX132</f>
        <v>0</v>
      </c>
      <c r="CO132" s="214"/>
      <c r="CP132" s="215">
        <f>BZ132</f>
        <v>11492280</v>
      </c>
      <c r="CQ132" s="214"/>
      <c r="CR132" s="215">
        <f>CB132</f>
        <v>0</v>
      </c>
      <c r="CT132" s="214"/>
      <c r="CU132" s="215">
        <v>33580560</v>
      </c>
      <c r="CV132" s="214"/>
      <c r="CW132" s="215">
        <v>33580560</v>
      </c>
      <c r="CX132" s="214"/>
      <c r="CY132" s="215">
        <v>33580560</v>
      </c>
      <c r="DA132" s="214"/>
      <c r="DB132" s="215">
        <v>33580560</v>
      </c>
      <c r="DC132" s="214"/>
      <c r="DD132" s="215">
        <v>33580560</v>
      </c>
      <c r="DE132" s="214"/>
      <c r="DF132" s="215">
        <v>33580560</v>
      </c>
      <c r="DH132" s="214"/>
      <c r="DI132" s="215">
        <v>33580560</v>
      </c>
      <c r="DJ132" s="214"/>
      <c r="DK132" s="215">
        <v>33580560</v>
      </c>
      <c r="DL132" s="214"/>
      <c r="DM132" s="215">
        <v>33580560</v>
      </c>
    </row>
    <row r="133" spans="1:117" ht="15" hidden="1" customHeight="1" outlineLevel="1" x14ac:dyDescent="0.45">
      <c r="A133" s="561"/>
      <c r="B133" s="1187"/>
      <c r="C133" s="211"/>
      <c r="D133" s="212"/>
      <c r="E133" s="213" t="s">
        <v>125</v>
      </c>
      <c r="F133" s="214"/>
      <c r="G133" s="215"/>
      <c r="H133" s="214"/>
      <c r="I133" s="215"/>
      <c r="J133" s="214"/>
      <c r="K133" s="215"/>
      <c r="L133" s="214"/>
      <c r="M133" s="215"/>
      <c r="N133" s="214"/>
      <c r="O133" s="215">
        <f>O132/O10</f>
        <v>287307</v>
      </c>
      <c r="P133" s="214"/>
      <c r="Q133" s="215">
        <f>Q132/Q10</f>
        <v>287307</v>
      </c>
      <c r="R133" s="214"/>
      <c r="S133" s="215">
        <f>S132/S10</f>
        <v>287307</v>
      </c>
      <c r="T133" s="214"/>
      <c r="U133" s="215">
        <f>U132/U10</f>
        <v>287307</v>
      </c>
      <c r="V133" s="214"/>
      <c r="W133" s="215">
        <f>W132/W10</f>
        <v>287307</v>
      </c>
      <c r="X133" s="214"/>
      <c r="Y133" s="215">
        <f>Y132/Y10</f>
        <v>287307</v>
      </c>
      <c r="Z133" s="214"/>
      <c r="AA133" s="215">
        <f>AA132/AA10</f>
        <v>287307</v>
      </c>
      <c r="AB133" s="214"/>
      <c r="AC133" s="215">
        <f>AC132/AC10</f>
        <v>287307</v>
      </c>
      <c r="AD133" s="214"/>
      <c r="AE133" s="215">
        <f>AE132/AE10</f>
        <v>287307</v>
      </c>
      <c r="AF133" s="620"/>
      <c r="AG133" s="699"/>
      <c r="AH133" s="214"/>
      <c r="AI133" s="215">
        <f>AI132/AI10</f>
        <v>287307</v>
      </c>
      <c r="AJ133" s="214"/>
      <c r="AK133" s="215">
        <f>AK132/AK10</f>
        <v>287307</v>
      </c>
      <c r="AL133" s="214"/>
      <c r="AM133" s="215">
        <f>AM132/AM10</f>
        <v>287307</v>
      </c>
      <c r="AN133" s="659"/>
      <c r="AO133" s="659"/>
      <c r="AP133" s="659"/>
      <c r="AR133" s="214"/>
      <c r="AS133" s="215">
        <f>AS132/AS10</f>
        <v>287307</v>
      </c>
      <c r="AT133" s="214"/>
      <c r="AU133" s="215">
        <f>AU132/AU10</f>
        <v>287307</v>
      </c>
      <c r="AV133" s="214"/>
      <c r="AW133" s="215">
        <f>AW132/AW10</f>
        <v>287307</v>
      </c>
      <c r="AX133" s="659"/>
      <c r="AY133" s="659"/>
      <c r="AZ133" s="659"/>
      <c r="BB133" s="214"/>
      <c r="BC133" s="215">
        <f>BC132/BC10</f>
        <v>287307</v>
      </c>
      <c r="BD133" s="214"/>
      <c r="BE133" s="215">
        <f>BE132/BE10</f>
        <v>287307</v>
      </c>
      <c r="BF133" s="214"/>
      <c r="BG133" s="215">
        <f>BG132/BG10</f>
        <v>287307</v>
      </c>
      <c r="BH133" s="659"/>
      <c r="BI133" s="659"/>
      <c r="BJ133" s="659"/>
      <c r="BL133" s="214"/>
      <c r="BM133" s="215">
        <f>BM132/BM10</f>
        <v>287307</v>
      </c>
      <c r="BN133" s="214"/>
      <c r="BO133" s="215">
        <f>BO132/BO10</f>
        <v>287307</v>
      </c>
      <c r="BP133" s="214"/>
      <c r="BQ133" s="215">
        <f>BQ132/BQ10</f>
        <v>287307</v>
      </c>
      <c r="BR133" s="659"/>
      <c r="BS133" s="659"/>
      <c r="BT133" s="659"/>
      <c r="BV133" s="214"/>
      <c r="BW133" s="215">
        <f>BW132/BW10</f>
        <v>287307</v>
      </c>
      <c r="BY133" s="214"/>
      <c r="BZ133" s="215">
        <f>BZ132/BZ10</f>
        <v>287307</v>
      </c>
      <c r="CA133" s="214"/>
      <c r="CB133" s="215">
        <f>CB132/CB10</f>
        <v>0</v>
      </c>
      <c r="CC133" s="214"/>
      <c r="CD133" s="215">
        <f>CD132/CD10</f>
        <v>0</v>
      </c>
      <c r="CF133" s="214"/>
      <c r="CG133" s="215">
        <f>CG132/CG10</f>
        <v>287307</v>
      </c>
      <c r="CH133" s="214"/>
      <c r="CI133" s="215">
        <f>CI132/CI10</f>
        <v>0</v>
      </c>
      <c r="CJ133" s="214"/>
      <c r="CK133" s="215">
        <f>CK132/CK10</f>
        <v>0</v>
      </c>
      <c r="CM133" s="214"/>
      <c r="CN133" s="215">
        <f>CN132/CN10</f>
        <v>0</v>
      </c>
      <c r="CO133" s="214"/>
      <c r="CP133" s="215">
        <f>CP132/CP10</f>
        <v>287307</v>
      </c>
      <c r="CQ133" s="214"/>
      <c r="CR133" s="215">
        <f>CR132/CR10</f>
        <v>0</v>
      </c>
      <c r="CT133" s="214"/>
      <c r="CU133" s="215">
        <f>CU132/CU10</f>
        <v>839514</v>
      </c>
      <c r="CV133" s="214"/>
      <c r="CW133" s="215">
        <f>CW132/CW10</f>
        <v>839514</v>
      </c>
      <c r="CX133" s="214"/>
      <c r="CY133" s="215">
        <f>CY132/CY10</f>
        <v>839514</v>
      </c>
      <c r="DA133" s="214"/>
      <c r="DB133" s="215">
        <f>DB132/DB10</f>
        <v>839514</v>
      </c>
      <c r="DC133" s="214"/>
      <c r="DD133" s="215">
        <f>DD132/DD10</f>
        <v>839514</v>
      </c>
      <c r="DE133" s="214"/>
      <c r="DF133" s="215">
        <f>DF132/DF10</f>
        <v>839514</v>
      </c>
      <c r="DH133" s="214"/>
      <c r="DI133" s="215">
        <f>DI132/DI10</f>
        <v>839514</v>
      </c>
      <c r="DJ133" s="214"/>
      <c r="DK133" s="215">
        <f>DK132/DK10</f>
        <v>839514</v>
      </c>
      <c r="DL133" s="214"/>
      <c r="DM133" s="215">
        <f>DM132/DM10</f>
        <v>839514</v>
      </c>
    </row>
    <row r="134" spans="1:117" ht="15" hidden="1" customHeight="1" outlineLevel="1" x14ac:dyDescent="0.45">
      <c r="A134" s="561"/>
      <c r="B134" s="1187"/>
      <c r="C134" s="211"/>
      <c r="D134" s="212"/>
      <c r="E134" s="213" t="s">
        <v>126</v>
      </c>
      <c r="F134" s="214"/>
      <c r="G134" s="215"/>
      <c r="H134" s="214"/>
      <c r="I134" s="215"/>
      <c r="J134" s="214"/>
      <c r="K134" s="215"/>
      <c r="L134" s="214"/>
      <c r="M134" s="215"/>
      <c r="N134" s="214"/>
      <c r="O134" s="215">
        <f>O133/O73</f>
        <v>80.931549295774644</v>
      </c>
      <c r="P134" s="214"/>
      <c r="Q134" s="215">
        <f>Q133/Q73</f>
        <v>80.931549295774644</v>
      </c>
      <c r="R134" s="214"/>
      <c r="S134" s="215">
        <f>S133/S73</f>
        <v>80.931549295774644</v>
      </c>
      <c r="T134" s="214"/>
      <c r="U134" s="215">
        <f>U133/U73</f>
        <v>80.931549295774644</v>
      </c>
      <c r="V134" s="214"/>
      <c r="W134" s="215">
        <f>W133/W73</f>
        <v>80.931549295774644</v>
      </c>
      <c r="X134" s="214"/>
      <c r="Y134" s="215">
        <f>Y133/Y73</f>
        <v>80.931549295774644</v>
      </c>
      <c r="Z134" s="214"/>
      <c r="AA134" s="215">
        <f>AA133/AA73</f>
        <v>80.931549295774644</v>
      </c>
      <c r="AB134" s="214"/>
      <c r="AC134" s="215">
        <f>AC133/AC73</f>
        <v>80.931549295774644</v>
      </c>
      <c r="AD134" s="214"/>
      <c r="AE134" s="215">
        <f>AE133/AE73</f>
        <v>80.931549295774644</v>
      </c>
      <c r="AF134" s="620"/>
      <c r="AG134" s="699"/>
      <c r="AH134" s="214"/>
      <c r="AI134" s="215">
        <f>AI133/AI73</f>
        <v>80.931549295774644</v>
      </c>
      <c r="AJ134" s="214"/>
      <c r="AK134" s="215">
        <f>AK133/AK73</f>
        <v>80.931549295774644</v>
      </c>
      <c r="AL134" s="214"/>
      <c r="AM134" s="215">
        <f>AM133/AM73</f>
        <v>80.931549295774644</v>
      </c>
      <c r="AN134" s="659"/>
      <c r="AO134" s="659"/>
      <c r="AP134" s="659"/>
      <c r="AR134" s="214"/>
      <c r="AS134" s="215">
        <f>AS133/AS73</f>
        <v>80.931549295774644</v>
      </c>
      <c r="AT134" s="214"/>
      <c r="AU134" s="215">
        <f>AU133/AU73</f>
        <v>80.931549295774644</v>
      </c>
      <c r="AV134" s="214"/>
      <c r="AW134" s="215">
        <f>AW133/AW73</f>
        <v>80.931549295774644</v>
      </c>
      <c r="AX134" s="659"/>
      <c r="AY134" s="659"/>
      <c r="AZ134" s="659"/>
      <c r="BB134" s="214"/>
      <c r="BC134" s="215">
        <f>BC133/BC73</f>
        <v>80.931549295774644</v>
      </c>
      <c r="BD134" s="214"/>
      <c r="BE134" s="215">
        <f>BE133/BE73</f>
        <v>80.931549295774644</v>
      </c>
      <c r="BF134" s="214"/>
      <c r="BG134" s="215">
        <f>BG133/BG73</f>
        <v>80.931549295774644</v>
      </c>
      <c r="BH134" s="659"/>
      <c r="BI134" s="659"/>
      <c r="BJ134" s="659"/>
      <c r="BL134" s="214"/>
      <c r="BM134" s="215">
        <f>BM133/BM73</f>
        <v>80.931549295774644</v>
      </c>
      <c r="BN134" s="214"/>
      <c r="BO134" s="215">
        <f>BO133/BO73</f>
        <v>80.931549295774644</v>
      </c>
      <c r="BP134" s="214"/>
      <c r="BQ134" s="215">
        <f>BQ133/BQ73</f>
        <v>80.931549295774644</v>
      </c>
      <c r="BR134" s="659"/>
      <c r="BS134" s="659"/>
      <c r="BT134" s="659"/>
      <c r="BV134" s="214"/>
      <c r="BW134" s="215">
        <f>BW133/BW73</f>
        <v>80.931549295774644</v>
      </c>
      <c r="BY134" s="214"/>
      <c r="BZ134" s="215">
        <f>BZ133/BZ73</f>
        <v>80.931549295774644</v>
      </c>
      <c r="CA134" s="214"/>
      <c r="CB134" s="215">
        <f>CB133/CB73</f>
        <v>0</v>
      </c>
      <c r="CC134" s="214"/>
      <c r="CD134" s="215">
        <f>CD133/CD73</f>
        <v>0</v>
      </c>
      <c r="CF134" s="214"/>
      <c r="CG134" s="215">
        <f>CG133/CG73</f>
        <v>80.931549295774644</v>
      </c>
      <c r="CH134" s="214"/>
      <c r="CI134" s="215">
        <f>CI133/CI73</f>
        <v>0</v>
      </c>
      <c r="CJ134" s="214"/>
      <c r="CK134" s="215">
        <f>CK133/CK73</f>
        <v>0</v>
      </c>
      <c r="CM134" s="214"/>
      <c r="CN134" s="215">
        <f>CN133/CN73</f>
        <v>0</v>
      </c>
      <c r="CO134" s="214"/>
      <c r="CP134" s="215">
        <f>CP133/CP73</f>
        <v>80.931549295774644</v>
      </c>
      <c r="CQ134" s="214"/>
      <c r="CR134" s="215">
        <f>CR133/CR73</f>
        <v>0</v>
      </c>
      <c r="CT134" s="214"/>
      <c r="CU134" s="215">
        <f>CU133/CU73</f>
        <v>216.81663223140495</v>
      </c>
      <c r="CV134" s="214"/>
      <c r="CW134" s="215">
        <f t="shared" ref="CW134" si="580">CW133/CW73</f>
        <v>216.81663223140495</v>
      </c>
      <c r="CX134" s="214"/>
      <c r="CY134" s="215">
        <f t="shared" ref="CY134" si="581">CY133/CY73</f>
        <v>216.81663223140495</v>
      </c>
      <c r="DA134" s="214"/>
      <c r="DB134" s="215">
        <f>DB133/DB73</f>
        <v>216.81663223140495</v>
      </c>
      <c r="DC134" s="214"/>
      <c r="DD134" s="215">
        <f t="shared" ref="DD134" si="582">DD133/DD73</f>
        <v>216.81663223140495</v>
      </c>
      <c r="DE134" s="214"/>
      <c r="DF134" s="215">
        <f t="shared" ref="DF134" si="583">DF133/DF73</f>
        <v>216.81663223140495</v>
      </c>
      <c r="DH134" s="214"/>
      <c r="DI134" s="215">
        <f>DI133/DI73</f>
        <v>216.81663223140495</v>
      </c>
      <c r="DJ134" s="214"/>
      <c r="DK134" s="215">
        <f t="shared" ref="DK134" si="584">DK133/DK73</f>
        <v>216.81663223140495</v>
      </c>
      <c r="DL134" s="214"/>
      <c r="DM134" s="215">
        <f t="shared" ref="DM134" si="585">DM133/DM73</f>
        <v>216.81663223140495</v>
      </c>
    </row>
    <row r="135" spans="1:117" ht="15" hidden="1" customHeight="1" outlineLevel="1" x14ac:dyDescent="0.45">
      <c r="A135" s="561"/>
      <c r="B135" s="1187"/>
      <c r="C135" s="216" t="s">
        <v>124</v>
      </c>
      <c r="D135" s="217"/>
      <c r="E135" s="218" t="s">
        <v>123</v>
      </c>
      <c r="F135" s="219"/>
      <c r="G135" s="220">
        <v>36131400</v>
      </c>
      <c r="H135" s="219"/>
      <c r="I135" s="220">
        <f>G135</f>
        <v>36131400</v>
      </c>
      <c r="J135" s="219"/>
      <c r="K135" s="220">
        <f t="shared" ref="K135" si="586">I135</f>
        <v>36131400</v>
      </c>
      <c r="L135" s="219"/>
      <c r="M135" s="220">
        <f t="shared" ref="M135" si="587">K135</f>
        <v>36131400</v>
      </c>
      <c r="N135" s="219"/>
      <c r="O135" s="220">
        <v>34493800</v>
      </c>
      <c r="P135" s="219"/>
      <c r="Q135" s="220">
        <f>O135</f>
        <v>34493800</v>
      </c>
      <c r="R135" s="219"/>
      <c r="S135" s="220">
        <f>Q135</f>
        <v>34493800</v>
      </c>
      <c r="T135" s="219"/>
      <c r="U135" s="220">
        <v>34493800</v>
      </c>
      <c r="V135" s="219"/>
      <c r="W135" s="220">
        <f>U135</f>
        <v>34493800</v>
      </c>
      <c r="X135" s="219"/>
      <c r="Y135" s="220">
        <f>W135</f>
        <v>34493800</v>
      </c>
      <c r="Z135" s="219"/>
      <c r="AA135" s="220">
        <v>34493800</v>
      </c>
      <c r="AB135" s="219"/>
      <c r="AC135" s="220">
        <f>AA135</f>
        <v>34493800</v>
      </c>
      <c r="AD135" s="219"/>
      <c r="AE135" s="220">
        <f>AC135</f>
        <v>34493800</v>
      </c>
      <c r="AF135" s="620"/>
      <c r="AG135" s="699"/>
      <c r="AH135" s="219"/>
      <c r="AI135" s="220">
        <f>S135</f>
        <v>34493800</v>
      </c>
      <c r="AJ135" s="219"/>
      <c r="AK135" s="220">
        <f>AI135</f>
        <v>34493800</v>
      </c>
      <c r="AL135" s="219"/>
      <c r="AM135" s="220">
        <f>AK135</f>
        <v>34493800</v>
      </c>
      <c r="AN135" s="660"/>
      <c r="AO135" s="660"/>
      <c r="AP135" s="660"/>
      <c r="AR135" s="219"/>
      <c r="AS135" s="220">
        <f>AM135</f>
        <v>34493800</v>
      </c>
      <c r="AT135" s="219"/>
      <c r="AU135" s="220">
        <f>AS135</f>
        <v>34493800</v>
      </c>
      <c r="AV135" s="219"/>
      <c r="AW135" s="220">
        <f>AU135</f>
        <v>34493800</v>
      </c>
      <c r="AX135" s="660"/>
      <c r="AY135" s="660"/>
      <c r="AZ135" s="660"/>
      <c r="BB135" s="219"/>
      <c r="BC135" s="220">
        <f>AW135</f>
        <v>34493800</v>
      </c>
      <c r="BD135" s="219"/>
      <c r="BE135" s="220">
        <f>BC135</f>
        <v>34493800</v>
      </c>
      <c r="BF135" s="219"/>
      <c r="BG135" s="220">
        <f>BE135</f>
        <v>34493800</v>
      </c>
      <c r="BH135" s="660"/>
      <c r="BI135" s="660"/>
      <c r="BJ135" s="660"/>
      <c r="BL135" s="219"/>
      <c r="BM135" s="220">
        <f>BG135</f>
        <v>34493800</v>
      </c>
      <c r="BN135" s="219"/>
      <c r="BO135" s="220">
        <f>BM135</f>
        <v>34493800</v>
      </c>
      <c r="BP135" s="219"/>
      <c r="BQ135" s="220">
        <f>BO135</f>
        <v>34493800</v>
      </c>
      <c r="BR135" s="660"/>
      <c r="BS135" s="660"/>
      <c r="BT135" s="660"/>
      <c r="BV135" s="219"/>
      <c r="BW135" s="220">
        <f>BO135</f>
        <v>34493800</v>
      </c>
      <c r="BY135" s="219"/>
      <c r="BZ135" s="220">
        <f>BW135</f>
        <v>34493800</v>
      </c>
      <c r="CA135" s="219"/>
      <c r="CB135" s="220">
        <f>BY135</f>
        <v>0</v>
      </c>
      <c r="CC135" s="219"/>
      <c r="CD135" s="220">
        <f>CA135</f>
        <v>0</v>
      </c>
      <c r="CF135" s="219"/>
      <c r="CG135" s="220">
        <f>BQ135</f>
        <v>34493800</v>
      </c>
      <c r="CH135" s="219"/>
      <c r="CI135" s="220">
        <f>BS135</f>
        <v>0</v>
      </c>
      <c r="CJ135" s="219"/>
      <c r="CK135" s="220">
        <f>BU135</f>
        <v>0</v>
      </c>
      <c r="CM135" s="219"/>
      <c r="CN135" s="220">
        <f>BX135</f>
        <v>0</v>
      </c>
      <c r="CO135" s="219"/>
      <c r="CP135" s="220">
        <f>BZ135</f>
        <v>34493800</v>
      </c>
      <c r="CQ135" s="219"/>
      <c r="CR135" s="220">
        <f>CB135</f>
        <v>0</v>
      </c>
      <c r="CT135" s="219"/>
      <c r="CU135" s="220">
        <f>CA135</f>
        <v>0</v>
      </c>
      <c r="CV135" s="219"/>
      <c r="CW135" s="220">
        <f>CC135</f>
        <v>0</v>
      </c>
      <c r="CX135" s="219"/>
      <c r="CY135" s="220">
        <f>CE135</f>
        <v>0</v>
      </c>
      <c r="DA135" s="219"/>
      <c r="DB135" s="220">
        <f>CH135</f>
        <v>0</v>
      </c>
      <c r="DC135" s="219"/>
      <c r="DD135" s="220">
        <f>CJ135</f>
        <v>0</v>
      </c>
      <c r="DE135" s="219"/>
      <c r="DF135" s="220">
        <f>CL135</f>
        <v>0</v>
      </c>
      <c r="DH135" s="219"/>
      <c r="DI135" s="220">
        <f>CP135</f>
        <v>34493800</v>
      </c>
      <c r="DJ135" s="219"/>
      <c r="DK135" s="220">
        <f>CR135</f>
        <v>0</v>
      </c>
      <c r="DL135" s="219"/>
      <c r="DM135" s="220">
        <f>CT135</f>
        <v>0</v>
      </c>
    </row>
    <row r="136" spans="1:117" ht="15" hidden="1" customHeight="1" outlineLevel="1" x14ac:dyDescent="0.45">
      <c r="A136" s="561"/>
      <c r="B136" s="1187"/>
      <c r="C136" s="216"/>
      <c r="D136" s="217"/>
      <c r="E136" s="218" t="s">
        <v>125</v>
      </c>
      <c r="F136" s="219"/>
      <c r="G136" s="221">
        <f>G135/G10</f>
        <v>903285</v>
      </c>
      <c r="H136" s="219"/>
      <c r="I136" s="221">
        <f>I135/I10</f>
        <v>903285</v>
      </c>
      <c r="J136" s="219"/>
      <c r="K136" s="221">
        <f>K135/K10</f>
        <v>903285</v>
      </c>
      <c r="L136" s="219"/>
      <c r="M136" s="221">
        <f>M135/M10</f>
        <v>903285</v>
      </c>
      <c r="N136" s="219"/>
      <c r="O136" s="221">
        <f>O135/O10</f>
        <v>862345</v>
      </c>
      <c r="P136" s="219"/>
      <c r="Q136" s="221">
        <f>Q135/Q10</f>
        <v>862345</v>
      </c>
      <c r="R136" s="219"/>
      <c r="S136" s="221">
        <f>S135/S10</f>
        <v>862345</v>
      </c>
      <c r="T136" s="219"/>
      <c r="U136" s="221">
        <f>U135/U10</f>
        <v>862345</v>
      </c>
      <c r="V136" s="219"/>
      <c r="W136" s="221">
        <f>W135/W10</f>
        <v>862345</v>
      </c>
      <c r="X136" s="219"/>
      <c r="Y136" s="221">
        <f>Y135/Y10</f>
        <v>862345</v>
      </c>
      <c r="Z136" s="219"/>
      <c r="AA136" s="221">
        <f>AA135/AA10</f>
        <v>862345</v>
      </c>
      <c r="AB136" s="219"/>
      <c r="AC136" s="221">
        <f>AC135/AC10</f>
        <v>862345</v>
      </c>
      <c r="AD136" s="219"/>
      <c r="AE136" s="221">
        <f>AE135/AE10</f>
        <v>862345</v>
      </c>
      <c r="AF136" s="620"/>
      <c r="AG136" s="700"/>
      <c r="AH136" s="219"/>
      <c r="AI136" s="221">
        <f>AI135/AI10</f>
        <v>862345</v>
      </c>
      <c r="AJ136" s="219"/>
      <c r="AK136" s="221">
        <f>AK135/AK10</f>
        <v>862345</v>
      </c>
      <c r="AL136" s="219"/>
      <c r="AM136" s="221">
        <f>AM135/AM10</f>
        <v>862345</v>
      </c>
      <c r="AN136" s="282"/>
      <c r="AO136" s="282"/>
      <c r="AP136" s="282"/>
      <c r="AR136" s="219"/>
      <c r="AS136" s="221">
        <f>AS135/AS10</f>
        <v>862345</v>
      </c>
      <c r="AT136" s="219"/>
      <c r="AU136" s="221">
        <f>AU135/AU10</f>
        <v>862345</v>
      </c>
      <c r="AV136" s="219"/>
      <c r="AW136" s="221">
        <f>AW135/AW10</f>
        <v>862345</v>
      </c>
      <c r="AX136" s="282"/>
      <c r="AY136" s="282"/>
      <c r="AZ136" s="282"/>
      <c r="BB136" s="219"/>
      <c r="BC136" s="221">
        <f>BC135/BC10</f>
        <v>862345</v>
      </c>
      <c r="BD136" s="219"/>
      <c r="BE136" s="221">
        <f>BE135/BE10</f>
        <v>862345</v>
      </c>
      <c r="BF136" s="219"/>
      <c r="BG136" s="221">
        <f>BG135/BG10</f>
        <v>862345</v>
      </c>
      <c r="BH136" s="282"/>
      <c r="BI136" s="282"/>
      <c r="BJ136" s="282"/>
      <c r="BL136" s="219"/>
      <c r="BM136" s="221">
        <f>BM135/BM10</f>
        <v>862345</v>
      </c>
      <c r="BN136" s="219"/>
      <c r="BO136" s="221">
        <f>BO135/BO10</f>
        <v>862345</v>
      </c>
      <c r="BP136" s="219"/>
      <c r="BQ136" s="221">
        <f>BQ135/BQ10</f>
        <v>862345</v>
      </c>
      <c r="BR136" s="282"/>
      <c r="BS136" s="282"/>
      <c r="BT136" s="282"/>
      <c r="BV136" s="219"/>
      <c r="BW136" s="221">
        <f>BW135/BW10</f>
        <v>862345</v>
      </c>
      <c r="BY136" s="219"/>
      <c r="BZ136" s="221">
        <f>BZ135/BZ10</f>
        <v>862345</v>
      </c>
      <c r="CA136" s="219"/>
      <c r="CB136" s="221">
        <f>CB135/CB10</f>
        <v>0</v>
      </c>
      <c r="CC136" s="219"/>
      <c r="CD136" s="221">
        <f>CD135/CD10</f>
        <v>0</v>
      </c>
      <c r="CF136" s="219"/>
      <c r="CG136" s="221">
        <f>CG135/CG10</f>
        <v>862345</v>
      </c>
      <c r="CH136" s="219"/>
      <c r="CI136" s="221">
        <f>CI135/CI10</f>
        <v>0</v>
      </c>
      <c r="CJ136" s="219"/>
      <c r="CK136" s="221">
        <f>CK135/CK10</f>
        <v>0</v>
      </c>
      <c r="CM136" s="219"/>
      <c r="CN136" s="221">
        <f>CN135/CN10</f>
        <v>0</v>
      </c>
      <c r="CO136" s="219"/>
      <c r="CP136" s="221">
        <f>CP135/CP10</f>
        <v>862345</v>
      </c>
      <c r="CQ136" s="219"/>
      <c r="CR136" s="221">
        <f>CR135/CR10</f>
        <v>0</v>
      </c>
      <c r="CT136" s="219"/>
      <c r="CU136" s="221">
        <f>CU135/CU10</f>
        <v>0</v>
      </c>
      <c r="CV136" s="219"/>
      <c r="CW136" s="221">
        <f>CW135/CW10</f>
        <v>0</v>
      </c>
      <c r="CX136" s="219"/>
      <c r="CY136" s="221">
        <f>CY135/CY10</f>
        <v>0</v>
      </c>
      <c r="DA136" s="219"/>
      <c r="DB136" s="221">
        <f>DB135/DB10</f>
        <v>0</v>
      </c>
      <c r="DC136" s="219"/>
      <c r="DD136" s="221">
        <f>DD135/DD10</f>
        <v>0</v>
      </c>
      <c r="DE136" s="219"/>
      <c r="DF136" s="221">
        <f>DF135/DF10</f>
        <v>0</v>
      </c>
      <c r="DH136" s="219"/>
      <c r="DI136" s="221">
        <f>DI135/DI10</f>
        <v>862345</v>
      </c>
      <c r="DJ136" s="219"/>
      <c r="DK136" s="221">
        <f>DK135/DK10</f>
        <v>0</v>
      </c>
      <c r="DL136" s="219"/>
      <c r="DM136" s="221">
        <f>DM135/DM10</f>
        <v>0</v>
      </c>
    </row>
    <row r="137" spans="1:117" ht="15" hidden="1" customHeight="1" outlineLevel="1" x14ac:dyDescent="0.45">
      <c r="A137" s="561"/>
      <c r="B137" s="1187"/>
      <c r="C137" s="216"/>
      <c r="D137" s="217"/>
      <c r="E137" s="218" t="s">
        <v>126</v>
      </c>
      <c r="F137" s="222"/>
      <c r="G137" s="220">
        <f>G136/G73</f>
        <v>254.44647887323944</v>
      </c>
      <c r="H137" s="222"/>
      <c r="I137" s="220">
        <f>I136/I73</f>
        <v>254.44647887323944</v>
      </c>
      <c r="J137" s="222"/>
      <c r="K137" s="220">
        <f t="shared" ref="K137" si="588">K136/K73</f>
        <v>254.44647887323944</v>
      </c>
      <c r="L137" s="222"/>
      <c r="M137" s="220">
        <f t="shared" ref="M137" si="589">M136/M73</f>
        <v>254.44647887323944</v>
      </c>
      <c r="N137" s="222"/>
      <c r="O137" s="220">
        <f>O136/O73</f>
        <v>242.91408450704225</v>
      </c>
      <c r="P137" s="222"/>
      <c r="Q137" s="220">
        <f>Q136/Q73</f>
        <v>242.91408450704225</v>
      </c>
      <c r="R137" s="222"/>
      <c r="S137" s="220">
        <f>S136/S73</f>
        <v>242.91408450704225</v>
      </c>
      <c r="T137" s="222"/>
      <c r="U137" s="220">
        <f>U136/U73</f>
        <v>242.91408450704225</v>
      </c>
      <c r="V137" s="222"/>
      <c r="W137" s="220">
        <f>W136/W73</f>
        <v>242.91408450704225</v>
      </c>
      <c r="X137" s="222"/>
      <c r="Y137" s="220">
        <f>Y136/Y73</f>
        <v>242.91408450704225</v>
      </c>
      <c r="Z137" s="222"/>
      <c r="AA137" s="220">
        <f>AA136/AA73</f>
        <v>242.91408450704225</v>
      </c>
      <c r="AB137" s="222"/>
      <c r="AC137" s="220">
        <f>AC136/AC73</f>
        <v>242.91408450704225</v>
      </c>
      <c r="AD137" s="222"/>
      <c r="AE137" s="220">
        <f>AE136/AE73</f>
        <v>242.91408450704225</v>
      </c>
      <c r="AF137" s="620"/>
      <c r="AG137" s="699"/>
      <c r="AH137" s="222"/>
      <c r="AI137" s="220">
        <f>AI136/AI73</f>
        <v>242.91408450704225</v>
      </c>
      <c r="AJ137" s="222"/>
      <c r="AK137" s="220">
        <f>AK136/AK73</f>
        <v>242.91408450704225</v>
      </c>
      <c r="AL137" s="222"/>
      <c r="AM137" s="220">
        <f>AM136/AM73</f>
        <v>242.91408450704225</v>
      </c>
      <c r="AN137" s="660"/>
      <c r="AO137" s="660"/>
      <c r="AP137" s="660"/>
      <c r="AR137" s="222"/>
      <c r="AS137" s="220">
        <f>AS136/AS73</f>
        <v>242.91408450704225</v>
      </c>
      <c r="AT137" s="222"/>
      <c r="AU137" s="220">
        <f>AU136/AU73</f>
        <v>242.91408450704225</v>
      </c>
      <c r="AV137" s="222"/>
      <c r="AW137" s="220">
        <f>AW136/AW73</f>
        <v>242.91408450704225</v>
      </c>
      <c r="AX137" s="660"/>
      <c r="AY137" s="660"/>
      <c r="AZ137" s="660"/>
      <c r="BB137" s="222"/>
      <c r="BC137" s="220">
        <f>BC136/BC73</f>
        <v>242.91408450704225</v>
      </c>
      <c r="BD137" s="222"/>
      <c r="BE137" s="220">
        <f>BE136/BE73</f>
        <v>242.91408450704225</v>
      </c>
      <c r="BF137" s="222"/>
      <c r="BG137" s="220">
        <f>BG136/BG73</f>
        <v>242.91408450704225</v>
      </c>
      <c r="BH137" s="660"/>
      <c r="BI137" s="660"/>
      <c r="BJ137" s="660"/>
      <c r="BL137" s="222"/>
      <c r="BM137" s="220">
        <f>BM136/BM73</f>
        <v>242.91408450704225</v>
      </c>
      <c r="BN137" s="222"/>
      <c r="BO137" s="220">
        <f>BO136/BO73</f>
        <v>242.91408450704225</v>
      </c>
      <c r="BP137" s="222"/>
      <c r="BQ137" s="220">
        <f>BQ136/BQ73</f>
        <v>242.91408450704225</v>
      </c>
      <c r="BR137" s="660"/>
      <c r="BS137" s="660"/>
      <c r="BT137" s="660"/>
      <c r="BV137" s="222"/>
      <c r="BW137" s="220">
        <f>BW136/BW73</f>
        <v>242.91408450704225</v>
      </c>
      <c r="BY137" s="222"/>
      <c r="BZ137" s="220">
        <f>BZ136/BZ73</f>
        <v>242.91408450704225</v>
      </c>
      <c r="CA137" s="222"/>
      <c r="CB137" s="220">
        <f>CB136/CB73</f>
        <v>0</v>
      </c>
      <c r="CC137" s="222"/>
      <c r="CD137" s="220">
        <f>CD136/CD73</f>
        <v>0</v>
      </c>
      <c r="CF137" s="222"/>
      <c r="CG137" s="220">
        <f>CG136/CG73</f>
        <v>242.91408450704225</v>
      </c>
      <c r="CH137" s="222"/>
      <c r="CI137" s="220">
        <f>CI136/CI73</f>
        <v>0</v>
      </c>
      <c r="CJ137" s="222"/>
      <c r="CK137" s="220">
        <f>CK136/CK73</f>
        <v>0</v>
      </c>
      <c r="CM137" s="222"/>
      <c r="CN137" s="220">
        <f>CN136/CN73</f>
        <v>0</v>
      </c>
      <c r="CO137" s="222"/>
      <c r="CP137" s="220">
        <f>CP136/CP73</f>
        <v>242.91408450704225</v>
      </c>
      <c r="CQ137" s="222"/>
      <c r="CR137" s="220">
        <f>CR136/CR73</f>
        <v>0</v>
      </c>
      <c r="CT137" s="222"/>
      <c r="CU137" s="220">
        <f>CU136/CU73</f>
        <v>0</v>
      </c>
      <c r="CV137" s="222"/>
      <c r="CW137" s="220">
        <f t="shared" ref="CW137" si="590">CW136/CW73</f>
        <v>0</v>
      </c>
      <c r="CX137" s="222"/>
      <c r="CY137" s="220">
        <f t="shared" ref="CY137" si="591">CY136/CY73</f>
        <v>0</v>
      </c>
      <c r="DA137" s="222"/>
      <c r="DB137" s="220">
        <f>DB136/DB73</f>
        <v>0</v>
      </c>
      <c r="DC137" s="222"/>
      <c r="DD137" s="220">
        <f t="shared" ref="DD137" si="592">DD136/DD73</f>
        <v>0</v>
      </c>
      <c r="DE137" s="222"/>
      <c r="DF137" s="220">
        <f t="shared" ref="DF137" si="593">DF136/DF73</f>
        <v>0</v>
      </c>
      <c r="DH137" s="222"/>
      <c r="DI137" s="220">
        <f>DI136/DI73</f>
        <v>222.71306818181819</v>
      </c>
      <c r="DJ137" s="222"/>
      <c r="DK137" s="220">
        <f t="shared" ref="DK137" si="594">DK136/DK73</f>
        <v>0</v>
      </c>
      <c r="DL137" s="222"/>
      <c r="DM137" s="220">
        <f t="shared" ref="DM137" si="595">DM136/DM73</f>
        <v>0</v>
      </c>
    </row>
    <row r="138" spans="1:117" ht="15" hidden="1" customHeight="1" outlineLevel="1" x14ac:dyDescent="0.45">
      <c r="A138" s="561"/>
      <c r="B138" s="1187"/>
      <c r="C138" s="582" t="s">
        <v>387</v>
      </c>
      <c r="D138" s="583"/>
      <c r="E138" s="584" t="s">
        <v>123</v>
      </c>
      <c r="F138" s="585"/>
      <c r="G138" s="586"/>
      <c r="H138" s="585"/>
      <c r="I138" s="586"/>
      <c r="J138" s="585"/>
      <c r="K138" s="586"/>
      <c r="L138" s="585"/>
      <c r="M138" s="586"/>
      <c r="N138" s="585"/>
      <c r="O138" s="586">
        <v>63891600</v>
      </c>
      <c r="P138" s="585"/>
      <c r="Q138" s="586">
        <f>O138</f>
        <v>63891600</v>
      </c>
      <c r="R138" s="585"/>
      <c r="S138" s="586">
        <f>Q138</f>
        <v>63891600</v>
      </c>
      <c r="T138" s="585"/>
      <c r="U138" s="586">
        <v>63891600</v>
      </c>
      <c r="V138" s="585"/>
      <c r="W138" s="586">
        <f>U138</f>
        <v>63891600</v>
      </c>
      <c r="X138" s="585"/>
      <c r="Y138" s="586">
        <f>W138</f>
        <v>63891600</v>
      </c>
      <c r="Z138" s="585"/>
      <c r="AA138" s="586">
        <v>63891600</v>
      </c>
      <c r="AB138" s="585"/>
      <c r="AC138" s="586">
        <f>AA138</f>
        <v>63891600</v>
      </c>
      <c r="AD138" s="585"/>
      <c r="AE138" s="586">
        <f>AC138</f>
        <v>63891600</v>
      </c>
      <c r="AF138" s="620"/>
      <c r="AG138" s="699"/>
      <c r="AH138" s="585"/>
      <c r="AI138" s="586">
        <f>S138</f>
        <v>63891600</v>
      </c>
      <c r="AJ138" s="585"/>
      <c r="AK138" s="586">
        <f>AI138</f>
        <v>63891600</v>
      </c>
      <c r="AL138" s="585"/>
      <c r="AM138" s="586">
        <f>AK138</f>
        <v>63891600</v>
      </c>
      <c r="AN138" s="661"/>
      <c r="AO138" s="661"/>
      <c r="AP138" s="661"/>
      <c r="AR138" s="585"/>
      <c r="AS138" s="586">
        <f>AM138</f>
        <v>63891600</v>
      </c>
      <c r="AT138" s="585"/>
      <c r="AU138" s="586">
        <f>AS138</f>
        <v>63891600</v>
      </c>
      <c r="AV138" s="585"/>
      <c r="AW138" s="586">
        <f>AU138</f>
        <v>63891600</v>
      </c>
      <c r="AX138" s="661"/>
      <c r="AY138" s="661"/>
      <c r="AZ138" s="661"/>
      <c r="BB138" s="585"/>
      <c r="BC138" s="586">
        <f>AW138</f>
        <v>63891600</v>
      </c>
      <c r="BD138" s="585"/>
      <c r="BE138" s="586">
        <f>BC138</f>
        <v>63891600</v>
      </c>
      <c r="BF138" s="585"/>
      <c r="BG138" s="586">
        <f>BE138</f>
        <v>63891600</v>
      </c>
      <c r="BH138" s="661"/>
      <c r="BI138" s="661"/>
      <c r="BJ138" s="661"/>
      <c r="BL138" s="585"/>
      <c r="BM138" s="586">
        <f>BG138</f>
        <v>63891600</v>
      </c>
      <c r="BN138" s="585"/>
      <c r="BO138" s="586">
        <f>BM138</f>
        <v>63891600</v>
      </c>
      <c r="BP138" s="585"/>
      <c r="BQ138" s="586">
        <f>BO138</f>
        <v>63891600</v>
      </c>
      <c r="BR138" s="661"/>
      <c r="BS138" s="661"/>
      <c r="BT138" s="661"/>
      <c r="BV138" s="585"/>
      <c r="BW138" s="586">
        <f>BO138</f>
        <v>63891600</v>
      </c>
      <c r="BY138" s="585"/>
      <c r="BZ138" s="586">
        <f>BW138</f>
        <v>63891600</v>
      </c>
      <c r="CA138" s="585"/>
      <c r="CB138" s="586">
        <f>BY138</f>
        <v>0</v>
      </c>
      <c r="CC138" s="585"/>
      <c r="CD138" s="586">
        <f>CA138</f>
        <v>0</v>
      </c>
      <c r="CF138" s="585"/>
      <c r="CG138" s="586">
        <f>BQ138</f>
        <v>63891600</v>
      </c>
      <c r="CH138" s="585"/>
      <c r="CI138" s="586">
        <f>BS138</f>
        <v>0</v>
      </c>
      <c r="CJ138" s="585"/>
      <c r="CK138" s="586">
        <f>BU138</f>
        <v>0</v>
      </c>
      <c r="CM138" s="585"/>
      <c r="CN138" s="586">
        <f>BX138</f>
        <v>0</v>
      </c>
      <c r="CO138" s="585"/>
      <c r="CP138" s="586">
        <f>BZ138</f>
        <v>63891600</v>
      </c>
      <c r="CQ138" s="585"/>
      <c r="CR138" s="586">
        <f>CB138</f>
        <v>0</v>
      </c>
      <c r="CT138" s="585"/>
      <c r="CU138" s="586">
        <v>65620800</v>
      </c>
      <c r="CV138" s="585"/>
      <c r="CW138" s="586">
        <v>65620800</v>
      </c>
      <c r="CX138" s="585"/>
      <c r="CY138" s="586">
        <v>65620800</v>
      </c>
      <c r="DA138" s="585"/>
      <c r="DB138" s="586">
        <v>65620800</v>
      </c>
      <c r="DC138" s="585"/>
      <c r="DD138" s="586">
        <v>65620800</v>
      </c>
      <c r="DE138" s="585"/>
      <c r="DF138" s="586">
        <v>65620800</v>
      </c>
      <c r="DH138" s="585"/>
      <c r="DI138" s="586">
        <v>65620800</v>
      </c>
      <c r="DJ138" s="585"/>
      <c r="DK138" s="586">
        <v>65620800</v>
      </c>
      <c r="DL138" s="585"/>
      <c r="DM138" s="586">
        <v>65620800</v>
      </c>
    </row>
    <row r="139" spans="1:117" ht="15" hidden="1" customHeight="1" outlineLevel="1" x14ac:dyDescent="0.45">
      <c r="A139" s="561"/>
      <c r="B139" s="1187"/>
      <c r="C139" s="582"/>
      <c r="D139" s="583"/>
      <c r="E139" s="584" t="s">
        <v>125</v>
      </c>
      <c r="F139" s="585"/>
      <c r="G139" s="586"/>
      <c r="H139" s="585"/>
      <c r="I139" s="586"/>
      <c r="J139" s="585"/>
      <c r="K139" s="586"/>
      <c r="L139" s="585"/>
      <c r="M139" s="586"/>
      <c r="N139" s="585"/>
      <c r="O139" s="586">
        <f>O138/O10</f>
        <v>1597290</v>
      </c>
      <c r="P139" s="585"/>
      <c r="Q139" s="586">
        <f>Q138/Q10</f>
        <v>1597290</v>
      </c>
      <c r="R139" s="585"/>
      <c r="S139" s="586">
        <f>S138/S10</f>
        <v>1597290</v>
      </c>
      <c r="T139" s="585"/>
      <c r="U139" s="586">
        <f>U138/U10</f>
        <v>1597290</v>
      </c>
      <c r="V139" s="585"/>
      <c r="W139" s="586">
        <f>W138/W10</f>
        <v>1597290</v>
      </c>
      <c r="X139" s="585"/>
      <c r="Y139" s="586">
        <f>Y138/Y10</f>
        <v>1597290</v>
      </c>
      <c r="Z139" s="585"/>
      <c r="AA139" s="586">
        <f>AA138/AA10</f>
        <v>1597290</v>
      </c>
      <c r="AB139" s="585"/>
      <c r="AC139" s="586">
        <f>AC138/AC10</f>
        <v>1597290</v>
      </c>
      <c r="AD139" s="585"/>
      <c r="AE139" s="586">
        <f>AE138/AE10</f>
        <v>1597290</v>
      </c>
      <c r="AF139" s="620"/>
      <c r="AG139" s="699"/>
      <c r="AH139" s="585"/>
      <c r="AI139" s="586">
        <f>AI138/AI10</f>
        <v>1597290</v>
      </c>
      <c r="AJ139" s="585"/>
      <c r="AK139" s="586">
        <f>AK138/AK10</f>
        <v>1597290</v>
      </c>
      <c r="AL139" s="585"/>
      <c r="AM139" s="586">
        <f>AM138/AM10</f>
        <v>1597290</v>
      </c>
      <c r="AN139" s="661"/>
      <c r="AO139" s="661"/>
      <c r="AP139" s="661"/>
      <c r="AR139" s="585"/>
      <c r="AS139" s="586">
        <f>AS138/AS10</f>
        <v>1597290</v>
      </c>
      <c r="AT139" s="585"/>
      <c r="AU139" s="586">
        <f>AU138/AU10</f>
        <v>1597290</v>
      </c>
      <c r="AV139" s="585"/>
      <c r="AW139" s="586">
        <f>AW138/AW10</f>
        <v>1597290</v>
      </c>
      <c r="AX139" s="661"/>
      <c r="AY139" s="661"/>
      <c r="AZ139" s="661"/>
      <c r="BB139" s="585"/>
      <c r="BC139" s="586">
        <f>BC138/BC10</f>
        <v>1597290</v>
      </c>
      <c r="BD139" s="585"/>
      <c r="BE139" s="586">
        <f>BE138/BE10</f>
        <v>1597290</v>
      </c>
      <c r="BF139" s="585"/>
      <c r="BG139" s="586">
        <f>BG138/BG10</f>
        <v>1597290</v>
      </c>
      <c r="BH139" s="661"/>
      <c r="BI139" s="661"/>
      <c r="BJ139" s="661"/>
      <c r="BL139" s="585"/>
      <c r="BM139" s="586">
        <f>BM138/BM10</f>
        <v>1597290</v>
      </c>
      <c r="BN139" s="585"/>
      <c r="BO139" s="586">
        <f>BO138/BO10</f>
        <v>1597290</v>
      </c>
      <c r="BP139" s="585"/>
      <c r="BQ139" s="586">
        <f>BQ138/BQ10</f>
        <v>1597290</v>
      </c>
      <c r="BR139" s="661"/>
      <c r="BS139" s="661"/>
      <c r="BT139" s="661"/>
      <c r="BV139" s="585"/>
      <c r="BW139" s="586">
        <f>BW138/BW10</f>
        <v>1597290</v>
      </c>
      <c r="BY139" s="585"/>
      <c r="BZ139" s="586">
        <f>BZ138/BZ10</f>
        <v>1597290</v>
      </c>
      <c r="CA139" s="585"/>
      <c r="CB139" s="586">
        <f>CB138/CB10</f>
        <v>0</v>
      </c>
      <c r="CC139" s="585"/>
      <c r="CD139" s="586">
        <f>CD138/CD10</f>
        <v>0</v>
      </c>
      <c r="CF139" s="585"/>
      <c r="CG139" s="586">
        <f>CG138/CG10</f>
        <v>1597290</v>
      </c>
      <c r="CH139" s="585"/>
      <c r="CI139" s="586">
        <f>CI138/CI10</f>
        <v>0</v>
      </c>
      <c r="CJ139" s="585"/>
      <c r="CK139" s="586">
        <f>CK138/CK10</f>
        <v>0</v>
      </c>
      <c r="CM139" s="585"/>
      <c r="CN139" s="586">
        <f>CN138/CN10</f>
        <v>0</v>
      </c>
      <c r="CO139" s="585"/>
      <c r="CP139" s="586">
        <f>CP138/CP10</f>
        <v>1597290</v>
      </c>
      <c r="CQ139" s="585"/>
      <c r="CR139" s="586">
        <f>CR138/CR10</f>
        <v>0</v>
      </c>
      <c r="CT139" s="585"/>
      <c r="CU139" s="586">
        <f>CU138/CU10</f>
        <v>1640520</v>
      </c>
      <c r="CV139" s="585"/>
      <c r="CW139" s="586">
        <f>CW138/CW10</f>
        <v>1640520</v>
      </c>
      <c r="CX139" s="585"/>
      <c r="CY139" s="586">
        <f>CY138/CY10</f>
        <v>1640520</v>
      </c>
      <c r="DA139" s="585"/>
      <c r="DB139" s="586">
        <f>DB138/DB10</f>
        <v>1640520</v>
      </c>
      <c r="DC139" s="585"/>
      <c r="DD139" s="586">
        <f>DD138/DD10</f>
        <v>1640520</v>
      </c>
      <c r="DE139" s="585"/>
      <c r="DF139" s="586">
        <f>DF138/DF10</f>
        <v>1640520</v>
      </c>
      <c r="DH139" s="585"/>
      <c r="DI139" s="586">
        <f>DI138/DI10</f>
        <v>1640520</v>
      </c>
      <c r="DJ139" s="585"/>
      <c r="DK139" s="586">
        <f>DK138/DK10</f>
        <v>1640520</v>
      </c>
      <c r="DL139" s="585"/>
      <c r="DM139" s="586">
        <f>DM138/DM10</f>
        <v>1640520</v>
      </c>
    </row>
    <row r="140" spans="1:117" ht="15" hidden="1" customHeight="1" outlineLevel="1" x14ac:dyDescent="0.45">
      <c r="A140" s="561"/>
      <c r="B140" s="1187"/>
      <c r="C140" s="582"/>
      <c r="D140" s="583"/>
      <c r="E140" s="584" t="s">
        <v>126</v>
      </c>
      <c r="F140" s="585"/>
      <c r="G140" s="586"/>
      <c r="H140" s="585"/>
      <c r="I140" s="586"/>
      <c r="J140" s="585"/>
      <c r="K140" s="586"/>
      <c r="L140" s="585"/>
      <c r="M140" s="586"/>
      <c r="N140" s="585"/>
      <c r="O140" s="586">
        <f>O139/O73</f>
        <v>449.94084507042254</v>
      </c>
      <c r="P140" s="585"/>
      <c r="Q140" s="586">
        <f>Q139/Q73</f>
        <v>449.94084507042254</v>
      </c>
      <c r="R140" s="585"/>
      <c r="S140" s="586">
        <f>S139/S73</f>
        <v>449.94084507042254</v>
      </c>
      <c r="T140" s="585"/>
      <c r="U140" s="586">
        <f>U139/U73</f>
        <v>449.94084507042254</v>
      </c>
      <c r="V140" s="585"/>
      <c r="W140" s="586">
        <f>W139/W73</f>
        <v>449.94084507042254</v>
      </c>
      <c r="X140" s="585"/>
      <c r="Y140" s="586">
        <f>Y139/Y73</f>
        <v>449.94084507042254</v>
      </c>
      <c r="Z140" s="585"/>
      <c r="AA140" s="586">
        <f>AA139/AA73</f>
        <v>449.94084507042254</v>
      </c>
      <c r="AB140" s="585"/>
      <c r="AC140" s="586">
        <f>AC139/AC73</f>
        <v>449.94084507042254</v>
      </c>
      <c r="AD140" s="585"/>
      <c r="AE140" s="586">
        <f>AE139/AE73</f>
        <v>449.94084507042254</v>
      </c>
      <c r="AF140" s="620"/>
      <c r="AG140" s="699"/>
      <c r="AH140" s="585"/>
      <c r="AI140" s="586">
        <f>AI139/AI73</f>
        <v>449.94084507042254</v>
      </c>
      <c r="AJ140" s="585"/>
      <c r="AK140" s="586">
        <f>AK139/AK73</f>
        <v>449.94084507042254</v>
      </c>
      <c r="AL140" s="585"/>
      <c r="AM140" s="586">
        <f>AM139/AM73</f>
        <v>449.94084507042254</v>
      </c>
      <c r="AN140" s="661"/>
      <c r="AO140" s="661"/>
      <c r="AP140" s="661"/>
      <c r="AR140" s="585"/>
      <c r="AS140" s="586">
        <f>AS139/AS73</f>
        <v>449.94084507042254</v>
      </c>
      <c r="AT140" s="585"/>
      <c r="AU140" s="586">
        <f>AU139/AU73</f>
        <v>449.94084507042254</v>
      </c>
      <c r="AV140" s="585"/>
      <c r="AW140" s="586">
        <f>AW139/AW73</f>
        <v>449.94084507042254</v>
      </c>
      <c r="AX140" s="661"/>
      <c r="AY140" s="661"/>
      <c r="AZ140" s="661"/>
      <c r="BB140" s="585"/>
      <c r="BC140" s="586">
        <f>BC139/BC73</f>
        <v>449.94084507042254</v>
      </c>
      <c r="BD140" s="585"/>
      <c r="BE140" s="586">
        <f>BE139/BE73</f>
        <v>449.94084507042254</v>
      </c>
      <c r="BF140" s="585"/>
      <c r="BG140" s="586">
        <f>BG139/BG73</f>
        <v>449.94084507042254</v>
      </c>
      <c r="BH140" s="661"/>
      <c r="BI140" s="661"/>
      <c r="BJ140" s="661"/>
      <c r="BL140" s="585"/>
      <c r="BM140" s="586">
        <f>BM139/BM73</f>
        <v>449.94084507042254</v>
      </c>
      <c r="BN140" s="585"/>
      <c r="BO140" s="586">
        <f>BO139/BO73</f>
        <v>449.94084507042254</v>
      </c>
      <c r="BP140" s="585"/>
      <c r="BQ140" s="586">
        <f>BQ139/BQ73</f>
        <v>449.94084507042254</v>
      </c>
      <c r="BR140" s="661"/>
      <c r="BS140" s="661"/>
      <c r="BT140" s="661"/>
      <c r="BV140" s="585"/>
      <c r="BW140" s="586">
        <f>BW139/BW73</f>
        <v>449.94084507042254</v>
      </c>
      <c r="BY140" s="585"/>
      <c r="BZ140" s="586">
        <f>BZ139/BZ73</f>
        <v>449.94084507042254</v>
      </c>
      <c r="CA140" s="585"/>
      <c r="CB140" s="586">
        <f>CB139/CB73</f>
        <v>0</v>
      </c>
      <c r="CC140" s="585"/>
      <c r="CD140" s="586">
        <f>CD139/CD73</f>
        <v>0</v>
      </c>
      <c r="CF140" s="585"/>
      <c r="CG140" s="586">
        <f>CG139/CG73</f>
        <v>449.94084507042254</v>
      </c>
      <c r="CH140" s="585"/>
      <c r="CI140" s="586">
        <f>CI139/CI73</f>
        <v>0</v>
      </c>
      <c r="CJ140" s="585"/>
      <c r="CK140" s="586">
        <f>CK139/CK73</f>
        <v>0</v>
      </c>
      <c r="CM140" s="585"/>
      <c r="CN140" s="586">
        <f>CN139/CN73</f>
        <v>0</v>
      </c>
      <c r="CO140" s="585"/>
      <c r="CP140" s="586">
        <f>CP139/CP73</f>
        <v>449.94084507042254</v>
      </c>
      <c r="CQ140" s="585"/>
      <c r="CR140" s="586">
        <f>CR139/CR73</f>
        <v>0</v>
      </c>
      <c r="CT140" s="585"/>
      <c r="CU140" s="586">
        <f>CU139/CU73</f>
        <v>423.68801652892563</v>
      </c>
      <c r="CV140" s="585"/>
      <c r="CW140" s="586">
        <f t="shared" ref="CW140" si="596">CW139/CW73</f>
        <v>423.68801652892563</v>
      </c>
      <c r="CX140" s="585"/>
      <c r="CY140" s="586">
        <f t="shared" ref="CY140" si="597">CY139/CY73</f>
        <v>423.68801652892563</v>
      </c>
      <c r="DA140" s="585"/>
      <c r="DB140" s="586">
        <f>DB139/DB73</f>
        <v>423.68801652892563</v>
      </c>
      <c r="DC140" s="585"/>
      <c r="DD140" s="586">
        <f t="shared" ref="DD140" si="598">DD139/DD73</f>
        <v>423.68801652892563</v>
      </c>
      <c r="DE140" s="585"/>
      <c r="DF140" s="586">
        <f t="shared" ref="DF140" si="599">DF139/DF73</f>
        <v>423.68801652892563</v>
      </c>
      <c r="DH140" s="585"/>
      <c r="DI140" s="586">
        <f>DI139/DI73</f>
        <v>423.68801652892563</v>
      </c>
      <c r="DJ140" s="585"/>
      <c r="DK140" s="586">
        <f t="shared" ref="DK140" si="600">DK139/DK73</f>
        <v>423.68801652892563</v>
      </c>
      <c r="DL140" s="585"/>
      <c r="DM140" s="586">
        <f t="shared" ref="DM140" si="601">DM139/DM73</f>
        <v>423.68801652892563</v>
      </c>
    </row>
    <row r="141" spans="1:117" collapsed="1" x14ac:dyDescent="0.45">
      <c r="A141" s="561"/>
      <c r="B141" s="1187"/>
      <c r="C141" s="223"/>
      <c r="D141" s="175"/>
      <c r="E141" s="176"/>
      <c r="F141" s="177"/>
      <c r="G141" s="178"/>
      <c r="H141" s="177"/>
      <c r="I141" s="178"/>
      <c r="J141" s="177"/>
      <c r="K141" s="178"/>
      <c r="L141" s="177"/>
      <c r="M141" s="178"/>
      <c r="N141" s="375"/>
      <c r="O141" s="376"/>
      <c r="P141" s="375"/>
      <c r="Q141" s="376"/>
      <c r="R141" s="375"/>
      <c r="S141" s="376"/>
      <c r="T141" s="375"/>
      <c r="U141" s="376"/>
      <c r="V141" s="375"/>
      <c r="W141" s="376"/>
      <c r="X141" s="375"/>
      <c r="Y141" s="376"/>
      <c r="Z141" s="375"/>
      <c r="AA141" s="376"/>
      <c r="AB141" s="375"/>
      <c r="AC141" s="376"/>
      <c r="AD141" s="375"/>
      <c r="AE141" s="376"/>
      <c r="AF141" s="620"/>
      <c r="AG141" s="662"/>
      <c r="AH141" s="375"/>
      <c r="AI141" s="376"/>
      <c r="AJ141" s="375"/>
      <c r="AK141" s="376"/>
      <c r="AL141" s="375"/>
      <c r="AM141" s="376"/>
      <c r="AN141" s="662"/>
      <c r="AO141" s="662"/>
      <c r="AP141" s="662"/>
      <c r="AR141" s="375"/>
      <c r="AS141" s="376"/>
      <c r="AT141" s="375"/>
      <c r="AU141" s="376"/>
      <c r="AV141" s="375"/>
      <c r="AW141" s="376"/>
      <c r="AX141" s="662"/>
      <c r="AY141" s="662"/>
      <c r="AZ141" s="662"/>
      <c r="BB141" s="375"/>
      <c r="BC141" s="376"/>
      <c r="BD141" s="375"/>
      <c r="BE141" s="376"/>
      <c r="BF141" s="375"/>
      <c r="BG141" s="376"/>
      <c r="BH141" s="662"/>
      <c r="BI141" s="662"/>
      <c r="BJ141" s="662"/>
      <c r="BL141" s="375"/>
      <c r="BM141" s="376"/>
      <c r="BN141" s="375"/>
      <c r="BO141" s="376"/>
      <c r="BP141" s="375"/>
      <c r="BQ141" s="376"/>
      <c r="BR141" s="662"/>
      <c r="BS141" s="662"/>
      <c r="BT141" s="662"/>
      <c r="BV141" s="375"/>
      <c r="BW141" s="376"/>
      <c r="BY141" s="375"/>
      <c r="BZ141" s="376"/>
      <c r="CA141" s="375"/>
      <c r="CB141" s="376"/>
      <c r="CC141" s="375"/>
      <c r="CD141" s="376"/>
      <c r="CF141" s="375"/>
      <c r="CG141" s="376"/>
      <c r="CH141" s="375"/>
      <c r="CI141" s="376"/>
      <c r="CJ141" s="375"/>
      <c r="CK141" s="376"/>
      <c r="CM141" s="375"/>
      <c r="CN141" s="376"/>
      <c r="CO141" s="375"/>
      <c r="CP141" s="376"/>
      <c r="CQ141" s="375"/>
      <c r="CR141" s="376"/>
      <c r="CT141" s="375"/>
      <c r="CU141" s="376"/>
      <c r="CV141" s="375"/>
      <c r="CW141" s="376"/>
      <c r="CX141" s="375"/>
      <c r="CY141" s="376"/>
      <c r="DA141" s="375"/>
      <c r="DB141" s="376"/>
      <c r="DC141" s="375"/>
      <c r="DD141" s="376"/>
      <c r="DE141" s="375"/>
      <c r="DF141" s="376"/>
      <c r="DH141" s="375"/>
      <c r="DI141" s="376"/>
      <c r="DJ141" s="375"/>
      <c r="DK141" s="376"/>
      <c r="DL141" s="375"/>
      <c r="DM141" s="376"/>
    </row>
    <row r="142" spans="1:117" outlineLevel="1" x14ac:dyDescent="0.45">
      <c r="A142" s="561"/>
      <c r="B142" s="1187"/>
      <c r="C142" s="161" t="s">
        <v>127</v>
      </c>
      <c r="D142" s="162"/>
      <c r="E142" s="179" t="s">
        <v>128</v>
      </c>
      <c r="F142" s="180"/>
      <c r="G142" s="224">
        <f>G71</f>
        <v>720</v>
      </c>
      <c r="H142" s="180"/>
      <c r="I142" s="224">
        <f>I71</f>
        <v>1150</v>
      </c>
      <c r="J142" s="180"/>
      <c r="K142" s="224">
        <f t="shared" ref="K142" si="602">K71</f>
        <v>1150</v>
      </c>
      <c r="L142" s="180"/>
      <c r="M142" s="224">
        <f t="shared" ref="M142" si="603">M71</f>
        <v>1150</v>
      </c>
      <c r="N142" s="380"/>
      <c r="O142" s="384">
        <f>O71</f>
        <v>1200</v>
      </c>
      <c r="P142" s="380"/>
      <c r="Q142" s="384">
        <f>Q71</f>
        <v>1200</v>
      </c>
      <c r="R142" s="380"/>
      <c r="S142" s="384">
        <f>S71</f>
        <v>1200</v>
      </c>
      <c r="T142" s="380"/>
      <c r="U142" s="384">
        <f>U71</f>
        <v>1200</v>
      </c>
      <c r="V142" s="380"/>
      <c r="W142" s="384">
        <f>W71</f>
        <v>1200</v>
      </c>
      <c r="X142" s="380"/>
      <c r="Y142" s="384">
        <f>Y71</f>
        <v>1200</v>
      </c>
      <c r="Z142" s="380"/>
      <c r="AA142" s="384">
        <f>AA71</f>
        <v>1200</v>
      </c>
      <c r="AB142" s="380"/>
      <c r="AC142" s="384">
        <f>AC71</f>
        <v>1200</v>
      </c>
      <c r="AD142" s="380"/>
      <c r="AE142" s="384">
        <f>AE71</f>
        <v>1200</v>
      </c>
      <c r="AF142" s="620"/>
      <c r="AG142" s="628"/>
      <c r="AH142" s="380"/>
      <c r="AI142" s="384">
        <f>AI71</f>
        <v>1500</v>
      </c>
      <c r="AJ142" s="380"/>
      <c r="AK142" s="384">
        <f>AK71</f>
        <v>1500</v>
      </c>
      <c r="AL142" s="380"/>
      <c r="AM142" s="384">
        <f>AM71</f>
        <v>1500</v>
      </c>
      <c r="AN142" s="628"/>
      <c r="AO142" s="628"/>
      <c r="AP142" s="628"/>
      <c r="AR142" s="380"/>
      <c r="AS142" s="384">
        <f>AS71</f>
        <v>1500</v>
      </c>
      <c r="AT142" s="380"/>
      <c r="AU142" s="384">
        <f>AU71</f>
        <v>1500</v>
      </c>
      <c r="AV142" s="380"/>
      <c r="AW142" s="384">
        <f>AW71</f>
        <v>1500</v>
      </c>
      <c r="AX142" s="628"/>
      <c r="AY142" s="628"/>
      <c r="AZ142" s="628"/>
      <c r="BB142" s="380"/>
      <c r="BC142" s="384">
        <f>BC71</f>
        <v>1500</v>
      </c>
      <c r="BD142" s="380"/>
      <c r="BE142" s="384">
        <f>BE71</f>
        <v>1500</v>
      </c>
      <c r="BF142" s="380"/>
      <c r="BG142" s="384">
        <f>BG71</f>
        <v>1500</v>
      </c>
      <c r="BH142" s="628"/>
      <c r="BI142" s="628"/>
      <c r="BJ142" s="628"/>
      <c r="BL142" s="380"/>
      <c r="BM142" s="384">
        <f>BM71</f>
        <v>1500</v>
      </c>
      <c r="BN142" s="380"/>
      <c r="BO142" s="384">
        <f>BO71</f>
        <v>1500</v>
      </c>
      <c r="BP142" s="380"/>
      <c r="BQ142" s="384">
        <f>BQ71</f>
        <v>1500</v>
      </c>
      <c r="BR142" s="628"/>
      <c r="BS142" s="628"/>
      <c r="BT142" s="628"/>
      <c r="BV142" s="380"/>
      <c r="BW142" s="384">
        <f>BW71</f>
        <v>1500</v>
      </c>
      <c r="BY142" s="380"/>
      <c r="BZ142" s="384">
        <f>BZ71</f>
        <v>1500</v>
      </c>
      <c r="CA142" s="380"/>
      <c r="CB142" s="384">
        <f>CB71</f>
        <v>1500</v>
      </c>
      <c r="CC142" s="380"/>
      <c r="CD142" s="384">
        <f>CD71</f>
        <v>1500</v>
      </c>
      <c r="CF142" s="380"/>
      <c r="CG142" s="384">
        <f>CG71</f>
        <v>1500</v>
      </c>
      <c r="CH142" s="380"/>
      <c r="CI142" s="384">
        <f>CI71</f>
        <v>1500</v>
      </c>
      <c r="CJ142" s="380"/>
      <c r="CK142" s="384">
        <f>CK71</f>
        <v>1500</v>
      </c>
      <c r="CM142" s="380"/>
      <c r="CN142" s="384">
        <f>CN71</f>
        <v>1500</v>
      </c>
      <c r="CO142" s="380"/>
      <c r="CP142" s="384">
        <f>CP71</f>
        <v>1500</v>
      </c>
      <c r="CQ142" s="380"/>
      <c r="CR142" s="384">
        <f>CR71</f>
        <v>1500</v>
      </c>
      <c r="CT142" s="380"/>
      <c r="CU142" s="384">
        <f>CU71</f>
        <v>0</v>
      </c>
      <c r="CV142" s="380"/>
      <c r="CW142" s="384">
        <f t="shared" ref="CW142" si="604">CW71</f>
        <v>1500</v>
      </c>
      <c r="CX142" s="380"/>
      <c r="CY142" s="384">
        <f t="shared" ref="CY142" si="605">CY71</f>
        <v>1500</v>
      </c>
      <c r="DA142" s="380"/>
      <c r="DB142" s="384">
        <f>DB71</f>
        <v>0</v>
      </c>
      <c r="DC142" s="380"/>
      <c r="DD142" s="384">
        <f t="shared" ref="DD142" si="606">DD71</f>
        <v>1500</v>
      </c>
      <c r="DE142" s="380"/>
      <c r="DF142" s="384">
        <f t="shared" ref="DF142" si="607">DF71</f>
        <v>1500</v>
      </c>
      <c r="DH142" s="380"/>
      <c r="DI142" s="384">
        <f>DI71</f>
        <v>0</v>
      </c>
      <c r="DJ142" s="380"/>
      <c r="DK142" s="384">
        <f t="shared" ref="DK142" si="608">DK71</f>
        <v>1500</v>
      </c>
      <c r="DL142" s="380"/>
      <c r="DM142" s="384">
        <f t="shared" ref="DM142" si="609">DM71</f>
        <v>1500</v>
      </c>
    </row>
    <row r="143" spans="1:117" outlineLevel="1" x14ac:dyDescent="0.45">
      <c r="A143" s="561"/>
      <c r="B143" s="1187"/>
      <c r="C143" s="225" t="s">
        <v>389</v>
      </c>
      <c r="D143" s="162"/>
      <c r="E143" s="179" t="s">
        <v>128</v>
      </c>
      <c r="F143" s="180"/>
      <c r="G143" s="224">
        <v>1500</v>
      </c>
      <c r="H143" s="180"/>
      <c r="I143" s="224">
        <f>G143</f>
        <v>1500</v>
      </c>
      <c r="J143" s="180"/>
      <c r="K143" s="224">
        <f t="shared" ref="K143:K144" si="610">I143</f>
        <v>1500</v>
      </c>
      <c r="L143" s="180"/>
      <c r="M143" s="224">
        <f t="shared" ref="M143:M144" si="611">K143</f>
        <v>1500</v>
      </c>
      <c r="N143" s="380"/>
      <c r="O143" s="224">
        <f>'Pricing Structure - GSS'!O137</f>
        <v>1218</v>
      </c>
      <c r="P143" s="380"/>
      <c r="Q143" s="224">
        <f>O143</f>
        <v>1218</v>
      </c>
      <c r="R143" s="380"/>
      <c r="S143" s="224">
        <f>Q143</f>
        <v>1218</v>
      </c>
      <c r="T143" s="380"/>
      <c r="U143" s="224">
        <f>'Pricing Structure - GSS'!U137</f>
        <v>1244</v>
      </c>
      <c r="V143" s="380"/>
      <c r="W143" s="224">
        <f>U143</f>
        <v>1244</v>
      </c>
      <c r="X143" s="380"/>
      <c r="Y143" s="224">
        <f>W143</f>
        <v>1244</v>
      </c>
      <c r="Z143" s="380"/>
      <c r="AA143" s="224">
        <v>1500</v>
      </c>
      <c r="AB143" s="380"/>
      <c r="AC143" s="224">
        <f>AA143</f>
        <v>1500</v>
      </c>
      <c r="AD143" s="380"/>
      <c r="AE143" s="224">
        <f>AC143</f>
        <v>1500</v>
      </c>
      <c r="AF143" s="620"/>
      <c r="AG143" s="628"/>
      <c r="AH143" s="380"/>
      <c r="AI143" s="224">
        <v>1500</v>
      </c>
      <c r="AJ143" s="380"/>
      <c r="AK143" s="224">
        <v>1500</v>
      </c>
      <c r="AL143" s="380"/>
      <c r="AM143" s="224">
        <f>AI143</f>
        <v>1500</v>
      </c>
      <c r="AN143" s="676"/>
      <c r="AO143" s="676"/>
      <c r="AP143" s="676"/>
      <c r="AR143" s="380"/>
      <c r="AS143" s="224">
        <v>1500</v>
      </c>
      <c r="AT143" s="380"/>
      <c r="AU143" s="224">
        <v>1500</v>
      </c>
      <c r="AV143" s="380"/>
      <c r="AW143" s="224">
        <f>AS143</f>
        <v>1500</v>
      </c>
      <c r="AX143" s="676"/>
      <c r="AY143" s="676"/>
      <c r="AZ143" s="676"/>
      <c r="BB143" s="380"/>
      <c r="BC143" s="224">
        <v>1500</v>
      </c>
      <c r="BD143" s="380"/>
      <c r="BE143" s="224">
        <v>1500</v>
      </c>
      <c r="BF143" s="380"/>
      <c r="BG143" s="224">
        <f>BC143</f>
        <v>1500</v>
      </c>
      <c r="BH143" s="676"/>
      <c r="BI143" s="676"/>
      <c r="BJ143" s="676"/>
      <c r="BL143" s="380"/>
      <c r="BM143" s="224">
        <v>1500</v>
      </c>
      <c r="BN143" s="380"/>
      <c r="BO143" s="224">
        <v>1500</v>
      </c>
      <c r="BP143" s="380"/>
      <c r="BQ143" s="224">
        <f>BM143</f>
        <v>1500</v>
      </c>
      <c r="BR143" s="676"/>
      <c r="BS143" s="676"/>
      <c r="BT143" s="676"/>
      <c r="BV143" s="380"/>
      <c r="BW143" s="224">
        <v>1500</v>
      </c>
      <c r="BY143" s="380"/>
      <c r="BZ143" s="224">
        <v>1500</v>
      </c>
      <c r="CA143" s="380"/>
      <c r="CB143" s="224">
        <v>1500</v>
      </c>
      <c r="CC143" s="380"/>
      <c r="CD143" s="224">
        <v>1500</v>
      </c>
      <c r="CF143" s="380"/>
      <c r="CG143" s="224">
        <v>1200</v>
      </c>
      <c r="CH143" s="380"/>
      <c r="CI143" s="224">
        <f>CG143</f>
        <v>1200</v>
      </c>
      <c r="CJ143" s="380"/>
      <c r="CK143" s="224">
        <f>CI143</f>
        <v>1200</v>
      </c>
      <c r="CM143" s="380"/>
      <c r="CN143" s="224">
        <v>1200</v>
      </c>
      <c r="CO143" s="380"/>
      <c r="CP143" s="224">
        <f>CN143</f>
        <v>1200</v>
      </c>
      <c r="CQ143" s="380"/>
      <c r="CR143" s="224">
        <f>CP143</f>
        <v>1200</v>
      </c>
      <c r="CT143" s="380"/>
      <c r="CU143" s="384">
        <v>0</v>
      </c>
      <c r="CV143" s="380"/>
      <c r="CW143" s="384">
        <f>CU143</f>
        <v>0</v>
      </c>
      <c r="CX143" s="380"/>
      <c r="CY143" s="384">
        <f>CW143</f>
        <v>0</v>
      </c>
      <c r="DA143" s="380"/>
      <c r="DB143" s="384">
        <v>0</v>
      </c>
      <c r="DC143" s="380"/>
      <c r="DD143" s="384">
        <f>DB143</f>
        <v>0</v>
      </c>
      <c r="DE143" s="380"/>
      <c r="DF143" s="384">
        <f>DD143</f>
        <v>0</v>
      </c>
      <c r="DH143" s="380"/>
      <c r="DI143" s="384">
        <v>0</v>
      </c>
      <c r="DJ143" s="380"/>
      <c r="DK143" s="384">
        <f>DI143</f>
        <v>0</v>
      </c>
      <c r="DL143" s="380"/>
      <c r="DM143" s="384">
        <f>DK143</f>
        <v>0</v>
      </c>
    </row>
    <row r="144" spans="1:117" outlineLevel="1" x14ac:dyDescent="0.45">
      <c r="A144" s="561"/>
      <c r="B144" s="1187"/>
      <c r="C144" s="225" t="s">
        <v>390</v>
      </c>
      <c r="D144" s="162"/>
      <c r="E144" s="179" t="s">
        <v>128</v>
      </c>
      <c r="F144" s="180"/>
      <c r="G144" s="224">
        <v>1200</v>
      </c>
      <c r="H144" s="180"/>
      <c r="I144" s="224">
        <f>G144</f>
        <v>1200</v>
      </c>
      <c r="J144" s="180"/>
      <c r="K144" s="224">
        <f t="shared" si="610"/>
        <v>1200</v>
      </c>
      <c r="L144" s="180"/>
      <c r="M144" s="224">
        <f t="shared" si="611"/>
        <v>1200</v>
      </c>
      <c r="N144" s="380"/>
      <c r="O144" s="224">
        <v>1200</v>
      </c>
      <c r="P144" s="380"/>
      <c r="Q144" s="224">
        <f>O144</f>
        <v>1200</v>
      </c>
      <c r="R144" s="380"/>
      <c r="S144" s="224">
        <f>Q144</f>
        <v>1200</v>
      </c>
      <c r="T144" s="380"/>
      <c r="U144" s="224">
        <v>1200</v>
      </c>
      <c r="V144" s="380"/>
      <c r="W144" s="224">
        <f>U144</f>
        <v>1200</v>
      </c>
      <c r="X144" s="380"/>
      <c r="Y144" s="224">
        <f>W144</f>
        <v>1200</v>
      </c>
      <c r="Z144" s="380"/>
      <c r="AA144" s="224">
        <v>1200</v>
      </c>
      <c r="AB144" s="380"/>
      <c r="AC144" s="224">
        <f>AA144</f>
        <v>1200</v>
      </c>
      <c r="AD144" s="380"/>
      <c r="AE144" s="224">
        <f>AC144</f>
        <v>1200</v>
      </c>
      <c r="AF144" s="620"/>
      <c r="AG144" s="628"/>
      <c r="AH144" s="380"/>
      <c r="AI144" s="224">
        <f>S144</f>
        <v>1200</v>
      </c>
      <c r="AJ144" s="380"/>
      <c r="AK144" s="224">
        <f>AI144</f>
        <v>1200</v>
      </c>
      <c r="AL144" s="380"/>
      <c r="AM144" s="224">
        <f>AI144</f>
        <v>1200</v>
      </c>
      <c r="AN144" s="676"/>
      <c r="AO144" s="676"/>
      <c r="AP144" s="676"/>
      <c r="AR144" s="380"/>
      <c r="AS144" s="224">
        <f>AM144</f>
        <v>1200</v>
      </c>
      <c r="AT144" s="380"/>
      <c r="AU144" s="224">
        <f>AS144</f>
        <v>1200</v>
      </c>
      <c r="AV144" s="380"/>
      <c r="AW144" s="224">
        <f>AS144</f>
        <v>1200</v>
      </c>
      <c r="AX144" s="676"/>
      <c r="AY144" s="676"/>
      <c r="AZ144" s="676"/>
      <c r="BB144" s="380"/>
      <c r="BC144" s="224">
        <f>AW144</f>
        <v>1200</v>
      </c>
      <c r="BD144" s="380"/>
      <c r="BE144" s="224">
        <f>BC144</f>
        <v>1200</v>
      </c>
      <c r="BF144" s="380"/>
      <c r="BG144" s="224">
        <f>BC144</f>
        <v>1200</v>
      </c>
      <c r="BH144" s="676"/>
      <c r="BI144" s="676"/>
      <c r="BJ144" s="676"/>
      <c r="BL144" s="380"/>
      <c r="BM144" s="224">
        <f>BG144</f>
        <v>1200</v>
      </c>
      <c r="BN144" s="380"/>
      <c r="BO144" s="224">
        <f>BM144</f>
        <v>1200</v>
      </c>
      <c r="BP144" s="380"/>
      <c r="BQ144" s="224">
        <f>BM144</f>
        <v>1200</v>
      </c>
      <c r="BR144" s="676"/>
      <c r="BS144" s="676"/>
      <c r="BT144" s="676"/>
      <c r="BV144" s="380"/>
      <c r="BW144" s="224">
        <f>BO144</f>
        <v>1200</v>
      </c>
      <c r="BY144" s="380"/>
      <c r="BZ144" s="224">
        <f>BQ144</f>
        <v>1200</v>
      </c>
      <c r="CA144" s="380"/>
      <c r="CB144" s="224">
        <f>BS144</f>
        <v>0</v>
      </c>
      <c r="CC144" s="380"/>
      <c r="CD144" s="224">
        <f>BU144</f>
        <v>0</v>
      </c>
      <c r="CF144" s="380"/>
      <c r="CG144" s="224">
        <f>BQ144</f>
        <v>1200</v>
      </c>
      <c r="CH144" s="380"/>
      <c r="CI144" s="224">
        <f>BS144</f>
        <v>0</v>
      </c>
      <c r="CJ144" s="380"/>
      <c r="CK144" s="224">
        <f>BU144</f>
        <v>0</v>
      </c>
      <c r="CM144" s="380"/>
      <c r="CN144" s="224">
        <f>BX144</f>
        <v>0</v>
      </c>
      <c r="CO144" s="380"/>
      <c r="CP144" s="224">
        <f>BZ144</f>
        <v>1200</v>
      </c>
      <c r="CQ144" s="380"/>
      <c r="CR144" s="224">
        <f>CB144</f>
        <v>0</v>
      </c>
      <c r="CT144" s="380"/>
      <c r="CU144" s="384">
        <f>CU71</f>
        <v>0</v>
      </c>
      <c r="CV144" s="380"/>
      <c r="CW144" s="384">
        <f t="shared" ref="CW144" si="612">CW71</f>
        <v>1500</v>
      </c>
      <c r="CX144" s="380"/>
      <c r="CY144" s="384">
        <f t="shared" ref="CY144" si="613">CY71</f>
        <v>1500</v>
      </c>
      <c r="DA144" s="380"/>
      <c r="DB144" s="384">
        <f>DB71</f>
        <v>0</v>
      </c>
      <c r="DC144" s="380"/>
      <c r="DD144" s="384">
        <f t="shared" ref="DD144" si="614">DD71</f>
        <v>1500</v>
      </c>
      <c r="DE144" s="380"/>
      <c r="DF144" s="384">
        <f t="shared" ref="DF144" si="615">DF71</f>
        <v>1500</v>
      </c>
      <c r="DH144" s="380"/>
      <c r="DI144" s="384">
        <f>DI71</f>
        <v>0</v>
      </c>
      <c r="DJ144" s="380"/>
      <c r="DK144" s="384">
        <f t="shared" ref="DK144" si="616">DK71</f>
        <v>1500</v>
      </c>
      <c r="DL144" s="380"/>
      <c r="DM144" s="384">
        <f t="shared" ref="DM144" si="617">DM71</f>
        <v>1500</v>
      </c>
    </row>
    <row r="145" spans="1:117" outlineLevel="1" x14ac:dyDescent="0.45">
      <c r="A145" s="561"/>
      <c r="B145" s="1187"/>
      <c r="C145" s="225" t="s">
        <v>130</v>
      </c>
      <c r="D145" s="162"/>
      <c r="E145" s="179"/>
      <c r="F145" s="180"/>
      <c r="G145" s="224">
        <v>750</v>
      </c>
      <c r="H145" s="180"/>
      <c r="I145" s="224">
        <v>750</v>
      </c>
      <c r="J145" s="180"/>
      <c r="K145" s="224">
        <v>750</v>
      </c>
      <c r="L145" s="180"/>
      <c r="M145" s="224">
        <v>750</v>
      </c>
      <c r="N145" s="380"/>
      <c r="O145" s="384">
        <v>750</v>
      </c>
      <c r="P145" s="380"/>
      <c r="Q145" s="384">
        <v>750</v>
      </c>
      <c r="R145" s="380"/>
      <c r="S145" s="384">
        <v>750</v>
      </c>
      <c r="T145" s="380"/>
      <c r="U145" s="384">
        <v>750</v>
      </c>
      <c r="V145" s="380"/>
      <c r="W145" s="384">
        <v>750</v>
      </c>
      <c r="X145" s="380"/>
      <c r="Y145" s="384">
        <v>750</v>
      </c>
      <c r="Z145" s="380"/>
      <c r="AA145" s="384">
        <v>750</v>
      </c>
      <c r="AB145" s="380"/>
      <c r="AC145" s="384">
        <v>750</v>
      </c>
      <c r="AD145" s="380"/>
      <c r="AE145" s="384">
        <v>750</v>
      </c>
      <c r="AF145" s="620"/>
      <c r="AG145" s="628"/>
      <c r="AH145" s="380"/>
      <c r="AI145" s="384">
        <v>750</v>
      </c>
      <c r="AJ145" s="380"/>
      <c r="AK145" s="384">
        <v>750</v>
      </c>
      <c r="AL145" s="380"/>
      <c r="AM145" s="384">
        <v>750</v>
      </c>
      <c r="AN145" s="628"/>
      <c r="AO145" s="628"/>
      <c r="AP145" s="628"/>
      <c r="AR145" s="380"/>
      <c r="AS145" s="384">
        <v>750</v>
      </c>
      <c r="AT145" s="380"/>
      <c r="AU145" s="384">
        <v>750</v>
      </c>
      <c r="AV145" s="380"/>
      <c r="AW145" s="384">
        <v>750</v>
      </c>
      <c r="AX145" s="628"/>
      <c r="AY145" s="628"/>
      <c r="AZ145" s="628"/>
      <c r="BB145" s="380"/>
      <c r="BC145" s="384">
        <v>750</v>
      </c>
      <c r="BD145" s="380"/>
      <c r="BE145" s="384">
        <v>750</v>
      </c>
      <c r="BF145" s="380"/>
      <c r="BG145" s="384">
        <v>750</v>
      </c>
      <c r="BH145" s="628"/>
      <c r="BI145" s="628"/>
      <c r="BJ145" s="628"/>
      <c r="BL145" s="380"/>
      <c r="BM145" s="384">
        <v>750</v>
      </c>
      <c r="BN145" s="380"/>
      <c r="BO145" s="384">
        <v>750</v>
      </c>
      <c r="BP145" s="380"/>
      <c r="BQ145" s="384">
        <v>750</v>
      </c>
      <c r="BR145" s="628"/>
      <c r="BS145" s="628"/>
      <c r="BT145" s="628"/>
      <c r="BV145" s="380"/>
      <c r="BW145" s="384">
        <v>750</v>
      </c>
      <c r="BY145" s="380"/>
      <c r="BZ145" s="384">
        <v>750</v>
      </c>
      <c r="CA145" s="380"/>
      <c r="CB145" s="384">
        <v>750</v>
      </c>
      <c r="CC145" s="380"/>
      <c r="CD145" s="384">
        <v>750</v>
      </c>
      <c r="CF145" s="380"/>
      <c r="CG145" s="384">
        <v>750</v>
      </c>
      <c r="CH145" s="380"/>
      <c r="CI145" s="384">
        <v>750</v>
      </c>
      <c r="CJ145" s="380"/>
      <c r="CK145" s="384">
        <v>750</v>
      </c>
      <c r="CM145" s="380"/>
      <c r="CN145" s="384">
        <v>750</v>
      </c>
      <c r="CO145" s="380"/>
      <c r="CP145" s="384">
        <v>750</v>
      </c>
      <c r="CQ145" s="380"/>
      <c r="CR145" s="384">
        <v>750</v>
      </c>
      <c r="CT145" s="380"/>
      <c r="CU145" s="384">
        <v>750</v>
      </c>
      <c r="CV145" s="380"/>
      <c r="CW145" s="384">
        <v>750</v>
      </c>
      <c r="CX145" s="380"/>
      <c r="CY145" s="384">
        <v>750</v>
      </c>
      <c r="DA145" s="380"/>
      <c r="DB145" s="384">
        <v>750</v>
      </c>
      <c r="DC145" s="380"/>
      <c r="DD145" s="384">
        <v>750</v>
      </c>
      <c r="DE145" s="380"/>
      <c r="DF145" s="384">
        <v>750</v>
      </c>
      <c r="DH145" s="380"/>
      <c r="DI145" s="384">
        <v>750</v>
      </c>
      <c r="DJ145" s="380"/>
      <c r="DK145" s="384">
        <v>750</v>
      </c>
      <c r="DL145" s="380"/>
      <c r="DM145" s="384">
        <v>750</v>
      </c>
    </row>
    <row r="146" spans="1:117" outlineLevel="1" x14ac:dyDescent="0.45">
      <c r="A146" s="561"/>
      <c r="B146" s="1187"/>
      <c r="C146" s="170"/>
      <c r="D146" s="162"/>
      <c r="E146" s="197"/>
      <c r="F146" s="164"/>
      <c r="G146" s="171"/>
      <c r="H146" s="164"/>
      <c r="I146" s="171"/>
      <c r="J146" s="164"/>
      <c r="K146" s="171"/>
      <c r="L146" s="164"/>
      <c r="M146" s="171"/>
      <c r="N146" s="359"/>
      <c r="O146" s="372"/>
      <c r="P146" s="359"/>
      <c r="Q146" s="372"/>
      <c r="R146" s="359"/>
      <c r="S146" s="372"/>
      <c r="T146" s="359"/>
      <c r="U146" s="372"/>
      <c r="V146" s="359"/>
      <c r="W146" s="372"/>
      <c r="X146" s="359"/>
      <c r="Y146" s="372"/>
      <c r="Z146" s="359"/>
      <c r="AA146" s="372"/>
      <c r="AB146" s="359"/>
      <c r="AC146" s="372"/>
      <c r="AD146" s="359"/>
      <c r="AE146" s="372"/>
      <c r="AF146" s="620"/>
      <c r="AG146" s="632"/>
      <c r="AH146" s="359"/>
      <c r="AI146" s="372"/>
      <c r="AJ146" s="359"/>
      <c r="AK146" s="372"/>
      <c r="AL146" s="359"/>
      <c r="AM146" s="372"/>
      <c r="AN146" s="632"/>
      <c r="AO146" s="632"/>
      <c r="AP146" s="632"/>
      <c r="AR146" s="359"/>
      <c r="AS146" s="372"/>
      <c r="AT146" s="359"/>
      <c r="AU146" s="372"/>
      <c r="AV146" s="359"/>
      <c r="AW146" s="372"/>
      <c r="AX146" s="632"/>
      <c r="AY146" s="632"/>
      <c r="AZ146" s="632"/>
      <c r="BB146" s="359"/>
      <c r="BC146" s="372"/>
      <c r="BD146" s="359"/>
      <c r="BE146" s="372"/>
      <c r="BF146" s="359"/>
      <c r="BG146" s="372"/>
      <c r="BH146" s="632"/>
      <c r="BI146" s="632"/>
      <c r="BJ146" s="632"/>
      <c r="BL146" s="359"/>
      <c r="BM146" s="372"/>
      <c r="BN146" s="359"/>
      <c r="BO146" s="372"/>
      <c r="BP146" s="359"/>
      <c r="BQ146" s="372"/>
      <c r="BR146" s="632"/>
      <c r="BS146" s="632"/>
      <c r="BT146" s="632"/>
      <c r="BV146" s="359"/>
      <c r="BW146" s="372"/>
      <c r="BY146" s="359"/>
      <c r="BZ146" s="372"/>
      <c r="CA146" s="359"/>
      <c r="CB146" s="372"/>
      <c r="CC146" s="359"/>
      <c r="CD146" s="372"/>
      <c r="CF146" s="359"/>
      <c r="CG146" s="372"/>
      <c r="CH146" s="359"/>
      <c r="CI146" s="372"/>
      <c r="CJ146" s="359"/>
      <c r="CK146" s="372"/>
      <c r="CM146" s="359"/>
      <c r="CN146" s="372"/>
      <c r="CO146" s="359"/>
      <c r="CP146" s="372"/>
      <c r="CQ146" s="359"/>
      <c r="CR146" s="372"/>
      <c r="CT146" s="359"/>
      <c r="CU146" s="372"/>
      <c r="CV146" s="359"/>
      <c r="CW146" s="372"/>
      <c r="CX146" s="359"/>
      <c r="CY146" s="372"/>
      <c r="DA146" s="359"/>
      <c r="DB146" s="372"/>
      <c r="DC146" s="359"/>
      <c r="DD146" s="372"/>
      <c r="DE146" s="359"/>
      <c r="DF146" s="372"/>
      <c r="DH146" s="359"/>
      <c r="DI146" s="372"/>
      <c r="DJ146" s="359"/>
      <c r="DK146" s="372"/>
      <c r="DL146" s="359"/>
      <c r="DM146" s="372"/>
    </row>
    <row r="147" spans="1:117" outlineLevel="1" x14ac:dyDescent="0.45">
      <c r="A147" s="561"/>
      <c r="B147" s="1187"/>
      <c r="C147" s="226" t="s">
        <v>131</v>
      </c>
      <c r="D147" s="227"/>
      <c r="E147" s="228" t="s">
        <v>132</v>
      </c>
      <c r="F147" s="229"/>
      <c r="G147" s="230">
        <f>G143-G142</f>
        <v>780</v>
      </c>
      <c r="H147" s="229"/>
      <c r="I147" s="230">
        <f>I143-I142</f>
        <v>350</v>
      </c>
      <c r="J147" s="229"/>
      <c r="K147" s="230">
        <f>K143-K142</f>
        <v>350</v>
      </c>
      <c r="L147" s="229"/>
      <c r="M147" s="230">
        <f>M143-M142</f>
        <v>350</v>
      </c>
      <c r="N147" s="229"/>
      <c r="O147" s="230">
        <f>O143-O142</f>
        <v>18</v>
      </c>
      <c r="P147" s="229"/>
      <c r="Q147" s="230">
        <f>Q143-Q142</f>
        <v>18</v>
      </c>
      <c r="R147" s="229"/>
      <c r="S147" s="230">
        <f>S143-S142</f>
        <v>18</v>
      </c>
      <c r="T147" s="229"/>
      <c r="U147" s="230">
        <f>U143-U142</f>
        <v>44</v>
      </c>
      <c r="V147" s="229"/>
      <c r="W147" s="230">
        <f>W143-W142</f>
        <v>44</v>
      </c>
      <c r="X147" s="229"/>
      <c r="Y147" s="230">
        <f>Y143-Y142</f>
        <v>44</v>
      </c>
      <c r="Z147" s="229"/>
      <c r="AA147" s="230">
        <f>AA143-AA142</f>
        <v>300</v>
      </c>
      <c r="AB147" s="229"/>
      <c r="AC147" s="230">
        <f>AC143-AC142</f>
        <v>300</v>
      </c>
      <c r="AD147" s="229"/>
      <c r="AE147" s="230">
        <f>AE143-AE142</f>
        <v>300</v>
      </c>
      <c r="AF147" s="620"/>
      <c r="AG147" s="701"/>
      <c r="AH147" s="229"/>
      <c r="AI147" s="230">
        <f>AI144-AI142</f>
        <v>-300</v>
      </c>
      <c r="AJ147" s="229"/>
      <c r="AK147" s="230">
        <f>AK144-AK142</f>
        <v>-300</v>
      </c>
      <c r="AL147" s="229"/>
      <c r="AM147" s="230">
        <f>AM144-AM142</f>
        <v>-300</v>
      </c>
      <c r="AN147" s="663"/>
      <c r="AO147" s="663"/>
      <c r="AP147" s="663"/>
      <c r="AR147" s="229"/>
      <c r="AS147" s="230">
        <f>AS144-AS142</f>
        <v>-300</v>
      </c>
      <c r="AT147" s="229"/>
      <c r="AU147" s="230">
        <f>AU144-AU142</f>
        <v>-300</v>
      </c>
      <c r="AV147" s="229"/>
      <c r="AW147" s="230">
        <f>AW144-AW142</f>
        <v>-300</v>
      </c>
      <c r="AX147" s="663"/>
      <c r="AY147" s="663"/>
      <c r="AZ147" s="663"/>
      <c r="BB147" s="229"/>
      <c r="BC147" s="230">
        <f>BC144-BC142</f>
        <v>-300</v>
      </c>
      <c r="BD147" s="229"/>
      <c r="BE147" s="230">
        <f>BE144-BE142</f>
        <v>-300</v>
      </c>
      <c r="BF147" s="229"/>
      <c r="BG147" s="230">
        <f>BG144-BG142</f>
        <v>-300</v>
      </c>
      <c r="BH147" s="663"/>
      <c r="BI147" s="663"/>
      <c r="BJ147" s="663"/>
      <c r="BL147" s="229"/>
      <c r="BM147" s="230">
        <f>BM143-BM142</f>
        <v>0</v>
      </c>
      <c r="BN147" s="229"/>
      <c r="BO147" s="230">
        <f>BO143-BO142</f>
        <v>0</v>
      </c>
      <c r="BP147" s="229"/>
      <c r="BQ147" s="230">
        <f>BQ143-BQ142</f>
        <v>0</v>
      </c>
      <c r="BR147" s="663"/>
      <c r="BS147" s="663"/>
      <c r="BT147" s="663"/>
      <c r="BV147" s="229"/>
      <c r="BW147" s="230">
        <f>BW143-BW142</f>
        <v>0</v>
      </c>
      <c r="BY147" s="229"/>
      <c r="BZ147" s="230">
        <f>BZ143-BZ142</f>
        <v>0</v>
      </c>
      <c r="CA147" s="229"/>
      <c r="CB147" s="230">
        <f>CB143-CB142</f>
        <v>0</v>
      </c>
      <c r="CC147" s="229"/>
      <c r="CD147" s="230">
        <f>CD143-CD142</f>
        <v>0</v>
      </c>
      <c r="CF147" s="229"/>
      <c r="CG147" s="230">
        <f>CG143-CG142</f>
        <v>-300</v>
      </c>
      <c r="CH147" s="229"/>
      <c r="CI147" s="230">
        <f>CI143-CI142</f>
        <v>-300</v>
      </c>
      <c r="CJ147" s="229"/>
      <c r="CK147" s="230">
        <f>CK143-CK142</f>
        <v>-300</v>
      </c>
      <c r="CM147" s="229"/>
      <c r="CN147" s="230">
        <f>CN143-CN142</f>
        <v>-300</v>
      </c>
      <c r="CO147" s="229"/>
      <c r="CP147" s="230">
        <f>CP143-CP142</f>
        <v>-300</v>
      </c>
      <c r="CQ147" s="229"/>
      <c r="CR147" s="230">
        <f>CR143-CR142</f>
        <v>-300</v>
      </c>
      <c r="CT147" s="229"/>
      <c r="CU147" s="230">
        <f>CU143-CU142</f>
        <v>0</v>
      </c>
      <c r="CV147" s="229"/>
      <c r="CW147" s="230">
        <f t="shared" ref="CW147" si="618">CW143-CW142</f>
        <v>-1500</v>
      </c>
      <c r="CX147" s="229"/>
      <c r="CY147" s="230">
        <f t="shared" ref="CY147" si="619">CY143-CY142</f>
        <v>-1500</v>
      </c>
      <c r="DA147" s="229"/>
      <c r="DB147" s="230">
        <f>DB143-DB142</f>
        <v>0</v>
      </c>
      <c r="DC147" s="229"/>
      <c r="DD147" s="230">
        <f t="shared" ref="DD147" si="620">DD143-DD142</f>
        <v>-1500</v>
      </c>
      <c r="DE147" s="229"/>
      <c r="DF147" s="230">
        <f t="shared" ref="DF147" si="621">DF143-DF142</f>
        <v>-1500</v>
      </c>
      <c r="DH147" s="229"/>
      <c r="DI147" s="230">
        <f>DI143-DI142</f>
        <v>0</v>
      </c>
      <c r="DJ147" s="229"/>
      <c r="DK147" s="230">
        <f t="shared" ref="DK147" si="622">DK143-DK142</f>
        <v>-1500</v>
      </c>
      <c r="DL147" s="229"/>
      <c r="DM147" s="230">
        <f t="shared" ref="DM147" si="623">DM143-DM142</f>
        <v>-1500</v>
      </c>
    </row>
    <row r="148" spans="1:117" outlineLevel="1" x14ac:dyDescent="0.45">
      <c r="A148" s="561"/>
      <c r="B148" s="1187"/>
      <c r="C148" s="232"/>
      <c r="D148" s="227"/>
      <c r="E148" s="228" t="s">
        <v>133</v>
      </c>
      <c r="F148" s="229"/>
      <c r="G148" s="230">
        <f>G147*G137</f>
        <v>198468.25352112675</v>
      </c>
      <c r="H148" s="229"/>
      <c r="I148" s="230">
        <f>I147*I137</f>
        <v>89056.26760563381</v>
      </c>
      <c r="J148" s="229"/>
      <c r="K148" s="230">
        <f t="shared" ref="K148" si="624">K147*K137</f>
        <v>89056.26760563381</v>
      </c>
      <c r="L148" s="229"/>
      <c r="M148" s="230">
        <f t="shared" ref="M148" si="625">M147*M137</f>
        <v>89056.26760563381</v>
      </c>
      <c r="N148" s="229"/>
      <c r="O148" s="588">
        <f>O147*O140</f>
        <v>8098.9352112676061</v>
      </c>
      <c r="P148" s="229"/>
      <c r="Q148" s="588">
        <f>Q147*Q140</f>
        <v>8098.9352112676061</v>
      </c>
      <c r="R148" s="229"/>
      <c r="S148" s="588">
        <f>S147*S140</f>
        <v>8098.9352112676061</v>
      </c>
      <c r="T148" s="229"/>
      <c r="U148" s="588">
        <f>U147*U140</f>
        <v>19797.39718309859</v>
      </c>
      <c r="V148" s="229"/>
      <c r="W148" s="588">
        <f>W147*W140</f>
        <v>19797.39718309859</v>
      </c>
      <c r="X148" s="229"/>
      <c r="Y148" s="588">
        <f>Y147*Y140</f>
        <v>19797.39718309859</v>
      </c>
      <c r="Z148" s="229"/>
      <c r="AA148" s="588">
        <f>AA147*AA140</f>
        <v>134982.25352112675</v>
      </c>
      <c r="AB148" s="229"/>
      <c r="AC148" s="588">
        <f>AC147*AC140</f>
        <v>134982.25352112675</v>
      </c>
      <c r="AD148" s="229"/>
      <c r="AE148" s="588">
        <f>AE147*AE140</f>
        <v>134982.25352112675</v>
      </c>
      <c r="AF148" s="620"/>
      <c r="AG148" s="702"/>
      <c r="AH148" s="229"/>
      <c r="AI148" s="588">
        <f>AI147*AI140</f>
        <v>-134982.25352112675</v>
      </c>
      <c r="AJ148" s="229"/>
      <c r="AK148" s="588">
        <f>AK147*AK140</f>
        <v>-134982.25352112675</v>
      </c>
      <c r="AL148" s="229"/>
      <c r="AM148" s="588">
        <f>AM147*AM140</f>
        <v>-134982.25352112675</v>
      </c>
      <c r="AN148" s="664"/>
      <c r="AO148" s="664"/>
      <c r="AP148" s="664"/>
      <c r="AR148" s="229"/>
      <c r="AS148" s="588">
        <f>AS147*AS140</f>
        <v>-134982.25352112675</v>
      </c>
      <c r="AT148" s="229"/>
      <c r="AU148" s="588">
        <f>AU147*AU140</f>
        <v>-134982.25352112675</v>
      </c>
      <c r="AV148" s="229"/>
      <c r="AW148" s="588">
        <f>AW147*AW140</f>
        <v>-134982.25352112675</v>
      </c>
      <c r="AX148" s="664"/>
      <c r="AY148" s="664"/>
      <c r="AZ148" s="664"/>
      <c r="BB148" s="229"/>
      <c r="BC148" s="588">
        <f>BC147*BC140</f>
        <v>-134982.25352112675</v>
      </c>
      <c r="BD148" s="229"/>
      <c r="BE148" s="588">
        <f>BE147*BE140</f>
        <v>-134982.25352112675</v>
      </c>
      <c r="BF148" s="229"/>
      <c r="BG148" s="588">
        <f>BG147*BG140</f>
        <v>-134982.25352112675</v>
      </c>
      <c r="BH148" s="664"/>
      <c r="BI148" s="664"/>
      <c r="BJ148" s="664"/>
      <c r="BL148" s="229"/>
      <c r="BM148" s="588">
        <f>BM147*BM140</f>
        <v>0</v>
      </c>
      <c r="BN148" s="229"/>
      <c r="BO148" s="588">
        <f>BO147*BO140</f>
        <v>0</v>
      </c>
      <c r="BP148" s="229"/>
      <c r="BQ148" s="588">
        <f>BQ147*BQ140</f>
        <v>0</v>
      </c>
      <c r="BR148" s="664"/>
      <c r="BS148" s="664"/>
      <c r="BT148" s="664"/>
      <c r="BV148" s="229"/>
      <c r="BW148" s="588">
        <f>BW147*BW140</f>
        <v>0</v>
      </c>
      <c r="BY148" s="229"/>
      <c r="BZ148" s="588">
        <f>BZ147*BZ140</f>
        <v>0</v>
      </c>
      <c r="CA148" s="229"/>
      <c r="CB148" s="588">
        <f>CB147*CB140</f>
        <v>0</v>
      </c>
      <c r="CC148" s="229"/>
      <c r="CD148" s="588">
        <f>CD147*CD140</f>
        <v>0</v>
      </c>
      <c r="CF148" s="229"/>
      <c r="CG148" s="588">
        <f>CG147*CG140</f>
        <v>-134982.25352112675</v>
      </c>
      <c r="CH148" s="229"/>
      <c r="CI148" s="588">
        <f>CI147*CI140</f>
        <v>0</v>
      </c>
      <c r="CJ148" s="229"/>
      <c r="CK148" s="588">
        <f>CK147*CK140</f>
        <v>0</v>
      </c>
      <c r="CM148" s="229"/>
      <c r="CN148" s="588">
        <f>CN147*CN140</f>
        <v>0</v>
      </c>
      <c r="CO148" s="229"/>
      <c r="CP148" s="588">
        <f>CP147*CP140</f>
        <v>-134982.25352112675</v>
      </c>
      <c r="CQ148" s="229"/>
      <c r="CR148" s="588">
        <f>CR147*CR140</f>
        <v>0</v>
      </c>
      <c r="CT148" s="229"/>
      <c r="CU148" s="588">
        <f>CU147*CU140</f>
        <v>0</v>
      </c>
      <c r="CV148" s="229"/>
      <c r="CW148" s="588">
        <f t="shared" ref="CW148" si="626">CW147*CW140</f>
        <v>-635532.02479338844</v>
      </c>
      <c r="CX148" s="229"/>
      <c r="CY148" s="588">
        <f t="shared" ref="CY148" si="627">CY147*CY140</f>
        <v>-635532.02479338844</v>
      </c>
      <c r="DA148" s="229"/>
      <c r="DB148" s="588">
        <f>DB147*DB140</f>
        <v>0</v>
      </c>
      <c r="DC148" s="229"/>
      <c r="DD148" s="588">
        <f t="shared" ref="DD148" si="628">DD147*DD140</f>
        <v>-635532.02479338844</v>
      </c>
      <c r="DE148" s="229"/>
      <c r="DF148" s="588">
        <f t="shared" ref="DF148" si="629">DF147*DF140</f>
        <v>-635532.02479338844</v>
      </c>
      <c r="DH148" s="229"/>
      <c r="DI148" s="588">
        <f>DI147*DI140</f>
        <v>0</v>
      </c>
      <c r="DJ148" s="229"/>
      <c r="DK148" s="588">
        <f t="shared" ref="DK148" si="630">DK147*DK140</f>
        <v>-635532.02479338844</v>
      </c>
      <c r="DL148" s="229"/>
      <c r="DM148" s="588">
        <f t="shared" ref="DM148" si="631">DM147*DM140</f>
        <v>-635532.02479338844</v>
      </c>
    </row>
    <row r="149" spans="1:117" x14ac:dyDescent="0.45">
      <c r="A149" s="561"/>
      <c r="B149" s="1187"/>
      <c r="C149" s="233"/>
      <c r="D149" s="234"/>
      <c r="E149" s="234"/>
      <c r="F149" s="235"/>
      <c r="G149" s="236"/>
      <c r="H149" s="235"/>
      <c r="I149" s="236"/>
      <c r="J149" s="235"/>
      <c r="K149" s="236"/>
      <c r="L149" s="235"/>
      <c r="M149" s="236"/>
      <c r="N149" s="381"/>
      <c r="O149" s="385"/>
      <c r="P149" s="381"/>
      <c r="Q149" s="385"/>
      <c r="R149" s="381"/>
      <c r="S149" s="385"/>
      <c r="T149" s="381"/>
      <c r="U149" s="385"/>
      <c r="V149" s="381"/>
      <c r="W149" s="385"/>
      <c r="X149" s="381"/>
      <c r="Y149" s="385"/>
      <c r="Z149" s="381"/>
      <c r="AA149" s="385"/>
      <c r="AB149" s="381"/>
      <c r="AC149" s="385"/>
      <c r="AD149" s="381"/>
      <c r="AE149" s="385"/>
      <c r="AF149" s="620"/>
      <c r="AG149" s="665"/>
      <c r="AH149" s="381"/>
      <c r="AI149" s="385"/>
      <c r="AJ149" s="381"/>
      <c r="AK149" s="385"/>
      <c r="AL149" s="381"/>
      <c r="AM149" s="385"/>
      <c r="AN149" s="665"/>
      <c r="AO149" s="665"/>
      <c r="AP149" s="665"/>
      <c r="AR149" s="381"/>
      <c r="AS149" s="385"/>
      <c r="AT149" s="381"/>
      <c r="AU149" s="385"/>
      <c r="AV149" s="381"/>
      <c r="AW149" s="385"/>
      <c r="AX149" s="665"/>
      <c r="AY149" s="665"/>
      <c r="AZ149" s="665"/>
      <c r="BB149" s="381"/>
      <c r="BC149" s="385"/>
      <c r="BD149" s="381"/>
      <c r="BE149" s="385"/>
      <c r="BF149" s="381"/>
      <c r="BG149" s="385"/>
      <c r="BH149" s="665"/>
      <c r="BI149" s="665"/>
      <c r="BJ149" s="665"/>
      <c r="BL149" s="381"/>
      <c r="BM149" s="385"/>
      <c r="BN149" s="381"/>
      <c r="BO149" s="385"/>
      <c r="BP149" s="381"/>
      <c r="BQ149" s="385"/>
      <c r="BR149" s="665"/>
      <c r="BS149" s="665"/>
      <c r="BT149" s="665"/>
      <c r="BV149" s="381"/>
      <c r="BW149" s="385"/>
      <c r="BY149" s="381"/>
      <c r="BZ149" s="385"/>
      <c r="CA149" s="381"/>
      <c r="CB149" s="385"/>
      <c r="CC149" s="381"/>
      <c r="CD149" s="385"/>
      <c r="CF149" s="381"/>
      <c r="CG149" s="385"/>
      <c r="CH149" s="381"/>
      <c r="CI149" s="385"/>
      <c r="CJ149" s="381"/>
      <c r="CK149" s="385"/>
      <c r="CM149" s="381"/>
      <c r="CN149" s="385"/>
      <c r="CO149" s="381"/>
      <c r="CP149" s="385"/>
      <c r="CQ149" s="381"/>
      <c r="CR149" s="385"/>
      <c r="CT149" s="381"/>
      <c r="CU149" s="385"/>
      <c r="CV149" s="381"/>
      <c r="CW149" s="385"/>
      <c r="CX149" s="381"/>
      <c r="CY149" s="385"/>
      <c r="DA149" s="381"/>
      <c r="DB149" s="385"/>
      <c r="DC149" s="381"/>
      <c r="DD149" s="385"/>
      <c r="DE149" s="381"/>
      <c r="DF149" s="385"/>
      <c r="DH149" s="381"/>
      <c r="DI149" s="385"/>
      <c r="DJ149" s="381"/>
      <c r="DK149" s="385"/>
      <c r="DL149" s="381"/>
      <c r="DM149" s="385"/>
    </row>
    <row r="150" spans="1:117" ht="15.75" hidden="1" customHeight="1" outlineLevel="1" thickBot="1" x14ac:dyDescent="0.5">
      <c r="A150" s="561"/>
      <c r="B150" s="1188"/>
      <c r="C150" s="301" t="s">
        <v>134</v>
      </c>
      <c r="D150" s="302"/>
      <c r="E150" s="303"/>
      <c r="F150" s="304"/>
      <c r="G150" s="305">
        <f>G105*G136</f>
        <v>112797.71431969565</v>
      </c>
      <c r="H150" s="304"/>
      <c r="I150" s="305">
        <f>I105*I136</f>
        <v>31648.912712613226</v>
      </c>
      <c r="J150" s="304"/>
      <c r="K150" s="305">
        <f t="shared" ref="K150" si="632">K105*K136</f>
        <v>31648.912712613226</v>
      </c>
      <c r="L150" s="304"/>
      <c r="M150" s="305">
        <f t="shared" ref="M150" si="633">M105*M136</f>
        <v>31648.912712613226</v>
      </c>
      <c r="N150" s="304"/>
      <c r="O150" s="305">
        <f>O105*O139</f>
        <v>138029.88983627711</v>
      </c>
      <c r="P150" s="304"/>
      <c r="Q150" s="305">
        <f>Q105*Q139</f>
        <v>138029.88983627711</v>
      </c>
      <c r="R150" s="304"/>
      <c r="S150" s="305">
        <f>S105*S139</f>
        <v>138029.88983627711</v>
      </c>
      <c r="T150" s="304"/>
      <c r="U150" s="305">
        <f>U105*U139</f>
        <v>-127900.70798034739</v>
      </c>
      <c r="V150" s="304"/>
      <c r="W150" s="305">
        <f>W105*W139</f>
        <v>-127900.70798034739</v>
      </c>
      <c r="X150" s="304"/>
      <c r="Y150" s="305">
        <f>Y105*Y139</f>
        <v>-127900.70798034739</v>
      </c>
      <c r="Z150" s="304"/>
      <c r="AA150" s="305">
        <f>AA105*AA139</f>
        <v>-608644.80377901264</v>
      </c>
      <c r="AB150" s="304"/>
      <c r="AC150" s="305">
        <f>AC105*AC139</f>
        <v>-608644.80377901264</v>
      </c>
      <c r="AD150" s="304"/>
      <c r="AE150" s="305">
        <f>AE105*AE139</f>
        <v>-608644.80377901264</v>
      </c>
      <c r="AF150" s="620"/>
      <c r="AG150" s="703"/>
      <c r="AH150" s="304"/>
      <c r="AI150" s="305">
        <f>AI105*AI139</f>
        <v>197199.24974211457</v>
      </c>
      <c r="AJ150" s="304"/>
      <c r="AK150" s="305">
        <f>AK105*AK139</f>
        <v>197199.24974211457</v>
      </c>
      <c r="AL150" s="304"/>
      <c r="AM150" s="305">
        <f>AM105*AM139</f>
        <v>197199.24974211457</v>
      </c>
      <c r="AN150" s="722"/>
      <c r="AO150" s="722"/>
      <c r="AP150" s="722"/>
      <c r="AR150" s="304"/>
      <c r="AS150" s="305">
        <f>AS105*AS139</f>
        <v>197199.24974211457</v>
      </c>
      <c r="AT150" s="304"/>
      <c r="AU150" s="305">
        <f>AU105*AU139</f>
        <v>197199.24974211457</v>
      </c>
      <c r="AV150" s="304"/>
      <c r="AW150" s="305">
        <f>AW105*AW139</f>
        <v>197199.24974211457</v>
      </c>
      <c r="AX150" s="722"/>
      <c r="AY150" s="722"/>
      <c r="AZ150" s="722"/>
      <c r="BB150" s="304"/>
      <c r="BC150" s="305">
        <f>BC105*BC139</f>
        <v>197199.24974211457</v>
      </c>
      <c r="BD150" s="304"/>
      <c r="BE150" s="305">
        <f>BE105*BE139</f>
        <v>197199.24974211457</v>
      </c>
      <c r="BF150" s="304"/>
      <c r="BG150" s="305">
        <f>BG105*BG139</f>
        <v>197199.24974211457</v>
      </c>
      <c r="BH150" s="722"/>
      <c r="BI150" s="722"/>
      <c r="BJ150" s="722"/>
      <c r="BL150" s="304"/>
      <c r="BM150" s="305">
        <f>BM105*BM139</f>
        <v>388874.04974211368</v>
      </c>
      <c r="BN150" s="304"/>
      <c r="BO150" s="305">
        <f>BO105*BO139</f>
        <v>388874.04974211368</v>
      </c>
      <c r="BP150" s="304"/>
      <c r="BQ150" s="305">
        <f>BQ105*BQ139</f>
        <v>388874.04974211368</v>
      </c>
      <c r="BR150" s="722"/>
      <c r="BS150" s="722"/>
      <c r="BT150" s="722"/>
      <c r="BV150" s="304"/>
      <c r="BW150" s="305">
        <f>BW105*BW139</f>
        <v>174477.23706605894</v>
      </c>
      <c r="BY150" s="304"/>
      <c r="BZ150" s="305">
        <f>BZ105*BZ139</f>
        <v>324757.47931957996</v>
      </c>
      <c r="CA150" s="304"/>
      <c r="CB150" s="305">
        <f>CB105*CB139</f>
        <v>0</v>
      </c>
      <c r="CC150" s="304"/>
      <c r="CD150" s="305">
        <f>CD105*CD139</f>
        <v>0</v>
      </c>
      <c r="CF150" s="304"/>
      <c r="CG150" s="305">
        <f>CG105*CG139</f>
        <v>459739.73284070671</v>
      </c>
      <c r="CH150" s="304"/>
      <c r="CI150" s="305">
        <f>CI105*CI139</f>
        <v>0</v>
      </c>
      <c r="CJ150" s="304"/>
      <c r="CK150" s="305">
        <f>CK105*CK139</f>
        <v>0</v>
      </c>
      <c r="CM150" s="304"/>
      <c r="CN150" s="305">
        <f>CN105*CN139</f>
        <v>0</v>
      </c>
      <c r="CO150" s="304"/>
      <c r="CP150" s="305">
        <f>CP105*CP139</f>
        <v>-135307.03476492787</v>
      </c>
      <c r="CQ150" s="304"/>
      <c r="CR150" s="305">
        <f>CR105*CR139</f>
        <v>0</v>
      </c>
      <c r="CT150" s="304"/>
      <c r="CU150" s="305">
        <f>CU105*CU139</f>
        <v>744295.72235478938</v>
      </c>
      <c r="CV150" s="304"/>
      <c r="CW150" s="305">
        <f t="shared" ref="CW150" si="634">CW105*CW139</f>
        <v>1379827.7471481778</v>
      </c>
      <c r="CX150" s="304"/>
      <c r="CY150" s="305">
        <f t="shared" ref="CY150" si="635">CY105*CY139</f>
        <v>1379827.7471481778</v>
      </c>
      <c r="DA150" s="304"/>
      <c r="DB150" s="305">
        <f>DB105*DB139</f>
        <v>2630893.7223547902</v>
      </c>
      <c r="DC150" s="304"/>
      <c r="DD150" s="305">
        <f t="shared" ref="DD150" si="636">DD105*DD139</f>
        <v>3266425.7471481785</v>
      </c>
      <c r="DE150" s="304"/>
      <c r="DF150" s="305">
        <f t="shared" ref="DF150" si="637">DF105*DF139</f>
        <v>3266425.7471481785</v>
      </c>
      <c r="DH150" s="304"/>
      <c r="DI150" s="305">
        <f>DI105*DI139</f>
        <v>1728607.7223547904</v>
      </c>
      <c r="DJ150" s="304"/>
      <c r="DK150" s="305">
        <f t="shared" ref="DK150" si="638">DK105*DK139</f>
        <v>2364139.747148179</v>
      </c>
      <c r="DL150" s="304"/>
      <c r="DM150" s="305">
        <f t="shared" ref="DM150" si="639">DM105*DM139</f>
        <v>2364139.747148179</v>
      </c>
    </row>
    <row r="151" spans="1:117" collapsed="1" x14ac:dyDescent="0.45">
      <c r="AF151" s="620"/>
    </row>
    <row r="172" ht="15" hidden="1" customHeight="1" x14ac:dyDescent="0.45"/>
    <row r="173" ht="15" hidden="1" customHeight="1" x14ac:dyDescent="0.45"/>
    <row r="174" ht="15" hidden="1" customHeight="1" x14ac:dyDescent="0.45"/>
    <row r="175" ht="15" hidden="1" customHeight="1" x14ac:dyDescent="0.45"/>
    <row r="176" ht="15" hidden="1" customHeight="1" x14ac:dyDescent="0.45"/>
    <row r="177" spans="14:95" ht="15" hidden="1" customHeight="1" x14ac:dyDescent="0.45"/>
    <row r="178" spans="14:95" ht="15" hidden="1" customHeight="1" x14ac:dyDescent="0.45"/>
    <row r="179" spans="14:95" ht="15" hidden="1" customHeight="1" x14ac:dyDescent="0.45"/>
    <row r="180" spans="14:95" ht="15" hidden="1" customHeight="1" x14ac:dyDescent="0.45"/>
    <row r="181" spans="14:95" ht="15" hidden="1" customHeight="1" x14ac:dyDescent="0.45"/>
    <row r="182" spans="14:95" ht="15" hidden="1" customHeight="1" x14ac:dyDescent="0.45"/>
    <row r="183" spans="14:95" ht="15" hidden="1" customHeight="1" x14ac:dyDescent="0.45"/>
    <row r="184" spans="14:95" ht="15" hidden="1" customHeight="1" x14ac:dyDescent="0.45">
      <c r="N184" s="410"/>
      <c r="P184" s="410"/>
      <c r="R184" s="410"/>
      <c r="T184" s="410"/>
      <c r="V184" s="410"/>
      <c r="X184" s="410"/>
      <c r="Z184" s="410"/>
      <c r="AB184" s="410"/>
      <c r="AD184" s="410"/>
      <c r="AH184" s="410"/>
      <c r="AJ184" s="410"/>
      <c r="AL184" s="410"/>
      <c r="AR184" s="410"/>
      <c r="AT184" s="410"/>
      <c r="AV184" s="410"/>
      <c r="BB184" s="410"/>
      <c r="BD184" s="410"/>
      <c r="BF184" s="410"/>
      <c r="BL184" s="410"/>
      <c r="BN184" s="410"/>
      <c r="BP184" s="410"/>
      <c r="BV184" s="410"/>
      <c r="BY184" s="410"/>
      <c r="CA184" s="410"/>
      <c r="CC184" s="410"/>
      <c r="CF184" s="410"/>
      <c r="CH184" s="410"/>
      <c r="CJ184" s="410"/>
      <c r="CM184" s="410"/>
      <c r="CO184" s="410"/>
      <c r="CQ184" s="410"/>
    </row>
    <row r="187" spans="14:95" x14ac:dyDescent="0.45">
      <c r="N187" s="606" t="e">
        <f>#REF!/12*2</f>
        <v>#REF!</v>
      </c>
      <c r="P187" s="606" t="e">
        <f>#REF!/12*2</f>
        <v>#REF!</v>
      </c>
      <c r="R187" s="606" t="e">
        <f>#REF!/12*2</f>
        <v>#REF!</v>
      </c>
      <c r="T187" s="606" t="e">
        <f>#REF!/12*2</f>
        <v>#REF!</v>
      </c>
      <c r="V187" s="606" t="e">
        <f>#REF!/12*2</f>
        <v>#REF!</v>
      </c>
      <c r="X187" s="606" t="e">
        <f>#REF!/12*2</f>
        <v>#REF!</v>
      </c>
      <c r="Z187" s="606" t="e">
        <f>#REF!/12*2</f>
        <v>#REF!</v>
      </c>
      <c r="AB187" s="606" t="e">
        <f>#REF!/12*2</f>
        <v>#REF!</v>
      </c>
      <c r="AD187" s="606" t="e">
        <f>#REF!/12*2</f>
        <v>#REF!</v>
      </c>
      <c r="AH187" s="606" t="e">
        <f>#REF!/12*2</f>
        <v>#REF!</v>
      </c>
      <c r="AJ187" s="606" t="e">
        <f>#REF!/12*2</f>
        <v>#REF!</v>
      </c>
      <c r="AL187" s="606" t="e">
        <f>#REF!/12*2</f>
        <v>#REF!</v>
      </c>
      <c r="AR187" s="606" t="e">
        <f>#REF!/12*2</f>
        <v>#REF!</v>
      </c>
      <c r="AT187" s="606" t="e">
        <f>#REF!/12*2</f>
        <v>#REF!</v>
      </c>
      <c r="AV187" s="606" t="e">
        <f>#REF!/12*2</f>
        <v>#REF!</v>
      </c>
      <c r="BB187" s="606" t="e">
        <f>#REF!/12*2</f>
        <v>#REF!</v>
      </c>
      <c r="BD187" s="606" t="e">
        <f>#REF!/12*2</f>
        <v>#REF!</v>
      </c>
      <c r="BF187" s="606" t="e">
        <f>#REF!/12*2</f>
        <v>#REF!</v>
      </c>
      <c r="BL187" s="606" t="e">
        <f>#REF!/12*2</f>
        <v>#REF!</v>
      </c>
      <c r="BN187" s="606" t="e">
        <f>#REF!/12*2</f>
        <v>#REF!</v>
      </c>
      <c r="BP187" s="606" t="e">
        <f>#REF!/12*2</f>
        <v>#REF!</v>
      </c>
      <c r="BV187" s="606" t="e">
        <f>#REF!/12*2</f>
        <v>#REF!</v>
      </c>
      <c r="BY187" s="606" t="e">
        <f>#REF!/12*2</f>
        <v>#REF!</v>
      </c>
      <c r="CA187" s="606" t="e">
        <f>#REF!/12*2</f>
        <v>#REF!</v>
      </c>
      <c r="CC187" s="606" t="e">
        <f>#REF!/12*2</f>
        <v>#REF!</v>
      </c>
      <c r="CF187" s="606" t="e">
        <f>#REF!/12*2</f>
        <v>#REF!</v>
      </c>
      <c r="CH187" s="606" t="e">
        <f>#REF!/12*2</f>
        <v>#REF!</v>
      </c>
      <c r="CJ187" s="606" t="e">
        <f>#REF!/12*2</f>
        <v>#REF!</v>
      </c>
      <c r="CM187" s="606" t="e">
        <f>#REF!/12*2</f>
        <v>#REF!</v>
      </c>
      <c r="CO187" s="606" t="e">
        <f>#REF!/12*2</f>
        <v>#REF!</v>
      </c>
      <c r="CQ187" s="606" t="e">
        <f>#REF!/12*2</f>
        <v>#REF!</v>
      </c>
    </row>
  </sheetData>
  <mergeCells count="328">
    <mergeCell ref="DJ9:DK9"/>
    <mergeCell ref="DL9:DM9"/>
    <mergeCell ref="DH6:DI6"/>
    <mergeCell ref="DJ6:DK6"/>
    <mergeCell ref="DL6:DM6"/>
    <mergeCell ref="DH7:DI7"/>
    <mergeCell ref="DJ7:DK7"/>
    <mergeCell ref="DL7:DM7"/>
    <mergeCell ref="DH2:DI2"/>
    <mergeCell ref="DJ2:DK2"/>
    <mergeCell ref="DL2:DM2"/>
    <mergeCell ref="DH3:DI3"/>
    <mergeCell ref="DJ3:DK3"/>
    <mergeCell ref="DL3:DM3"/>
    <mergeCell ref="DH8:DI8"/>
    <mergeCell ref="DJ8:DK8"/>
    <mergeCell ref="DL8:DM8"/>
    <mergeCell ref="DH9:DI9"/>
    <mergeCell ref="DH4:DI5"/>
    <mergeCell ref="DJ4:DK5"/>
    <mergeCell ref="DL4:DM5"/>
    <mergeCell ref="DC9:DD9"/>
    <mergeCell ref="DE9:DF9"/>
    <mergeCell ref="DC6:DD6"/>
    <mergeCell ref="DE6:DF6"/>
    <mergeCell ref="DA7:DB7"/>
    <mergeCell ref="DC7:DD7"/>
    <mergeCell ref="DE7:DF7"/>
    <mergeCell ref="DA8:DB8"/>
    <mergeCell ref="DC8:DD8"/>
    <mergeCell ref="DE8:DF8"/>
    <mergeCell ref="DC2:DD2"/>
    <mergeCell ref="DE2:DF2"/>
    <mergeCell ref="DA3:DB3"/>
    <mergeCell ref="DC3:DD3"/>
    <mergeCell ref="DE3:DF3"/>
    <mergeCell ref="DA4:DB5"/>
    <mergeCell ref="DC4:DD5"/>
    <mergeCell ref="DE4:DF5"/>
    <mergeCell ref="CT4:CU5"/>
    <mergeCell ref="CT6:CU6"/>
    <mergeCell ref="CT7:CU7"/>
    <mergeCell ref="CT8:CU8"/>
    <mergeCell ref="CT9:CU9"/>
    <mergeCell ref="DA2:DB2"/>
    <mergeCell ref="DA6:DB6"/>
    <mergeCell ref="DA9:DB9"/>
    <mergeCell ref="CV7:CW7"/>
    <mergeCell ref="CX7:CY7"/>
    <mergeCell ref="CV8:CW8"/>
    <mergeCell ref="CX8:CY8"/>
    <mergeCell ref="CV9:CW9"/>
    <mergeCell ref="CX9:CY9"/>
    <mergeCell ref="CT2:CU2"/>
    <mergeCell ref="CV3:CW3"/>
    <mergeCell ref="CX3:CY3"/>
    <mergeCell ref="CV4:CW5"/>
    <mergeCell ref="CX4:CY5"/>
    <mergeCell ref="CV6:CW6"/>
    <mergeCell ref="CX6:CY6"/>
    <mergeCell ref="CV2:CW2"/>
    <mergeCell ref="CX2:CY2"/>
    <mergeCell ref="CT3:CU3"/>
    <mergeCell ref="B107:B120"/>
    <mergeCell ref="B131:B150"/>
    <mergeCell ref="B22:B27"/>
    <mergeCell ref="B28:B33"/>
    <mergeCell ref="B34:B39"/>
    <mergeCell ref="B40:B46"/>
    <mergeCell ref="B54:B77"/>
    <mergeCell ref="B78:B91"/>
    <mergeCell ref="B47:B53"/>
    <mergeCell ref="D12:E12"/>
    <mergeCell ref="B15:B21"/>
    <mergeCell ref="BV9:BW9"/>
    <mergeCell ref="BY9:BZ9"/>
    <mergeCell ref="CA9:CB9"/>
    <mergeCell ref="CC9:CD9"/>
    <mergeCell ref="CF9:CG9"/>
    <mergeCell ref="CH9:CI9"/>
    <mergeCell ref="BB9:BC9"/>
    <mergeCell ref="BD9:BE9"/>
    <mergeCell ref="BF9:BG9"/>
    <mergeCell ref="BL9:BM9"/>
    <mergeCell ref="BN9:BO9"/>
    <mergeCell ref="BP9:BQ9"/>
    <mergeCell ref="AH9:AI9"/>
    <mergeCell ref="AJ9:AK9"/>
    <mergeCell ref="AL9:AM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CM8:CN8"/>
    <mergeCell ref="CO8:CP8"/>
    <mergeCell ref="CQ8:CR8"/>
    <mergeCell ref="CC8:CD8"/>
    <mergeCell ref="CF8:CG8"/>
    <mergeCell ref="CH8:CI8"/>
    <mergeCell ref="CJ8:CK8"/>
    <mergeCell ref="AB8:AC8"/>
    <mergeCell ref="AD8:AE8"/>
    <mergeCell ref="AH8:AI8"/>
    <mergeCell ref="CJ9:CK9"/>
    <mergeCell ref="CM9:CN9"/>
    <mergeCell ref="CO9:CP9"/>
    <mergeCell ref="CQ9:CR9"/>
    <mergeCell ref="F9:G9"/>
    <mergeCell ref="H9:I9"/>
    <mergeCell ref="J9:K9"/>
    <mergeCell ref="L9:M9"/>
    <mergeCell ref="N9:O9"/>
    <mergeCell ref="P9:Q9"/>
    <mergeCell ref="R9:S9"/>
    <mergeCell ref="BY8:BZ8"/>
    <mergeCell ref="CA8:CB8"/>
    <mergeCell ref="BD8:BE8"/>
    <mergeCell ref="BF8:BG8"/>
    <mergeCell ref="BL8:BM8"/>
    <mergeCell ref="BN8:BO8"/>
    <mergeCell ref="BP8:BQ8"/>
    <mergeCell ref="BV8:BW8"/>
    <mergeCell ref="AJ8:AK8"/>
    <mergeCell ref="AL8:AM8"/>
    <mergeCell ref="AR8:AS8"/>
    <mergeCell ref="AT8:AU8"/>
    <mergeCell ref="AV8:AW8"/>
    <mergeCell ref="BB8:BC8"/>
    <mergeCell ref="V8:W8"/>
    <mergeCell ref="X8:Y8"/>
    <mergeCell ref="Z8:AA8"/>
    <mergeCell ref="AJ6:AK6"/>
    <mergeCell ref="AL6:AM6"/>
    <mergeCell ref="CO7:CP7"/>
    <mergeCell ref="CQ7:CR7"/>
    <mergeCell ref="F8:G8"/>
    <mergeCell ref="H8:I8"/>
    <mergeCell ref="J8:K8"/>
    <mergeCell ref="L8:M8"/>
    <mergeCell ref="N8:O8"/>
    <mergeCell ref="P8:Q8"/>
    <mergeCell ref="R8:S8"/>
    <mergeCell ref="T8:U8"/>
    <mergeCell ref="CA7:CB7"/>
    <mergeCell ref="CC7:CD7"/>
    <mergeCell ref="CF7:CG7"/>
    <mergeCell ref="CH7:CI7"/>
    <mergeCell ref="CJ7:CK7"/>
    <mergeCell ref="CM7:CN7"/>
    <mergeCell ref="BF7:BG7"/>
    <mergeCell ref="BL7:BM7"/>
    <mergeCell ref="BN7:BO7"/>
    <mergeCell ref="BP7:BQ7"/>
    <mergeCell ref="BV7:BW7"/>
    <mergeCell ref="BY7:BZ7"/>
    <mergeCell ref="AT7:AU7"/>
    <mergeCell ref="AV7:AW7"/>
    <mergeCell ref="BB7:BC7"/>
    <mergeCell ref="BD7:BE7"/>
    <mergeCell ref="X7:Y7"/>
    <mergeCell ref="Z7:AA7"/>
    <mergeCell ref="AB7:AC7"/>
    <mergeCell ref="AD7:AE7"/>
    <mergeCell ref="AH7:AI7"/>
    <mergeCell ref="AJ7:AK7"/>
    <mergeCell ref="AL7:AM7"/>
    <mergeCell ref="AR7:AS7"/>
    <mergeCell ref="CQ6:CR6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C6:CD6"/>
    <mergeCell ref="CF6:CG6"/>
    <mergeCell ref="CH6:CI6"/>
    <mergeCell ref="CJ6:CK6"/>
    <mergeCell ref="CM6:CN6"/>
    <mergeCell ref="CO6:CP6"/>
    <mergeCell ref="BL6:BM6"/>
    <mergeCell ref="BN6:BO6"/>
    <mergeCell ref="BP6:BQ6"/>
    <mergeCell ref="BV6:BW6"/>
    <mergeCell ref="BY6:BZ6"/>
    <mergeCell ref="CA6:CB6"/>
    <mergeCell ref="N6:O6"/>
    <mergeCell ref="P6:Q6"/>
    <mergeCell ref="R6:S6"/>
    <mergeCell ref="T6:U6"/>
    <mergeCell ref="V6:W6"/>
    <mergeCell ref="X6:Y6"/>
    <mergeCell ref="CH4:CI5"/>
    <mergeCell ref="CJ4:CK5"/>
    <mergeCell ref="CM4:CN5"/>
    <mergeCell ref="AT4:AU5"/>
    <mergeCell ref="R4:S5"/>
    <mergeCell ref="T4:U5"/>
    <mergeCell ref="V4:W5"/>
    <mergeCell ref="X4:Y5"/>
    <mergeCell ref="Z4:AA5"/>
    <mergeCell ref="AB4:AC5"/>
    <mergeCell ref="AV6:AW6"/>
    <mergeCell ref="BB6:BC6"/>
    <mergeCell ref="BD6:BE6"/>
    <mergeCell ref="BF6:BG6"/>
    <mergeCell ref="Z6:AA6"/>
    <mergeCell ref="AB6:AC6"/>
    <mergeCell ref="AD6:AE6"/>
    <mergeCell ref="AH6:AI6"/>
    <mergeCell ref="AR6:AS6"/>
    <mergeCell ref="AT6:AU6"/>
    <mergeCell ref="CO4:CP5"/>
    <mergeCell ref="CQ4:CR5"/>
    <mergeCell ref="B6:B13"/>
    <mergeCell ref="F6:G6"/>
    <mergeCell ref="H6:I6"/>
    <mergeCell ref="J6:K6"/>
    <mergeCell ref="L6:M6"/>
    <mergeCell ref="BP4:BQ5"/>
    <mergeCell ref="BV4:BW5"/>
    <mergeCell ref="BY4:BZ5"/>
    <mergeCell ref="CA4:CB5"/>
    <mergeCell ref="CC4:CD5"/>
    <mergeCell ref="CF4:CG5"/>
    <mergeCell ref="AV4:AW5"/>
    <mergeCell ref="BB4:BC5"/>
    <mergeCell ref="BD4:BE5"/>
    <mergeCell ref="BF4:BG5"/>
    <mergeCell ref="BL4:BM5"/>
    <mergeCell ref="BN4:BO5"/>
    <mergeCell ref="AD4:AE5"/>
    <mergeCell ref="AH4:AI5"/>
    <mergeCell ref="AJ4:AK5"/>
    <mergeCell ref="AL4:AM5"/>
    <mergeCell ref="AR4:AS5"/>
    <mergeCell ref="AD2:AE2"/>
    <mergeCell ref="AH2:AI2"/>
    <mergeCell ref="CJ3:CK3"/>
    <mergeCell ref="CM3:CN3"/>
    <mergeCell ref="CO3:CP3"/>
    <mergeCell ref="CQ3:CR3"/>
    <mergeCell ref="F4:G5"/>
    <mergeCell ref="H4:I5"/>
    <mergeCell ref="J4:K5"/>
    <mergeCell ref="L4:M5"/>
    <mergeCell ref="N4:O5"/>
    <mergeCell ref="P4:Q5"/>
    <mergeCell ref="BV3:BW3"/>
    <mergeCell ref="BY3:BZ3"/>
    <mergeCell ref="CA3:CB3"/>
    <mergeCell ref="CC3:CD3"/>
    <mergeCell ref="CF3:CG3"/>
    <mergeCell ref="CH3:CI3"/>
    <mergeCell ref="BB3:BC3"/>
    <mergeCell ref="BD3:BE3"/>
    <mergeCell ref="BF3:BG3"/>
    <mergeCell ref="BL3:BM3"/>
    <mergeCell ref="BN3:BO3"/>
    <mergeCell ref="BP3:BQ3"/>
    <mergeCell ref="AL3:AM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H3:AI3"/>
    <mergeCell ref="AJ3:AK3"/>
    <mergeCell ref="CM2:CN2"/>
    <mergeCell ref="CO2:CP2"/>
    <mergeCell ref="CQ2:CR2"/>
    <mergeCell ref="F3:G3"/>
    <mergeCell ref="H3:I3"/>
    <mergeCell ref="J3:K3"/>
    <mergeCell ref="L3:M3"/>
    <mergeCell ref="N3:O3"/>
    <mergeCell ref="P3:Q3"/>
    <mergeCell ref="R3:S3"/>
    <mergeCell ref="BY2:BZ2"/>
    <mergeCell ref="CA2:CB2"/>
    <mergeCell ref="CC2:CD2"/>
    <mergeCell ref="CF2:CG2"/>
    <mergeCell ref="CH2:CI2"/>
    <mergeCell ref="CJ2:CK2"/>
    <mergeCell ref="BD2:BE2"/>
    <mergeCell ref="BF2:BG2"/>
    <mergeCell ref="BL2:BM2"/>
    <mergeCell ref="BN2:BO2"/>
    <mergeCell ref="BP2:BQ2"/>
    <mergeCell ref="BV2:BW2"/>
    <mergeCell ref="AJ2:AK2"/>
    <mergeCell ref="AL2:AM2"/>
    <mergeCell ref="BL1:BQ1"/>
    <mergeCell ref="BY1:CD1"/>
    <mergeCell ref="F2:G2"/>
    <mergeCell ref="H2:I2"/>
    <mergeCell ref="J2:K2"/>
    <mergeCell ref="L2:M2"/>
    <mergeCell ref="N2:O2"/>
    <mergeCell ref="P2:Q2"/>
    <mergeCell ref="R2:S2"/>
    <mergeCell ref="T2:U2"/>
    <mergeCell ref="N1:S1"/>
    <mergeCell ref="T1:Y1"/>
    <mergeCell ref="Z1:AE1"/>
    <mergeCell ref="AH1:AM1"/>
    <mergeCell ref="AR1:AW1"/>
    <mergeCell ref="BB1:BG1"/>
    <mergeCell ref="AR2:AS2"/>
    <mergeCell ref="AT2:AU2"/>
    <mergeCell ref="AV2:AW2"/>
    <mergeCell ref="BB2:BC2"/>
    <mergeCell ref="V2:W2"/>
    <mergeCell ref="X2:Y2"/>
    <mergeCell ref="Z2:AA2"/>
    <mergeCell ref="AB2:AC2"/>
  </mergeCells>
  <pageMargins left="0.7" right="0.7" top="0.75" bottom="0.75" header="0.3" footer="0.3"/>
  <pageSetup paperSize="8" scale="65" orientation="portrait" verticalDpi="598" r:id="rId1"/>
  <customProperties>
    <customPr name="_pios_id" r:id="rId2"/>
  </customProperties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8C15-6D5F-4E76-BEBB-1C5E15AB9F08}">
  <dimension ref="B6:H25"/>
  <sheetViews>
    <sheetView topLeftCell="A4" workbookViewId="0">
      <pane xSplit="2" topLeftCell="C1" activePane="topRight" state="frozen"/>
      <selection activeCell="BP9" sqref="BP9:BQ9"/>
      <selection pane="topRight" activeCell="BP9" sqref="BP9:BQ9"/>
    </sheetView>
  </sheetViews>
  <sheetFormatPr defaultRowHeight="14.25" x14ac:dyDescent="0.45"/>
  <cols>
    <col min="2" max="2" width="12.73046875" bestFit="1" customWidth="1"/>
    <col min="3" max="3" width="14.59765625" customWidth="1"/>
    <col min="4" max="4" width="11.73046875" customWidth="1"/>
    <col min="5" max="5" width="13.3984375" bestFit="1" customWidth="1"/>
    <col min="6" max="6" width="13.3984375" customWidth="1"/>
    <col min="7" max="7" width="13.86328125" bestFit="1" customWidth="1"/>
    <col min="8" max="8" width="13.86328125" customWidth="1"/>
    <col min="9" max="11" width="14" bestFit="1" customWidth="1"/>
    <col min="12" max="19" width="14" customWidth="1"/>
  </cols>
  <sheetData>
    <row r="6" spans="2:8" ht="27" customHeight="1" x14ac:dyDescent="0.45">
      <c r="B6" s="325"/>
      <c r="C6" s="559">
        <v>2021</v>
      </c>
      <c r="D6" s="559" t="s">
        <v>557</v>
      </c>
      <c r="E6" s="559" t="s">
        <v>558</v>
      </c>
      <c r="F6" s="559" t="s">
        <v>557</v>
      </c>
      <c r="G6" s="559" t="s">
        <v>559</v>
      </c>
      <c r="H6" s="559" t="s">
        <v>557</v>
      </c>
    </row>
    <row r="7" spans="2:8" x14ac:dyDescent="0.45">
      <c r="B7" s="325" t="s">
        <v>226</v>
      </c>
      <c r="C7" s="335" t="e">
        <f>'P&amp;L by Ctn'!#REF!</f>
        <v>#REF!</v>
      </c>
      <c r="D7" s="325"/>
      <c r="E7" s="335" t="e">
        <f>'P&amp;L by Ctn'!#REF!</f>
        <v>#REF!</v>
      </c>
      <c r="F7" s="325"/>
      <c r="G7" s="335" t="e">
        <f>'P&amp;L by Ctn'!#REF!</f>
        <v>#REF!</v>
      </c>
      <c r="H7" s="325"/>
    </row>
    <row r="8" spans="2:8" x14ac:dyDescent="0.45">
      <c r="B8" s="325" t="s">
        <v>560</v>
      </c>
      <c r="C8" s="335" t="e">
        <f>'P&amp;L by Ctn'!#REF!</f>
        <v>#REF!</v>
      </c>
      <c r="D8" s="325"/>
      <c r="E8" s="335" t="e">
        <f>'P&amp;L by Ctn'!#REF!</f>
        <v>#REF!</v>
      </c>
      <c r="F8" s="325"/>
      <c r="G8" s="335" t="e">
        <f>'P&amp;L by Ctn'!#REF!</f>
        <v>#REF!</v>
      </c>
      <c r="H8" s="325"/>
    </row>
    <row r="9" spans="2:8" x14ac:dyDescent="0.45">
      <c r="B9" s="325" t="s">
        <v>561</v>
      </c>
      <c r="C9" s="335" t="e">
        <f>'P&amp;L by Ctn'!#REF!</f>
        <v>#REF!</v>
      </c>
      <c r="D9" s="563" t="e">
        <f>C9/$C$9</f>
        <v>#REF!</v>
      </c>
      <c r="E9" s="335" t="e">
        <f>'P&amp;L by Ctn'!#REF!</f>
        <v>#REF!</v>
      </c>
      <c r="F9" s="563" t="e">
        <f t="shared" ref="F9:F25" si="0">E9/$E$9</f>
        <v>#REF!</v>
      </c>
      <c r="G9" s="335" t="e">
        <f>'P&amp;L by Ctn'!#REF!</f>
        <v>#REF!</v>
      </c>
      <c r="H9" s="563" t="e">
        <f>G9/$G$9</f>
        <v>#REF!</v>
      </c>
    </row>
    <row r="10" spans="2:8" x14ac:dyDescent="0.45">
      <c r="B10" s="325" t="s">
        <v>79</v>
      </c>
      <c r="C10" s="335" t="e">
        <f>'P&amp;L by Ctn'!#REF!</f>
        <v>#REF!</v>
      </c>
      <c r="D10" s="563" t="e">
        <f t="shared" ref="D10:D25" si="1">C10/$C$9</f>
        <v>#REF!</v>
      </c>
      <c r="E10" s="335" t="e">
        <f>'P&amp;L by Ctn'!#REF!</f>
        <v>#REF!</v>
      </c>
      <c r="F10" s="563" t="e">
        <f t="shared" si="0"/>
        <v>#REF!</v>
      </c>
      <c r="G10" s="335" t="e">
        <f>'P&amp;L by Ctn'!#REF!</f>
        <v>#REF!</v>
      </c>
      <c r="H10" s="563" t="e">
        <f t="shared" ref="H10:H25" si="2">G10/$G$9</f>
        <v>#REF!</v>
      </c>
    </row>
    <row r="11" spans="2:8" x14ac:dyDescent="0.45">
      <c r="B11" s="325" t="s">
        <v>156</v>
      </c>
      <c r="C11" s="335" t="e">
        <f>'P&amp;L by Ctn'!#REF!</f>
        <v>#REF!</v>
      </c>
      <c r="D11" s="563" t="e">
        <f t="shared" si="1"/>
        <v>#REF!</v>
      </c>
      <c r="E11" s="335" t="e">
        <f>'P&amp;L by Ctn'!#REF!</f>
        <v>#REF!</v>
      </c>
      <c r="F11" s="563" t="e">
        <f t="shared" si="0"/>
        <v>#REF!</v>
      </c>
      <c r="G11" s="335" t="e">
        <f>'P&amp;L by Ctn'!#REF!</f>
        <v>#REF!</v>
      </c>
      <c r="H11" s="563" t="e">
        <f t="shared" si="2"/>
        <v>#REF!</v>
      </c>
    </row>
    <row r="12" spans="2:8" x14ac:dyDescent="0.45">
      <c r="B12" s="325" t="s">
        <v>157</v>
      </c>
      <c r="C12" s="562" t="e">
        <f>'P&amp;L by Ctn'!#REF!</f>
        <v>#REF!</v>
      </c>
      <c r="D12" s="563" t="e">
        <f t="shared" si="1"/>
        <v>#REF!</v>
      </c>
      <c r="E12" s="562" t="e">
        <f>'P&amp;L by Ctn'!#REF!</f>
        <v>#REF!</v>
      </c>
      <c r="F12" s="563" t="e">
        <f t="shared" si="0"/>
        <v>#REF!</v>
      </c>
      <c r="G12" s="562" t="e">
        <f>'P&amp;L by Ctn'!#REF!</f>
        <v>#REF!</v>
      </c>
      <c r="H12" s="563" t="e">
        <f t="shared" si="2"/>
        <v>#REF!</v>
      </c>
    </row>
    <row r="13" spans="2:8" x14ac:dyDescent="0.45">
      <c r="B13" s="325" t="s">
        <v>158</v>
      </c>
      <c r="C13" s="335" t="e">
        <f>'P&amp;L by Ctn'!#REF!</f>
        <v>#REF!</v>
      </c>
      <c r="D13" s="563" t="e">
        <f t="shared" si="1"/>
        <v>#REF!</v>
      </c>
      <c r="E13" s="335" t="e">
        <f>'P&amp;L by Ctn'!#REF!</f>
        <v>#REF!</v>
      </c>
      <c r="F13" s="563" t="e">
        <f t="shared" si="0"/>
        <v>#REF!</v>
      </c>
      <c r="G13" s="335" t="e">
        <f>'P&amp;L by Ctn'!#REF!</f>
        <v>#REF!</v>
      </c>
      <c r="H13" s="563" t="e">
        <f t="shared" si="2"/>
        <v>#REF!</v>
      </c>
    </row>
    <row r="14" spans="2:8" x14ac:dyDescent="0.45">
      <c r="B14" s="325" t="s">
        <v>159</v>
      </c>
      <c r="C14" s="562" t="e">
        <f>'P&amp;L by Ctn'!#REF!</f>
        <v>#REF!</v>
      </c>
      <c r="D14" s="563" t="e">
        <f t="shared" si="1"/>
        <v>#REF!</v>
      </c>
      <c r="E14" s="562" t="e">
        <f>'P&amp;L by Ctn'!#REF!</f>
        <v>#REF!</v>
      </c>
      <c r="F14" s="563" t="e">
        <f t="shared" si="0"/>
        <v>#REF!</v>
      </c>
      <c r="G14" s="562" t="e">
        <f>'P&amp;L by Ctn'!#REF!</f>
        <v>#REF!</v>
      </c>
      <c r="H14" s="563" t="e">
        <f t="shared" si="2"/>
        <v>#REF!</v>
      </c>
    </row>
    <row r="15" spans="2:8" x14ac:dyDescent="0.45">
      <c r="B15" s="325" t="s">
        <v>161</v>
      </c>
      <c r="C15" s="335" t="e">
        <f>'P&amp;L by Ctn'!#REF!</f>
        <v>#REF!</v>
      </c>
      <c r="D15" s="563" t="e">
        <f t="shared" si="1"/>
        <v>#REF!</v>
      </c>
      <c r="E15" s="335" t="e">
        <f>'P&amp;L by Ctn'!#REF!</f>
        <v>#REF!</v>
      </c>
      <c r="F15" s="563" t="e">
        <f t="shared" si="0"/>
        <v>#REF!</v>
      </c>
      <c r="G15" s="335" t="e">
        <f>'P&amp;L by Ctn'!#REF!</f>
        <v>#REF!</v>
      </c>
      <c r="H15" s="563" t="e">
        <f t="shared" si="2"/>
        <v>#REF!</v>
      </c>
    </row>
    <row r="16" spans="2:8" x14ac:dyDescent="0.45">
      <c r="B16" s="325" t="s">
        <v>162</v>
      </c>
      <c r="C16" s="562" t="e">
        <f>'P&amp;L by Ctn'!#REF!</f>
        <v>#REF!</v>
      </c>
      <c r="D16" s="563" t="e">
        <f t="shared" si="1"/>
        <v>#REF!</v>
      </c>
      <c r="E16" s="562" t="e">
        <f>'P&amp;L by Ctn'!#REF!</f>
        <v>#REF!</v>
      </c>
      <c r="F16" s="563" t="e">
        <f t="shared" si="0"/>
        <v>#REF!</v>
      </c>
      <c r="G16" s="562" t="e">
        <f>'P&amp;L by Ctn'!#REF!</f>
        <v>#REF!</v>
      </c>
      <c r="H16" s="563" t="e">
        <f t="shared" si="2"/>
        <v>#REF!</v>
      </c>
    </row>
    <row r="17" spans="2:8" x14ac:dyDescent="0.45">
      <c r="B17" s="325" t="s">
        <v>78</v>
      </c>
      <c r="C17" s="335" t="e">
        <f>'P&amp;L by Ctn'!#REF!</f>
        <v>#REF!</v>
      </c>
      <c r="D17" s="563" t="e">
        <f t="shared" si="1"/>
        <v>#REF!</v>
      </c>
      <c r="E17" s="335" t="e">
        <f>'P&amp;L by Ctn'!#REF!</f>
        <v>#REF!</v>
      </c>
      <c r="F17" s="563" t="e">
        <f t="shared" si="0"/>
        <v>#REF!</v>
      </c>
      <c r="G17" s="335" t="e">
        <f>'P&amp;L by Ctn'!#REF!</f>
        <v>#REF!</v>
      </c>
      <c r="H17" s="563" t="e">
        <f t="shared" si="2"/>
        <v>#REF!</v>
      </c>
    </row>
    <row r="18" spans="2:8" x14ac:dyDescent="0.45">
      <c r="B18" s="325" t="s">
        <v>163</v>
      </c>
      <c r="C18" s="335" t="e">
        <f>'P&amp;L by Ctn'!#REF!</f>
        <v>#REF!</v>
      </c>
      <c r="D18" s="563" t="e">
        <f t="shared" si="1"/>
        <v>#REF!</v>
      </c>
      <c r="E18" s="335" t="e">
        <f>'P&amp;L by Ctn'!#REF!</f>
        <v>#REF!</v>
      </c>
      <c r="F18" s="563" t="e">
        <f t="shared" si="0"/>
        <v>#REF!</v>
      </c>
      <c r="G18" s="335" t="e">
        <f>'P&amp;L by Ctn'!#REF!</f>
        <v>#REF!</v>
      </c>
      <c r="H18" s="563" t="e">
        <f t="shared" si="2"/>
        <v>#REF!</v>
      </c>
    </row>
    <row r="19" spans="2:8" x14ac:dyDescent="0.45">
      <c r="B19" s="325" t="s">
        <v>164</v>
      </c>
      <c r="C19" s="562" t="e">
        <f>'P&amp;L by Ctn'!#REF!</f>
        <v>#REF!</v>
      </c>
      <c r="D19" s="563" t="e">
        <f t="shared" si="1"/>
        <v>#REF!</v>
      </c>
      <c r="E19" s="562" t="e">
        <f>'P&amp;L by Ctn'!#REF!</f>
        <v>#REF!</v>
      </c>
      <c r="F19" s="563" t="e">
        <f t="shared" si="0"/>
        <v>#REF!</v>
      </c>
      <c r="G19" s="562" t="e">
        <f>'P&amp;L by Ctn'!#REF!</f>
        <v>#REF!</v>
      </c>
      <c r="H19" s="563" t="e">
        <f t="shared" si="2"/>
        <v>#REF!</v>
      </c>
    </row>
    <row r="20" spans="2:8" x14ac:dyDescent="0.45">
      <c r="B20" s="325" t="s">
        <v>165</v>
      </c>
      <c r="C20" s="335" t="e">
        <f>'P&amp;L by Ctn'!#REF!</f>
        <v>#REF!</v>
      </c>
      <c r="D20" s="563" t="e">
        <f t="shared" si="1"/>
        <v>#REF!</v>
      </c>
      <c r="E20" s="335" t="e">
        <f>'P&amp;L by Ctn'!#REF!</f>
        <v>#REF!</v>
      </c>
      <c r="F20" s="563" t="e">
        <f t="shared" si="0"/>
        <v>#REF!</v>
      </c>
      <c r="G20" s="335" t="e">
        <f>'P&amp;L by Ctn'!#REF!</f>
        <v>#REF!</v>
      </c>
      <c r="H20" s="563" t="e">
        <f t="shared" si="2"/>
        <v>#REF!</v>
      </c>
    </row>
    <row r="21" spans="2:8" x14ac:dyDescent="0.45">
      <c r="B21" s="325" t="s">
        <v>166</v>
      </c>
      <c r="C21" s="335" t="e">
        <f>'P&amp;L by Ctn'!#REF!</f>
        <v>#REF!</v>
      </c>
      <c r="D21" s="563" t="e">
        <f t="shared" si="1"/>
        <v>#REF!</v>
      </c>
      <c r="E21" s="335" t="e">
        <f>'P&amp;L by Ctn'!#REF!</f>
        <v>#REF!</v>
      </c>
      <c r="F21" s="563" t="e">
        <f t="shared" si="0"/>
        <v>#REF!</v>
      </c>
      <c r="G21" s="335" t="e">
        <f>'P&amp;L by Ctn'!#REF!</f>
        <v>#REF!</v>
      </c>
      <c r="H21" s="563" t="e">
        <f t="shared" si="2"/>
        <v>#REF!</v>
      </c>
    </row>
    <row r="22" spans="2:8" x14ac:dyDescent="0.45">
      <c r="B22" s="325" t="s">
        <v>167</v>
      </c>
      <c r="C22" s="562" t="e">
        <f>'P&amp;L by Ctn'!#REF!</f>
        <v>#REF!</v>
      </c>
      <c r="D22" s="563" t="e">
        <f t="shared" si="1"/>
        <v>#REF!</v>
      </c>
      <c r="E22" s="562" t="e">
        <f>'P&amp;L by Ctn'!#REF!</f>
        <v>#REF!</v>
      </c>
      <c r="F22" s="563" t="e">
        <f t="shared" si="0"/>
        <v>#REF!</v>
      </c>
      <c r="G22" s="562" t="e">
        <f>'P&amp;L by Ctn'!#REF!</f>
        <v>#REF!</v>
      </c>
      <c r="H22" s="563" t="e">
        <f t="shared" si="2"/>
        <v>#REF!</v>
      </c>
    </row>
    <row r="23" spans="2:8" x14ac:dyDescent="0.45">
      <c r="B23" s="325" t="s">
        <v>97</v>
      </c>
      <c r="C23" s="335" t="e">
        <f>'P&amp;L by Ctn'!#REF!</f>
        <v>#REF!</v>
      </c>
      <c r="D23" s="563" t="e">
        <f t="shared" si="1"/>
        <v>#REF!</v>
      </c>
      <c r="E23" s="335" t="e">
        <f>'P&amp;L by Ctn'!#REF!</f>
        <v>#REF!</v>
      </c>
      <c r="F23" s="563" t="e">
        <f t="shared" si="0"/>
        <v>#REF!</v>
      </c>
      <c r="G23" s="335" t="e">
        <f>'P&amp;L by Ctn'!#REF!</f>
        <v>#REF!</v>
      </c>
      <c r="H23" s="563" t="e">
        <f t="shared" si="2"/>
        <v>#REF!</v>
      </c>
    </row>
    <row r="24" spans="2:8" x14ac:dyDescent="0.45">
      <c r="B24" s="325" t="s">
        <v>168</v>
      </c>
      <c r="C24" s="335" t="e">
        <f>'P&amp;L by Ctn'!#REF!</f>
        <v>#REF!</v>
      </c>
      <c r="D24" s="563" t="e">
        <f t="shared" si="1"/>
        <v>#REF!</v>
      </c>
      <c r="E24" s="335" t="e">
        <f>'P&amp;L by Ctn'!#REF!</f>
        <v>#REF!</v>
      </c>
      <c r="F24" s="563" t="e">
        <f t="shared" si="0"/>
        <v>#REF!</v>
      </c>
      <c r="G24" s="335" t="e">
        <f>'P&amp;L by Ctn'!#REF!</f>
        <v>#REF!</v>
      </c>
      <c r="H24" s="563" t="e">
        <f t="shared" si="2"/>
        <v>#REF!</v>
      </c>
    </row>
    <row r="25" spans="2:8" x14ac:dyDescent="0.45">
      <c r="B25" s="325" t="s">
        <v>169</v>
      </c>
      <c r="C25" s="562" t="e">
        <f>'P&amp;L by Ctn'!#REF!</f>
        <v>#REF!</v>
      </c>
      <c r="D25" s="563" t="e">
        <f t="shared" si="1"/>
        <v>#REF!</v>
      </c>
      <c r="E25" s="562" t="e">
        <f>'P&amp;L by Ctn'!#REF!</f>
        <v>#REF!</v>
      </c>
      <c r="F25" s="563" t="e">
        <f t="shared" si="0"/>
        <v>#REF!</v>
      </c>
      <c r="G25" s="562" t="e">
        <f>'P&amp;L by Ctn'!#REF!</f>
        <v>#REF!</v>
      </c>
      <c r="H25" s="563" t="e">
        <f t="shared" si="2"/>
        <v>#REF!</v>
      </c>
    </row>
  </sheetData>
  <pageMargins left="0.7" right="0.7" top="0.75" bottom="0.75" header="0.3" footer="0.3"/>
  <customProperties>
    <customPr name="_pios_i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E1D4-8EE7-425A-842A-E6625E059385}">
  <dimension ref="B2:BH23"/>
  <sheetViews>
    <sheetView showGridLines="0" workbookViewId="0">
      <selection activeCell="H7" sqref="H7"/>
    </sheetView>
  </sheetViews>
  <sheetFormatPr defaultRowHeight="14.25" x14ac:dyDescent="0.45"/>
  <cols>
    <col min="1" max="1" width="5.59765625" customWidth="1"/>
    <col min="2" max="2" width="14" bestFit="1" customWidth="1"/>
    <col min="3" max="6" width="6" bestFit="1" customWidth="1"/>
    <col min="7" max="8" width="10.59765625" bestFit="1" customWidth="1"/>
    <col min="9" max="9" width="8.1328125" customWidth="1"/>
    <col min="10" max="10" width="9" customWidth="1"/>
    <col min="11" max="12" width="9.73046875" customWidth="1"/>
    <col min="13" max="13" width="7.73046875" bestFit="1" customWidth="1"/>
    <col min="14" max="14" width="6" bestFit="1" customWidth="1"/>
    <col min="15" max="16" width="9.1328125" bestFit="1" customWidth="1"/>
    <col min="17" max="18" width="6" bestFit="1" customWidth="1"/>
    <col min="19" max="20" width="8" customWidth="1"/>
    <col min="21" max="22" width="6" bestFit="1" customWidth="1"/>
    <col min="23" max="24" width="6.59765625" bestFit="1" customWidth="1"/>
    <col min="25" max="26" width="11.265625" bestFit="1" customWidth="1"/>
    <col min="27" max="28" width="14" bestFit="1" customWidth="1"/>
    <col min="29" max="30" width="5.1328125" bestFit="1" customWidth="1"/>
    <col min="31" max="32" width="11.265625" bestFit="1" customWidth="1"/>
    <col min="33" max="34" width="14" bestFit="1" customWidth="1"/>
    <col min="35" max="36" width="6" bestFit="1" customWidth="1"/>
    <col min="37" max="38" width="11.265625" bestFit="1" customWidth="1"/>
    <col min="39" max="40" width="14" bestFit="1" customWidth="1"/>
    <col min="42" max="42" width="15" bestFit="1" customWidth="1"/>
    <col min="43" max="44" width="13.86328125" customWidth="1"/>
    <col min="45" max="45" width="13.265625" bestFit="1" customWidth="1"/>
    <col min="46" max="46" width="10.59765625" bestFit="1" customWidth="1"/>
    <col min="47" max="47" width="13.265625" bestFit="1" customWidth="1"/>
    <col min="48" max="48" width="10.59765625" bestFit="1" customWidth="1"/>
    <col min="49" max="50" width="10.59765625" customWidth="1"/>
    <col min="51" max="52" width="10.59765625" bestFit="1" customWidth="1"/>
    <col min="53" max="54" width="9" bestFit="1" customWidth="1"/>
    <col min="55" max="56" width="10.59765625" bestFit="1" customWidth="1"/>
    <col min="57" max="58" width="10.59765625" customWidth="1"/>
    <col min="59" max="59" width="10.59765625" bestFit="1" customWidth="1"/>
    <col min="60" max="60" width="9" bestFit="1" customWidth="1"/>
  </cols>
  <sheetData>
    <row r="2" spans="2:60" x14ac:dyDescent="0.4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</row>
    <row r="3" spans="2:60" x14ac:dyDescent="0.45">
      <c r="B3" s="329" t="s">
        <v>562</v>
      </c>
      <c r="AP3" s="329" t="s">
        <v>563</v>
      </c>
    </row>
    <row r="4" spans="2:60" ht="21.75" customHeight="1" x14ac:dyDescent="0.45">
      <c r="M4" s="1379" t="s">
        <v>564</v>
      </c>
      <c r="N4" s="1380"/>
      <c r="O4" s="1380"/>
      <c r="P4" s="1380"/>
      <c r="Q4" s="1380"/>
      <c r="R4" s="1380"/>
      <c r="S4" s="1380"/>
      <c r="T4" s="1380"/>
      <c r="AS4" s="340">
        <v>2</v>
      </c>
      <c r="AT4" s="340">
        <v>3</v>
      </c>
      <c r="AU4" s="340">
        <v>4</v>
      </c>
      <c r="AV4" s="340">
        <v>5</v>
      </c>
      <c r="AW4" s="340">
        <v>6</v>
      </c>
      <c r="AX4" s="340">
        <v>7</v>
      </c>
      <c r="AY4" s="340">
        <v>8</v>
      </c>
      <c r="AZ4" s="340">
        <v>9</v>
      </c>
      <c r="BA4" s="340">
        <v>12</v>
      </c>
      <c r="BB4" s="340">
        <v>13</v>
      </c>
      <c r="BC4" s="340">
        <v>16</v>
      </c>
      <c r="BD4" s="340">
        <v>17</v>
      </c>
      <c r="BE4" s="340">
        <v>20</v>
      </c>
      <c r="BF4" s="340">
        <v>21</v>
      </c>
      <c r="BG4" s="340">
        <v>24</v>
      </c>
      <c r="BH4" s="340">
        <v>25</v>
      </c>
    </row>
    <row r="5" spans="2:60" s="330" customFormat="1" ht="21" customHeight="1" x14ac:dyDescent="0.45">
      <c r="B5" s="1381" t="s">
        <v>239</v>
      </c>
      <c r="C5" s="1381" t="s">
        <v>155</v>
      </c>
      <c r="D5" s="1381"/>
      <c r="E5" s="1381" t="s">
        <v>12</v>
      </c>
      <c r="F5" s="1381"/>
      <c r="G5" s="1382" t="s">
        <v>79</v>
      </c>
      <c r="H5" s="1383"/>
      <c r="I5" s="1385" t="s">
        <v>156</v>
      </c>
      <c r="J5" s="1385"/>
      <c r="K5" s="1385" t="s">
        <v>565</v>
      </c>
      <c r="L5" s="1385"/>
      <c r="M5" s="1381" t="s">
        <v>158</v>
      </c>
      <c r="N5" s="1381"/>
      <c r="O5" s="1381" t="s">
        <v>566</v>
      </c>
      <c r="P5" s="1381"/>
      <c r="Q5" s="1382" t="s">
        <v>161</v>
      </c>
      <c r="R5" s="1383"/>
      <c r="S5" s="1382" t="s">
        <v>567</v>
      </c>
      <c r="T5" s="1383"/>
      <c r="U5" s="1381" t="s">
        <v>78</v>
      </c>
      <c r="V5" s="1381"/>
      <c r="W5" s="1381" t="s">
        <v>568</v>
      </c>
      <c r="X5" s="1381"/>
      <c r="Y5" s="1385" t="s">
        <v>163</v>
      </c>
      <c r="Z5" s="1385"/>
      <c r="AA5" s="1385" t="s">
        <v>569</v>
      </c>
      <c r="AB5" s="1385"/>
      <c r="AC5" s="1381" t="s">
        <v>165</v>
      </c>
      <c r="AD5" s="1381"/>
      <c r="AE5" s="1385" t="s">
        <v>166</v>
      </c>
      <c r="AF5" s="1385"/>
      <c r="AG5" s="1385" t="s">
        <v>570</v>
      </c>
      <c r="AH5" s="1385"/>
      <c r="AI5" s="1381" t="s">
        <v>97</v>
      </c>
      <c r="AJ5" s="1381"/>
      <c r="AK5" s="1385" t="s">
        <v>168</v>
      </c>
      <c r="AL5" s="1385"/>
      <c r="AM5" s="1385" t="s">
        <v>571</v>
      </c>
      <c r="AN5" s="1385"/>
      <c r="AP5" s="1384" t="s">
        <v>239</v>
      </c>
      <c r="AQ5" s="1389" t="s">
        <v>258</v>
      </c>
      <c r="AR5" s="1389" t="s">
        <v>259</v>
      </c>
      <c r="AS5" s="1384" t="s">
        <v>572</v>
      </c>
      <c r="AT5" s="1384"/>
      <c r="AU5" s="1384" t="s">
        <v>573</v>
      </c>
      <c r="AV5" s="1384"/>
      <c r="AW5" s="1387" t="s">
        <v>79</v>
      </c>
      <c r="AX5" s="1388"/>
      <c r="AY5" s="1386" t="s">
        <v>156</v>
      </c>
      <c r="AZ5" s="1386"/>
      <c r="BA5" s="1384" t="s">
        <v>158</v>
      </c>
      <c r="BB5" s="1384"/>
      <c r="BC5" s="1384" t="s">
        <v>161</v>
      </c>
      <c r="BD5" s="1384"/>
      <c r="BE5" s="1384" t="s">
        <v>78</v>
      </c>
      <c r="BF5" s="1384"/>
      <c r="BG5" s="1386" t="s">
        <v>163</v>
      </c>
      <c r="BH5" s="1386"/>
    </row>
    <row r="6" spans="2:60" s="330" customFormat="1" ht="18" customHeight="1" x14ac:dyDescent="0.45">
      <c r="B6" s="1381"/>
      <c r="C6" s="331" t="s">
        <v>574</v>
      </c>
      <c r="D6" s="331" t="s">
        <v>575</v>
      </c>
      <c r="E6" s="331" t="s">
        <v>574</v>
      </c>
      <c r="F6" s="331" t="s">
        <v>575</v>
      </c>
      <c r="G6" s="331" t="s">
        <v>574</v>
      </c>
      <c r="H6" s="331" t="s">
        <v>575</v>
      </c>
      <c r="I6" s="332" t="s">
        <v>574</v>
      </c>
      <c r="J6" s="332" t="s">
        <v>575</v>
      </c>
      <c r="K6" s="332" t="s">
        <v>574</v>
      </c>
      <c r="L6" s="332" t="s">
        <v>575</v>
      </c>
      <c r="M6" s="331" t="s">
        <v>574</v>
      </c>
      <c r="N6" s="331" t="s">
        <v>575</v>
      </c>
      <c r="O6" s="331" t="s">
        <v>574</v>
      </c>
      <c r="P6" s="331" t="s">
        <v>575</v>
      </c>
      <c r="Q6" s="331" t="s">
        <v>574</v>
      </c>
      <c r="R6" s="331" t="s">
        <v>575</v>
      </c>
      <c r="S6" s="331" t="s">
        <v>574</v>
      </c>
      <c r="T6" s="331" t="s">
        <v>575</v>
      </c>
      <c r="U6" s="331" t="s">
        <v>574</v>
      </c>
      <c r="V6" s="331" t="s">
        <v>575</v>
      </c>
      <c r="W6" s="331" t="s">
        <v>574</v>
      </c>
      <c r="X6" s="331" t="s">
        <v>575</v>
      </c>
      <c r="Y6" s="332" t="s">
        <v>574</v>
      </c>
      <c r="Z6" s="332" t="s">
        <v>575</v>
      </c>
      <c r="AA6" s="332" t="s">
        <v>574</v>
      </c>
      <c r="AB6" s="332" t="s">
        <v>575</v>
      </c>
      <c r="AC6" s="331" t="s">
        <v>574</v>
      </c>
      <c r="AD6" s="331" t="s">
        <v>575</v>
      </c>
      <c r="AE6" s="332" t="s">
        <v>574</v>
      </c>
      <c r="AF6" s="332" t="s">
        <v>575</v>
      </c>
      <c r="AG6" s="332" t="s">
        <v>574</v>
      </c>
      <c r="AH6" s="332" t="s">
        <v>575</v>
      </c>
      <c r="AI6" s="331" t="s">
        <v>574</v>
      </c>
      <c r="AJ6" s="331" t="s">
        <v>575</v>
      </c>
      <c r="AK6" s="332" t="s">
        <v>574</v>
      </c>
      <c r="AL6" s="332" t="s">
        <v>575</v>
      </c>
      <c r="AM6" s="332" t="s">
        <v>574</v>
      </c>
      <c r="AN6" s="332" t="s">
        <v>575</v>
      </c>
      <c r="AP6" s="1384"/>
      <c r="AQ6" s="1389"/>
      <c r="AR6" s="1389"/>
      <c r="AS6" s="338" t="s">
        <v>574</v>
      </c>
      <c r="AT6" s="338" t="s">
        <v>575</v>
      </c>
      <c r="AU6" s="338" t="s">
        <v>574</v>
      </c>
      <c r="AV6" s="338" t="s">
        <v>575</v>
      </c>
      <c r="AW6" s="338" t="s">
        <v>574</v>
      </c>
      <c r="AX6" s="338" t="s">
        <v>575</v>
      </c>
      <c r="AY6" s="341" t="s">
        <v>574</v>
      </c>
      <c r="AZ6" s="341" t="s">
        <v>575</v>
      </c>
      <c r="BA6" s="338" t="s">
        <v>574</v>
      </c>
      <c r="BB6" s="338" t="s">
        <v>575</v>
      </c>
      <c r="BC6" s="338" t="s">
        <v>574</v>
      </c>
      <c r="BD6" s="338" t="s">
        <v>575</v>
      </c>
      <c r="BE6" s="338" t="s">
        <v>574</v>
      </c>
      <c r="BF6" s="338" t="s">
        <v>575</v>
      </c>
      <c r="BG6" s="341" t="s">
        <v>574</v>
      </c>
      <c r="BH6" s="341" t="s">
        <v>575</v>
      </c>
    </row>
    <row r="7" spans="2:60" x14ac:dyDescent="0.45">
      <c r="B7" s="325" t="s">
        <v>2</v>
      </c>
      <c r="C7" s="326">
        <f>'Pricing Structure - All SKU'!I$67</f>
        <v>5.3029958677685949</v>
      </c>
      <c r="D7" s="326" t="e">
        <f>'Pricing Structure - All SKU'!#REF!</f>
        <v>#REF!</v>
      </c>
      <c r="E7" s="326">
        <f>'Pricing Structure - All SKU'!$I60</f>
        <v>5.6</v>
      </c>
      <c r="F7" s="326" t="e">
        <f>'Pricing Structure - All SKU'!#REF!</f>
        <v>#REF!</v>
      </c>
      <c r="G7" s="326">
        <f>'Pricing Structure - All SKU'!$I74</f>
        <v>3.5328331199917153</v>
      </c>
      <c r="H7" s="326" t="e">
        <f>'Pricing Structure - All SKU'!#REF!</f>
        <v>#REF!</v>
      </c>
      <c r="I7" s="326">
        <f>'Pricing Structure - All SKU'!$I80</f>
        <v>1.7701627477768795</v>
      </c>
      <c r="J7" s="326" t="e">
        <f>'Pricing Structure - All SKU'!#REF!</f>
        <v>#REF!</v>
      </c>
      <c r="K7" s="328">
        <f>I7/$C7</f>
        <v>0.33380428571250842</v>
      </c>
      <c r="L7" s="328" t="e">
        <f>J7/$D7</f>
        <v>#REF!</v>
      </c>
      <c r="M7" s="326">
        <f>'Pricing Structure - All SKU'!$I57</f>
        <v>0.4233405501967577</v>
      </c>
      <c r="N7" s="326" t="e">
        <f>'Pricing Structure - All SKU'!#REF!</f>
        <v>#REF!</v>
      </c>
      <c r="O7" s="328">
        <f>M7/$C7</f>
        <v>7.9830450702367189E-2</v>
      </c>
      <c r="P7" s="328" t="e">
        <f>N7/$D7</f>
        <v>#REF!</v>
      </c>
      <c r="Q7" s="326">
        <f>'Pricing Structure - All SKU'!$I92</f>
        <v>0.82389228695456818</v>
      </c>
      <c r="R7" s="326" t="e">
        <f>'Pricing Structure - All SKU'!#REF!</f>
        <v>#REF!</v>
      </c>
      <c r="S7" s="328">
        <f>Q7/$C7</f>
        <v>0.15536355439425359</v>
      </c>
      <c r="T7" s="328" t="e">
        <f>R7/$D7</f>
        <v>#REF!</v>
      </c>
      <c r="U7" s="326">
        <f>'Pricing Structure - All SKU'!$I72</f>
        <v>0.11746356714276762</v>
      </c>
      <c r="V7" s="326" t="e">
        <f>'Pricing Structure - All SKU'!#REF!</f>
        <v>#REF!</v>
      </c>
      <c r="W7" s="386">
        <f>U7/$C7</f>
        <v>2.2150416495080955E-2</v>
      </c>
      <c r="X7" s="386" t="e">
        <f>V7/$D7</f>
        <v>#REF!</v>
      </c>
      <c r="Y7" s="326">
        <f>'Pricing Structure - All SKU'!$I93</f>
        <v>0.4054663434827861</v>
      </c>
      <c r="Z7" s="326" t="e">
        <f>'Pricing Structure - All SKU'!#REF!</f>
        <v>#REF!</v>
      </c>
      <c r="AA7" s="328">
        <f>Y7/$C7</f>
        <v>7.6459864120806686E-2</v>
      </c>
      <c r="AB7" s="328" t="e">
        <f>Z7/$D7</f>
        <v>#REF!</v>
      </c>
      <c r="AC7" s="326">
        <v>0</v>
      </c>
      <c r="AD7" s="326">
        <v>0</v>
      </c>
      <c r="AE7" s="326">
        <f>'Pricing Structure - All SKU'!$I93</f>
        <v>0.4054663434827861</v>
      </c>
      <c r="AF7" s="326" t="e">
        <f>'Pricing Structure - All SKU'!#REF!</f>
        <v>#REF!</v>
      </c>
      <c r="AG7" s="328">
        <f>AE7/$C7</f>
        <v>7.6459864120806686E-2</v>
      </c>
      <c r="AH7" s="328" t="e">
        <f>AF7/$D7</f>
        <v>#REF!</v>
      </c>
      <c r="AI7" s="326">
        <f>'Pricing Structure - All SKU'!$I96</f>
        <v>1.2913223140495868E-2</v>
      </c>
      <c r="AJ7" s="326" t="e">
        <f>'Pricing Structure - All SKU'!#REF!</f>
        <v>#REF!</v>
      </c>
      <c r="AK7" s="326">
        <f>'Pricing Structure - All SKU'!$I98</f>
        <v>0.39255312034229023</v>
      </c>
      <c r="AL7" s="326" t="e">
        <f>'Pricing Structure - All SKU'!#REF!</f>
        <v>#REF!</v>
      </c>
      <c r="AM7" s="328">
        <f>AK7/$C7</f>
        <v>7.4024783373529107E-2</v>
      </c>
      <c r="AN7" s="328" t="e">
        <f>AL7/$D7</f>
        <v>#REF!</v>
      </c>
      <c r="AP7" s="325" t="s">
        <v>2</v>
      </c>
      <c r="AQ7" s="335">
        <v>52362608</v>
      </c>
      <c r="AR7" s="336">
        <f>AQ7/RIGHT(AP7,2)</f>
        <v>1309065.2</v>
      </c>
      <c r="AS7" s="337">
        <f t="shared" ref="AS7:BH13" si="0">$AR7*VLOOKUP($AP7,$B$7:$AN$13,AS$4,0)</f>
        <v>6941967.3462396692</v>
      </c>
      <c r="AT7" s="337" t="e">
        <f t="shared" si="0"/>
        <v>#REF!</v>
      </c>
      <c r="AU7" s="337">
        <f t="shared" si="0"/>
        <v>7330765.1199999992</v>
      </c>
      <c r="AV7" s="337" t="e">
        <f t="shared" si="0"/>
        <v>#REF!</v>
      </c>
      <c r="AW7" s="337">
        <f t="shared" si="0"/>
        <v>4624708.8947885791</v>
      </c>
      <c r="AX7" s="337" t="e">
        <f t="shared" si="0"/>
        <v>#REF!</v>
      </c>
      <c r="AY7" s="337">
        <f t="shared" si="0"/>
        <v>2317258.4514510902</v>
      </c>
      <c r="AZ7" s="337" t="e">
        <f t="shared" si="0"/>
        <v>#REF!</v>
      </c>
      <c r="BA7" s="337">
        <f t="shared" si="0"/>
        <v>554180.38201142859</v>
      </c>
      <c r="BB7" s="337" t="e">
        <f t="shared" si="0"/>
        <v>#REF!</v>
      </c>
      <c r="BC7" s="337">
        <f t="shared" si="0"/>
        <v>1078528.721400639</v>
      </c>
      <c r="BD7" s="337" t="e">
        <f t="shared" si="0"/>
        <v>#REF!</v>
      </c>
      <c r="BE7" s="337">
        <f t="shared" si="0"/>
        <v>153767.46801446052</v>
      </c>
      <c r="BF7" s="337" t="e">
        <f t="shared" si="0"/>
        <v>#REF!</v>
      </c>
      <c r="BG7" s="337">
        <f t="shared" si="0"/>
        <v>530781.88002456201</v>
      </c>
      <c r="BH7" s="337" t="e">
        <f t="shared" si="0"/>
        <v>#REF!</v>
      </c>
    </row>
    <row r="8" spans="2:60" x14ac:dyDescent="0.45">
      <c r="B8" s="325" t="s">
        <v>3</v>
      </c>
      <c r="C8" s="326">
        <f>'Pricing Structure - All SKU'!V$67</f>
        <v>5.3125</v>
      </c>
      <c r="D8" s="326" t="e">
        <f>'Pricing Structure - All SKU'!#REF!</f>
        <v>#REF!</v>
      </c>
      <c r="E8" s="326">
        <f>'Pricing Structure - All SKU'!$V60</f>
        <v>5.6</v>
      </c>
      <c r="F8" s="326" t="e">
        <f>'Pricing Structure - All SKU'!#REF!</f>
        <v>#REF!</v>
      </c>
      <c r="G8" s="326">
        <f>'Pricing Structure - All SKU'!$V74</f>
        <v>3.9789362578498215</v>
      </c>
      <c r="H8" s="326" t="e">
        <f>'Pricing Structure - All SKU'!#REF!</f>
        <v>#REF!</v>
      </c>
      <c r="I8" s="326">
        <f>'Pricing Structure - All SKU'!$V80</f>
        <v>1.3335637421501785</v>
      </c>
      <c r="J8" s="326" t="e">
        <f>'Pricing Structure - All SKU'!#REF!</f>
        <v>#REF!</v>
      </c>
      <c r="K8" s="328">
        <f t="shared" ref="K8:K13" si="1">I8/$C8</f>
        <v>0.25102376322826891</v>
      </c>
      <c r="L8" s="328" t="e">
        <f t="shared" ref="L8:L13" si="2">J8/$D8</f>
        <v>#REF!</v>
      </c>
      <c r="M8" s="326">
        <f>'Pricing Structure - All SKU'!$V57</f>
        <v>0.4</v>
      </c>
      <c r="N8" s="326" t="e">
        <f>'Pricing Structure - All SKU'!#REF!</f>
        <v>#REF!</v>
      </c>
      <c r="O8" s="328">
        <f t="shared" ref="O8:O13" si="3">M8/$C8</f>
        <v>7.5294117647058831E-2</v>
      </c>
      <c r="P8" s="328" t="e">
        <f t="shared" ref="P8:P13" si="4">N8/$D8</f>
        <v>#REF!</v>
      </c>
      <c r="Q8" s="326">
        <f>'Pricing Structure - All SKU'!$V92</f>
        <v>0.55000000000000004</v>
      </c>
      <c r="R8" s="326" t="e">
        <f>'Pricing Structure - All SKU'!#REF!</f>
        <v>#REF!</v>
      </c>
      <c r="S8" s="328">
        <f t="shared" ref="S8:S13" si="5">Q8/$C8</f>
        <v>0.1035294117647059</v>
      </c>
      <c r="T8" s="328" t="e">
        <f t="shared" ref="T8:T13" si="6">R8/$D8</f>
        <v>#REF!</v>
      </c>
      <c r="U8" s="326">
        <f>'Pricing Structure - All SKU'!$V72</f>
        <v>0.11387218896785366</v>
      </c>
      <c r="V8" s="326" t="e">
        <f>'Pricing Structure - All SKU'!#REF!</f>
        <v>#REF!</v>
      </c>
      <c r="W8" s="386">
        <f t="shared" ref="W8:W13" si="7">U8/$C8</f>
        <v>2.1434764982184218E-2</v>
      </c>
      <c r="X8" s="386" t="e">
        <f t="shared" ref="X8:X13" si="8">V8/$D8</f>
        <v>#REF!</v>
      </c>
      <c r="Y8" s="326">
        <f>'Pricing Structure - All SKU'!$V93</f>
        <v>0.26969155318232474</v>
      </c>
      <c r="Z8" s="326" t="e">
        <f>'Pricing Structure - All SKU'!#REF!</f>
        <v>#REF!</v>
      </c>
      <c r="AA8" s="328">
        <f t="shared" ref="AA8:AA13" si="9">Y8/$C8</f>
        <v>5.0765468834319948E-2</v>
      </c>
      <c r="AB8" s="328" t="e">
        <f t="shared" ref="AB8:AB13" si="10">Z8/$D8</f>
        <v>#REF!</v>
      </c>
      <c r="AC8" s="326">
        <v>0</v>
      </c>
      <c r="AD8" s="326">
        <v>0</v>
      </c>
      <c r="AE8" s="326">
        <f>'Pricing Structure - All SKU'!$V93</f>
        <v>0.26969155318232474</v>
      </c>
      <c r="AF8" s="326" t="e">
        <f>'Pricing Structure - All SKU'!#REF!</f>
        <v>#REF!</v>
      </c>
      <c r="AG8" s="328">
        <f t="shared" ref="AG8:AG13" si="11">AE8/$C8</f>
        <v>5.0765468834319948E-2</v>
      </c>
      <c r="AH8" s="328" t="e">
        <f t="shared" ref="AH8:AH13" si="12">AF8/$D8</f>
        <v>#REF!</v>
      </c>
      <c r="AI8" s="326">
        <f>'Pricing Structure - All SKU'!$V96</f>
        <v>1.2370778908446879E-2</v>
      </c>
      <c r="AJ8" s="326" t="e">
        <f>'Pricing Structure - All SKU'!#REF!</f>
        <v>#REF!</v>
      </c>
      <c r="AK8" s="326">
        <f>'Pricing Structure - All SKU'!$V98</f>
        <v>0.25732077427387784</v>
      </c>
      <c r="AL8" s="326" t="e">
        <f>'Pricing Structure - All SKU'!#REF!</f>
        <v>#REF!</v>
      </c>
      <c r="AM8" s="328">
        <f t="shared" ref="AM8:AM13" si="13">AK8/$C8</f>
        <v>4.8436851628024066E-2</v>
      </c>
      <c r="AN8" s="328" t="e">
        <f t="shared" ref="AN8:AN13" si="14">AL8/$D8</f>
        <v>#REF!</v>
      </c>
      <c r="AP8" s="325" t="s">
        <v>3</v>
      </c>
      <c r="AQ8" s="335">
        <v>15760000</v>
      </c>
      <c r="AR8" s="336">
        <f t="shared" ref="AR8:AR13" si="15">AQ8/RIGHT(AP8,2)</f>
        <v>394000</v>
      </c>
      <c r="AS8" s="337">
        <f t="shared" si="0"/>
        <v>2093125</v>
      </c>
      <c r="AT8" s="337" t="e">
        <f t="shared" si="0"/>
        <v>#REF!</v>
      </c>
      <c r="AU8" s="337">
        <f t="shared" si="0"/>
        <v>2206400</v>
      </c>
      <c r="AV8" s="337" t="e">
        <f t="shared" si="0"/>
        <v>#REF!</v>
      </c>
      <c r="AW8" s="337">
        <f t="shared" si="0"/>
        <v>1567700.8855928297</v>
      </c>
      <c r="AX8" s="337" t="e">
        <f t="shared" si="0"/>
        <v>#REF!</v>
      </c>
      <c r="AY8" s="337">
        <f t="shared" si="0"/>
        <v>525424.11440717033</v>
      </c>
      <c r="AZ8" s="337" t="e">
        <f t="shared" si="0"/>
        <v>#REF!</v>
      </c>
      <c r="BA8" s="337">
        <f t="shared" si="0"/>
        <v>157600</v>
      </c>
      <c r="BB8" s="337" t="e">
        <f t="shared" si="0"/>
        <v>#REF!</v>
      </c>
      <c r="BC8" s="337">
        <f t="shared" si="0"/>
        <v>216700.00000000003</v>
      </c>
      <c r="BD8" s="337" t="e">
        <f t="shared" si="0"/>
        <v>#REF!</v>
      </c>
      <c r="BE8" s="337">
        <f t="shared" si="0"/>
        <v>44865.642453334338</v>
      </c>
      <c r="BF8" s="337" t="e">
        <f t="shared" si="0"/>
        <v>#REF!</v>
      </c>
      <c r="BG8" s="337">
        <f t="shared" si="0"/>
        <v>106258.47195383595</v>
      </c>
      <c r="BH8" s="337" t="e">
        <f t="shared" si="0"/>
        <v>#REF!</v>
      </c>
    </row>
    <row r="9" spans="2:60" x14ac:dyDescent="0.45">
      <c r="B9" s="325" t="s">
        <v>4</v>
      </c>
      <c r="C9" s="326">
        <f>'Pricing Structure - All SKU'!AK$67</f>
        <v>5.2760563380281686</v>
      </c>
      <c r="D9" s="326" t="e">
        <f>'Pricing Structure - All SKU'!#REF!</f>
        <v>#REF!</v>
      </c>
      <c r="E9" s="326">
        <f>'Pricing Structure - All SKU'!$AK60</f>
        <v>5.6</v>
      </c>
      <c r="F9" s="326" t="e">
        <f>'Pricing Structure - All SKU'!#REF!</f>
        <v>#REF!</v>
      </c>
      <c r="G9" s="326">
        <f>'Pricing Structure - All SKU'!$AK74</f>
        <v>4.6419622608338678</v>
      </c>
      <c r="H9" s="326" t="e">
        <f>'Pricing Structure - All SKU'!#REF!</f>
        <v>#REF!</v>
      </c>
      <c r="I9" s="326">
        <f>'Pricing Structure - All SKU'!$AK80</f>
        <v>0.63409407719430089</v>
      </c>
      <c r="J9" s="326" t="e">
        <f>'Pricing Structure - All SKU'!#REF!</f>
        <v>#REF!</v>
      </c>
      <c r="K9" s="328">
        <f t="shared" si="1"/>
        <v>0.12018334084568971</v>
      </c>
      <c r="L9" s="328" t="e">
        <f t="shared" si="2"/>
        <v>#REF!</v>
      </c>
      <c r="M9" s="326">
        <f>'Pricing Structure - All SKU'!$AK57</f>
        <v>0.41917048281140379</v>
      </c>
      <c r="N9" s="326" t="e">
        <f>'Pricing Structure - All SKU'!#REF!</f>
        <v>#REF!</v>
      </c>
      <c r="O9" s="328">
        <f t="shared" si="3"/>
        <v>7.9447688947169443E-2</v>
      </c>
      <c r="P9" s="328" t="e">
        <f t="shared" si="4"/>
        <v>#REF!</v>
      </c>
      <c r="Q9" s="326">
        <f>'Pricing Structure - All SKU'!$AK92</f>
        <v>0</v>
      </c>
      <c r="R9" s="326" t="e">
        <f>'Pricing Structure - All SKU'!#REF!</f>
        <v>#REF!</v>
      </c>
      <c r="S9" s="328">
        <f t="shared" si="5"/>
        <v>0</v>
      </c>
      <c r="T9" s="328" t="e">
        <f t="shared" si="6"/>
        <v>#REF!</v>
      </c>
      <c r="U9" s="326">
        <f>'Pricing Structure - All SKU'!$AK72</f>
        <v>0.12764335387095693</v>
      </c>
      <c r="V9" s="326" t="e">
        <f>'Pricing Structure - All SKU'!#REF!</f>
        <v>#REF!</v>
      </c>
      <c r="W9" s="386">
        <f t="shared" si="7"/>
        <v>2.4192947476876517E-2</v>
      </c>
      <c r="X9" s="386" t="e">
        <f t="shared" si="8"/>
        <v>#REF!</v>
      </c>
      <c r="Y9" s="326">
        <f>'Pricing Structure - All SKU'!$AK93</f>
        <v>8.7280240511940166E-2</v>
      </c>
      <c r="Z9" s="326" t="e">
        <f>'Pricing Structure - All SKU'!#REF!</f>
        <v>#REF!</v>
      </c>
      <c r="AA9" s="328">
        <f t="shared" si="9"/>
        <v>1.654270442164376E-2</v>
      </c>
      <c r="AB9" s="328" t="e">
        <f t="shared" si="10"/>
        <v>#REF!</v>
      </c>
      <c r="AC9" s="326">
        <v>0</v>
      </c>
      <c r="AD9" s="326">
        <v>0</v>
      </c>
      <c r="AE9" s="326">
        <f>'Pricing Structure - All SKU'!$AK93</f>
        <v>8.7280240511940166E-2</v>
      </c>
      <c r="AF9" s="326" t="e">
        <f>'Pricing Structure - All SKU'!#REF!</f>
        <v>#REF!</v>
      </c>
      <c r="AG9" s="328">
        <f t="shared" si="11"/>
        <v>1.654270442164376E-2</v>
      </c>
      <c r="AH9" s="328" t="e">
        <f t="shared" si="12"/>
        <v>#REF!</v>
      </c>
      <c r="AI9" s="326">
        <f>'Pricing Structure - All SKU'!$AK96</f>
        <v>4.3035268257127994E-2</v>
      </c>
      <c r="AJ9" s="326" t="e">
        <f>'Pricing Structure - All SKU'!#REF!</f>
        <v>#REF!</v>
      </c>
      <c r="AK9" s="326">
        <f>'Pricing Structure - All SKU'!$AK98</f>
        <v>4.4244972254812172E-2</v>
      </c>
      <c r="AL9" s="326" t="e">
        <f>'Pricing Structure - All SKU'!#REF!</f>
        <v>#REF!</v>
      </c>
      <c r="AM9" s="328">
        <f t="shared" si="13"/>
        <v>8.3859931395933382E-3</v>
      </c>
      <c r="AN9" s="328" t="e">
        <f t="shared" si="14"/>
        <v>#REF!</v>
      </c>
      <c r="AP9" s="325" t="s">
        <v>4</v>
      </c>
      <c r="AQ9" s="335">
        <v>40532932</v>
      </c>
      <c r="AR9" s="336">
        <f t="shared" si="15"/>
        <v>1013323.3</v>
      </c>
      <c r="AS9" s="337">
        <f t="shared" si="0"/>
        <v>5346350.81943662</v>
      </c>
      <c r="AT9" s="337" t="e">
        <f t="shared" si="0"/>
        <v>#REF!</v>
      </c>
      <c r="AU9" s="337">
        <f t="shared" si="0"/>
        <v>5674610.4799999995</v>
      </c>
      <c r="AV9" s="337" t="e">
        <f t="shared" si="0"/>
        <v>#REF!</v>
      </c>
      <c r="AW9" s="337">
        <f t="shared" si="0"/>
        <v>4703808.5166236358</v>
      </c>
      <c r="AX9" s="337" t="e">
        <f t="shared" si="0"/>
        <v>#REF!</v>
      </c>
      <c r="AY9" s="337">
        <f t="shared" si="0"/>
        <v>642542.30281298375</v>
      </c>
      <c r="AZ9" s="337" t="e">
        <f t="shared" si="0"/>
        <v>#REF!</v>
      </c>
      <c r="BA9" s="337">
        <f t="shared" si="0"/>
        <v>424755.21690504497</v>
      </c>
      <c r="BB9" s="337" t="e">
        <f t="shared" si="0"/>
        <v>#REF!</v>
      </c>
      <c r="BC9" s="337">
        <f t="shared" si="0"/>
        <v>0</v>
      </c>
      <c r="BD9" s="337" t="e">
        <f t="shared" si="0"/>
        <v>#REF!</v>
      </c>
      <c r="BE9" s="337">
        <f t="shared" si="0"/>
        <v>129343.98456758585</v>
      </c>
      <c r="BF9" s="337" t="e">
        <f t="shared" si="0"/>
        <v>#REF!</v>
      </c>
      <c r="BG9" s="337">
        <f t="shared" si="0"/>
        <v>88443.101340352907</v>
      </c>
      <c r="BH9" s="337" t="e">
        <f t="shared" si="0"/>
        <v>#REF!</v>
      </c>
    </row>
    <row r="10" spans="2:60" x14ac:dyDescent="0.45">
      <c r="B10" s="325" t="s">
        <v>135</v>
      </c>
      <c r="C10" s="326">
        <f>'Pricing Structure - All SKU'!AZ$67</f>
        <v>5.3029958677685949</v>
      </c>
      <c r="D10" s="326">
        <f>'Pricing Structure - All SKU'!BB$67</f>
        <v>5.74</v>
      </c>
      <c r="E10" s="326">
        <f>'Pricing Structure - All SKU'!$AZ60</f>
        <v>5.6</v>
      </c>
      <c r="F10" s="326">
        <f>'Pricing Structure - All SKU'!$BB60</f>
        <v>6.0499173553719015</v>
      </c>
      <c r="G10" s="326">
        <f>'Pricing Structure - All SKU'!$AZ74</f>
        <v>3.6780718455339394</v>
      </c>
      <c r="H10" s="326">
        <f>'Pricing Structure - All SKU'!$BB74</f>
        <v>3.8793986956299698</v>
      </c>
      <c r="I10" s="326">
        <f>'Pricing Structure - All SKU'!$AZ80</f>
        <v>1.6249240222346555</v>
      </c>
      <c r="J10" s="326">
        <f>'Pricing Structure - All SKU'!$BB80</f>
        <v>1.8606013043700305</v>
      </c>
      <c r="K10" s="328">
        <f t="shared" si="1"/>
        <v>0.30641623390862538</v>
      </c>
      <c r="L10" s="328">
        <f t="shared" si="2"/>
        <v>0.32414656870558023</v>
      </c>
      <c r="M10" s="326">
        <f>'Pricing Structure - All SKU'!$AZ57</f>
        <v>0.4</v>
      </c>
      <c r="N10" s="326">
        <f>'Pricing Structure - All SKU'!$BB57</f>
        <v>0.8</v>
      </c>
      <c r="O10" s="328">
        <f t="shared" si="3"/>
        <v>7.5429061227670319E-2</v>
      </c>
      <c r="P10" s="328">
        <f t="shared" si="4"/>
        <v>0.13937282229965156</v>
      </c>
      <c r="Q10" s="326">
        <f>'Pricing Structure - All SKU'!$AZ92</f>
        <v>0</v>
      </c>
      <c r="R10" s="326">
        <f>'Pricing Structure - All SKU'!$BB92</f>
        <v>0</v>
      </c>
      <c r="S10" s="328">
        <f t="shared" si="5"/>
        <v>0</v>
      </c>
      <c r="T10" s="328">
        <f t="shared" si="6"/>
        <v>0</v>
      </c>
      <c r="U10" s="326">
        <f>'Pricing Structure - All SKU'!$AZ72</f>
        <v>0.11589149097772992</v>
      </c>
      <c r="V10" s="326">
        <f>'Pricing Structure - All SKU'!$BB72</f>
        <v>0.11762591747095878</v>
      </c>
      <c r="W10" s="386">
        <f t="shared" si="7"/>
        <v>2.185396592181298E-2</v>
      </c>
      <c r="X10" s="386">
        <f t="shared" si="8"/>
        <v>2.0492320116891772E-2</v>
      </c>
      <c r="Y10" s="326">
        <f>'Pricing Structure - All SKU'!$AZ93</f>
        <v>1.1090325312569256</v>
      </c>
      <c r="Z10" s="326">
        <f>'Pricing Structure - All SKU'!$BB93</f>
        <v>0.94297538689907168</v>
      </c>
      <c r="AA10" s="328">
        <f t="shared" si="9"/>
        <v>0.20913320675914207</v>
      </c>
      <c r="AB10" s="328">
        <f t="shared" si="10"/>
        <v>0.16428142628903686</v>
      </c>
      <c r="AC10" s="326">
        <v>0</v>
      </c>
      <c r="AD10" s="326">
        <v>0</v>
      </c>
      <c r="AE10" s="326">
        <f>'Pricing Structure - All SKU'!$AZ93</f>
        <v>1.1090325312569256</v>
      </c>
      <c r="AF10" s="326">
        <f>'Pricing Structure - All SKU'!$BB93</f>
        <v>0.94297538689907168</v>
      </c>
      <c r="AG10" s="328">
        <f t="shared" si="11"/>
        <v>0.20913320675914207</v>
      </c>
      <c r="AH10" s="328">
        <f t="shared" si="12"/>
        <v>0.16428142628903686</v>
      </c>
      <c r="AI10" s="326">
        <f>'Pricing Structure - All SKU'!$AZ96</f>
        <v>6.2609197834233169E-3</v>
      </c>
      <c r="AJ10" s="326">
        <f>'Pricing Structure - All SKU'!$BB96</f>
        <v>-6.6523033570725504E-3</v>
      </c>
      <c r="AK10" s="326">
        <f>'Pricing Structure - All SKU'!$AZ98</f>
        <v>1.1027716114735022</v>
      </c>
      <c r="AL10" s="326">
        <f>'Pricing Structure - All SKU'!$BB98</f>
        <v>0.94962769025614424</v>
      </c>
      <c r="AM10" s="328">
        <f t="shared" si="13"/>
        <v>0.20795256850492863</v>
      </c>
      <c r="AN10" s="328">
        <f t="shared" si="14"/>
        <v>0.16544036415612268</v>
      </c>
      <c r="AP10" s="325" t="s">
        <v>135</v>
      </c>
      <c r="AQ10" s="335">
        <v>396000</v>
      </c>
      <c r="AR10" s="336">
        <f t="shared" si="15"/>
        <v>9900</v>
      </c>
      <c r="AS10" s="337">
        <f t="shared" si="0"/>
        <v>52499.659090909088</v>
      </c>
      <c r="AT10" s="337">
        <f t="shared" si="0"/>
        <v>56826</v>
      </c>
      <c r="AU10" s="337">
        <f t="shared" si="0"/>
        <v>55440</v>
      </c>
      <c r="AV10" s="337">
        <f t="shared" si="0"/>
        <v>59894.181818181823</v>
      </c>
      <c r="AW10" s="337">
        <f t="shared" si="0"/>
        <v>36412.911270785997</v>
      </c>
      <c r="AX10" s="337">
        <f t="shared" si="0"/>
        <v>38406.047086736704</v>
      </c>
      <c r="AY10" s="337">
        <f t="shared" si="0"/>
        <v>16086.74782012309</v>
      </c>
      <c r="AZ10" s="337">
        <f t="shared" si="0"/>
        <v>18419.952913263303</v>
      </c>
      <c r="BA10" s="337">
        <f t="shared" si="0"/>
        <v>3960</v>
      </c>
      <c r="BB10" s="337">
        <f t="shared" si="0"/>
        <v>7920</v>
      </c>
      <c r="BC10" s="337">
        <f t="shared" si="0"/>
        <v>0</v>
      </c>
      <c r="BD10" s="337">
        <f t="shared" si="0"/>
        <v>0</v>
      </c>
      <c r="BE10" s="337">
        <f t="shared" si="0"/>
        <v>1147.3257606795262</v>
      </c>
      <c r="BF10" s="337">
        <f t="shared" si="0"/>
        <v>1164.4965829624919</v>
      </c>
      <c r="BG10" s="337">
        <f t="shared" si="0"/>
        <v>10979.422059443563</v>
      </c>
      <c r="BH10" s="337">
        <f t="shared" si="0"/>
        <v>9335.456330300809</v>
      </c>
    </row>
    <row r="11" spans="2:60" x14ac:dyDescent="0.45">
      <c r="B11" s="325" t="s">
        <v>136</v>
      </c>
      <c r="C11" s="326">
        <f>'Pricing Structure - All SKU'!BL$67</f>
        <v>4.4800000000000004</v>
      </c>
      <c r="D11" s="326">
        <f>'Pricing Structure - All SKU'!BN$67</f>
        <v>4.4800000000000004</v>
      </c>
      <c r="E11" s="326">
        <f>'Pricing Structure - All SKU'!$BL60</f>
        <v>4.7229149797570855</v>
      </c>
      <c r="F11" s="326">
        <f>'Pricing Structure - All SKU'!$BN60</f>
        <v>4.7229149797570855</v>
      </c>
      <c r="G11" s="326">
        <f>'Pricing Structure - All SKU'!$BL74</f>
        <v>2.5589374277120687</v>
      </c>
      <c r="H11" s="326">
        <f>'Pricing Structure - All SKU'!$BN74</f>
        <v>2.6298188999574554</v>
      </c>
      <c r="I11" s="326">
        <f>'Pricing Structure - All SKU'!$BL80</f>
        <v>1.9210625722879318</v>
      </c>
      <c r="J11" s="326">
        <f>'Pricing Structure - All SKU'!$BN80</f>
        <v>1.850181100042545</v>
      </c>
      <c r="K11" s="328">
        <f t="shared" si="1"/>
        <v>0.42880860988569902</v>
      </c>
      <c r="L11" s="328">
        <f t="shared" si="2"/>
        <v>0.41298685268806806</v>
      </c>
      <c r="M11" s="326">
        <f>'Pricing Structure - All SKU'!$BL57</f>
        <v>1.02</v>
      </c>
      <c r="N11" s="326">
        <f>'Pricing Structure - All SKU'!$BN57</f>
        <v>1.02</v>
      </c>
      <c r="O11" s="328">
        <f t="shared" si="3"/>
        <v>0.22767857142857142</v>
      </c>
      <c r="P11" s="328">
        <f t="shared" si="4"/>
        <v>0.22767857142857142</v>
      </c>
      <c r="Q11" s="326">
        <f>'Pricing Structure - All SKU'!$BL92</f>
        <v>0</v>
      </c>
      <c r="R11" s="326">
        <f>'Pricing Structure - All SKU'!$BN92</f>
        <v>0</v>
      </c>
      <c r="S11" s="328">
        <f t="shared" si="5"/>
        <v>0</v>
      </c>
      <c r="T11" s="328">
        <f t="shared" si="6"/>
        <v>0</v>
      </c>
      <c r="U11" s="326">
        <f>'Pricing Structure - All SKU'!$BL72</f>
        <v>4.0963349019381999E-2</v>
      </c>
      <c r="V11" s="326">
        <f>'Pricing Structure - All SKU'!$BN72</f>
        <v>3.6717557545812539E-2</v>
      </c>
      <c r="W11" s="386">
        <f t="shared" si="7"/>
        <v>9.1436046918263389E-3</v>
      </c>
      <c r="X11" s="386">
        <f t="shared" si="8"/>
        <v>8.195883380761727E-3</v>
      </c>
      <c r="Y11" s="326">
        <f>'Pricing Structure - All SKU'!$BL93</f>
        <v>0.86009922326854971</v>
      </c>
      <c r="Z11" s="326">
        <f>'Pricing Structure - All SKU'!$BN93</f>
        <v>0.79346354249673245</v>
      </c>
      <c r="AA11" s="328">
        <f t="shared" si="9"/>
        <v>0.19198643376530125</v>
      </c>
      <c r="AB11" s="328">
        <f t="shared" si="10"/>
        <v>0.1771123978787349</v>
      </c>
      <c r="AC11" s="326">
        <v>0</v>
      </c>
      <c r="AD11" s="326">
        <v>0</v>
      </c>
      <c r="AE11" s="326">
        <f>'Pricing Structure - All SKU'!$BL93</f>
        <v>0.86009922326854971</v>
      </c>
      <c r="AF11" s="326">
        <f>'Pricing Structure - All SKU'!$BN93</f>
        <v>0.79346354249673245</v>
      </c>
      <c r="AG11" s="328">
        <f t="shared" si="11"/>
        <v>0.19198643376530125</v>
      </c>
      <c r="AH11" s="328">
        <f t="shared" si="12"/>
        <v>0.1771123978787349</v>
      </c>
      <c r="AI11" s="326">
        <f>'Pricing Structure - All SKU'!$BL96</f>
        <v>2.279212446263364E-2</v>
      </c>
      <c r="AJ11" s="326">
        <f>'Pricing Structure - All SKU'!$BN96</f>
        <v>2.6609260805193446E-2</v>
      </c>
      <c r="AK11" s="326">
        <f>'Pricing Structure - All SKU'!$BL98</f>
        <v>0.83730709880591603</v>
      </c>
      <c r="AL11" s="326">
        <f>'Pricing Structure - All SKU'!$BN98</f>
        <v>0.76685428169153902</v>
      </c>
      <c r="AM11" s="328">
        <f t="shared" si="13"/>
        <v>0.18689890598346337</v>
      </c>
      <c r="AN11" s="328">
        <f t="shared" si="14"/>
        <v>0.17117283073471851</v>
      </c>
      <c r="AP11" s="325" t="s">
        <v>136</v>
      </c>
      <c r="AQ11" s="335">
        <v>172800</v>
      </c>
      <c r="AR11" s="336">
        <f t="shared" si="15"/>
        <v>14400</v>
      </c>
      <c r="AS11" s="337">
        <f t="shared" si="0"/>
        <v>64512.000000000007</v>
      </c>
      <c r="AT11" s="337">
        <f t="shared" si="0"/>
        <v>64512.000000000007</v>
      </c>
      <c r="AU11" s="337">
        <f t="shared" si="0"/>
        <v>68009.975708502025</v>
      </c>
      <c r="AV11" s="337">
        <f t="shared" si="0"/>
        <v>68009.975708502025</v>
      </c>
      <c r="AW11" s="337">
        <f t="shared" si="0"/>
        <v>36848.698959053792</v>
      </c>
      <c r="AX11" s="337">
        <f t="shared" si="0"/>
        <v>37869.39215938736</v>
      </c>
      <c r="AY11" s="337">
        <f t="shared" si="0"/>
        <v>27663.301040946219</v>
      </c>
      <c r="AZ11" s="337">
        <f t="shared" si="0"/>
        <v>26642.607840612647</v>
      </c>
      <c r="BA11" s="337">
        <f t="shared" si="0"/>
        <v>14688</v>
      </c>
      <c r="BB11" s="337">
        <f t="shared" si="0"/>
        <v>14688</v>
      </c>
      <c r="BC11" s="337">
        <f t="shared" si="0"/>
        <v>0</v>
      </c>
      <c r="BD11" s="337">
        <f t="shared" si="0"/>
        <v>0</v>
      </c>
      <c r="BE11" s="337">
        <f t="shared" si="0"/>
        <v>589.87222587910082</v>
      </c>
      <c r="BF11" s="337">
        <f t="shared" si="0"/>
        <v>528.73282865970054</v>
      </c>
      <c r="BG11" s="337">
        <f t="shared" si="0"/>
        <v>12385.428815067116</v>
      </c>
      <c r="BH11" s="337">
        <f t="shared" si="0"/>
        <v>11425.875011952947</v>
      </c>
    </row>
    <row r="12" spans="2:60" x14ac:dyDescent="0.45">
      <c r="B12" s="325" t="s">
        <v>137</v>
      </c>
      <c r="C12" s="326">
        <f>'Pricing Structure - All SKU'!BT$67</f>
        <v>4.13</v>
      </c>
      <c r="D12" s="326">
        <f>'Pricing Structure - All SKU'!BV$67</f>
        <v>4.13</v>
      </c>
      <c r="E12" s="326">
        <f>'Pricing Structure - All SKU'!$BT60</f>
        <v>4.38</v>
      </c>
      <c r="F12" s="326">
        <f>'Pricing Structure - All SKU'!$BV60</f>
        <v>4.38</v>
      </c>
      <c r="G12" s="326">
        <f>'Pricing Structure - All SKU'!$BT74</f>
        <v>2.7993673271680408</v>
      </c>
      <c r="H12" s="326">
        <f>'Pricing Structure - All SKU'!$BV74</f>
        <v>2.8488108224378426</v>
      </c>
      <c r="I12" s="326">
        <f>'Pricing Structure - All SKU'!$BT80</f>
        <v>1.3306326728319591</v>
      </c>
      <c r="J12" s="326">
        <f>'Pricing Structure - All SKU'!$BV80</f>
        <v>1.2811891775621573</v>
      </c>
      <c r="K12" s="328">
        <f t="shared" si="1"/>
        <v>0.32218708785277461</v>
      </c>
      <c r="L12" s="328">
        <f t="shared" si="2"/>
        <v>0.31021529723054658</v>
      </c>
      <c r="M12" s="326">
        <f>'Pricing Structure - All SKU'!$BT57</f>
        <v>1.03</v>
      </c>
      <c r="N12" s="326">
        <f>'Pricing Structure - All SKU'!$BV57</f>
        <v>1.03</v>
      </c>
      <c r="O12" s="328">
        <f t="shared" si="3"/>
        <v>0.2493946731234867</v>
      </c>
      <c r="P12" s="328">
        <f t="shared" si="4"/>
        <v>0.2493946731234867</v>
      </c>
      <c r="Q12" s="326">
        <f>'Pricing Structure - All SKU'!$BT92</f>
        <v>0</v>
      </c>
      <c r="R12" s="326">
        <f>'Pricing Structure - All SKU'!$BV92</f>
        <v>0</v>
      </c>
      <c r="S12" s="328">
        <f t="shared" si="5"/>
        <v>0</v>
      </c>
      <c r="T12" s="328">
        <f t="shared" si="6"/>
        <v>0</v>
      </c>
      <c r="U12" s="326">
        <f>'Pricing Structure - All SKU'!$BT72</f>
        <v>4.1738561002834872E-2</v>
      </c>
      <c r="V12" s="326">
        <f>'Pricing Structure - All SKU'!$BV72</f>
        <v>3.839133734496946E-2</v>
      </c>
      <c r="W12" s="386">
        <f t="shared" si="7"/>
        <v>1.0106189104802633E-2</v>
      </c>
      <c r="X12" s="386">
        <f t="shared" si="8"/>
        <v>9.2957233280797722E-3</v>
      </c>
      <c r="Y12" s="326">
        <f>'Pricing Structure - All SKU'!$BT93</f>
        <v>0.2588941118291242</v>
      </c>
      <c r="Z12" s="326">
        <f>'Pricing Structure - All SKU'!$BV93</f>
        <v>0.21279784021718784</v>
      </c>
      <c r="AA12" s="328">
        <f t="shared" si="9"/>
        <v>6.2686225624485281E-2</v>
      </c>
      <c r="AB12" s="328">
        <f t="shared" si="10"/>
        <v>5.1524900778980108E-2</v>
      </c>
      <c r="AC12" s="326">
        <v>0</v>
      </c>
      <c r="AD12" s="326">
        <v>0</v>
      </c>
      <c r="AE12" s="326">
        <f>'Pricing Structure - All SKU'!$BT93</f>
        <v>0.2588941118291242</v>
      </c>
      <c r="AF12" s="326">
        <f>'Pricing Structure - All SKU'!$BV93</f>
        <v>0.21279784021718784</v>
      </c>
      <c r="AG12" s="328">
        <f t="shared" si="11"/>
        <v>6.2686225624485281E-2</v>
      </c>
      <c r="AH12" s="328">
        <f t="shared" si="12"/>
        <v>5.1524900778980108E-2</v>
      </c>
      <c r="AI12" s="326">
        <f>'Pricing Structure - All SKU'!$BT96</f>
        <v>4.0847469077679888E-2</v>
      </c>
      <c r="AJ12" s="326">
        <f>'Pricing Structure - All SKU'!$BV96</f>
        <v>8.2140919624958519E-3</v>
      </c>
      <c r="AK12" s="326">
        <f>'Pricing Structure - All SKU'!$BT98</f>
        <v>0.21804664275144431</v>
      </c>
      <c r="AL12" s="326">
        <f>'Pricing Structure - All SKU'!$BV98</f>
        <v>0.204583748254692</v>
      </c>
      <c r="AM12" s="328">
        <f t="shared" si="13"/>
        <v>5.2795797276378766E-2</v>
      </c>
      <c r="AN12" s="328">
        <f t="shared" si="14"/>
        <v>4.9536016526559805E-2</v>
      </c>
      <c r="AP12" s="325" t="s">
        <v>137</v>
      </c>
      <c r="AQ12" s="335">
        <v>489600</v>
      </c>
      <c r="AR12" s="336">
        <f t="shared" si="15"/>
        <v>40800</v>
      </c>
      <c r="AS12" s="337">
        <f t="shared" si="0"/>
        <v>168504</v>
      </c>
      <c r="AT12" s="337">
        <f t="shared" si="0"/>
        <v>168504</v>
      </c>
      <c r="AU12" s="337">
        <f t="shared" si="0"/>
        <v>178704</v>
      </c>
      <c r="AV12" s="337">
        <f t="shared" si="0"/>
        <v>178704</v>
      </c>
      <c r="AW12" s="337">
        <f t="shared" si="0"/>
        <v>114214.18694845606</v>
      </c>
      <c r="AX12" s="337">
        <f t="shared" si="0"/>
        <v>116231.48155546398</v>
      </c>
      <c r="AY12" s="337">
        <f t="shared" si="0"/>
        <v>54289.813051543933</v>
      </c>
      <c r="AZ12" s="337">
        <f t="shared" si="0"/>
        <v>52272.518444536021</v>
      </c>
      <c r="BA12" s="337">
        <f t="shared" si="0"/>
        <v>42024</v>
      </c>
      <c r="BB12" s="337">
        <f t="shared" si="0"/>
        <v>42024</v>
      </c>
      <c r="BC12" s="337">
        <f t="shared" si="0"/>
        <v>0</v>
      </c>
      <c r="BD12" s="337">
        <f t="shared" si="0"/>
        <v>0</v>
      </c>
      <c r="BE12" s="337">
        <f t="shared" si="0"/>
        <v>1702.9332889156628</v>
      </c>
      <c r="BF12" s="337">
        <f t="shared" si="0"/>
        <v>1566.3665636747539</v>
      </c>
      <c r="BG12" s="337">
        <f t="shared" si="0"/>
        <v>10562.879762628267</v>
      </c>
      <c r="BH12" s="337">
        <f t="shared" si="0"/>
        <v>8682.1518808612636</v>
      </c>
    </row>
    <row r="13" spans="2:60" x14ac:dyDescent="0.45">
      <c r="B13" s="325" t="s">
        <v>138</v>
      </c>
      <c r="C13" s="326">
        <f>'Pricing Structure - All SKU'!CB$67</f>
        <v>6.05</v>
      </c>
      <c r="D13" s="326">
        <f>'Pricing Structure - All SKU'!CD$67</f>
        <v>6.05</v>
      </c>
      <c r="E13" s="326">
        <f>'Pricing Structure - All SKU'!$CB60</f>
        <v>6.55</v>
      </c>
      <c r="F13" s="326">
        <f>'Pricing Structure - All SKU'!$CD60</f>
        <v>6.55</v>
      </c>
      <c r="G13" s="326">
        <f>'Pricing Structure - All SKU'!$CB74</f>
        <v>4.2400614119853959</v>
      </c>
      <c r="H13" s="326">
        <f>'Pricing Structure - All SKU'!$CD74</f>
        <v>3.940935632656354</v>
      </c>
      <c r="I13" s="326">
        <f>'Pricing Structure - All SKU'!$CB80</f>
        <v>1.8099385880146039</v>
      </c>
      <c r="J13" s="326">
        <f>'Pricing Structure - All SKU'!$CD80</f>
        <v>2.1090643673436458</v>
      </c>
      <c r="K13" s="328">
        <f t="shared" si="1"/>
        <v>0.29916340297762051</v>
      </c>
      <c r="L13" s="328">
        <f t="shared" si="2"/>
        <v>0.34860568055266872</v>
      </c>
      <c r="M13" s="326">
        <f>'Pricing Structure - All SKU'!$CB57</f>
        <v>1.8</v>
      </c>
      <c r="N13" s="326">
        <f>'Pricing Structure - All SKU'!$CD57</f>
        <v>1.8</v>
      </c>
      <c r="O13" s="328">
        <f t="shared" si="3"/>
        <v>0.2975206611570248</v>
      </c>
      <c r="P13" s="328">
        <f t="shared" si="4"/>
        <v>0.2975206611570248</v>
      </c>
      <c r="Q13" s="326">
        <f>'Pricing Structure - All SKU'!$CB92</f>
        <v>0</v>
      </c>
      <c r="R13" s="326">
        <f>'Pricing Structure - All SKU'!$CD92</f>
        <v>0</v>
      </c>
      <c r="S13" s="328">
        <f t="shared" si="5"/>
        <v>0</v>
      </c>
      <c r="T13" s="328">
        <f t="shared" si="6"/>
        <v>0</v>
      </c>
      <c r="U13" s="326">
        <f>'Pricing Structure - All SKU'!$CB72</f>
        <v>8.2051203600768244E-2</v>
      </c>
      <c r="V13" s="326">
        <f>'Pricing Structure - All SKU'!$CD72</f>
        <v>8.2651303781473659E-2</v>
      </c>
      <c r="W13" s="386">
        <f t="shared" si="7"/>
        <v>1.3562182413350124E-2</v>
      </c>
      <c r="X13" s="386">
        <f t="shared" si="8"/>
        <v>1.3661372525863415E-2</v>
      </c>
      <c r="Y13" s="326">
        <f>'Pricing Structure - All SKU'!$CB93</f>
        <v>-7.2112615586164344E-2</v>
      </c>
      <c r="Z13" s="326">
        <f>'Pricing Structure - All SKU'!$CD93</f>
        <v>0.22641306356217206</v>
      </c>
      <c r="AA13" s="328">
        <f t="shared" si="9"/>
        <v>-1.1919440592754437E-2</v>
      </c>
      <c r="AB13" s="328">
        <f t="shared" si="10"/>
        <v>3.7423646869780509E-2</v>
      </c>
      <c r="AC13" s="326">
        <v>0</v>
      </c>
      <c r="AD13" s="326">
        <v>0</v>
      </c>
      <c r="AE13" s="326">
        <f>'Pricing Structure - All SKU'!$CB93</f>
        <v>-7.2112615586164344E-2</v>
      </c>
      <c r="AF13" s="326">
        <f>'Pricing Structure - All SKU'!$CD93</f>
        <v>0.22641306356217206</v>
      </c>
      <c r="AG13" s="328">
        <f t="shared" si="11"/>
        <v>-1.1919440592754437E-2</v>
      </c>
      <c r="AH13" s="328">
        <f t="shared" si="12"/>
        <v>3.7423646869780509E-2</v>
      </c>
      <c r="AI13" s="326">
        <f>'Pricing Structure - All SKU'!$CB96</f>
        <v>-0.16745422726092626</v>
      </c>
      <c r="AJ13" s="326">
        <f>'Pricing Structure - All SKU'!$CD96</f>
        <v>-0.23874773976562963</v>
      </c>
      <c r="AK13" s="326">
        <f>'Pricing Structure - All SKU'!$CB98</f>
        <v>9.534161167476192E-2</v>
      </c>
      <c r="AL13" s="326">
        <f>'Pricing Structure - All SKU'!$CD98</f>
        <v>0.46516080332780169</v>
      </c>
      <c r="AM13" s="328">
        <f t="shared" si="13"/>
        <v>1.5758944078473044E-2</v>
      </c>
      <c r="AN13" s="328">
        <f t="shared" si="14"/>
        <v>7.6886083194677962E-2</v>
      </c>
      <c r="AP13" s="325" t="s">
        <v>138</v>
      </c>
      <c r="AQ13" s="335">
        <v>288000</v>
      </c>
      <c r="AR13" s="336">
        <f t="shared" si="15"/>
        <v>12000</v>
      </c>
      <c r="AS13" s="337">
        <f t="shared" si="0"/>
        <v>72600</v>
      </c>
      <c r="AT13" s="337">
        <f t="shared" si="0"/>
        <v>72600</v>
      </c>
      <c r="AU13" s="337">
        <f t="shared" si="0"/>
        <v>78600</v>
      </c>
      <c r="AV13" s="337">
        <f t="shared" si="0"/>
        <v>78600</v>
      </c>
      <c r="AW13" s="337">
        <f t="shared" si="0"/>
        <v>50880.736943824748</v>
      </c>
      <c r="AX13" s="337">
        <f t="shared" si="0"/>
        <v>47291.227591876246</v>
      </c>
      <c r="AY13" s="337">
        <f t="shared" si="0"/>
        <v>21719.263056175248</v>
      </c>
      <c r="AZ13" s="337">
        <f t="shared" si="0"/>
        <v>25308.77240812375</v>
      </c>
      <c r="BA13" s="337">
        <f t="shared" si="0"/>
        <v>21600</v>
      </c>
      <c r="BB13" s="337">
        <f t="shared" si="0"/>
        <v>21600</v>
      </c>
      <c r="BC13" s="337">
        <f t="shared" si="0"/>
        <v>0</v>
      </c>
      <c r="BD13" s="337">
        <f t="shared" si="0"/>
        <v>0</v>
      </c>
      <c r="BE13" s="337">
        <f t="shared" si="0"/>
        <v>984.61444320921896</v>
      </c>
      <c r="BF13" s="337">
        <f t="shared" si="0"/>
        <v>991.81564537768395</v>
      </c>
      <c r="BG13" s="337">
        <f t="shared" si="0"/>
        <v>-865.35138703397217</v>
      </c>
      <c r="BH13" s="337">
        <f t="shared" si="0"/>
        <v>2716.9567627460647</v>
      </c>
    </row>
    <row r="14" spans="2:60" x14ac:dyDescent="0.45">
      <c r="C14" s="327"/>
      <c r="D14" s="327"/>
      <c r="AP14" s="333" t="s">
        <v>201</v>
      </c>
      <c r="AQ14" s="339">
        <f>SUM(AQ7:AQ13)</f>
        <v>110001940</v>
      </c>
      <c r="AR14" s="339">
        <f t="shared" ref="AR14:BD14" si="16">SUM(AR7:AR13)</f>
        <v>2793488.5</v>
      </c>
      <c r="AS14" s="339">
        <f t="shared" si="16"/>
        <v>14739558.824767197</v>
      </c>
      <c r="AT14" s="339" t="e">
        <f t="shared" si="16"/>
        <v>#REF!</v>
      </c>
      <c r="AU14" s="339">
        <f t="shared" si="16"/>
        <v>15592529.575708499</v>
      </c>
      <c r="AV14" s="339" t="e">
        <f t="shared" si="16"/>
        <v>#REF!</v>
      </c>
      <c r="AW14" s="339">
        <f>SUM(AW7:AW13)</f>
        <v>11134574.831127165</v>
      </c>
      <c r="AX14" s="339" t="e">
        <f>SUM(AX7:AX13)</f>
        <v>#REF!</v>
      </c>
      <c r="AY14" s="342">
        <f t="shared" si="16"/>
        <v>3604983.9936400331</v>
      </c>
      <c r="AZ14" s="342" t="e">
        <f t="shared" si="16"/>
        <v>#REF!</v>
      </c>
      <c r="BA14" s="339">
        <f t="shared" si="16"/>
        <v>1218807.5989164736</v>
      </c>
      <c r="BB14" s="339" t="e">
        <f t="shared" si="16"/>
        <v>#REF!</v>
      </c>
      <c r="BC14" s="339">
        <f t="shared" si="16"/>
        <v>1295228.721400639</v>
      </c>
      <c r="BD14" s="339" t="e">
        <f t="shared" si="16"/>
        <v>#REF!</v>
      </c>
      <c r="BE14" s="339">
        <f>SUM(BE7:BE13)</f>
        <v>332401.84075406427</v>
      </c>
      <c r="BF14" s="339" t="e">
        <f>SUM(BF7:BF13)</f>
        <v>#REF!</v>
      </c>
      <c r="BG14" s="342">
        <f>SUM(BG7:BG13)</f>
        <v>758545.83256885584</v>
      </c>
      <c r="BH14" s="342" t="e">
        <f>SUM(BH7:BH13)</f>
        <v>#REF!</v>
      </c>
    </row>
    <row r="16" spans="2:60" x14ac:dyDescent="0.45">
      <c r="AS16" s="344">
        <f>AR7</f>
        <v>1309065.2</v>
      </c>
      <c r="AT16" s="521">
        <f>C7</f>
        <v>5.3029958677685949</v>
      </c>
      <c r="AU16" s="344">
        <f>AT16*AS16</f>
        <v>6941967.3462396692</v>
      </c>
    </row>
    <row r="17" spans="2:47" x14ac:dyDescent="0.45">
      <c r="M17" s="1384" t="s">
        <v>564</v>
      </c>
      <c r="N17" s="1384"/>
      <c r="O17" s="1384"/>
      <c r="P17" s="1384"/>
      <c r="Q17" s="1384"/>
      <c r="R17" s="1384"/>
      <c r="S17" s="1384"/>
      <c r="T17" s="1384"/>
    </row>
    <row r="18" spans="2:47" x14ac:dyDescent="0.45">
      <c r="B18" s="1381" t="s">
        <v>239</v>
      </c>
      <c r="C18" s="1381" t="s">
        <v>155</v>
      </c>
      <c r="D18" s="1381"/>
      <c r="E18" s="1381" t="s">
        <v>12</v>
      </c>
      <c r="F18" s="1381"/>
      <c r="G18" s="1382" t="s">
        <v>79</v>
      </c>
      <c r="H18" s="1383"/>
      <c r="I18" s="1385" t="s">
        <v>156</v>
      </c>
      <c r="J18" s="1385"/>
      <c r="K18" s="1385" t="s">
        <v>565</v>
      </c>
      <c r="L18" s="1385"/>
      <c r="M18" s="1381" t="s">
        <v>158</v>
      </c>
      <c r="N18" s="1381"/>
      <c r="O18" s="1381" t="s">
        <v>566</v>
      </c>
      <c r="P18" s="1381"/>
      <c r="Q18" s="1382" t="s">
        <v>161</v>
      </c>
      <c r="R18" s="1383"/>
      <c r="S18" s="1382" t="s">
        <v>567</v>
      </c>
      <c r="T18" s="1383"/>
      <c r="U18" s="1381" t="s">
        <v>78</v>
      </c>
      <c r="V18" s="1381"/>
      <c r="W18" s="1381" t="s">
        <v>568</v>
      </c>
      <c r="X18" s="1381"/>
      <c r="Y18" s="1385" t="s">
        <v>163</v>
      </c>
      <c r="Z18" s="1385"/>
      <c r="AA18" s="1385" t="s">
        <v>569</v>
      </c>
      <c r="AB18" s="1385"/>
      <c r="AC18" s="1381" t="s">
        <v>165</v>
      </c>
      <c r="AD18" s="1381"/>
      <c r="AE18" s="1385" t="s">
        <v>166</v>
      </c>
      <c r="AF18" s="1385"/>
      <c r="AG18" s="1385" t="s">
        <v>570</v>
      </c>
      <c r="AH18" s="1385"/>
      <c r="AI18" s="1381" t="s">
        <v>97</v>
      </c>
      <c r="AJ18" s="1381"/>
      <c r="AK18" s="1385" t="s">
        <v>168</v>
      </c>
      <c r="AL18" s="1385"/>
      <c r="AM18" s="1385" t="s">
        <v>571</v>
      </c>
      <c r="AN18" s="1385"/>
      <c r="AS18" s="423">
        <f>AQ7/40</f>
        <v>1309065.2</v>
      </c>
      <c r="AT18" s="521">
        <v>5.3</v>
      </c>
      <c r="AU18" s="344">
        <f>AT18*AS18</f>
        <v>6938045.5599999996</v>
      </c>
    </row>
    <row r="19" spans="2:47" x14ac:dyDescent="0.45">
      <c r="B19" s="1381"/>
      <c r="C19" s="331" t="s">
        <v>576</v>
      </c>
      <c r="D19" s="331" t="s">
        <v>577</v>
      </c>
      <c r="E19" s="331" t="s">
        <v>576</v>
      </c>
      <c r="F19" s="331" t="s">
        <v>577</v>
      </c>
      <c r="G19" s="331" t="s">
        <v>576</v>
      </c>
      <c r="H19" s="331" t="s">
        <v>577</v>
      </c>
      <c r="I19" s="332" t="s">
        <v>576</v>
      </c>
      <c r="J19" s="332" t="s">
        <v>577</v>
      </c>
      <c r="K19" s="332" t="s">
        <v>576</v>
      </c>
      <c r="L19" s="332" t="s">
        <v>577</v>
      </c>
      <c r="M19" s="331" t="s">
        <v>576</v>
      </c>
      <c r="N19" s="331" t="s">
        <v>577</v>
      </c>
      <c r="O19" s="331" t="s">
        <v>576</v>
      </c>
      <c r="P19" s="331" t="s">
        <v>577</v>
      </c>
      <c r="Q19" s="331" t="s">
        <v>576</v>
      </c>
      <c r="R19" s="331" t="s">
        <v>577</v>
      </c>
      <c r="S19" s="331" t="s">
        <v>576</v>
      </c>
      <c r="T19" s="331" t="s">
        <v>577</v>
      </c>
      <c r="U19" s="331" t="s">
        <v>576</v>
      </c>
      <c r="V19" s="331" t="s">
        <v>577</v>
      </c>
      <c r="W19" s="331" t="s">
        <v>574</v>
      </c>
      <c r="X19" s="331" t="s">
        <v>575</v>
      </c>
      <c r="Y19" s="332" t="s">
        <v>576</v>
      </c>
      <c r="Z19" s="332" t="s">
        <v>577</v>
      </c>
      <c r="AA19" s="332" t="s">
        <v>576</v>
      </c>
      <c r="AB19" s="332" t="s">
        <v>577</v>
      </c>
      <c r="AC19" s="331" t="s">
        <v>576</v>
      </c>
      <c r="AD19" s="331" t="s">
        <v>577</v>
      </c>
      <c r="AE19" s="332" t="s">
        <v>576</v>
      </c>
      <c r="AF19" s="332" t="s">
        <v>577</v>
      </c>
      <c r="AG19" s="332" t="s">
        <v>576</v>
      </c>
      <c r="AH19" s="332" t="s">
        <v>577</v>
      </c>
      <c r="AI19" s="331" t="s">
        <v>576</v>
      </c>
      <c r="AJ19" s="331" t="s">
        <v>577</v>
      </c>
      <c r="AK19" s="332" t="s">
        <v>576</v>
      </c>
      <c r="AL19" s="332" t="s">
        <v>577</v>
      </c>
      <c r="AM19" s="332" t="s">
        <v>576</v>
      </c>
      <c r="AN19" s="332" t="s">
        <v>577</v>
      </c>
    </row>
    <row r="20" spans="2:47" x14ac:dyDescent="0.45">
      <c r="B20" s="325" t="s">
        <v>2</v>
      </c>
      <c r="C20" s="326" t="e">
        <f>'Pricing Structure - All SKU'!#REF!</f>
        <v>#REF!</v>
      </c>
      <c r="D20" s="326" t="e">
        <f>'Pricing Structure - All SKU'!#REF!</f>
        <v>#REF!</v>
      </c>
      <c r="E20" s="326" t="e">
        <f>'Pricing Structure - All SKU'!#REF!</f>
        <v>#REF!</v>
      </c>
      <c r="F20" s="326" t="e">
        <f>'Pricing Structure - All SKU'!#REF!</f>
        <v>#REF!</v>
      </c>
      <c r="G20" s="326" t="e">
        <f>'Pricing Structure - All SKU'!#REF!</f>
        <v>#REF!</v>
      </c>
      <c r="H20" s="326" t="e">
        <f>'Pricing Structure - All SKU'!#REF!</f>
        <v>#REF!</v>
      </c>
      <c r="I20" s="326" t="e">
        <f t="shared" ref="I20:J22" si="17">C20-G20</f>
        <v>#REF!</v>
      </c>
      <c r="J20" s="326" t="e">
        <f t="shared" si="17"/>
        <v>#REF!</v>
      </c>
      <c r="K20" s="328" t="e">
        <f>I20/$C20</f>
        <v>#REF!</v>
      </c>
      <c r="L20" s="328" t="e">
        <f>J20/$D20</f>
        <v>#REF!</v>
      </c>
      <c r="M20" s="326" t="e">
        <f>'Pricing Structure - All SKU'!#REF!</f>
        <v>#REF!</v>
      </c>
      <c r="N20" s="326" t="e">
        <f>'Pricing Structure - All SKU'!#REF!</f>
        <v>#REF!</v>
      </c>
      <c r="O20" s="328" t="e">
        <f>M20/$C20</f>
        <v>#REF!</v>
      </c>
      <c r="P20" s="328" t="e">
        <f>N20/$D20</f>
        <v>#REF!</v>
      </c>
      <c r="Q20" s="326" t="e">
        <f>'Pricing Structure - All SKU'!#REF!</f>
        <v>#REF!</v>
      </c>
      <c r="R20" s="326" t="e">
        <f>'Pricing Structure - All SKU'!#REF!</f>
        <v>#REF!</v>
      </c>
      <c r="S20" s="328" t="e">
        <f>Q20/$C20</f>
        <v>#REF!</v>
      </c>
      <c r="T20" s="328" t="e">
        <f>R20/$D20</f>
        <v>#REF!</v>
      </c>
      <c r="U20" s="326" t="e">
        <f>'Pricing Structure - All SKU'!#REF!</f>
        <v>#REF!</v>
      </c>
      <c r="V20" s="326" t="e">
        <f>'Pricing Structure - All SKU'!#REF!</f>
        <v>#REF!</v>
      </c>
      <c r="W20" s="386" t="e">
        <f>U20/$C20</f>
        <v>#REF!</v>
      </c>
      <c r="X20" s="386" t="e">
        <f>V20/$D20</f>
        <v>#REF!</v>
      </c>
      <c r="Y20" s="326" t="e">
        <f t="shared" ref="Y20:Z22" si="18">I20-M20-Q20-U20</f>
        <v>#REF!</v>
      </c>
      <c r="Z20" s="326" t="e">
        <f t="shared" si="18"/>
        <v>#REF!</v>
      </c>
      <c r="AA20" s="328" t="e">
        <f>Y20/$C20</f>
        <v>#REF!</v>
      </c>
      <c r="AB20" s="328" t="e">
        <f>Z20/$D20</f>
        <v>#REF!</v>
      </c>
      <c r="AC20" s="326">
        <v>0</v>
      </c>
      <c r="AD20" s="326">
        <v>0</v>
      </c>
      <c r="AE20" s="326" t="e">
        <f t="shared" ref="AE20:AF22" si="19">Y20-AC20</f>
        <v>#REF!</v>
      </c>
      <c r="AF20" s="326" t="e">
        <f t="shared" si="19"/>
        <v>#REF!</v>
      </c>
      <c r="AG20" s="328" t="e">
        <f>AE20/$C20</f>
        <v>#REF!</v>
      </c>
      <c r="AH20" s="328" t="e">
        <f>AF20/$D20</f>
        <v>#REF!</v>
      </c>
      <c r="AI20" s="326" t="e">
        <f>'Pricing Structure - All SKU'!#REF!</f>
        <v>#REF!</v>
      </c>
      <c r="AJ20" s="326" t="e">
        <f>'Pricing Structure - All SKU'!#REF!</f>
        <v>#REF!</v>
      </c>
      <c r="AK20" s="326" t="e">
        <f t="shared" ref="AK20:AL22" si="20">AE20-AI20</f>
        <v>#REF!</v>
      </c>
      <c r="AL20" s="326" t="e">
        <f t="shared" si="20"/>
        <v>#REF!</v>
      </c>
      <c r="AM20" s="328" t="e">
        <f>AK20/$C20</f>
        <v>#REF!</v>
      </c>
      <c r="AN20" s="328" t="e">
        <f>AL20/$D20</f>
        <v>#REF!</v>
      </c>
    </row>
    <row r="21" spans="2:47" x14ac:dyDescent="0.45">
      <c r="B21" s="325" t="s">
        <v>3</v>
      </c>
      <c r="C21" s="326" t="e">
        <f>'Pricing Structure - All SKU'!#REF!</f>
        <v>#REF!</v>
      </c>
      <c r="D21" s="326" t="e">
        <f>'Pricing Structure - All SKU'!#REF!</f>
        <v>#REF!</v>
      </c>
      <c r="E21" s="326" t="e">
        <f>'Pricing Structure - All SKU'!#REF!</f>
        <v>#REF!</v>
      </c>
      <c r="F21" s="326" t="e">
        <f>'Pricing Structure - All SKU'!#REF!</f>
        <v>#REF!</v>
      </c>
      <c r="G21" s="326" t="e">
        <f>'Pricing Structure - All SKU'!#REF!</f>
        <v>#REF!</v>
      </c>
      <c r="H21" s="326" t="e">
        <f>'Pricing Structure - All SKU'!#REF!</f>
        <v>#REF!</v>
      </c>
      <c r="I21" s="326" t="e">
        <f t="shared" si="17"/>
        <v>#REF!</v>
      </c>
      <c r="J21" s="326" t="e">
        <f t="shared" si="17"/>
        <v>#REF!</v>
      </c>
      <c r="K21" s="328" t="e">
        <f>I21/$C21</f>
        <v>#REF!</v>
      </c>
      <c r="L21" s="328" t="e">
        <f>J21/$D21</f>
        <v>#REF!</v>
      </c>
      <c r="M21" s="326" t="e">
        <f>'Pricing Structure - All SKU'!#REF!</f>
        <v>#REF!</v>
      </c>
      <c r="N21" s="326" t="e">
        <f>'Pricing Structure - All SKU'!#REF!</f>
        <v>#REF!</v>
      </c>
      <c r="O21" s="328" t="e">
        <f>M21/$C21</f>
        <v>#REF!</v>
      </c>
      <c r="P21" s="328" t="e">
        <f>N21/$D21</f>
        <v>#REF!</v>
      </c>
      <c r="Q21" s="326" t="e">
        <f>'Pricing Structure - All SKU'!#REF!</f>
        <v>#REF!</v>
      </c>
      <c r="R21" s="326" t="e">
        <f>'Pricing Structure - All SKU'!#REF!</f>
        <v>#REF!</v>
      </c>
      <c r="S21" s="542" t="e">
        <f>AG21/$C21</f>
        <v>#REF!</v>
      </c>
      <c r="T21" s="328" t="e">
        <f>R21/$D21</f>
        <v>#REF!</v>
      </c>
      <c r="U21" s="326" t="e">
        <f>'Pricing Structure - All SKU'!#REF!</f>
        <v>#REF!</v>
      </c>
      <c r="V21" s="326" t="e">
        <f>'Pricing Structure - All SKU'!#REF!</f>
        <v>#REF!</v>
      </c>
      <c r="W21" s="386" t="e">
        <f>U21/$C21</f>
        <v>#REF!</v>
      </c>
      <c r="X21" s="386" t="e">
        <f>V21/$D21</f>
        <v>#REF!</v>
      </c>
      <c r="Y21" s="326" t="e">
        <f t="shared" si="18"/>
        <v>#REF!</v>
      </c>
      <c r="Z21" s="326" t="e">
        <f t="shared" si="18"/>
        <v>#REF!</v>
      </c>
      <c r="AA21" s="328" t="e">
        <f>Y21/$C21</f>
        <v>#REF!</v>
      </c>
      <c r="AB21" s="328" t="e">
        <f>Z21/$D21</f>
        <v>#REF!</v>
      </c>
      <c r="AC21" s="326">
        <v>0</v>
      </c>
      <c r="AD21" s="326">
        <v>0</v>
      </c>
      <c r="AE21" s="326" t="e">
        <f t="shared" si="19"/>
        <v>#REF!</v>
      </c>
      <c r="AF21" s="326" t="e">
        <f t="shared" si="19"/>
        <v>#REF!</v>
      </c>
      <c r="AG21" s="328" t="e">
        <f>AE21/$C21</f>
        <v>#REF!</v>
      </c>
      <c r="AH21" s="328" t="e">
        <f>AF21/$D21</f>
        <v>#REF!</v>
      </c>
      <c r="AI21" s="543" t="e">
        <f>'Pricing Structure - All SKU'!#REF!</f>
        <v>#REF!</v>
      </c>
      <c r="AJ21" s="326" t="e">
        <f>'Pricing Structure - All SKU'!#REF!</f>
        <v>#REF!</v>
      </c>
      <c r="AK21" s="326" t="e">
        <f t="shared" si="20"/>
        <v>#REF!</v>
      </c>
      <c r="AL21" s="326" t="e">
        <f t="shared" si="20"/>
        <v>#REF!</v>
      </c>
      <c r="AM21" s="328" t="e">
        <f>AK21/$C21</f>
        <v>#REF!</v>
      </c>
      <c r="AN21" s="328" t="e">
        <f>AL21/$D21</f>
        <v>#REF!</v>
      </c>
    </row>
    <row r="22" spans="2:47" x14ac:dyDescent="0.45">
      <c r="B22" s="325" t="s">
        <v>4</v>
      </c>
      <c r="C22" s="326" t="e">
        <f>'Pricing Structure - All SKU'!#REF!</f>
        <v>#REF!</v>
      </c>
      <c r="D22" s="326" t="e">
        <f>'Pricing Structure - All SKU'!#REF!</f>
        <v>#REF!</v>
      </c>
      <c r="E22" s="326" t="e">
        <f>'Pricing Structure - All SKU'!#REF!</f>
        <v>#REF!</v>
      </c>
      <c r="F22" s="326" t="e">
        <f>'Pricing Structure - All SKU'!#REF!</f>
        <v>#REF!</v>
      </c>
      <c r="G22" s="326" t="e">
        <f>'Pricing Structure - All SKU'!#REF!</f>
        <v>#REF!</v>
      </c>
      <c r="H22" s="326" t="e">
        <f>'Pricing Structure - All SKU'!#REF!</f>
        <v>#REF!</v>
      </c>
      <c r="I22" s="326" t="e">
        <f t="shared" si="17"/>
        <v>#REF!</v>
      </c>
      <c r="J22" s="326" t="e">
        <f t="shared" si="17"/>
        <v>#REF!</v>
      </c>
      <c r="K22" s="328" t="e">
        <f>I22/$C22</f>
        <v>#REF!</v>
      </c>
      <c r="L22" s="328" t="e">
        <f>J22/$D22</f>
        <v>#REF!</v>
      </c>
      <c r="M22" s="326" t="e">
        <f>'Pricing Structure - All SKU'!#REF!</f>
        <v>#REF!</v>
      </c>
      <c r="N22" s="326" t="e">
        <f>'Pricing Structure - All SKU'!#REF!</f>
        <v>#REF!</v>
      </c>
      <c r="O22" s="328" t="e">
        <f>M22/$C22</f>
        <v>#REF!</v>
      </c>
      <c r="P22" s="328" t="e">
        <f>N22/$D22</f>
        <v>#REF!</v>
      </c>
      <c r="Q22" s="326" t="e">
        <f>'Pricing Structure - All SKU'!#REF!</f>
        <v>#REF!</v>
      </c>
      <c r="R22" s="326" t="e">
        <f>'Pricing Structure - All SKU'!#REF!</f>
        <v>#REF!</v>
      </c>
      <c r="S22" s="328" t="e">
        <f>AG22/$C22</f>
        <v>#REF!</v>
      </c>
      <c r="T22" s="328" t="e">
        <f>R22/$D22</f>
        <v>#REF!</v>
      </c>
      <c r="U22" s="326" t="e">
        <f>'Pricing Structure - All SKU'!#REF!</f>
        <v>#REF!</v>
      </c>
      <c r="V22" s="326" t="e">
        <f>'Pricing Structure - All SKU'!#REF!</f>
        <v>#REF!</v>
      </c>
      <c r="W22" s="386" t="e">
        <f>U22/$C22</f>
        <v>#REF!</v>
      </c>
      <c r="X22" s="386" t="e">
        <f>V22/$D22</f>
        <v>#REF!</v>
      </c>
      <c r="Y22" s="326" t="e">
        <f t="shared" si="18"/>
        <v>#REF!</v>
      </c>
      <c r="Z22" s="326" t="e">
        <f t="shared" si="18"/>
        <v>#REF!</v>
      </c>
      <c r="AA22" s="328" t="e">
        <f>Y22/$C22</f>
        <v>#REF!</v>
      </c>
      <c r="AB22" s="328" t="e">
        <f>Z22/$D22</f>
        <v>#REF!</v>
      </c>
      <c r="AC22" s="326">
        <v>0</v>
      </c>
      <c r="AD22" s="326">
        <v>0</v>
      </c>
      <c r="AE22" s="326" t="e">
        <f t="shared" si="19"/>
        <v>#REF!</v>
      </c>
      <c r="AF22" s="326" t="e">
        <f t="shared" si="19"/>
        <v>#REF!</v>
      </c>
      <c r="AG22" s="328" t="e">
        <f>AE22/$C22</f>
        <v>#REF!</v>
      </c>
      <c r="AH22" s="328" t="e">
        <f>AF22/$D22</f>
        <v>#REF!</v>
      </c>
      <c r="AI22" s="326" t="e">
        <f>'Pricing Structure - All SKU'!#REF!</f>
        <v>#REF!</v>
      </c>
      <c r="AJ22" s="326" t="e">
        <f>'Pricing Structure - All SKU'!#REF!</f>
        <v>#REF!</v>
      </c>
      <c r="AK22" s="326" t="e">
        <f t="shared" si="20"/>
        <v>#REF!</v>
      </c>
      <c r="AL22" s="326" t="e">
        <f t="shared" si="20"/>
        <v>#REF!</v>
      </c>
      <c r="AM22" s="328" t="e">
        <f>AK22/$C22</f>
        <v>#REF!</v>
      </c>
      <c r="AN22" s="328" t="e">
        <f>AL22/$D22</f>
        <v>#REF!</v>
      </c>
    </row>
    <row r="23" spans="2:47" x14ac:dyDescent="0.45">
      <c r="C23" s="334"/>
    </row>
  </sheetData>
  <mergeCells count="53">
    <mergeCell ref="AE18:AF18"/>
    <mergeCell ref="AG18:AH18"/>
    <mergeCell ref="AI18:AJ18"/>
    <mergeCell ref="AK18:AL18"/>
    <mergeCell ref="AM18:AN18"/>
    <mergeCell ref="U18:V18"/>
    <mergeCell ref="W18:X18"/>
    <mergeCell ref="Y18:Z18"/>
    <mergeCell ref="AA18:AB18"/>
    <mergeCell ref="AC18:AD18"/>
    <mergeCell ref="M17:T17"/>
    <mergeCell ref="B18:B19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BG5:BH5"/>
    <mergeCell ref="AW5:AX5"/>
    <mergeCell ref="AM5:AN5"/>
    <mergeCell ref="AP5:AP6"/>
    <mergeCell ref="BA5:BB5"/>
    <mergeCell ref="BC5:BD5"/>
    <mergeCell ref="AQ5:AQ6"/>
    <mergeCell ref="AR5:AR6"/>
    <mergeCell ref="AY5:AZ5"/>
    <mergeCell ref="AS5:AT5"/>
    <mergeCell ref="AU5:AV5"/>
    <mergeCell ref="C5:D5"/>
    <mergeCell ref="E5:F5"/>
    <mergeCell ref="B5:B6"/>
    <mergeCell ref="G5:H5"/>
    <mergeCell ref="U5:V5"/>
    <mergeCell ref="K5:L5"/>
    <mergeCell ref="I5:J5"/>
    <mergeCell ref="M5:N5"/>
    <mergeCell ref="Q5:R5"/>
    <mergeCell ref="M4:T4"/>
    <mergeCell ref="O5:P5"/>
    <mergeCell ref="S5:T5"/>
    <mergeCell ref="W5:X5"/>
    <mergeCell ref="BE5:BF5"/>
    <mergeCell ref="AE5:AF5"/>
    <mergeCell ref="Y5:Z5"/>
    <mergeCell ref="AC5:AD5"/>
    <mergeCell ref="AI5:AJ5"/>
    <mergeCell ref="AK5:AL5"/>
    <mergeCell ref="AA5:AB5"/>
    <mergeCell ref="AG5:AH5"/>
  </mergeCells>
  <pageMargins left="0.7" right="0.7" top="0.75" bottom="0.75" header="0.3" footer="0.3"/>
  <pageSetup paperSize="9" orientation="portrait" verticalDpi="598" r:id="rId1"/>
  <customProperties>
    <customPr name="_pios_id" r:id="rId2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769-AA08-40FF-A4BC-EFAE7D4676A2}">
  <dimension ref="B2:BH30"/>
  <sheetViews>
    <sheetView showGridLines="0" topLeftCell="AP1" workbookViewId="0">
      <selection activeCell="AA9" sqref="AA9"/>
    </sheetView>
  </sheetViews>
  <sheetFormatPr defaultRowHeight="14.25" x14ac:dyDescent="0.45"/>
  <cols>
    <col min="1" max="1" width="5.59765625" customWidth="1"/>
    <col min="2" max="2" width="14" bestFit="1" customWidth="1"/>
    <col min="3" max="6" width="6" bestFit="1" customWidth="1"/>
    <col min="7" max="8" width="10.59765625" bestFit="1" customWidth="1"/>
    <col min="9" max="9" width="8.1328125" customWidth="1"/>
    <col min="10" max="10" width="9" customWidth="1"/>
    <col min="11" max="12" width="9.73046875" customWidth="1"/>
    <col min="13" max="14" width="6" bestFit="1" customWidth="1"/>
    <col min="15" max="16" width="9.1328125" bestFit="1" customWidth="1"/>
    <col min="17" max="18" width="6" bestFit="1" customWidth="1"/>
    <col min="19" max="20" width="8" customWidth="1"/>
    <col min="21" max="22" width="6" bestFit="1" customWidth="1"/>
    <col min="23" max="24" width="6.59765625" bestFit="1" customWidth="1"/>
    <col min="25" max="26" width="11.265625" bestFit="1" customWidth="1"/>
    <col min="27" max="28" width="14" bestFit="1" customWidth="1"/>
    <col min="29" max="30" width="5.1328125" bestFit="1" customWidth="1"/>
    <col min="31" max="32" width="11.265625" bestFit="1" customWidth="1"/>
    <col min="33" max="34" width="14" bestFit="1" customWidth="1"/>
    <col min="35" max="36" width="10.1328125" customWidth="1"/>
    <col min="37" max="38" width="11.265625" bestFit="1" customWidth="1"/>
    <col min="39" max="40" width="14" bestFit="1" customWidth="1"/>
    <col min="42" max="42" width="15" bestFit="1" customWidth="1"/>
    <col min="43" max="44" width="13.86328125" customWidth="1"/>
    <col min="45" max="47" width="13.265625" bestFit="1" customWidth="1"/>
    <col min="48" max="48" width="10.59765625" bestFit="1" customWidth="1"/>
    <col min="49" max="50" width="10.59765625" customWidth="1"/>
    <col min="51" max="56" width="10.59765625" bestFit="1" customWidth="1"/>
    <col min="57" max="57" width="11.59765625" bestFit="1" customWidth="1"/>
    <col min="58" max="58" width="10.59765625" customWidth="1"/>
    <col min="59" max="59" width="10.59765625" bestFit="1" customWidth="1"/>
    <col min="60" max="60" width="9" bestFit="1" customWidth="1"/>
  </cols>
  <sheetData>
    <row r="2" spans="2:60" x14ac:dyDescent="0.4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</row>
    <row r="3" spans="2:60" x14ac:dyDescent="0.45">
      <c r="B3" s="329" t="s">
        <v>562</v>
      </c>
      <c r="AP3" s="329" t="s">
        <v>563</v>
      </c>
    </row>
    <row r="4" spans="2:60" ht="21.75" customHeight="1" x14ac:dyDescent="0.45">
      <c r="M4" s="1379" t="s">
        <v>564</v>
      </c>
      <c r="N4" s="1380"/>
      <c r="O4" s="1380"/>
      <c r="P4" s="1380"/>
      <c r="Q4" s="1380"/>
      <c r="R4" s="1380"/>
      <c r="S4" s="1380"/>
      <c r="T4" s="1380"/>
      <c r="AS4" s="340">
        <v>2</v>
      </c>
      <c r="AT4" s="340">
        <v>3</v>
      </c>
      <c r="AU4" s="340">
        <v>4</v>
      </c>
      <c r="AV4" s="340">
        <v>5</v>
      </c>
      <c r="AW4" s="340">
        <v>6</v>
      </c>
      <c r="AX4" s="340">
        <v>7</v>
      </c>
      <c r="AY4" s="340">
        <v>8</v>
      </c>
      <c r="AZ4" s="340">
        <v>9</v>
      </c>
      <c r="BA4" s="340">
        <v>12</v>
      </c>
      <c r="BB4" s="340">
        <v>13</v>
      </c>
      <c r="BC4" s="340">
        <v>16</v>
      </c>
      <c r="BD4" s="340">
        <v>17</v>
      </c>
      <c r="BE4" s="340">
        <v>20</v>
      </c>
      <c r="BF4" s="340">
        <v>21</v>
      </c>
      <c r="BG4" s="340">
        <v>24</v>
      </c>
      <c r="BH4" s="340">
        <v>25</v>
      </c>
    </row>
    <row r="5" spans="2:60" s="330" customFormat="1" ht="21" customHeight="1" x14ac:dyDescent="0.45">
      <c r="B5" s="1381" t="s">
        <v>239</v>
      </c>
      <c r="C5" s="1381" t="s">
        <v>155</v>
      </c>
      <c r="D5" s="1381"/>
      <c r="E5" s="1381" t="s">
        <v>12</v>
      </c>
      <c r="F5" s="1381"/>
      <c r="G5" s="1382" t="s">
        <v>79</v>
      </c>
      <c r="H5" s="1383"/>
      <c r="I5" s="1385" t="s">
        <v>156</v>
      </c>
      <c r="J5" s="1385"/>
      <c r="K5" s="1385" t="s">
        <v>565</v>
      </c>
      <c r="L5" s="1385"/>
      <c r="M5" s="1381" t="s">
        <v>158</v>
      </c>
      <c r="N5" s="1381"/>
      <c r="O5" s="1381" t="s">
        <v>566</v>
      </c>
      <c r="P5" s="1381"/>
      <c r="Q5" s="1382" t="s">
        <v>161</v>
      </c>
      <c r="R5" s="1383"/>
      <c r="S5" s="1382" t="s">
        <v>567</v>
      </c>
      <c r="T5" s="1383"/>
      <c r="U5" s="1381" t="s">
        <v>78</v>
      </c>
      <c r="V5" s="1381"/>
      <c r="W5" s="1381" t="s">
        <v>568</v>
      </c>
      <c r="X5" s="1381"/>
      <c r="Y5" s="1385" t="s">
        <v>163</v>
      </c>
      <c r="Z5" s="1385"/>
      <c r="AA5" s="1385" t="s">
        <v>569</v>
      </c>
      <c r="AB5" s="1385"/>
      <c r="AC5" s="1381" t="s">
        <v>165</v>
      </c>
      <c r="AD5" s="1381"/>
      <c r="AE5" s="1385" t="s">
        <v>166</v>
      </c>
      <c r="AF5" s="1385"/>
      <c r="AG5" s="1385" t="s">
        <v>570</v>
      </c>
      <c r="AH5" s="1385"/>
      <c r="AI5" s="1381" t="s">
        <v>97</v>
      </c>
      <c r="AJ5" s="1381"/>
      <c r="AK5" s="1385" t="s">
        <v>168</v>
      </c>
      <c r="AL5" s="1385"/>
      <c r="AM5" s="1385" t="s">
        <v>571</v>
      </c>
      <c r="AN5" s="1385"/>
      <c r="AP5" s="1384" t="s">
        <v>239</v>
      </c>
      <c r="AQ5" s="1389" t="s">
        <v>258</v>
      </c>
      <c r="AR5" s="1389" t="s">
        <v>259</v>
      </c>
      <c r="AS5" s="1384" t="s">
        <v>572</v>
      </c>
      <c r="AT5" s="1384"/>
      <c r="AU5" s="1384" t="s">
        <v>573</v>
      </c>
      <c r="AV5" s="1384"/>
      <c r="AW5" s="1387" t="s">
        <v>79</v>
      </c>
      <c r="AX5" s="1388"/>
      <c r="AY5" s="1386" t="s">
        <v>156</v>
      </c>
      <c r="AZ5" s="1386"/>
      <c r="BA5" s="1384" t="s">
        <v>158</v>
      </c>
      <c r="BB5" s="1384"/>
      <c r="BC5" s="1384" t="s">
        <v>161</v>
      </c>
      <c r="BD5" s="1384"/>
      <c r="BE5" s="1384" t="s">
        <v>78</v>
      </c>
      <c r="BF5" s="1384"/>
      <c r="BG5" s="1386" t="s">
        <v>163</v>
      </c>
      <c r="BH5" s="1386"/>
    </row>
    <row r="6" spans="2:60" s="330" customFormat="1" ht="18" customHeight="1" x14ac:dyDescent="0.45">
      <c r="B6" s="1381"/>
      <c r="C6" s="331" t="s">
        <v>574</v>
      </c>
      <c r="D6" s="331" t="s">
        <v>575</v>
      </c>
      <c r="E6" s="331" t="s">
        <v>574</v>
      </c>
      <c r="F6" s="331" t="s">
        <v>575</v>
      </c>
      <c r="G6" s="331" t="s">
        <v>574</v>
      </c>
      <c r="H6" s="331" t="s">
        <v>575</v>
      </c>
      <c r="I6" s="332" t="s">
        <v>574</v>
      </c>
      <c r="J6" s="332" t="s">
        <v>575</v>
      </c>
      <c r="K6" s="332" t="s">
        <v>574</v>
      </c>
      <c r="L6" s="332" t="s">
        <v>575</v>
      </c>
      <c r="M6" s="331" t="s">
        <v>574</v>
      </c>
      <c r="N6" s="331" t="s">
        <v>575</v>
      </c>
      <c r="O6" s="331" t="s">
        <v>574</v>
      </c>
      <c r="P6" s="331" t="s">
        <v>575</v>
      </c>
      <c r="Q6" s="331" t="s">
        <v>574</v>
      </c>
      <c r="R6" s="331" t="s">
        <v>575</v>
      </c>
      <c r="S6" s="331" t="s">
        <v>574</v>
      </c>
      <c r="T6" s="331" t="s">
        <v>575</v>
      </c>
      <c r="U6" s="331" t="s">
        <v>574</v>
      </c>
      <c r="V6" s="331" t="s">
        <v>575</v>
      </c>
      <c r="W6" s="331" t="s">
        <v>574</v>
      </c>
      <c r="X6" s="331" t="s">
        <v>575</v>
      </c>
      <c r="Y6" s="332" t="s">
        <v>574</v>
      </c>
      <c r="Z6" s="332" t="s">
        <v>575</v>
      </c>
      <c r="AA6" s="332" t="s">
        <v>574</v>
      </c>
      <c r="AB6" s="332" t="s">
        <v>575</v>
      </c>
      <c r="AC6" s="331" t="s">
        <v>574</v>
      </c>
      <c r="AD6" s="331" t="s">
        <v>575</v>
      </c>
      <c r="AE6" s="332" t="s">
        <v>574</v>
      </c>
      <c r="AF6" s="332" t="s">
        <v>575</v>
      </c>
      <c r="AG6" s="332" t="s">
        <v>574</v>
      </c>
      <c r="AH6" s="332" t="s">
        <v>575</v>
      </c>
      <c r="AI6" s="331" t="s">
        <v>574</v>
      </c>
      <c r="AJ6" s="331" t="s">
        <v>575</v>
      </c>
      <c r="AK6" s="332" t="s">
        <v>574</v>
      </c>
      <c r="AL6" s="332" t="s">
        <v>575</v>
      </c>
      <c r="AM6" s="332" t="s">
        <v>574</v>
      </c>
      <c r="AN6" s="332" t="s">
        <v>575</v>
      </c>
      <c r="AP6" s="1384"/>
      <c r="AQ6" s="1389"/>
      <c r="AR6" s="1389"/>
      <c r="AS6" s="338" t="s">
        <v>576</v>
      </c>
      <c r="AT6" s="338" t="s">
        <v>577</v>
      </c>
      <c r="AU6" s="338" t="s">
        <v>576</v>
      </c>
      <c r="AV6" s="338" t="s">
        <v>577</v>
      </c>
      <c r="AW6" s="338" t="s">
        <v>576</v>
      </c>
      <c r="AX6" s="338" t="s">
        <v>577</v>
      </c>
      <c r="AY6" s="341" t="s">
        <v>576</v>
      </c>
      <c r="AZ6" s="341" t="s">
        <v>577</v>
      </c>
      <c r="BA6" s="338" t="s">
        <v>576</v>
      </c>
      <c r="BB6" s="338" t="s">
        <v>577</v>
      </c>
      <c r="BC6" s="338" t="s">
        <v>576</v>
      </c>
      <c r="BD6" s="338" t="s">
        <v>577</v>
      </c>
      <c r="BE6" s="338" t="s">
        <v>576</v>
      </c>
      <c r="BF6" s="338" t="s">
        <v>577</v>
      </c>
      <c r="BG6" s="341" t="s">
        <v>576</v>
      </c>
      <c r="BH6" s="341" t="s">
        <v>577</v>
      </c>
    </row>
    <row r="7" spans="2:60" x14ac:dyDescent="0.45">
      <c r="B7" s="325" t="s">
        <v>2</v>
      </c>
      <c r="C7" s="326">
        <f>'Pricing Structure - All SKU'!I$67</f>
        <v>5.3029958677685949</v>
      </c>
      <c r="D7" s="326" t="e">
        <f>'Pricing Structure - All SKU'!#REF!</f>
        <v>#REF!</v>
      </c>
      <c r="E7" s="326">
        <f>'Pricing Structure - All SKU'!$I60</f>
        <v>5.6</v>
      </c>
      <c r="F7" s="326" t="e">
        <f>'Pricing Structure - All SKU'!#REF!</f>
        <v>#REF!</v>
      </c>
      <c r="G7" s="326">
        <f>'Pricing Structure - All SKU'!$I74</f>
        <v>3.5328331199917153</v>
      </c>
      <c r="H7" s="326" t="e">
        <f>'Pricing Structure - All SKU'!#REF!</f>
        <v>#REF!</v>
      </c>
      <c r="I7" s="326">
        <f>'Pricing Structure - All SKU'!$I80</f>
        <v>1.7701627477768795</v>
      </c>
      <c r="J7" s="326" t="e">
        <f>'Pricing Structure - All SKU'!#REF!</f>
        <v>#REF!</v>
      </c>
      <c r="K7" s="328">
        <f>I7/$C7</f>
        <v>0.33380428571250842</v>
      </c>
      <c r="L7" s="328" t="e">
        <f>J7/$D7</f>
        <v>#REF!</v>
      </c>
      <c r="M7" s="326">
        <f>'Pricing Structure - All SKU'!$I57</f>
        <v>0.4233405501967577</v>
      </c>
      <c r="N7" s="326" t="e">
        <f>'Pricing Structure - All SKU'!#REF!</f>
        <v>#REF!</v>
      </c>
      <c r="O7" s="328">
        <f>M7/$C7</f>
        <v>7.9830450702367189E-2</v>
      </c>
      <c r="P7" s="328" t="e">
        <f>N7/$D7</f>
        <v>#REF!</v>
      </c>
      <c r="Q7" s="326">
        <f>'Pricing Structure - All SKU'!$I92</f>
        <v>0.82389228695456818</v>
      </c>
      <c r="R7" s="326" t="e">
        <f>'Pricing Structure - All SKU'!#REF!</f>
        <v>#REF!</v>
      </c>
      <c r="S7" s="328">
        <f>Q7/$C7</f>
        <v>0.15536355439425359</v>
      </c>
      <c r="T7" s="328" t="e">
        <f>R7/$D7</f>
        <v>#REF!</v>
      </c>
      <c r="U7" s="326">
        <f>'Pricing Structure - All SKU'!$I72</f>
        <v>0.11746356714276762</v>
      </c>
      <c r="V7" s="326" t="e">
        <f>'Pricing Structure - All SKU'!#REF!</f>
        <v>#REF!</v>
      </c>
      <c r="W7" s="386">
        <f>U7/$C7</f>
        <v>2.2150416495080955E-2</v>
      </c>
      <c r="X7" s="386" t="e">
        <f>V7/$D7</f>
        <v>#REF!</v>
      </c>
      <c r="Y7" s="326">
        <f>'Pricing Structure - All SKU'!$I93</f>
        <v>0.4054663434827861</v>
      </c>
      <c r="Z7" s="326" t="e">
        <f>'Pricing Structure - All SKU'!#REF!</f>
        <v>#REF!</v>
      </c>
      <c r="AA7" s="328">
        <f>Y7/$C7</f>
        <v>7.6459864120806686E-2</v>
      </c>
      <c r="AB7" s="328" t="e">
        <f>Z7/$D7</f>
        <v>#REF!</v>
      </c>
      <c r="AC7" s="326">
        <v>0</v>
      </c>
      <c r="AD7" s="326">
        <v>0</v>
      </c>
      <c r="AE7" s="326">
        <f>'Pricing Structure - All SKU'!$I93</f>
        <v>0.4054663434827861</v>
      </c>
      <c r="AF7" s="326" t="e">
        <f>'Pricing Structure - All SKU'!#REF!</f>
        <v>#REF!</v>
      </c>
      <c r="AG7" s="328">
        <f>AE7/$C7</f>
        <v>7.6459864120806686E-2</v>
      </c>
      <c r="AH7" s="328" t="e">
        <f>AF7/$D7</f>
        <v>#REF!</v>
      </c>
      <c r="AI7" s="326">
        <f>'Pricing Structure - All SKU'!$I96</f>
        <v>1.2913223140495868E-2</v>
      </c>
      <c r="AJ7" s="326" t="e">
        <f>'Pricing Structure - All SKU'!#REF!</f>
        <v>#REF!</v>
      </c>
      <c r="AK7" s="326">
        <f>'Pricing Structure - All SKU'!$I98</f>
        <v>0.39255312034229023</v>
      </c>
      <c r="AL7" s="326" t="e">
        <f>'Pricing Structure - All SKU'!#REF!</f>
        <v>#REF!</v>
      </c>
      <c r="AM7" s="328">
        <f>AK7/$C7</f>
        <v>7.4024783373529107E-2</v>
      </c>
      <c r="AN7" s="328" t="e">
        <f>AL7/$D7</f>
        <v>#REF!</v>
      </c>
      <c r="AP7" s="325" t="s">
        <v>2</v>
      </c>
      <c r="AQ7" s="335">
        <v>52362608</v>
      </c>
      <c r="AR7" s="336">
        <f>AQ7/RIGHT(AP7,2)</f>
        <v>1309065.2</v>
      </c>
      <c r="AS7" s="544" t="e">
        <f t="shared" ref="AS7:BH7" si="0">$AR7*VLOOKUP($AP7,$B$20:$AN$22,AS$4,0)</f>
        <v>#REF!</v>
      </c>
      <c r="AT7" s="337" t="e">
        <f t="shared" si="0"/>
        <v>#REF!</v>
      </c>
      <c r="AU7" s="337" t="e">
        <f t="shared" si="0"/>
        <v>#REF!</v>
      </c>
      <c r="AV7" s="337" t="e">
        <f t="shared" si="0"/>
        <v>#REF!</v>
      </c>
      <c r="AW7" s="337" t="e">
        <f t="shared" si="0"/>
        <v>#REF!</v>
      </c>
      <c r="AX7" s="337" t="e">
        <f t="shared" si="0"/>
        <v>#REF!</v>
      </c>
      <c r="AY7" s="337" t="e">
        <f t="shared" si="0"/>
        <v>#REF!</v>
      </c>
      <c r="AZ7" s="337" t="e">
        <f t="shared" si="0"/>
        <v>#REF!</v>
      </c>
      <c r="BA7" s="337" t="e">
        <f t="shared" si="0"/>
        <v>#REF!</v>
      </c>
      <c r="BB7" s="337" t="e">
        <f t="shared" si="0"/>
        <v>#REF!</v>
      </c>
      <c r="BC7" s="337" t="e">
        <f t="shared" si="0"/>
        <v>#REF!</v>
      </c>
      <c r="BD7" s="337" t="e">
        <f t="shared" si="0"/>
        <v>#REF!</v>
      </c>
      <c r="BE7" s="337" t="e">
        <f t="shared" si="0"/>
        <v>#REF!</v>
      </c>
      <c r="BF7" s="337" t="e">
        <f t="shared" si="0"/>
        <v>#REF!</v>
      </c>
      <c r="BG7" s="337" t="e">
        <f t="shared" si="0"/>
        <v>#REF!</v>
      </c>
      <c r="BH7" s="337" t="e">
        <f t="shared" si="0"/>
        <v>#REF!</v>
      </c>
    </row>
    <row r="8" spans="2:60" x14ac:dyDescent="0.45">
      <c r="B8" s="325" t="s">
        <v>3</v>
      </c>
      <c r="C8" s="326">
        <f>'Pricing Structure - All SKU'!V$67</f>
        <v>5.3125</v>
      </c>
      <c r="D8" s="326" t="e">
        <f>'Pricing Structure - All SKU'!#REF!</f>
        <v>#REF!</v>
      </c>
      <c r="E8" s="326">
        <f>'Pricing Structure - All SKU'!$V60</f>
        <v>5.6</v>
      </c>
      <c r="F8" s="326" t="e">
        <f>'Pricing Structure - All SKU'!#REF!</f>
        <v>#REF!</v>
      </c>
      <c r="G8" s="326">
        <f>'Pricing Structure - All SKU'!$V74</f>
        <v>3.9789362578498215</v>
      </c>
      <c r="H8" s="326" t="e">
        <f>'Pricing Structure - All SKU'!#REF!</f>
        <v>#REF!</v>
      </c>
      <c r="I8" s="326">
        <f>'Pricing Structure - All SKU'!$V80</f>
        <v>1.3335637421501785</v>
      </c>
      <c r="J8" s="326" t="e">
        <f>'Pricing Structure - All SKU'!#REF!</f>
        <v>#REF!</v>
      </c>
      <c r="K8" s="328">
        <f t="shared" ref="K8:K13" si="1">I8/$C8</f>
        <v>0.25102376322826891</v>
      </c>
      <c r="L8" s="328" t="e">
        <f t="shared" ref="L8:L13" si="2">J8/$D8</f>
        <v>#REF!</v>
      </c>
      <c r="M8" s="326">
        <f>'Pricing Structure - All SKU'!$V57</f>
        <v>0.4</v>
      </c>
      <c r="N8" s="326" t="e">
        <f>'Pricing Structure - All SKU'!#REF!</f>
        <v>#REF!</v>
      </c>
      <c r="O8" s="328">
        <f t="shared" ref="O8:O13" si="3">M8/$C8</f>
        <v>7.5294117647058831E-2</v>
      </c>
      <c r="P8" s="328" t="e">
        <f t="shared" ref="P8:P13" si="4">N8/$D8</f>
        <v>#REF!</v>
      </c>
      <c r="Q8" s="326">
        <f>'Pricing Structure - All SKU'!$V92</f>
        <v>0.55000000000000004</v>
      </c>
      <c r="R8" s="326" t="e">
        <f>'Pricing Structure - All SKU'!#REF!</f>
        <v>#REF!</v>
      </c>
      <c r="S8" s="328">
        <f t="shared" ref="S8:S13" si="5">Q8/$C8</f>
        <v>0.1035294117647059</v>
      </c>
      <c r="T8" s="328" t="e">
        <f t="shared" ref="T8:T13" si="6">R8/$D8</f>
        <v>#REF!</v>
      </c>
      <c r="U8" s="326">
        <f>'Pricing Structure - All SKU'!$V72</f>
        <v>0.11387218896785366</v>
      </c>
      <c r="V8" s="326" t="e">
        <f>'Pricing Structure - All SKU'!#REF!</f>
        <v>#REF!</v>
      </c>
      <c r="W8" s="386">
        <f t="shared" ref="W8:W13" si="7">U8/$C8</f>
        <v>2.1434764982184218E-2</v>
      </c>
      <c r="X8" s="386" t="e">
        <f t="shared" ref="X8:X13" si="8">V8/$D8</f>
        <v>#REF!</v>
      </c>
      <c r="Y8" s="326">
        <f>'Pricing Structure - All SKU'!$V93</f>
        <v>0.26969155318232474</v>
      </c>
      <c r="Z8" s="326" t="e">
        <f>'Pricing Structure - All SKU'!#REF!</f>
        <v>#REF!</v>
      </c>
      <c r="AA8" s="328">
        <f t="shared" ref="AA8:AA13" si="9">Y8/$C8</f>
        <v>5.0765468834319948E-2</v>
      </c>
      <c r="AB8" s="328" t="e">
        <f t="shared" ref="AB8:AB13" si="10">Z8/$D8</f>
        <v>#REF!</v>
      </c>
      <c r="AC8" s="326">
        <v>0</v>
      </c>
      <c r="AD8" s="326">
        <v>0</v>
      </c>
      <c r="AE8" s="326">
        <f>'Pricing Structure - All SKU'!$V93</f>
        <v>0.26969155318232474</v>
      </c>
      <c r="AF8" s="326" t="e">
        <f>'Pricing Structure - All SKU'!#REF!</f>
        <v>#REF!</v>
      </c>
      <c r="AG8" s="328">
        <f t="shared" ref="AG8:AG13" si="11">AE8/$C8</f>
        <v>5.0765468834319948E-2</v>
      </c>
      <c r="AH8" s="328" t="e">
        <f t="shared" ref="AH8:AH13" si="12">AF8/$D8</f>
        <v>#REF!</v>
      </c>
      <c r="AI8" s="326">
        <f>'Pricing Structure - All SKU'!$V96</f>
        <v>1.2370778908446879E-2</v>
      </c>
      <c r="AJ8" s="326" t="e">
        <f>'Pricing Structure - All SKU'!#REF!</f>
        <v>#REF!</v>
      </c>
      <c r="AK8" s="326">
        <f>'Pricing Structure - All SKU'!$V98</f>
        <v>0.25732077427387784</v>
      </c>
      <c r="AL8" s="326" t="e">
        <f>'Pricing Structure - All SKU'!#REF!</f>
        <v>#REF!</v>
      </c>
      <c r="AM8" s="328">
        <f t="shared" ref="AM8:AM13" si="13">AK8/$C8</f>
        <v>4.8436851628024066E-2</v>
      </c>
      <c r="AN8" s="328" t="e">
        <f t="shared" ref="AN8:AN13" si="14">AL8/$D8</f>
        <v>#REF!</v>
      </c>
      <c r="AP8" s="325" t="s">
        <v>3</v>
      </c>
      <c r="AQ8" s="335">
        <v>15760000</v>
      </c>
      <c r="AR8" s="336">
        <f t="shared" ref="AR8:AR13" si="15">AQ8/RIGHT(AP8,2)</f>
        <v>394000</v>
      </c>
      <c r="AS8" s="337" t="e">
        <f t="shared" ref="AS8:AZ9" si="16">$AR8*VLOOKUP($AP8,$B$20:$AN$22,AS$4,0)</f>
        <v>#REF!</v>
      </c>
      <c r="AT8" s="337" t="e">
        <f t="shared" si="16"/>
        <v>#REF!</v>
      </c>
      <c r="AU8" s="337" t="e">
        <f t="shared" si="16"/>
        <v>#REF!</v>
      </c>
      <c r="AV8" s="337" t="e">
        <f t="shared" si="16"/>
        <v>#REF!</v>
      </c>
      <c r="AW8" s="337" t="e">
        <f t="shared" si="16"/>
        <v>#REF!</v>
      </c>
      <c r="AX8" s="337" t="e">
        <f t="shared" si="16"/>
        <v>#REF!</v>
      </c>
      <c r="AY8" s="337" t="e">
        <f t="shared" si="16"/>
        <v>#REF!</v>
      </c>
      <c r="AZ8" s="337" t="e">
        <f t="shared" si="16"/>
        <v>#REF!</v>
      </c>
      <c r="BA8" s="337" t="e">
        <f t="shared" ref="BA8:BH9" si="17">$AR8*VLOOKUP($AP8,$B$20:$AN$22,BA$4,0)</f>
        <v>#REF!</v>
      </c>
      <c r="BB8" s="337" t="e">
        <f t="shared" si="17"/>
        <v>#REF!</v>
      </c>
      <c r="BC8" s="337" t="e">
        <f t="shared" si="17"/>
        <v>#REF!</v>
      </c>
      <c r="BD8" s="337" t="e">
        <f t="shared" si="17"/>
        <v>#REF!</v>
      </c>
      <c r="BE8" s="337" t="e">
        <f t="shared" si="17"/>
        <v>#REF!</v>
      </c>
      <c r="BF8" s="337" t="e">
        <f t="shared" si="17"/>
        <v>#REF!</v>
      </c>
      <c r="BG8" s="337" t="e">
        <f t="shared" si="17"/>
        <v>#REF!</v>
      </c>
      <c r="BH8" s="337" t="e">
        <f t="shared" si="17"/>
        <v>#REF!</v>
      </c>
    </row>
    <row r="9" spans="2:60" x14ac:dyDescent="0.45">
      <c r="B9" s="325" t="s">
        <v>4</v>
      </c>
      <c r="C9" s="326">
        <f>'Pricing Structure - All SKU'!AK$67</f>
        <v>5.2760563380281686</v>
      </c>
      <c r="D9" s="326" t="e">
        <f>'Pricing Structure - All SKU'!#REF!</f>
        <v>#REF!</v>
      </c>
      <c r="E9" s="326">
        <f>'Pricing Structure - All SKU'!$AK60</f>
        <v>5.6</v>
      </c>
      <c r="F9" s="326" t="e">
        <f>'Pricing Structure - All SKU'!#REF!</f>
        <v>#REF!</v>
      </c>
      <c r="G9" s="326">
        <f>'Pricing Structure - All SKU'!$AK74</f>
        <v>4.6419622608338678</v>
      </c>
      <c r="H9" s="326" t="e">
        <f>'Pricing Structure - All SKU'!#REF!</f>
        <v>#REF!</v>
      </c>
      <c r="I9" s="326">
        <f>'Pricing Structure - All SKU'!$AK80</f>
        <v>0.63409407719430089</v>
      </c>
      <c r="J9" s="326" t="e">
        <f>'Pricing Structure - All SKU'!#REF!</f>
        <v>#REF!</v>
      </c>
      <c r="K9" s="328">
        <f t="shared" si="1"/>
        <v>0.12018334084568971</v>
      </c>
      <c r="L9" s="328" t="e">
        <f t="shared" si="2"/>
        <v>#REF!</v>
      </c>
      <c r="M9" s="326">
        <f>'Pricing Structure - All SKU'!$AK57</f>
        <v>0.41917048281140379</v>
      </c>
      <c r="N9" s="326" t="e">
        <f>'Pricing Structure - All SKU'!#REF!</f>
        <v>#REF!</v>
      </c>
      <c r="O9" s="328">
        <f t="shared" si="3"/>
        <v>7.9447688947169443E-2</v>
      </c>
      <c r="P9" s="328" t="e">
        <f t="shared" si="4"/>
        <v>#REF!</v>
      </c>
      <c r="Q9" s="326">
        <f>'Pricing Structure - All SKU'!$AK92</f>
        <v>0</v>
      </c>
      <c r="R9" s="326" t="e">
        <f>'Pricing Structure - All SKU'!#REF!</f>
        <v>#REF!</v>
      </c>
      <c r="S9" s="328">
        <f t="shared" si="5"/>
        <v>0</v>
      </c>
      <c r="T9" s="328" t="e">
        <f t="shared" si="6"/>
        <v>#REF!</v>
      </c>
      <c r="U9" s="326">
        <f>'Pricing Structure - All SKU'!$AK72</f>
        <v>0.12764335387095693</v>
      </c>
      <c r="V9" s="326" t="e">
        <f>'Pricing Structure - All SKU'!#REF!</f>
        <v>#REF!</v>
      </c>
      <c r="W9" s="386">
        <f t="shared" si="7"/>
        <v>2.4192947476876517E-2</v>
      </c>
      <c r="X9" s="386" t="e">
        <f t="shared" si="8"/>
        <v>#REF!</v>
      </c>
      <c r="Y9" s="326">
        <f>'Pricing Structure - All SKU'!$AK93</f>
        <v>8.7280240511940166E-2</v>
      </c>
      <c r="Z9" s="326" t="e">
        <f>'Pricing Structure - All SKU'!#REF!</f>
        <v>#REF!</v>
      </c>
      <c r="AA9" s="328">
        <f t="shared" si="9"/>
        <v>1.654270442164376E-2</v>
      </c>
      <c r="AB9" s="328" t="e">
        <f t="shared" si="10"/>
        <v>#REF!</v>
      </c>
      <c r="AC9" s="326">
        <v>0</v>
      </c>
      <c r="AD9" s="326">
        <v>0</v>
      </c>
      <c r="AE9" s="326">
        <f>'Pricing Structure - All SKU'!$AK93</f>
        <v>8.7280240511940166E-2</v>
      </c>
      <c r="AF9" s="326" t="e">
        <f>'Pricing Structure - All SKU'!#REF!</f>
        <v>#REF!</v>
      </c>
      <c r="AG9" s="328">
        <f t="shared" si="11"/>
        <v>1.654270442164376E-2</v>
      </c>
      <c r="AH9" s="328" t="e">
        <f t="shared" si="12"/>
        <v>#REF!</v>
      </c>
      <c r="AI9" s="326">
        <f>'Pricing Structure - All SKU'!$AK96</f>
        <v>4.3035268257127994E-2</v>
      </c>
      <c r="AJ9" s="326" t="e">
        <f>'Pricing Structure - All SKU'!#REF!</f>
        <v>#REF!</v>
      </c>
      <c r="AK9" s="326">
        <f>'Pricing Structure - All SKU'!$AK98</f>
        <v>4.4244972254812172E-2</v>
      </c>
      <c r="AL9" s="326" t="e">
        <f>'Pricing Structure - All SKU'!#REF!</f>
        <v>#REF!</v>
      </c>
      <c r="AM9" s="328">
        <f t="shared" si="13"/>
        <v>8.3859931395933382E-3</v>
      </c>
      <c r="AN9" s="328" t="e">
        <f t="shared" si="14"/>
        <v>#REF!</v>
      </c>
      <c r="AP9" s="325" t="s">
        <v>4</v>
      </c>
      <c r="AQ9" s="335">
        <v>40532932</v>
      </c>
      <c r="AR9" s="336">
        <f t="shared" si="15"/>
        <v>1013323.3</v>
      </c>
      <c r="AS9" s="337" t="e">
        <f t="shared" si="16"/>
        <v>#REF!</v>
      </c>
      <c r="AT9" s="337" t="e">
        <f t="shared" si="16"/>
        <v>#REF!</v>
      </c>
      <c r="AU9" s="337" t="e">
        <f t="shared" si="16"/>
        <v>#REF!</v>
      </c>
      <c r="AV9" s="337" t="e">
        <f t="shared" si="16"/>
        <v>#REF!</v>
      </c>
      <c r="AW9" s="337" t="e">
        <f t="shared" si="16"/>
        <v>#REF!</v>
      </c>
      <c r="AX9" s="337" t="e">
        <f t="shared" si="16"/>
        <v>#REF!</v>
      </c>
      <c r="AY9" s="337" t="e">
        <f t="shared" si="16"/>
        <v>#REF!</v>
      </c>
      <c r="AZ9" s="337" t="e">
        <f t="shared" si="16"/>
        <v>#REF!</v>
      </c>
      <c r="BA9" s="337" t="e">
        <f t="shared" si="17"/>
        <v>#REF!</v>
      </c>
      <c r="BB9" s="337" t="e">
        <f t="shared" si="17"/>
        <v>#REF!</v>
      </c>
      <c r="BC9" s="337" t="e">
        <f t="shared" si="17"/>
        <v>#REF!</v>
      </c>
      <c r="BD9" s="337" t="e">
        <f t="shared" si="17"/>
        <v>#REF!</v>
      </c>
      <c r="BE9" s="337" t="e">
        <f t="shared" si="17"/>
        <v>#REF!</v>
      </c>
      <c r="BF9" s="337" t="e">
        <f t="shared" si="17"/>
        <v>#REF!</v>
      </c>
      <c r="BG9" s="337" t="e">
        <f t="shared" si="17"/>
        <v>#REF!</v>
      </c>
      <c r="BH9" s="337" t="e">
        <f t="shared" si="17"/>
        <v>#REF!</v>
      </c>
    </row>
    <row r="10" spans="2:60" x14ac:dyDescent="0.45">
      <c r="B10" s="325" t="s">
        <v>135</v>
      </c>
      <c r="C10" s="326">
        <f>'Pricing Structure - All SKU'!AZ$67</f>
        <v>5.3029958677685949</v>
      </c>
      <c r="D10" s="326">
        <f>'Pricing Structure - All SKU'!BB$67</f>
        <v>5.74</v>
      </c>
      <c r="E10" s="326">
        <f>'Pricing Structure - All SKU'!$AZ60</f>
        <v>5.6</v>
      </c>
      <c r="F10" s="326">
        <f>'Pricing Structure - All SKU'!$BB60</f>
        <v>6.0499173553719015</v>
      </c>
      <c r="G10" s="326">
        <f>'Pricing Structure - All SKU'!$AZ74</f>
        <v>3.6780718455339394</v>
      </c>
      <c r="H10" s="326">
        <f>'Pricing Structure - All SKU'!$BB74</f>
        <v>3.8793986956299698</v>
      </c>
      <c r="I10" s="326">
        <f>'Pricing Structure - All SKU'!$AZ80</f>
        <v>1.6249240222346555</v>
      </c>
      <c r="J10" s="326">
        <f>'Pricing Structure - All SKU'!$BB80</f>
        <v>1.8606013043700305</v>
      </c>
      <c r="K10" s="328">
        <f t="shared" si="1"/>
        <v>0.30641623390862538</v>
      </c>
      <c r="L10" s="328">
        <f t="shared" si="2"/>
        <v>0.32414656870558023</v>
      </c>
      <c r="M10" s="326">
        <f>'Pricing Structure - All SKU'!$AZ57</f>
        <v>0.4</v>
      </c>
      <c r="N10" s="326">
        <f>'Pricing Structure - All SKU'!$BB57</f>
        <v>0.8</v>
      </c>
      <c r="O10" s="328">
        <f t="shared" si="3"/>
        <v>7.5429061227670319E-2</v>
      </c>
      <c r="P10" s="328">
        <f t="shared" si="4"/>
        <v>0.13937282229965156</v>
      </c>
      <c r="Q10" s="326">
        <f>'Pricing Structure - All SKU'!$AZ92</f>
        <v>0</v>
      </c>
      <c r="R10" s="326">
        <f>'Pricing Structure - All SKU'!$BB92</f>
        <v>0</v>
      </c>
      <c r="S10" s="328">
        <f t="shared" si="5"/>
        <v>0</v>
      </c>
      <c r="T10" s="328">
        <f t="shared" si="6"/>
        <v>0</v>
      </c>
      <c r="U10" s="326">
        <f>'Pricing Structure - All SKU'!$AZ72</f>
        <v>0.11589149097772992</v>
      </c>
      <c r="V10" s="326">
        <f>'Pricing Structure - All SKU'!$BB72</f>
        <v>0.11762591747095878</v>
      </c>
      <c r="W10" s="386">
        <f t="shared" si="7"/>
        <v>2.185396592181298E-2</v>
      </c>
      <c r="X10" s="386">
        <f t="shared" si="8"/>
        <v>2.0492320116891772E-2</v>
      </c>
      <c r="Y10" s="326">
        <f>'Pricing Structure - All SKU'!$AZ93</f>
        <v>1.1090325312569256</v>
      </c>
      <c r="Z10" s="326">
        <f>'Pricing Structure - All SKU'!$BB93</f>
        <v>0.94297538689907168</v>
      </c>
      <c r="AA10" s="328">
        <f t="shared" si="9"/>
        <v>0.20913320675914207</v>
      </c>
      <c r="AB10" s="328">
        <f t="shared" si="10"/>
        <v>0.16428142628903686</v>
      </c>
      <c r="AC10" s="326">
        <v>0</v>
      </c>
      <c r="AD10" s="326">
        <v>0</v>
      </c>
      <c r="AE10" s="326">
        <f>'Pricing Structure - All SKU'!$AZ93</f>
        <v>1.1090325312569256</v>
      </c>
      <c r="AF10" s="326">
        <f>'Pricing Structure - All SKU'!$BB93</f>
        <v>0.94297538689907168</v>
      </c>
      <c r="AG10" s="328">
        <f t="shared" si="11"/>
        <v>0.20913320675914207</v>
      </c>
      <c r="AH10" s="328">
        <f t="shared" si="12"/>
        <v>0.16428142628903686</v>
      </c>
      <c r="AI10" s="326">
        <f>'Pricing Structure - All SKU'!$AZ96</f>
        <v>6.2609197834233169E-3</v>
      </c>
      <c r="AJ10" s="326">
        <f>'Pricing Structure - All SKU'!$BB96</f>
        <v>-6.6523033570725504E-3</v>
      </c>
      <c r="AK10" s="326">
        <f>'Pricing Structure - All SKU'!$AZ98</f>
        <v>1.1027716114735022</v>
      </c>
      <c r="AL10" s="326">
        <f>'Pricing Structure - All SKU'!$BB98</f>
        <v>0.94962769025614424</v>
      </c>
      <c r="AM10" s="328">
        <f t="shared" si="13"/>
        <v>0.20795256850492863</v>
      </c>
      <c r="AN10" s="328">
        <f t="shared" si="14"/>
        <v>0.16544036415612268</v>
      </c>
      <c r="AP10" s="325" t="s">
        <v>135</v>
      </c>
      <c r="AQ10" s="335">
        <v>396000</v>
      </c>
      <c r="AR10" s="336">
        <f t="shared" si="15"/>
        <v>9900</v>
      </c>
      <c r="AS10" s="337">
        <f t="shared" ref="AS10:BH13" si="18">$AR10*VLOOKUP($AP10,$B$7:$AN$13,AS$4,0)</f>
        <v>52499.659090909088</v>
      </c>
      <c r="AT10" s="337">
        <f t="shared" si="18"/>
        <v>56826</v>
      </c>
      <c r="AU10" s="337">
        <f t="shared" si="18"/>
        <v>55440</v>
      </c>
      <c r="AV10" s="337">
        <f t="shared" si="18"/>
        <v>59894.181818181823</v>
      </c>
      <c r="AW10" s="337">
        <f t="shared" si="18"/>
        <v>36412.911270785997</v>
      </c>
      <c r="AX10" s="337">
        <f t="shared" si="18"/>
        <v>38406.047086736704</v>
      </c>
      <c r="AY10" s="337">
        <f t="shared" si="18"/>
        <v>16086.74782012309</v>
      </c>
      <c r="AZ10" s="337">
        <f t="shared" si="18"/>
        <v>18419.952913263303</v>
      </c>
      <c r="BA10" s="337">
        <f t="shared" si="18"/>
        <v>3960</v>
      </c>
      <c r="BB10" s="337">
        <f t="shared" si="18"/>
        <v>7920</v>
      </c>
      <c r="BC10" s="337">
        <f t="shared" si="18"/>
        <v>0</v>
      </c>
      <c r="BD10" s="337">
        <f t="shared" si="18"/>
        <v>0</v>
      </c>
      <c r="BE10" s="337">
        <f t="shared" si="18"/>
        <v>1147.3257606795262</v>
      </c>
      <c r="BF10" s="337">
        <f t="shared" si="18"/>
        <v>1164.4965829624919</v>
      </c>
      <c r="BG10" s="337">
        <f t="shared" si="18"/>
        <v>10979.422059443563</v>
      </c>
      <c r="BH10" s="337">
        <f t="shared" si="18"/>
        <v>9335.456330300809</v>
      </c>
    </row>
    <row r="11" spans="2:60" x14ac:dyDescent="0.45">
      <c r="B11" s="325" t="s">
        <v>136</v>
      </c>
      <c r="C11" s="326">
        <f>'Pricing Structure - All SKU'!BL$67</f>
        <v>4.4800000000000004</v>
      </c>
      <c r="D11" s="326">
        <f>'Pricing Structure - All SKU'!BN$67</f>
        <v>4.4800000000000004</v>
      </c>
      <c r="E11" s="326">
        <f>'Pricing Structure - All SKU'!$BL60</f>
        <v>4.7229149797570855</v>
      </c>
      <c r="F11" s="326">
        <f>'Pricing Structure - All SKU'!$BN60</f>
        <v>4.7229149797570855</v>
      </c>
      <c r="G11" s="326">
        <f>'Pricing Structure - All SKU'!$BL74</f>
        <v>2.5589374277120687</v>
      </c>
      <c r="H11" s="326">
        <f>'Pricing Structure - All SKU'!$BN74</f>
        <v>2.6298188999574554</v>
      </c>
      <c r="I11" s="326">
        <f>'Pricing Structure - All SKU'!$BL80</f>
        <v>1.9210625722879318</v>
      </c>
      <c r="J11" s="326">
        <f>'Pricing Structure - All SKU'!$BN80</f>
        <v>1.850181100042545</v>
      </c>
      <c r="K11" s="328">
        <f t="shared" si="1"/>
        <v>0.42880860988569902</v>
      </c>
      <c r="L11" s="328">
        <f t="shared" si="2"/>
        <v>0.41298685268806806</v>
      </c>
      <c r="M11" s="326">
        <f>'Pricing Structure - All SKU'!$BL57</f>
        <v>1.02</v>
      </c>
      <c r="N11" s="326">
        <f>'Pricing Structure - All SKU'!$BN57</f>
        <v>1.02</v>
      </c>
      <c r="O11" s="328">
        <f t="shared" si="3"/>
        <v>0.22767857142857142</v>
      </c>
      <c r="P11" s="328">
        <f t="shared" si="4"/>
        <v>0.22767857142857142</v>
      </c>
      <c r="Q11" s="326">
        <f>'Pricing Structure - All SKU'!$BL92</f>
        <v>0</v>
      </c>
      <c r="R11" s="326">
        <f>'Pricing Structure - All SKU'!$BN92</f>
        <v>0</v>
      </c>
      <c r="S11" s="328">
        <f t="shared" si="5"/>
        <v>0</v>
      </c>
      <c r="T11" s="328">
        <f t="shared" si="6"/>
        <v>0</v>
      </c>
      <c r="U11" s="326">
        <f>'Pricing Structure - All SKU'!$BL72</f>
        <v>4.0963349019381999E-2</v>
      </c>
      <c r="V11" s="326">
        <f>'Pricing Structure - All SKU'!$BN72</f>
        <v>3.6717557545812539E-2</v>
      </c>
      <c r="W11" s="386">
        <f t="shared" si="7"/>
        <v>9.1436046918263389E-3</v>
      </c>
      <c r="X11" s="386">
        <f t="shared" si="8"/>
        <v>8.195883380761727E-3</v>
      </c>
      <c r="Y11" s="326">
        <f>'Pricing Structure - All SKU'!$BL93</f>
        <v>0.86009922326854971</v>
      </c>
      <c r="Z11" s="326">
        <f>'Pricing Structure - All SKU'!$BN93</f>
        <v>0.79346354249673245</v>
      </c>
      <c r="AA11" s="328">
        <f t="shared" si="9"/>
        <v>0.19198643376530125</v>
      </c>
      <c r="AB11" s="328">
        <f t="shared" si="10"/>
        <v>0.1771123978787349</v>
      </c>
      <c r="AC11" s="326">
        <v>0</v>
      </c>
      <c r="AD11" s="326">
        <v>0</v>
      </c>
      <c r="AE11" s="326">
        <f>'Pricing Structure - All SKU'!$BL93</f>
        <v>0.86009922326854971</v>
      </c>
      <c r="AF11" s="326">
        <f>'Pricing Structure - All SKU'!$BN93</f>
        <v>0.79346354249673245</v>
      </c>
      <c r="AG11" s="328">
        <f t="shared" si="11"/>
        <v>0.19198643376530125</v>
      </c>
      <c r="AH11" s="328">
        <f t="shared" si="12"/>
        <v>0.1771123978787349</v>
      </c>
      <c r="AI11" s="326">
        <f>'Pricing Structure - All SKU'!$BL96</f>
        <v>2.279212446263364E-2</v>
      </c>
      <c r="AJ11" s="326">
        <f>'Pricing Structure - All SKU'!$BN96</f>
        <v>2.6609260805193446E-2</v>
      </c>
      <c r="AK11" s="326">
        <f>'Pricing Structure - All SKU'!$BL98</f>
        <v>0.83730709880591603</v>
      </c>
      <c r="AL11" s="326">
        <f>'Pricing Structure - All SKU'!$BN98</f>
        <v>0.76685428169153902</v>
      </c>
      <c r="AM11" s="328">
        <f t="shared" si="13"/>
        <v>0.18689890598346337</v>
      </c>
      <c r="AN11" s="328">
        <f t="shared" si="14"/>
        <v>0.17117283073471851</v>
      </c>
      <c r="AP11" s="325" t="s">
        <v>136</v>
      </c>
      <c r="AQ11" s="335">
        <v>172800</v>
      </c>
      <c r="AR11" s="336">
        <f t="shared" si="15"/>
        <v>14400</v>
      </c>
      <c r="AS11" s="337">
        <f t="shared" si="18"/>
        <v>64512.000000000007</v>
      </c>
      <c r="AT11" s="337">
        <f t="shared" si="18"/>
        <v>64512.000000000007</v>
      </c>
      <c r="AU11" s="337">
        <f t="shared" si="18"/>
        <v>68009.975708502025</v>
      </c>
      <c r="AV11" s="337">
        <f t="shared" si="18"/>
        <v>68009.975708502025</v>
      </c>
      <c r="AW11" s="337">
        <f t="shared" si="18"/>
        <v>36848.698959053792</v>
      </c>
      <c r="AX11" s="337">
        <f t="shared" si="18"/>
        <v>37869.39215938736</v>
      </c>
      <c r="AY11" s="337">
        <f t="shared" si="18"/>
        <v>27663.301040946219</v>
      </c>
      <c r="AZ11" s="337">
        <f t="shared" si="18"/>
        <v>26642.607840612647</v>
      </c>
      <c r="BA11" s="337">
        <f t="shared" si="18"/>
        <v>14688</v>
      </c>
      <c r="BB11" s="337">
        <f t="shared" si="18"/>
        <v>14688</v>
      </c>
      <c r="BC11" s="337">
        <f t="shared" si="18"/>
        <v>0</v>
      </c>
      <c r="BD11" s="337">
        <f t="shared" si="18"/>
        <v>0</v>
      </c>
      <c r="BE11" s="337">
        <f t="shared" si="18"/>
        <v>589.87222587910082</v>
      </c>
      <c r="BF11" s="337">
        <f t="shared" si="18"/>
        <v>528.73282865970054</v>
      </c>
      <c r="BG11" s="337">
        <f t="shared" si="18"/>
        <v>12385.428815067116</v>
      </c>
      <c r="BH11" s="337">
        <f t="shared" si="18"/>
        <v>11425.875011952947</v>
      </c>
    </row>
    <row r="12" spans="2:60" x14ac:dyDescent="0.45">
      <c r="B12" s="325" t="s">
        <v>137</v>
      </c>
      <c r="C12" s="326">
        <f>'Pricing Structure - All SKU'!BT$67</f>
        <v>4.13</v>
      </c>
      <c r="D12" s="326">
        <f>'Pricing Structure - All SKU'!BV$67</f>
        <v>4.13</v>
      </c>
      <c r="E12" s="326">
        <f>'Pricing Structure - All SKU'!$BT60</f>
        <v>4.38</v>
      </c>
      <c r="F12" s="326">
        <f>'Pricing Structure - All SKU'!$BV60</f>
        <v>4.38</v>
      </c>
      <c r="G12" s="326">
        <f>'Pricing Structure - All SKU'!$BT74</f>
        <v>2.7993673271680408</v>
      </c>
      <c r="H12" s="326">
        <f>'Pricing Structure - All SKU'!$BV74</f>
        <v>2.8488108224378426</v>
      </c>
      <c r="I12" s="326">
        <f>'Pricing Structure - All SKU'!$BT80</f>
        <v>1.3306326728319591</v>
      </c>
      <c r="J12" s="326">
        <f>'Pricing Structure - All SKU'!$BV80</f>
        <v>1.2811891775621573</v>
      </c>
      <c r="K12" s="328">
        <f t="shared" si="1"/>
        <v>0.32218708785277461</v>
      </c>
      <c r="L12" s="328">
        <f t="shared" si="2"/>
        <v>0.31021529723054658</v>
      </c>
      <c r="M12" s="326">
        <f>'Pricing Structure - All SKU'!$BT57</f>
        <v>1.03</v>
      </c>
      <c r="N12" s="326">
        <f>'Pricing Structure - All SKU'!$BV57</f>
        <v>1.03</v>
      </c>
      <c r="O12" s="328">
        <f t="shared" si="3"/>
        <v>0.2493946731234867</v>
      </c>
      <c r="P12" s="328">
        <f t="shared" si="4"/>
        <v>0.2493946731234867</v>
      </c>
      <c r="Q12" s="326">
        <f>'Pricing Structure - All SKU'!$BT92</f>
        <v>0</v>
      </c>
      <c r="R12" s="326">
        <f>'Pricing Structure - All SKU'!$BV92</f>
        <v>0</v>
      </c>
      <c r="S12" s="328">
        <f t="shared" si="5"/>
        <v>0</v>
      </c>
      <c r="T12" s="328">
        <f t="shared" si="6"/>
        <v>0</v>
      </c>
      <c r="U12" s="326">
        <f>'Pricing Structure - All SKU'!$BT72</f>
        <v>4.1738561002834872E-2</v>
      </c>
      <c r="V12" s="326">
        <f>'Pricing Structure - All SKU'!$BV72</f>
        <v>3.839133734496946E-2</v>
      </c>
      <c r="W12" s="386">
        <f t="shared" si="7"/>
        <v>1.0106189104802633E-2</v>
      </c>
      <c r="X12" s="386">
        <f t="shared" si="8"/>
        <v>9.2957233280797722E-3</v>
      </c>
      <c r="Y12" s="326">
        <f>'Pricing Structure - All SKU'!$BT93</f>
        <v>0.2588941118291242</v>
      </c>
      <c r="Z12" s="326">
        <f>'Pricing Structure - All SKU'!$BV93</f>
        <v>0.21279784021718784</v>
      </c>
      <c r="AA12" s="328">
        <f t="shared" si="9"/>
        <v>6.2686225624485281E-2</v>
      </c>
      <c r="AB12" s="328">
        <f t="shared" si="10"/>
        <v>5.1524900778980108E-2</v>
      </c>
      <c r="AC12" s="326">
        <v>0</v>
      </c>
      <c r="AD12" s="326">
        <v>0</v>
      </c>
      <c r="AE12" s="326">
        <f>'Pricing Structure - All SKU'!$BT93</f>
        <v>0.2588941118291242</v>
      </c>
      <c r="AF12" s="326">
        <f>'Pricing Structure - All SKU'!$BV93</f>
        <v>0.21279784021718784</v>
      </c>
      <c r="AG12" s="328">
        <f t="shared" si="11"/>
        <v>6.2686225624485281E-2</v>
      </c>
      <c r="AH12" s="328">
        <f t="shared" si="12"/>
        <v>5.1524900778980108E-2</v>
      </c>
      <c r="AI12" s="326">
        <f>'Pricing Structure - All SKU'!$BT96</f>
        <v>4.0847469077679888E-2</v>
      </c>
      <c r="AJ12" s="326">
        <f>'Pricing Structure - All SKU'!$BV96</f>
        <v>8.2140919624958519E-3</v>
      </c>
      <c r="AK12" s="326">
        <f>'Pricing Structure - All SKU'!$BT98</f>
        <v>0.21804664275144431</v>
      </c>
      <c r="AL12" s="326">
        <f>'Pricing Structure - All SKU'!$BV98</f>
        <v>0.204583748254692</v>
      </c>
      <c r="AM12" s="328">
        <f t="shared" si="13"/>
        <v>5.2795797276378766E-2</v>
      </c>
      <c r="AN12" s="328">
        <f t="shared" si="14"/>
        <v>4.9536016526559805E-2</v>
      </c>
      <c r="AP12" s="325" t="s">
        <v>137</v>
      </c>
      <c r="AQ12" s="335">
        <v>489600</v>
      </c>
      <c r="AR12" s="336">
        <f t="shared" si="15"/>
        <v>40800</v>
      </c>
      <c r="AS12" s="337">
        <f t="shared" si="18"/>
        <v>168504</v>
      </c>
      <c r="AT12" s="337">
        <f t="shared" si="18"/>
        <v>168504</v>
      </c>
      <c r="AU12" s="337">
        <f t="shared" si="18"/>
        <v>178704</v>
      </c>
      <c r="AV12" s="337">
        <f t="shared" si="18"/>
        <v>178704</v>
      </c>
      <c r="AW12" s="337">
        <f t="shared" si="18"/>
        <v>114214.18694845606</v>
      </c>
      <c r="AX12" s="337">
        <f t="shared" si="18"/>
        <v>116231.48155546398</v>
      </c>
      <c r="AY12" s="337">
        <f t="shared" si="18"/>
        <v>54289.813051543933</v>
      </c>
      <c r="AZ12" s="337">
        <f t="shared" si="18"/>
        <v>52272.518444536021</v>
      </c>
      <c r="BA12" s="337">
        <f t="shared" si="18"/>
        <v>42024</v>
      </c>
      <c r="BB12" s="337">
        <f t="shared" si="18"/>
        <v>42024</v>
      </c>
      <c r="BC12" s="337">
        <f t="shared" si="18"/>
        <v>0</v>
      </c>
      <c r="BD12" s="337">
        <f t="shared" si="18"/>
        <v>0</v>
      </c>
      <c r="BE12" s="337">
        <f t="shared" si="18"/>
        <v>1702.9332889156628</v>
      </c>
      <c r="BF12" s="337">
        <f t="shared" si="18"/>
        <v>1566.3665636747539</v>
      </c>
      <c r="BG12" s="337">
        <f t="shared" si="18"/>
        <v>10562.879762628267</v>
      </c>
      <c r="BH12" s="337">
        <f t="shared" si="18"/>
        <v>8682.1518808612636</v>
      </c>
    </row>
    <row r="13" spans="2:60" x14ac:dyDescent="0.45">
      <c r="B13" s="325" t="s">
        <v>138</v>
      </c>
      <c r="C13" s="326">
        <f>'Pricing Structure - All SKU'!CB$67</f>
        <v>6.05</v>
      </c>
      <c r="D13" s="326">
        <f>'Pricing Structure - All SKU'!CD$67</f>
        <v>6.05</v>
      </c>
      <c r="E13" s="326">
        <f>'Pricing Structure - All SKU'!$CB60</f>
        <v>6.55</v>
      </c>
      <c r="F13" s="326">
        <f>'Pricing Structure - All SKU'!$CD60</f>
        <v>6.55</v>
      </c>
      <c r="G13" s="326">
        <f>'Pricing Structure - All SKU'!$CB74</f>
        <v>4.2400614119853959</v>
      </c>
      <c r="H13" s="326">
        <f>'Pricing Structure - All SKU'!$CD74</f>
        <v>3.940935632656354</v>
      </c>
      <c r="I13" s="326">
        <f>'Pricing Structure - All SKU'!$CB80</f>
        <v>1.8099385880146039</v>
      </c>
      <c r="J13" s="326">
        <f>'Pricing Structure - All SKU'!$CD80</f>
        <v>2.1090643673436458</v>
      </c>
      <c r="K13" s="328">
        <f t="shared" si="1"/>
        <v>0.29916340297762051</v>
      </c>
      <c r="L13" s="328">
        <f t="shared" si="2"/>
        <v>0.34860568055266872</v>
      </c>
      <c r="M13" s="326">
        <f>'Pricing Structure - All SKU'!$CB57</f>
        <v>1.8</v>
      </c>
      <c r="N13" s="326">
        <f>'Pricing Structure - All SKU'!$CD57</f>
        <v>1.8</v>
      </c>
      <c r="O13" s="328">
        <f t="shared" si="3"/>
        <v>0.2975206611570248</v>
      </c>
      <c r="P13" s="328">
        <f t="shared" si="4"/>
        <v>0.2975206611570248</v>
      </c>
      <c r="Q13" s="326">
        <f>'Pricing Structure - All SKU'!$CB92</f>
        <v>0</v>
      </c>
      <c r="R13" s="326">
        <f>'Pricing Structure - All SKU'!$CD92</f>
        <v>0</v>
      </c>
      <c r="S13" s="328">
        <f t="shared" si="5"/>
        <v>0</v>
      </c>
      <c r="T13" s="328">
        <f t="shared" si="6"/>
        <v>0</v>
      </c>
      <c r="U13" s="326">
        <f>'Pricing Structure - All SKU'!$CB72</f>
        <v>8.2051203600768244E-2</v>
      </c>
      <c r="V13" s="326">
        <f>'Pricing Structure - All SKU'!$CD72</f>
        <v>8.2651303781473659E-2</v>
      </c>
      <c r="W13" s="386">
        <f t="shared" si="7"/>
        <v>1.3562182413350124E-2</v>
      </c>
      <c r="X13" s="386">
        <f t="shared" si="8"/>
        <v>1.3661372525863415E-2</v>
      </c>
      <c r="Y13" s="326">
        <f>'Pricing Structure - All SKU'!$CB93</f>
        <v>-7.2112615586164344E-2</v>
      </c>
      <c r="Z13" s="326">
        <f>'Pricing Structure - All SKU'!$CD93</f>
        <v>0.22641306356217206</v>
      </c>
      <c r="AA13" s="328">
        <f t="shared" si="9"/>
        <v>-1.1919440592754437E-2</v>
      </c>
      <c r="AB13" s="328">
        <f t="shared" si="10"/>
        <v>3.7423646869780509E-2</v>
      </c>
      <c r="AC13" s="326">
        <v>0</v>
      </c>
      <c r="AD13" s="326">
        <v>0</v>
      </c>
      <c r="AE13" s="326">
        <f>'Pricing Structure - All SKU'!$CB93</f>
        <v>-7.2112615586164344E-2</v>
      </c>
      <c r="AF13" s="326">
        <f>'Pricing Structure - All SKU'!$CD93</f>
        <v>0.22641306356217206</v>
      </c>
      <c r="AG13" s="328">
        <f t="shared" si="11"/>
        <v>-1.1919440592754437E-2</v>
      </c>
      <c r="AH13" s="328">
        <f t="shared" si="12"/>
        <v>3.7423646869780509E-2</v>
      </c>
      <c r="AI13" s="326">
        <f>'Pricing Structure - All SKU'!$CB96</f>
        <v>-0.16745422726092626</v>
      </c>
      <c r="AJ13" s="326">
        <f>'Pricing Structure - All SKU'!$CD96</f>
        <v>-0.23874773976562963</v>
      </c>
      <c r="AK13" s="326">
        <f>'Pricing Structure - All SKU'!$CB98</f>
        <v>9.534161167476192E-2</v>
      </c>
      <c r="AL13" s="326">
        <f>'Pricing Structure - All SKU'!$CD98</f>
        <v>0.46516080332780169</v>
      </c>
      <c r="AM13" s="328">
        <f t="shared" si="13"/>
        <v>1.5758944078473044E-2</v>
      </c>
      <c r="AN13" s="328">
        <f t="shared" si="14"/>
        <v>7.6886083194677962E-2</v>
      </c>
      <c r="AP13" s="325" t="s">
        <v>138</v>
      </c>
      <c r="AQ13" s="335">
        <v>288000</v>
      </c>
      <c r="AR13" s="336">
        <f t="shared" si="15"/>
        <v>12000</v>
      </c>
      <c r="AS13" s="337">
        <f t="shared" si="18"/>
        <v>72600</v>
      </c>
      <c r="AT13" s="337">
        <f t="shared" si="18"/>
        <v>72600</v>
      </c>
      <c r="AU13" s="337">
        <f t="shared" si="18"/>
        <v>78600</v>
      </c>
      <c r="AV13" s="337">
        <f t="shared" si="18"/>
        <v>78600</v>
      </c>
      <c r="AW13" s="337">
        <f t="shared" si="18"/>
        <v>50880.736943824748</v>
      </c>
      <c r="AX13" s="337">
        <f t="shared" si="18"/>
        <v>47291.227591876246</v>
      </c>
      <c r="AY13" s="337">
        <f t="shared" si="18"/>
        <v>21719.263056175248</v>
      </c>
      <c r="AZ13" s="337">
        <f t="shared" si="18"/>
        <v>25308.77240812375</v>
      </c>
      <c r="BA13" s="337">
        <f t="shared" si="18"/>
        <v>21600</v>
      </c>
      <c r="BB13" s="337">
        <f t="shared" si="18"/>
        <v>21600</v>
      </c>
      <c r="BC13" s="337">
        <f t="shared" si="18"/>
        <v>0</v>
      </c>
      <c r="BD13" s="337">
        <f t="shared" si="18"/>
        <v>0</v>
      </c>
      <c r="BE13" s="337">
        <f t="shared" si="18"/>
        <v>984.61444320921896</v>
      </c>
      <c r="BF13" s="337">
        <f t="shared" si="18"/>
        <v>991.81564537768395</v>
      </c>
      <c r="BG13" s="337">
        <f t="shared" si="18"/>
        <v>-865.35138703397217</v>
      </c>
      <c r="BH13" s="337">
        <f t="shared" si="18"/>
        <v>2716.9567627460647</v>
      </c>
    </row>
    <row r="14" spans="2:60" x14ac:dyDescent="0.45">
      <c r="C14" s="327"/>
      <c r="D14" s="327"/>
      <c r="AP14" s="333" t="s">
        <v>201</v>
      </c>
      <c r="AQ14" s="339">
        <f>SUM(AQ7:AQ13)</f>
        <v>110001940</v>
      </c>
      <c r="AR14" s="339">
        <f t="shared" ref="AR14:BD14" si="19">SUM(AR7:AR13)</f>
        <v>2793488.5</v>
      </c>
      <c r="AS14" s="339" t="e">
        <f t="shared" si="19"/>
        <v>#REF!</v>
      </c>
      <c r="AT14" s="339" t="e">
        <f t="shared" si="19"/>
        <v>#REF!</v>
      </c>
      <c r="AU14" s="339" t="e">
        <f t="shared" si="19"/>
        <v>#REF!</v>
      </c>
      <c r="AV14" s="339" t="e">
        <f t="shared" si="19"/>
        <v>#REF!</v>
      </c>
      <c r="AW14" s="339" t="e">
        <f>SUM(AW7:AW13)</f>
        <v>#REF!</v>
      </c>
      <c r="AX14" s="339" t="e">
        <f>SUM(AX7:AX13)</f>
        <v>#REF!</v>
      </c>
      <c r="AY14" s="342" t="e">
        <f t="shared" si="19"/>
        <v>#REF!</v>
      </c>
      <c r="AZ14" s="342" t="e">
        <f t="shared" si="19"/>
        <v>#REF!</v>
      </c>
      <c r="BA14" s="339" t="e">
        <f t="shared" si="19"/>
        <v>#REF!</v>
      </c>
      <c r="BB14" s="339" t="e">
        <f t="shared" si="19"/>
        <v>#REF!</v>
      </c>
      <c r="BC14" s="339" t="e">
        <f t="shared" si="19"/>
        <v>#REF!</v>
      </c>
      <c r="BD14" s="339" t="e">
        <f t="shared" si="19"/>
        <v>#REF!</v>
      </c>
      <c r="BE14" s="339" t="e">
        <f>SUM(BE7:BE13)</f>
        <v>#REF!</v>
      </c>
      <c r="BF14" s="339" t="e">
        <f>SUM(BF7:BF13)</f>
        <v>#REF!</v>
      </c>
      <c r="BG14" s="342" t="e">
        <f>SUM(BG7:BG13)</f>
        <v>#REF!</v>
      </c>
      <c r="BH14" s="342" t="e">
        <f>SUM(BH7:BH13)</f>
        <v>#REF!</v>
      </c>
    </row>
    <row r="16" spans="2:60" x14ac:dyDescent="0.45">
      <c r="AS16" s="344">
        <f>AR7</f>
        <v>1309065.2</v>
      </c>
      <c r="AT16" s="521">
        <f>C7</f>
        <v>5.3029958677685949</v>
      </c>
      <c r="AU16" s="344">
        <f>AT16*AS16</f>
        <v>6941967.3462396692</v>
      </c>
    </row>
    <row r="17" spans="2:47" x14ac:dyDescent="0.45">
      <c r="M17" s="1384" t="s">
        <v>564</v>
      </c>
      <c r="N17" s="1384"/>
      <c r="O17" s="1384"/>
      <c r="P17" s="1384"/>
      <c r="Q17" s="1384"/>
      <c r="R17" s="1384"/>
      <c r="S17" s="1384"/>
      <c r="T17" s="1384"/>
    </row>
    <row r="18" spans="2:47" x14ac:dyDescent="0.45">
      <c r="B18" s="1381" t="s">
        <v>239</v>
      </c>
      <c r="C18" s="1381" t="s">
        <v>155</v>
      </c>
      <c r="D18" s="1381"/>
      <c r="E18" s="1381" t="s">
        <v>12</v>
      </c>
      <c r="F18" s="1381"/>
      <c r="G18" s="1382" t="s">
        <v>79</v>
      </c>
      <c r="H18" s="1383"/>
      <c r="I18" s="1385" t="s">
        <v>156</v>
      </c>
      <c r="J18" s="1385"/>
      <c r="K18" s="1385" t="s">
        <v>565</v>
      </c>
      <c r="L18" s="1385"/>
      <c r="M18" s="1381" t="s">
        <v>158</v>
      </c>
      <c r="N18" s="1381"/>
      <c r="O18" s="1381" t="s">
        <v>566</v>
      </c>
      <c r="P18" s="1381"/>
      <c r="Q18" s="1382" t="s">
        <v>161</v>
      </c>
      <c r="R18" s="1383"/>
      <c r="S18" s="1382" t="s">
        <v>567</v>
      </c>
      <c r="T18" s="1383"/>
      <c r="U18" s="1381" t="s">
        <v>78</v>
      </c>
      <c r="V18" s="1381"/>
      <c r="W18" s="1381" t="s">
        <v>568</v>
      </c>
      <c r="X18" s="1381"/>
      <c r="Y18" s="1385" t="s">
        <v>163</v>
      </c>
      <c r="Z18" s="1385"/>
      <c r="AA18" s="1385" t="s">
        <v>569</v>
      </c>
      <c r="AB18" s="1385"/>
      <c r="AC18" s="1381" t="s">
        <v>165</v>
      </c>
      <c r="AD18" s="1381"/>
      <c r="AE18" s="1385" t="s">
        <v>166</v>
      </c>
      <c r="AF18" s="1385"/>
      <c r="AG18" s="1385" t="s">
        <v>570</v>
      </c>
      <c r="AH18" s="1385"/>
      <c r="AI18" s="1381" t="s">
        <v>97</v>
      </c>
      <c r="AJ18" s="1381"/>
      <c r="AK18" s="1385" t="s">
        <v>168</v>
      </c>
      <c r="AL18" s="1385"/>
      <c r="AM18" s="1385" t="s">
        <v>571</v>
      </c>
      <c r="AN18" s="1385"/>
      <c r="AS18" s="423">
        <f>AQ7/40</f>
        <v>1309065.2</v>
      </c>
      <c r="AT18" s="521">
        <v>5.3</v>
      </c>
      <c r="AU18" s="344">
        <f>AT18*AS18</f>
        <v>6938045.5599999996</v>
      </c>
    </row>
    <row r="19" spans="2:47" x14ac:dyDescent="0.45">
      <c r="B19" s="1381"/>
      <c r="C19" s="331" t="s">
        <v>576</v>
      </c>
      <c r="D19" s="331" t="s">
        <v>577</v>
      </c>
      <c r="E19" s="331" t="s">
        <v>576</v>
      </c>
      <c r="F19" s="331" t="s">
        <v>577</v>
      </c>
      <c r="G19" s="331" t="s">
        <v>576</v>
      </c>
      <c r="H19" s="331" t="s">
        <v>577</v>
      </c>
      <c r="I19" s="332" t="s">
        <v>576</v>
      </c>
      <c r="J19" s="332" t="s">
        <v>577</v>
      </c>
      <c r="K19" s="332" t="s">
        <v>576</v>
      </c>
      <c r="L19" s="332" t="s">
        <v>577</v>
      </c>
      <c r="M19" s="331" t="s">
        <v>576</v>
      </c>
      <c r="N19" s="331" t="s">
        <v>577</v>
      </c>
      <c r="O19" s="331" t="s">
        <v>576</v>
      </c>
      <c r="P19" s="331" t="s">
        <v>577</v>
      </c>
      <c r="Q19" s="331" t="s">
        <v>576</v>
      </c>
      <c r="R19" s="331" t="s">
        <v>577</v>
      </c>
      <c r="S19" s="331" t="s">
        <v>576</v>
      </c>
      <c r="T19" s="331" t="s">
        <v>577</v>
      </c>
      <c r="U19" s="331" t="s">
        <v>576</v>
      </c>
      <c r="V19" s="331" t="s">
        <v>577</v>
      </c>
      <c r="W19" s="331" t="s">
        <v>574</v>
      </c>
      <c r="X19" s="331" t="s">
        <v>575</v>
      </c>
      <c r="Y19" s="332" t="s">
        <v>576</v>
      </c>
      <c r="Z19" s="332" t="s">
        <v>577</v>
      </c>
      <c r="AA19" s="332" t="s">
        <v>576</v>
      </c>
      <c r="AB19" s="332" t="s">
        <v>577</v>
      </c>
      <c r="AC19" s="331" t="s">
        <v>576</v>
      </c>
      <c r="AD19" s="331" t="s">
        <v>577</v>
      </c>
      <c r="AE19" s="332" t="s">
        <v>576</v>
      </c>
      <c r="AF19" s="332" t="s">
        <v>577</v>
      </c>
      <c r="AG19" s="332" t="s">
        <v>576</v>
      </c>
      <c r="AH19" s="332" t="s">
        <v>577</v>
      </c>
      <c r="AI19" s="331" t="s">
        <v>576</v>
      </c>
      <c r="AJ19" s="331" t="s">
        <v>577</v>
      </c>
      <c r="AK19" s="332" t="s">
        <v>576</v>
      </c>
      <c r="AL19" s="332" t="s">
        <v>577</v>
      </c>
      <c r="AM19" s="332" t="s">
        <v>576</v>
      </c>
      <c r="AN19" s="332" t="s">
        <v>577</v>
      </c>
    </row>
    <row r="20" spans="2:47" x14ac:dyDescent="0.45">
      <c r="B20" s="325" t="s">
        <v>2</v>
      </c>
      <c r="C20" s="326" t="e">
        <f>'Pricing Structure - All SKU'!#REF!</f>
        <v>#REF!</v>
      </c>
      <c r="D20" s="326" t="e">
        <f>'Pricing Structure - All SKU'!#REF!</f>
        <v>#REF!</v>
      </c>
      <c r="E20" s="326" t="e">
        <f>'Pricing Structure - All SKU'!#REF!</f>
        <v>#REF!</v>
      </c>
      <c r="F20" s="326" t="e">
        <f>'Pricing Structure - All SKU'!#REF!</f>
        <v>#REF!</v>
      </c>
      <c r="G20" s="326" t="e">
        <f>'Pricing Structure - All SKU'!#REF!</f>
        <v>#REF!</v>
      </c>
      <c r="H20" s="326" t="e">
        <f>'Pricing Structure - All SKU'!#REF!</f>
        <v>#REF!</v>
      </c>
      <c r="I20" s="326" t="e">
        <f t="shared" ref="I20:J22" si="20">C20-G20</f>
        <v>#REF!</v>
      </c>
      <c r="J20" s="326" t="e">
        <f t="shared" si="20"/>
        <v>#REF!</v>
      </c>
      <c r="K20" s="328" t="e">
        <f>I20/$C20</f>
        <v>#REF!</v>
      </c>
      <c r="L20" s="328" t="e">
        <f>J20/$D20</f>
        <v>#REF!</v>
      </c>
      <c r="M20" s="326" t="e">
        <f>'Pricing Structure - All SKU'!#REF!</f>
        <v>#REF!</v>
      </c>
      <c r="N20" s="326" t="e">
        <f>'Pricing Structure - All SKU'!#REF!</f>
        <v>#REF!</v>
      </c>
      <c r="O20" s="328" t="e">
        <f>M20/$C20</f>
        <v>#REF!</v>
      </c>
      <c r="P20" s="328" t="e">
        <f>N20/$D20</f>
        <v>#REF!</v>
      </c>
      <c r="Q20" s="326" t="e">
        <f>'Pricing Structure - All SKU'!#REF!</f>
        <v>#REF!</v>
      </c>
      <c r="R20" s="326" t="e">
        <f>'Pricing Structure - All SKU'!#REF!</f>
        <v>#REF!</v>
      </c>
      <c r="S20" s="328" t="e">
        <f>Q20/$C20</f>
        <v>#REF!</v>
      </c>
      <c r="T20" s="328" t="e">
        <f>R20/$D20</f>
        <v>#REF!</v>
      </c>
      <c r="U20" s="326" t="e">
        <f>'Pricing Structure - All SKU'!#REF!</f>
        <v>#REF!</v>
      </c>
      <c r="V20" s="326" t="e">
        <f>'Pricing Structure - All SKU'!#REF!</f>
        <v>#REF!</v>
      </c>
      <c r="W20" s="386" t="e">
        <f>U20/$C20</f>
        <v>#REF!</v>
      </c>
      <c r="X20" s="386" t="e">
        <f>V20/$D20</f>
        <v>#REF!</v>
      </c>
      <c r="Y20" s="326" t="e">
        <f t="shared" ref="Y20:Z22" si="21">I20-M20-Q20-U20</f>
        <v>#REF!</v>
      </c>
      <c r="Z20" s="326" t="e">
        <f t="shared" si="21"/>
        <v>#REF!</v>
      </c>
      <c r="AA20" s="328" t="e">
        <f>Y20/$C20</f>
        <v>#REF!</v>
      </c>
      <c r="AB20" s="328" t="e">
        <f>Z20/$D20</f>
        <v>#REF!</v>
      </c>
      <c r="AC20" s="326">
        <v>0</v>
      </c>
      <c r="AD20" s="326">
        <v>0</v>
      </c>
      <c r="AE20" s="326" t="e">
        <f t="shared" ref="AE20:AF22" si="22">Y20-AC20</f>
        <v>#REF!</v>
      </c>
      <c r="AF20" s="326" t="e">
        <f t="shared" si="22"/>
        <v>#REF!</v>
      </c>
      <c r="AG20" s="328" t="e">
        <f>AE20/$C20</f>
        <v>#REF!</v>
      </c>
      <c r="AH20" s="328" t="e">
        <f>AF20/$D20</f>
        <v>#REF!</v>
      </c>
      <c r="AI20" s="326" t="e">
        <f>'Pricing Structure - All SKU'!#REF!</f>
        <v>#REF!</v>
      </c>
      <c r="AJ20" s="326" t="e">
        <f>'Pricing Structure - All SKU'!#REF!</f>
        <v>#REF!</v>
      </c>
      <c r="AK20" s="326" t="e">
        <f t="shared" ref="AK20:AL22" si="23">AE20-AI20</f>
        <v>#REF!</v>
      </c>
      <c r="AL20" s="326" t="e">
        <f t="shared" si="23"/>
        <v>#REF!</v>
      </c>
      <c r="AM20" s="328" t="e">
        <f>AK20/$C20</f>
        <v>#REF!</v>
      </c>
      <c r="AN20" s="328" t="e">
        <f>AL20/$D20</f>
        <v>#REF!</v>
      </c>
    </row>
    <row r="21" spans="2:47" x14ac:dyDescent="0.45">
      <c r="B21" s="325" t="s">
        <v>3</v>
      </c>
      <c r="C21" s="326" t="e">
        <f>'Pricing Structure - All SKU'!#REF!</f>
        <v>#REF!</v>
      </c>
      <c r="D21" s="326" t="e">
        <f>'Pricing Structure - All SKU'!#REF!</f>
        <v>#REF!</v>
      </c>
      <c r="E21" s="326" t="e">
        <f>'Pricing Structure - All SKU'!#REF!</f>
        <v>#REF!</v>
      </c>
      <c r="F21" s="326" t="e">
        <f>'Pricing Structure - All SKU'!#REF!</f>
        <v>#REF!</v>
      </c>
      <c r="G21" s="326" t="e">
        <f>'Pricing Structure - All SKU'!#REF!</f>
        <v>#REF!</v>
      </c>
      <c r="H21" s="326" t="e">
        <f>'Pricing Structure - All SKU'!#REF!</f>
        <v>#REF!</v>
      </c>
      <c r="I21" s="326" t="e">
        <f t="shared" si="20"/>
        <v>#REF!</v>
      </c>
      <c r="J21" s="326" t="e">
        <f t="shared" si="20"/>
        <v>#REF!</v>
      </c>
      <c r="K21" s="328" t="e">
        <f>I21/$C21</f>
        <v>#REF!</v>
      </c>
      <c r="L21" s="328" t="e">
        <f>J21/$D21</f>
        <v>#REF!</v>
      </c>
      <c r="M21" s="326" t="e">
        <f>'Pricing Structure - All SKU'!#REF!</f>
        <v>#REF!</v>
      </c>
      <c r="N21" s="326" t="e">
        <f>'Pricing Structure - All SKU'!#REF!</f>
        <v>#REF!</v>
      </c>
      <c r="O21" s="328" t="e">
        <f>M21/$C21</f>
        <v>#REF!</v>
      </c>
      <c r="P21" s="328" t="e">
        <f>N21/$D21</f>
        <v>#REF!</v>
      </c>
      <c r="Q21" s="326" t="e">
        <f>'Pricing Structure - All SKU'!#REF!</f>
        <v>#REF!</v>
      </c>
      <c r="R21" s="326" t="e">
        <f>'Pricing Structure - All SKU'!#REF!</f>
        <v>#REF!</v>
      </c>
      <c r="S21" s="542" t="e">
        <f>AG21/$C21</f>
        <v>#REF!</v>
      </c>
      <c r="T21" s="328" t="e">
        <f>R21/$D21</f>
        <v>#REF!</v>
      </c>
      <c r="U21" s="326" t="e">
        <f>'Pricing Structure - All SKU'!#REF!</f>
        <v>#REF!</v>
      </c>
      <c r="V21" s="326" t="e">
        <f>'Pricing Structure - All SKU'!#REF!</f>
        <v>#REF!</v>
      </c>
      <c r="W21" s="386" t="e">
        <f>U21/$C21</f>
        <v>#REF!</v>
      </c>
      <c r="X21" s="386" t="e">
        <f>V21/$D21</f>
        <v>#REF!</v>
      </c>
      <c r="Y21" s="326" t="e">
        <f t="shared" si="21"/>
        <v>#REF!</v>
      </c>
      <c r="Z21" s="326" t="e">
        <f t="shared" si="21"/>
        <v>#REF!</v>
      </c>
      <c r="AA21" s="328" t="e">
        <f>Y21/$C21</f>
        <v>#REF!</v>
      </c>
      <c r="AB21" s="328" t="e">
        <f>Z21/$D21</f>
        <v>#REF!</v>
      </c>
      <c r="AC21" s="326">
        <v>0</v>
      </c>
      <c r="AD21" s="326">
        <v>0</v>
      </c>
      <c r="AE21" s="326" t="e">
        <f t="shared" si="22"/>
        <v>#REF!</v>
      </c>
      <c r="AF21" s="326" t="e">
        <f t="shared" si="22"/>
        <v>#REF!</v>
      </c>
      <c r="AG21" s="328" t="e">
        <f>AE21/$C21</f>
        <v>#REF!</v>
      </c>
      <c r="AH21" s="328" t="e">
        <f>AF21/$D21</f>
        <v>#REF!</v>
      </c>
      <c r="AI21" s="543" t="e">
        <f>'Pricing Structure - All SKU'!#REF!</f>
        <v>#REF!</v>
      </c>
      <c r="AJ21" s="326" t="e">
        <f>'Pricing Structure - All SKU'!#REF!</f>
        <v>#REF!</v>
      </c>
      <c r="AK21" s="326" t="e">
        <f t="shared" si="23"/>
        <v>#REF!</v>
      </c>
      <c r="AL21" s="326" t="e">
        <f t="shared" si="23"/>
        <v>#REF!</v>
      </c>
      <c r="AM21" s="328" t="e">
        <f>AK21/$C21</f>
        <v>#REF!</v>
      </c>
      <c r="AN21" s="328" t="e">
        <f>AL21/$D21</f>
        <v>#REF!</v>
      </c>
    </row>
    <row r="22" spans="2:47" x14ac:dyDescent="0.45">
      <c r="B22" s="325" t="s">
        <v>4</v>
      </c>
      <c r="C22" s="326" t="e">
        <f>'Pricing Structure - All SKU'!#REF!</f>
        <v>#REF!</v>
      </c>
      <c r="D22" s="326" t="e">
        <f>'Pricing Structure - All SKU'!#REF!</f>
        <v>#REF!</v>
      </c>
      <c r="E22" s="326" t="e">
        <f>'Pricing Structure - All SKU'!#REF!</f>
        <v>#REF!</v>
      </c>
      <c r="F22" s="326" t="e">
        <f>'Pricing Structure - All SKU'!#REF!</f>
        <v>#REF!</v>
      </c>
      <c r="G22" s="326" t="e">
        <f>'Pricing Structure - All SKU'!#REF!</f>
        <v>#REF!</v>
      </c>
      <c r="H22" s="326" t="e">
        <f>'Pricing Structure - All SKU'!#REF!</f>
        <v>#REF!</v>
      </c>
      <c r="I22" s="326" t="e">
        <f t="shared" si="20"/>
        <v>#REF!</v>
      </c>
      <c r="J22" s="326" t="e">
        <f t="shared" si="20"/>
        <v>#REF!</v>
      </c>
      <c r="K22" s="328" t="e">
        <f>I22/$C22</f>
        <v>#REF!</v>
      </c>
      <c r="L22" s="328" t="e">
        <f>J22/$D22</f>
        <v>#REF!</v>
      </c>
      <c r="M22" s="326" t="e">
        <f>'Pricing Structure - All SKU'!#REF!</f>
        <v>#REF!</v>
      </c>
      <c r="N22" s="326" t="e">
        <f>'Pricing Structure - All SKU'!#REF!</f>
        <v>#REF!</v>
      </c>
      <c r="O22" s="328" t="e">
        <f>M22/$C22</f>
        <v>#REF!</v>
      </c>
      <c r="P22" s="328" t="e">
        <f>N22/$D22</f>
        <v>#REF!</v>
      </c>
      <c r="Q22" s="326" t="e">
        <f>'Pricing Structure - All SKU'!#REF!</f>
        <v>#REF!</v>
      </c>
      <c r="R22" s="326" t="e">
        <f>'Pricing Structure - All SKU'!#REF!</f>
        <v>#REF!</v>
      </c>
      <c r="S22" s="328" t="e">
        <f>AG22/$C22</f>
        <v>#REF!</v>
      </c>
      <c r="T22" s="328" t="e">
        <f>R22/$D22</f>
        <v>#REF!</v>
      </c>
      <c r="U22" s="326" t="e">
        <f>'Pricing Structure - All SKU'!#REF!</f>
        <v>#REF!</v>
      </c>
      <c r="V22" s="326" t="e">
        <f>'Pricing Structure - All SKU'!#REF!</f>
        <v>#REF!</v>
      </c>
      <c r="W22" s="386" t="e">
        <f>U22/$C22</f>
        <v>#REF!</v>
      </c>
      <c r="X22" s="386" t="e">
        <f>V22/$D22</f>
        <v>#REF!</v>
      </c>
      <c r="Y22" s="326" t="e">
        <f t="shared" si="21"/>
        <v>#REF!</v>
      </c>
      <c r="Z22" s="326" t="e">
        <f t="shared" si="21"/>
        <v>#REF!</v>
      </c>
      <c r="AA22" s="328" t="e">
        <f>Y22/$C22</f>
        <v>#REF!</v>
      </c>
      <c r="AB22" s="328" t="e">
        <f>Z22/$D22</f>
        <v>#REF!</v>
      </c>
      <c r="AC22" s="326">
        <v>0</v>
      </c>
      <c r="AD22" s="326">
        <v>0</v>
      </c>
      <c r="AE22" s="326" t="e">
        <f t="shared" si="22"/>
        <v>#REF!</v>
      </c>
      <c r="AF22" s="326" t="e">
        <f t="shared" si="22"/>
        <v>#REF!</v>
      </c>
      <c r="AG22" s="328" t="e">
        <f>AE22/$C22</f>
        <v>#REF!</v>
      </c>
      <c r="AH22" s="328" t="e">
        <f>AF22/$D22</f>
        <v>#REF!</v>
      </c>
      <c r="AI22" s="326" t="e">
        <f>'Pricing Structure - All SKU'!#REF!</f>
        <v>#REF!</v>
      </c>
      <c r="AJ22" s="326" t="e">
        <f>'Pricing Structure - All SKU'!#REF!</f>
        <v>#REF!</v>
      </c>
      <c r="AK22" s="326" t="e">
        <f t="shared" si="23"/>
        <v>#REF!</v>
      </c>
      <c r="AL22" s="326" t="e">
        <f t="shared" si="23"/>
        <v>#REF!</v>
      </c>
      <c r="AM22" s="328" t="e">
        <f>AK22/$C22</f>
        <v>#REF!</v>
      </c>
      <c r="AN22" s="328" t="e">
        <f>AL22/$D22</f>
        <v>#REF!</v>
      </c>
    </row>
    <row r="23" spans="2:47" x14ac:dyDescent="0.45">
      <c r="C23" s="334"/>
    </row>
    <row r="27" spans="2:47" x14ac:dyDescent="0.45">
      <c r="E27" s="344" t="e">
        <f>E20-M20</f>
        <v>#REF!</v>
      </c>
      <c r="F27" s="344" t="e">
        <f>F20-N20</f>
        <v>#REF!</v>
      </c>
    </row>
    <row r="28" spans="2:47" x14ac:dyDescent="0.45">
      <c r="E28" s="344" t="e">
        <f t="shared" ref="E28:F28" si="24">E21-M21</f>
        <v>#REF!</v>
      </c>
      <c r="F28" s="344" t="e">
        <f t="shared" si="24"/>
        <v>#REF!</v>
      </c>
    </row>
    <row r="29" spans="2:47" x14ac:dyDescent="0.45">
      <c r="E29" s="344" t="e">
        <f t="shared" ref="E29:F29" si="25">E22-M22</f>
        <v>#REF!</v>
      </c>
      <c r="F29" s="344" t="e">
        <f t="shared" si="25"/>
        <v>#REF!</v>
      </c>
    </row>
    <row r="30" spans="2:47" x14ac:dyDescent="0.45">
      <c r="E30" s="344"/>
      <c r="F30" s="344"/>
    </row>
  </sheetData>
  <mergeCells count="53">
    <mergeCell ref="AI18:AJ18"/>
    <mergeCell ref="AK18:AL18"/>
    <mergeCell ref="AM18:AN18"/>
    <mergeCell ref="W18:X18"/>
    <mergeCell ref="Y18:Z18"/>
    <mergeCell ref="AA18:AB18"/>
    <mergeCell ref="AC18:AD18"/>
    <mergeCell ref="AE18:AF18"/>
    <mergeCell ref="AG18:AH18"/>
    <mergeCell ref="U18:V18"/>
    <mergeCell ref="BA5:BB5"/>
    <mergeCell ref="BC5:BD5"/>
    <mergeCell ref="BE5:BF5"/>
    <mergeCell ref="BG5:BH5"/>
    <mergeCell ref="AQ5:AQ6"/>
    <mergeCell ref="AR5:AR6"/>
    <mergeCell ref="AS5:AT5"/>
    <mergeCell ref="AU5:AV5"/>
    <mergeCell ref="AW5:AX5"/>
    <mergeCell ref="AY5:AZ5"/>
    <mergeCell ref="AE5:AF5"/>
    <mergeCell ref="AG5:AH5"/>
    <mergeCell ref="AI5:AJ5"/>
    <mergeCell ref="AK5:AL5"/>
    <mergeCell ref="AM5:AN5"/>
    <mergeCell ref="M17:T17"/>
    <mergeCell ref="B18:B19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AP5:AP6"/>
    <mergeCell ref="S5:T5"/>
    <mergeCell ref="U5:V5"/>
    <mergeCell ref="W5:X5"/>
    <mergeCell ref="Y5:Z5"/>
    <mergeCell ref="AA5:AB5"/>
    <mergeCell ref="AC5:AD5"/>
    <mergeCell ref="M4:T4"/>
    <mergeCell ref="B5:B6"/>
    <mergeCell ref="C5:D5"/>
    <mergeCell ref="E5:F5"/>
    <mergeCell ref="G5:H5"/>
    <mergeCell ref="I5:J5"/>
    <mergeCell ref="K5:L5"/>
    <mergeCell ref="M5:N5"/>
    <mergeCell ref="O5:P5"/>
    <mergeCell ref="Q5:R5"/>
  </mergeCells>
  <pageMargins left="0.7" right="0.7" top="0.75" bottom="0.75" header="0.3" footer="0.3"/>
  <pageSetup paperSize="9" orientation="portrait" verticalDpi="598" r:id="rId1"/>
  <customProperties>
    <customPr name="_pios_id" r:id="rId2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2436-8D32-4DDB-8263-3F6E410895BA}">
  <dimension ref="B2:AD21"/>
  <sheetViews>
    <sheetView showGridLines="0" workbookViewId="0">
      <selection activeCell="AA9" sqref="AA9"/>
    </sheetView>
  </sheetViews>
  <sheetFormatPr defaultRowHeight="14.25" x14ac:dyDescent="0.45"/>
  <cols>
    <col min="2" max="2" width="18" bestFit="1" customWidth="1"/>
    <col min="3" max="3" width="16.59765625" customWidth="1"/>
    <col min="4" max="4" width="5.86328125" customWidth="1"/>
    <col min="5" max="5" width="16" customWidth="1"/>
    <col min="6" max="6" width="5.86328125" bestFit="1" customWidth="1"/>
    <col min="7" max="7" width="8.59765625" customWidth="1"/>
    <col min="8" max="8" width="15.73046875" bestFit="1" customWidth="1"/>
    <col min="9" max="9" width="5.86328125" bestFit="1" customWidth="1"/>
    <col min="10" max="10" width="8.73046875" customWidth="1"/>
    <col min="11" max="12" width="13.265625" bestFit="1" customWidth="1"/>
    <col min="13" max="13" width="12.73046875" customWidth="1"/>
    <col min="14" max="14" width="6" customWidth="1"/>
    <col min="15" max="15" width="8.265625" customWidth="1"/>
    <col min="16" max="16" width="12.73046875" customWidth="1"/>
    <col min="17" max="17" width="9.265625" customWidth="1"/>
    <col min="18" max="18" width="11.265625" customWidth="1"/>
    <col min="21" max="21" width="15.73046875" bestFit="1" customWidth="1"/>
    <col min="22" max="22" width="12.73046875" customWidth="1"/>
    <col min="23" max="23" width="13.265625" customWidth="1"/>
    <col min="24" max="24" width="13" customWidth="1"/>
    <col min="25" max="27" width="8" bestFit="1" customWidth="1"/>
  </cols>
  <sheetData>
    <row r="2" spans="2:30" ht="21" x14ac:dyDescent="0.65">
      <c r="B2" s="345" t="s">
        <v>578</v>
      </c>
      <c r="C2" s="409" t="s">
        <v>579</v>
      </c>
      <c r="D2" s="345"/>
      <c r="K2" s="411">
        <f>K7-K8</f>
        <v>0</v>
      </c>
    </row>
    <row r="3" spans="2:30" ht="12.75" customHeight="1" x14ac:dyDescent="0.45"/>
    <row r="4" spans="2:30" ht="35.25" customHeight="1" x14ac:dyDescent="0.45">
      <c r="B4" s="408" t="s">
        <v>580</v>
      </c>
      <c r="C4" s="397" t="s">
        <v>581</v>
      </c>
      <c r="D4" s="398" t="s">
        <v>557</v>
      </c>
      <c r="E4" s="397" t="s">
        <v>582</v>
      </c>
      <c r="F4" s="398" t="s">
        <v>557</v>
      </c>
      <c r="G4" s="400" t="s">
        <v>583</v>
      </c>
      <c r="H4" s="399" t="s">
        <v>584</v>
      </c>
      <c r="I4" s="398" t="s">
        <v>557</v>
      </c>
      <c r="J4" s="400" t="s">
        <v>583</v>
      </c>
      <c r="K4" s="400" t="s">
        <v>585</v>
      </c>
      <c r="L4" s="400" t="s">
        <v>586</v>
      </c>
      <c r="M4" s="413" t="s">
        <v>587</v>
      </c>
      <c r="N4" s="398" t="s">
        <v>557</v>
      </c>
      <c r="O4" s="400" t="s">
        <v>583</v>
      </c>
      <c r="P4" s="400" t="s">
        <v>585</v>
      </c>
      <c r="Q4" s="400" t="s">
        <v>586</v>
      </c>
    </row>
    <row r="5" spans="2:30" ht="21" customHeight="1" x14ac:dyDescent="0.45">
      <c r="B5" s="406" t="s">
        <v>216</v>
      </c>
      <c r="C5" s="343">
        <v>90092532</v>
      </c>
      <c r="D5" s="391"/>
      <c r="E5" s="343">
        <f>'Pricing &amp; Profitability By SKU'!AQ$14</f>
        <v>110001940</v>
      </c>
      <c r="F5" s="391"/>
      <c r="G5" s="416">
        <f>IFERROR(E5/$C5-1,0)</f>
        <v>0.22098843886416697</v>
      </c>
      <c r="H5" s="401">
        <f>'Pricing &amp; Profitability By SKU'!AQ$14</f>
        <v>110001940</v>
      </c>
      <c r="I5" s="391"/>
      <c r="J5" s="414">
        <f>IFERROR(H5/C5-1,0)</f>
        <v>0.22098843886416697</v>
      </c>
      <c r="K5" s="403"/>
      <c r="L5" s="402"/>
      <c r="M5" s="392">
        <f>'Pricing &amp; Profitability By SKU'!AQ$14</f>
        <v>110001940</v>
      </c>
      <c r="N5" s="391"/>
      <c r="O5" s="415">
        <f>IFERROR(M5/$C5-1,0)</f>
        <v>0.22098843886416697</v>
      </c>
      <c r="P5" s="394"/>
      <c r="Q5" s="393"/>
      <c r="S5">
        <f>C5/C6</f>
        <v>39.564574430383196</v>
      </c>
      <c r="T5">
        <f>M5/M6</f>
        <v>39.377982046462691</v>
      </c>
    </row>
    <row r="6" spans="2:30" ht="21" customHeight="1" x14ac:dyDescent="0.45">
      <c r="B6" s="406" t="s">
        <v>217</v>
      </c>
      <c r="C6" s="343">
        <v>2277101</v>
      </c>
      <c r="D6" s="391"/>
      <c r="E6" s="343">
        <f>'Pricing &amp; Profitability By SKU'!AR14</f>
        <v>2793488.5</v>
      </c>
      <c r="F6" s="391"/>
      <c r="G6" s="416">
        <f t="shared" ref="G6:G17" si="0">IFERROR(E6/$C6-1,0)</f>
        <v>0.22677408687625178</v>
      </c>
      <c r="H6" s="401">
        <f>'Pricing &amp; Profitability By SKU'!AR14</f>
        <v>2793488.5</v>
      </c>
      <c r="I6" s="391"/>
      <c r="J6" s="414">
        <f t="shared" ref="J6:J17" si="1">IFERROR(H6/C6-1,0)</f>
        <v>0.22677408687625178</v>
      </c>
      <c r="K6" s="403"/>
      <c r="L6" s="402"/>
      <c r="M6" s="392">
        <f>'Pricing &amp; Profitability By SKU'!AR14</f>
        <v>2793488.5</v>
      </c>
      <c r="N6" s="391"/>
      <c r="O6" s="415">
        <f t="shared" ref="O6:O17" si="2">IFERROR(M6/$C6-1,0)</f>
        <v>0.22677408687625178</v>
      </c>
      <c r="P6" s="394"/>
      <c r="Q6" s="393"/>
    </row>
    <row r="7" spans="2:30" ht="21" customHeight="1" x14ac:dyDescent="0.45">
      <c r="B7" s="406" t="s">
        <v>364</v>
      </c>
      <c r="C7" s="343">
        <v>12721522.9</v>
      </c>
      <c r="D7" s="391"/>
      <c r="E7" s="343">
        <f>'Pricing &amp; Profitability By SKU'!AU$14</f>
        <v>15592529.575708499</v>
      </c>
      <c r="F7" s="391"/>
      <c r="G7" s="416">
        <f t="shared" si="0"/>
        <v>0.22568105236115232</v>
      </c>
      <c r="H7" s="401" t="e">
        <f>'Pricing &amp; Profitability By SKU'!AV$14</f>
        <v>#REF!</v>
      </c>
      <c r="I7" s="391"/>
      <c r="J7" s="414">
        <f t="shared" si="1"/>
        <v>0</v>
      </c>
      <c r="K7" s="404">
        <f t="shared" ref="K7:K17" si="3">IFERROR(H7-E7,0)</f>
        <v>0</v>
      </c>
      <c r="L7" s="405">
        <f>IFERROR(H7/E7-1,0)</f>
        <v>0</v>
      </c>
      <c r="M7" s="392" t="e">
        <f>'Pricing &amp; Profitability By SKU'!AV$14</f>
        <v>#REF!</v>
      </c>
      <c r="N7" s="391"/>
      <c r="O7" s="415">
        <f t="shared" si="2"/>
        <v>0</v>
      </c>
      <c r="P7" s="395">
        <f t="shared" ref="P7:P17" si="4">IFERROR(M7-E7,0)</f>
        <v>0</v>
      </c>
      <c r="Q7" s="396">
        <f t="shared" ref="Q7:Q17" si="5">IFERROR(M7/E7-1,0)</f>
        <v>0</v>
      </c>
      <c r="S7" s="410">
        <f>'[14]P&amp;L - Current v Proposed'!K7-P7</f>
        <v>693228.72190629132</v>
      </c>
      <c r="U7" t="s">
        <v>588</v>
      </c>
      <c r="V7" t="s">
        <v>589</v>
      </c>
      <c r="W7" t="s">
        <v>590</v>
      </c>
      <c r="X7" t="s">
        <v>591</v>
      </c>
      <c r="Y7" t="s">
        <v>198</v>
      </c>
      <c r="Z7" t="s">
        <v>199</v>
      </c>
      <c r="AA7" t="s">
        <v>200</v>
      </c>
      <c r="AB7" t="s">
        <v>530</v>
      </c>
      <c r="AC7" t="s">
        <v>592</v>
      </c>
      <c r="AD7" t="s">
        <v>593</v>
      </c>
    </row>
    <row r="8" spans="2:30" ht="21" customHeight="1" x14ac:dyDescent="0.45">
      <c r="B8" s="406" t="s">
        <v>594</v>
      </c>
      <c r="C8" s="343">
        <v>12036478.399999999</v>
      </c>
      <c r="D8" s="391">
        <f>C8/$C$8</f>
        <v>1</v>
      </c>
      <c r="E8" s="343">
        <f>'Pricing &amp; Profitability By SKU'!AS$14</f>
        <v>14739558.824767197</v>
      </c>
      <c r="F8" s="391">
        <f>E8/$E$8</f>
        <v>1</v>
      </c>
      <c r="G8" s="416">
        <f t="shared" si="0"/>
        <v>0.2245740269651626</v>
      </c>
      <c r="H8" s="401" t="e">
        <f>'Pricing &amp; Profitability By SKU'!AT$14</f>
        <v>#REF!</v>
      </c>
      <c r="I8" s="391" t="e">
        <f t="shared" ref="I8:I17" si="6">H8/$M$8</f>
        <v>#REF!</v>
      </c>
      <c r="J8" s="414">
        <f t="shared" si="1"/>
        <v>0</v>
      </c>
      <c r="K8" s="404">
        <f t="shared" si="3"/>
        <v>0</v>
      </c>
      <c r="L8" s="405">
        <f t="shared" ref="L8:L17" si="7">IFERROR(H8/E8-1,0)</f>
        <v>0</v>
      </c>
      <c r="M8" s="392" t="e">
        <f>'Pricing &amp; Profitability By SKU'!AT$14</f>
        <v>#REF!</v>
      </c>
      <c r="N8" s="391" t="e">
        <f t="shared" ref="N8:N17" si="8">M8/$M$8</f>
        <v>#REF!</v>
      </c>
      <c r="O8" s="415">
        <f t="shared" si="2"/>
        <v>0</v>
      </c>
      <c r="P8" s="395">
        <f t="shared" si="4"/>
        <v>0</v>
      </c>
      <c r="Q8" s="396">
        <f t="shared" si="5"/>
        <v>0</v>
      </c>
      <c r="S8" s="410">
        <f>'[14]P&amp;L - Current v Proposed'!K8-P8</f>
        <v>656848.07854908332</v>
      </c>
      <c r="U8" t="s">
        <v>2</v>
      </c>
      <c r="V8">
        <v>2478080</v>
      </c>
      <c r="W8">
        <v>3996000</v>
      </c>
      <c r="X8">
        <v>3097600</v>
      </c>
      <c r="Y8" s="412">
        <f>V8/RIGHT(Table2[[#This Row],[Row Labels]],2)</f>
        <v>61952</v>
      </c>
      <c r="Z8" s="412">
        <f>W8/RIGHT(Table2[[#This Row],[Row Labels]],2)</f>
        <v>99900</v>
      </c>
      <c r="AA8" s="412">
        <f>X8/RIGHT(Table2[[#This Row],[Row Labels]],2)</f>
        <v>77440</v>
      </c>
      <c r="AB8" s="412">
        <f t="shared" ref="AB8:AC15" si="9">Y8/4</f>
        <v>15488</v>
      </c>
      <c r="AC8" s="412">
        <f t="shared" si="9"/>
        <v>24975</v>
      </c>
      <c r="AD8" s="412">
        <f t="shared" ref="AD8:AD15" si="10">AA8/5</f>
        <v>15488</v>
      </c>
    </row>
    <row r="9" spans="2:30" ht="21" customHeight="1" x14ac:dyDescent="0.45">
      <c r="B9" s="406" t="s">
        <v>595</v>
      </c>
      <c r="C9" s="343">
        <f>75.14%*C8</f>
        <v>9044209.8697599992</v>
      </c>
      <c r="D9" s="391">
        <f t="shared" ref="D9:D17" si="11">C9/$C$8</f>
        <v>0.75140000000000007</v>
      </c>
      <c r="E9" s="343">
        <f>'Pricing &amp; Profitability By SKU'!AW$14</f>
        <v>11134574.831127165</v>
      </c>
      <c r="F9" s="391">
        <f>E9/$E$8</f>
        <v>0.75542117396468478</v>
      </c>
      <c r="G9" s="416">
        <f t="shared" si="0"/>
        <v>0.23112742754416393</v>
      </c>
      <c r="H9" s="401" t="e">
        <f>'Pricing &amp; Profitability By SKU'!AX$14</f>
        <v>#REF!</v>
      </c>
      <c r="I9" s="391" t="e">
        <f t="shared" si="6"/>
        <v>#REF!</v>
      </c>
      <c r="J9" s="414">
        <f t="shared" si="1"/>
        <v>0</v>
      </c>
      <c r="K9" s="404">
        <f t="shared" si="3"/>
        <v>0</v>
      </c>
      <c r="L9" s="405">
        <f t="shared" si="7"/>
        <v>0</v>
      </c>
      <c r="M9" s="392" t="e">
        <f>'Pricing &amp; Profitability By SKU'!AX$14</f>
        <v>#REF!</v>
      </c>
      <c r="N9" s="391" t="e">
        <f t="shared" si="8"/>
        <v>#REF!</v>
      </c>
      <c r="O9" s="415">
        <f t="shared" si="2"/>
        <v>0</v>
      </c>
      <c r="P9" s="395">
        <f t="shared" si="4"/>
        <v>0</v>
      </c>
      <c r="Q9" s="396">
        <f t="shared" si="5"/>
        <v>0</v>
      </c>
      <c r="S9" s="410">
        <f>'[14]P&amp;L - Current v Proposed'!K9-P9</f>
        <v>654122.71610351466</v>
      </c>
      <c r="U9" t="s">
        <v>4</v>
      </c>
      <c r="V9">
        <v>2130000</v>
      </c>
      <c r="W9">
        <v>2698000</v>
      </c>
      <c r="X9">
        <v>2414000</v>
      </c>
      <c r="Y9" s="412">
        <f>V9/RIGHT(Table2[[#This Row],[Row Labels]],2)</f>
        <v>53250</v>
      </c>
      <c r="Z9" s="412">
        <f>W9/RIGHT(Table2[[#This Row],[Row Labels]],2)</f>
        <v>67450</v>
      </c>
      <c r="AA9" s="412">
        <f>X9/RIGHT(Table2[[#This Row],[Row Labels]],2)</f>
        <v>60350</v>
      </c>
      <c r="AB9" s="412">
        <f t="shared" si="9"/>
        <v>13312.5</v>
      </c>
      <c r="AC9" s="412">
        <f t="shared" si="9"/>
        <v>16862.5</v>
      </c>
      <c r="AD9" s="412">
        <f t="shared" si="10"/>
        <v>12070</v>
      </c>
    </row>
    <row r="10" spans="2:30" ht="21" customHeight="1" x14ac:dyDescent="0.45">
      <c r="B10" s="406" t="s">
        <v>596</v>
      </c>
      <c r="C10" s="343">
        <f>C8-C9</f>
        <v>2992268.5302399993</v>
      </c>
      <c r="D10" s="391">
        <f t="shared" si="11"/>
        <v>0.24859999999999996</v>
      </c>
      <c r="E10" s="343">
        <f>E8-E9</f>
        <v>3604983.9936400317</v>
      </c>
      <c r="F10" s="391">
        <f>E10/$E$8</f>
        <v>0.24457882603531525</v>
      </c>
      <c r="G10" s="416">
        <f t="shared" si="0"/>
        <v>0.20476620236716814</v>
      </c>
      <c r="H10" s="401" t="e">
        <f>H8-H9</f>
        <v>#REF!</v>
      </c>
      <c r="I10" s="391" t="e">
        <f t="shared" si="6"/>
        <v>#REF!</v>
      </c>
      <c r="J10" s="414">
        <f t="shared" si="1"/>
        <v>0</v>
      </c>
      <c r="K10" s="404">
        <f t="shared" si="3"/>
        <v>0</v>
      </c>
      <c r="L10" s="405">
        <f t="shared" si="7"/>
        <v>0</v>
      </c>
      <c r="M10" s="392" t="e">
        <f>M8-M9</f>
        <v>#REF!</v>
      </c>
      <c r="N10" s="391" t="e">
        <f t="shared" si="8"/>
        <v>#REF!</v>
      </c>
      <c r="O10" s="415">
        <f t="shared" si="2"/>
        <v>0</v>
      </c>
      <c r="P10" s="395">
        <f t="shared" si="4"/>
        <v>0</v>
      </c>
      <c r="Q10" s="396">
        <f t="shared" si="5"/>
        <v>0</v>
      </c>
      <c r="S10" s="410">
        <f>'[14]P&amp;L - Current v Proposed'!K10-P10</f>
        <v>2725.3624455686659</v>
      </c>
      <c r="U10" t="s">
        <v>3</v>
      </c>
      <c r="V10">
        <v>80000</v>
      </c>
      <c r="W10">
        <v>1120000</v>
      </c>
      <c r="X10">
        <v>640000</v>
      </c>
      <c r="Y10" s="412">
        <f>V10/RIGHT(Table2[[#This Row],[Row Labels]],2)</f>
        <v>2000</v>
      </c>
      <c r="Z10" s="412">
        <f>W10/RIGHT(Table2[[#This Row],[Row Labels]],2)</f>
        <v>28000</v>
      </c>
      <c r="AA10" s="412">
        <f>X10/RIGHT(Table2[[#This Row],[Row Labels]],2)</f>
        <v>16000</v>
      </c>
      <c r="AB10" s="412">
        <f t="shared" si="9"/>
        <v>500</v>
      </c>
      <c r="AC10" s="412">
        <f t="shared" si="9"/>
        <v>7000</v>
      </c>
      <c r="AD10" s="412">
        <f t="shared" si="10"/>
        <v>3200</v>
      </c>
    </row>
    <row r="11" spans="2:30" ht="21" customHeight="1" x14ac:dyDescent="0.45">
      <c r="B11" s="406" t="s">
        <v>14</v>
      </c>
      <c r="C11" s="343">
        <f>SUM(C12:C13)</f>
        <v>2123837.86</v>
      </c>
      <c r="D11" s="391">
        <f t="shared" si="11"/>
        <v>0.1764501035452363</v>
      </c>
      <c r="E11" s="343">
        <f>SUM(E12:E13)</f>
        <v>2514036.3203171128</v>
      </c>
      <c r="F11" s="391">
        <f>E11/$E$8</f>
        <v>0.17056387848547569</v>
      </c>
      <c r="G11" s="416">
        <f t="shared" si="0"/>
        <v>0.18372328117227976</v>
      </c>
      <c r="H11" s="401" t="e">
        <f>SUM(H12:H13)</f>
        <v>#REF!</v>
      </c>
      <c r="I11" s="391" t="e">
        <f t="shared" si="6"/>
        <v>#REF!</v>
      </c>
      <c r="J11" s="414">
        <f t="shared" si="1"/>
        <v>0</v>
      </c>
      <c r="K11" s="404">
        <f t="shared" si="3"/>
        <v>0</v>
      </c>
      <c r="L11" s="405">
        <f t="shared" si="7"/>
        <v>0</v>
      </c>
      <c r="M11" s="392" t="e">
        <f>SUM(M12:M13)</f>
        <v>#REF!</v>
      </c>
      <c r="N11" s="391" t="e">
        <f t="shared" si="8"/>
        <v>#REF!</v>
      </c>
      <c r="O11" s="415">
        <f t="shared" si="2"/>
        <v>0</v>
      </c>
      <c r="P11" s="395">
        <f t="shared" si="4"/>
        <v>0</v>
      </c>
      <c r="Q11" s="396">
        <f t="shared" si="5"/>
        <v>0</v>
      </c>
      <c r="S11" s="410">
        <f>'[14]P&amp;L - Current v Proposed'!K11-P11</f>
        <v>641611.4653333337</v>
      </c>
      <c r="U11" t="s">
        <v>135</v>
      </c>
      <c r="V11">
        <v>0</v>
      </c>
      <c r="W11">
        <v>76000</v>
      </c>
      <c r="X11">
        <v>0</v>
      </c>
      <c r="Y11" s="412">
        <f>V11/RIGHT(Table2[[#This Row],[Row Labels]],2)</f>
        <v>0</v>
      </c>
      <c r="Z11" s="412">
        <f>W11/RIGHT(Table2[[#This Row],[Row Labels]],2)</f>
        <v>1900</v>
      </c>
      <c r="AA11" s="412">
        <f>X11/RIGHT(Table2[[#This Row],[Row Labels]],2)</f>
        <v>0</v>
      </c>
      <c r="AB11" s="412">
        <f t="shared" si="9"/>
        <v>0</v>
      </c>
      <c r="AC11" s="412">
        <f t="shared" si="9"/>
        <v>475</v>
      </c>
      <c r="AD11" s="412">
        <f t="shared" si="10"/>
        <v>0</v>
      </c>
    </row>
    <row r="12" spans="2:30" ht="21" customHeight="1" x14ac:dyDescent="0.45">
      <c r="B12" s="417" t="s">
        <v>158</v>
      </c>
      <c r="C12" s="418">
        <v>992718.80999999994</v>
      </c>
      <c r="D12" s="419">
        <f t="shared" si="11"/>
        <v>8.2475851906983033E-2</v>
      </c>
      <c r="E12" s="418">
        <f>'Pricing &amp; Profitability By SKU'!BA$14</f>
        <v>1218807.5989164736</v>
      </c>
      <c r="F12" s="419">
        <f t="shared" ref="F12:F14" si="12">E12/$E$8</f>
        <v>8.2689557632382116E-2</v>
      </c>
      <c r="G12" s="420">
        <f t="shared" si="0"/>
        <v>0.22774705852150978</v>
      </c>
      <c r="H12" s="418" t="e">
        <f>'Pricing &amp; Profitability By SKU'!BB$14</f>
        <v>#REF!</v>
      </c>
      <c r="I12" s="419" t="e">
        <f t="shared" si="6"/>
        <v>#REF!</v>
      </c>
      <c r="J12" s="420">
        <f t="shared" si="1"/>
        <v>0</v>
      </c>
      <c r="K12" s="421">
        <f t="shared" si="3"/>
        <v>0</v>
      </c>
      <c r="L12" s="420">
        <f t="shared" si="7"/>
        <v>0</v>
      </c>
      <c r="M12" s="418" t="e">
        <f>'Pricing &amp; Profitability By SKU'!BB$14</f>
        <v>#REF!</v>
      </c>
      <c r="N12" s="419" t="e">
        <f t="shared" si="8"/>
        <v>#REF!</v>
      </c>
      <c r="O12" s="420">
        <f t="shared" si="2"/>
        <v>0</v>
      </c>
      <c r="P12" s="421">
        <f t="shared" si="4"/>
        <v>0</v>
      </c>
      <c r="Q12" s="420">
        <f t="shared" si="5"/>
        <v>0</v>
      </c>
      <c r="S12" s="410">
        <f>'[14]P&amp;L - Current v Proposed'!K12-P12</f>
        <v>487790.12833333341</v>
      </c>
      <c r="U12" t="s">
        <v>137</v>
      </c>
      <c r="V12">
        <v>28800</v>
      </c>
      <c r="W12">
        <v>0</v>
      </c>
      <c r="X12">
        <v>0</v>
      </c>
      <c r="Y12" s="412">
        <f>V12/RIGHT(Table2[[#This Row],[Row Labels]],2)</f>
        <v>2400</v>
      </c>
      <c r="Z12" s="412">
        <f>W12/RIGHT(Table2[[#This Row],[Row Labels]],2)</f>
        <v>0</v>
      </c>
      <c r="AA12" s="412">
        <f>X12/RIGHT(Table2[[#This Row],[Row Labels]],2)</f>
        <v>0</v>
      </c>
      <c r="AB12" s="412">
        <f t="shared" si="9"/>
        <v>600</v>
      </c>
      <c r="AC12" s="412">
        <f t="shared" si="9"/>
        <v>0</v>
      </c>
      <c r="AD12" s="412">
        <f t="shared" si="10"/>
        <v>0</v>
      </c>
    </row>
    <row r="13" spans="2:30" ht="21" customHeight="1" x14ac:dyDescent="0.45">
      <c r="B13" s="417" t="s">
        <v>161</v>
      </c>
      <c r="C13" s="418">
        <f>'[15]STD&amp;STT A&amp;P &amp; Val'!$P$226</f>
        <v>1131119.0499999998</v>
      </c>
      <c r="D13" s="419">
        <f t="shared" si="11"/>
        <v>9.3974251638253264E-2</v>
      </c>
      <c r="E13" s="418">
        <f>'Pricing &amp; Profitability By SKU'!BC$14</f>
        <v>1295228.721400639</v>
      </c>
      <c r="F13" s="419">
        <f t="shared" si="12"/>
        <v>8.7874320853093546E-2</v>
      </c>
      <c r="G13" s="420">
        <f t="shared" si="0"/>
        <v>0.14508611750517275</v>
      </c>
      <c r="H13" s="418">
        <f>'Pricing &amp; Profitability By SKU'!BC$14</f>
        <v>1295228.721400639</v>
      </c>
      <c r="I13" s="419" t="e">
        <f t="shared" si="6"/>
        <v>#REF!</v>
      </c>
      <c r="J13" s="420">
        <f t="shared" si="1"/>
        <v>0.14508611750517275</v>
      </c>
      <c r="K13" s="421">
        <f t="shared" si="3"/>
        <v>0</v>
      </c>
      <c r="L13" s="420">
        <f t="shared" si="7"/>
        <v>0</v>
      </c>
      <c r="M13" s="418" t="e">
        <f>'Pricing &amp; Profitability By SKU'!BD$14</f>
        <v>#REF!</v>
      </c>
      <c r="N13" s="419" t="e">
        <f t="shared" si="8"/>
        <v>#REF!</v>
      </c>
      <c r="O13" s="420">
        <f t="shared" si="2"/>
        <v>0</v>
      </c>
      <c r="P13" s="421">
        <f t="shared" si="4"/>
        <v>0</v>
      </c>
      <c r="Q13" s="420">
        <f t="shared" si="5"/>
        <v>0</v>
      </c>
      <c r="S13" s="410">
        <f>'[14]P&amp;L - Current v Proposed'!K13-P13</f>
        <v>153821.33700000006</v>
      </c>
      <c r="U13" t="s">
        <v>138</v>
      </c>
      <c r="V13">
        <v>0</v>
      </c>
      <c r="W13">
        <v>28800</v>
      </c>
      <c r="X13">
        <v>0</v>
      </c>
      <c r="Y13" s="412">
        <f>V13/RIGHT(Table2[[#This Row],[Row Labels]],2)</f>
        <v>0</v>
      </c>
      <c r="Z13" s="412">
        <f>W13/RIGHT(Table2[[#This Row],[Row Labels]],2)</f>
        <v>1200</v>
      </c>
      <c r="AA13" s="412">
        <f>X13/RIGHT(Table2[[#This Row],[Row Labels]],2)</f>
        <v>0</v>
      </c>
      <c r="AB13" s="412">
        <f t="shared" si="9"/>
        <v>0</v>
      </c>
      <c r="AC13" s="412">
        <f t="shared" si="9"/>
        <v>300</v>
      </c>
      <c r="AD13" s="412">
        <f t="shared" si="10"/>
        <v>0</v>
      </c>
    </row>
    <row r="14" spans="2:30" ht="21" customHeight="1" x14ac:dyDescent="0.45">
      <c r="B14" s="407" t="s">
        <v>78</v>
      </c>
      <c r="C14" s="387">
        <f>2.2%*C8</f>
        <v>264802.52480000001</v>
      </c>
      <c r="D14" s="388">
        <f t="shared" si="11"/>
        <v>2.2000000000000002E-2</v>
      </c>
      <c r="E14" s="387">
        <f>'Pricing &amp; Profitability By SKU'!BE14</f>
        <v>332401.84075406427</v>
      </c>
      <c r="F14" s="388">
        <f t="shared" si="12"/>
        <v>2.2551681818014955E-2</v>
      </c>
      <c r="G14" s="390">
        <f t="shared" si="0"/>
        <v>0.25528199176016408</v>
      </c>
      <c r="H14" s="387" t="e">
        <f>'Pricing &amp; Profitability By SKU'!BF14</f>
        <v>#REF!</v>
      </c>
      <c r="I14" s="388" t="e">
        <f t="shared" si="6"/>
        <v>#REF!</v>
      </c>
      <c r="J14" s="390">
        <f t="shared" si="1"/>
        <v>0</v>
      </c>
      <c r="K14" s="389">
        <f t="shared" si="3"/>
        <v>0</v>
      </c>
      <c r="L14" s="390">
        <f t="shared" si="7"/>
        <v>0</v>
      </c>
      <c r="M14" s="387" t="e">
        <f>'Pricing &amp; Profitability By SKU'!BF14</f>
        <v>#REF!</v>
      </c>
      <c r="N14" s="388" t="e">
        <f t="shared" si="8"/>
        <v>#REF!</v>
      </c>
      <c r="O14" s="390">
        <f t="shared" si="2"/>
        <v>0</v>
      </c>
      <c r="P14" s="389">
        <f t="shared" si="4"/>
        <v>0</v>
      </c>
      <c r="Q14" s="390">
        <f t="shared" si="5"/>
        <v>0</v>
      </c>
      <c r="S14" s="410">
        <f>'[14]P&amp;L - Current v Proposed'!K14-P14</f>
        <v>0</v>
      </c>
      <c r="U14" t="s">
        <v>154</v>
      </c>
      <c r="W14">
        <v>14400</v>
      </c>
      <c r="Y14" s="412">
        <f>V14/RIGHT(Table2[[#This Row],[Row Labels]],2)</f>
        <v>0</v>
      </c>
      <c r="Z14" s="412">
        <f>W14/RIGHT(Table2[[#This Row],[Row Labels]],2)</f>
        <v>1200</v>
      </c>
      <c r="AA14" s="412">
        <f>X14/RIGHT(Table2[[#This Row],[Row Labels]],2)</f>
        <v>0</v>
      </c>
      <c r="AB14" s="412">
        <f t="shared" si="9"/>
        <v>0</v>
      </c>
      <c r="AC14" s="412">
        <f t="shared" si="9"/>
        <v>300</v>
      </c>
      <c r="AD14" s="412">
        <f t="shared" si="10"/>
        <v>0</v>
      </c>
    </row>
    <row r="15" spans="2:30" ht="21" customHeight="1" x14ac:dyDescent="0.45">
      <c r="B15" s="406" t="s">
        <v>597</v>
      </c>
      <c r="C15" s="343">
        <f>C10-C11-C14</f>
        <v>603628.14543999941</v>
      </c>
      <c r="D15" s="391">
        <f t="shared" si="11"/>
        <v>5.0149896454763671E-2</v>
      </c>
      <c r="E15" s="343">
        <f>E10-E11-E14</f>
        <v>758545.83256885456</v>
      </c>
      <c r="F15" s="391">
        <f>E15/$E$8</f>
        <v>5.1463265731824602E-2</v>
      </c>
      <c r="G15" s="416">
        <f t="shared" si="0"/>
        <v>0.25664424082798831</v>
      </c>
      <c r="H15" s="401" t="e">
        <f>H10-H11-H14</f>
        <v>#REF!</v>
      </c>
      <c r="I15" s="391" t="e">
        <f t="shared" si="6"/>
        <v>#REF!</v>
      </c>
      <c r="J15" s="414">
        <f t="shared" si="1"/>
        <v>0</v>
      </c>
      <c r="K15" s="404">
        <f t="shared" si="3"/>
        <v>0</v>
      </c>
      <c r="L15" s="405">
        <f t="shared" si="7"/>
        <v>0</v>
      </c>
      <c r="M15" s="392" t="e">
        <f>M10-M11-M14</f>
        <v>#REF!</v>
      </c>
      <c r="N15" s="391" t="e">
        <f t="shared" si="8"/>
        <v>#REF!</v>
      </c>
      <c r="O15" s="415">
        <f t="shared" si="2"/>
        <v>0</v>
      </c>
      <c r="P15" s="395">
        <f t="shared" si="4"/>
        <v>0</v>
      </c>
      <c r="Q15" s="396">
        <f t="shared" si="5"/>
        <v>0</v>
      </c>
      <c r="S15" s="410">
        <f>'[14]P&amp;L - Current v Proposed'!K15-P15</f>
        <v>-638886.10288776504</v>
      </c>
      <c r="U15" t="s">
        <v>598</v>
      </c>
      <c r="Y15" s="412">
        <f>V15/RIGHT(Table2[[#This Row],[Row Labels]],2)</f>
        <v>0</v>
      </c>
      <c r="Z15" s="412">
        <f>W15/RIGHT(Table2[[#This Row],[Row Labels]],2)</f>
        <v>0</v>
      </c>
      <c r="AA15" s="412">
        <f>X15/RIGHT(Table2[[#This Row],[Row Labels]],2)</f>
        <v>0</v>
      </c>
      <c r="AB15" s="412">
        <f t="shared" si="9"/>
        <v>0</v>
      </c>
      <c r="AC15" s="412">
        <f t="shared" si="9"/>
        <v>0</v>
      </c>
      <c r="AD15" s="412">
        <f t="shared" si="10"/>
        <v>0</v>
      </c>
    </row>
    <row r="16" spans="2:30" ht="21.75" customHeight="1" x14ac:dyDescent="0.45">
      <c r="B16" s="406" t="s">
        <v>165</v>
      </c>
      <c r="C16" s="343">
        <v>2000</v>
      </c>
      <c r="D16" s="391">
        <f t="shared" si="11"/>
        <v>1.6616155768617508E-4</v>
      </c>
      <c r="E16" s="343">
        <v>0</v>
      </c>
      <c r="F16" s="391">
        <f>E16/$E$8</f>
        <v>0</v>
      </c>
      <c r="G16" s="416">
        <f t="shared" si="0"/>
        <v>-1</v>
      </c>
      <c r="H16" s="401">
        <v>0</v>
      </c>
      <c r="I16" s="391" t="e">
        <f t="shared" si="6"/>
        <v>#REF!</v>
      </c>
      <c r="J16" s="414">
        <f t="shared" si="1"/>
        <v>-1</v>
      </c>
      <c r="K16" s="404">
        <f t="shared" si="3"/>
        <v>0</v>
      </c>
      <c r="L16" s="405">
        <f t="shared" si="7"/>
        <v>0</v>
      </c>
      <c r="M16" s="392">
        <v>0</v>
      </c>
      <c r="N16" s="391" t="e">
        <f t="shared" si="8"/>
        <v>#REF!</v>
      </c>
      <c r="O16" s="415">
        <f t="shared" si="2"/>
        <v>-1</v>
      </c>
      <c r="P16" s="395">
        <f t="shared" si="4"/>
        <v>0</v>
      </c>
      <c r="Q16" s="396">
        <f t="shared" si="5"/>
        <v>0</v>
      </c>
      <c r="S16" s="410">
        <f>'[14]P&amp;L - Current v Proposed'!K16-P16</f>
        <v>0</v>
      </c>
    </row>
    <row r="17" spans="2:19" ht="21.75" customHeight="1" x14ac:dyDescent="0.45">
      <c r="B17" s="406" t="s">
        <v>599</v>
      </c>
      <c r="C17" s="343">
        <f>C15-C16</f>
        <v>601628.14543999941</v>
      </c>
      <c r="D17" s="391">
        <f t="shared" si="11"/>
        <v>4.9983734897077498E-2</v>
      </c>
      <c r="E17" s="343">
        <f>E15-E16</f>
        <v>758545.83256885456</v>
      </c>
      <c r="F17" s="391">
        <f>E17/$E$8</f>
        <v>5.1463265731824602E-2</v>
      </c>
      <c r="G17" s="416">
        <f t="shared" si="0"/>
        <v>0.26082171906052332</v>
      </c>
      <c r="H17" s="401" t="e">
        <f>H15-H16</f>
        <v>#REF!</v>
      </c>
      <c r="I17" s="391" t="e">
        <f t="shared" si="6"/>
        <v>#REF!</v>
      </c>
      <c r="J17" s="414">
        <f t="shared" si="1"/>
        <v>0</v>
      </c>
      <c r="K17" s="404">
        <f t="shared" si="3"/>
        <v>0</v>
      </c>
      <c r="L17" s="405">
        <f t="shared" si="7"/>
        <v>0</v>
      </c>
      <c r="M17" s="392" t="e">
        <f>M15-M16</f>
        <v>#REF!</v>
      </c>
      <c r="N17" s="391" t="e">
        <f t="shared" si="8"/>
        <v>#REF!</v>
      </c>
      <c r="O17" s="415">
        <f t="shared" si="2"/>
        <v>0</v>
      </c>
      <c r="P17" s="395">
        <f t="shared" si="4"/>
        <v>0</v>
      </c>
      <c r="Q17" s="396">
        <f t="shared" si="5"/>
        <v>0</v>
      </c>
      <c r="S17" s="410">
        <f>'[14]P&amp;L - Current v Proposed'!K17-P17</f>
        <v>-638886.10288776504</v>
      </c>
    </row>
    <row r="18" spans="2:19" ht="21.75" customHeight="1" x14ac:dyDescent="0.45">
      <c r="B18" s="429" t="s">
        <v>600</v>
      </c>
      <c r="C18" s="425">
        <v>32068</v>
      </c>
      <c r="D18" s="426">
        <f t="shared" ref="D18:D19" si="13">C18/$C$8</f>
        <v>2.664234415940131E-3</v>
      </c>
      <c r="E18" s="425">
        <v>0</v>
      </c>
      <c r="F18" s="426">
        <f>E18/$E$8</f>
        <v>0</v>
      </c>
      <c r="G18" s="427">
        <f t="shared" ref="G18:G19" si="14">IFERROR(E18/$C18-1,0)</f>
        <v>-1</v>
      </c>
      <c r="H18" s="425">
        <v>0</v>
      </c>
      <c r="I18" s="426" t="e">
        <f t="shared" ref="I18:I19" si="15">H18/$M$8</f>
        <v>#REF!</v>
      </c>
      <c r="J18" s="427">
        <f t="shared" ref="J18:J19" si="16">IFERROR(H18/C18-1,0)</f>
        <v>-1</v>
      </c>
      <c r="K18" s="428">
        <f t="shared" ref="K18:K19" si="17">IFERROR(H18-E18,0)</f>
        <v>0</v>
      </c>
      <c r="L18" s="427">
        <f t="shared" ref="L18:L19" si="18">IFERROR(H18/E18-1,0)</f>
        <v>0</v>
      </c>
      <c r="M18" s="425">
        <v>0</v>
      </c>
      <c r="N18" s="426" t="e">
        <f t="shared" ref="N18:N19" si="19">M18/$M$8</f>
        <v>#REF!</v>
      </c>
      <c r="O18" s="427">
        <f t="shared" ref="O18:O19" si="20">IFERROR(M18/$C18-1,0)</f>
        <v>-1</v>
      </c>
      <c r="P18" s="428">
        <f t="shared" ref="P18:P19" si="21">IFERROR(M18-E18,0)</f>
        <v>0</v>
      </c>
      <c r="Q18" s="427">
        <f t="shared" ref="Q18:Q19" si="22">IFERROR(M18/E18-1,0)</f>
        <v>0</v>
      </c>
    </row>
    <row r="19" spans="2:19" ht="21.75" customHeight="1" x14ac:dyDescent="0.45">
      <c r="B19" s="406" t="s">
        <v>599</v>
      </c>
      <c r="C19" s="343">
        <f>C17+C18</f>
        <v>633696.14543999941</v>
      </c>
      <c r="D19" s="391">
        <f t="shared" si="13"/>
        <v>5.2647969313017629E-2</v>
      </c>
      <c r="E19" s="343">
        <f>E17+E18</f>
        <v>758545.83256885456</v>
      </c>
      <c r="F19" s="391">
        <f>E19/$E$8</f>
        <v>5.1463265731824602E-2</v>
      </c>
      <c r="G19" s="416">
        <f t="shared" si="14"/>
        <v>0.19701822084173681</v>
      </c>
      <c r="H19" s="401" t="e">
        <f>H17+H18</f>
        <v>#REF!</v>
      </c>
      <c r="I19" s="391" t="e">
        <f t="shared" si="15"/>
        <v>#REF!</v>
      </c>
      <c r="J19" s="414">
        <f t="shared" si="16"/>
        <v>0</v>
      </c>
      <c r="K19" s="404">
        <f t="shared" si="17"/>
        <v>0</v>
      </c>
      <c r="L19" s="405">
        <f t="shared" si="18"/>
        <v>0</v>
      </c>
      <c r="M19" s="392" t="e">
        <f>M17+M18</f>
        <v>#REF!</v>
      </c>
      <c r="N19" s="391" t="e">
        <f t="shared" si="19"/>
        <v>#REF!</v>
      </c>
      <c r="O19" s="415">
        <f t="shared" si="20"/>
        <v>0</v>
      </c>
      <c r="P19" s="395">
        <f t="shared" si="21"/>
        <v>0</v>
      </c>
      <c r="Q19" s="396">
        <f t="shared" si="22"/>
        <v>0</v>
      </c>
    </row>
    <row r="21" spans="2:19" x14ac:dyDescent="0.45">
      <c r="H21" s="340">
        <v>1368677.3759999999</v>
      </c>
      <c r="I21" s="340"/>
      <c r="J21" s="340"/>
      <c r="K21" s="340"/>
      <c r="L21" s="340"/>
      <c r="M21" s="340">
        <v>1506065.2</v>
      </c>
    </row>
  </sheetData>
  <pageMargins left="0.7" right="0.7" top="0.75" bottom="0.75" header="0.3" footer="0.3"/>
  <pageSetup paperSize="9" orientation="portrait" verticalDpi="598" r:id="rId1"/>
  <customProperties>
    <customPr name="_pios_id" r:id="rId2"/>
  </customProperties>
  <ignoredErrors>
    <ignoredError sqref="C2" numberStoredAsText="1"/>
  </ignoredErrors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1BDB-8DF4-44FA-A293-A036FD34A693}">
  <dimension ref="B2:AJ21"/>
  <sheetViews>
    <sheetView showGridLines="0" topLeftCell="B1" zoomScaleNormal="100" workbookViewId="0">
      <pane xSplit="1" ySplit="4" topLeftCell="C5" activePane="bottomRight" state="frozen"/>
      <selection pane="topRight" activeCell="AA9" sqref="AA9"/>
      <selection pane="bottomLeft" activeCell="AA9" sqref="AA9"/>
      <selection pane="bottomRight" activeCell="G15" sqref="G15"/>
    </sheetView>
  </sheetViews>
  <sheetFormatPr defaultRowHeight="14.25" outlineLevelCol="1" x14ac:dyDescent="0.45"/>
  <cols>
    <col min="2" max="2" width="18" bestFit="1" customWidth="1"/>
    <col min="3" max="3" width="16.59765625" customWidth="1"/>
    <col min="4" max="4" width="5.86328125" customWidth="1"/>
    <col min="5" max="5" width="16" customWidth="1"/>
    <col min="6" max="6" width="5.86328125" bestFit="1" customWidth="1"/>
    <col min="7" max="7" width="8.59765625" customWidth="1"/>
    <col min="8" max="8" width="17.3984375" bestFit="1" customWidth="1"/>
    <col min="9" max="9" width="5.86328125" bestFit="1" customWidth="1"/>
    <col min="10" max="10" width="8.73046875" customWidth="1"/>
    <col min="11" max="12" width="13.265625" customWidth="1" outlineLevel="1"/>
    <col min="13" max="13" width="14.73046875" customWidth="1"/>
    <col min="14" max="14" width="6" customWidth="1"/>
    <col min="15" max="15" width="8.265625" customWidth="1" outlineLevel="1"/>
    <col min="16" max="16" width="12.73046875" customWidth="1" outlineLevel="1"/>
    <col min="17" max="17" width="9.265625" customWidth="1" outlineLevel="1"/>
    <col min="18" max="18" width="15.1328125" customWidth="1"/>
    <col min="19" max="19" width="5.86328125" bestFit="1" customWidth="1"/>
    <col min="20" max="20" width="13.73046875" customWidth="1"/>
    <col min="21" max="21" width="5.86328125" bestFit="1" customWidth="1"/>
    <col min="22" max="24" width="11.265625" customWidth="1"/>
    <col min="27" max="27" width="15.73046875" bestFit="1" customWidth="1"/>
    <col min="28" max="28" width="12.73046875" customWidth="1"/>
    <col min="29" max="29" width="13.265625" customWidth="1"/>
    <col min="30" max="30" width="13" customWidth="1"/>
    <col min="31" max="33" width="8" bestFit="1" customWidth="1"/>
  </cols>
  <sheetData>
    <row r="2" spans="2:36" ht="21" x14ac:dyDescent="0.65">
      <c r="B2" s="345" t="s">
        <v>578</v>
      </c>
      <c r="C2" s="409" t="s">
        <v>579</v>
      </c>
      <c r="D2" s="345"/>
      <c r="K2" s="411">
        <f>K7-K8</f>
        <v>0</v>
      </c>
    </row>
    <row r="3" spans="2:36" ht="12.75" customHeight="1" x14ac:dyDescent="0.45">
      <c r="H3" s="545" t="s">
        <v>576</v>
      </c>
      <c r="I3" s="545"/>
      <c r="J3" s="545"/>
      <c r="K3" s="545"/>
      <c r="L3" s="545"/>
      <c r="M3" s="545" t="s">
        <v>577</v>
      </c>
      <c r="R3" s="484" t="s">
        <v>577</v>
      </c>
      <c r="S3" s="484"/>
      <c r="T3" s="484" t="s">
        <v>577</v>
      </c>
    </row>
    <row r="4" spans="2:36" ht="34.5" customHeight="1" x14ac:dyDescent="0.45">
      <c r="B4" s="408" t="s">
        <v>580</v>
      </c>
      <c r="C4" s="397" t="s">
        <v>581</v>
      </c>
      <c r="D4" s="398" t="s">
        <v>557</v>
      </c>
      <c r="E4" s="397" t="s">
        <v>582</v>
      </c>
      <c r="F4" s="398" t="s">
        <v>557</v>
      </c>
      <c r="G4" s="400" t="s">
        <v>583</v>
      </c>
      <c r="H4" s="399" t="s">
        <v>601</v>
      </c>
      <c r="I4" s="398" t="s">
        <v>557</v>
      </c>
      <c r="J4" s="400" t="s">
        <v>583</v>
      </c>
      <c r="K4" s="400" t="s">
        <v>585</v>
      </c>
      <c r="L4" s="400" t="s">
        <v>586</v>
      </c>
      <c r="M4" s="413" t="s">
        <v>602</v>
      </c>
      <c r="N4" s="398" t="s">
        <v>557</v>
      </c>
      <c r="O4" s="400" t="s">
        <v>583</v>
      </c>
      <c r="P4" s="400" t="s">
        <v>585</v>
      </c>
      <c r="Q4" s="400" t="s">
        <v>586</v>
      </c>
      <c r="R4" s="413" t="s">
        <v>603</v>
      </c>
      <c r="S4" s="398" t="s">
        <v>557</v>
      </c>
      <c r="T4" s="413" t="s">
        <v>559</v>
      </c>
      <c r="U4" s="398" t="s">
        <v>557</v>
      </c>
    </row>
    <row r="5" spans="2:36" ht="21" customHeight="1" x14ac:dyDescent="0.45">
      <c r="B5" s="406" t="s">
        <v>216</v>
      </c>
      <c r="C5" s="343">
        <v>90092532</v>
      </c>
      <c r="D5" s="391"/>
      <c r="E5" s="343">
        <f>'Pricing &amp; Profitability By SKU'!AQ$14</f>
        <v>110001940</v>
      </c>
      <c r="F5" s="391"/>
      <c r="G5" s="416">
        <f>IFERROR(E5/$C5-1,0)</f>
        <v>0.22098843886416697</v>
      </c>
      <c r="H5" s="401">
        <f>'Pricing &amp; Profitability - New'!AQ$14</f>
        <v>110001940</v>
      </c>
      <c r="I5" s="391"/>
      <c r="J5" s="414">
        <f>IFERROR(H5/C5-1,0)</f>
        <v>0.22098843886416697</v>
      </c>
      <c r="K5" s="403"/>
      <c r="L5" s="402"/>
      <c r="M5" s="392">
        <f>'Pricing &amp; Profitability - New'!AQ$14</f>
        <v>110001940</v>
      </c>
      <c r="N5" s="391"/>
      <c r="O5" s="415">
        <f>IFERROR(M5/$C5-1,0)</f>
        <v>0.22098843886416697</v>
      </c>
      <c r="P5" s="394"/>
      <c r="Q5" s="393"/>
      <c r="R5" s="392">
        <v>120000000</v>
      </c>
      <c r="S5" s="391"/>
      <c r="T5" s="392">
        <v>130000000</v>
      </c>
      <c r="U5" s="391"/>
      <c r="Y5">
        <f>C5/C6</f>
        <v>39.564574430383196</v>
      </c>
      <c r="Z5">
        <f>M5/M6</f>
        <v>39.377982046462691</v>
      </c>
    </row>
    <row r="6" spans="2:36" ht="21" customHeight="1" x14ac:dyDescent="0.45">
      <c r="B6" s="406" t="s">
        <v>217</v>
      </c>
      <c r="C6" s="343">
        <v>2277101</v>
      </c>
      <c r="D6" s="391"/>
      <c r="E6" s="343">
        <f>'Pricing &amp; Profitability By SKU'!AR14</f>
        <v>2793488.5</v>
      </c>
      <c r="F6" s="391"/>
      <c r="G6" s="416">
        <f t="shared" ref="G6:G19" si="0">IFERROR(E6/$C6-1,0)</f>
        <v>0.22677408687625178</v>
      </c>
      <c r="H6" s="401">
        <f>'Pricing &amp; Profitability - New'!AR14</f>
        <v>2793488.5</v>
      </c>
      <c r="I6" s="391"/>
      <c r="J6" s="414">
        <f t="shared" ref="J6:J19" si="1">IFERROR(H6/C6-1,0)</f>
        <v>0.22677408687625178</v>
      </c>
      <c r="K6" s="403"/>
      <c r="L6" s="402"/>
      <c r="M6" s="392">
        <f>'Pricing &amp; Profitability - New'!AR14</f>
        <v>2793488.5</v>
      </c>
      <c r="N6" s="391"/>
      <c r="O6" s="415">
        <f t="shared" ref="O6:O19" si="2">IFERROR(M6/$C6-1,0)</f>
        <v>0.22677408687625178</v>
      </c>
      <c r="P6" s="394"/>
      <c r="Q6" s="393"/>
      <c r="R6" s="392">
        <f>R$5/$M$5*M6</f>
        <v>3047388.255152591</v>
      </c>
      <c r="S6" s="391"/>
      <c r="T6" s="392">
        <f>T$5/$M$5*M6</f>
        <v>3301337.2764153066</v>
      </c>
      <c r="U6" s="391"/>
    </row>
    <row r="7" spans="2:36" ht="21" customHeight="1" x14ac:dyDescent="0.45">
      <c r="B7" s="406" t="s">
        <v>364</v>
      </c>
      <c r="C7" s="343">
        <v>12721522.9</v>
      </c>
      <c r="D7" s="391"/>
      <c r="E7" s="343">
        <f>'Pricing &amp; Profitability By SKU'!AU$14</f>
        <v>15592529.575708499</v>
      </c>
      <c r="F7" s="391"/>
      <c r="G7" s="416">
        <f t="shared" si="0"/>
        <v>0.22568105236115232</v>
      </c>
      <c r="H7" s="401" t="e">
        <f>'Pricing &amp; Profitability - New'!AU$14</f>
        <v>#REF!</v>
      </c>
      <c r="I7" s="391"/>
      <c r="J7" s="414">
        <f t="shared" si="1"/>
        <v>0</v>
      </c>
      <c r="K7" s="404">
        <f t="shared" ref="K7:K19" si="3">IFERROR(H7-E7,0)</f>
        <v>0</v>
      </c>
      <c r="L7" s="405">
        <f>IFERROR(H7/E7-1,0)</f>
        <v>0</v>
      </c>
      <c r="M7" s="392" t="e">
        <f>'Pricing &amp; Profitability - New'!AV$14</f>
        <v>#REF!</v>
      </c>
      <c r="N7" s="391"/>
      <c r="O7" s="415">
        <f t="shared" si="2"/>
        <v>0</v>
      </c>
      <c r="P7" s="395">
        <f t="shared" ref="P7:P19" si="4">IFERROR(M7-E7,0)</f>
        <v>0</v>
      </c>
      <c r="Q7" s="396">
        <f t="shared" ref="Q7:Q19" si="5">IFERROR(M7/E7-1,0)</f>
        <v>0</v>
      </c>
      <c r="R7" s="392" t="e">
        <f t="shared" ref="R7:R19" si="6">R$5/$M$5*M7</f>
        <v>#REF!</v>
      </c>
      <c r="S7" s="391"/>
      <c r="T7" s="392" t="e">
        <f t="shared" ref="T7:T19" si="7">T$5/$M$5*M7</f>
        <v>#REF!</v>
      </c>
      <c r="U7" s="391"/>
      <c r="Y7" s="410">
        <f>'[14]P&amp;L - Current v Proposed'!K7-P7</f>
        <v>693228.72190629132</v>
      </c>
      <c r="AA7" t="s">
        <v>588</v>
      </c>
      <c r="AB7" t="s">
        <v>589</v>
      </c>
      <c r="AC7" t="s">
        <v>590</v>
      </c>
      <c r="AD7" t="s">
        <v>591</v>
      </c>
      <c r="AE7" t="s">
        <v>198</v>
      </c>
      <c r="AF7" t="s">
        <v>199</v>
      </c>
      <c r="AG7" t="s">
        <v>200</v>
      </c>
      <c r="AH7" t="s">
        <v>530</v>
      </c>
      <c r="AI7" t="s">
        <v>592</v>
      </c>
      <c r="AJ7" t="s">
        <v>593</v>
      </c>
    </row>
    <row r="8" spans="2:36" ht="21" customHeight="1" x14ac:dyDescent="0.45">
      <c r="B8" s="406" t="s">
        <v>594</v>
      </c>
      <c r="C8" s="343">
        <v>12036478.399999999</v>
      </c>
      <c r="D8" s="391">
        <f>C8/$C$8</f>
        <v>1</v>
      </c>
      <c r="E8" s="343">
        <f>'Pricing &amp; Profitability By SKU'!AS$14</f>
        <v>14739558.824767197</v>
      </c>
      <c r="F8" s="391">
        <f>E8/$E$8</f>
        <v>1</v>
      </c>
      <c r="G8" s="416">
        <f t="shared" si="0"/>
        <v>0.2245740269651626</v>
      </c>
      <c r="H8" s="401" t="e">
        <f>'Pricing &amp; Profitability - New'!AS$14</f>
        <v>#REF!</v>
      </c>
      <c r="I8" s="391" t="e">
        <f>H8/$H$8</f>
        <v>#REF!</v>
      </c>
      <c r="J8" s="414">
        <f t="shared" si="1"/>
        <v>0</v>
      </c>
      <c r="K8" s="404">
        <f t="shared" si="3"/>
        <v>0</v>
      </c>
      <c r="L8" s="405">
        <f t="shared" ref="L8:L19" si="8">IFERROR(H8/E8-1,0)</f>
        <v>0</v>
      </c>
      <c r="M8" s="392" t="e">
        <f>'Pricing &amp; Profitability - New'!AT$14</f>
        <v>#REF!</v>
      </c>
      <c r="N8" s="391" t="e">
        <f t="shared" ref="N8:N19" si="9">M8/$M$8</f>
        <v>#REF!</v>
      </c>
      <c r="O8" s="415">
        <f t="shared" si="2"/>
        <v>0</v>
      </c>
      <c r="P8" s="395">
        <f t="shared" si="4"/>
        <v>0</v>
      </c>
      <c r="Q8" s="396">
        <f t="shared" si="5"/>
        <v>0</v>
      </c>
      <c r="R8" s="392" t="e">
        <f t="shared" si="6"/>
        <v>#REF!</v>
      </c>
      <c r="S8" s="391" t="e">
        <f>R8/$R$8</f>
        <v>#REF!</v>
      </c>
      <c r="T8" s="392" t="e">
        <f t="shared" si="7"/>
        <v>#REF!</v>
      </c>
      <c r="U8" s="391" t="e">
        <f>T8/$T$8</f>
        <v>#REF!</v>
      </c>
      <c r="Y8" s="410">
        <f>'[14]P&amp;L - Current v Proposed'!K8-P8</f>
        <v>656848.07854908332</v>
      </c>
      <c r="AA8" t="s">
        <v>2</v>
      </c>
      <c r="AB8">
        <v>2478080</v>
      </c>
      <c r="AC8">
        <v>3996000</v>
      </c>
      <c r="AD8">
        <v>3097600</v>
      </c>
      <c r="AE8" s="412">
        <f>AB8/RIGHT(Table22[[#This Row],[Row Labels]],2)</f>
        <v>61952</v>
      </c>
      <c r="AF8" s="412">
        <f>AC8/RIGHT(Table22[[#This Row],[Row Labels]],2)</f>
        <v>99900</v>
      </c>
      <c r="AG8" s="412">
        <f>AD8/RIGHT(Table22[[#This Row],[Row Labels]],2)</f>
        <v>77440</v>
      </c>
      <c r="AH8" s="412">
        <f t="shared" ref="AH8:AI15" si="10">AE8/4</f>
        <v>15488</v>
      </c>
      <c r="AI8" s="412">
        <f t="shared" si="10"/>
        <v>24975</v>
      </c>
      <c r="AJ8" s="412">
        <f t="shared" ref="AJ8:AJ15" si="11">AG8/5</f>
        <v>15488</v>
      </c>
    </row>
    <row r="9" spans="2:36" ht="21" customHeight="1" x14ac:dyDescent="0.45">
      <c r="B9" s="406" t="s">
        <v>595</v>
      </c>
      <c r="C9" s="343">
        <f>75.14%*C8</f>
        <v>9044209.8697599992</v>
      </c>
      <c r="D9" s="391">
        <f t="shared" ref="D9:D19" si="12">C9/$C$8</f>
        <v>0.75140000000000007</v>
      </c>
      <c r="E9" s="343">
        <f>'Pricing &amp; Profitability By SKU'!AW$14</f>
        <v>11134574.831127165</v>
      </c>
      <c r="F9" s="391">
        <f>E9/$E$8</f>
        <v>0.75542117396468478</v>
      </c>
      <c r="G9" s="416">
        <f t="shared" si="0"/>
        <v>0.23112742754416393</v>
      </c>
      <c r="H9" s="401" t="e">
        <f>'Pricing &amp; Profitability - New'!AW$14</f>
        <v>#REF!</v>
      </c>
      <c r="I9" s="391" t="e">
        <f t="shared" ref="I9:I19" si="13">H9/$H$8</f>
        <v>#REF!</v>
      </c>
      <c r="J9" s="414">
        <f t="shared" si="1"/>
        <v>0</v>
      </c>
      <c r="K9" s="404">
        <f t="shared" si="3"/>
        <v>0</v>
      </c>
      <c r="L9" s="405">
        <f t="shared" si="8"/>
        <v>0</v>
      </c>
      <c r="M9" s="392" t="e">
        <f>'Pricing &amp; Profitability - New'!AX$14</f>
        <v>#REF!</v>
      </c>
      <c r="N9" s="391" t="e">
        <f t="shared" si="9"/>
        <v>#REF!</v>
      </c>
      <c r="O9" s="415">
        <f t="shared" si="2"/>
        <v>0</v>
      </c>
      <c r="P9" s="395">
        <f t="shared" si="4"/>
        <v>0</v>
      </c>
      <c r="Q9" s="396">
        <f t="shared" si="5"/>
        <v>0</v>
      </c>
      <c r="R9" s="392" t="e">
        <f t="shared" si="6"/>
        <v>#REF!</v>
      </c>
      <c r="S9" s="391" t="e">
        <f t="shared" ref="S9:S19" si="14">R9/$R$8</f>
        <v>#REF!</v>
      </c>
      <c r="T9" s="392" t="e">
        <f t="shared" si="7"/>
        <v>#REF!</v>
      </c>
      <c r="U9" s="391" t="e">
        <f t="shared" ref="U9:U19" si="15">T9/$T$8</f>
        <v>#REF!</v>
      </c>
      <c r="Y9" s="410">
        <f>'[14]P&amp;L - Current v Proposed'!K9-P9</f>
        <v>654122.71610351466</v>
      </c>
      <c r="AA9" t="s">
        <v>4</v>
      </c>
      <c r="AB9">
        <v>2130000</v>
      </c>
      <c r="AC9">
        <v>2698000</v>
      </c>
      <c r="AD9">
        <v>2414000</v>
      </c>
      <c r="AE9" s="412">
        <f>AB9/RIGHT(Table22[[#This Row],[Row Labels]],2)</f>
        <v>53250</v>
      </c>
      <c r="AF9" s="412">
        <f>AC9/RIGHT(Table22[[#This Row],[Row Labels]],2)</f>
        <v>67450</v>
      </c>
      <c r="AG9" s="412">
        <f>AD9/RIGHT(Table22[[#This Row],[Row Labels]],2)</f>
        <v>60350</v>
      </c>
      <c r="AH9" s="412">
        <f t="shared" si="10"/>
        <v>13312.5</v>
      </c>
      <c r="AI9" s="412">
        <f t="shared" si="10"/>
        <v>16862.5</v>
      </c>
      <c r="AJ9" s="412">
        <f t="shared" si="11"/>
        <v>12070</v>
      </c>
    </row>
    <row r="10" spans="2:36" ht="21" customHeight="1" x14ac:dyDescent="0.45">
      <c r="B10" s="406" t="s">
        <v>596</v>
      </c>
      <c r="C10" s="343">
        <f>C8-C9</f>
        <v>2992268.5302399993</v>
      </c>
      <c r="D10" s="391">
        <f t="shared" si="12"/>
        <v>0.24859999999999996</v>
      </c>
      <c r="E10" s="343">
        <f>E8-E9</f>
        <v>3604983.9936400317</v>
      </c>
      <c r="F10" s="391">
        <f>E10/$E$8</f>
        <v>0.24457882603531525</v>
      </c>
      <c r="G10" s="416">
        <f t="shared" si="0"/>
        <v>0.20476620236716814</v>
      </c>
      <c r="H10" s="401" t="e">
        <f>H8-H9</f>
        <v>#REF!</v>
      </c>
      <c r="I10" s="391" t="e">
        <f t="shared" si="13"/>
        <v>#REF!</v>
      </c>
      <c r="J10" s="414">
        <f t="shared" si="1"/>
        <v>0</v>
      </c>
      <c r="K10" s="404">
        <f t="shared" si="3"/>
        <v>0</v>
      </c>
      <c r="L10" s="405">
        <f t="shared" si="8"/>
        <v>0</v>
      </c>
      <c r="M10" s="392" t="e">
        <f>M8-M9</f>
        <v>#REF!</v>
      </c>
      <c r="N10" s="391" t="e">
        <f t="shared" si="9"/>
        <v>#REF!</v>
      </c>
      <c r="O10" s="415">
        <f t="shared" si="2"/>
        <v>0</v>
      </c>
      <c r="P10" s="395">
        <f t="shared" si="4"/>
        <v>0</v>
      </c>
      <c r="Q10" s="396">
        <f t="shared" si="5"/>
        <v>0</v>
      </c>
      <c r="R10" s="392" t="e">
        <f t="shared" si="6"/>
        <v>#REF!</v>
      </c>
      <c r="S10" s="391" t="e">
        <f t="shared" si="14"/>
        <v>#REF!</v>
      </c>
      <c r="T10" s="392" t="e">
        <f t="shared" si="7"/>
        <v>#REF!</v>
      </c>
      <c r="U10" s="391" t="e">
        <f t="shared" si="15"/>
        <v>#REF!</v>
      </c>
      <c r="Y10" s="410">
        <f>'[14]P&amp;L - Current v Proposed'!K10-P10</f>
        <v>2725.3624455686659</v>
      </c>
      <c r="AA10" t="s">
        <v>3</v>
      </c>
      <c r="AB10">
        <v>80000</v>
      </c>
      <c r="AC10">
        <v>1120000</v>
      </c>
      <c r="AD10">
        <v>640000</v>
      </c>
      <c r="AE10" s="412">
        <f>AB10/RIGHT(Table22[[#This Row],[Row Labels]],2)</f>
        <v>2000</v>
      </c>
      <c r="AF10" s="412">
        <f>AC10/RIGHT(Table22[[#This Row],[Row Labels]],2)</f>
        <v>28000</v>
      </c>
      <c r="AG10" s="412">
        <f>AD10/RIGHT(Table22[[#This Row],[Row Labels]],2)</f>
        <v>16000</v>
      </c>
      <c r="AH10" s="412">
        <f t="shared" si="10"/>
        <v>500</v>
      </c>
      <c r="AI10" s="412">
        <f t="shared" si="10"/>
        <v>7000</v>
      </c>
      <c r="AJ10" s="412">
        <f t="shared" si="11"/>
        <v>3200</v>
      </c>
    </row>
    <row r="11" spans="2:36" ht="21" customHeight="1" x14ac:dyDescent="0.45">
      <c r="B11" s="406" t="s">
        <v>14</v>
      </c>
      <c r="C11" s="343">
        <f>SUM(C12:C13)</f>
        <v>2123837.86</v>
      </c>
      <c r="D11" s="391">
        <f t="shared" si="12"/>
        <v>0.1764501035452363</v>
      </c>
      <c r="E11" s="343">
        <f>SUM(E12:E13)</f>
        <v>2514036.3203171128</v>
      </c>
      <c r="F11" s="391">
        <f>E11/$E$8</f>
        <v>0.17056387848547569</v>
      </c>
      <c r="G11" s="416">
        <f t="shared" si="0"/>
        <v>0.18372328117227976</v>
      </c>
      <c r="H11" s="401" t="e">
        <f>SUM(H12:H13)</f>
        <v>#REF!</v>
      </c>
      <c r="I11" s="391" t="e">
        <f t="shared" si="13"/>
        <v>#REF!</v>
      </c>
      <c r="J11" s="414">
        <f t="shared" si="1"/>
        <v>0</v>
      </c>
      <c r="K11" s="404">
        <f t="shared" si="3"/>
        <v>0</v>
      </c>
      <c r="L11" s="405">
        <f t="shared" si="8"/>
        <v>0</v>
      </c>
      <c r="M11" s="392" t="e">
        <f>SUM(M12:M13)</f>
        <v>#REF!</v>
      </c>
      <c r="N11" s="391" t="e">
        <f t="shared" si="9"/>
        <v>#REF!</v>
      </c>
      <c r="O11" s="415">
        <f t="shared" si="2"/>
        <v>0</v>
      </c>
      <c r="P11" s="395">
        <f t="shared" si="4"/>
        <v>0</v>
      </c>
      <c r="Q11" s="396">
        <f t="shared" si="5"/>
        <v>0</v>
      </c>
      <c r="R11" s="392" t="e">
        <f t="shared" si="6"/>
        <v>#REF!</v>
      </c>
      <c r="S11" s="391" t="e">
        <f t="shared" si="14"/>
        <v>#REF!</v>
      </c>
      <c r="T11" s="392" t="e">
        <f t="shared" si="7"/>
        <v>#REF!</v>
      </c>
      <c r="U11" s="391" t="e">
        <f t="shared" si="15"/>
        <v>#REF!</v>
      </c>
      <c r="Y11" s="410">
        <f>'[14]P&amp;L - Current v Proposed'!K11-P11</f>
        <v>641611.4653333337</v>
      </c>
      <c r="AA11" t="s">
        <v>135</v>
      </c>
      <c r="AB11">
        <v>0</v>
      </c>
      <c r="AC11">
        <v>76000</v>
      </c>
      <c r="AD11">
        <v>0</v>
      </c>
      <c r="AE11" s="412">
        <f>AB11/RIGHT(Table22[[#This Row],[Row Labels]],2)</f>
        <v>0</v>
      </c>
      <c r="AF11" s="412">
        <f>AC11/RIGHT(Table22[[#This Row],[Row Labels]],2)</f>
        <v>1900</v>
      </c>
      <c r="AG11" s="412">
        <f>AD11/RIGHT(Table22[[#This Row],[Row Labels]],2)</f>
        <v>0</v>
      </c>
      <c r="AH11" s="412">
        <f t="shared" si="10"/>
        <v>0</v>
      </c>
      <c r="AI11" s="412">
        <f t="shared" si="10"/>
        <v>475</v>
      </c>
      <c r="AJ11" s="412">
        <f t="shared" si="11"/>
        <v>0</v>
      </c>
    </row>
    <row r="12" spans="2:36" ht="21" customHeight="1" x14ac:dyDescent="0.45">
      <c r="B12" s="417" t="s">
        <v>158</v>
      </c>
      <c r="C12" s="418">
        <v>992718.80999999994</v>
      </c>
      <c r="D12" s="419">
        <f t="shared" si="12"/>
        <v>8.2475851906983033E-2</v>
      </c>
      <c r="E12" s="418">
        <f>'Pricing &amp; Profitability By SKU'!BA$14</f>
        <v>1218807.5989164736</v>
      </c>
      <c r="F12" s="419">
        <f t="shared" ref="F12:F14" si="16">E12/$E$8</f>
        <v>8.2689557632382116E-2</v>
      </c>
      <c r="G12" s="420">
        <f t="shared" si="0"/>
        <v>0.22774705852150978</v>
      </c>
      <c r="H12" s="418" t="e">
        <f>'Pricing &amp; Profitability - New'!BA$14</f>
        <v>#REF!</v>
      </c>
      <c r="I12" s="419" t="e">
        <f t="shared" si="13"/>
        <v>#REF!</v>
      </c>
      <c r="J12" s="420">
        <f t="shared" si="1"/>
        <v>0</v>
      </c>
      <c r="K12" s="421">
        <f t="shared" si="3"/>
        <v>0</v>
      </c>
      <c r="L12" s="420">
        <f t="shared" si="8"/>
        <v>0</v>
      </c>
      <c r="M12" s="418" t="e">
        <f>'Pricing &amp; Profitability - New'!BB$14</f>
        <v>#REF!</v>
      </c>
      <c r="N12" s="419" t="e">
        <f t="shared" si="9"/>
        <v>#REF!</v>
      </c>
      <c r="O12" s="420">
        <f t="shared" si="2"/>
        <v>0</v>
      </c>
      <c r="P12" s="421">
        <f t="shared" si="4"/>
        <v>0</v>
      </c>
      <c r="Q12" s="420">
        <f t="shared" si="5"/>
        <v>0</v>
      </c>
      <c r="R12" s="418" t="e">
        <f t="shared" si="6"/>
        <v>#REF!</v>
      </c>
      <c r="S12" s="419" t="e">
        <f t="shared" si="14"/>
        <v>#REF!</v>
      </c>
      <c r="T12" s="418" t="e">
        <f t="shared" si="7"/>
        <v>#REF!</v>
      </c>
      <c r="U12" s="419" t="e">
        <f t="shared" si="15"/>
        <v>#REF!</v>
      </c>
      <c r="Y12" s="410">
        <f>'[14]P&amp;L - Current v Proposed'!K12-P12</f>
        <v>487790.12833333341</v>
      </c>
      <c r="AA12" t="s">
        <v>137</v>
      </c>
      <c r="AB12">
        <v>28800</v>
      </c>
      <c r="AC12">
        <v>0</v>
      </c>
      <c r="AD12">
        <v>0</v>
      </c>
      <c r="AE12" s="412">
        <f>AB12/RIGHT(Table22[[#This Row],[Row Labels]],2)</f>
        <v>2400</v>
      </c>
      <c r="AF12" s="412">
        <f>AC12/RIGHT(Table22[[#This Row],[Row Labels]],2)</f>
        <v>0</v>
      </c>
      <c r="AG12" s="412">
        <f>AD12/RIGHT(Table22[[#This Row],[Row Labels]],2)</f>
        <v>0</v>
      </c>
      <c r="AH12" s="412">
        <f t="shared" si="10"/>
        <v>600</v>
      </c>
      <c r="AI12" s="412">
        <f t="shared" si="10"/>
        <v>0</v>
      </c>
      <c r="AJ12" s="412">
        <f t="shared" si="11"/>
        <v>0</v>
      </c>
    </row>
    <row r="13" spans="2:36" ht="21" customHeight="1" x14ac:dyDescent="0.45">
      <c r="B13" s="417" t="s">
        <v>161</v>
      </c>
      <c r="C13" s="418">
        <f>'[15]STD&amp;STT A&amp;P &amp; Val'!$P$226</f>
        <v>1131119.0499999998</v>
      </c>
      <c r="D13" s="419">
        <f t="shared" si="12"/>
        <v>9.3974251638253264E-2</v>
      </c>
      <c r="E13" s="418">
        <f>'Pricing &amp; Profitability By SKU'!BC$14</f>
        <v>1295228.721400639</v>
      </c>
      <c r="F13" s="419">
        <f t="shared" si="16"/>
        <v>8.7874320853093546E-2</v>
      </c>
      <c r="G13" s="420">
        <f t="shared" si="0"/>
        <v>0.14508611750517275</v>
      </c>
      <c r="H13" s="418" t="e">
        <f>'Pricing &amp; Profitability - New'!BC$14</f>
        <v>#REF!</v>
      </c>
      <c r="I13" s="419" t="e">
        <f t="shared" si="13"/>
        <v>#REF!</v>
      </c>
      <c r="J13" s="420">
        <f t="shared" si="1"/>
        <v>0</v>
      </c>
      <c r="K13" s="421">
        <f t="shared" si="3"/>
        <v>0</v>
      </c>
      <c r="L13" s="420">
        <f t="shared" si="8"/>
        <v>0</v>
      </c>
      <c r="M13" s="418" t="e">
        <f>'Pricing &amp; Profitability - New'!BD$14</f>
        <v>#REF!</v>
      </c>
      <c r="N13" s="419" t="e">
        <f t="shared" si="9"/>
        <v>#REF!</v>
      </c>
      <c r="O13" s="420">
        <f t="shared" si="2"/>
        <v>0</v>
      </c>
      <c r="P13" s="421">
        <f t="shared" si="4"/>
        <v>0</v>
      </c>
      <c r="Q13" s="420">
        <f t="shared" si="5"/>
        <v>0</v>
      </c>
      <c r="R13" s="418" t="e">
        <f t="shared" si="6"/>
        <v>#REF!</v>
      </c>
      <c r="S13" s="419" t="e">
        <f t="shared" si="14"/>
        <v>#REF!</v>
      </c>
      <c r="T13" s="418" t="e">
        <f t="shared" si="7"/>
        <v>#REF!</v>
      </c>
      <c r="U13" s="419" t="e">
        <f t="shared" si="15"/>
        <v>#REF!</v>
      </c>
      <c r="Y13" s="410">
        <f>'[14]P&amp;L - Current v Proposed'!K13-P13</f>
        <v>153821.33700000006</v>
      </c>
      <c r="AA13" t="s">
        <v>138</v>
      </c>
      <c r="AB13">
        <v>0</v>
      </c>
      <c r="AC13">
        <v>28800</v>
      </c>
      <c r="AD13">
        <v>0</v>
      </c>
      <c r="AE13" s="412">
        <f>AB13/RIGHT(Table22[[#This Row],[Row Labels]],2)</f>
        <v>0</v>
      </c>
      <c r="AF13" s="412">
        <f>AC13/RIGHT(Table22[[#This Row],[Row Labels]],2)</f>
        <v>1200</v>
      </c>
      <c r="AG13" s="412">
        <f>AD13/RIGHT(Table22[[#This Row],[Row Labels]],2)</f>
        <v>0</v>
      </c>
      <c r="AH13" s="412">
        <f t="shared" si="10"/>
        <v>0</v>
      </c>
      <c r="AI13" s="412">
        <f t="shared" si="10"/>
        <v>300</v>
      </c>
      <c r="AJ13" s="412">
        <f t="shared" si="11"/>
        <v>0</v>
      </c>
    </row>
    <row r="14" spans="2:36" ht="21" customHeight="1" x14ac:dyDescent="0.45">
      <c r="B14" s="407" t="s">
        <v>78</v>
      </c>
      <c r="C14" s="387">
        <f>2.2%*C8</f>
        <v>264802.52480000001</v>
      </c>
      <c r="D14" s="388">
        <f t="shared" si="12"/>
        <v>2.2000000000000002E-2</v>
      </c>
      <c r="E14" s="387">
        <f>'Pricing &amp; Profitability By SKU'!BE14</f>
        <v>332401.84075406427</v>
      </c>
      <c r="F14" s="388">
        <f t="shared" si="16"/>
        <v>2.2551681818014955E-2</v>
      </c>
      <c r="G14" s="390">
        <f t="shared" si="0"/>
        <v>0.25528199176016408</v>
      </c>
      <c r="H14" s="387" t="e">
        <f>'Pricing &amp; Profitability - New'!BE14</f>
        <v>#REF!</v>
      </c>
      <c r="I14" s="388" t="e">
        <f t="shared" si="13"/>
        <v>#REF!</v>
      </c>
      <c r="J14" s="390">
        <f t="shared" si="1"/>
        <v>0</v>
      </c>
      <c r="K14" s="389">
        <f t="shared" si="3"/>
        <v>0</v>
      </c>
      <c r="L14" s="390">
        <f t="shared" si="8"/>
        <v>0</v>
      </c>
      <c r="M14" s="387" t="e">
        <f>'Pricing &amp; Profitability - New'!BF14</f>
        <v>#REF!</v>
      </c>
      <c r="N14" s="388" t="e">
        <f t="shared" si="9"/>
        <v>#REF!</v>
      </c>
      <c r="O14" s="390">
        <f t="shared" si="2"/>
        <v>0</v>
      </c>
      <c r="P14" s="389">
        <f t="shared" si="4"/>
        <v>0</v>
      </c>
      <c r="Q14" s="390">
        <f t="shared" si="5"/>
        <v>0</v>
      </c>
      <c r="R14" s="387" t="e">
        <f t="shared" si="6"/>
        <v>#REF!</v>
      </c>
      <c r="S14" s="388" t="e">
        <f t="shared" si="14"/>
        <v>#REF!</v>
      </c>
      <c r="T14" s="387" t="e">
        <f t="shared" si="7"/>
        <v>#REF!</v>
      </c>
      <c r="U14" s="388" t="e">
        <f t="shared" si="15"/>
        <v>#REF!</v>
      </c>
      <c r="Y14" s="410">
        <f>'[14]P&amp;L - Current v Proposed'!K14-P14</f>
        <v>0</v>
      </c>
      <c r="AA14" t="s">
        <v>154</v>
      </c>
      <c r="AC14">
        <v>14400</v>
      </c>
      <c r="AE14" s="412">
        <f>AB14/RIGHT(Table22[[#This Row],[Row Labels]],2)</f>
        <v>0</v>
      </c>
      <c r="AF14" s="412">
        <f>AC14/RIGHT(Table22[[#This Row],[Row Labels]],2)</f>
        <v>1200</v>
      </c>
      <c r="AG14" s="412">
        <f>AD14/RIGHT(Table22[[#This Row],[Row Labels]],2)</f>
        <v>0</v>
      </c>
      <c r="AH14" s="412">
        <f t="shared" si="10"/>
        <v>0</v>
      </c>
      <c r="AI14" s="412">
        <f t="shared" si="10"/>
        <v>300</v>
      </c>
      <c r="AJ14" s="412">
        <f t="shared" si="11"/>
        <v>0</v>
      </c>
    </row>
    <row r="15" spans="2:36" ht="21" customHeight="1" x14ac:dyDescent="0.45">
      <c r="B15" s="406" t="s">
        <v>597</v>
      </c>
      <c r="C15" s="343">
        <f>C10-C11-C14</f>
        <v>603628.14543999941</v>
      </c>
      <c r="D15" s="391">
        <f t="shared" si="12"/>
        <v>5.0149896454763671E-2</v>
      </c>
      <c r="E15" s="343">
        <f>E10-E11-E14</f>
        <v>758545.83256885456</v>
      </c>
      <c r="F15" s="391">
        <f>E15/$E$8</f>
        <v>5.1463265731824602E-2</v>
      </c>
      <c r="G15" s="416">
        <f t="shared" si="0"/>
        <v>0.25664424082798831</v>
      </c>
      <c r="H15" s="401" t="e">
        <f>H10-H11-H14</f>
        <v>#REF!</v>
      </c>
      <c r="I15" s="391" t="e">
        <f t="shared" si="13"/>
        <v>#REF!</v>
      </c>
      <c r="J15" s="414">
        <f t="shared" si="1"/>
        <v>0</v>
      </c>
      <c r="K15" s="404">
        <f t="shared" si="3"/>
        <v>0</v>
      </c>
      <c r="L15" s="405">
        <f t="shared" si="8"/>
        <v>0</v>
      </c>
      <c r="M15" s="392" t="e">
        <f>M10-M11-M14</f>
        <v>#REF!</v>
      </c>
      <c r="N15" s="391" t="e">
        <f t="shared" si="9"/>
        <v>#REF!</v>
      </c>
      <c r="O15" s="415">
        <f t="shared" si="2"/>
        <v>0</v>
      </c>
      <c r="P15" s="395">
        <f t="shared" si="4"/>
        <v>0</v>
      </c>
      <c r="Q15" s="396">
        <f t="shared" si="5"/>
        <v>0</v>
      </c>
      <c r="R15" s="392" t="e">
        <f t="shared" si="6"/>
        <v>#REF!</v>
      </c>
      <c r="S15" s="391" t="e">
        <f t="shared" si="14"/>
        <v>#REF!</v>
      </c>
      <c r="T15" s="392" t="e">
        <f t="shared" si="7"/>
        <v>#REF!</v>
      </c>
      <c r="U15" s="391" t="e">
        <f t="shared" si="15"/>
        <v>#REF!</v>
      </c>
      <c r="Y15" s="410">
        <f>'[14]P&amp;L - Current v Proposed'!K15-P15</f>
        <v>-638886.10288776504</v>
      </c>
      <c r="AA15" t="s">
        <v>598</v>
      </c>
      <c r="AE15" s="412">
        <f>AB15/RIGHT(Table22[[#This Row],[Row Labels]],2)</f>
        <v>0</v>
      </c>
      <c r="AF15" s="412">
        <f>AC15/RIGHT(Table22[[#This Row],[Row Labels]],2)</f>
        <v>0</v>
      </c>
      <c r="AG15" s="412">
        <f>AD15/RIGHT(Table22[[#This Row],[Row Labels]],2)</f>
        <v>0</v>
      </c>
      <c r="AH15" s="412">
        <f t="shared" si="10"/>
        <v>0</v>
      </c>
      <c r="AI15" s="412">
        <f t="shared" si="10"/>
        <v>0</v>
      </c>
      <c r="AJ15" s="412">
        <f t="shared" si="11"/>
        <v>0</v>
      </c>
    </row>
    <row r="16" spans="2:36" ht="21.75" customHeight="1" x14ac:dyDescent="0.45">
      <c r="B16" s="406" t="s">
        <v>165</v>
      </c>
      <c r="C16" s="343">
        <v>2000</v>
      </c>
      <c r="D16" s="391">
        <f t="shared" si="12"/>
        <v>1.6616155768617508E-4</v>
      </c>
      <c r="E16" s="343">
        <v>0</v>
      </c>
      <c r="F16" s="391">
        <f>E16/$E$8</f>
        <v>0</v>
      </c>
      <c r="G16" s="416">
        <f t="shared" si="0"/>
        <v>-1</v>
      </c>
      <c r="H16" s="401">
        <v>0</v>
      </c>
      <c r="I16" s="391" t="e">
        <f t="shared" si="13"/>
        <v>#REF!</v>
      </c>
      <c r="J16" s="414">
        <f t="shared" si="1"/>
        <v>-1</v>
      </c>
      <c r="K16" s="404">
        <f t="shared" si="3"/>
        <v>0</v>
      </c>
      <c r="L16" s="405">
        <f t="shared" si="8"/>
        <v>0</v>
      </c>
      <c r="M16" s="392">
        <v>0</v>
      </c>
      <c r="N16" s="391" t="e">
        <f t="shared" si="9"/>
        <v>#REF!</v>
      </c>
      <c r="O16" s="415">
        <f t="shared" si="2"/>
        <v>-1</v>
      </c>
      <c r="P16" s="395">
        <f t="shared" si="4"/>
        <v>0</v>
      </c>
      <c r="Q16" s="396">
        <f t="shared" si="5"/>
        <v>0</v>
      </c>
      <c r="R16" s="392">
        <f t="shared" si="6"/>
        <v>0</v>
      </c>
      <c r="S16" s="391" t="e">
        <f t="shared" si="14"/>
        <v>#REF!</v>
      </c>
      <c r="T16" s="392">
        <f t="shared" si="7"/>
        <v>0</v>
      </c>
      <c r="U16" s="391" t="e">
        <f t="shared" si="15"/>
        <v>#REF!</v>
      </c>
      <c r="Y16" s="410">
        <f>'[14]P&amp;L - Current v Proposed'!K16-P16</f>
        <v>0</v>
      </c>
    </row>
    <row r="17" spans="2:25" ht="21.75" customHeight="1" x14ac:dyDescent="0.45">
      <c r="B17" s="406" t="s">
        <v>599</v>
      </c>
      <c r="C17" s="343">
        <f>C15-C16</f>
        <v>601628.14543999941</v>
      </c>
      <c r="D17" s="391">
        <f t="shared" si="12"/>
        <v>4.9983734897077498E-2</v>
      </c>
      <c r="E17" s="343">
        <f>E15-E16</f>
        <v>758545.83256885456</v>
      </c>
      <c r="F17" s="391">
        <f>E17/$E$8</f>
        <v>5.1463265731824602E-2</v>
      </c>
      <c r="G17" s="416">
        <f t="shared" si="0"/>
        <v>0.26082171906052332</v>
      </c>
      <c r="H17" s="401" t="e">
        <f>H15-H16</f>
        <v>#REF!</v>
      </c>
      <c r="I17" s="391" t="e">
        <f t="shared" si="13"/>
        <v>#REF!</v>
      </c>
      <c r="J17" s="414">
        <f t="shared" si="1"/>
        <v>0</v>
      </c>
      <c r="K17" s="404">
        <f t="shared" si="3"/>
        <v>0</v>
      </c>
      <c r="L17" s="405">
        <f t="shared" si="8"/>
        <v>0</v>
      </c>
      <c r="M17" s="392" t="e">
        <f>M15-M16</f>
        <v>#REF!</v>
      </c>
      <c r="N17" s="391" t="e">
        <f t="shared" si="9"/>
        <v>#REF!</v>
      </c>
      <c r="O17" s="415">
        <f t="shared" si="2"/>
        <v>0</v>
      </c>
      <c r="P17" s="395">
        <f t="shared" si="4"/>
        <v>0</v>
      </c>
      <c r="Q17" s="396">
        <f t="shared" si="5"/>
        <v>0</v>
      </c>
      <c r="R17" s="392" t="e">
        <f t="shared" si="6"/>
        <v>#REF!</v>
      </c>
      <c r="S17" s="391" t="e">
        <f t="shared" si="14"/>
        <v>#REF!</v>
      </c>
      <c r="T17" s="392" t="e">
        <f t="shared" si="7"/>
        <v>#REF!</v>
      </c>
      <c r="U17" s="391" t="e">
        <f t="shared" si="15"/>
        <v>#REF!</v>
      </c>
      <c r="Y17" s="410">
        <f>'[14]P&amp;L - Current v Proposed'!K17-P17</f>
        <v>-638886.10288776504</v>
      </c>
    </row>
    <row r="18" spans="2:25" ht="21.75" customHeight="1" x14ac:dyDescent="0.45">
      <c r="B18" s="429" t="s">
        <v>600</v>
      </c>
      <c r="C18" s="425">
        <v>32068</v>
      </c>
      <c r="D18" s="426">
        <f t="shared" si="12"/>
        <v>2.664234415940131E-3</v>
      </c>
      <c r="E18" s="425">
        <v>0</v>
      </c>
      <c r="F18" s="426">
        <f>E18/$E$8</f>
        <v>0</v>
      </c>
      <c r="G18" s="427">
        <f t="shared" si="0"/>
        <v>-1</v>
      </c>
      <c r="H18" s="425">
        <v>0</v>
      </c>
      <c r="I18" s="426" t="e">
        <f t="shared" si="13"/>
        <v>#REF!</v>
      </c>
      <c r="J18" s="427">
        <f t="shared" si="1"/>
        <v>-1</v>
      </c>
      <c r="K18" s="428">
        <f t="shared" si="3"/>
        <v>0</v>
      </c>
      <c r="L18" s="427">
        <f t="shared" si="8"/>
        <v>0</v>
      </c>
      <c r="M18" s="425">
        <v>0</v>
      </c>
      <c r="N18" s="426" t="e">
        <f t="shared" si="9"/>
        <v>#REF!</v>
      </c>
      <c r="O18" s="427">
        <f t="shared" si="2"/>
        <v>-1</v>
      </c>
      <c r="P18" s="428">
        <f t="shared" si="4"/>
        <v>0</v>
      </c>
      <c r="Q18" s="427">
        <f t="shared" si="5"/>
        <v>0</v>
      </c>
      <c r="R18" s="425">
        <f t="shared" si="6"/>
        <v>0</v>
      </c>
      <c r="S18" s="426" t="e">
        <f t="shared" si="14"/>
        <v>#REF!</v>
      </c>
      <c r="T18" s="425">
        <f t="shared" si="7"/>
        <v>0</v>
      </c>
      <c r="U18" s="426" t="e">
        <f t="shared" si="15"/>
        <v>#REF!</v>
      </c>
    </row>
    <row r="19" spans="2:25" ht="21.75" customHeight="1" x14ac:dyDescent="0.45">
      <c r="B19" s="406" t="s">
        <v>599</v>
      </c>
      <c r="C19" s="343">
        <f>C17+C18</f>
        <v>633696.14543999941</v>
      </c>
      <c r="D19" s="391">
        <f t="shared" si="12"/>
        <v>5.2647969313017629E-2</v>
      </c>
      <c r="E19" s="343">
        <f>E17+E18</f>
        <v>758545.83256885456</v>
      </c>
      <c r="F19" s="391">
        <f>E19/$E$8</f>
        <v>5.1463265731824602E-2</v>
      </c>
      <c r="G19" s="416">
        <f t="shared" si="0"/>
        <v>0.19701822084173681</v>
      </c>
      <c r="H19" s="401" t="e">
        <f>H17+H18</f>
        <v>#REF!</v>
      </c>
      <c r="I19" s="391" t="e">
        <f t="shared" si="13"/>
        <v>#REF!</v>
      </c>
      <c r="J19" s="414">
        <f t="shared" si="1"/>
        <v>0</v>
      </c>
      <c r="K19" s="404">
        <f t="shared" si="3"/>
        <v>0</v>
      </c>
      <c r="L19" s="405">
        <f t="shared" si="8"/>
        <v>0</v>
      </c>
      <c r="M19" s="392" t="e">
        <f>M17+M18</f>
        <v>#REF!</v>
      </c>
      <c r="N19" s="391" t="e">
        <f t="shared" si="9"/>
        <v>#REF!</v>
      </c>
      <c r="O19" s="415">
        <f t="shared" si="2"/>
        <v>0</v>
      </c>
      <c r="P19" s="395">
        <f t="shared" si="4"/>
        <v>0</v>
      </c>
      <c r="Q19" s="396">
        <f t="shared" si="5"/>
        <v>0</v>
      </c>
      <c r="R19" s="392" t="e">
        <f t="shared" si="6"/>
        <v>#REF!</v>
      </c>
      <c r="S19" s="391" t="e">
        <f t="shared" si="14"/>
        <v>#REF!</v>
      </c>
      <c r="T19" s="392" t="e">
        <f t="shared" si="7"/>
        <v>#REF!</v>
      </c>
      <c r="U19" s="391" t="e">
        <f t="shared" si="15"/>
        <v>#REF!</v>
      </c>
    </row>
    <row r="21" spans="2:25" x14ac:dyDescent="0.45">
      <c r="H21" s="546"/>
      <c r="I21" s="340"/>
      <c r="J21" s="340"/>
      <c r="K21" s="340"/>
      <c r="L21" s="340"/>
      <c r="M21" s="546"/>
    </row>
  </sheetData>
  <pageMargins left="0.7" right="0.7" top="0.75" bottom="0.75" header="0.3" footer="0.3"/>
  <pageSetup paperSize="9" orientation="portrait" verticalDpi="598" r:id="rId1"/>
  <customProperties>
    <customPr name="_pios_id" r:id="rId2"/>
  </customProperties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6CC4-CC22-4025-BDDC-BD3985DD03F8}">
  <sheetPr>
    <pageSetUpPr fitToPage="1"/>
  </sheetPr>
  <dimension ref="B1:O236"/>
  <sheetViews>
    <sheetView showGridLines="0" zoomScale="70" zoomScaleNormal="70" workbookViewId="0">
      <selection activeCell="AA9" sqref="AA9"/>
    </sheetView>
  </sheetViews>
  <sheetFormatPr defaultRowHeight="14.25" outlineLevelRow="1" x14ac:dyDescent="0.45"/>
  <cols>
    <col min="1" max="1" width="3" customWidth="1"/>
    <col min="2" max="2" width="16.86328125" customWidth="1"/>
    <col min="3" max="3" width="42.265625" customWidth="1"/>
    <col min="4" max="4" width="15.1328125" hidden="1" customWidth="1"/>
    <col min="5" max="6" width="12.86328125" hidden="1" customWidth="1"/>
    <col min="7" max="7" width="12.86328125" customWidth="1"/>
    <col min="8" max="8" width="15" bestFit="1" customWidth="1"/>
    <col min="9" max="10" width="15.86328125" bestFit="1" customWidth="1"/>
    <col min="11" max="11" width="15" bestFit="1" customWidth="1"/>
    <col min="12" max="14" width="15.86328125" bestFit="1" customWidth="1"/>
    <col min="15" max="15" width="15.3984375" customWidth="1"/>
  </cols>
  <sheetData>
    <row r="1" spans="2:14" ht="30.75" x14ac:dyDescent="0.9">
      <c r="B1" s="501" t="s">
        <v>604</v>
      </c>
    </row>
    <row r="3" spans="2:14" x14ac:dyDescent="0.45">
      <c r="B3" s="1390" t="s">
        <v>307</v>
      </c>
      <c r="C3" s="1391"/>
      <c r="D3" s="1394" t="s">
        <v>12</v>
      </c>
      <c r="E3" s="1394"/>
      <c r="F3" s="1394"/>
      <c r="G3" s="1395" t="s">
        <v>605</v>
      </c>
      <c r="H3" s="1395"/>
      <c r="I3" s="1395"/>
      <c r="J3" s="1395"/>
      <c r="K3" s="1395"/>
      <c r="L3" s="1395"/>
      <c r="M3" s="1395"/>
      <c r="N3" s="1395"/>
    </row>
    <row r="4" spans="2:14" x14ac:dyDescent="0.45">
      <c r="B4" s="1392"/>
      <c r="C4" s="1393"/>
      <c r="D4" s="482">
        <v>2020</v>
      </c>
      <c r="E4" s="481">
        <v>2021</v>
      </c>
      <c r="F4" s="480">
        <v>2022</v>
      </c>
      <c r="G4" s="482">
        <v>2023</v>
      </c>
      <c r="H4" s="481">
        <v>2024</v>
      </c>
      <c r="I4" s="481">
        <v>2025</v>
      </c>
      <c r="J4" s="481">
        <v>2026</v>
      </c>
      <c r="K4" s="481">
        <v>2027</v>
      </c>
      <c r="L4" s="481">
        <v>2028</v>
      </c>
      <c r="M4" s="481">
        <v>2029</v>
      </c>
      <c r="N4" s="480">
        <v>2030</v>
      </c>
    </row>
    <row r="5" spans="2:14" x14ac:dyDescent="0.45">
      <c r="B5" s="1396" t="s">
        <v>606</v>
      </c>
      <c r="C5" s="499" t="s">
        <v>258</v>
      </c>
      <c r="D5" s="442">
        <v>55337116</v>
      </c>
      <c r="E5" s="442">
        <v>90092532</v>
      </c>
      <c r="F5" s="441">
        <v>110001940</v>
      </c>
      <c r="G5" s="334">
        <v>143010497</v>
      </c>
      <c r="H5" s="334">
        <v>182338383</v>
      </c>
      <c r="I5" s="334">
        <v>225000095</v>
      </c>
      <c r="J5" s="334">
        <v>275000741</v>
      </c>
      <c r="K5" s="334">
        <v>330000889</v>
      </c>
      <c r="L5" s="334">
        <v>390000991</v>
      </c>
      <c r="M5" s="334">
        <v>450002643</v>
      </c>
      <c r="N5" s="437">
        <v>500006937</v>
      </c>
    </row>
    <row r="6" spans="2:14" x14ac:dyDescent="0.45">
      <c r="B6" s="1397"/>
      <c r="C6" s="500" t="s">
        <v>253</v>
      </c>
      <c r="D6" s="475">
        <v>33580560</v>
      </c>
      <c r="E6" s="475">
        <v>42609040</v>
      </c>
      <c r="F6" s="474">
        <v>52362608</v>
      </c>
      <c r="G6" s="475">
        <v>67675100</v>
      </c>
      <c r="H6" s="475">
        <v>86330324</v>
      </c>
      <c r="I6" s="475">
        <v>107514030</v>
      </c>
      <c r="J6" s="475">
        <v>130873139</v>
      </c>
      <c r="K6" s="475">
        <v>156363102</v>
      </c>
      <c r="L6" s="475">
        <v>184376727</v>
      </c>
      <c r="M6" s="475">
        <v>213643092</v>
      </c>
      <c r="N6" s="474">
        <v>237308111</v>
      </c>
    </row>
    <row r="7" spans="2:14" x14ac:dyDescent="0.45">
      <c r="B7" s="1397"/>
      <c r="C7" s="500" t="s">
        <v>254</v>
      </c>
      <c r="D7" s="475">
        <v>8114880</v>
      </c>
      <c r="E7" s="475">
        <v>12087440</v>
      </c>
      <c r="F7" s="474">
        <v>15760000</v>
      </c>
      <c r="G7" s="475">
        <v>19387158</v>
      </c>
      <c r="H7" s="475">
        <v>24702419</v>
      </c>
      <c r="I7" s="475">
        <v>30087043</v>
      </c>
      <c r="J7" s="475">
        <v>36794525</v>
      </c>
      <c r="K7" s="475">
        <v>44664760</v>
      </c>
      <c r="L7" s="475">
        <v>52954617</v>
      </c>
      <c r="M7" s="475">
        <v>61371687</v>
      </c>
      <c r="N7" s="474">
        <v>67991306</v>
      </c>
    </row>
    <row r="8" spans="2:14" x14ac:dyDescent="0.45">
      <c r="B8" s="1397"/>
      <c r="C8" s="500" t="s">
        <v>233</v>
      </c>
      <c r="D8" s="475">
        <v>11492280</v>
      </c>
      <c r="E8" s="475">
        <v>34491800</v>
      </c>
      <c r="F8" s="474">
        <v>40532932</v>
      </c>
      <c r="G8" s="475">
        <v>54804155</v>
      </c>
      <c r="H8" s="475">
        <v>70011038</v>
      </c>
      <c r="I8" s="475">
        <v>85914021</v>
      </c>
      <c r="J8" s="475">
        <v>105573071</v>
      </c>
      <c r="K8" s="475">
        <v>126993022</v>
      </c>
      <c r="L8" s="475">
        <v>150446641</v>
      </c>
      <c r="M8" s="475">
        <v>172467850</v>
      </c>
      <c r="N8" s="474">
        <v>192057483</v>
      </c>
    </row>
    <row r="9" spans="2:14" x14ac:dyDescent="0.45">
      <c r="B9" s="1397"/>
      <c r="C9" s="498" t="s">
        <v>259</v>
      </c>
      <c r="D9" s="334">
        <v>1413930</v>
      </c>
      <c r="E9" s="334">
        <v>2277101</v>
      </c>
      <c r="F9" s="437">
        <v>2793488</v>
      </c>
      <c r="G9" s="334">
        <v>3616974</v>
      </c>
      <c r="H9" s="334">
        <v>4607387</v>
      </c>
      <c r="I9" s="334">
        <v>5681440</v>
      </c>
      <c r="J9" s="334">
        <v>6943998</v>
      </c>
      <c r="K9" s="334">
        <v>8327022</v>
      </c>
      <c r="L9" s="334">
        <v>9834200</v>
      </c>
      <c r="M9" s="334">
        <v>11344567</v>
      </c>
      <c r="N9" s="437">
        <v>12596425</v>
      </c>
    </row>
    <row r="10" spans="2:14" x14ac:dyDescent="0.45">
      <c r="B10" s="1397"/>
      <c r="C10" s="498" t="s">
        <v>607</v>
      </c>
      <c r="D10" s="472">
        <f t="shared" ref="D10:N10" si="0">D5/D9</f>
        <v>39.137097310333608</v>
      </c>
      <c r="E10" s="472">
        <f t="shared" si="0"/>
        <v>39.564574430383196</v>
      </c>
      <c r="F10" s="471">
        <f t="shared" si="0"/>
        <v>39.377989094637243</v>
      </c>
      <c r="G10" s="472">
        <f t="shared" si="0"/>
        <v>39.538713023649052</v>
      </c>
      <c r="H10" s="472">
        <f t="shared" si="0"/>
        <v>39.575226261653299</v>
      </c>
      <c r="I10" s="472">
        <f t="shared" si="0"/>
        <v>39.602652672561888</v>
      </c>
      <c r="J10" s="472">
        <f t="shared" si="0"/>
        <v>39.602652679335449</v>
      </c>
      <c r="K10" s="472">
        <f t="shared" si="0"/>
        <v>39.630120948401483</v>
      </c>
      <c r="L10" s="472">
        <f t="shared" si="0"/>
        <v>39.65762248073051</v>
      </c>
      <c r="M10" s="472">
        <f t="shared" si="0"/>
        <v>39.666797595712559</v>
      </c>
      <c r="N10" s="471">
        <f t="shared" si="0"/>
        <v>39.694352723094049</v>
      </c>
    </row>
    <row r="11" spans="2:14" x14ac:dyDescent="0.45">
      <c r="B11" s="1397"/>
      <c r="C11" s="498" t="s">
        <v>608</v>
      </c>
      <c r="D11" s="334">
        <v>7635577</v>
      </c>
      <c r="E11" s="334">
        <v>12036091.199999999</v>
      </c>
      <c r="F11" s="437">
        <v>14729378.550000001</v>
      </c>
      <c r="G11" s="334">
        <v>23384984</v>
      </c>
      <c r="H11" s="334">
        <v>30098789</v>
      </c>
      <c r="I11" s="334">
        <v>37498528</v>
      </c>
      <c r="J11" s="334">
        <v>46289996</v>
      </c>
      <c r="K11" s="334">
        <v>56082678</v>
      </c>
      <c r="L11" s="334">
        <v>66918804</v>
      </c>
      <c r="M11" s="334">
        <v>77977272</v>
      </c>
      <c r="N11" s="437">
        <v>87477780</v>
      </c>
    </row>
    <row r="12" spans="2:14" x14ac:dyDescent="0.45">
      <c r="B12" s="1398"/>
      <c r="C12" s="498" t="s">
        <v>609</v>
      </c>
      <c r="D12" s="469">
        <f t="shared" ref="D12:N12" si="1">D11/D9</f>
        <v>5.4002510732497369</v>
      </c>
      <c r="E12" s="469">
        <f t="shared" si="1"/>
        <v>5.2857080999042196</v>
      </c>
      <c r="F12" s="468">
        <f t="shared" si="1"/>
        <v>5.2727552615225131</v>
      </c>
      <c r="G12" s="469">
        <f t="shared" si="1"/>
        <v>6.4653447882124668</v>
      </c>
      <c r="H12" s="469">
        <f t="shared" si="1"/>
        <v>6.5327242968736945</v>
      </c>
      <c r="I12" s="469">
        <f t="shared" si="1"/>
        <v>6.6001802359965076</v>
      </c>
      <c r="J12" s="469">
        <f t="shared" si="1"/>
        <v>6.6661879798928512</v>
      </c>
      <c r="K12" s="469">
        <f t="shared" si="1"/>
        <v>6.7350221964106733</v>
      </c>
      <c r="L12" s="469">
        <f t="shared" si="1"/>
        <v>6.8047023652152694</v>
      </c>
      <c r="M12" s="469">
        <f t="shared" si="1"/>
        <v>6.873534441640655</v>
      </c>
      <c r="N12" s="468">
        <f t="shared" si="1"/>
        <v>6.9446513594134842</v>
      </c>
    </row>
    <row r="13" spans="2:14" outlineLevel="1" x14ac:dyDescent="0.45">
      <c r="B13" s="1399" t="s">
        <v>307</v>
      </c>
      <c r="C13" s="499" t="s">
        <v>610</v>
      </c>
      <c r="D13" s="442">
        <f>'Pricing Structure - All SKU'!G$32*D9</f>
        <v>10406524.800000001</v>
      </c>
      <c r="E13" s="442">
        <f>'Pricing Structure - All SKU'!I32*E$9</f>
        <v>16759463.360000001</v>
      </c>
      <c r="F13" s="442" t="e">
        <f>'Pricing Structure - All SKU'!#REF!*F$9</f>
        <v>#REF!</v>
      </c>
      <c r="G13" s="443" t="e">
        <f>'Pricing Structure - All SKU'!#REF!*G$9</f>
        <v>#REF!</v>
      </c>
      <c r="H13" s="442" t="e">
        <f>'Pricing Structure - All SKU'!#REF!*H$9</f>
        <v>#REF!</v>
      </c>
      <c r="I13" s="442" t="e">
        <f>'Pricing Structure - All SKU'!#REF!*I$9</f>
        <v>#REF!</v>
      </c>
      <c r="J13" s="442" t="e">
        <f>'Pricing Structure - All SKU'!#REF!*J$9</f>
        <v>#REF!</v>
      </c>
      <c r="K13" s="442" t="e">
        <f>'Pricing Structure - All SKU'!#REF!*K$9</f>
        <v>#REF!</v>
      </c>
      <c r="L13" s="442" t="e">
        <f>'Pricing Structure - All SKU'!#REF!*L$9</f>
        <v>#REF!</v>
      </c>
      <c r="M13" s="442" t="e">
        <f>'Pricing Structure - All SKU'!#REF!*M$9</f>
        <v>#REF!</v>
      </c>
      <c r="N13" s="441" t="e">
        <f>'Pricing Structure - All SKU'!#REF!*N$9</f>
        <v>#REF!</v>
      </c>
    </row>
    <row r="14" spans="2:14" outlineLevel="1" x14ac:dyDescent="0.45">
      <c r="B14" s="1400"/>
      <c r="C14" s="498" t="s">
        <v>611</v>
      </c>
      <c r="D14" s="334">
        <f>'Pricing Structure - All SKU'!G$45*D9</f>
        <v>8986056.8344214857</v>
      </c>
      <c r="E14" s="334">
        <f>'Pricing Structure - All SKU'!I45*E$9</f>
        <v>14673451.43307847</v>
      </c>
      <c r="F14" s="334" t="e">
        <f>'Pricing Structure - All SKU'!#REF!*F$9</f>
        <v>#REF!</v>
      </c>
      <c r="G14" s="438" t="e">
        <f>'Pricing Structure - All SKU'!#REF!*G$9</f>
        <v>#REF!</v>
      </c>
      <c r="H14" s="334" t="e">
        <f>'Pricing Structure - All SKU'!#REF!*H$9</f>
        <v>#REF!</v>
      </c>
      <c r="I14" s="334" t="e">
        <f>'Pricing Structure - All SKU'!#REF!*I$9</f>
        <v>#REF!</v>
      </c>
      <c r="J14" s="334" t="e">
        <f>'Pricing Structure - All SKU'!#REF!*J$9</f>
        <v>#REF!</v>
      </c>
      <c r="K14" s="334" t="e">
        <f>'Pricing Structure - All SKU'!#REF!*K$9</f>
        <v>#REF!</v>
      </c>
      <c r="L14" s="334" t="e">
        <f>'Pricing Structure - All SKU'!#REF!*L$9</f>
        <v>#REF!</v>
      </c>
      <c r="M14" s="334" t="e">
        <f>'Pricing Structure - All SKU'!#REF!*M$9</f>
        <v>#REF!</v>
      </c>
      <c r="N14" s="437" t="e">
        <f>'Pricing Structure - All SKU'!#REF!*N$9</f>
        <v>#REF!</v>
      </c>
    </row>
    <row r="15" spans="2:14" outlineLevel="1" x14ac:dyDescent="0.45">
      <c r="B15" s="1400"/>
      <c r="C15" s="498" t="s">
        <v>612</v>
      </c>
      <c r="D15" s="334">
        <f t="shared" ref="D15:N15" si="2">D13-D14</f>
        <v>1420467.9655785151</v>
      </c>
      <c r="E15" s="334">
        <f t="shared" si="2"/>
        <v>2086011.9269215316</v>
      </c>
      <c r="F15" s="334" t="e">
        <f t="shared" si="2"/>
        <v>#REF!</v>
      </c>
      <c r="G15" s="438" t="e">
        <f t="shared" si="2"/>
        <v>#REF!</v>
      </c>
      <c r="H15" s="334" t="e">
        <f t="shared" si="2"/>
        <v>#REF!</v>
      </c>
      <c r="I15" s="334" t="e">
        <f t="shared" si="2"/>
        <v>#REF!</v>
      </c>
      <c r="J15" s="334" t="e">
        <f t="shared" si="2"/>
        <v>#REF!</v>
      </c>
      <c r="K15" s="334" t="e">
        <f t="shared" si="2"/>
        <v>#REF!</v>
      </c>
      <c r="L15" s="334" t="e">
        <f t="shared" si="2"/>
        <v>#REF!</v>
      </c>
      <c r="M15" s="334" t="e">
        <f t="shared" si="2"/>
        <v>#REF!</v>
      </c>
      <c r="N15" s="437" t="e">
        <f t="shared" si="2"/>
        <v>#REF!</v>
      </c>
    </row>
    <row r="16" spans="2:14" outlineLevel="1" x14ac:dyDescent="0.45">
      <c r="B16" s="1400"/>
      <c r="C16" s="497" t="s">
        <v>174</v>
      </c>
      <c r="D16" s="502">
        <f>D15/D13</f>
        <v>0.13649782159540089</v>
      </c>
      <c r="E16" s="503">
        <f t="shared" ref="E16:N16" si="3">E15/E13</f>
        <v>0.12446770413307144</v>
      </c>
      <c r="F16" s="503" t="e">
        <f t="shared" si="3"/>
        <v>#REF!</v>
      </c>
      <c r="G16" s="502" t="e">
        <f t="shared" si="3"/>
        <v>#REF!</v>
      </c>
      <c r="H16" s="503" t="e">
        <f t="shared" si="3"/>
        <v>#REF!</v>
      </c>
      <c r="I16" s="503" t="e">
        <f t="shared" si="3"/>
        <v>#REF!</v>
      </c>
      <c r="J16" s="503" t="e">
        <f t="shared" si="3"/>
        <v>#REF!</v>
      </c>
      <c r="K16" s="503" t="e">
        <f t="shared" si="3"/>
        <v>#REF!</v>
      </c>
      <c r="L16" s="503" t="e">
        <f t="shared" si="3"/>
        <v>#REF!</v>
      </c>
      <c r="M16" s="503" t="e">
        <f t="shared" si="3"/>
        <v>#REF!</v>
      </c>
      <c r="N16" s="504" t="e">
        <f t="shared" si="3"/>
        <v>#REF!</v>
      </c>
    </row>
    <row r="17" spans="2:14" outlineLevel="1" x14ac:dyDescent="0.45">
      <c r="B17" s="1400"/>
      <c r="C17" s="498" t="s">
        <v>613</v>
      </c>
      <c r="D17" s="438">
        <f t="shared" ref="D17:N17" si="4">8%*D13</f>
        <v>832521.98400000005</v>
      </c>
      <c r="E17" s="334">
        <f t="shared" si="4"/>
        <v>1340757.0688000002</v>
      </c>
      <c r="F17" s="334" t="e">
        <f t="shared" si="4"/>
        <v>#REF!</v>
      </c>
      <c r="G17" s="438" t="e">
        <f t="shared" si="4"/>
        <v>#REF!</v>
      </c>
      <c r="H17" s="334" t="e">
        <f t="shared" si="4"/>
        <v>#REF!</v>
      </c>
      <c r="I17" s="334" t="e">
        <f t="shared" si="4"/>
        <v>#REF!</v>
      </c>
      <c r="J17" s="334" t="e">
        <f t="shared" si="4"/>
        <v>#REF!</v>
      </c>
      <c r="K17" s="334" t="e">
        <f t="shared" si="4"/>
        <v>#REF!</v>
      </c>
      <c r="L17" s="334" t="e">
        <f t="shared" si="4"/>
        <v>#REF!</v>
      </c>
      <c r="M17" s="334" t="e">
        <f t="shared" si="4"/>
        <v>#REF!</v>
      </c>
      <c r="N17" s="437" t="e">
        <f t="shared" si="4"/>
        <v>#REF!</v>
      </c>
    </row>
    <row r="18" spans="2:14" outlineLevel="1" x14ac:dyDescent="0.45">
      <c r="B18" s="1400"/>
      <c r="C18" s="498" t="s">
        <v>614</v>
      </c>
      <c r="D18" s="438">
        <f t="shared" ref="D18:N18" si="5">D15-D17</f>
        <v>587945.98157851503</v>
      </c>
      <c r="E18" s="334">
        <f t="shared" si="5"/>
        <v>745254.85812153132</v>
      </c>
      <c r="F18" s="334" t="e">
        <f t="shared" si="5"/>
        <v>#REF!</v>
      </c>
      <c r="G18" s="438" t="e">
        <f t="shared" si="5"/>
        <v>#REF!</v>
      </c>
      <c r="H18" s="334" t="e">
        <f t="shared" si="5"/>
        <v>#REF!</v>
      </c>
      <c r="I18" s="334" t="e">
        <f t="shared" si="5"/>
        <v>#REF!</v>
      </c>
      <c r="J18" s="334" t="e">
        <f t="shared" si="5"/>
        <v>#REF!</v>
      </c>
      <c r="K18" s="334" t="e">
        <f t="shared" si="5"/>
        <v>#REF!</v>
      </c>
      <c r="L18" s="334" t="e">
        <f t="shared" si="5"/>
        <v>#REF!</v>
      </c>
      <c r="M18" s="334" t="e">
        <f t="shared" si="5"/>
        <v>#REF!</v>
      </c>
      <c r="N18" s="437" t="e">
        <f t="shared" si="5"/>
        <v>#REF!</v>
      </c>
    </row>
    <row r="19" spans="2:14" outlineLevel="1" x14ac:dyDescent="0.45">
      <c r="B19" s="1400"/>
      <c r="C19" s="497" t="s">
        <v>615</v>
      </c>
      <c r="D19" s="502">
        <f>D18/D13</f>
        <v>5.6497821595400899E-2</v>
      </c>
      <c r="E19" s="503">
        <f t="shared" ref="E19:N19" si="6">E18/E13</f>
        <v>4.4467704133071433E-2</v>
      </c>
      <c r="F19" s="503" t="e">
        <f t="shared" si="6"/>
        <v>#REF!</v>
      </c>
      <c r="G19" s="502" t="e">
        <f t="shared" si="6"/>
        <v>#REF!</v>
      </c>
      <c r="H19" s="503" t="e">
        <f t="shared" si="6"/>
        <v>#REF!</v>
      </c>
      <c r="I19" s="503" t="e">
        <f t="shared" si="6"/>
        <v>#REF!</v>
      </c>
      <c r="J19" s="503" t="e">
        <f t="shared" si="6"/>
        <v>#REF!</v>
      </c>
      <c r="K19" s="503" t="e">
        <f t="shared" si="6"/>
        <v>#REF!</v>
      </c>
      <c r="L19" s="503" t="e">
        <f t="shared" si="6"/>
        <v>#REF!</v>
      </c>
      <c r="M19" s="503" t="e">
        <f t="shared" si="6"/>
        <v>#REF!</v>
      </c>
      <c r="N19" s="504" t="e">
        <f t="shared" si="6"/>
        <v>#REF!</v>
      </c>
    </row>
    <row r="20" spans="2:14" outlineLevel="1" x14ac:dyDescent="0.45">
      <c r="B20" s="1400"/>
      <c r="C20" s="498" t="s">
        <v>616</v>
      </c>
      <c r="D20" s="438">
        <f t="shared" ref="D20:N20" si="7">20%*D18</f>
        <v>117589.19631570301</v>
      </c>
      <c r="E20" s="334">
        <f t="shared" si="7"/>
        <v>149050.97162430626</v>
      </c>
      <c r="F20" s="334" t="e">
        <f t="shared" si="7"/>
        <v>#REF!</v>
      </c>
      <c r="G20" s="438" t="e">
        <f t="shared" si="7"/>
        <v>#REF!</v>
      </c>
      <c r="H20" s="334" t="e">
        <f t="shared" si="7"/>
        <v>#REF!</v>
      </c>
      <c r="I20" s="334" t="e">
        <f t="shared" si="7"/>
        <v>#REF!</v>
      </c>
      <c r="J20" s="334" t="e">
        <f t="shared" si="7"/>
        <v>#REF!</v>
      </c>
      <c r="K20" s="334" t="e">
        <f t="shared" si="7"/>
        <v>#REF!</v>
      </c>
      <c r="L20" s="334" t="e">
        <f t="shared" si="7"/>
        <v>#REF!</v>
      </c>
      <c r="M20" s="334" t="e">
        <f t="shared" si="7"/>
        <v>#REF!</v>
      </c>
      <c r="N20" s="437" t="e">
        <f t="shared" si="7"/>
        <v>#REF!</v>
      </c>
    </row>
    <row r="21" spans="2:14" x14ac:dyDescent="0.45">
      <c r="B21" s="1400"/>
      <c r="C21" s="496" t="s">
        <v>617</v>
      </c>
      <c r="D21" s="467">
        <f t="shared" ref="D21:N21" si="8">D18-D20</f>
        <v>470356.78526281205</v>
      </c>
      <c r="E21" s="466">
        <f t="shared" si="8"/>
        <v>596203.88649722503</v>
      </c>
      <c r="F21" s="466" t="e">
        <f t="shared" si="8"/>
        <v>#REF!</v>
      </c>
      <c r="G21" s="467" t="e">
        <f t="shared" si="8"/>
        <v>#REF!</v>
      </c>
      <c r="H21" s="466" t="e">
        <f t="shared" si="8"/>
        <v>#REF!</v>
      </c>
      <c r="I21" s="466" t="e">
        <f t="shared" si="8"/>
        <v>#REF!</v>
      </c>
      <c r="J21" s="466" t="e">
        <f t="shared" si="8"/>
        <v>#REF!</v>
      </c>
      <c r="K21" s="466" t="e">
        <f t="shared" si="8"/>
        <v>#REF!</v>
      </c>
      <c r="L21" s="466" t="e">
        <f t="shared" si="8"/>
        <v>#REF!</v>
      </c>
      <c r="M21" s="466" t="e">
        <f t="shared" si="8"/>
        <v>#REF!</v>
      </c>
      <c r="N21" s="465" t="e">
        <f t="shared" si="8"/>
        <v>#REF!</v>
      </c>
    </row>
    <row r="22" spans="2:14" x14ac:dyDescent="0.45">
      <c r="B22" s="1400"/>
      <c r="C22" s="527" t="s">
        <v>618</v>
      </c>
      <c r="D22" s="505">
        <f>D21/D13</f>
        <v>4.5198257276320722E-2</v>
      </c>
      <c r="E22" s="506">
        <f t="shared" ref="E22:N22" si="9">E21/E13</f>
        <v>3.5574163306457143E-2</v>
      </c>
      <c r="F22" s="506" t="e">
        <f t="shared" si="9"/>
        <v>#REF!</v>
      </c>
      <c r="G22" s="514" t="e">
        <f t="shared" si="9"/>
        <v>#REF!</v>
      </c>
      <c r="H22" s="515" t="e">
        <f t="shared" si="9"/>
        <v>#REF!</v>
      </c>
      <c r="I22" s="515" t="e">
        <f t="shared" si="9"/>
        <v>#REF!</v>
      </c>
      <c r="J22" s="515" t="e">
        <f t="shared" si="9"/>
        <v>#REF!</v>
      </c>
      <c r="K22" s="515" t="e">
        <f t="shared" si="9"/>
        <v>#REF!</v>
      </c>
      <c r="L22" s="515" t="e">
        <f t="shared" si="9"/>
        <v>#REF!</v>
      </c>
      <c r="M22" s="515" t="e">
        <f t="shared" si="9"/>
        <v>#REF!</v>
      </c>
      <c r="N22" s="516" t="e">
        <f t="shared" si="9"/>
        <v>#REF!</v>
      </c>
    </row>
    <row r="23" spans="2:14" outlineLevel="1" x14ac:dyDescent="0.45">
      <c r="B23" s="1401" t="s">
        <v>605</v>
      </c>
      <c r="C23" s="499" t="s">
        <v>79</v>
      </c>
      <c r="D23" s="456">
        <f t="shared" ref="D23:N23" si="10">D24*D11</f>
        <v>5031043.9655496199</v>
      </c>
      <c r="E23" s="455">
        <f t="shared" si="10"/>
        <v>8089456.8955199998</v>
      </c>
      <c r="F23" s="454">
        <f t="shared" si="10"/>
        <v>10098013.86618451</v>
      </c>
      <c r="G23" s="443">
        <f t="shared" si="10"/>
        <v>18093663.67032</v>
      </c>
      <c r="H23" s="442">
        <f t="shared" si="10"/>
        <v>23016242.960409999</v>
      </c>
      <c r="I23" s="442">
        <f t="shared" si="10"/>
        <v>28292639.375999998</v>
      </c>
      <c r="J23" s="442">
        <f t="shared" si="10"/>
        <v>34778136.894760005</v>
      </c>
      <c r="K23" s="442">
        <f t="shared" si="10"/>
        <v>42683404.572240002</v>
      </c>
      <c r="L23" s="442">
        <f t="shared" si="10"/>
        <v>49792274.492279999</v>
      </c>
      <c r="M23" s="442">
        <f t="shared" si="10"/>
        <v>57797455.801848002</v>
      </c>
      <c r="N23" s="441">
        <f t="shared" si="10"/>
        <v>64613187.774719998</v>
      </c>
    </row>
    <row r="24" spans="2:14" outlineLevel="1" x14ac:dyDescent="0.45">
      <c r="B24" s="1401"/>
      <c r="C24" s="529" t="s">
        <v>619</v>
      </c>
      <c r="D24" s="461">
        <v>0.65889505999999998</v>
      </c>
      <c r="E24" s="460">
        <v>0.67210000000000003</v>
      </c>
      <c r="F24" s="459">
        <v>0.68556958000000001</v>
      </c>
      <c r="G24" s="530">
        <v>0.77373000000000003</v>
      </c>
      <c r="H24" s="458">
        <v>0.76468999999999998</v>
      </c>
      <c r="I24" s="458">
        <v>0.75449999999999995</v>
      </c>
      <c r="J24" s="458">
        <v>0.75131000000000003</v>
      </c>
      <c r="K24" s="458">
        <v>0.76107999999999998</v>
      </c>
      <c r="L24" s="458">
        <v>0.74407000000000001</v>
      </c>
      <c r="M24" s="458">
        <v>0.74120900000000001</v>
      </c>
      <c r="N24" s="457">
        <v>0.73862399999999995</v>
      </c>
    </row>
    <row r="25" spans="2:14" outlineLevel="1" x14ac:dyDescent="0.45">
      <c r="B25" s="1401"/>
      <c r="C25" s="498" t="s">
        <v>620</v>
      </c>
      <c r="D25" s="456">
        <f t="shared" ref="D25:N25" si="11">D11-D23</f>
        <v>2604533.0344503801</v>
      </c>
      <c r="E25" s="455">
        <f t="shared" si="11"/>
        <v>3946634.3044799995</v>
      </c>
      <c r="F25" s="454">
        <f t="shared" si="11"/>
        <v>4631364.6838154905</v>
      </c>
      <c r="G25" s="438">
        <f t="shared" si="11"/>
        <v>5291320.3296799995</v>
      </c>
      <c r="H25" s="334">
        <f t="shared" si="11"/>
        <v>7082546.0395900011</v>
      </c>
      <c r="I25" s="334">
        <f t="shared" si="11"/>
        <v>9205888.6240000017</v>
      </c>
      <c r="J25" s="334">
        <f t="shared" si="11"/>
        <v>11511859.105239995</v>
      </c>
      <c r="K25" s="334">
        <f t="shared" si="11"/>
        <v>13399273.427759998</v>
      </c>
      <c r="L25" s="334">
        <f t="shared" si="11"/>
        <v>17126529.507720001</v>
      </c>
      <c r="M25" s="334">
        <f t="shared" si="11"/>
        <v>20179816.198151998</v>
      </c>
      <c r="N25" s="437">
        <f t="shared" si="11"/>
        <v>22864592.225280002</v>
      </c>
    </row>
    <row r="26" spans="2:14" outlineLevel="1" x14ac:dyDescent="0.45">
      <c r="B26" s="1401"/>
      <c r="C26" s="497" t="s">
        <v>621</v>
      </c>
      <c r="D26" s="451">
        <f t="shared" ref="D26:N26" si="12">D25/D11</f>
        <v>0.34110494000000002</v>
      </c>
      <c r="E26" s="450">
        <f t="shared" si="12"/>
        <v>0.32789999999999997</v>
      </c>
      <c r="F26" s="449">
        <f t="shared" si="12"/>
        <v>0.31443041999999993</v>
      </c>
      <c r="G26" s="531">
        <f t="shared" si="12"/>
        <v>0.22626999999999997</v>
      </c>
      <c r="H26" s="448">
        <f t="shared" si="12"/>
        <v>0.23531000000000005</v>
      </c>
      <c r="I26" s="448">
        <f t="shared" si="12"/>
        <v>0.24550000000000005</v>
      </c>
      <c r="J26" s="448">
        <f t="shared" si="12"/>
        <v>0.24868999999999988</v>
      </c>
      <c r="K26" s="448">
        <f t="shared" si="12"/>
        <v>0.23891999999999997</v>
      </c>
      <c r="L26" s="448">
        <f t="shared" si="12"/>
        <v>0.25592999999999999</v>
      </c>
      <c r="M26" s="448">
        <f t="shared" si="12"/>
        <v>0.25879099999999999</v>
      </c>
      <c r="N26" s="447">
        <f t="shared" si="12"/>
        <v>0.261376</v>
      </c>
    </row>
    <row r="27" spans="2:14" outlineLevel="1" x14ac:dyDescent="0.45">
      <c r="B27" s="1401"/>
      <c r="C27" s="498" t="s">
        <v>622</v>
      </c>
      <c r="D27" s="456">
        <f>D6/D5*('[16]All SKU Pricing Structure'!$G$48+'[16]All SKU Pricing Structure'!$G$82)*D9+D7/D5*('[16]All SKU Pricing Structure'!$I$48+'[16]All SKU Pricing Structure'!$I$82)*D9+D8/D5*('[16]All SKU Pricing Structure'!$K$48+'[16]All SKU Pricing Structure'!$K$82)*D9+207154</f>
        <v>1764290.6347577637</v>
      </c>
      <c r="E27" s="455">
        <f>E6/E5*('[16]All SKU Pricing Structure'!$G$48+'[16]All SKU Pricing Structure'!$G$82)*E9+E7/E5*('[16]All SKU Pricing Structure'!$I$48+'[16]All SKU Pricing Structure'!$I$82)*E9+E8/E5*('[16]All SKU Pricing Structure'!$K$48+'[16]All SKU Pricing Structure'!$K$82)*E9+300022</f>
        <v>2507803.4119724375</v>
      </c>
      <c r="F27" s="454">
        <f>F6/F5*('[16]All SKU Pricing Structure'!$G$48+'[16]All SKU Pricing Structure'!$G$82)*F9+F7/F5*('[16]All SKU Pricing Structure'!$I$48+'[16]All SKU Pricing Structure'!$I$82)*F9+F8/F5*('[16]All SKU Pricing Structure'!$K$48+'[16]All SKU Pricing Structure'!$K$82)*F9+412530</f>
        <v>3146159.2805937054</v>
      </c>
      <c r="G27" s="438">
        <v>3220613</v>
      </c>
      <c r="H27" s="334">
        <v>3784696</v>
      </c>
      <c r="I27" s="334">
        <v>4672333</v>
      </c>
      <c r="J27" s="334">
        <v>5525702</v>
      </c>
      <c r="K27" s="334">
        <v>6173874</v>
      </c>
      <c r="L27" s="334">
        <v>6947411</v>
      </c>
      <c r="M27" s="334">
        <v>7735720</v>
      </c>
      <c r="N27" s="437">
        <v>8618962</v>
      </c>
    </row>
    <row r="28" spans="2:14" outlineLevel="1" x14ac:dyDescent="0.45">
      <c r="B28" s="1401"/>
      <c r="C28" s="498" t="s">
        <v>623</v>
      </c>
      <c r="D28" s="456">
        <f t="shared" ref="D28:N28" si="13">D25-D27</f>
        <v>840242.39969261643</v>
      </c>
      <c r="E28" s="455">
        <f t="shared" si="13"/>
        <v>1438830.8925075619</v>
      </c>
      <c r="F28" s="454">
        <f t="shared" si="13"/>
        <v>1485205.4032217851</v>
      </c>
      <c r="G28" s="438">
        <f t="shared" si="13"/>
        <v>2070707.3296799995</v>
      </c>
      <c r="H28" s="334">
        <f t="shared" si="13"/>
        <v>3297850.0395900011</v>
      </c>
      <c r="I28" s="334">
        <f t="shared" si="13"/>
        <v>4533555.6240000017</v>
      </c>
      <c r="J28" s="334">
        <f t="shared" si="13"/>
        <v>5986157.1052399948</v>
      </c>
      <c r="K28" s="334">
        <f t="shared" si="13"/>
        <v>7225399.4277599975</v>
      </c>
      <c r="L28" s="334">
        <f t="shared" si="13"/>
        <v>10179118.507720001</v>
      </c>
      <c r="M28" s="334">
        <f t="shared" si="13"/>
        <v>12444096.198151998</v>
      </c>
      <c r="N28" s="437">
        <f t="shared" si="13"/>
        <v>14245630.225280002</v>
      </c>
    </row>
    <row r="29" spans="2:14" outlineLevel="1" x14ac:dyDescent="0.45">
      <c r="B29" s="1401"/>
      <c r="C29" s="497" t="s">
        <v>624</v>
      </c>
      <c r="D29" s="451" t="e">
        <f>D28/#REF!</f>
        <v>#REF!</v>
      </c>
      <c r="E29" s="450" t="e">
        <f>E28/#REF!</f>
        <v>#REF!</v>
      </c>
      <c r="F29" s="449" t="e">
        <f>F28/#REF!</f>
        <v>#REF!</v>
      </c>
      <c r="G29" s="531">
        <f t="shared" ref="G29:N29" si="14">G28/G11</f>
        <v>8.854858868750988E-2</v>
      </c>
      <c r="H29" s="448">
        <f t="shared" si="14"/>
        <v>0.10956753242098879</v>
      </c>
      <c r="I29" s="448">
        <f t="shared" si="14"/>
        <v>0.12089956235082086</v>
      </c>
      <c r="J29" s="448">
        <f t="shared" si="14"/>
        <v>0.12931859197481882</v>
      </c>
      <c r="K29" s="448">
        <f t="shared" si="14"/>
        <v>0.12883477903391127</v>
      </c>
      <c r="L29" s="448">
        <f t="shared" si="14"/>
        <v>0.15211148286093101</v>
      </c>
      <c r="M29" s="448">
        <f t="shared" si="14"/>
        <v>0.15958619581038944</v>
      </c>
      <c r="N29" s="447">
        <f t="shared" si="14"/>
        <v>0.16284855680242458</v>
      </c>
    </row>
    <row r="30" spans="2:14" outlineLevel="1" x14ac:dyDescent="0.45">
      <c r="B30" s="1401"/>
      <c r="C30" s="498" t="s">
        <v>625</v>
      </c>
      <c r="D30" s="456"/>
      <c r="E30" s="455"/>
      <c r="F30" s="454"/>
      <c r="G30" s="438">
        <v>795339</v>
      </c>
      <c r="H30" s="334">
        <v>1025126</v>
      </c>
      <c r="I30" s="334">
        <v>1278268</v>
      </c>
      <c r="J30" s="334">
        <v>1578273</v>
      </c>
      <c r="K30" s="334">
        <v>1913637</v>
      </c>
      <c r="L30" s="334">
        <v>2284875</v>
      </c>
      <c r="M30" s="334">
        <v>2663035</v>
      </c>
      <c r="N30" s="437">
        <v>2989443</v>
      </c>
    </row>
    <row r="31" spans="2:14" outlineLevel="1" x14ac:dyDescent="0.45">
      <c r="B31" s="1401"/>
      <c r="C31" s="498" t="s">
        <v>626</v>
      </c>
      <c r="D31" s="456"/>
      <c r="E31" s="455"/>
      <c r="F31" s="454"/>
      <c r="G31" s="438">
        <f t="shared" ref="G31:N31" si="15">G28-G30</f>
        <v>1275368.3296799995</v>
      </c>
      <c r="H31" s="334">
        <f t="shared" si="15"/>
        <v>2272724.0395900011</v>
      </c>
      <c r="I31" s="334">
        <f t="shared" si="15"/>
        <v>3255287.6240000017</v>
      </c>
      <c r="J31" s="334">
        <f t="shared" si="15"/>
        <v>4407884.1052399948</v>
      </c>
      <c r="K31" s="334">
        <f t="shared" si="15"/>
        <v>5311762.4277599975</v>
      </c>
      <c r="L31" s="334">
        <f t="shared" si="15"/>
        <v>7894243.507720001</v>
      </c>
      <c r="M31" s="334">
        <f t="shared" si="15"/>
        <v>9781061.1981519982</v>
      </c>
      <c r="N31" s="437">
        <f t="shared" si="15"/>
        <v>11256187.225280002</v>
      </c>
    </row>
    <row r="32" spans="2:14" outlineLevel="1" x14ac:dyDescent="0.45">
      <c r="B32" s="1401"/>
      <c r="C32" s="497" t="s">
        <v>627</v>
      </c>
      <c r="D32" s="451"/>
      <c r="E32" s="450"/>
      <c r="F32" s="449"/>
      <c r="G32" s="531">
        <f t="shared" ref="G32:N32" si="16">G31/G11</f>
        <v>5.4537917566246763E-2</v>
      </c>
      <c r="H32" s="448">
        <f t="shared" si="16"/>
        <v>7.5508819959168499E-2</v>
      </c>
      <c r="I32" s="448">
        <f t="shared" si="16"/>
        <v>8.6811077597499342E-2</v>
      </c>
      <c r="J32" s="448">
        <f t="shared" si="16"/>
        <v>9.5223255263188936E-2</v>
      </c>
      <c r="K32" s="448">
        <f t="shared" si="16"/>
        <v>9.4713066800412013E-2</v>
      </c>
      <c r="L32" s="448">
        <f t="shared" si="16"/>
        <v>0.11796749248118663</v>
      </c>
      <c r="M32" s="448">
        <f t="shared" si="16"/>
        <v>0.12543477025141375</v>
      </c>
      <c r="N32" s="447">
        <f t="shared" si="16"/>
        <v>0.12867481576784415</v>
      </c>
    </row>
    <row r="33" spans="2:15" outlineLevel="1" x14ac:dyDescent="0.45">
      <c r="B33" s="1401"/>
      <c r="C33" s="498" t="s">
        <v>628</v>
      </c>
      <c r="D33" s="456"/>
      <c r="E33" s="455"/>
      <c r="F33" s="454"/>
      <c r="G33" s="438">
        <v>0</v>
      </c>
      <c r="H33" s="334">
        <v>0</v>
      </c>
      <c r="I33" s="334">
        <v>0</v>
      </c>
      <c r="J33" s="334">
        <v>0</v>
      </c>
      <c r="K33" s="334">
        <v>0</v>
      </c>
      <c r="L33" s="334">
        <v>1578887</v>
      </c>
      <c r="M33" s="334">
        <v>1956209</v>
      </c>
      <c r="N33" s="437">
        <v>2251243</v>
      </c>
    </row>
    <row r="34" spans="2:15" x14ac:dyDescent="0.45">
      <c r="B34" s="1401"/>
      <c r="C34" s="495" t="s">
        <v>629</v>
      </c>
      <c r="D34" s="494">
        <f>D28-(D30+D33)</f>
        <v>840242.39969261643</v>
      </c>
      <c r="E34" s="494">
        <f>E28-(E30+E33)</f>
        <v>1438830.8925075619</v>
      </c>
      <c r="F34" s="494">
        <f>F28-(F30+F33)</f>
        <v>1485205.4032217851</v>
      </c>
      <c r="G34" s="493">
        <f t="shared" ref="G34:N34" si="17">G31-G33</f>
        <v>1275368.3296799995</v>
      </c>
      <c r="H34" s="492">
        <f t="shared" si="17"/>
        <v>2272724.0395900011</v>
      </c>
      <c r="I34" s="492">
        <f t="shared" si="17"/>
        <v>3255287.6240000017</v>
      </c>
      <c r="J34" s="492">
        <f t="shared" si="17"/>
        <v>4407884.1052399948</v>
      </c>
      <c r="K34" s="492">
        <f t="shared" si="17"/>
        <v>5311762.4277599975</v>
      </c>
      <c r="L34" s="492">
        <f t="shared" si="17"/>
        <v>6315356.507720001</v>
      </c>
      <c r="M34" s="492">
        <f t="shared" si="17"/>
        <v>7824852.1981519982</v>
      </c>
      <c r="N34" s="491">
        <f t="shared" si="17"/>
        <v>9004944.2252800018</v>
      </c>
    </row>
    <row r="35" spans="2:15" outlineLevel="1" x14ac:dyDescent="0.45">
      <c r="B35" s="1401"/>
      <c r="C35" s="528" t="s">
        <v>630</v>
      </c>
      <c r="D35" s="490" t="e">
        <f>D34/#REF!</f>
        <v>#REF!</v>
      </c>
      <c r="E35" s="489" t="e">
        <f>E34/#REF!</f>
        <v>#REF!</v>
      </c>
      <c r="F35" s="488" t="e">
        <f>F34/#REF!</f>
        <v>#REF!</v>
      </c>
      <c r="G35" s="532">
        <f t="shared" ref="G35:N35" si="18">G34/G11</f>
        <v>5.4537917566246763E-2</v>
      </c>
      <c r="H35" s="487">
        <f t="shared" si="18"/>
        <v>7.5508819959168499E-2</v>
      </c>
      <c r="I35" s="487">
        <f t="shared" si="18"/>
        <v>8.6811077597499342E-2</v>
      </c>
      <c r="J35" s="487">
        <f t="shared" si="18"/>
        <v>9.5223255263188936E-2</v>
      </c>
      <c r="K35" s="487">
        <f t="shared" si="18"/>
        <v>9.4713066800412013E-2</v>
      </c>
      <c r="L35" s="487">
        <f t="shared" si="18"/>
        <v>9.4373421672628827E-2</v>
      </c>
      <c r="M35" s="487">
        <f t="shared" si="18"/>
        <v>0.10034785774695988</v>
      </c>
      <c r="N35" s="486">
        <f t="shared" si="18"/>
        <v>0.10293978911307536</v>
      </c>
    </row>
    <row r="36" spans="2:15" x14ac:dyDescent="0.45">
      <c r="B36" s="485"/>
      <c r="G36" s="334" t="e">
        <f>G34+G21</f>
        <v>#REF!</v>
      </c>
      <c r="H36" s="334" t="e">
        <f t="shared" ref="H36:N36" si="19">H34+H21</f>
        <v>#REF!</v>
      </c>
      <c r="I36" s="334" t="e">
        <f t="shared" si="19"/>
        <v>#REF!</v>
      </c>
      <c r="J36" s="334" t="e">
        <f t="shared" si="19"/>
        <v>#REF!</v>
      </c>
      <c r="K36" s="334" t="e">
        <f t="shared" si="19"/>
        <v>#REF!</v>
      </c>
      <c r="L36" s="334" t="e">
        <f t="shared" si="19"/>
        <v>#REF!</v>
      </c>
      <c r="M36" s="334" t="e">
        <f t="shared" si="19"/>
        <v>#REF!</v>
      </c>
      <c r="N36" s="334" t="e">
        <f t="shared" si="19"/>
        <v>#REF!</v>
      </c>
    </row>
    <row r="37" spans="2:15" x14ac:dyDescent="0.45">
      <c r="B37" s="48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4"/>
    </row>
    <row r="38" spans="2:15" x14ac:dyDescent="0.45">
      <c r="B38" s="48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</row>
    <row r="39" spans="2:15" ht="29.25" customHeight="1" x14ac:dyDescent="0.45">
      <c r="B39" s="484"/>
      <c r="C39" s="538" t="s">
        <v>631</v>
      </c>
      <c r="D39" s="539">
        <v>2020</v>
      </c>
      <c r="E39" s="539">
        <v>2021</v>
      </c>
      <c r="F39" s="539">
        <v>2022</v>
      </c>
      <c r="G39" s="539">
        <v>2023</v>
      </c>
      <c r="H39" s="539">
        <v>2024</v>
      </c>
      <c r="I39" s="539">
        <v>2025</v>
      </c>
      <c r="J39" s="539">
        <v>2026</v>
      </c>
      <c r="K39" s="539">
        <v>2027</v>
      </c>
      <c r="L39" s="539">
        <v>2028</v>
      </c>
      <c r="M39" s="539">
        <v>2029</v>
      </c>
      <c r="N39" s="539">
        <v>2030</v>
      </c>
      <c r="O39" s="540" t="s">
        <v>632</v>
      </c>
    </row>
    <row r="40" spans="2:15" s="520" customFormat="1" ht="30" customHeight="1" x14ac:dyDescent="0.45">
      <c r="B40" s="484"/>
      <c r="C40" s="536" t="s">
        <v>307</v>
      </c>
      <c r="D40" s="522">
        <f t="shared" ref="D40:N40" si="20">D21</f>
        <v>470356.78526281205</v>
      </c>
      <c r="E40" s="522">
        <f t="shared" si="20"/>
        <v>596203.88649722503</v>
      </c>
      <c r="F40" s="522" t="e">
        <f t="shared" si="20"/>
        <v>#REF!</v>
      </c>
      <c r="G40" s="522" t="e">
        <f t="shared" si="20"/>
        <v>#REF!</v>
      </c>
      <c r="H40" s="522" t="e">
        <f t="shared" si="20"/>
        <v>#REF!</v>
      </c>
      <c r="I40" s="522" t="e">
        <f t="shared" si="20"/>
        <v>#REF!</v>
      </c>
      <c r="J40" s="522" t="e">
        <f t="shared" si="20"/>
        <v>#REF!</v>
      </c>
      <c r="K40" s="522" t="e">
        <f t="shared" si="20"/>
        <v>#REF!</v>
      </c>
      <c r="L40" s="522" t="e">
        <f t="shared" si="20"/>
        <v>#REF!</v>
      </c>
      <c r="M40" s="522" t="e">
        <f t="shared" si="20"/>
        <v>#REF!</v>
      </c>
      <c r="N40" s="522" t="e">
        <f t="shared" si="20"/>
        <v>#REF!</v>
      </c>
      <c r="O40" s="523" t="e">
        <f>SUM(D40:N40)</f>
        <v>#REF!</v>
      </c>
    </row>
    <row r="41" spans="2:15" s="520" customFormat="1" ht="31.5" customHeight="1" x14ac:dyDescent="0.45">
      <c r="B41" s="484"/>
      <c r="C41" s="537" t="s">
        <v>633</v>
      </c>
      <c r="D41" s="524">
        <f>D78</f>
        <v>470356.78526281205</v>
      </c>
      <c r="E41" s="524">
        <f t="shared" ref="E41:N41" si="21">E78</f>
        <v>596203.88649722503</v>
      </c>
      <c r="F41" s="524" t="e">
        <f t="shared" si="21"/>
        <v>#REF!</v>
      </c>
      <c r="G41" s="524" t="e">
        <f t="shared" si="21"/>
        <v>#REF!</v>
      </c>
      <c r="H41" s="524" t="e">
        <f t="shared" si="21"/>
        <v>#REF!</v>
      </c>
      <c r="I41" s="524" t="e">
        <f t="shared" si="21"/>
        <v>#REF!</v>
      </c>
      <c r="J41" s="524" t="e">
        <f t="shared" si="21"/>
        <v>#REF!</v>
      </c>
      <c r="K41" s="524" t="e">
        <f t="shared" si="21"/>
        <v>#REF!</v>
      </c>
      <c r="L41" s="524" t="e">
        <f t="shared" si="21"/>
        <v>#REF!</v>
      </c>
      <c r="M41" s="524" t="e">
        <f t="shared" si="21"/>
        <v>#REF!</v>
      </c>
      <c r="N41" s="524" t="e">
        <f t="shared" si="21"/>
        <v>#REF!</v>
      </c>
      <c r="O41" s="524" t="e">
        <f t="shared" ref="O41:O48" si="22">SUM(D41:N41)</f>
        <v>#REF!</v>
      </c>
    </row>
    <row r="42" spans="2:15" x14ac:dyDescent="0.45">
      <c r="B42" s="484"/>
      <c r="C42" s="541" t="s">
        <v>315</v>
      </c>
      <c r="D42" s="519">
        <f>D41-D$40</f>
        <v>0</v>
      </c>
      <c r="E42" s="519">
        <f t="shared" ref="E42:N42" si="23">E41-E$40</f>
        <v>0</v>
      </c>
      <c r="F42" s="519" t="e">
        <f t="shared" si="23"/>
        <v>#REF!</v>
      </c>
      <c r="G42" s="519" t="e">
        <f t="shared" si="23"/>
        <v>#REF!</v>
      </c>
      <c r="H42" s="519" t="e">
        <f t="shared" si="23"/>
        <v>#REF!</v>
      </c>
      <c r="I42" s="519" t="e">
        <f t="shared" si="23"/>
        <v>#REF!</v>
      </c>
      <c r="J42" s="519" t="e">
        <f t="shared" si="23"/>
        <v>#REF!</v>
      </c>
      <c r="K42" s="519" t="e">
        <f t="shared" si="23"/>
        <v>#REF!</v>
      </c>
      <c r="L42" s="519" t="e">
        <f t="shared" si="23"/>
        <v>#REF!</v>
      </c>
      <c r="M42" s="519" t="e">
        <f t="shared" si="23"/>
        <v>#REF!</v>
      </c>
      <c r="N42" s="519" t="e">
        <f t="shared" si="23"/>
        <v>#REF!</v>
      </c>
      <c r="O42" s="519" t="e">
        <f>SUM(D42:N42)</f>
        <v>#REF!</v>
      </c>
    </row>
    <row r="43" spans="2:15" s="520" customFormat="1" ht="31.5" customHeight="1" x14ac:dyDescent="0.45">
      <c r="B43" s="484"/>
      <c r="C43" s="537" t="s">
        <v>634</v>
      </c>
      <c r="D43" s="524">
        <f t="shared" ref="D43:N43" si="24">D122</f>
        <v>470356.78526281205</v>
      </c>
      <c r="E43" s="524">
        <f t="shared" si="24"/>
        <v>596203.88649722503</v>
      </c>
      <c r="F43" s="524" t="e">
        <f t="shared" si="24"/>
        <v>#REF!</v>
      </c>
      <c r="G43" s="524" t="e">
        <f t="shared" si="24"/>
        <v>#REF!</v>
      </c>
      <c r="H43" s="524" t="e">
        <f t="shared" si="24"/>
        <v>#REF!</v>
      </c>
      <c r="I43" s="524" t="e">
        <f t="shared" si="24"/>
        <v>#REF!</v>
      </c>
      <c r="J43" s="524" t="e">
        <f t="shared" si="24"/>
        <v>#REF!</v>
      </c>
      <c r="K43" s="524" t="e">
        <f t="shared" si="24"/>
        <v>#REF!</v>
      </c>
      <c r="L43" s="524" t="e">
        <f t="shared" si="24"/>
        <v>#REF!</v>
      </c>
      <c r="M43" s="524" t="e">
        <f t="shared" si="24"/>
        <v>#REF!</v>
      </c>
      <c r="N43" s="524" t="e">
        <f t="shared" si="24"/>
        <v>#REF!</v>
      </c>
      <c r="O43" s="525" t="e">
        <f t="shared" si="22"/>
        <v>#REF!</v>
      </c>
    </row>
    <row r="44" spans="2:15" x14ac:dyDescent="0.45">
      <c r="B44" s="484"/>
      <c r="C44" s="541" t="s">
        <v>315</v>
      </c>
      <c r="D44" s="519">
        <f>D43-D$40</f>
        <v>0</v>
      </c>
      <c r="E44" s="519">
        <f t="shared" ref="E44" si="25">E43-E$40</f>
        <v>0</v>
      </c>
      <c r="F44" s="519" t="e">
        <f t="shared" ref="F44" si="26">F43-F$40</f>
        <v>#REF!</v>
      </c>
      <c r="G44" s="519" t="e">
        <f t="shared" ref="G44" si="27">G43-G$40</f>
        <v>#REF!</v>
      </c>
      <c r="H44" s="519" t="e">
        <f t="shared" ref="H44" si="28">H43-H$40</f>
        <v>#REF!</v>
      </c>
      <c r="I44" s="519" t="e">
        <f t="shared" ref="I44" si="29">I43-I$40</f>
        <v>#REF!</v>
      </c>
      <c r="J44" s="519" t="e">
        <f t="shared" ref="J44" si="30">J43-J$40</f>
        <v>#REF!</v>
      </c>
      <c r="K44" s="519" t="e">
        <f t="shared" ref="K44" si="31">K43-K$40</f>
        <v>#REF!</v>
      </c>
      <c r="L44" s="519" t="e">
        <f t="shared" ref="L44" si="32">L43-L$40</f>
        <v>#REF!</v>
      </c>
      <c r="M44" s="519" t="e">
        <f t="shared" ref="M44" si="33">M43-M$40</f>
        <v>#REF!</v>
      </c>
      <c r="N44" s="519" t="e">
        <f t="shared" ref="N44" si="34">N43-N$40</f>
        <v>#REF!</v>
      </c>
      <c r="O44" s="519" t="e">
        <f t="shared" si="22"/>
        <v>#REF!</v>
      </c>
    </row>
    <row r="45" spans="2:15" s="520" customFormat="1" ht="31.5" customHeight="1" x14ac:dyDescent="0.45">
      <c r="B45" s="484"/>
      <c r="C45" s="537" t="s">
        <v>635</v>
      </c>
      <c r="D45" s="524">
        <f>D170</f>
        <v>470356.78526281205</v>
      </c>
      <c r="E45" s="524">
        <f t="shared" ref="E45:N45" si="35">E170</f>
        <v>596203.88649722503</v>
      </c>
      <c r="F45" s="524" t="e">
        <f t="shared" si="35"/>
        <v>#REF!</v>
      </c>
      <c r="G45" s="524" t="e">
        <f t="shared" si="35"/>
        <v>#REF!</v>
      </c>
      <c r="H45" s="524" t="e">
        <f t="shared" si="35"/>
        <v>#REF!</v>
      </c>
      <c r="I45" s="524" t="e">
        <f t="shared" si="35"/>
        <v>#REF!</v>
      </c>
      <c r="J45" s="524" t="e">
        <f t="shared" si="35"/>
        <v>#REF!</v>
      </c>
      <c r="K45" s="524" t="e">
        <f t="shared" si="35"/>
        <v>#REF!</v>
      </c>
      <c r="L45" s="524" t="e">
        <f t="shared" si="35"/>
        <v>#REF!</v>
      </c>
      <c r="M45" s="524" t="e">
        <f t="shared" si="35"/>
        <v>#REF!</v>
      </c>
      <c r="N45" s="524" t="e">
        <f t="shared" si="35"/>
        <v>#REF!</v>
      </c>
      <c r="O45" s="524" t="e">
        <f t="shared" si="22"/>
        <v>#REF!</v>
      </c>
    </row>
    <row r="46" spans="2:15" x14ac:dyDescent="0.45">
      <c r="B46" s="484"/>
      <c r="C46" s="541" t="s">
        <v>315</v>
      </c>
      <c r="D46" s="519">
        <f>D45-D$40</f>
        <v>0</v>
      </c>
      <c r="E46" s="519">
        <f t="shared" ref="E46" si="36">E45-E$40</f>
        <v>0</v>
      </c>
      <c r="F46" s="519" t="e">
        <f t="shared" ref="F46" si="37">F45-F$40</f>
        <v>#REF!</v>
      </c>
      <c r="G46" s="519" t="e">
        <f t="shared" ref="G46" si="38">G45-G$40</f>
        <v>#REF!</v>
      </c>
      <c r="H46" s="519" t="e">
        <f t="shared" ref="H46" si="39">H45-H$40</f>
        <v>#REF!</v>
      </c>
      <c r="I46" s="519" t="e">
        <f t="shared" ref="I46" si="40">I45-I$40</f>
        <v>#REF!</v>
      </c>
      <c r="J46" s="519" t="e">
        <f t="shared" ref="J46" si="41">J45-J$40</f>
        <v>#REF!</v>
      </c>
      <c r="K46" s="519" t="e">
        <f t="shared" ref="K46" si="42">K45-K$40</f>
        <v>#REF!</v>
      </c>
      <c r="L46" s="519" t="e">
        <f t="shared" ref="L46" si="43">L45-L$40</f>
        <v>#REF!</v>
      </c>
      <c r="M46" s="519" t="e">
        <f t="shared" ref="M46" si="44">M45-M$40</f>
        <v>#REF!</v>
      </c>
      <c r="N46" s="519" t="e">
        <f t="shared" ref="N46" si="45">N45-N$40</f>
        <v>#REF!</v>
      </c>
      <c r="O46" s="519" t="e">
        <f t="shared" si="22"/>
        <v>#REF!</v>
      </c>
    </row>
    <row r="47" spans="2:15" s="520" customFormat="1" ht="31.5" customHeight="1" x14ac:dyDescent="0.45">
      <c r="B47" s="484"/>
      <c r="C47" s="537" t="s">
        <v>636</v>
      </c>
      <c r="D47" s="524">
        <f>D218</f>
        <v>470356.78526281205</v>
      </c>
      <c r="E47" s="524">
        <f t="shared" ref="E47:N47" si="46">E218</f>
        <v>596203.88649722503</v>
      </c>
      <c r="F47" s="524" t="e">
        <f t="shared" si="46"/>
        <v>#REF!</v>
      </c>
      <c r="G47" s="524" t="e">
        <f t="shared" si="46"/>
        <v>#REF!</v>
      </c>
      <c r="H47" s="524" t="e">
        <f t="shared" si="46"/>
        <v>#REF!</v>
      </c>
      <c r="I47" s="524" t="e">
        <f t="shared" si="46"/>
        <v>#REF!</v>
      </c>
      <c r="J47" s="524" t="e">
        <f t="shared" si="46"/>
        <v>#REF!</v>
      </c>
      <c r="K47" s="524" t="e">
        <f t="shared" si="46"/>
        <v>#REF!</v>
      </c>
      <c r="L47" s="524" t="e">
        <f t="shared" si="46"/>
        <v>#REF!</v>
      </c>
      <c r="M47" s="524" t="e">
        <f t="shared" si="46"/>
        <v>#REF!</v>
      </c>
      <c r="N47" s="524" t="e">
        <f t="shared" si="46"/>
        <v>#REF!</v>
      </c>
      <c r="O47" s="524" t="e">
        <f t="shared" si="22"/>
        <v>#REF!</v>
      </c>
    </row>
    <row r="48" spans="2:15" x14ac:dyDescent="0.45">
      <c r="B48" s="484"/>
      <c r="C48" s="541" t="s">
        <v>315</v>
      </c>
      <c r="D48" s="519">
        <f>D47-D$40</f>
        <v>0</v>
      </c>
      <c r="E48" s="519">
        <f t="shared" ref="E48" si="47">E47-E$40</f>
        <v>0</v>
      </c>
      <c r="F48" s="519" t="e">
        <f t="shared" ref="F48" si="48">F47-F$40</f>
        <v>#REF!</v>
      </c>
      <c r="G48" s="519" t="e">
        <f t="shared" ref="G48" si="49">G47-G$40</f>
        <v>#REF!</v>
      </c>
      <c r="H48" s="519" t="e">
        <f t="shared" ref="H48" si="50">H47-H$40</f>
        <v>#REF!</v>
      </c>
      <c r="I48" s="519" t="e">
        <f t="shared" ref="I48" si="51">I47-I$40</f>
        <v>#REF!</v>
      </c>
      <c r="J48" s="519" t="e">
        <f t="shared" ref="J48" si="52">J47-J$40</f>
        <v>#REF!</v>
      </c>
      <c r="K48" s="519" t="e">
        <f t="shared" ref="K48" si="53">K47-K$40</f>
        <v>#REF!</v>
      </c>
      <c r="L48" s="519" t="e">
        <f t="shared" ref="L48" si="54">L47-L$40</f>
        <v>#REF!</v>
      </c>
      <c r="M48" s="519" t="e">
        <f t="shared" ref="M48" si="55">M47-M$40</f>
        <v>#REF!</v>
      </c>
      <c r="N48" s="519" t="e">
        <f t="shared" ref="N48" si="56">N47-N$40</f>
        <v>#REF!</v>
      </c>
      <c r="O48" s="519" t="e">
        <f t="shared" si="22"/>
        <v>#REF!</v>
      </c>
    </row>
    <row r="49" spans="2:14" x14ac:dyDescent="0.45">
      <c r="B49" s="48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</row>
    <row r="50" spans="2:14" x14ac:dyDescent="0.45">
      <c r="B50" s="48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/>
    </row>
    <row r="51" spans="2:14" x14ac:dyDescent="0.45">
      <c r="B51" s="48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/>
    </row>
    <row r="52" spans="2:14" x14ac:dyDescent="0.45">
      <c r="B52" s="48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</row>
    <row r="53" spans="2:14" x14ac:dyDescent="0.45">
      <c r="B53" s="48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</row>
    <row r="54" spans="2:14" x14ac:dyDescent="0.45">
      <c r="B54" t="s">
        <v>637</v>
      </c>
    </row>
    <row r="55" spans="2:14" x14ac:dyDescent="0.45">
      <c r="B55" s="1402" t="str">
        <f>CONCATENATE("JV ",B54)</f>
        <v>JV 75-25</v>
      </c>
      <c r="C55" s="1402"/>
      <c r="D55" s="1394" t="s">
        <v>12</v>
      </c>
      <c r="E55" s="1394"/>
      <c r="F55" s="1394"/>
      <c r="G55" s="1395" t="s">
        <v>605</v>
      </c>
      <c r="H55" s="1395"/>
      <c r="I55" s="1395"/>
      <c r="J55" s="1395"/>
      <c r="K55" s="1395"/>
      <c r="L55" s="1395"/>
      <c r="M55" s="1395"/>
      <c r="N55" s="1395"/>
    </row>
    <row r="56" spans="2:14" x14ac:dyDescent="0.45">
      <c r="B56" s="1402"/>
      <c r="C56" s="1402"/>
      <c r="D56" s="482">
        <v>2020</v>
      </c>
      <c r="E56" s="481">
        <v>2021</v>
      </c>
      <c r="F56" s="480">
        <v>2022</v>
      </c>
      <c r="G56" s="482">
        <v>2023</v>
      </c>
      <c r="H56" s="481">
        <v>2024</v>
      </c>
      <c r="I56" s="481">
        <v>2025</v>
      </c>
      <c r="J56" s="481">
        <v>2026</v>
      </c>
      <c r="K56" s="481">
        <v>2027</v>
      </c>
      <c r="L56" s="481">
        <v>2028</v>
      </c>
      <c r="M56" s="481">
        <v>2029</v>
      </c>
      <c r="N56" s="480">
        <v>2030</v>
      </c>
    </row>
    <row r="57" spans="2:14" x14ac:dyDescent="0.45">
      <c r="B57" s="1390" t="s">
        <v>606</v>
      </c>
      <c r="C57" s="499" t="s">
        <v>258</v>
      </c>
      <c r="D57" s="443">
        <f t="shared" ref="D57:N57" si="57">D197</f>
        <v>55337116</v>
      </c>
      <c r="E57" s="442">
        <f t="shared" si="57"/>
        <v>90092532</v>
      </c>
      <c r="F57" s="441">
        <f t="shared" si="57"/>
        <v>110001940</v>
      </c>
      <c r="G57" s="334">
        <f t="shared" si="57"/>
        <v>143010497</v>
      </c>
      <c r="H57" s="334">
        <f t="shared" si="57"/>
        <v>182338383</v>
      </c>
      <c r="I57" s="334">
        <f t="shared" si="57"/>
        <v>225000095</v>
      </c>
      <c r="J57" s="334">
        <f t="shared" si="57"/>
        <v>275000741</v>
      </c>
      <c r="K57" s="334">
        <f t="shared" si="57"/>
        <v>330000889</v>
      </c>
      <c r="L57" s="334">
        <f t="shared" si="57"/>
        <v>390000991</v>
      </c>
      <c r="M57" s="334">
        <f t="shared" si="57"/>
        <v>450002643</v>
      </c>
      <c r="N57" s="437">
        <f t="shared" si="57"/>
        <v>500006937</v>
      </c>
    </row>
    <row r="58" spans="2:14" x14ac:dyDescent="0.45">
      <c r="B58" s="1403"/>
      <c r="C58" s="498" t="s">
        <v>638</v>
      </c>
      <c r="D58" s="479"/>
      <c r="E58" s="478"/>
      <c r="F58" s="477"/>
      <c r="G58" s="334">
        <f t="shared" ref="G58:N58" si="58">SUM(G59:G61)</f>
        <v>141866413</v>
      </c>
      <c r="H58" s="334">
        <f t="shared" si="58"/>
        <v>181043781</v>
      </c>
      <c r="I58" s="334">
        <f t="shared" si="58"/>
        <v>223515094</v>
      </c>
      <c r="J58" s="334">
        <f t="shared" si="58"/>
        <v>273240735</v>
      </c>
      <c r="K58" s="334">
        <f t="shared" si="58"/>
        <v>328020884</v>
      </c>
      <c r="L58" s="334">
        <f t="shared" si="58"/>
        <v>387777985</v>
      </c>
      <c r="M58" s="334">
        <f t="shared" si="58"/>
        <v>447482629</v>
      </c>
      <c r="N58" s="437">
        <f t="shared" si="58"/>
        <v>497356900</v>
      </c>
    </row>
    <row r="59" spans="2:14" x14ac:dyDescent="0.45">
      <c r="B59" s="1403"/>
      <c r="C59" s="500" t="s">
        <v>253</v>
      </c>
      <c r="D59" s="476">
        <f t="shared" ref="D59:N59" si="59">D199</f>
        <v>33580560</v>
      </c>
      <c r="E59" s="475">
        <f t="shared" si="59"/>
        <v>42609040</v>
      </c>
      <c r="F59" s="474">
        <f t="shared" si="59"/>
        <v>52362608</v>
      </c>
      <c r="G59" s="475">
        <f t="shared" si="59"/>
        <v>67675100</v>
      </c>
      <c r="H59" s="475">
        <f t="shared" si="59"/>
        <v>86330324</v>
      </c>
      <c r="I59" s="475">
        <f t="shared" si="59"/>
        <v>107514030</v>
      </c>
      <c r="J59" s="475">
        <f t="shared" si="59"/>
        <v>130873139</v>
      </c>
      <c r="K59" s="475">
        <f t="shared" si="59"/>
        <v>156363102</v>
      </c>
      <c r="L59" s="475">
        <f t="shared" si="59"/>
        <v>184376727</v>
      </c>
      <c r="M59" s="475">
        <f t="shared" si="59"/>
        <v>213643092</v>
      </c>
      <c r="N59" s="474">
        <f t="shared" si="59"/>
        <v>237308111</v>
      </c>
    </row>
    <row r="60" spans="2:14" x14ac:dyDescent="0.45">
      <c r="B60" s="1403"/>
      <c r="C60" s="500" t="s">
        <v>254</v>
      </c>
      <c r="D60" s="476">
        <f t="shared" ref="D60:N60" si="60">D200</f>
        <v>8114880</v>
      </c>
      <c r="E60" s="475">
        <f t="shared" si="60"/>
        <v>12087440</v>
      </c>
      <c r="F60" s="474">
        <f t="shared" si="60"/>
        <v>15760000</v>
      </c>
      <c r="G60" s="475">
        <f t="shared" si="60"/>
        <v>19387158</v>
      </c>
      <c r="H60" s="475">
        <f t="shared" si="60"/>
        <v>24702419</v>
      </c>
      <c r="I60" s="475">
        <f t="shared" si="60"/>
        <v>30087043</v>
      </c>
      <c r="J60" s="475">
        <f t="shared" si="60"/>
        <v>36794525</v>
      </c>
      <c r="K60" s="475">
        <f t="shared" si="60"/>
        <v>44664760</v>
      </c>
      <c r="L60" s="475">
        <f t="shared" si="60"/>
        <v>52954617</v>
      </c>
      <c r="M60" s="475">
        <f t="shared" si="60"/>
        <v>61371687</v>
      </c>
      <c r="N60" s="474">
        <f t="shared" si="60"/>
        <v>67991306</v>
      </c>
    </row>
    <row r="61" spans="2:14" x14ac:dyDescent="0.45">
      <c r="B61" s="1403"/>
      <c r="C61" s="500" t="s">
        <v>233</v>
      </c>
      <c r="D61" s="476">
        <f t="shared" ref="D61:N61" si="61">D201</f>
        <v>11492280</v>
      </c>
      <c r="E61" s="475">
        <f t="shared" si="61"/>
        <v>34491800</v>
      </c>
      <c r="F61" s="474">
        <f t="shared" si="61"/>
        <v>40532932</v>
      </c>
      <c r="G61" s="475">
        <f t="shared" si="61"/>
        <v>54804155</v>
      </c>
      <c r="H61" s="475">
        <f t="shared" si="61"/>
        <v>70011038</v>
      </c>
      <c r="I61" s="475">
        <f t="shared" si="61"/>
        <v>85914021</v>
      </c>
      <c r="J61" s="475">
        <f t="shared" si="61"/>
        <v>105573071</v>
      </c>
      <c r="K61" s="475">
        <f t="shared" si="61"/>
        <v>126993022</v>
      </c>
      <c r="L61" s="475">
        <f t="shared" si="61"/>
        <v>150446641</v>
      </c>
      <c r="M61" s="475">
        <f t="shared" si="61"/>
        <v>172467850</v>
      </c>
      <c r="N61" s="474">
        <f t="shared" si="61"/>
        <v>192057483</v>
      </c>
    </row>
    <row r="62" spans="2:14" x14ac:dyDescent="0.45">
      <c r="B62" s="1403"/>
      <c r="C62" s="498" t="s">
        <v>259</v>
      </c>
      <c r="D62" s="438">
        <f t="shared" ref="D62:N62" si="62">D202</f>
        <v>1413930</v>
      </c>
      <c r="E62" s="334">
        <f t="shared" si="62"/>
        <v>2277101</v>
      </c>
      <c r="F62" s="437">
        <f t="shared" si="62"/>
        <v>2793488</v>
      </c>
      <c r="G62" s="334">
        <f t="shared" si="62"/>
        <v>3616974</v>
      </c>
      <c r="H62" s="334">
        <f t="shared" si="62"/>
        <v>4607387</v>
      </c>
      <c r="I62" s="334">
        <f t="shared" si="62"/>
        <v>5681440</v>
      </c>
      <c r="J62" s="334">
        <f t="shared" si="62"/>
        <v>6943998</v>
      </c>
      <c r="K62" s="334">
        <f t="shared" si="62"/>
        <v>8327022</v>
      </c>
      <c r="L62" s="334">
        <f t="shared" si="62"/>
        <v>9834200</v>
      </c>
      <c r="M62" s="334">
        <f t="shared" si="62"/>
        <v>11344567</v>
      </c>
      <c r="N62" s="437">
        <f t="shared" si="62"/>
        <v>12596425</v>
      </c>
    </row>
    <row r="63" spans="2:14" x14ac:dyDescent="0.45">
      <c r="B63" s="1403"/>
      <c r="C63" s="498" t="s">
        <v>607</v>
      </c>
      <c r="D63" s="473">
        <f t="shared" ref="D63:N63" si="63">D57/D62</f>
        <v>39.137097310333608</v>
      </c>
      <c r="E63" s="472">
        <f t="shared" si="63"/>
        <v>39.564574430383196</v>
      </c>
      <c r="F63" s="471">
        <f t="shared" si="63"/>
        <v>39.377989094637243</v>
      </c>
      <c r="G63" s="472">
        <f t="shared" si="63"/>
        <v>39.538713023649052</v>
      </c>
      <c r="H63" s="472">
        <f t="shared" si="63"/>
        <v>39.575226261653299</v>
      </c>
      <c r="I63" s="472">
        <f t="shared" si="63"/>
        <v>39.602652672561888</v>
      </c>
      <c r="J63" s="472">
        <f t="shared" si="63"/>
        <v>39.602652679335449</v>
      </c>
      <c r="K63" s="472">
        <f t="shared" si="63"/>
        <v>39.630120948401483</v>
      </c>
      <c r="L63" s="472">
        <f t="shared" si="63"/>
        <v>39.65762248073051</v>
      </c>
      <c r="M63" s="472">
        <f t="shared" si="63"/>
        <v>39.666797595712559</v>
      </c>
      <c r="N63" s="471">
        <f t="shared" si="63"/>
        <v>39.694352723094049</v>
      </c>
    </row>
    <row r="64" spans="2:14" x14ac:dyDescent="0.45">
      <c r="B64" s="1403"/>
      <c r="C64" s="498" t="s">
        <v>639</v>
      </c>
      <c r="D64" s="438">
        <f t="shared" ref="D64:N64" si="64">D204</f>
        <v>7635577</v>
      </c>
      <c r="E64" s="334">
        <f t="shared" si="64"/>
        <v>12036091.199999999</v>
      </c>
      <c r="F64" s="437">
        <f t="shared" si="64"/>
        <v>14729378.550000001</v>
      </c>
      <c r="G64" s="334">
        <f t="shared" si="64"/>
        <v>23384984</v>
      </c>
      <c r="H64" s="334">
        <f t="shared" si="64"/>
        <v>30098789</v>
      </c>
      <c r="I64" s="334">
        <f t="shared" si="64"/>
        <v>37498528</v>
      </c>
      <c r="J64" s="334">
        <f t="shared" si="64"/>
        <v>46289996</v>
      </c>
      <c r="K64" s="334">
        <f t="shared" si="64"/>
        <v>56082678</v>
      </c>
      <c r="L64" s="334">
        <f t="shared" si="64"/>
        <v>66918804</v>
      </c>
      <c r="M64" s="334">
        <f t="shared" si="64"/>
        <v>77977272</v>
      </c>
      <c r="N64" s="437">
        <f t="shared" si="64"/>
        <v>87477780</v>
      </c>
    </row>
    <row r="65" spans="2:14" x14ac:dyDescent="0.45">
      <c r="B65" s="1392"/>
      <c r="C65" s="533" t="s">
        <v>609</v>
      </c>
      <c r="D65" s="470">
        <f t="shared" ref="D65:N65" si="65">D64/D62</f>
        <v>5.4002510732497369</v>
      </c>
      <c r="E65" s="469">
        <f t="shared" si="65"/>
        <v>5.2857080999042196</v>
      </c>
      <c r="F65" s="517">
        <f t="shared" si="65"/>
        <v>5.2727552615225131</v>
      </c>
      <c r="G65" s="518">
        <f t="shared" si="65"/>
        <v>6.4653447882124668</v>
      </c>
      <c r="H65" s="469">
        <f t="shared" si="65"/>
        <v>6.5327242968736945</v>
      </c>
      <c r="I65" s="469">
        <f t="shared" si="65"/>
        <v>6.6001802359965076</v>
      </c>
      <c r="J65" s="469">
        <f t="shared" si="65"/>
        <v>6.6661879798928512</v>
      </c>
      <c r="K65" s="469">
        <f t="shared" si="65"/>
        <v>6.7350221964106733</v>
      </c>
      <c r="L65" s="469">
        <f t="shared" si="65"/>
        <v>6.8047023652152694</v>
      </c>
      <c r="M65" s="469">
        <f t="shared" si="65"/>
        <v>6.873534441640655</v>
      </c>
      <c r="N65" s="468">
        <f t="shared" si="65"/>
        <v>6.9446513594134842</v>
      </c>
    </row>
    <row r="66" spans="2:14" outlineLevel="1" x14ac:dyDescent="0.45">
      <c r="B66" s="1410" t="s">
        <v>640</v>
      </c>
      <c r="C66" s="499" t="s">
        <v>610</v>
      </c>
      <c r="D66" s="443">
        <f>'Pricing Structure - All SKU'!G$32*D62</f>
        <v>10406524.800000001</v>
      </c>
      <c r="E66" s="442">
        <f>'Pricing Structure - All SKU'!I$32*E62</f>
        <v>16759463.360000001</v>
      </c>
      <c r="F66" s="442" t="e">
        <f>'Pricing Structure - All SKU'!#REF!*F62</f>
        <v>#REF!</v>
      </c>
      <c r="G66" s="443" t="e">
        <f>'Pricing Structure - All SKU'!#REF!*G62</f>
        <v>#REF!</v>
      </c>
      <c r="H66" s="442" t="e">
        <f>'Pricing Structure - All SKU'!#REF!*H62</f>
        <v>#REF!</v>
      </c>
      <c r="I66" s="442" t="e">
        <f>'Pricing Structure - All SKU'!#REF!*I62</f>
        <v>#REF!</v>
      </c>
      <c r="J66" s="442" t="e">
        <f>'Pricing Structure - All SKU'!#REF!*J62</f>
        <v>#REF!</v>
      </c>
      <c r="K66" s="442" t="e">
        <f>'Pricing Structure - All SKU'!#REF!*K62</f>
        <v>#REF!</v>
      </c>
      <c r="L66" s="442" t="e">
        <f>'Pricing Structure - All SKU'!#REF!*L62</f>
        <v>#REF!</v>
      </c>
      <c r="M66" s="442" t="e">
        <f>'Pricing Structure - All SKU'!#REF!*M62</f>
        <v>#REF!</v>
      </c>
      <c r="N66" s="441" t="e">
        <f>'Pricing Structure - All SKU'!#REF!*N62</f>
        <v>#REF!</v>
      </c>
    </row>
    <row r="67" spans="2:14" outlineLevel="1" x14ac:dyDescent="0.45">
      <c r="B67" s="1410"/>
      <c r="C67" s="498" t="s">
        <v>611</v>
      </c>
      <c r="D67" s="438">
        <f>'Pricing Structure - All SKU'!G$45*D62</f>
        <v>8986056.8344214857</v>
      </c>
      <c r="E67" s="334">
        <f>'Pricing Structure - All SKU'!I$45*E62</f>
        <v>14673451.43307847</v>
      </c>
      <c r="F67" s="334" t="e">
        <f>'Pricing Structure - All SKU'!#REF!*F62</f>
        <v>#REF!</v>
      </c>
      <c r="G67" s="438" t="e">
        <f>'Pricing Structure - All SKU'!#REF!*G62</f>
        <v>#REF!</v>
      </c>
      <c r="H67" s="334" t="e">
        <f>'Pricing Structure - All SKU'!#REF!*H62</f>
        <v>#REF!</v>
      </c>
      <c r="I67" s="334" t="e">
        <f>'Pricing Structure - All SKU'!#REF!*I62</f>
        <v>#REF!</v>
      </c>
      <c r="J67" s="334" t="e">
        <f>'Pricing Structure - All SKU'!#REF!*J62</f>
        <v>#REF!</v>
      </c>
      <c r="K67" s="334" t="e">
        <f>'Pricing Structure - All SKU'!#REF!*K62</f>
        <v>#REF!</v>
      </c>
      <c r="L67" s="334" t="e">
        <f>'Pricing Structure - All SKU'!#REF!*L62</f>
        <v>#REF!</v>
      </c>
      <c r="M67" s="334" t="e">
        <f>'Pricing Structure - All SKU'!#REF!*M62</f>
        <v>#REF!</v>
      </c>
      <c r="N67" s="437" t="e">
        <f>'Pricing Structure - All SKU'!#REF!*N62</f>
        <v>#REF!</v>
      </c>
    </row>
    <row r="68" spans="2:14" outlineLevel="1" x14ac:dyDescent="0.45">
      <c r="B68" s="1410"/>
      <c r="C68" s="498" t="s">
        <v>612</v>
      </c>
      <c r="D68" s="438">
        <f t="shared" ref="D68:N68" si="66">D66-D67</f>
        <v>1420467.9655785151</v>
      </c>
      <c r="E68" s="334">
        <f t="shared" si="66"/>
        <v>2086011.9269215316</v>
      </c>
      <c r="F68" s="334" t="e">
        <f t="shared" si="66"/>
        <v>#REF!</v>
      </c>
      <c r="G68" s="438" t="e">
        <f t="shared" si="66"/>
        <v>#REF!</v>
      </c>
      <c r="H68" s="334" t="e">
        <f t="shared" si="66"/>
        <v>#REF!</v>
      </c>
      <c r="I68" s="334" t="e">
        <f t="shared" si="66"/>
        <v>#REF!</v>
      </c>
      <c r="J68" s="334" t="e">
        <f t="shared" si="66"/>
        <v>#REF!</v>
      </c>
      <c r="K68" s="334" t="e">
        <f t="shared" si="66"/>
        <v>#REF!</v>
      </c>
      <c r="L68" s="334" t="e">
        <f t="shared" si="66"/>
        <v>#REF!</v>
      </c>
      <c r="M68" s="334" t="e">
        <f t="shared" si="66"/>
        <v>#REF!</v>
      </c>
      <c r="N68" s="437" t="e">
        <f t="shared" si="66"/>
        <v>#REF!</v>
      </c>
    </row>
    <row r="69" spans="2:14" outlineLevel="1" x14ac:dyDescent="0.45">
      <c r="B69" s="1410"/>
      <c r="C69" s="497" t="s">
        <v>174</v>
      </c>
      <c r="D69" s="508">
        <f>D68/D66</f>
        <v>0.13649782159540089</v>
      </c>
      <c r="E69" s="509">
        <f t="shared" ref="E69:N69" si="67">E68/E66</f>
        <v>0.12446770413307144</v>
      </c>
      <c r="F69" s="509" t="e">
        <f t="shared" si="67"/>
        <v>#REF!</v>
      </c>
      <c r="G69" s="509" t="e">
        <f t="shared" si="67"/>
        <v>#REF!</v>
      </c>
      <c r="H69" s="509" t="e">
        <f t="shared" si="67"/>
        <v>#REF!</v>
      </c>
      <c r="I69" s="509" t="e">
        <f t="shared" si="67"/>
        <v>#REF!</v>
      </c>
      <c r="J69" s="509" t="e">
        <f t="shared" si="67"/>
        <v>#REF!</v>
      </c>
      <c r="K69" s="509" t="e">
        <f t="shared" si="67"/>
        <v>#REF!</v>
      </c>
      <c r="L69" s="509" t="e">
        <f t="shared" si="67"/>
        <v>#REF!</v>
      </c>
      <c r="M69" s="509" t="e">
        <f t="shared" si="67"/>
        <v>#REF!</v>
      </c>
      <c r="N69" s="510" t="e">
        <f t="shared" si="67"/>
        <v>#REF!</v>
      </c>
    </row>
    <row r="70" spans="2:14" outlineLevel="1" x14ac:dyDescent="0.45">
      <c r="B70" s="1410"/>
      <c r="C70" s="498" t="s">
        <v>641</v>
      </c>
      <c r="D70" s="438">
        <f t="shared" ref="D70:N70" si="68">D66*8%</f>
        <v>832521.98400000005</v>
      </c>
      <c r="E70" s="334">
        <f t="shared" si="68"/>
        <v>1340757.0688000002</v>
      </c>
      <c r="F70" s="334" t="e">
        <f t="shared" si="68"/>
        <v>#REF!</v>
      </c>
      <c r="G70" s="438" t="e">
        <f t="shared" si="68"/>
        <v>#REF!</v>
      </c>
      <c r="H70" s="334" t="e">
        <f t="shared" si="68"/>
        <v>#REF!</v>
      </c>
      <c r="I70" s="334" t="e">
        <f t="shared" si="68"/>
        <v>#REF!</v>
      </c>
      <c r="J70" s="334" t="e">
        <f t="shared" si="68"/>
        <v>#REF!</v>
      </c>
      <c r="K70" s="334" t="e">
        <f t="shared" si="68"/>
        <v>#REF!</v>
      </c>
      <c r="L70" s="334" t="e">
        <f t="shared" si="68"/>
        <v>#REF!</v>
      </c>
      <c r="M70" s="334" t="e">
        <f t="shared" si="68"/>
        <v>#REF!</v>
      </c>
      <c r="N70" s="437" t="e">
        <f t="shared" si="68"/>
        <v>#REF!</v>
      </c>
    </row>
    <row r="71" spans="2:14" outlineLevel="1" x14ac:dyDescent="0.45">
      <c r="B71" s="1410"/>
      <c r="C71" s="498" t="s">
        <v>614</v>
      </c>
      <c r="D71" s="438">
        <f t="shared" ref="D71:N71" si="69">D68-D70</f>
        <v>587945.98157851503</v>
      </c>
      <c r="E71" s="334">
        <f t="shared" si="69"/>
        <v>745254.85812153132</v>
      </c>
      <c r="F71" s="334" t="e">
        <f t="shared" si="69"/>
        <v>#REF!</v>
      </c>
      <c r="G71" s="438" t="e">
        <f t="shared" si="69"/>
        <v>#REF!</v>
      </c>
      <c r="H71" s="334" t="e">
        <f t="shared" si="69"/>
        <v>#REF!</v>
      </c>
      <c r="I71" s="334" t="e">
        <f t="shared" si="69"/>
        <v>#REF!</v>
      </c>
      <c r="J71" s="334" t="e">
        <f t="shared" si="69"/>
        <v>#REF!</v>
      </c>
      <c r="K71" s="334" t="e">
        <f t="shared" si="69"/>
        <v>#REF!</v>
      </c>
      <c r="L71" s="334" t="e">
        <f t="shared" si="69"/>
        <v>#REF!</v>
      </c>
      <c r="M71" s="334" t="e">
        <f t="shared" si="69"/>
        <v>#REF!</v>
      </c>
      <c r="N71" s="437" t="e">
        <f t="shared" si="69"/>
        <v>#REF!</v>
      </c>
    </row>
    <row r="72" spans="2:14" outlineLevel="1" x14ac:dyDescent="0.45">
      <c r="B72" s="1410"/>
      <c r="C72" s="497" t="s">
        <v>615</v>
      </c>
      <c r="D72" s="508">
        <f>D71/D66</f>
        <v>5.6497821595400899E-2</v>
      </c>
      <c r="E72" s="509">
        <f t="shared" ref="E72:N72" si="70">E71/E66</f>
        <v>4.4467704133071433E-2</v>
      </c>
      <c r="F72" s="509" t="e">
        <f t="shared" si="70"/>
        <v>#REF!</v>
      </c>
      <c r="G72" s="509" t="e">
        <f t="shared" si="70"/>
        <v>#REF!</v>
      </c>
      <c r="H72" s="509" t="e">
        <f t="shared" si="70"/>
        <v>#REF!</v>
      </c>
      <c r="I72" s="509" t="e">
        <f t="shared" si="70"/>
        <v>#REF!</v>
      </c>
      <c r="J72" s="509" t="e">
        <f t="shared" si="70"/>
        <v>#REF!</v>
      </c>
      <c r="K72" s="509" t="e">
        <f t="shared" si="70"/>
        <v>#REF!</v>
      </c>
      <c r="L72" s="509" t="e">
        <f t="shared" si="70"/>
        <v>#REF!</v>
      </c>
      <c r="M72" s="509" t="e">
        <f t="shared" si="70"/>
        <v>#REF!</v>
      </c>
      <c r="N72" s="510" t="e">
        <f t="shared" si="70"/>
        <v>#REF!</v>
      </c>
    </row>
    <row r="73" spans="2:14" outlineLevel="1" x14ac:dyDescent="0.45">
      <c r="B73" s="1410"/>
      <c r="C73" s="498" t="s">
        <v>616</v>
      </c>
      <c r="D73" s="438">
        <f t="shared" ref="D73:N73" si="71">20%*D71</f>
        <v>117589.19631570301</v>
      </c>
      <c r="E73" s="334">
        <f t="shared" si="71"/>
        <v>149050.97162430626</v>
      </c>
      <c r="F73" s="334" t="e">
        <f t="shared" si="71"/>
        <v>#REF!</v>
      </c>
      <c r="G73" s="438" t="e">
        <f t="shared" si="71"/>
        <v>#REF!</v>
      </c>
      <c r="H73" s="334" t="e">
        <f t="shared" si="71"/>
        <v>#REF!</v>
      </c>
      <c r="I73" s="334" t="e">
        <f t="shared" si="71"/>
        <v>#REF!</v>
      </c>
      <c r="J73" s="334" t="e">
        <f t="shared" si="71"/>
        <v>#REF!</v>
      </c>
      <c r="K73" s="334" t="e">
        <f t="shared" si="71"/>
        <v>#REF!</v>
      </c>
      <c r="L73" s="334" t="e">
        <f t="shared" si="71"/>
        <v>#REF!</v>
      </c>
      <c r="M73" s="334" t="e">
        <f t="shared" si="71"/>
        <v>#REF!</v>
      </c>
      <c r="N73" s="437" t="e">
        <f t="shared" si="71"/>
        <v>#REF!</v>
      </c>
    </row>
    <row r="74" spans="2:14" outlineLevel="1" x14ac:dyDescent="0.45">
      <c r="B74" s="1410"/>
      <c r="C74" s="498" t="s">
        <v>642</v>
      </c>
      <c r="D74" s="438">
        <f t="shared" ref="D74:N74" si="72">D71-D73</f>
        <v>470356.78526281205</v>
      </c>
      <c r="E74" s="334">
        <f t="shared" si="72"/>
        <v>596203.88649722503</v>
      </c>
      <c r="F74" s="334" t="e">
        <f t="shared" si="72"/>
        <v>#REF!</v>
      </c>
      <c r="G74" s="438" t="e">
        <f t="shared" si="72"/>
        <v>#REF!</v>
      </c>
      <c r="H74" s="334" t="e">
        <f t="shared" si="72"/>
        <v>#REF!</v>
      </c>
      <c r="I74" s="334" t="e">
        <f t="shared" si="72"/>
        <v>#REF!</v>
      </c>
      <c r="J74" s="334" t="e">
        <f t="shared" si="72"/>
        <v>#REF!</v>
      </c>
      <c r="K74" s="334" t="e">
        <f t="shared" si="72"/>
        <v>#REF!</v>
      </c>
      <c r="L74" s="334" t="e">
        <f t="shared" si="72"/>
        <v>#REF!</v>
      </c>
      <c r="M74" s="334" t="e">
        <f t="shared" si="72"/>
        <v>#REF!</v>
      </c>
      <c r="N74" s="437" t="e">
        <f t="shared" si="72"/>
        <v>#REF!</v>
      </c>
    </row>
    <row r="75" spans="2:14" outlineLevel="1" x14ac:dyDescent="0.45">
      <c r="B75" s="1410"/>
      <c r="C75" s="497" t="s">
        <v>618</v>
      </c>
      <c r="D75" s="505">
        <f>D74/D66</f>
        <v>4.5198257276320722E-2</v>
      </c>
      <c r="E75" s="506">
        <f t="shared" ref="E75:N75" si="73">E74/E66</f>
        <v>3.5574163306457143E-2</v>
      </c>
      <c r="F75" s="506" t="e">
        <f t="shared" si="73"/>
        <v>#REF!</v>
      </c>
      <c r="G75" s="506" t="e">
        <f t="shared" si="73"/>
        <v>#REF!</v>
      </c>
      <c r="H75" s="506" t="e">
        <f t="shared" si="73"/>
        <v>#REF!</v>
      </c>
      <c r="I75" s="506" t="e">
        <f t="shared" si="73"/>
        <v>#REF!</v>
      </c>
      <c r="J75" s="506" t="e">
        <f t="shared" si="73"/>
        <v>#REF!</v>
      </c>
      <c r="K75" s="506" t="e">
        <f t="shared" si="73"/>
        <v>#REF!</v>
      </c>
      <c r="L75" s="506" t="e">
        <f t="shared" si="73"/>
        <v>#REF!</v>
      </c>
      <c r="M75" s="506" t="e">
        <f t="shared" si="73"/>
        <v>#REF!</v>
      </c>
      <c r="N75" s="507" t="e">
        <f t="shared" si="73"/>
        <v>#REF!</v>
      </c>
    </row>
    <row r="76" spans="2:14" outlineLevel="1" x14ac:dyDescent="0.45">
      <c r="B76" s="1410"/>
      <c r="C76" s="498" t="s">
        <v>643</v>
      </c>
      <c r="D76" s="438">
        <f>D74</f>
        <v>470356.78526281205</v>
      </c>
      <c r="E76" s="334">
        <f>E74</f>
        <v>596203.88649722503</v>
      </c>
      <c r="F76" s="334" t="e">
        <f>F74</f>
        <v>#REF!</v>
      </c>
      <c r="G76" s="438" t="e">
        <f t="shared" ref="G76:N76" si="74">G74*MID($C76,40,3)</f>
        <v>#REF!</v>
      </c>
      <c r="H76" s="334" t="e">
        <f t="shared" si="74"/>
        <v>#REF!</v>
      </c>
      <c r="I76" s="334" t="e">
        <f t="shared" si="74"/>
        <v>#REF!</v>
      </c>
      <c r="J76" s="334" t="e">
        <f t="shared" si="74"/>
        <v>#REF!</v>
      </c>
      <c r="K76" s="334" t="e">
        <f t="shared" si="74"/>
        <v>#REF!</v>
      </c>
      <c r="L76" s="334" t="e">
        <f t="shared" si="74"/>
        <v>#REF!</v>
      </c>
      <c r="M76" s="334" t="e">
        <f t="shared" si="74"/>
        <v>#REF!</v>
      </c>
      <c r="N76" s="437" t="e">
        <f t="shared" si="74"/>
        <v>#REF!</v>
      </c>
    </row>
    <row r="77" spans="2:14" ht="15.75" customHeight="1" outlineLevel="1" x14ac:dyDescent="0.45">
      <c r="B77" s="1410"/>
      <c r="C77" s="498" t="s">
        <v>644</v>
      </c>
      <c r="D77" s="438"/>
      <c r="E77" s="334"/>
      <c r="F77" s="334"/>
      <c r="G77" s="438">
        <f t="shared" ref="G77:N77" si="75">G91*MID($C77,40,3)</f>
        <v>318842.08241999988</v>
      </c>
      <c r="H77" s="334">
        <f t="shared" si="75"/>
        <v>568181.00989750028</v>
      </c>
      <c r="I77" s="334">
        <f t="shared" si="75"/>
        <v>813821.90600000042</v>
      </c>
      <c r="J77" s="334">
        <f t="shared" si="75"/>
        <v>1101971.0263099987</v>
      </c>
      <c r="K77" s="334">
        <f t="shared" si="75"/>
        <v>1327940.6069399994</v>
      </c>
      <c r="L77" s="334">
        <f t="shared" si="75"/>
        <v>1578839.1269300003</v>
      </c>
      <c r="M77" s="334">
        <f t="shared" si="75"/>
        <v>1956213.0495379996</v>
      </c>
      <c r="N77" s="437">
        <f t="shared" si="75"/>
        <v>2251236.0563200004</v>
      </c>
    </row>
    <row r="78" spans="2:14" x14ac:dyDescent="0.45">
      <c r="B78" s="1410"/>
      <c r="C78" s="496" t="s">
        <v>645</v>
      </c>
      <c r="D78" s="467">
        <f t="shared" ref="D78:N78" si="76">D76+D77</f>
        <v>470356.78526281205</v>
      </c>
      <c r="E78" s="466">
        <f t="shared" si="76"/>
        <v>596203.88649722503</v>
      </c>
      <c r="F78" s="466" t="e">
        <f t="shared" si="76"/>
        <v>#REF!</v>
      </c>
      <c r="G78" s="467" t="e">
        <f t="shared" si="76"/>
        <v>#REF!</v>
      </c>
      <c r="H78" s="466" t="e">
        <f t="shared" si="76"/>
        <v>#REF!</v>
      </c>
      <c r="I78" s="466" t="e">
        <f t="shared" si="76"/>
        <v>#REF!</v>
      </c>
      <c r="J78" s="466" t="e">
        <f t="shared" si="76"/>
        <v>#REF!</v>
      </c>
      <c r="K78" s="466" t="e">
        <f t="shared" si="76"/>
        <v>#REF!</v>
      </c>
      <c r="L78" s="466" t="e">
        <f t="shared" si="76"/>
        <v>#REF!</v>
      </c>
      <c r="M78" s="466" t="e">
        <f t="shared" si="76"/>
        <v>#REF!</v>
      </c>
      <c r="N78" s="465" t="e">
        <f t="shared" si="76"/>
        <v>#REF!</v>
      </c>
    </row>
    <row r="79" spans="2:14" x14ac:dyDescent="0.45">
      <c r="B79" s="1410"/>
      <c r="C79" s="497" t="s">
        <v>646</v>
      </c>
      <c r="D79" s="1411">
        <f>D78/D66</f>
        <v>4.5198257276320722E-2</v>
      </c>
      <c r="E79" s="1412"/>
      <c r="F79" s="1413"/>
      <c r="G79" s="448" t="e">
        <f t="shared" ref="G79:N79" si="77">G78/G66</f>
        <v>#REF!</v>
      </c>
      <c r="H79" s="448" t="e">
        <f t="shared" si="77"/>
        <v>#REF!</v>
      </c>
      <c r="I79" s="448" t="e">
        <f t="shared" si="77"/>
        <v>#REF!</v>
      </c>
      <c r="J79" s="448" t="e">
        <f t="shared" si="77"/>
        <v>#REF!</v>
      </c>
      <c r="K79" s="448" t="e">
        <f t="shared" si="77"/>
        <v>#REF!</v>
      </c>
      <c r="L79" s="448" t="e">
        <f t="shared" si="77"/>
        <v>#REF!</v>
      </c>
      <c r="M79" s="448" t="e">
        <f t="shared" si="77"/>
        <v>#REF!</v>
      </c>
      <c r="N79" s="447" t="e">
        <f t="shared" si="77"/>
        <v>#REF!</v>
      </c>
    </row>
    <row r="80" spans="2:14" outlineLevel="1" x14ac:dyDescent="0.45">
      <c r="B80" s="1401" t="s">
        <v>647</v>
      </c>
      <c r="C80" s="499" t="s">
        <v>79</v>
      </c>
      <c r="D80" s="464"/>
      <c r="E80" s="463"/>
      <c r="F80" s="462"/>
      <c r="G80" s="442">
        <f t="shared" ref="G80:N80" si="78">G81*G64</f>
        <v>18093663.67032</v>
      </c>
      <c r="H80" s="442">
        <f t="shared" si="78"/>
        <v>23016242.960409999</v>
      </c>
      <c r="I80" s="442">
        <f t="shared" si="78"/>
        <v>28292639.375999998</v>
      </c>
      <c r="J80" s="442">
        <f t="shared" si="78"/>
        <v>34778136.894760005</v>
      </c>
      <c r="K80" s="442">
        <f t="shared" si="78"/>
        <v>42683404.572240002</v>
      </c>
      <c r="L80" s="442">
        <f t="shared" si="78"/>
        <v>49792274.492279999</v>
      </c>
      <c r="M80" s="442">
        <f t="shared" si="78"/>
        <v>57797455.801848002</v>
      </c>
      <c r="N80" s="441">
        <f t="shared" si="78"/>
        <v>64613187.774719998</v>
      </c>
    </row>
    <row r="81" spans="2:14" outlineLevel="1" x14ac:dyDescent="0.45">
      <c r="B81" s="1401"/>
      <c r="C81" s="529" t="s">
        <v>619</v>
      </c>
      <c r="D81" s="461"/>
      <c r="E81" s="460"/>
      <c r="F81" s="459"/>
      <c r="G81" s="458">
        <f t="shared" ref="G81:N81" si="79">G221</f>
        <v>0.77373000000000003</v>
      </c>
      <c r="H81" s="458">
        <f t="shared" si="79"/>
        <v>0.76468999999999998</v>
      </c>
      <c r="I81" s="458">
        <f t="shared" si="79"/>
        <v>0.75449999999999995</v>
      </c>
      <c r="J81" s="458">
        <f t="shared" si="79"/>
        <v>0.75131000000000003</v>
      </c>
      <c r="K81" s="458">
        <f t="shared" si="79"/>
        <v>0.76107999999999998</v>
      </c>
      <c r="L81" s="458">
        <f t="shared" si="79"/>
        <v>0.74407000000000001</v>
      </c>
      <c r="M81" s="458">
        <f t="shared" si="79"/>
        <v>0.74120900000000001</v>
      </c>
      <c r="N81" s="457">
        <f t="shared" si="79"/>
        <v>0.73862399999999995</v>
      </c>
    </row>
    <row r="82" spans="2:14" outlineLevel="1" x14ac:dyDescent="0.45">
      <c r="B82" s="1401"/>
      <c r="C82" s="498" t="s">
        <v>648</v>
      </c>
      <c r="D82" s="456"/>
      <c r="E82" s="455"/>
      <c r="F82" s="454"/>
      <c r="G82" s="334">
        <f t="shared" ref="G82:N82" si="80">G64-G80</f>
        <v>5291320.3296799995</v>
      </c>
      <c r="H82" s="334">
        <f t="shared" si="80"/>
        <v>7082546.0395900011</v>
      </c>
      <c r="I82" s="334">
        <f t="shared" si="80"/>
        <v>9205888.6240000017</v>
      </c>
      <c r="J82" s="334">
        <f t="shared" si="80"/>
        <v>11511859.105239995</v>
      </c>
      <c r="K82" s="334">
        <f t="shared" si="80"/>
        <v>13399273.427759998</v>
      </c>
      <c r="L82" s="334">
        <f t="shared" si="80"/>
        <v>17126529.507720001</v>
      </c>
      <c r="M82" s="334">
        <f t="shared" si="80"/>
        <v>20179816.198151998</v>
      </c>
      <c r="N82" s="437">
        <f t="shared" si="80"/>
        <v>22864592.225280002</v>
      </c>
    </row>
    <row r="83" spans="2:14" outlineLevel="1" x14ac:dyDescent="0.45">
      <c r="B83" s="1401"/>
      <c r="C83" s="497" t="s">
        <v>649</v>
      </c>
      <c r="D83" s="451"/>
      <c r="E83" s="450"/>
      <c r="F83" s="449"/>
      <c r="G83" s="448">
        <f t="shared" ref="G83:N83" si="81">G82/G64</f>
        <v>0.22626999999999997</v>
      </c>
      <c r="H83" s="448">
        <f t="shared" si="81"/>
        <v>0.23531000000000005</v>
      </c>
      <c r="I83" s="448">
        <f t="shared" si="81"/>
        <v>0.24550000000000005</v>
      </c>
      <c r="J83" s="448">
        <f t="shared" si="81"/>
        <v>0.24868999999999988</v>
      </c>
      <c r="K83" s="448">
        <f t="shared" si="81"/>
        <v>0.23891999999999997</v>
      </c>
      <c r="L83" s="448">
        <f t="shared" si="81"/>
        <v>0.25592999999999999</v>
      </c>
      <c r="M83" s="448">
        <f t="shared" si="81"/>
        <v>0.25879099999999999</v>
      </c>
      <c r="N83" s="447">
        <f t="shared" si="81"/>
        <v>0.261376</v>
      </c>
    </row>
    <row r="84" spans="2:14" outlineLevel="1" x14ac:dyDescent="0.45">
      <c r="B84" s="1401"/>
      <c r="C84" s="498" t="s">
        <v>650</v>
      </c>
      <c r="D84" s="456"/>
      <c r="E84" s="455"/>
      <c r="F84" s="454"/>
      <c r="G84" s="334">
        <f t="shared" ref="G84:N84" si="82">G224</f>
        <v>3220613</v>
      </c>
      <c r="H84" s="334">
        <f t="shared" si="82"/>
        <v>3784696</v>
      </c>
      <c r="I84" s="334">
        <f t="shared" si="82"/>
        <v>4672333</v>
      </c>
      <c r="J84" s="334">
        <f t="shared" si="82"/>
        <v>5525702</v>
      </c>
      <c r="K84" s="334">
        <f t="shared" si="82"/>
        <v>6173874</v>
      </c>
      <c r="L84" s="334">
        <f t="shared" si="82"/>
        <v>6947411</v>
      </c>
      <c r="M84" s="334">
        <f t="shared" si="82"/>
        <v>7735720</v>
      </c>
      <c r="N84" s="437">
        <f t="shared" si="82"/>
        <v>8618962</v>
      </c>
    </row>
    <row r="85" spans="2:14" outlineLevel="1" x14ac:dyDescent="0.45">
      <c r="B85" s="1401"/>
      <c r="C85" s="498" t="s">
        <v>651</v>
      </c>
      <c r="D85" s="456"/>
      <c r="E85" s="455"/>
      <c r="F85" s="454"/>
      <c r="G85" s="334">
        <f t="shared" ref="G85:N85" si="83">G82-G84</f>
        <v>2070707.3296799995</v>
      </c>
      <c r="H85" s="334">
        <f t="shared" si="83"/>
        <v>3297850.0395900011</v>
      </c>
      <c r="I85" s="334">
        <f t="shared" si="83"/>
        <v>4533555.6240000017</v>
      </c>
      <c r="J85" s="334">
        <f t="shared" si="83"/>
        <v>5986157.1052399948</v>
      </c>
      <c r="K85" s="334">
        <f t="shared" si="83"/>
        <v>7225399.4277599975</v>
      </c>
      <c r="L85" s="334">
        <f t="shared" si="83"/>
        <v>10179118.507720001</v>
      </c>
      <c r="M85" s="334">
        <f t="shared" si="83"/>
        <v>12444096.198151998</v>
      </c>
      <c r="N85" s="437">
        <f t="shared" si="83"/>
        <v>14245630.225280002</v>
      </c>
    </row>
    <row r="86" spans="2:14" outlineLevel="1" x14ac:dyDescent="0.45">
      <c r="B86" s="1401"/>
      <c r="C86" s="497" t="s">
        <v>652</v>
      </c>
      <c r="D86" s="451"/>
      <c r="E86" s="450"/>
      <c r="F86" s="449"/>
      <c r="G86" s="448">
        <f t="shared" ref="G86:N86" si="84">G85/G64</f>
        <v>8.854858868750988E-2</v>
      </c>
      <c r="H86" s="448">
        <f t="shared" si="84"/>
        <v>0.10956753242098879</v>
      </c>
      <c r="I86" s="448">
        <f t="shared" si="84"/>
        <v>0.12089956235082086</v>
      </c>
      <c r="J86" s="448">
        <f t="shared" si="84"/>
        <v>0.12931859197481882</v>
      </c>
      <c r="K86" s="448">
        <f t="shared" si="84"/>
        <v>0.12883477903391127</v>
      </c>
      <c r="L86" s="448">
        <f t="shared" si="84"/>
        <v>0.15211148286093101</v>
      </c>
      <c r="M86" s="448">
        <f t="shared" si="84"/>
        <v>0.15958619581038944</v>
      </c>
      <c r="N86" s="447">
        <f t="shared" si="84"/>
        <v>0.16284855680242458</v>
      </c>
    </row>
    <row r="87" spans="2:14" outlineLevel="1" x14ac:dyDescent="0.45">
      <c r="B87" s="1401"/>
      <c r="C87" s="498" t="s">
        <v>625</v>
      </c>
      <c r="D87" s="456"/>
      <c r="E87" s="455"/>
      <c r="F87" s="454"/>
      <c r="G87" s="334">
        <f t="shared" ref="G87:N87" si="85">G227</f>
        <v>795339</v>
      </c>
      <c r="H87" s="334">
        <f t="shared" si="85"/>
        <v>1025126</v>
      </c>
      <c r="I87" s="334">
        <f t="shared" si="85"/>
        <v>1278268</v>
      </c>
      <c r="J87" s="334">
        <f t="shared" si="85"/>
        <v>1578273</v>
      </c>
      <c r="K87" s="334">
        <f t="shared" si="85"/>
        <v>1913637</v>
      </c>
      <c r="L87" s="334">
        <f t="shared" si="85"/>
        <v>2284875</v>
      </c>
      <c r="M87" s="334">
        <f t="shared" si="85"/>
        <v>2663035</v>
      </c>
      <c r="N87" s="437">
        <f t="shared" si="85"/>
        <v>2989443</v>
      </c>
    </row>
    <row r="88" spans="2:14" outlineLevel="1" x14ac:dyDescent="0.45">
      <c r="B88" s="1401"/>
      <c r="C88" s="498" t="s">
        <v>653</v>
      </c>
      <c r="D88" s="456"/>
      <c r="E88" s="455"/>
      <c r="F88" s="454"/>
      <c r="G88" s="334">
        <f t="shared" ref="G88:N88" si="86">G85-G87</f>
        <v>1275368.3296799995</v>
      </c>
      <c r="H88" s="334">
        <f t="shared" si="86"/>
        <v>2272724.0395900011</v>
      </c>
      <c r="I88" s="334">
        <f t="shared" si="86"/>
        <v>3255287.6240000017</v>
      </c>
      <c r="J88" s="334">
        <f t="shared" si="86"/>
        <v>4407884.1052399948</v>
      </c>
      <c r="K88" s="334">
        <f t="shared" si="86"/>
        <v>5311762.4277599975</v>
      </c>
      <c r="L88" s="334">
        <f t="shared" si="86"/>
        <v>7894243.507720001</v>
      </c>
      <c r="M88" s="334">
        <f t="shared" si="86"/>
        <v>9781061.1981519982</v>
      </c>
      <c r="N88" s="437">
        <f t="shared" si="86"/>
        <v>11256187.225280002</v>
      </c>
    </row>
    <row r="89" spans="2:14" outlineLevel="1" x14ac:dyDescent="0.45">
      <c r="B89" s="1401"/>
      <c r="C89" s="497" t="s">
        <v>654</v>
      </c>
      <c r="D89" s="451"/>
      <c r="E89" s="450"/>
      <c r="F89" s="449"/>
      <c r="G89" s="448">
        <f t="shared" ref="G89:N89" si="87">G88/G64</f>
        <v>5.4537917566246763E-2</v>
      </c>
      <c r="H89" s="448">
        <f t="shared" si="87"/>
        <v>7.5508819959168499E-2</v>
      </c>
      <c r="I89" s="448">
        <f t="shared" si="87"/>
        <v>8.6811077597499342E-2</v>
      </c>
      <c r="J89" s="448">
        <f t="shared" si="87"/>
        <v>9.5223255263188936E-2</v>
      </c>
      <c r="K89" s="448">
        <f t="shared" si="87"/>
        <v>9.4713066800412013E-2</v>
      </c>
      <c r="L89" s="448">
        <f t="shared" si="87"/>
        <v>0.11796749248118663</v>
      </c>
      <c r="M89" s="448">
        <f t="shared" si="87"/>
        <v>0.12543477025141375</v>
      </c>
      <c r="N89" s="447">
        <f t="shared" si="87"/>
        <v>0.12867481576784415</v>
      </c>
    </row>
    <row r="90" spans="2:14" outlineLevel="1" x14ac:dyDescent="0.45">
      <c r="B90" s="1401"/>
      <c r="C90" s="498" t="s">
        <v>628</v>
      </c>
      <c r="D90" s="456"/>
      <c r="E90" s="455"/>
      <c r="F90" s="454"/>
      <c r="G90" s="334">
        <f t="shared" ref="G90:N90" si="88">G230</f>
        <v>0</v>
      </c>
      <c r="H90" s="334">
        <f t="shared" si="88"/>
        <v>0</v>
      </c>
      <c r="I90" s="334">
        <f t="shared" si="88"/>
        <v>0</v>
      </c>
      <c r="J90" s="334">
        <f t="shared" si="88"/>
        <v>0</v>
      </c>
      <c r="K90" s="334">
        <f t="shared" si="88"/>
        <v>0</v>
      </c>
      <c r="L90" s="334">
        <f t="shared" si="88"/>
        <v>1578887</v>
      </c>
      <c r="M90" s="334">
        <f t="shared" si="88"/>
        <v>1956209</v>
      </c>
      <c r="N90" s="437">
        <f t="shared" si="88"/>
        <v>2251243</v>
      </c>
    </row>
    <row r="91" spans="2:14" outlineLevel="1" x14ac:dyDescent="0.45">
      <c r="B91" s="1401"/>
      <c r="C91" s="534" t="s">
        <v>655</v>
      </c>
      <c r="D91" s="456"/>
      <c r="E91" s="455"/>
      <c r="F91" s="454"/>
      <c r="G91" s="453">
        <f t="shared" ref="G91:N91" si="89">G88-G90</f>
        <v>1275368.3296799995</v>
      </c>
      <c r="H91" s="453">
        <f t="shared" si="89"/>
        <v>2272724.0395900011</v>
      </c>
      <c r="I91" s="453">
        <f t="shared" si="89"/>
        <v>3255287.6240000017</v>
      </c>
      <c r="J91" s="453">
        <f t="shared" si="89"/>
        <v>4407884.1052399948</v>
      </c>
      <c r="K91" s="453">
        <f t="shared" si="89"/>
        <v>5311762.4277599975</v>
      </c>
      <c r="L91" s="453">
        <f t="shared" si="89"/>
        <v>6315356.507720001</v>
      </c>
      <c r="M91" s="453">
        <f t="shared" si="89"/>
        <v>7824852.1981519982</v>
      </c>
      <c r="N91" s="452">
        <f t="shared" si="89"/>
        <v>9004944.2252800018</v>
      </c>
    </row>
    <row r="92" spans="2:14" outlineLevel="1" x14ac:dyDescent="0.45">
      <c r="B92" s="1401"/>
      <c r="C92" s="527" t="s">
        <v>656</v>
      </c>
      <c r="D92" s="451"/>
      <c r="E92" s="450"/>
      <c r="F92" s="449"/>
      <c r="G92" s="448">
        <f t="shared" ref="G92:N92" si="90">G91/G64</f>
        <v>5.4537917566246763E-2</v>
      </c>
      <c r="H92" s="448">
        <f t="shared" si="90"/>
        <v>7.5508819959168499E-2</v>
      </c>
      <c r="I92" s="448">
        <f t="shared" si="90"/>
        <v>8.6811077597499342E-2</v>
      </c>
      <c r="J92" s="448">
        <f t="shared" si="90"/>
        <v>9.5223255263188936E-2</v>
      </c>
      <c r="K92" s="448">
        <f t="shared" si="90"/>
        <v>9.4713066800412013E-2</v>
      </c>
      <c r="L92" s="448">
        <f t="shared" si="90"/>
        <v>9.4373421672628827E-2</v>
      </c>
      <c r="M92" s="448">
        <f t="shared" si="90"/>
        <v>0.10034785774695988</v>
      </c>
      <c r="N92" s="447">
        <f t="shared" si="90"/>
        <v>0.10293978911307536</v>
      </c>
    </row>
    <row r="93" spans="2:14" outlineLevel="1" x14ac:dyDescent="0.45">
      <c r="B93" s="1407" t="s">
        <v>605</v>
      </c>
      <c r="C93" s="499" t="str">
        <f>CONCATENATE("Indofood Net Profit from Operation (",TEXT(100%-MID(C76,40,3),"0%"),")")</f>
        <v>Indofood Net Profit from Operation (75%)</v>
      </c>
      <c r="D93" s="446"/>
      <c r="E93" s="445"/>
      <c r="F93" s="444"/>
      <c r="G93" s="443">
        <f>G91*MID($C93,37,3)</f>
        <v>956526.24725999963</v>
      </c>
      <c r="H93" s="442">
        <f t="shared" ref="H93:N93" si="91">H91*MID($C93,37,3)</f>
        <v>1704543.0296925008</v>
      </c>
      <c r="I93" s="442">
        <f t="shared" si="91"/>
        <v>2441465.7180000013</v>
      </c>
      <c r="J93" s="442">
        <f t="shared" si="91"/>
        <v>3305913.0789299961</v>
      </c>
      <c r="K93" s="442">
        <f t="shared" si="91"/>
        <v>3983821.8208199982</v>
      </c>
      <c r="L93" s="442">
        <f t="shared" si="91"/>
        <v>4736517.3807900008</v>
      </c>
      <c r="M93" s="442">
        <f t="shared" si="91"/>
        <v>5868639.1486139987</v>
      </c>
      <c r="N93" s="441">
        <f t="shared" si="91"/>
        <v>6753708.1689600013</v>
      </c>
    </row>
    <row r="94" spans="2:14" outlineLevel="1" x14ac:dyDescent="0.45">
      <c r="B94" s="1408"/>
      <c r="C94" s="498" t="str">
        <f>CONCATENATE("Indofood Net Profit as Shareholder (",TEXT(100%-MID(C76,40,3),"0%"),")")</f>
        <v>Indofood Net Profit as Shareholder (75%)</v>
      </c>
      <c r="D94" s="440"/>
      <c r="F94" s="439"/>
      <c r="G94" s="438" t="e">
        <f>G74*MID($C94,37,3)</f>
        <v>#REF!</v>
      </c>
      <c r="H94" s="334" t="e">
        <f t="shared" ref="H94:N94" si="92">H74*MID($C94,37,3)</f>
        <v>#REF!</v>
      </c>
      <c r="I94" s="334" t="e">
        <f t="shared" si="92"/>
        <v>#REF!</v>
      </c>
      <c r="J94" s="334" t="e">
        <f t="shared" si="92"/>
        <v>#REF!</v>
      </c>
      <c r="K94" s="334" t="e">
        <f t="shared" si="92"/>
        <v>#REF!</v>
      </c>
      <c r="L94" s="334" t="e">
        <f t="shared" si="92"/>
        <v>#REF!</v>
      </c>
      <c r="M94" s="334" t="e">
        <f t="shared" si="92"/>
        <v>#REF!</v>
      </c>
      <c r="N94" s="437" t="e">
        <f t="shared" si="92"/>
        <v>#REF!</v>
      </c>
    </row>
    <row r="95" spans="2:14" x14ac:dyDescent="0.45">
      <c r="B95" s="1409"/>
      <c r="C95" s="535" t="s">
        <v>629</v>
      </c>
      <c r="D95" s="436"/>
      <c r="E95" s="435"/>
      <c r="F95" s="434"/>
      <c r="G95" s="433" t="e">
        <f t="shared" ref="G95:N95" si="93">G93+G94</f>
        <v>#REF!</v>
      </c>
      <c r="H95" s="432" t="e">
        <f t="shared" si="93"/>
        <v>#REF!</v>
      </c>
      <c r="I95" s="432" t="e">
        <f t="shared" si="93"/>
        <v>#REF!</v>
      </c>
      <c r="J95" s="432" t="e">
        <f t="shared" si="93"/>
        <v>#REF!</v>
      </c>
      <c r="K95" s="432" t="e">
        <f t="shared" si="93"/>
        <v>#REF!</v>
      </c>
      <c r="L95" s="432" t="e">
        <f t="shared" si="93"/>
        <v>#REF!</v>
      </c>
      <c r="M95" s="432" t="e">
        <f t="shared" si="93"/>
        <v>#REF!</v>
      </c>
      <c r="N95" s="431" t="e">
        <f t="shared" si="93"/>
        <v>#REF!</v>
      </c>
    </row>
    <row r="96" spans="2:14" x14ac:dyDescent="0.45">
      <c r="G96" s="334" t="e">
        <f>G95+G78</f>
        <v>#REF!</v>
      </c>
      <c r="H96" s="334" t="e">
        <f t="shared" ref="H96" si="94">H95+H78</f>
        <v>#REF!</v>
      </c>
      <c r="I96" s="334" t="e">
        <f t="shared" ref="I96" si="95">I95+I78</f>
        <v>#REF!</v>
      </c>
      <c r="J96" s="334" t="e">
        <f t="shared" ref="J96" si="96">J95+J78</f>
        <v>#REF!</v>
      </c>
      <c r="K96" s="334" t="e">
        <f t="shared" ref="K96" si="97">K95+K78</f>
        <v>#REF!</v>
      </c>
      <c r="L96" s="334" t="e">
        <f t="shared" ref="L96" si="98">L95+L78</f>
        <v>#REF!</v>
      </c>
      <c r="M96" s="334" t="e">
        <f t="shared" ref="M96" si="99">M95+M78</f>
        <v>#REF!</v>
      </c>
      <c r="N96" s="334" t="e">
        <f t="shared" ref="N96" si="100">N95+N78</f>
        <v>#REF!</v>
      </c>
    </row>
    <row r="97" spans="2:14" x14ac:dyDescent="0.45">
      <c r="B97" s="48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</row>
    <row r="98" spans="2:14" x14ac:dyDescent="0.45">
      <c r="B98" t="s">
        <v>657</v>
      </c>
    </row>
    <row r="99" spans="2:14" x14ac:dyDescent="0.45">
      <c r="B99" s="1402" t="str">
        <f>CONCATENATE("JV ",B98)</f>
        <v>JV 70-30</v>
      </c>
      <c r="C99" s="1402"/>
      <c r="D99" s="1394" t="s">
        <v>12</v>
      </c>
      <c r="E99" s="1394"/>
      <c r="F99" s="1394"/>
      <c r="G99" s="1395" t="s">
        <v>605</v>
      </c>
      <c r="H99" s="1395"/>
      <c r="I99" s="1395"/>
      <c r="J99" s="1395"/>
      <c r="K99" s="1395"/>
      <c r="L99" s="1395"/>
      <c r="M99" s="1395"/>
      <c r="N99" s="1395"/>
    </row>
    <row r="100" spans="2:14" x14ac:dyDescent="0.45">
      <c r="B100" s="1402"/>
      <c r="C100" s="1402"/>
      <c r="D100" s="482">
        <v>2020</v>
      </c>
      <c r="E100" s="481">
        <v>2021</v>
      </c>
      <c r="F100" s="480">
        <v>2022</v>
      </c>
      <c r="G100" s="482">
        <v>2023</v>
      </c>
      <c r="H100" s="481">
        <v>2024</v>
      </c>
      <c r="I100" s="481">
        <v>2025</v>
      </c>
      <c r="J100" s="481">
        <v>2026</v>
      </c>
      <c r="K100" s="481">
        <v>2027</v>
      </c>
      <c r="L100" s="481">
        <v>2028</v>
      </c>
      <c r="M100" s="481">
        <v>2029</v>
      </c>
      <c r="N100" s="480">
        <v>2030</v>
      </c>
    </row>
    <row r="101" spans="2:14" x14ac:dyDescent="0.45">
      <c r="B101" s="1390" t="s">
        <v>606</v>
      </c>
      <c r="C101" s="499" t="s">
        <v>258</v>
      </c>
      <c r="D101" s="443">
        <f t="shared" ref="D101:N101" si="101">D5</f>
        <v>55337116</v>
      </c>
      <c r="E101" s="442">
        <f t="shared" si="101"/>
        <v>90092532</v>
      </c>
      <c r="F101" s="441">
        <f t="shared" si="101"/>
        <v>110001940</v>
      </c>
      <c r="G101" s="334">
        <f t="shared" si="101"/>
        <v>143010497</v>
      </c>
      <c r="H101" s="334">
        <f t="shared" si="101"/>
        <v>182338383</v>
      </c>
      <c r="I101" s="334">
        <f t="shared" si="101"/>
        <v>225000095</v>
      </c>
      <c r="J101" s="334">
        <f t="shared" si="101"/>
        <v>275000741</v>
      </c>
      <c r="K101" s="334">
        <f t="shared" si="101"/>
        <v>330000889</v>
      </c>
      <c r="L101" s="334">
        <f t="shared" si="101"/>
        <v>390000991</v>
      </c>
      <c r="M101" s="334">
        <f t="shared" si="101"/>
        <v>450002643</v>
      </c>
      <c r="N101" s="437">
        <f t="shared" si="101"/>
        <v>500006937</v>
      </c>
    </row>
    <row r="102" spans="2:14" x14ac:dyDescent="0.45">
      <c r="B102" s="1403"/>
      <c r="C102" s="498" t="s">
        <v>638</v>
      </c>
      <c r="D102" s="479"/>
      <c r="E102" s="478"/>
      <c r="F102" s="477"/>
      <c r="G102" s="334">
        <f t="shared" ref="G102:N102" si="102">SUM(G103:G105)</f>
        <v>141866413</v>
      </c>
      <c r="H102" s="334">
        <f t="shared" si="102"/>
        <v>181043781</v>
      </c>
      <c r="I102" s="334">
        <f t="shared" si="102"/>
        <v>223515094</v>
      </c>
      <c r="J102" s="334">
        <f t="shared" si="102"/>
        <v>273240735</v>
      </c>
      <c r="K102" s="334">
        <f t="shared" si="102"/>
        <v>328020884</v>
      </c>
      <c r="L102" s="334">
        <f t="shared" si="102"/>
        <v>387777985</v>
      </c>
      <c r="M102" s="334">
        <f t="shared" si="102"/>
        <v>447482629</v>
      </c>
      <c r="N102" s="437">
        <f t="shared" si="102"/>
        <v>497356900</v>
      </c>
    </row>
    <row r="103" spans="2:14" x14ac:dyDescent="0.45">
      <c r="B103" s="1403"/>
      <c r="C103" s="500" t="s">
        <v>253</v>
      </c>
      <c r="D103" s="476">
        <f t="shared" ref="D103:N103" si="103">D6</f>
        <v>33580560</v>
      </c>
      <c r="E103" s="475">
        <f t="shared" si="103"/>
        <v>42609040</v>
      </c>
      <c r="F103" s="474">
        <f t="shared" si="103"/>
        <v>52362608</v>
      </c>
      <c r="G103" s="475">
        <f t="shared" si="103"/>
        <v>67675100</v>
      </c>
      <c r="H103" s="475">
        <f t="shared" si="103"/>
        <v>86330324</v>
      </c>
      <c r="I103" s="475">
        <f t="shared" si="103"/>
        <v>107514030</v>
      </c>
      <c r="J103" s="475">
        <f t="shared" si="103"/>
        <v>130873139</v>
      </c>
      <c r="K103" s="475">
        <f t="shared" si="103"/>
        <v>156363102</v>
      </c>
      <c r="L103" s="475">
        <f t="shared" si="103"/>
        <v>184376727</v>
      </c>
      <c r="M103" s="475">
        <f t="shared" si="103"/>
        <v>213643092</v>
      </c>
      <c r="N103" s="474">
        <f t="shared" si="103"/>
        <v>237308111</v>
      </c>
    </row>
    <row r="104" spans="2:14" x14ac:dyDescent="0.45">
      <c r="B104" s="1403"/>
      <c r="C104" s="500" t="s">
        <v>254</v>
      </c>
      <c r="D104" s="476">
        <f t="shared" ref="D104:N104" si="104">D7</f>
        <v>8114880</v>
      </c>
      <c r="E104" s="475">
        <f t="shared" si="104"/>
        <v>12087440</v>
      </c>
      <c r="F104" s="474">
        <f t="shared" si="104"/>
        <v>15760000</v>
      </c>
      <c r="G104" s="475">
        <f t="shared" si="104"/>
        <v>19387158</v>
      </c>
      <c r="H104" s="475">
        <f t="shared" si="104"/>
        <v>24702419</v>
      </c>
      <c r="I104" s="475">
        <f t="shared" si="104"/>
        <v>30087043</v>
      </c>
      <c r="J104" s="475">
        <f t="shared" si="104"/>
        <v>36794525</v>
      </c>
      <c r="K104" s="475">
        <f t="shared" si="104"/>
        <v>44664760</v>
      </c>
      <c r="L104" s="475">
        <f t="shared" si="104"/>
        <v>52954617</v>
      </c>
      <c r="M104" s="475">
        <f t="shared" si="104"/>
        <v>61371687</v>
      </c>
      <c r="N104" s="474">
        <f t="shared" si="104"/>
        <v>67991306</v>
      </c>
    </row>
    <row r="105" spans="2:14" x14ac:dyDescent="0.45">
      <c r="B105" s="1403"/>
      <c r="C105" s="500" t="s">
        <v>233</v>
      </c>
      <c r="D105" s="476">
        <f t="shared" ref="D105:N105" si="105">D8</f>
        <v>11492280</v>
      </c>
      <c r="E105" s="475">
        <f t="shared" si="105"/>
        <v>34491800</v>
      </c>
      <c r="F105" s="474">
        <f t="shared" si="105"/>
        <v>40532932</v>
      </c>
      <c r="G105" s="475">
        <f t="shared" si="105"/>
        <v>54804155</v>
      </c>
      <c r="H105" s="475">
        <f t="shared" si="105"/>
        <v>70011038</v>
      </c>
      <c r="I105" s="475">
        <f t="shared" si="105"/>
        <v>85914021</v>
      </c>
      <c r="J105" s="475">
        <f t="shared" si="105"/>
        <v>105573071</v>
      </c>
      <c r="K105" s="475">
        <f t="shared" si="105"/>
        <v>126993022</v>
      </c>
      <c r="L105" s="475">
        <f t="shared" si="105"/>
        <v>150446641</v>
      </c>
      <c r="M105" s="475">
        <f t="shared" si="105"/>
        <v>172467850</v>
      </c>
      <c r="N105" s="474">
        <f t="shared" si="105"/>
        <v>192057483</v>
      </c>
    </row>
    <row r="106" spans="2:14" x14ac:dyDescent="0.45">
      <c r="B106" s="1403"/>
      <c r="C106" s="498" t="s">
        <v>259</v>
      </c>
      <c r="D106" s="438">
        <f t="shared" ref="D106:N106" si="106">D9</f>
        <v>1413930</v>
      </c>
      <c r="E106" s="334">
        <f t="shared" si="106"/>
        <v>2277101</v>
      </c>
      <c r="F106" s="437">
        <f t="shared" si="106"/>
        <v>2793488</v>
      </c>
      <c r="G106" s="334">
        <f t="shared" si="106"/>
        <v>3616974</v>
      </c>
      <c r="H106" s="334">
        <f t="shared" si="106"/>
        <v>4607387</v>
      </c>
      <c r="I106" s="334">
        <f t="shared" si="106"/>
        <v>5681440</v>
      </c>
      <c r="J106" s="334">
        <f t="shared" si="106"/>
        <v>6943998</v>
      </c>
      <c r="K106" s="334">
        <f t="shared" si="106"/>
        <v>8327022</v>
      </c>
      <c r="L106" s="334">
        <f t="shared" si="106"/>
        <v>9834200</v>
      </c>
      <c r="M106" s="334">
        <f t="shared" si="106"/>
        <v>11344567</v>
      </c>
      <c r="N106" s="437">
        <f t="shared" si="106"/>
        <v>12596425</v>
      </c>
    </row>
    <row r="107" spans="2:14" x14ac:dyDescent="0.45">
      <c r="B107" s="1403"/>
      <c r="C107" s="498" t="s">
        <v>607</v>
      </c>
      <c r="D107" s="473">
        <f t="shared" ref="D107:N107" si="107">D101/D106</f>
        <v>39.137097310333608</v>
      </c>
      <c r="E107" s="472">
        <f t="shared" si="107"/>
        <v>39.564574430383196</v>
      </c>
      <c r="F107" s="471">
        <f t="shared" si="107"/>
        <v>39.377989094637243</v>
      </c>
      <c r="G107" s="472">
        <f t="shared" si="107"/>
        <v>39.538713023649052</v>
      </c>
      <c r="H107" s="472">
        <f t="shared" si="107"/>
        <v>39.575226261653299</v>
      </c>
      <c r="I107" s="472">
        <f t="shared" si="107"/>
        <v>39.602652672561888</v>
      </c>
      <c r="J107" s="472">
        <f t="shared" si="107"/>
        <v>39.602652679335449</v>
      </c>
      <c r="K107" s="472">
        <f t="shared" si="107"/>
        <v>39.630120948401483</v>
      </c>
      <c r="L107" s="472">
        <f t="shared" si="107"/>
        <v>39.65762248073051</v>
      </c>
      <c r="M107" s="472">
        <f t="shared" si="107"/>
        <v>39.666797595712559</v>
      </c>
      <c r="N107" s="471">
        <f t="shared" si="107"/>
        <v>39.694352723094049</v>
      </c>
    </row>
    <row r="108" spans="2:14" x14ac:dyDescent="0.45">
      <c r="B108" s="1403"/>
      <c r="C108" s="498" t="s">
        <v>639</v>
      </c>
      <c r="D108" s="438">
        <f t="shared" ref="D108:N108" si="108">D11</f>
        <v>7635577</v>
      </c>
      <c r="E108" s="334">
        <f t="shared" si="108"/>
        <v>12036091.199999999</v>
      </c>
      <c r="F108" s="437">
        <f t="shared" si="108"/>
        <v>14729378.550000001</v>
      </c>
      <c r="G108" s="334">
        <f t="shared" si="108"/>
        <v>23384984</v>
      </c>
      <c r="H108" s="334">
        <f t="shared" si="108"/>
        <v>30098789</v>
      </c>
      <c r="I108" s="334">
        <f t="shared" si="108"/>
        <v>37498528</v>
      </c>
      <c r="J108" s="334">
        <f t="shared" si="108"/>
        <v>46289996</v>
      </c>
      <c r="K108" s="334">
        <f t="shared" si="108"/>
        <v>56082678</v>
      </c>
      <c r="L108" s="334">
        <f t="shared" si="108"/>
        <v>66918804</v>
      </c>
      <c r="M108" s="334">
        <f t="shared" si="108"/>
        <v>77977272</v>
      </c>
      <c r="N108" s="437">
        <f t="shared" si="108"/>
        <v>87477780</v>
      </c>
    </row>
    <row r="109" spans="2:14" x14ac:dyDescent="0.45">
      <c r="B109" s="1392"/>
      <c r="C109" s="533" t="s">
        <v>609</v>
      </c>
      <c r="D109" s="470">
        <f t="shared" ref="D109:N109" si="109">D108/D106</f>
        <v>5.4002510732497369</v>
      </c>
      <c r="E109" s="469">
        <f t="shared" si="109"/>
        <v>5.2857080999042196</v>
      </c>
      <c r="F109" s="468">
        <f t="shared" si="109"/>
        <v>5.2727552615225131</v>
      </c>
      <c r="G109" s="469">
        <f t="shared" si="109"/>
        <v>6.4653447882124668</v>
      </c>
      <c r="H109" s="469">
        <f t="shared" si="109"/>
        <v>6.5327242968736945</v>
      </c>
      <c r="I109" s="469">
        <f t="shared" si="109"/>
        <v>6.6001802359965076</v>
      </c>
      <c r="J109" s="469">
        <f t="shared" si="109"/>
        <v>6.6661879798928512</v>
      </c>
      <c r="K109" s="469">
        <f t="shared" si="109"/>
        <v>6.7350221964106733</v>
      </c>
      <c r="L109" s="469">
        <f t="shared" si="109"/>
        <v>6.8047023652152694</v>
      </c>
      <c r="M109" s="469">
        <f t="shared" si="109"/>
        <v>6.873534441640655</v>
      </c>
      <c r="N109" s="468">
        <f t="shared" si="109"/>
        <v>6.9446513594134842</v>
      </c>
    </row>
    <row r="110" spans="2:14" outlineLevel="1" x14ac:dyDescent="0.45">
      <c r="B110" s="1410" t="str">
        <f>B66</f>
        <v>Distribution</v>
      </c>
      <c r="C110" s="499" t="s">
        <v>610</v>
      </c>
      <c r="D110" s="443">
        <f>'Pricing Structure - All SKU'!G$32*D106</f>
        <v>10406524.800000001</v>
      </c>
      <c r="E110" s="442">
        <f>'Pricing Structure - All SKU'!I$32*E106</f>
        <v>16759463.360000001</v>
      </c>
      <c r="F110" s="442" t="e">
        <f>'Pricing Structure - All SKU'!#REF!*F106</f>
        <v>#REF!</v>
      </c>
      <c r="G110" s="443" t="e">
        <f>'Pricing Structure - All SKU'!#REF!*G106</f>
        <v>#REF!</v>
      </c>
      <c r="H110" s="442" t="e">
        <f>'Pricing Structure - All SKU'!#REF!*H106</f>
        <v>#REF!</v>
      </c>
      <c r="I110" s="442" t="e">
        <f>'Pricing Structure - All SKU'!#REF!*I106</f>
        <v>#REF!</v>
      </c>
      <c r="J110" s="442" t="e">
        <f>'Pricing Structure - All SKU'!#REF!*J106</f>
        <v>#REF!</v>
      </c>
      <c r="K110" s="442" t="e">
        <f>'Pricing Structure - All SKU'!#REF!*K106</f>
        <v>#REF!</v>
      </c>
      <c r="L110" s="442" t="e">
        <f>'Pricing Structure - All SKU'!#REF!*L106</f>
        <v>#REF!</v>
      </c>
      <c r="M110" s="442" t="e">
        <f>'Pricing Structure - All SKU'!#REF!*M106</f>
        <v>#REF!</v>
      </c>
      <c r="N110" s="441" t="e">
        <f>'Pricing Structure - All SKU'!#REF!*N106</f>
        <v>#REF!</v>
      </c>
    </row>
    <row r="111" spans="2:14" outlineLevel="1" x14ac:dyDescent="0.45">
      <c r="B111" s="1410"/>
      <c r="C111" s="498" t="s">
        <v>611</v>
      </c>
      <c r="D111" s="438">
        <f>'Pricing Structure - All SKU'!G$45*D106</f>
        <v>8986056.8344214857</v>
      </c>
      <c r="E111" s="334">
        <f>'Pricing Structure - All SKU'!I$45*E106</f>
        <v>14673451.43307847</v>
      </c>
      <c r="F111" s="334" t="e">
        <f>'Pricing Structure - All SKU'!#REF!*F106</f>
        <v>#REF!</v>
      </c>
      <c r="G111" s="438" t="e">
        <f>'Pricing Structure - All SKU'!#REF!*G106</f>
        <v>#REF!</v>
      </c>
      <c r="H111" s="334" t="e">
        <f>'Pricing Structure - All SKU'!#REF!*H106</f>
        <v>#REF!</v>
      </c>
      <c r="I111" s="334" t="e">
        <f>'Pricing Structure - All SKU'!#REF!*I106</f>
        <v>#REF!</v>
      </c>
      <c r="J111" s="334" t="e">
        <f>'Pricing Structure - All SKU'!#REF!*J106</f>
        <v>#REF!</v>
      </c>
      <c r="K111" s="334" t="e">
        <f>'Pricing Structure - All SKU'!#REF!*K106</f>
        <v>#REF!</v>
      </c>
      <c r="L111" s="334" t="e">
        <f>'Pricing Structure - All SKU'!#REF!*L106</f>
        <v>#REF!</v>
      </c>
      <c r="M111" s="334" t="e">
        <f>'Pricing Structure - All SKU'!#REF!*M106</f>
        <v>#REF!</v>
      </c>
      <c r="N111" s="437" t="e">
        <f>'Pricing Structure - All SKU'!#REF!*N106</f>
        <v>#REF!</v>
      </c>
    </row>
    <row r="112" spans="2:14" outlineLevel="1" x14ac:dyDescent="0.45">
      <c r="B112" s="1410"/>
      <c r="C112" s="498" t="s">
        <v>612</v>
      </c>
      <c r="D112" s="438">
        <f t="shared" ref="D112:N112" si="110">D110-D111</f>
        <v>1420467.9655785151</v>
      </c>
      <c r="E112" s="334">
        <f t="shared" si="110"/>
        <v>2086011.9269215316</v>
      </c>
      <c r="F112" s="334" t="e">
        <f t="shared" si="110"/>
        <v>#REF!</v>
      </c>
      <c r="G112" s="438" t="e">
        <f t="shared" si="110"/>
        <v>#REF!</v>
      </c>
      <c r="H112" s="334" t="e">
        <f t="shared" si="110"/>
        <v>#REF!</v>
      </c>
      <c r="I112" s="334" t="e">
        <f t="shared" si="110"/>
        <v>#REF!</v>
      </c>
      <c r="J112" s="334" t="e">
        <f t="shared" si="110"/>
        <v>#REF!</v>
      </c>
      <c r="K112" s="334" t="e">
        <f t="shared" si="110"/>
        <v>#REF!</v>
      </c>
      <c r="L112" s="334" t="e">
        <f t="shared" si="110"/>
        <v>#REF!</v>
      </c>
      <c r="M112" s="334" t="e">
        <f t="shared" si="110"/>
        <v>#REF!</v>
      </c>
      <c r="N112" s="437" t="e">
        <f t="shared" si="110"/>
        <v>#REF!</v>
      </c>
    </row>
    <row r="113" spans="2:14" outlineLevel="1" x14ac:dyDescent="0.45">
      <c r="B113" s="1410"/>
      <c r="C113" s="497" t="s">
        <v>174</v>
      </c>
      <c r="D113" s="508">
        <f>D112/D110</f>
        <v>0.13649782159540089</v>
      </c>
      <c r="E113" s="509">
        <f t="shared" ref="E113:N113" si="111">E112/E110</f>
        <v>0.12446770413307144</v>
      </c>
      <c r="F113" s="509" t="e">
        <f t="shared" si="111"/>
        <v>#REF!</v>
      </c>
      <c r="G113" s="509" t="e">
        <f t="shared" si="111"/>
        <v>#REF!</v>
      </c>
      <c r="H113" s="509" t="e">
        <f t="shared" si="111"/>
        <v>#REF!</v>
      </c>
      <c r="I113" s="509" t="e">
        <f t="shared" si="111"/>
        <v>#REF!</v>
      </c>
      <c r="J113" s="509" t="e">
        <f t="shared" si="111"/>
        <v>#REF!</v>
      </c>
      <c r="K113" s="509" t="e">
        <f t="shared" si="111"/>
        <v>#REF!</v>
      </c>
      <c r="L113" s="509" t="e">
        <f t="shared" si="111"/>
        <v>#REF!</v>
      </c>
      <c r="M113" s="509" t="e">
        <f t="shared" si="111"/>
        <v>#REF!</v>
      </c>
      <c r="N113" s="510" t="e">
        <f t="shared" si="111"/>
        <v>#REF!</v>
      </c>
    </row>
    <row r="114" spans="2:14" outlineLevel="1" x14ac:dyDescent="0.45">
      <c r="B114" s="1410"/>
      <c r="C114" s="498" t="s">
        <v>641</v>
      </c>
      <c r="D114" s="438">
        <f t="shared" ref="D114:N114" si="112">D110*8%</f>
        <v>832521.98400000005</v>
      </c>
      <c r="E114" s="334">
        <f t="shared" si="112"/>
        <v>1340757.0688000002</v>
      </c>
      <c r="F114" s="334" t="e">
        <f t="shared" si="112"/>
        <v>#REF!</v>
      </c>
      <c r="G114" s="438" t="e">
        <f t="shared" si="112"/>
        <v>#REF!</v>
      </c>
      <c r="H114" s="334" t="e">
        <f t="shared" si="112"/>
        <v>#REF!</v>
      </c>
      <c r="I114" s="334" t="e">
        <f t="shared" si="112"/>
        <v>#REF!</v>
      </c>
      <c r="J114" s="334" t="e">
        <f t="shared" si="112"/>
        <v>#REF!</v>
      </c>
      <c r="K114" s="334" t="e">
        <f t="shared" si="112"/>
        <v>#REF!</v>
      </c>
      <c r="L114" s="334" t="e">
        <f t="shared" si="112"/>
        <v>#REF!</v>
      </c>
      <c r="M114" s="334" t="e">
        <f t="shared" si="112"/>
        <v>#REF!</v>
      </c>
      <c r="N114" s="437" t="e">
        <f t="shared" si="112"/>
        <v>#REF!</v>
      </c>
    </row>
    <row r="115" spans="2:14" outlineLevel="1" x14ac:dyDescent="0.45">
      <c r="B115" s="1410"/>
      <c r="C115" s="498" t="s">
        <v>614</v>
      </c>
      <c r="D115" s="438">
        <f t="shared" ref="D115:N115" si="113">D112-D114</f>
        <v>587945.98157851503</v>
      </c>
      <c r="E115" s="334">
        <f t="shared" si="113"/>
        <v>745254.85812153132</v>
      </c>
      <c r="F115" s="334" t="e">
        <f t="shared" si="113"/>
        <v>#REF!</v>
      </c>
      <c r="G115" s="438" t="e">
        <f t="shared" si="113"/>
        <v>#REF!</v>
      </c>
      <c r="H115" s="334" t="e">
        <f t="shared" si="113"/>
        <v>#REF!</v>
      </c>
      <c r="I115" s="334" t="e">
        <f t="shared" si="113"/>
        <v>#REF!</v>
      </c>
      <c r="J115" s="334" t="e">
        <f t="shared" si="113"/>
        <v>#REF!</v>
      </c>
      <c r="K115" s="334" t="e">
        <f t="shared" si="113"/>
        <v>#REF!</v>
      </c>
      <c r="L115" s="334" t="e">
        <f t="shared" si="113"/>
        <v>#REF!</v>
      </c>
      <c r="M115" s="334" t="e">
        <f t="shared" si="113"/>
        <v>#REF!</v>
      </c>
      <c r="N115" s="437" t="e">
        <f t="shared" si="113"/>
        <v>#REF!</v>
      </c>
    </row>
    <row r="116" spans="2:14" outlineLevel="1" x14ac:dyDescent="0.45">
      <c r="B116" s="1410"/>
      <c r="C116" s="497" t="s">
        <v>615</v>
      </c>
      <c r="D116" s="508">
        <f>D115/D110</f>
        <v>5.6497821595400899E-2</v>
      </c>
      <c r="E116" s="509">
        <f t="shared" ref="E116:N116" si="114">E115/E110</f>
        <v>4.4467704133071433E-2</v>
      </c>
      <c r="F116" s="509" t="e">
        <f t="shared" si="114"/>
        <v>#REF!</v>
      </c>
      <c r="G116" s="509" t="e">
        <f t="shared" si="114"/>
        <v>#REF!</v>
      </c>
      <c r="H116" s="509" t="e">
        <f t="shared" si="114"/>
        <v>#REF!</v>
      </c>
      <c r="I116" s="509" t="e">
        <f t="shared" si="114"/>
        <v>#REF!</v>
      </c>
      <c r="J116" s="509" t="e">
        <f t="shared" si="114"/>
        <v>#REF!</v>
      </c>
      <c r="K116" s="509" t="e">
        <f t="shared" si="114"/>
        <v>#REF!</v>
      </c>
      <c r="L116" s="509" t="e">
        <f t="shared" si="114"/>
        <v>#REF!</v>
      </c>
      <c r="M116" s="509" t="e">
        <f t="shared" si="114"/>
        <v>#REF!</v>
      </c>
      <c r="N116" s="510" t="e">
        <f t="shared" si="114"/>
        <v>#REF!</v>
      </c>
    </row>
    <row r="117" spans="2:14" outlineLevel="1" x14ac:dyDescent="0.45">
      <c r="B117" s="1410"/>
      <c r="C117" s="498" t="s">
        <v>616</v>
      </c>
      <c r="D117" s="438">
        <f t="shared" ref="D117:N117" si="115">20%*D115</f>
        <v>117589.19631570301</v>
      </c>
      <c r="E117" s="334">
        <f t="shared" si="115"/>
        <v>149050.97162430626</v>
      </c>
      <c r="F117" s="334" t="e">
        <f t="shared" si="115"/>
        <v>#REF!</v>
      </c>
      <c r="G117" s="438" t="e">
        <f t="shared" si="115"/>
        <v>#REF!</v>
      </c>
      <c r="H117" s="334" t="e">
        <f t="shared" si="115"/>
        <v>#REF!</v>
      </c>
      <c r="I117" s="334" t="e">
        <f t="shared" si="115"/>
        <v>#REF!</v>
      </c>
      <c r="J117" s="334" t="e">
        <f t="shared" si="115"/>
        <v>#REF!</v>
      </c>
      <c r="K117" s="334" t="e">
        <f t="shared" si="115"/>
        <v>#REF!</v>
      </c>
      <c r="L117" s="334" t="e">
        <f t="shared" si="115"/>
        <v>#REF!</v>
      </c>
      <c r="M117" s="334" t="e">
        <f t="shared" si="115"/>
        <v>#REF!</v>
      </c>
      <c r="N117" s="437" t="e">
        <f t="shared" si="115"/>
        <v>#REF!</v>
      </c>
    </row>
    <row r="118" spans="2:14" outlineLevel="1" x14ac:dyDescent="0.45">
      <c r="B118" s="1410"/>
      <c r="C118" s="498" t="s">
        <v>642</v>
      </c>
      <c r="D118" s="438">
        <f t="shared" ref="D118:N118" si="116">D115-D117</f>
        <v>470356.78526281205</v>
      </c>
      <c r="E118" s="334">
        <f t="shared" si="116"/>
        <v>596203.88649722503</v>
      </c>
      <c r="F118" s="334" t="e">
        <f t="shared" si="116"/>
        <v>#REF!</v>
      </c>
      <c r="G118" s="438" t="e">
        <f t="shared" si="116"/>
        <v>#REF!</v>
      </c>
      <c r="H118" s="334" t="e">
        <f t="shared" si="116"/>
        <v>#REF!</v>
      </c>
      <c r="I118" s="334" t="e">
        <f t="shared" si="116"/>
        <v>#REF!</v>
      </c>
      <c r="J118" s="334" t="e">
        <f t="shared" si="116"/>
        <v>#REF!</v>
      </c>
      <c r="K118" s="334" t="e">
        <f t="shared" si="116"/>
        <v>#REF!</v>
      </c>
      <c r="L118" s="334" t="e">
        <f t="shared" si="116"/>
        <v>#REF!</v>
      </c>
      <c r="M118" s="334" t="e">
        <f t="shared" si="116"/>
        <v>#REF!</v>
      </c>
      <c r="N118" s="437" t="e">
        <f t="shared" si="116"/>
        <v>#REF!</v>
      </c>
    </row>
    <row r="119" spans="2:14" outlineLevel="1" x14ac:dyDescent="0.45">
      <c r="B119" s="1410"/>
      <c r="C119" s="497" t="s">
        <v>618</v>
      </c>
      <c r="D119" s="505">
        <f>D118/D110</f>
        <v>4.5198257276320722E-2</v>
      </c>
      <c r="E119" s="506">
        <f t="shared" ref="E119:N119" si="117">E118/E110</f>
        <v>3.5574163306457143E-2</v>
      </c>
      <c r="F119" s="506" t="e">
        <f t="shared" si="117"/>
        <v>#REF!</v>
      </c>
      <c r="G119" s="506" t="e">
        <f t="shared" si="117"/>
        <v>#REF!</v>
      </c>
      <c r="H119" s="506" t="e">
        <f t="shared" si="117"/>
        <v>#REF!</v>
      </c>
      <c r="I119" s="506" t="e">
        <f t="shared" si="117"/>
        <v>#REF!</v>
      </c>
      <c r="J119" s="506" t="e">
        <f t="shared" si="117"/>
        <v>#REF!</v>
      </c>
      <c r="K119" s="506" t="e">
        <f t="shared" si="117"/>
        <v>#REF!</v>
      </c>
      <c r="L119" s="506" t="e">
        <f t="shared" si="117"/>
        <v>#REF!</v>
      </c>
      <c r="M119" s="506" t="e">
        <f t="shared" si="117"/>
        <v>#REF!</v>
      </c>
      <c r="N119" s="507" t="e">
        <f t="shared" si="117"/>
        <v>#REF!</v>
      </c>
    </row>
    <row r="120" spans="2:14" outlineLevel="1" x14ac:dyDescent="0.45">
      <c r="B120" s="1410"/>
      <c r="C120" s="498" t="s">
        <v>658</v>
      </c>
      <c r="D120" s="438">
        <f>D118</f>
        <v>470356.78526281205</v>
      </c>
      <c r="E120" s="334">
        <f>E118</f>
        <v>596203.88649722503</v>
      </c>
      <c r="F120" s="334" t="e">
        <f>F118</f>
        <v>#REF!</v>
      </c>
      <c r="G120" s="438" t="e">
        <f t="shared" ref="G120:N120" si="118">G118*MID($C120,40,3)</f>
        <v>#REF!</v>
      </c>
      <c r="H120" s="334" t="e">
        <f t="shared" si="118"/>
        <v>#REF!</v>
      </c>
      <c r="I120" s="334" t="e">
        <f t="shared" si="118"/>
        <v>#REF!</v>
      </c>
      <c r="J120" s="334" t="e">
        <f t="shared" si="118"/>
        <v>#REF!</v>
      </c>
      <c r="K120" s="334" t="e">
        <f t="shared" si="118"/>
        <v>#REF!</v>
      </c>
      <c r="L120" s="334" t="e">
        <f t="shared" si="118"/>
        <v>#REF!</v>
      </c>
      <c r="M120" s="334" t="e">
        <f t="shared" si="118"/>
        <v>#REF!</v>
      </c>
      <c r="N120" s="437" t="e">
        <f t="shared" si="118"/>
        <v>#REF!</v>
      </c>
    </row>
    <row r="121" spans="2:14" outlineLevel="1" x14ac:dyDescent="0.45">
      <c r="B121" s="1410"/>
      <c r="C121" s="498" t="s">
        <v>659</v>
      </c>
      <c r="D121" s="438"/>
      <c r="E121" s="334"/>
      <c r="F121" s="334"/>
      <c r="G121" s="438">
        <f t="shared" ref="G121:N121" si="119">G135*MID($C121,40,3)</f>
        <v>382610.49890399986</v>
      </c>
      <c r="H121" s="334">
        <f t="shared" si="119"/>
        <v>681817.21187700029</v>
      </c>
      <c r="I121" s="334">
        <f t="shared" si="119"/>
        <v>976586.28720000049</v>
      </c>
      <c r="J121" s="334">
        <f t="shared" si="119"/>
        <v>1322365.2315719984</v>
      </c>
      <c r="K121" s="334">
        <f t="shared" si="119"/>
        <v>1593528.7283279991</v>
      </c>
      <c r="L121" s="334">
        <f t="shared" si="119"/>
        <v>1894606.9523160001</v>
      </c>
      <c r="M121" s="334">
        <f t="shared" si="119"/>
        <v>2347455.6594455992</v>
      </c>
      <c r="N121" s="437">
        <f t="shared" si="119"/>
        <v>2701483.2675840002</v>
      </c>
    </row>
    <row r="122" spans="2:14" x14ac:dyDescent="0.45">
      <c r="B122" s="1410"/>
      <c r="C122" s="496" t="s">
        <v>645</v>
      </c>
      <c r="D122" s="467">
        <f t="shared" ref="D122:N122" si="120">D120+D121</f>
        <v>470356.78526281205</v>
      </c>
      <c r="E122" s="466">
        <f t="shared" si="120"/>
        <v>596203.88649722503</v>
      </c>
      <c r="F122" s="466" t="e">
        <f t="shared" si="120"/>
        <v>#REF!</v>
      </c>
      <c r="G122" s="467" t="e">
        <f t="shared" si="120"/>
        <v>#REF!</v>
      </c>
      <c r="H122" s="466" t="e">
        <f t="shared" si="120"/>
        <v>#REF!</v>
      </c>
      <c r="I122" s="466" t="e">
        <f t="shared" si="120"/>
        <v>#REF!</v>
      </c>
      <c r="J122" s="466" t="e">
        <f t="shared" si="120"/>
        <v>#REF!</v>
      </c>
      <c r="K122" s="466" t="e">
        <f t="shared" si="120"/>
        <v>#REF!</v>
      </c>
      <c r="L122" s="466" t="e">
        <f t="shared" si="120"/>
        <v>#REF!</v>
      </c>
      <c r="M122" s="466" t="e">
        <f t="shared" si="120"/>
        <v>#REF!</v>
      </c>
      <c r="N122" s="465" t="e">
        <f t="shared" si="120"/>
        <v>#REF!</v>
      </c>
    </row>
    <row r="123" spans="2:14" x14ac:dyDescent="0.45">
      <c r="B123" s="1410"/>
      <c r="C123" s="497" t="s">
        <v>646</v>
      </c>
      <c r="D123" s="1404">
        <f>D122/D110</f>
        <v>4.5198257276320722E-2</v>
      </c>
      <c r="E123" s="1405"/>
      <c r="F123" s="1406"/>
      <c r="G123" s="448" t="e">
        <f t="shared" ref="G123:N123" si="121">G122/G110</f>
        <v>#REF!</v>
      </c>
      <c r="H123" s="448" t="e">
        <f t="shared" si="121"/>
        <v>#REF!</v>
      </c>
      <c r="I123" s="448" t="e">
        <f t="shared" si="121"/>
        <v>#REF!</v>
      </c>
      <c r="J123" s="448" t="e">
        <f t="shared" si="121"/>
        <v>#REF!</v>
      </c>
      <c r="K123" s="448" t="e">
        <f t="shared" si="121"/>
        <v>#REF!</v>
      </c>
      <c r="L123" s="448" t="e">
        <f t="shared" si="121"/>
        <v>#REF!</v>
      </c>
      <c r="M123" s="448" t="e">
        <f t="shared" si="121"/>
        <v>#REF!</v>
      </c>
      <c r="N123" s="447" t="e">
        <f t="shared" si="121"/>
        <v>#REF!</v>
      </c>
    </row>
    <row r="124" spans="2:14" outlineLevel="1" x14ac:dyDescent="0.45">
      <c r="B124" s="1401" t="str">
        <f>B80</f>
        <v>Manufacturing</v>
      </c>
      <c r="C124" s="499" t="s">
        <v>79</v>
      </c>
      <c r="D124" s="464"/>
      <c r="E124" s="463"/>
      <c r="F124" s="462"/>
      <c r="G124" s="442">
        <f t="shared" ref="G124:N124" si="122">G125*G108</f>
        <v>18093663.67032</v>
      </c>
      <c r="H124" s="442">
        <f t="shared" si="122"/>
        <v>23016242.960409999</v>
      </c>
      <c r="I124" s="442">
        <f t="shared" si="122"/>
        <v>28292639.375999998</v>
      </c>
      <c r="J124" s="442">
        <f t="shared" si="122"/>
        <v>34778136.894760005</v>
      </c>
      <c r="K124" s="442">
        <f t="shared" si="122"/>
        <v>42683404.572240002</v>
      </c>
      <c r="L124" s="442">
        <f t="shared" si="122"/>
        <v>49792274.492279999</v>
      </c>
      <c r="M124" s="442">
        <f t="shared" si="122"/>
        <v>57797455.801848002</v>
      </c>
      <c r="N124" s="441">
        <f t="shared" si="122"/>
        <v>64613187.774719998</v>
      </c>
    </row>
    <row r="125" spans="2:14" outlineLevel="1" x14ac:dyDescent="0.45">
      <c r="B125" s="1401"/>
      <c r="C125" s="529" t="s">
        <v>619</v>
      </c>
      <c r="D125" s="461"/>
      <c r="E125" s="460"/>
      <c r="F125" s="459"/>
      <c r="G125" s="458">
        <f t="shared" ref="G125:N125" si="123">G24</f>
        <v>0.77373000000000003</v>
      </c>
      <c r="H125" s="458">
        <f t="shared" si="123"/>
        <v>0.76468999999999998</v>
      </c>
      <c r="I125" s="458">
        <f t="shared" si="123"/>
        <v>0.75449999999999995</v>
      </c>
      <c r="J125" s="458">
        <f t="shared" si="123"/>
        <v>0.75131000000000003</v>
      </c>
      <c r="K125" s="458">
        <f t="shared" si="123"/>
        <v>0.76107999999999998</v>
      </c>
      <c r="L125" s="458">
        <f t="shared" si="123"/>
        <v>0.74407000000000001</v>
      </c>
      <c r="M125" s="458">
        <f t="shared" si="123"/>
        <v>0.74120900000000001</v>
      </c>
      <c r="N125" s="457">
        <f t="shared" si="123"/>
        <v>0.73862399999999995</v>
      </c>
    </row>
    <row r="126" spans="2:14" outlineLevel="1" x14ac:dyDescent="0.45">
      <c r="B126" s="1401"/>
      <c r="C126" s="498" t="s">
        <v>648</v>
      </c>
      <c r="D126" s="456"/>
      <c r="E126" s="455"/>
      <c r="F126" s="454"/>
      <c r="G126" s="334">
        <f t="shared" ref="G126:N126" si="124">G108-G124</f>
        <v>5291320.3296799995</v>
      </c>
      <c r="H126" s="334">
        <f t="shared" si="124"/>
        <v>7082546.0395900011</v>
      </c>
      <c r="I126" s="334">
        <f t="shared" si="124"/>
        <v>9205888.6240000017</v>
      </c>
      <c r="J126" s="334">
        <f t="shared" si="124"/>
        <v>11511859.105239995</v>
      </c>
      <c r="K126" s="334">
        <f t="shared" si="124"/>
        <v>13399273.427759998</v>
      </c>
      <c r="L126" s="334">
        <f t="shared" si="124"/>
        <v>17126529.507720001</v>
      </c>
      <c r="M126" s="334">
        <f t="shared" si="124"/>
        <v>20179816.198151998</v>
      </c>
      <c r="N126" s="437">
        <f t="shared" si="124"/>
        <v>22864592.225280002</v>
      </c>
    </row>
    <row r="127" spans="2:14" outlineLevel="1" x14ac:dyDescent="0.45">
      <c r="B127" s="1401"/>
      <c r="C127" s="497" t="s">
        <v>649</v>
      </c>
      <c r="D127" s="451"/>
      <c r="E127" s="450"/>
      <c r="F127" s="449"/>
      <c r="G127" s="448">
        <f t="shared" ref="G127:N127" si="125">G126/G108</f>
        <v>0.22626999999999997</v>
      </c>
      <c r="H127" s="448">
        <f t="shared" si="125"/>
        <v>0.23531000000000005</v>
      </c>
      <c r="I127" s="448">
        <f t="shared" si="125"/>
        <v>0.24550000000000005</v>
      </c>
      <c r="J127" s="448">
        <f t="shared" si="125"/>
        <v>0.24868999999999988</v>
      </c>
      <c r="K127" s="448">
        <f t="shared" si="125"/>
        <v>0.23891999999999997</v>
      </c>
      <c r="L127" s="448">
        <f t="shared" si="125"/>
        <v>0.25592999999999999</v>
      </c>
      <c r="M127" s="448">
        <f t="shared" si="125"/>
        <v>0.25879099999999999</v>
      </c>
      <c r="N127" s="447">
        <f t="shared" si="125"/>
        <v>0.261376</v>
      </c>
    </row>
    <row r="128" spans="2:14" outlineLevel="1" x14ac:dyDescent="0.45">
      <c r="B128" s="1401"/>
      <c r="C128" s="498" t="s">
        <v>650</v>
      </c>
      <c r="D128" s="456"/>
      <c r="E128" s="455"/>
      <c r="F128" s="454"/>
      <c r="G128" s="334">
        <f t="shared" ref="G128:N128" si="126">G27</f>
        <v>3220613</v>
      </c>
      <c r="H128" s="334">
        <f t="shared" si="126"/>
        <v>3784696</v>
      </c>
      <c r="I128" s="334">
        <f t="shared" si="126"/>
        <v>4672333</v>
      </c>
      <c r="J128" s="334">
        <f t="shared" si="126"/>
        <v>5525702</v>
      </c>
      <c r="K128" s="334">
        <f t="shared" si="126"/>
        <v>6173874</v>
      </c>
      <c r="L128" s="334">
        <f t="shared" si="126"/>
        <v>6947411</v>
      </c>
      <c r="M128" s="334">
        <f t="shared" si="126"/>
        <v>7735720</v>
      </c>
      <c r="N128" s="437">
        <f t="shared" si="126"/>
        <v>8618962</v>
      </c>
    </row>
    <row r="129" spans="2:15" outlineLevel="1" x14ac:dyDescent="0.45">
      <c r="B129" s="1401"/>
      <c r="C129" s="498" t="s">
        <v>651</v>
      </c>
      <c r="D129" s="456"/>
      <c r="E129" s="455"/>
      <c r="F129" s="454"/>
      <c r="G129" s="334">
        <f t="shared" ref="G129:N129" si="127">G126-G128</f>
        <v>2070707.3296799995</v>
      </c>
      <c r="H129" s="334">
        <f t="shared" si="127"/>
        <v>3297850.0395900011</v>
      </c>
      <c r="I129" s="334">
        <f t="shared" si="127"/>
        <v>4533555.6240000017</v>
      </c>
      <c r="J129" s="334">
        <f t="shared" si="127"/>
        <v>5986157.1052399948</v>
      </c>
      <c r="K129" s="334">
        <f t="shared" si="127"/>
        <v>7225399.4277599975</v>
      </c>
      <c r="L129" s="334">
        <f t="shared" si="127"/>
        <v>10179118.507720001</v>
      </c>
      <c r="M129" s="334">
        <f t="shared" si="127"/>
        <v>12444096.198151998</v>
      </c>
      <c r="N129" s="437">
        <f t="shared" si="127"/>
        <v>14245630.225280002</v>
      </c>
    </row>
    <row r="130" spans="2:15" outlineLevel="1" x14ac:dyDescent="0.45">
      <c r="B130" s="1401"/>
      <c r="C130" s="497" t="s">
        <v>652</v>
      </c>
      <c r="D130" s="451"/>
      <c r="E130" s="450"/>
      <c r="F130" s="449"/>
      <c r="G130" s="448">
        <f t="shared" ref="G130:N130" si="128">G129/G108</f>
        <v>8.854858868750988E-2</v>
      </c>
      <c r="H130" s="448">
        <f t="shared" si="128"/>
        <v>0.10956753242098879</v>
      </c>
      <c r="I130" s="448">
        <f t="shared" si="128"/>
        <v>0.12089956235082086</v>
      </c>
      <c r="J130" s="448">
        <f t="shared" si="128"/>
        <v>0.12931859197481882</v>
      </c>
      <c r="K130" s="448">
        <f t="shared" si="128"/>
        <v>0.12883477903391127</v>
      </c>
      <c r="L130" s="448">
        <f t="shared" si="128"/>
        <v>0.15211148286093101</v>
      </c>
      <c r="M130" s="448">
        <f t="shared" si="128"/>
        <v>0.15958619581038944</v>
      </c>
      <c r="N130" s="447">
        <f t="shared" si="128"/>
        <v>0.16284855680242458</v>
      </c>
    </row>
    <row r="131" spans="2:15" outlineLevel="1" x14ac:dyDescent="0.45">
      <c r="B131" s="1401"/>
      <c r="C131" s="498" t="s">
        <v>625</v>
      </c>
      <c r="D131" s="456"/>
      <c r="E131" s="455"/>
      <c r="F131" s="454"/>
      <c r="G131" s="334">
        <f t="shared" ref="G131:N131" si="129">G30</f>
        <v>795339</v>
      </c>
      <c r="H131" s="334">
        <f t="shared" si="129"/>
        <v>1025126</v>
      </c>
      <c r="I131" s="334">
        <f t="shared" si="129"/>
        <v>1278268</v>
      </c>
      <c r="J131" s="334">
        <f t="shared" si="129"/>
        <v>1578273</v>
      </c>
      <c r="K131" s="334">
        <f t="shared" si="129"/>
        <v>1913637</v>
      </c>
      <c r="L131" s="334">
        <f t="shared" si="129"/>
        <v>2284875</v>
      </c>
      <c r="M131" s="334">
        <f t="shared" si="129"/>
        <v>2663035</v>
      </c>
      <c r="N131" s="437">
        <f t="shared" si="129"/>
        <v>2989443</v>
      </c>
    </row>
    <row r="132" spans="2:15" outlineLevel="1" x14ac:dyDescent="0.45">
      <c r="B132" s="1401"/>
      <c r="C132" s="498" t="s">
        <v>653</v>
      </c>
      <c r="D132" s="456"/>
      <c r="E132" s="455"/>
      <c r="F132" s="454"/>
      <c r="G132" s="334">
        <f t="shared" ref="G132:N132" si="130">G129-G131</f>
        <v>1275368.3296799995</v>
      </c>
      <c r="H132" s="334">
        <f t="shared" si="130"/>
        <v>2272724.0395900011</v>
      </c>
      <c r="I132" s="334">
        <f t="shared" si="130"/>
        <v>3255287.6240000017</v>
      </c>
      <c r="J132" s="334">
        <f t="shared" si="130"/>
        <v>4407884.1052399948</v>
      </c>
      <c r="K132" s="334">
        <f t="shared" si="130"/>
        <v>5311762.4277599975</v>
      </c>
      <c r="L132" s="334">
        <f t="shared" si="130"/>
        <v>7894243.507720001</v>
      </c>
      <c r="M132" s="334">
        <f t="shared" si="130"/>
        <v>9781061.1981519982</v>
      </c>
      <c r="N132" s="437">
        <f t="shared" si="130"/>
        <v>11256187.225280002</v>
      </c>
    </row>
    <row r="133" spans="2:15" outlineLevel="1" x14ac:dyDescent="0.45">
      <c r="B133" s="1401"/>
      <c r="C133" s="497" t="s">
        <v>654</v>
      </c>
      <c r="D133" s="451"/>
      <c r="E133" s="450"/>
      <c r="F133" s="449"/>
      <c r="G133" s="448">
        <f t="shared" ref="G133:N133" si="131">G132/G108</f>
        <v>5.4537917566246763E-2</v>
      </c>
      <c r="H133" s="448">
        <f t="shared" si="131"/>
        <v>7.5508819959168499E-2</v>
      </c>
      <c r="I133" s="448">
        <f t="shared" si="131"/>
        <v>8.6811077597499342E-2</v>
      </c>
      <c r="J133" s="448">
        <f t="shared" si="131"/>
        <v>9.5223255263188936E-2</v>
      </c>
      <c r="K133" s="448">
        <f t="shared" si="131"/>
        <v>9.4713066800412013E-2</v>
      </c>
      <c r="L133" s="448">
        <f t="shared" si="131"/>
        <v>0.11796749248118663</v>
      </c>
      <c r="M133" s="448">
        <f t="shared" si="131"/>
        <v>0.12543477025141375</v>
      </c>
      <c r="N133" s="447">
        <f t="shared" si="131"/>
        <v>0.12867481576784415</v>
      </c>
    </row>
    <row r="134" spans="2:15" outlineLevel="1" x14ac:dyDescent="0.45">
      <c r="B134" s="1401"/>
      <c r="C134" s="498" t="s">
        <v>628</v>
      </c>
      <c r="D134" s="456"/>
      <c r="E134" s="455"/>
      <c r="F134" s="454"/>
      <c r="G134" s="334">
        <f t="shared" ref="G134:N134" si="132">G33</f>
        <v>0</v>
      </c>
      <c r="H134" s="334">
        <f t="shared" si="132"/>
        <v>0</v>
      </c>
      <c r="I134" s="334">
        <f t="shared" si="132"/>
        <v>0</v>
      </c>
      <c r="J134" s="334">
        <f t="shared" si="132"/>
        <v>0</v>
      </c>
      <c r="K134" s="334">
        <f t="shared" si="132"/>
        <v>0</v>
      </c>
      <c r="L134" s="334">
        <f t="shared" si="132"/>
        <v>1578887</v>
      </c>
      <c r="M134" s="334">
        <f t="shared" si="132"/>
        <v>1956209</v>
      </c>
      <c r="N134" s="437">
        <f t="shared" si="132"/>
        <v>2251243</v>
      </c>
    </row>
    <row r="135" spans="2:15" outlineLevel="1" x14ac:dyDescent="0.45">
      <c r="B135" s="1401"/>
      <c r="C135" s="534" t="s">
        <v>655</v>
      </c>
      <c r="D135" s="456"/>
      <c r="E135" s="455"/>
      <c r="F135" s="454"/>
      <c r="G135" s="453">
        <f t="shared" ref="G135:N135" si="133">G132-G134</f>
        <v>1275368.3296799995</v>
      </c>
      <c r="H135" s="453">
        <f t="shared" si="133"/>
        <v>2272724.0395900011</v>
      </c>
      <c r="I135" s="453">
        <f t="shared" si="133"/>
        <v>3255287.6240000017</v>
      </c>
      <c r="J135" s="453">
        <f t="shared" si="133"/>
        <v>4407884.1052399948</v>
      </c>
      <c r="K135" s="453">
        <f t="shared" si="133"/>
        <v>5311762.4277599975</v>
      </c>
      <c r="L135" s="453">
        <f t="shared" si="133"/>
        <v>6315356.507720001</v>
      </c>
      <c r="M135" s="453">
        <f t="shared" si="133"/>
        <v>7824852.1981519982</v>
      </c>
      <c r="N135" s="452">
        <f t="shared" si="133"/>
        <v>9004944.2252800018</v>
      </c>
    </row>
    <row r="136" spans="2:15" outlineLevel="1" x14ac:dyDescent="0.45">
      <c r="B136" s="1401"/>
      <c r="C136" s="527" t="s">
        <v>656</v>
      </c>
      <c r="D136" s="451"/>
      <c r="E136" s="450"/>
      <c r="F136" s="449"/>
      <c r="G136" s="448">
        <f t="shared" ref="G136:N136" si="134">G135/G108</f>
        <v>5.4537917566246763E-2</v>
      </c>
      <c r="H136" s="448">
        <f t="shared" si="134"/>
        <v>7.5508819959168499E-2</v>
      </c>
      <c r="I136" s="448">
        <f t="shared" si="134"/>
        <v>8.6811077597499342E-2</v>
      </c>
      <c r="J136" s="448">
        <f t="shared" si="134"/>
        <v>9.5223255263188936E-2</v>
      </c>
      <c r="K136" s="448">
        <f t="shared" si="134"/>
        <v>9.4713066800412013E-2</v>
      </c>
      <c r="L136" s="448">
        <f t="shared" si="134"/>
        <v>9.4373421672628827E-2</v>
      </c>
      <c r="M136" s="448">
        <f t="shared" si="134"/>
        <v>0.10034785774695988</v>
      </c>
      <c r="N136" s="447">
        <f t="shared" si="134"/>
        <v>0.10293978911307536</v>
      </c>
    </row>
    <row r="137" spans="2:15" outlineLevel="1" x14ac:dyDescent="0.45">
      <c r="B137" s="1407" t="s">
        <v>605</v>
      </c>
      <c r="C137" s="499" t="str">
        <f>CONCATENATE("Indofood Net Profit from Operation (",TEXT(100%-MID(C120,40,3),"0%"),")")</f>
        <v>Indofood Net Profit from Operation (70%)</v>
      </c>
      <c r="D137" s="446"/>
      <c r="E137" s="445"/>
      <c r="F137" s="444"/>
      <c r="G137" s="443">
        <f>G135*MID($C137,37,3)</f>
        <v>892757.83077599958</v>
      </c>
      <c r="H137" s="442">
        <f t="shared" ref="H137:N137" si="135">H135*MID($C137,37,3)</f>
        <v>1590906.8277130006</v>
      </c>
      <c r="I137" s="442">
        <f t="shared" si="135"/>
        <v>2278701.3368000011</v>
      </c>
      <c r="J137" s="442">
        <f t="shared" si="135"/>
        <v>3085518.8736679964</v>
      </c>
      <c r="K137" s="442">
        <f t="shared" si="135"/>
        <v>3718233.6994319982</v>
      </c>
      <c r="L137" s="442">
        <f t="shared" si="135"/>
        <v>4420749.555404</v>
      </c>
      <c r="M137" s="442">
        <f t="shared" si="135"/>
        <v>5477396.5387063986</v>
      </c>
      <c r="N137" s="441">
        <f t="shared" si="135"/>
        <v>6303460.957696001</v>
      </c>
    </row>
    <row r="138" spans="2:15" outlineLevel="1" x14ac:dyDescent="0.45">
      <c r="B138" s="1408"/>
      <c r="C138" s="498" t="str">
        <f>CONCATENATE("Indofood Net Profit as Shareholder (",TEXT(100%-MID(C120,40,3),"0%"),")")</f>
        <v>Indofood Net Profit as Shareholder (70%)</v>
      </c>
      <c r="D138" s="440"/>
      <c r="F138" s="439"/>
      <c r="G138" s="438" t="e">
        <f>G118*MID($C138,37,3)</f>
        <v>#REF!</v>
      </c>
      <c r="H138" s="334" t="e">
        <f t="shared" ref="H138:N138" si="136">H118*MID($C138,37,3)</f>
        <v>#REF!</v>
      </c>
      <c r="I138" s="334" t="e">
        <f t="shared" si="136"/>
        <v>#REF!</v>
      </c>
      <c r="J138" s="334" t="e">
        <f t="shared" si="136"/>
        <v>#REF!</v>
      </c>
      <c r="K138" s="334" t="e">
        <f t="shared" si="136"/>
        <v>#REF!</v>
      </c>
      <c r="L138" s="334" t="e">
        <f t="shared" si="136"/>
        <v>#REF!</v>
      </c>
      <c r="M138" s="334" t="e">
        <f t="shared" si="136"/>
        <v>#REF!</v>
      </c>
      <c r="N138" s="437" t="e">
        <f t="shared" si="136"/>
        <v>#REF!</v>
      </c>
    </row>
    <row r="139" spans="2:15" x14ac:dyDescent="0.45">
      <c r="B139" s="1409"/>
      <c r="C139" s="535" t="s">
        <v>629</v>
      </c>
      <c r="D139" s="436"/>
      <c r="E139" s="435"/>
      <c r="F139" s="434"/>
      <c r="G139" s="433" t="e">
        <f t="shared" ref="G139:N139" si="137">G137+G138</f>
        <v>#REF!</v>
      </c>
      <c r="H139" s="432" t="e">
        <f t="shared" si="137"/>
        <v>#REF!</v>
      </c>
      <c r="I139" s="432" t="e">
        <f t="shared" si="137"/>
        <v>#REF!</v>
      </c>
      <c r="J139" s="432" t="e">
        <f t="shared" si="137"/>
        <v>#REF!</v>
      </c>
      <c r="K139" s="432" t="e">
        <f t="shared" si="137"/>
        <v>#REF!</v>
      </c>
      <c r="L139" s="432" t="e">
        <f t="shared" si="137"/>
        <v>#REF!</v>
      </c>
      <c r="M139" s="432" t="e">
        <f t="shared" si="137"/>
        <v>#REF!</v>
      </c>
      <c r="N139" s="431" t="e">
        <f t="shared" si="137"/>
        <v>#REF!</v>
      </c>
    </row>
    <row r="140" spans="2:15" x14ac:dyDescent="0.45">
      <c r="G140" s="334" t="e">
        <f>G139+G122</f>
        <v>#REF!</v>
      </c>
      <c r="H140" s="334" t="e">
        <f t="shared" ref="H140:N140" si="138">H139+H122</f>
        <v>#REF!</v>
      </c>
      <c r="I140" s="334" t="e">
        <f t="shared" si="138"/>
        <v>#REF!</v>
      </c>
      <c r="J140" s="334" t="e">
        <f t="shared" si="138"/>
        <v>#REF!</v>
      </c>
      <c r="K140" s="334" t="e">
        <f t="shared" si="138"/>
        <v>#REF!</v>
      </c>
      <c r="L140" s="334" t="e">
        <f t="shared" si="138"/>
        <v>#REF!</v>
      </c>
      <c r="M140" s="334" t="e">
        <f t="shared" si="138"/>
        <v>#REF!</v>
      </c>
      <c r="N140" s="334" t="e">
        <f t="shared" si="138"/>
        <v>#REF!</v>
      </c>
    </row>
    <row r="141" spans="2:15" x14ac:dyDescent="0.45">
      <c r="G141" s="483"/>
      <c r="H141" s="483"/>
      <c r="I141" s="483"/>
      <c r="J141" s="483"/>
      <c r="K141" s="483"/>
      <c r="L141" s="483"/>
      <c r="M141" s="483"/>
      <c r="N141" s="483"/>
    </row>
    <row r="142" spans="2:15" x14ac:dyDescent="0.45">
      <c r="C142" t="s">
        <v>660</v>
      </c>
      <c r="H142" s="334"/>
      <c r="I142" s="334"/>
      <c r="J142" s="334"/>
      <c r="K142" s="334"/>
      <c r="L142" s="334"/>
      <c r="M142" s="334"/>
      <c r="N142" s="334"/>
      <c r="O142" s="334"/>
    </row>
    <row r="143" spans="2:15" x14ac:dyDescent="0.45">
      <c r="C143" t="s">
        <v>661</v>
      </c>
      <c r="H143" s="334"/>
      <c r="I143" s="334"/>
      <c r="J143" s="334"/>
      <c r="K143" s="334"/>
      <c r="L143" s="334"/>
      <c r="M143" s="334"/>
      <c r="N143" s="334"/>
      <c r="O143" s="334"/>
    </row>
    <row r="144" spans="2:15" x14ac:dyDescent="0.45">
      <c r="C144" t="s">
        <v>662</v>
      </c>
    </row>
    <row r="146" spans="2:14" x14ac:dyDescent="0.45">
      <c r="B146" t="s">
        <v>663</v>
      </c>
    </row>
    <row r="147" spans="2:14" x14ac:dyDescent="0.45">
      <c r="B147" s="1402" t="str">
        <f>CONCATENATE("JV ",B146)</f>
        <v>JV 65-35</v>
      </c>
      <c r="C147" s="1402"/>
      <c r="D147" s="1394" t="s">
        <v>12</v>
      </c>
      <c r="E147" s="1394"/>
      <c r="F147" s="1394"/>
      <c r="G147" s="1395" t="s">
        <v>605</v>
      </c>
      <c r="H147" s="1395"/>
      <c r="I147" s="1395"/>
      <c r="J147" s="1395"/>
      <c r="K147" s="1395"/>
      <c r="L147" s="1395"/>
      <c r="M147" s="1395"/>
      <c r="N147" s="1395"/>
    </row>
    <row r="148" spans="2:14" x14ac:dyDescent="0.45">
      <c r="B148" s="1402"/>
      <c r="C148" s="1402"/>
      <c r="D148" s="482">
        <v>2020</v>
      </c>
      <c r="E148" s="481">
        <v>2021</v>
      </c>
      <c r="F148" s="480">
        <v>2022</v>
      </c>
      <c r="G148" s="482">
        <v>2023</v>
      </c>
      <c r="H148" s="481">
        <v>2024</v>
      </c>
      <c r="I148" s="481">
        <v>2025</v>
      </c>
      <c r="J148" s="481">
        <v>2026</v>
      </c>
      <c r="K148" s="481">
        <v>2027</v>
      </c>
      <c r="L148" s="481">
        <v>2028</v>
      </c>
      <c r="M148" s="481">
        <v>2029</v>
      </c>
      <c r="N148" s="480">
        <v>2030</v>
      </c>
    </row>
    <row r="149" spans="2:14" x14ac:dyDescent="0.45">
      <c r="B149" s="1390" t="s">
        <v>606</v>
      </c>
      <c r="C149" s="499" t="s">
        <v>258</v>
      </c>
      <c r="D149" s="443">
        <f t="shared" ref="D149:N149" si="139">D5</f>
        <v>55337116</v>
      </c>
      <c r="E149" s="442">
        <f t="shared" si="139"/>
        <v>90092532</v>
      </c>
      <c r="F149" s="441">
        <f t="shared" si="139"/>
        <v>110001940</v>
      </c>
      <c r="G149" s="334">
        <f t="shared" si="139"/>
        <v>143010497</v>
      </c>
      <c r="H149" s="334">
        <f t="shared" si="139"/>
        <v>182338383</v>
      </c>
      <c r="I149" s="334">
        <f t="shared" si="139"/>
        <v>225000095</v>
      </c>
      <c r="J149" s="334">
        <f t="shared" si="139"/>
        <v>275000741</v>
      </c>
      <c r="K149" s="334">
        <f t="shared" si="139"/>
        <v>330000889</v>
      </c>
      <c r="L149" s="334">
        <f t="shared" si="139"/>
        <v>390000991</v>
      </c>
      <c r="M149" s="334">
        <f t="shared" si="139"/>
        <v>450002643</v>
      </c>
      <c r="N149" s="437">
        <f t="shared" si="139"/>
        <v>500006937</v>
      </c>
    </row>
    <row r="150" spans="2:14" x14ac:dyDescent="0.45">
      <c r="B150" s="1403"/>
      <c r="C150" s="498" t="s">
        <v>638</v>
      </c>
      <c r="D150" s="479"/>
      <c r="E150" s="478"/>
      <c r="F150" s="477"/>
      <c r="G150" s="334">
        <f t="shared" ref="G150:N150" si="140">SUM(G151:G153)</f>
        <v>141866413</v>
      </c>
      <c r="H150" s="334">
        <f t="shared" si="140"/>
        <v>181043781</v>
      </c>
      <c r="I150" s="334">
        <f t="shared" si="140"/>
        <v>223515094</v>
      </c>
      <c r="J150" s="334">
        <f t="shared" si="140"/>
        <v>273240735</v>
      </c>
      <c r="K150" s="334">
        <f t="shared" si="140"/>
        <v>328020884</v>
      </c>
      <c r="L150" s="334">
        <f t="shared" si="140"/>
        <v>387777985</v>
      </c>
      <c r="M150" s="334">
        <f t="shared" si="140"/>
        <v>447482629</v>
      </c>
      <c r="N150" s="437">
        <f t="shared" si="140"/>
        <v>497356900</v>
      </c>
    </row>
    <row r="151" spans="2:14" x14ac:dyDescent="0.45">
      <c r="B151" s="1403"/>
      <c r="C151" s="500" t="s">
        <v>253</v>
      </c>
      <c r="D151" s="476">
        <f t="shared" ref="D151:N151" si="141">D6</f>
        <v>33580560</v>
      </c>
      <c r="E151" s="475">
        <f t="shared" si="141"/>
        <v>42609040</v>
      </c>
      <c r="F151" s="474">
        <f t="shared" si="141"/>
        <v>52362608</v>
      </c>
      <c r="G151" s="475">
        <f t="shared" si="141"/>
        <v>67675100</v>
      </c>
      <c r="H151" s="475">
        <f t="shared" si="141"/>
        <v>86330324</v>
      </c>
      <c r="I151" s="475">
        <f t="shared" si="141"/>
        <v>107514030</v>
      </c>
      <c r="J151" s="475">
        <f t="shared" si="141"/>
        <v>130873139</v>
      </c>
      <c r="K151" s="475">
        <f t="shared" si="141"/>
        <v>156363102</v>
      </c>
      <c r="L151" s="475">
        <f t="shared" si="141"/>
        <v>184376727</v>
      </c>
      <c r="M151" s="475">
        <f t="shared" si="141"/>
        <v>213643092</v>
      </c>
      <c r="N151" s="474">
        <f t="shared" si="141"/>
        <v>237308111</v>
      </c>
    </row>
    <row r="152" spans="2:14" x14ac:dyDescent="0.45">
      <c r="B152" s="1403"/>
      <c r="C152" s="500" t="s">
        <v>254</v>
      </c>
      <c r="D152" s="476">
        <f t="shared" ref="D152:N152" si="142">D7</f>
        <v>8114880</v>
      </c>
      <c r="E152" s="475">
        <f t="shared" si="142"/>
        <v>12087440</v>
      </c>
      <c r="F152" s="474">
        <f t="shared" si="142"/>
        <v>15760000</v>
      </c>
      <c r="G152" s="475">
        <f t="shared" si="142"/>
        <v>19387158</v>
      </c>
      <c r="H152" s="475">
        <f t="shared" si="142"/>
        <v>24702419</v>
      </c>
      <c r="I152" s="475">
        <f t="shared" si="142"/>
        <v>30087043</v>
      </c>
      <c r="J152" s="475">
        <f t="shared" si="142"/>
        <v>36794525</v>
      </c>
      <c r="K152" s="475">
        <f t="shared" si="142"/>
        <v>44664760</v>
      </c>
      <c r="L152" s="475">
        <f t="shared" si="142"/>
        <v>52954617</v>
      </c>
      <c r="M152" s="475">
        <f t="shared" si="142"/>
        <v>61371687</v>
      </c>
      <c r="N152" s="474">
        <f t="shared" si="142"/>
        <v>67991306</v>
      </c>
    </row>
    <row r="153" spans="2:14" x14ac:dyDescent="0.45">
      <c r="B153" s="1403"/>
      <c r="C153" s="500" t="s">
        <v>233</v>
      </c>
      <c r="D153" s="476">
        <f t="shared" ref="D153:N153" si="143">D8</f>
        <v>11492280</v>
      </c>
      <c r="E153" s="475">
        <f t="shared" si="143"/>
        <v>34491800</v>
      </c>
      <c r="F153" s="474">
        <f t="shared" si="143"/>
        <v>40532932</v>
      </c>
      <c r="G153" s="475">
        <f t="shared" si="143"/>
        <v>54804155</v>
      </c>
      <c r="H153" s="475">
        <f t="shared" si="143"/>
        <v>70011038</v>
      </c>
      <c r="I153" s="475">
        <f t="shared" si="143"/>
        <v>85914021</v>
      </c>
      <c r="J153" s="475">
        <f t="shared" si="143"/>
        <v>105573071</v>
      </c>
      <c r="K153" s="475">
        <f t="shared" si="143"/>
        <v>126993022</v>
      </c>
      <c r="L153" s="475">
        <f t="shared" si="143"/>
        <v>150446641</v>
      </c>
      <c r="M153" s="475">
        <f t="shared" si="143"/>
        <v>172467850</v>
      </c>
      <c r="N153" s="474">
        <f t="shared" si="143"/>
        <v>192057483</v>
      </c>
    </row>
    <row r="154" spans="2:14" x14ac:dyDescent="0.45">
      <c r="B154" s="1403"/>
      <c r="C154" s="498" t="s">
        <v>259</v>
      </c>
      <c r="D154" s="438">
        <f t="shared" ref="D154:N154" si="144">D9</f>
        <v>1413930</v>
      </c>
      <c r="E154" s="334">
        <f t="shared" si="144"/>
        <v>2277101</v>
      </c>
      <c r="F154" s="437">
        <f t="shared" si="144"/>
        <v>2793488</v>
      </c>
      <c r="G154" s="334">
        <f t="shared" si="144"/>
        <v>3616974</v>
      </c>
      <c r="H154" s="334">
        <f t="shared" si="144"/>
        <v>4607387</v>
      </c>
      <c r="I154" s="334">
        <f t="shared" si="144"/>
        <v>5681440</v>
      </c>
      <c r="J154" s="334">
        <f t="shared" si="144"/>
        <v>6943998</v>
      </c>
      <c r="K154" s="334">
        <f t="shared" si="144"/>
        <v>8327022</v>
      </c>
      <c r="L154" s="334">
        <f t="shared" si="144"/>
        <v>9834200</v>
      </c>
      <c r="M154" s="334">
        <f t="shared" si="144"/>
        <v>11344567</v>
      </c>
      <c r="N154" s="437">
        <f t="shared" si="144"/>
        <v>12596425</v>
      </c>
    </row>
    <row r="155" spans="2:14" x14ac:dyDescent="0.45">
      <c r="B155" s="1403"/>
      <c r="C155" s="498" t="s">
        <v>607</v>
      </c>
      <c r="D155" s="473">
        <f t="shared" ref="D155:N155" si="145">D149/D154</f>
        <v>39.137097310333608</v>
      </c>
      <c r="E155" s="472">
        <f t="shared" si="145"/>
        <v>39.564574430383196</v>
      </c>
      <c r="F155" s="471">
        <f t="shared" si="145"/>
        <v>39.377989094637243</v>
      </c>
      <c r="G155" s="472">
        <f t="shared" si="145"/>
        <v>39.538713023649052</v>
      </c>
      <c r="H155" s="472">
        <f t="shared" si="145"/>
        <v>39.575226261653299</v>
      </c>
      <c r="I155" s="472">
        <f t="shared" si="145"/>
        <v>39.602652672561888</v>
      </c>
      <c r="J155" s="472">
        <f t="shared" si="145"/>
        <v>39.602652679335449</v>
      </c>
      <c r="K155" s="472">
        <f t="shared" si="145"/>
        <v>39.630120948401483</v>
      </c>
      <c r="L155" s="472">
        <f t="shared" si="145"/>
        <v>39.65762248073051</v>
      </c>
      <c r="M155" s="472">
        <f t="shared" si="145"/>
        <v>39.666797595712559</v>
      </c>
      <c r="N155" s="471">
        <f t="shared" si="145"/>
        <v>39.694352723094049</v>
      </c>
    </row>
    <row r="156" spans="2:14" x14ac:dyDescent="0.45">
      <c r="B156" s="1403"/>
      <c r="C156" s="498" t="s">
        <v>639</v>
      </c>
      <c r="D156" s="438">
        <f t="shared" ref="D156:N156" si="146">D11</f>
        <v>7635577</v>
      </c>
      <c r="E156" s="334">
        <f t="shared" si="146"/>
        <v>12036091.199999999</v>
      </c>
      <c r="F156" s="437">
        <f t="shared" si="146"/>
        <v>14729378.550000001</v>
      </c>
      <c r="G156" s="334">
        <f t="shared" si="146"/>
        <v>23384984</v>
      </c>
      <c r="H156" s="334">
        <f t="shared" si="146"/>
        <v>30098789</v>
      </c>
      <c r="I156" s="334">
        <f t="shared" si="146"/>
        <v>37498528</v>
      </c>
      <c r="J156" s="334">
        <f t="shared" si="146"/>
        <v>46289996</v>
      </c>
      <c r="K156" s="334">
        <f t="shared" si="146"/>
        <v>56082678</v>
      </c>
      <c r="L156" s="334">
        <f t="shared" si="146"/>
        <v>66918804</v>
      </c>
      <c r="M156" s="334">
        <f t="shared" si="146"/>
        <v>77977272</v>
      </c>
      <c r="N156" s="437">
        <f t="shared" si="146"/>
        <v>87477780</v>
      </c>
    </row>
    <row r="157" spans="2:14" x14ac:dyDescent="0.45">
      <c r="B157" s="1392"/>
      <c r="C157" s="533" t="s">
        <v>609</v>
      </c>
      <c r="D157" s="470">
        <f t="shared" ref="D157:N157" si="147">D156/D154</f>
        <v>5.4002510732497369</v>
      </c>
      <c r="E157" s="469">
        <f t="shared" si="147"/>
        <v>5.2857080999042196</v>
      </c>
      <c r="F157" s="468">
        <f t="shared" si="147"/>
        <v>5.2727552615225131</v>
      </c>
      <c r="G157" s="469">
        <f t="shared" si="147"/>
        <v>6.4653447882124668</v>
      </c>
      <c r="H157" s="469">
        <f t="shared" si="147"/>
        <v>6.5327242968736945</v>
      </c>
      <c r="I157" s="469">
        <f t="shared" si="147"/>
        <v>6.6001802359965076</v>
      </c>
      <c r="J157" s="469">
        <f t="shared" si="147"/>
        <v>6.6661879798928512</v>
      </c>
      <c r="K157" s="469">
        <f t="shared" si="147"/>
        <v>6.7350221964106733</v>
      </c>
      <c r="L157" s="469">
        <f t="shared" si="147"/>
        <v>6.8047023652152694</v>
      </c>
      <c r="M157" s="469">
        <f t="shared" si="147"/>
        <v>6.873534441640655</v>
      </c>
      <c r="N157" s="468">
        <f t="shared" si="147"/>
        <v>6.9446513594134842</v>
      </c>
    </row>
    <row r="158" spans="2:14" outlineLevel="1" x14ac:dyDescent="0.45">
      <c r="B158" s="1410" t="str">
        <f>B110</f>
        <v>Distribution</v>
      </c>
      <c r="C158" s="499" t="s">
        <v>610</v>
      </c>
      <c r="D158" s="443">
        <f>'Pricing Structure - All SKU'!G$32*D154</f>
        <v>10406524.800000001</v>
      </c>
      <c r="E158" s="442">
        <f>'Pricing Structure - All SKU'!I$32*E154</f>
        <v>16759463.360000001</v>
      </c>
      <c r="F158" s="442" t="e">
        <f>'Pricing Structure - All SKU'!#REF!*F154</f>
        <v>#REF!</v>
      </c>
      <c r="G158" s="443" t="e">
        <f>'Pricing Structure - All SKU'!#REF!*G154</f>
        <v>#REF!</v>
      </c>
      <c r="H158" s="442" t="e">
        <f>'Pricing Structure - All SKU'!#REF!*H154</f>
        <v>#REF!</v>
      </c>
      <c r="I158" s="442" t="e">
        <f>'Pricing Structure - All SKU'!#REF!*I154</f>
        <v>#REF!</v>
      </c>
      <c r="J158" s="442" t="e">
        <f>'Pricing Structure - All SKU'!#REF!*J154</f>
        <v>#REF!</v>
      </c>
      <c r="K158" s="442" t="e">
        <f>'Pricing Structure - All SKU'!#REF!*K154</f>
        <v>#REF!</v>
      </c>
      <c r="L158" s="442" t="e">
        <f>'Pricing Structure - All SKU'!#REF!*L154</f>
        <v>#REF!</v>
      </c>
      <c r="M158" s="442" t="e">
        <f>'Pricing Structure - All SKU'!#REF!*M154</f>
        <v>#REF!</v>
      </c>
      <c r="N158" s="441" t="e">
        <f>'Pricing Structure - All SKU'!#REF!*N154</f>
        <v>#REF!</v>
      </c>
    </row>
    <row r="159" spans="2:14" outlineLevel="1" x14ac:dyDescent="0.45">
      <c r="B159" s="1410"/>
      <c r="C159" s="498" t="s">
        <v>611</v>
      </c>
      <c r="D159" s="438">
        <f>'Pricing Structure - All SKU'!G$45*D154</f>
        <v>8986056.8344214857</v>
      </c>
      <c r="E159" s="334">
        <f>'Pricing Structure - All SKU'!I$45*E154</f>
        <v>14673451.43307847</v>
      </c>
      <c r="F159" s="334" t="e">
        <f>'Pricing Structure - All SKU'!#REF!*F154</f>
        <v>#REF!</v>
      </c>
      <c r="G159" s="438" t="e">
        <f>'Pricing Structure - All SKU'!#REF!*G154</f>
        <v>#REF!</v>
      </c>
      <c r="H159" s="334" t="e">
        <f>'Pricing Structure - All SKU'!#REF!*H154</f>
        <v>#REF!</v>
      </c>
      <c r="I159" s="334" t="e">
        <f>'Pricing Structure - All SKU'!#REF!*I154</f>
        <v>#REF!</v>
      </c>
      <c r="J159" s="334" t="e">
        <f>'Pricing Structure - All SKU'!#REF!*J154</f>
        <v>#REF!</v>
      </c>
      <c r="K159" s="334" t="e">
        <f>'Pricing Structure - All SKU'!#REF!*K154</f>
        <v>#REF!</v>
      </c>
      <c r="L159" s="334" t="e">
        <f>'Pricing Structure - All SKU'!#REF!*L154</f>
        <v>#REF!</v>
      </c>
      <c r="M159" s="334" t="e">
        <f>'Pricing Structure - All SKU'!#REF!*M154</f>
        <v>#REF!</v>
      </c>
      <c r="N159" s="437" t="e">
        <f>'Pricing Structure - All SKU'!#REF!*N154</f>
        <v>#REF!</v>
      </c>
    </row>
    <row r="160" spans="2:14" outlineLevel="1" x14ac:dyDescent="0.45">
      <c r="B160" s="1410"/>
      <c r="C160" s="498" t="s">
        <v>612</v>
      </c>
      <c r="D160" s="438">
        <f t="shared" ref="D160:N160" si="148">D158-D159</f>
        <v>1420467.9655785151</v>
      </c>
      <c r="E160" s="334">
        <f t="shared" si="148"/>
        <v>2086011.9269215316</v>
      </c>
      <c r="F160" s="334" t="e">
        <f t="shared" si="148"/>
        <v>#REF!</v>
      </c>
      <c r="G160" s="438" t="e">
        <f t="shared" si="148"/>
        <v>#REF!</v>
      </c>
      <c r="H160" s="334" t="e">
        <f t="shared" si="148"/>
        <v>#REF!</v>
      </c>
      <c r="I160" s="334" t="e">
        <f t="shared" si="148"/>
        <v>#REF!</v>
      </c>
      <c r="J160" s="334" t="e">
        <f t="shared" si="148"/>
        <v>#REF!</v>
      </c>
      <c r="K160" s="334" t="e">
        <f t="shared" si="148"/>
        <v>#REF!</v>
      </c>
      <c r="L160" s="334" t="e">
        <f t="shared" si="148"/>
        <v>#REF!</v>
      </c>
      <c r="M160" s="334" t="e">
        <f t="shared" si="148"/>
        <v>#REF!</v>
      </c>
      <c r="N160" s="437" t="e">
        <f t="shared" si="148"/>
        <v>#REF!</v>
      </c>
    </row>
    <row r="161" spans="2:14" outlineLevel="1" x14ac:dyDescent="0.45">
      <c r="B161" s="1410"/>
      <c r="C161" s="497" t="s">
        <v>174</v>
      </c>
      <c r="D161" s="511">
        <f>D160/D158</f>
        <v>0.13649782159540089</v>
      </c>
      <c r="E161" s="512">
        <f t="shared" ref="E161:N161" si="149">E160/E158</f>
        <v>0.12446770413307144</v>
      </c>
      <c r="F161" s="512" t="e">
        <f t="shared" si="149"/>
        <v>#REF!</v>
      </c>
      <c r="G161" s="512" t="e">
        <f t="shared" si="149"/>
        <v>#REF!</v>
      </c>
      <c r="H161" s="512" t="e">
        <f t="shared" si="149"/>
        <v>#REF!</v>
      </c>
      <c r="I161" s="512" t="e">
        <f t="shared" si="149"/>
        <v>#REF!</v>
      </c>
      <c r="J161" s="512" t="e">
        <f t="shared" si="149"/>
        <v>#REF!</v>
      </c>
      <c r="K161" s="512" t="e">
        <f t="shared" si="149"/>
        <v>#REF!</v>
      </c>
      <c r="L161" s="512" t="e">
        <f t="shared" si="149"/>
        <v>#REF!</v>
      </c>
      <c r="M161" s="512" t="e">
        <f t="shared" si="149"/>
        <v>#REF!</v>
      </c>
      <c r="N161" s="513" t="e">
        <f t="shared" si="149"/>
        <v>#REF!</v>
      </c>
    </row>
    <row r="162" spans="2:14" outlineLevel="1" x14ac:dyDescent="0.45">
      <c r="B162" s="1410"/>
      <c r="C162" s="498" t="s">
        <v>641</v>
      </c>
      <c r="D162" s="438">
        <f t="shared" ref="D162:N162" si="150">D158*8%</f>
        <v>832521.98400000005</v>
      </c>
      <c r="E162" s="334">
        <f t="shared" si="150"/>
        <v>1340757.0688000002</v>
      </c>
      <c r="F162" s="334" t="e">
        <f t="shared" si="150"/>
        <v>#REF!</v>
      </c>
      <c r="G162" s="438" t="e">
        <f t="shared" si="150"/>
        <v>#REF!</v>
      </c>
      <c r="H162" s="334" t="e">
        <f t="shared" si="150"/>
        <v>#REF!</v>
      </c>
      <c r="I162" s="334" t="e">
        <f t="shared" si="150"/>
        <v>#REF!</v>
      </c>
      <c r="J162" s="334" t="e">
        <f t="shared" si="150"/>
        <v>#REF!</v>
      </c>
      <c r="K162" s="334" t="e">
        <f t="shared" si="150"/>
        <v>#REF!</v>
      </c>
      <c r="L162" s="334" t="e">
        <f t="shared" si="150"/>
        <v>#REF!</v>
      </c>
      <c r="M162" s="334" t="e">
        <f t="shared" si="150"/>
        <v>#REF!</v>
      </c>
      <c r="N162" s="437" t="e">
        <f t="shared" si="150"/>
        <v>#REF!</v>
      </c>
    </row>
    <row r="163" spans="2:14" outlineLevel="1" x14ac:dyDescent="0.45">
      <c r="B163" s="1410"/>
      <c r="C163" s="498" t="s">
        <v>614</v>
      </c>
      <c r="D163" s="438">
        <f t="shared" ref="D163:N163" si="151">D160-D162</f>
        <v>587945.98157851503</v>
      </c>
      <c r="E163" s="334">
        <f t="shared" si="151"/>
        <v>745254.85812153132</v>
      </c>
      <c r="F163" s="334" t="e">
        <f t="shared" si="151"/>
        <v>#REF!</v>
      </c>
      <c r="G163" s="438" t="e">
        <f t="shared" si="151"/>
        <v>#REF!</v>
      </c>
      <c r="H163" s="334" t="e">
        <f t="shared" si="151"/>
        <v>#REF!</v>
      </c>
      <c r="I163" s="334" t="e">
        <f t="shared" si="151"/>
        <v>#REF!</v>
      </c>
      <c r="J163" s="334" t="e">
        <f t="shared" si="151"/>
        <v>#REF!</v>
      </c>
      <c r="K163" s="334" t="e">
        <f t="shared" si="151"/>
        <v>#REF!</v>
      </c>
      <c r="L163" s="334" t="e">
        <f t="shared" si="151"/>
        <v>#REF!</v>
      </c>
      <c r="M163" s="334" t="e">
        <f t="shared" si="151"/>
        <v>#REF!</v>
      </c>
      <c r="N163" s="437" t="e">
        <f t="shared" si="151"/>
        <v>#REF!</v>
      </c>
    </row>
    <row r="164" spans="2:14" outlineLevel="1" x14ac:dyDescent="0.45">
      <c r="B164" s="1410"/>
      <c r="C164" s="497" t="s">
        <v>615</v>
      </c>
      <c r="D164" s="508">
        <f>D163/D158</f>
        <v>5.6497821595400899E-2</v>
      </c>
      <c r="E164" s="509">
        <f t="shared" ref="E164:N164" si="152">E163/E158</f>
        <v>4.4467704133071433E-2</v>
      </c>
      <c r="F164" s="509" t="e">
        <f t="shared" si="152"/>
        <v>#REF!</v>
      </c>
      <c r="G164" s="509" t="e">
        <f t="shared" si="152"/>
        <v>#REF!</v>
      </c>
      <c r="H164" s="509" t="e">
        <f t="shared" si="152"/>
        <v>#REF!</v>
      </c>
      <c r="I164" s="509" t="e">
        <f t="shared" si="152"/>
        <v>#REF!</v>
      </c>
      <c r="J164" s="509" t="e">
        <f t="shared" si="152"/>
        <v>#REF!</v>
      </c>
      <c r="K164" s="509" t="e">
        <f t="shared" si="152"/>
        <v>#REF!</v>
      </c>
      <c r="L164" s="509" t="e">
        <f t="shared" si="152"/>
        <v>#REF!</v>
      </c>
      <c r="M164" s="509" t="e">
        <f t="shared" si="152"/>
        <v>#REF!</v>
      </c>
      <c r="N164" s="510" t="e">
        <f t="shared" si="152"/>
        <v>#REF!</v>
      </c>
    </row>
    <row r="165" spans="2:14" outlineLevel="1" x14ac:dyDescent="0.45">
      <c r="B165" s="1410"/>
      <c r="C165" s="498" t="s">
        <v>616</v>
      </c>
      <c r="D165" s="438">
        <f t="shared" ref="D165:N165" si="153">20%*D163</f>
        <v>117589.19631570301</v>
      </c>
      <c r="E165" s="334">
        <f t="shared" si="153"/>
        <v>149050.97162430626</v>
      </c>
      <c r="F165" s="334" t="e">
        <f t="shared" si="153"/>
        <v>#REF!</v>
      </c>
      <c r="G165" s="438" t="e">
        <f t="shared" si="153"/>
        <v>#REF!</v>
      </c>
      <c r="H165" s="334" t="e">
        <f t="shared" si="153"/>
        <v>#REF!</v>
      </c>
      <c r="I165" s="334" t="e">
        <f t="shared" si="153"/>
        <v>#REF!</v>
      </c>
      <c r="J165" s="334" t="e">
        <f t="shared" si="153"/>
        <v>#REF!</v>
      </c>
      <c r="K165" s="334" t="e">
        <f t="shared" si="153"/>
        <v>#REF!</v>
      </c>
      <c r="L165" s="334" t="e">
        <f t="shared" si="153"/>
        <v>#REF!</v>
      </c>
      <c r="M165" s="334" t="e">
        <f t="shared" si="153"/>
        <v>#REF!</v>
      </c>
      <c r="N165" s="437" t="e">
        <f t="shared" si="153"/>
        <v>#REF!</v>
      </c>
    </row>
    <row r="166" spans="2:14" outlineLevel="1" x14ac:dyDescent="0.45">
      <c r="B166" s="1410"/>
      <c r="C166" s="498" t="s">
        <v>642</v>
      </c>
      <c r="D166" s="438">
        <f t="shared" ref="D166:N166" si="154">D163-D165</f>
        <v>470356.78526281205</v>
      </c>
      <c r="E166" s="334">
        <f t="shared" si="154"/>
        <v>596203.88649722503</v>
      </c>
      <c r="F166" s="334" t="e">
        <f t="shared" si="154"/>
        <v>#REF!</v>
      </c>
      <c r="G166" s="438" t="e">
        <f t="shared" si="154"/>
        <v>#REF!</v>
      </c>
      <c r="H166" s="334" t="e">
        <f t="shared" si="154"/>
        <v>#REF!</v>
      </c>
      <c r="I166" s="334" t="e">
        <f t="shared" si="154"/>
        <v>#REF!</v>
      </c>
      <c r="J166" s="334" t="e">
        <f t="shared" si="154"/>
        <v>#REF!</v>
      </c>
      <c r="K166" s="334" t="e">
        <f t="shared" si="154"/>
        <v>#REF!</v>
      </c>
      <c r="L166" s="334" t="e">
        <f t="shared" si="154"/>
        <v>#REF!</v>
      </c>
      <c r="M166" s="334" t="e">
        <f t="shared" si="154"/>
        <v>#REF!</v>
      </c>
      <c r="N166" s="437" t="e">
        <f t="shared" si="154"/>
        <v>#REF!</v>
      </c>
    </row>
    <row r="167" spans="2:14" outlineLevel="1" x14ac:dyDescent="0.45">
      <c r="B167" s="1410"/>
      <c r="C167" s="497" t="s">
        <v>618</v>
      </c>
      <c r="D167" s="505">
        <f>D166/D158</f>
        <v>4.5198257276320722E-2</v>
      </c>
      <c r="E167" s="506">
        <f t="shared" ref="E167:N167" si="155">E166/E158</f>
        <v>3.5574163306457143E-2</v>
      </c>
      <c r="F167" s="506" t="e">
        <f t="shared" si="155"/>
        <v>#REF!</v>
      </c>
      <c r="G167" s="506" t="e">
        <f t="shared" si="155"/>
        <v>#REF!</v>
      </c>
      <c r="H167" s="506" t="e">
        <f t="shared" si="155"/>
        <v>#REF!</v>
      </c>
      <c r="I167" s="506" t="e">
        <f t="shared" si="155"/>
        <v>#REF!</v>
      </c>
      <c r="J167" s="506" t="e">
        <f t="shared" si="155"/>
        <v>#REF!</v>
      </c>
      <c r="K167" s="506" t="e">
        <f t="shared" si="155"/>
        <v>#REF!</v>
      </c>
      <c r="L167" s="506" t="e">
        <f t="shared" si="155"/>
        <v>#REF!</v>
      </c>
      <c r="M167" s="506" t="e">
        <f t="shared" si="155"/>
        <v>#REF!</v>
      </c>
      <c r="N167" s="507" t="e">
        <f t="shared" si="155"/>
        <v>#REF!</v>
      </c>
    </row>
    <row r="168" spans="2:14" outlineLevel="1" x14ac:dyDescent="0.45">
      <c r="B168" s="1410"/>
      <c r="C168" s="498" t="s">
        <v>664</v>
      </c>
      <c r="D168" s="438">
        <f>D166</f>
        <v>470356.78526281205</v>
      </c>
      <c r="E168" s="334">
        <f>E166</f>
        <v>596203.88649722503</v>
      </c>
      <c r="F168" s="334" t="e">
        <f>F166</f>
        <v>#REF!</v>
      </c>
      <c r="G168" s="438" t="e">
        <f t="shared" ref="G168:N168" si="156">G166*MID($C168,40,3)</f>
        <v>#REF!</v>
      </c>
      <c r="H168" s="334" t="e">
        <f t="shared" si="156"/>
        <v>#REF!</v>
      </c>
      <c r="I168" s="334" t="e">
        <f t="shared" si="156"/>
        <v>#REF!</v>
      </c>
      <c r="J168" s="334" t="e">
        <f t="shared" si="156"/>
        <v>#REF!</v>
      </c>
      <c r="K168" s="334" t="e">
        <f t="shared" si="156"/>
        <v>#REF!</v>
      </c>
      <c r="L168" s="334" t="e">
        <f t="shared" si="156"/>
        <v>#REF!</v>
      </c>
      <c r="M168" s="334" t="e">
        <f t="shared" si="156"/>
        <v>#REF!</v>
      </c>
      <c r="N168" s="437" t="e">
        <f t="shared" si="156"/>
        <v>#REF!</v>
      </c>
    </row>
    <row r="169" spans="2:14" outlineLevel="1" x14ac:dyDescent="0.45">
      <c r="B169" s="1410"/>
      <c r="C169" s="498" t="s">
        <v>665</v>
      </c>
      <c r="D169" s="438"/>
      <c r="E169" s="334"/>
      <c r="F169" s="334"/>
      <c r="G169" s="438">
        <f t="shared" ref="G169:N169" si="157">G183*MID($C169,40,3)</f>
        <v>446378.91538799979</v>
      </c>
      <c r="H169" s="334">
        <f t="shared" si="157"/>
        <v>795453.41385650029</v>
      </c>
      <c r="I169" s="334">
        <f t="shared" si="157"/>
        <v>1139350.6684000005</v>
      </c>
      <c r="J169" s="334">
        <f t="shared" si="157"/>
        <v>1542759.4368339982</v>
      </c>
      <c r="K169" s="334">
        <f t="shared" si="157"/>
        <v>1859116.8497159991</v>
      </c>
      <c r="L169" s="334">
        <f t="shared" si="157"/>
        <v>2210374.777702</v>
      </c>
      <c r="M169" s="334">
        <f t="shared" si="157"/>
        <v>2738698.2693531993</v>
      </c>
      <c r="N169" s="437">
        <f t="shared" si="157"/>
        <v>3151730.4788480005</v>
      </c>
    </row>
    <row r="170" spans="2:14" x14ac:dyDescent="0.45">
      <c r="B170" s="1410"/>
      <c r="C170" s="496" t="s">
        <v>645</v>
      </c>
      <c r="D170" s="467">
        <f t="shared" ref="D170:N170" si="158">D168+D169</f>
        <v>470356.78526281205</v>
      </c>
      <c r="E170" s="466">
        <f t="shared" si="158"/>
        <v>596203.88649722503</v>
      </c>
      <c r="F170" s="466" t="e">
        <f t="shared" si="158"/>
        <v>#REF!</v>
      </c>
      <c r="G170" s="467" t="e">
        <f t="shared" si="158"/>
        <v>#REF!</v>
      </c>
      <c r="H170" s="466" t="e">
        <f t="shared" si="158"/>
        <v>#REF!</v>
      </c>
      <c r="I170" s="466" t="e">
        <f t="shared" si="158"/>
        <v>#REF!</v>
      </c>
      <c r="J170" s="466" t="e">
        <f t="shared" si="158"/>
        <v>#REF!</v>
      </c>
      <c r="K170" s="466" t="e">
        <f t="shared" si="158"/>
        <v>#REF!</v>
      </c>
      <c r="L170" s="466" t="e">
        <f t="shared" si="158"/>
        <v>#REF!</v>
      </c>
      <c r="M170" s="466" t="e">
        <f t="shared" si="158"/>
        <v>#REF!</v>
      </c>
      <c r="N170" s="465" t="e">
        <f t="shared" si="158"/>
        <v>#REF!</v>
      </c>
    </row>
    <row r="171" spans="2:14" x14ac:dyDescent="0.45">
      <c r="B171" s="1410"/>
      <c r="C171" s="497" t="s">
        <v>646</v>
      </c>
      <c r="D171" s="514">
        <f>D170/D158</f>
        <v>4.5198257276320722E-2</v>
      </c>
      <c r="E171" s="515">
        <f t="shared" ref="E171:F171" si="159">E170/E158</f>
        <v>3.5574163306457143E-2</v>
      </c>
      <c r="F171" s="516" t="e">
        <f t="shared" si="159"/>
        <v>#REF!</v>
      </c>
      <c r="G171" s="448" t="e">
        <f t="shared" ref="G171:N171" si="160">G170/G158</f>
        <v>#REF!</v>
      </c>
      <c r="H171" s="448" t="e">
        <f t="shared" si="160"/>
        <v>#REF!</v>
      </c>
      <c r="I171" s="448" t="e">
        <f t="shared" si="160"/>
        <v>#REF!</v>
      </c>
      <c r="J171" s="448" t="e">
        <f t="shared" si="160"/>
        <v>#REF!</v>
      </c>
      <c r="K171" s="448" t="e">
        <f t="shared" si="160"/>
        <v>#REF!</v>
      </c>
      <c r="L171" s="448" t="e">
        <f t="shared" si="160"/>
        <v>#REF!</v>
      </c>
      <c r="M171" s="448" t="e">
        <f t="shared" si="160"/>
        <v>#REF!</v>
      </c>
      <c r="N171" s="447" t="e">
        <f t="shared" si="160"/>
        <v>#REF!</v>
      </c>
    </row>
    <row r="172" spans="2:14" outlineLevel="1" x14ac:dyDescent="0.45">
      <c r="B172" s="1401" t="str">
        <f>B124</f>
        <v>Manufacturing</v>
      </c>
      <c r="C172" s="499" t="s">
        <v>79</v>
      </c>
      <c r="D172" s="464"/>
      <c r="E172" s="463"/>
      <c r="F172" s="462"/>
      <c r="G172" s="442">
        <f t="shared" ref="G172:N172" si="161">G173*G156</f>
        <v>18093663.67032</v>
      </c>
      <c r="H172" s="442">
        <f t="shared" si="161"/>
        <v>23016242.960409999</v>
      </c>
      <c r="I172" s="442">
        <f t="shared" si="161"/>
        <v>28292639.375999998</v>
      </c>
      <c r="J172" s="442">
        <f t="shared" si="161"/>
        <v>34778136.894760005</v>
      </c>
      <c r="K172" s="442">
        <f t="shared" si="161"/>
        <v>42683404.572240002</v>
      </c>
      <c r="L172" s="442">
        <f t="shared" si="161"/>
        <v>49792274.492279999</v>
      </c>
      <c r="M172" s="442">
        <f t="shared" si="161"/>
        <v>57797455.801848002</v>
      </c>
      <c r="N172" s="441">
        <f t="shared" si="161"/>
        <v>64613187.774719998</v>
      </c>
    </row>
    <row r="173" spans="2:14" outlineLevel="1" x14ac:dyDescent="0.45">
      <c r="B173" s="1401"/>
      <c r="C173" s="529" t="s">
        <v>619</v>
      </c>
      <c r="D173" s="461"/>
      <c r="E173" s="460"/>
      <c r="F173" s="459"/>
      <c r="G173" s="458">
        <f t="shared" ref="G173:N173" si="162">G125</f>
        <v>0.77373000000000003</v>
      </c>
      <c r="H173" s="458">
        <f t="shared" si="162"/>
        <v>0.76468999999999998</v>
      </c>
      <c r="I173" s="458">
        <f t="shared" si="162"/>
        <v>0.75449999999999995</v>
      </c>
      <c r="J173" s="458">
        <f t="shared" si="162"/>
        <v>0.75131000000000003</v>
      </c>
      <c r="K173" s="458">
        <f t="shared" si="162"/>
        <v>0.76107999999999998</v>
      </c>
      <c r="L173" s="458">
        <f t="shared" si="162"/>
        <v>0.74407000000000001</v>
      </c>
      <c r="M173" s="458">
        <f t="shared" si="162"/>
        <v>0.74120900000000001</v>
      </c>
      <c r="N173" s="457">
        <f t="shared" si="162"/>
        <v>0.73862399999999995</v>
      </c>
    </row>
    <row r="174" spans="2:14" outlineLevel="1" x14ac:dyDescent="0.45">
      <c r="B174" s="1401"/>
      <c r="C174" s="498" t="s">
        <v>648</v>
      </c>
      <c r="D174" s="456"/>
      <c r="E174" s="455"/>
      <c r="F174" s="454"/>
      <c r="G174" s="334">
        <f t="shared" ref="G174:N174" si="163">G156-G172</f>
        <v>5291320.3296799995</v>
      </c>
      <c r="H174" s="334">
        <f t="shared" si="163"/>
        <v>7082546.0395900011</v>
      </c>
      <c r="I174" s="334">
        <f t="shared" si="163"/>
        <v>9205888.6240000017</v>
      </c>
      <c r="J174" s="334">
        <f t="shared" si="163"/>
        <v>11511859.105239995</v>
      </c>
      <c r="K174" s="334">
        <f t="shared" si="163"/>
        <v>13399273.427759998</v>
      </c>
      <c r="L174" s="334">
        <f t="shared" si="163"/>
        <v>17126529.507720001</v>
      </c>
      <c r="M174" s="334">
        <f t="shared" si="163"/>
        <v>20179816.198151998</v>
      </c>
      <c r="N174" s="437">
        <f t="shared" si="163"/>
        <v>22864592.225280002</v>
      </c>
    </row>
    <row r="175" spans="2:14" outlineLevel="1" x14ac:dyDescent="0.45">
      <c r="B175" s="1401"/>
      <c r="C175" s="497" t="s">
        <v>649</v>
      </c>
      <c r="D175" s="451"/>
      <c r="E175" s="450"/>
      <c r="F175" s="449"/>
      <c r="G175" s="448">
        <f t="shared" ref="G175:N175" si="164">G174/G156</f>
        <v>0.22626999999999997</v>
      </c>
      <c r="H175" s="448">
        <f t="shared" si="164"/>
        <v>0.23531000000000005</v>
      </c>
      <c r="I175" s="448">
        <f t="shared" si="164"/>
        <v>0.24550000000000005</v>
      </c>
      <c r="J175" s="448">
        <f t="shared" si="164"/>
        <v>0.24868999999999988</v>
      </c>
      <c r="K175" s="448">
        <f t="shared" si="164"/>
        <v>0.23891999999999997</v>
      </c>
      <c r="L175" s="448">
        <f t="shared" si="164"/>
        <v>0.25592999999999999</v>
      </c>
      <c r="M175" s="448">
        <f t="shared" si="164"/>
        <v>0.25879099999999999</v>
      </c>
      <c r="N175" s="447">
        <f t="shared" si="164"/>
        <v>0.261376</v>
      </c>
    </row>
    <row r="176" spans="2:14" outlineLevel="1" x14ac:dyDescent="0.45">
      <c r="B176" s="1401"/>
      <c r="C176" s="498" t="s">
        <v>650</v>
      </c>
      <c r="D176" s="456"/>
      <c r="E176" s="455"/>
      <c r="F176" s="454"/>
      <c r="G176" s="334">
        <f t="shared" ref="G176:N176" si="165">G128</f>
        <v>3220613</v>
      </c>
      <c r="H176" s="334">
        <f t="shared" si="165"/>
        <v>3784696</v>
      </c>
      <c r="I176" s="334">
        <f t="shared" si="165"/>
        <v>4672333</v>
      </c>
      <c r="J176" s="334">
        <f t="shared" si="165"/>
        <v>5525702</v>
      </c>
      <c r="K176" s="334">
        <f t="shared" si="165"/>
        <v>6173874</v>
      </c>
      <c r="L176" s="334">
        <f t="shared" si="165"/>
        <v>6947411</v>
      </c>
      <c r="M176" s="334">
        <f t="shared" si="165"/>
        <v>7735720</v>
      </c>
      <c r="N176" s="437">
        <f t="shared" si="165"/>
        <v>8618962</v>
      </c>
    </row>
    <row r="177" spans="2:14" outlineLevel="1" x14ac:dyDescent="0.45">
      <c r="B177" s="1401"/>
      <c r="C177" s="498" t="s">
        <v>651</v>
      </c>
      <c r="D177" s="456"/>
      <c r="E177" s="455"/>
      <c r="F177" s="454"/>
      <c r="G177" s="334">
        <f t="shared" ref="G177:N177" si="166">G174-G176</f>
        <v>2070707.3296799995</v>
      </c>
      <c r="H177" s="334">
        <f t="shared" si="166"/>
        <v>3297850.0395900011</v>
      </c>
      <c r="I177" s="334">
        <f t="shared" si="166"/>
        <v>4533555.6240000017</v>
      </c>
      <c r="J177" s="334">
        <f t="shared" si="166"/>
        <v>5986157.1052399948</v>
      </c>
      <c r="K177" s="334">
        <f t="shared" si="166"/>
        <v>7225399.4277599975</v>
      </c>
      <c r="L177" s="334">
        <f t="shared" si="166"/>
        <v>10179118.507720001</v>
      </c>
      <c r="M177" s="334">
        <f t="shared" si="166"/>
        <v>12444096.198151998</v>
      </c>
      <c r="N177" s="437">
        <f t="shared" si="166"/>
        <v>14245630.225280002</v>
      </c>
    </row>
    <row r="178" spans="2:14" outlineLevel="1" x14ac:dyDescent="0.45">
      <c r="B178" s="1401"/>
      <c r="C178" s="497" t="s">
        <v>652</v>
      </c>
      <c r="D178" s="451"/>
      <c r="E178" s="450"/>
      <c r="F178" s="449"/>
      <c r="G178" s="448">
        <f t="shared" ref="G178:N178" si="167">G177/G156</f>
        <v>8.854858868750988E-2</v>
      </c>
      <c r="H178" s="448">
        <f t="shared" si="167"/>
        <v>0.10956753242098879</v>
      </c>
      <c r="I178" s="448">
        <f t="shared" si="167"/>
        <v>0.12089956235082086</v>
      </c>
      <c r="J178" s="448">
        <f t="shared" si="167"/>
        <v>0.12931859197481882</v>
      </c>
      <c r="K178" s="448">
        <f t="shared" si="167"/>
        <v>0.12883477903391127</v>
      </c>
      <c r="L178" s="448">
        <f t="shared" si="167"/>
        <v>0.15211148286093101</v>
      </c>
      <c r="M178" s="448">
        <f t="shared" si="167"/>
        <v>0.15958619581038944</v>
      </c>
      <c r="N178" s="447">
        <f t="shared" si="167"/>
        <v>0.16284855680242458</v>
      </c>
    </row>
    <row r="179" spans="2:14" outlineLevel="1" x14ac:dyDescent="0.45">
      <c r="B179" s="1401"/>
      <c r="C179" s="498" t="s">
        <v>625</v>
      </c>
      <c r="D179" s="456"/>
      <c r="E179" s="455"/>
      <c r="F179" s="454"/>
      <c r="G179" s="334">
        <f t="shared" ref="G179:N179" si="168">G131</f>
        <v>795339</v>
      </c>
      <c r="H179" s="334">
        <f t="shared" si="168"/>
        <v>1025126</v>
      </c>
      <c r="I179" s="334">
        <f t="shared" si="168"/>
        <v>1278268</v>
      </c>
      <c r="J179" s="334">
        <f t="shared" si="168"/>
        <v>1578273</v>
      </c>
      <c r="K179" s="334">
        <f t="shared" si="168"/>
        <v>1913637</v>
      </c>
      <c r="L179" s="334">
        <f t="shared" si="168"/>
        <v>2284875</v>
      </c>
      <c r="M179" s="334">
        <f t="shared" si="168"/>
        <v>2663035</v>
      </c>
      <c r="N179" s="437">
        <f t="shared" si="168"/>
        <v>2989443</v>
      </c>
    </row>
    <row r="180" spans="2:14" outlineLevel="1" x14ac:dyDescent="0.45">
      <c r="B180" s="1401"/>
      <c r="C180" s="498" t="s">
        <v>653</v>
      </c>
      <c r="D180" s="456"/>
      <c r="E180" s="455"/>
      <c r="F180" s="454"/>
      <c r="G180" s="334">
        <f t="shared" ref="G180:N180" si="169">G177-G179</f>
        <v>1275368.3296799995</v>
      </c>
      <c r="H180" s="334">
        <f t="shared" si="169"/>
        <v>2272724.0395900011</v>
      </c>
      <c r="I180" s="334">
        <f t="shared" si="169"/>
        <v>3255287.6240000017</v>
      </c>
      <c r="J180" s="334">
        <f t="shared" si="169"/>
        <v>4407884.1052399948</v>
      </c>
      <c r="K180" s="334">
        <f t="shared" si="169"/>
        <v>5311762.4277599975</v>
      </c>
      <c r="L180" s="334">
        <f t="shared" si="169"/>
        <v>7894243.507720001</v>
      </c>
      <c r="M180" s="334">
        <f t="shared" si="169"/>
        <v>9781061.1981519982</v>
      </c>
      <c r="N180" s="437">
        <f t="shared" si="169"/>
        <v>11256187.225280002</v>
      </c>
    </row>
    <row r="181" spans="2:14" outlineLevel="1" x14ac:dyDescent="0.45">
      <c r="B181" s="1401"/>
      <c r="C181" s="497" t="s">
        <v>654</v>
      </c>
      <c r="D181" s="451"/>
      <c r="E181" s="450"/>
      <c r="F181" s="449"/>
      <c r="G181" s="448">
        <f t="shared" ref="G181:N181" si="170">G180/G156</f>
        <v>5.4537917566246763E-2</v>
      </c>
      <c r="H181" s="448">
        <f t="shared" si="170"/>
        <v>7.5508819959168499E-2</v>
      </c>
      <c r="I181" s="448">
        <f t="shared" si="170"/>
        <v>8.6811077597499342E-2</v>
      </c>
      <c r="J181" s="448">
        <f t="shared" si="170"/>
        <v>9.5223255263188936E-2</v>
      </c>
      <c r="K181" s="448">
        <f t="shared" si="170"/>
        <v>9.4713066800412013E-2</v>
      </c>
      <c r="L181" s="448">
        <f t="shared" si="170"/>
        <v>0.11796749248118663</v>
      </c>
      <c r="M181" s="448">
        <f t="shared" si="170"/>
        <v>0.12543477025141375</v>
      </c>
      <c r="N181" s="447">
        <f t="shared" si="170"/>
        <v>0.12867481576784415</v>
      </c>
    </row>
    <row r="182" spans="2:14" outlineLevel="1" x14ac:dyDescent="0.45">
      <c r="B182" s="1401"/>
      <c r="C182" s="498" t="s">
        <v>628</v>
      </c>
      <c r="D182" s="456"/>
      <c r="E182" s="455"/>
      <c r="F182" s="454"/>
      <c r="G182" s="334">
        <f t="shared" ref="G182:N182" si="171">G134</f>
        <v>0</v>
      </c>
      <c r="H182" s="334">
        <f t="shared" si="171"/>
        <v>0</v>
      </c>
      <c r="I182" s="334">
        <f t="shared" si="171"/>
        <v>0</v>
      </c>
      <c r="J182" s="334">
        <f t="shared" si="171"/>
        <v>0</v>
      </c>
      <c r="K182" s="334">
        <f t="shared" si="171"/>
        <v>0</v>
      </c>
      <c r="L182" s="334">
        <f t="shared" si="171"/>
        <v>1578887</v>
      </c>
      <c r="M182" s="334">
        <f t="shared" si="171"/>
        <v>1956209</v>
      </c>
      <c r="N182" s="437">
        <f t="shared" si="171"/>
        <v>2251243</v>
      </c>
    </row>
    <row r="183" spans="2:14" outlineLevel="1" x14ac:dyDescent="0.45">
      <c r="B183" s="1401"/>
      <c r="C183" s="534" t="s">
        <v>655</v>
      </c>
      <c r="D183" s="456"/>
      <c r="E183" s="455"/>
      <c r="F183" s="454"/>
      <c r="G183" s="453">
        <f t="shared" ref="G183:N183" si="172">G180-G182</f>
        <v>1275368.3296799995</v>
      </c>
      <c r="H183" s="453">
        <f t="shared" si="172"/>
        <v>2272724.0395900011</v>
      </c>
      <c r="I183" s="453">
        <f t="shared" si="172"/>
        <v>3255287.6240000017</v>
      </c>
      <c r="J183" s="453">
        <f t="shared" si="172"/>
        <v>4407884.1052399948</v>
      </c>
      <c r="K183" s="453">
        <f t="shared" si="172"/>
        <v>5311762.4277599975</v>
      </c>
      <c r="L183" s="453">
        <f t="shared" si="172"/>
        <v>6315356.507720001</v>
      </c>
      <c r="M183" s="453">
        <f t="shared" si="172"/>
        <v>7824852.1981519982</v>
      </c>
      <c r="N183" s="452">
        <f t="shared" si="172"/>
        <v>9004944.2252800018</v>
      </c>
    </row>
    <row r="184" spans="2:14" outlineLevel="1" x14ac:dyDescent="0.45">
      <c r="B184" s="1401"/>
      <c r="C184" s="527" t="s">
        <v>656</v>
      </c>
      <c r="D184" s="451"/>
      <c r="E184" s="450"/>
      <c r="F184" s="449"/>
      <c r="G184" s="448">
        <f t="shared" ref="G184:N184" si="173">G183/G156</f>
        <v>5.4537917566246763E-2</v>
      </c>
      <c r="H184" s="448">
        <f t="shared" si="173"/>
        <v>7.5508819959168499E-2</v>
      </c>
      <c r="I184" s="448">
        <f t="shared" si="173"/>
        <v>8.6811077597499342E-2</v>
      </c>
      <c r="J184" s="448">
        <f t="shared" si="173"/>
        <v>9.5223255263188936E-2</v>
      </c>
      <c r="K184" s="448">
        <f t="shared" si="173"/>
        <v>9.4713066800412013E-2</v>
      </c>
      <c r="L184" s="448">
        <f t="shared" si="173"/>
        <v>9.4373421672628827E-2</v>
      </c>
      <c r="M184" s="448">
        <f t="shared" si="173"/>
        <v>0.10034785774695988</v>
      </c>
      <c r="N184" s="447">
        <f t="shared" si="173"/>
        <v>0.10293978911307536</v>
      </c>
    </row>
    <row r="185" spans="2:14" outlineLevel="1" x14ac:dyDescent="0.45">
      <c r="B185" s="1407" t="s">
        <v>605</v>
      </c>
      <c r="C185" s="499" t="str">
        <f>CONCATENATE("Indofood Net Profit from Operation (",TEXT(100%-MID(C168,40,3),"0%"),")")</f>
        <v>Indofood Net Profit from Operation (65%)</v>
      </c>
      <c r="D185" s="446"/>
      <c r="E185" s="445"/>
      <c r="F185" s="444"/>
      <c r="G185" s="443">
        <f>G183*MID($C185,37,3)</f>
        <v>828989.41429199965</v>
      </c>
      <c r="H185" s="442">
        <f t="shared" ref="H185:N185" si="174">H183*MID($C185,37,3)</f>
        <v>1477270.6257335008</v>
      </c>
      <c r="I185" s="442">
        <f t="shared" si="174"/>
        <v>2115936.9556000014</v>
      </c>
      <c r="J185" s="442">
        <f t="shared" si="174"/>
        <v>2865124.6684059966</v>
      </c>
      <c r="K185" s="442">
        <f t="shared" si="174"/>
        <v>3452645.5780439987</v>
      </c>
      <c r="L185" s="442">
        <f t="shared" si="174"/>
        <v>4104981.730018001</v>
      </c>
      <c r="M185" s="442">
        <f t="shared" si="174"/>
        <v>5086153.9287987994</v>
      </c>
      <c r="N185" s="441">
        <f t="shared" si="174"/>
        <v>5853213.7464320017</v>
      </c>
    </row>
    <row r="186" spans="2:14" outlineLevel="1" x14ac:dyDescent="0.45">
      <c r="B186" s="1408"/>
      <c r="C186" s="498" t="str">
        <f>CONCATENATE("Indofood Net Profit as Shareholder (",TEXT(100%-MID(C168,40,3),"0%"),")")</f>
        <v>Indofood Net Profit as Shareholder (65%)</v>
      </c>
      <c r="D186" s="440"/>
      <c r="F186" s="439"/>
      <c r="G186" s="438" t="e">
        <f>G166*MID($C186,37,3)</f>
        <v>#REF!</v>
      </c>
      <c r="H186" s="334" t="e">
        <f t="shared" ref="H186:N186" si="175">H166*MID($C186,37,3)</f>
        <v>#REF!</v>
      </c>
      <c r="I186" s="334" t="e">
        <f t="shared" si="175"/>
        <v>#REF!</v>
      </c>
      <c r="J186" s="334" t="e">
        <f t="shared" si="175"/>
        <v>#REF!</v>
      </c>
      <c r="K186" s="334" t="e">
        <f t="shared" si="175"/>
        <v>#REF!</v>
      </c>
      <c r="L186" s="334" t="e">
        <f t="shared" si="175"/>
        <v>#REF!</v>
      </c>
      <c r="M186" s="334" t="e">
        <f t="shared" si="175"/>
        <v>#REF!</v>
      </c>
      <c r="N186" s="437" t="e">
        <f t="shared" si="175"/>
        <v>#REF!</v>
      </c>
    </row>
    <row r="187" spans="2:14" x14ac:dyDescent="0.45">
      <c r="B187" s="1409"/>
      <c r="C187" s="535" t="s">
        <v>629</v>
      </c>
      <c r="D187" s="436"/>
      <c r="E187" s="435"/>
      <c r="F187" s="434"/>
      <c r="G187" s="433" t="e">
        <f t="shared" ref="G187:N187" si="176">G185+G186</f>
        <v>#REF!</v>
      </c>
      <c r="H187" s="432" t="e">
        <f t="shared" si="176"/>
        <v>#REF!</v>
      </c>
      <c r="I187" s="432" t="e">
        <f t="shared" si="176"/>
        <v>#REF!</v>
      </c>
      <c r="J187" s="432" t="e">
        <f t="shared" si="176"/>
        <v>#REF!</v>
      </c>
      <c r="K187" s="432" t="e">
        <f t="shared" si="176"/>
        <v>#REF!</v>
      </c>
      <c r="L187" s="432" t="e">
        <f t="shared" si="176"/>
        <v>#REF!</v>
      </c>
      <c r="M187" s="432" t="e">
        <f t="shared" si="176"/>
        <v>#REF!</v>
      </c>
      <c r="N187" s="431" t="e">
        <f t="shared" si="176"/>
        <v>#REF!</v>
      </c>
    </row>
    <row r="188" spans="2:14" x14ac:dyDescent="0.45">
      <c r="G188" s="334" t="e">
        <f>G187+G170</f>
        <v>#REF!</v>
      </c>
      <c r="H188" s="334" t="e">
        <f t="shared" ref="H188:N188" si="177">H187+H170</f>
        <v>#REF!</v>
      </c>
      <c r="I188" s="334" t="e">
        <f t="shared" si="177"/>
        <v>#REF!</v>
      </c>
      <c r="J188" s="334" t="e">
        <f t="shared" si="177"/>
        <v>#REF!</v>
      </c>
      <c r="K188" s="334" t="e">
        <f t="shared" si="177"/>
        <v>#REF!</v>
      </c>
      <c r="L188" s="334" t="e">
        <f t="shared" si="177"/>
        <v>#REF!</v>
      </c>
      <c r="M188" s="334" t="e">
        <f t="shared" si="177"/>
        <v>#REF!</v>
      </c>
      <c r="N188" s="334" t="e">
        <f t="shared" si="177"/>
        <v>#REF!</v>
      </c>
    </row>
    <row r="194" spans="2:14" x14ac:dyDescent="0.45">
      <c r="B194" t="s">
        <v>666</v>
      </c>
    </row>
    <row r="195" spans="2:14" x14ac:dyDescent="0.45">
      <c r="B195" s="1402" t="str">
        <f>CONCATENATE("JV ",B194)</f>
        <v>JV 60-40</v>
      </c>
      <c r="C195" s="1402"/>
      <c r="D195" s="1394" t="s">
        <v>12</v>
      </c>
      <c r="E195" s="1394"/>
      <c r="F195" s="1394"/>
      <c r="G195" s="1395" t="s">
        <v>605</v>
      </c>
      <c r="H195" s="1395"/>
      <c r="I195" s="1395"/>
      <c r="J195" s="1395"/>
      <c r="K195" s="1395"/>
      <c r="L195" s="1395"/>
      <c r="M195" s="1395"/>
      <c r="N195" s="1395"/>
    </row>
    <row r="196" spans="2:14" x14ac:dyDescent="0.45">
      <c r="B196" s="1402"/>
      <c r="C196" s="1402"/>
      <c r="D196" s="482">
        <v>2020</v>
      </c>
      <c r="E196" s="481">
        <v>2021</v>
      </c>
      <c r="F196" s="480">
        <v>2022</v>
      </c>
      <c r="G196" s="482">
        <v>2023</v>
      </c>
      <c r="H196" s="481">
        <v>2024</v>
      </c>
      <c r="I196" s="481">
        <v>2025</v>
      </c>
      <c r="J196" s="481">
        <v>2026</v>
      </c>
      <c r="K196" s="481">
        <v>2027</v>
      </c>
      <c r="L196" s="481">
        <v>2028</v>
      </c>
      <c r="M196" s="481">
        <v>2029</v>
      </c>
      <c r="N196" s="480">
        <v>2030</v>
      </c>
    </row>
    <row r="197" spans="2:14" ht="15" customHeight="1" x14ac:dyDescent="0.45">
      <c r="B197" s="1390" t="s">
        <v>606</v>
      </c>
      <c r="C197" s="499" t="s">
        <v>258</v>
      </c>
      <c r="D197" s="443">
        <f>D149</f>
        <v>55337116</v>
      </c>
      <c r="E197" s="442">
        <f t="shared" ref="E197:N197" si="178">E149</f>
        <v>90092532</v>
      </c>
      <c r="F197" s="441">
        <f t="shared" si="178"/>
        <v>110001940</v>
      </c>
      <c r="G197" s="334">
        <f t="shared" si="178"/>
        <v>143010497</v>
      </c>
      <c r="H197" s="334">
        <f t="shared" si="178"/>
        <v>182338383</v>
      </c>
      <c r="I197" s="334">
        <f t="shared" si="178"/>
        <v>225000095</v>
      </c>
      <c r="J197" s="334">
        <f t="shared" si="178"/>
        <v>275000741</v>
      </c>
      <c r="K197" s="334">
        <f t="shared" si="178"/>
        <v>330000889</v>
      </c>
      <c r="L197" s="334">
        <f t="shared" si="178"/>
        <v>390000991</v>
      </c>
      <c r="M197" s="334">
        <f t="shared" si="178"/>
        <v>450002643</v>
      </c>
      <c r="N197" s="437">
        <f t="shared" si="178"/>
        <v>500006937</v>
      </c>
    </row>
    <row r="198" spans="2:14" ht="15" customHeight="1" x14ac:dyDescent="0.45">
      <c r="B198" s="1403"/>
      <c r="C198" s="498" t="s">
        <v>638</v>
      </c>
      <c r="D198" s="479"/>
      <c r="E198" s="478"/>
      <c r="F198" s="477"/>
      <c r="G198" s="334">
        <f t="shared" ref="G198:N198" si="179">SUM(G199:G201)</f>
        <v>141866413</v>
      </c>
      <c r="H198" s="334">
        <f t="shared" si="179"/>
        <v>181043781</v>
      </c>
      <c r="I198" s="334">
        <f t="shared" si="179"/>
        <v>223515094</v>
      </c>
      <c r="J198" s="334">
        <f t="shared" si="179"/>
        <v>273240735</v>
      </c>
      <c r="K198" s="334">
        <f t="shared" si="179"/>
        <v>328020884</v>
      </c>
      <c r="L198" s="334">
        <f t="shared" si="179"/>
        <v>387777985</v>
      </c>
      <c r="M198" s="334">
        <f t="shared" si="179"/>
        <v>447482629</v>
      </c>
      <c r="N198" s="437">
        <f t="shared" si="179"/>
        <v>497356900</v>
      </c>
    </row>
    <row r="199" spans="2:14" ht="15" customHeight="1" x14ac:dyDescent="0.45">
      <c r="B199" s="1403"/>
      <c r="C199" s="500" t="s">
        <v>253</v>
      </c>
      <c r="D199" s="476">
        <f>D151</f>
        <v>33580560</v>
      </c>
      <c r="E199" s="475">
        <f t="shared" ref="E199:N199" si="180">E151</f>
        <v>42609040</v>
      </c>
      <c r="F199" s="474">
        <f t="shared" si="180"/>
        <v>52362608</v>
      </c>
      <c r="G199" s="475">
        <f t="shared" si="180"/>
        <v>67675100</v>
      </c>
      <c r="H199" s="475">
        <f t="shared" si="180"/>
        <v>86330324</v>
      </c>
      <c r="I199" s="475">
        <f t="shared" si="180"/>
        <v>107514030</v>
      </c>
      <c r="J199" s="475">
        <f t="shared" si="180"/>
        <v>130873139</v>
      </c>
      <c r="K199" s="475">
        <f t="shared" si="180"/>
        <v>156363102</v>
      </c>
      <c r="L199" s="475">
        <f t="shared" si="180"/>
        <v>184376727</v>
      </c>
      <c r="M199" s="475">
        <f t="shared" si="180"/>
        <v>213643092</v>
      </c>
      <c r="N199" s="474">
        <f t="shared" si="180"/>
        <v>237308111</v>
      </c>
    </row>
    <row r="200" spans="2:14" ht="15" customHeight="1" x14ac:dyDescent="0.45">
      <c r="B200" s="1403"/>
      <c r="C200" s="500" t="s">
        <v>254</v>
      </c>
      <c r="D200" s="476">
        <f t="shared" ref="D200:N200" si="181">D152</f>
        <v>8114880</v>
      </c>
      <c r="E200" s="475">
        <f t="shared" si="181"/>
        <v>12087440</v>
      </c>
      <c r="F200" s="474">
        <f t="shared" si="181"/>
        <v>15760000</v>
      </c>
      <c r="G200" s="475">
        <f t="shared" si="181"/>
        <v>19387158</v>
      </c>
      <c r="H200" s="475">
        <f t="shared" si="181"/>
        <v>24702419</v>
      </c>
      <c r="I200" s="475">
        <f t="shared" si="181"/>
        <v>30087043</v>
      </c>
      <c r="J200" s="475">
        <f t="shared" si="181"/>
        <v>36794525</v>
      </c>
      <c r="K200" s="475">
        <f t="shared" si="181"/>
        <v>44664760</v>
      </c>
      <c r="L200" s="475">
        <f t="shared" si="181"/>
        <v>52954617</v>
      </c>
      <c r="M200" s="475">
        <f t="shared" si="181"/>
        <v>61371687</v>
      </c>
      <c r="N200" s="474">
        <f t="shared" si="181"/>
        <v>67991306</v>
      </c>
    </row>
    <row r="201" spans="2:14" ht="15" customHeight="1" x14ac:dyDescent="0.45">
      <c r="B201" s="1403"/>
      <c r="C201" s="500" t="s">
        <v>233</v>
      </c>
      <c r="D201" s="476">
        <f t="shared" ref="D201:N201" si="182">D153</f>
        <v>11492280</v>
      </c>
      <c r="E201" s="475">
        <f t="shared" si="182"/>
        <v>34491800</v>
      </c>
      <c r="F201" s="474">
        <f t="shared" si="182"/>
        <v>40532932</v>
      </c>
      <c r="G201" s="475">
        <f t="shared" si="182"/>
        <v>54804155</v>
      </c>
      <c r="H201" s="475">
        <f t="shared" si="182"/>
        <v>70011038</v>
      </c>
      <c r="I201" s="475">
        <f t="shared" si="182"/>
        <v>85914021</v>
      </c>
      <c r="J201" s="475">
        <f t="shared" si="182"/>
        <v>105573071</v>
      </c>
      <c r="K201" s="475">
        <f t="shared" si="182"/>
        <v>126993022</v>
      </c>
      <c r="L201" s="475">
        <f t="shared" si="182"/>
        <v>150446641</v>
      </c>
      <c r="M201" s="475">
        <f t="shared" si="182"/>
        <v>172467850</v>
      </c>
      <c r="N201" s="474">
        <f t="shared" si="182"/>
        <v>192057483</v>
      </c>
    </row>
    <row r="202" spans="2:14" ht="15" customHeight="1" x14ac:dyDescent="0.45">
      <c r="B202" s="1403"/>
      <c r="C202" s="498" t="s">
        <v>259</v>
      </c>
      <c r="D202" s="438">
        <f t="shared" ref="D202:N202" si="183">D154</f>
        <v>1413930</v>
      </c>
      <c r="E202" s="334">
        <f t="shared" si="183"/>
        <v>2277101</v>
      </c>
      <c r="F202" s="437">
        <f t="shared" si="183"/>
        <v>2793488</v>
      </c>
      <c r="G202" s="334">
        <f t="shared" si="183"/>
        <v>3616974</v>
      </c>
      <c r="H202" s="334">
        <f t="shared" si="183"/>
        <v>4607387</v>
      </c>
      <c r="I202" s="334">
        <f t="shared" si="183"/>
        <v>5681440</v>
      </c>
      <c r="J202" s="334">
        <f t="shared" si="183"/>
        <v>6943998</v>
      </c>
      <c r="K202" s="334">
        <f t="shared" si="183"/>
        <v>8327022</v>
      </c>
      <c r="L202" s="334">
        <f t="shared" si="183"/>
        <v>9834200</v>
      </c>
      <c r="M202" s="334">
        <f t="shared" si="183"/>
        <v>11344567</v>
      </c>
      <c r="N202" s="437">
        <f t="shared" si="183"/>
        <v>12596425</v>
      </c>
    </row>
    <row r="203" spans="2:14" ht="15" customHeight="1" x14ac:dyDescent="0.45">
      <c r="B203" s="1403"/>
      <c r="C203" s="498" t="s">
        <v>607</v>
      </c>
      <c r="D203" s="473">
        <f t="shared" ref="D203:N203" si="184">D197/D202</f>
        <v>39.137097310333608</v>
      </c>
      <c r="E203" s="472">
        <f t="shared" si="184"/>
        <v>39.564574430383196</v>
      </c>
      <c r="F203" s="471">
        <f t="shared" si="184"/>
        <v>39.377989094637243</v>
      </c>
      <c r="G203" s="472">
        <f t="shared" si="184"/>
        <v>39.538713023649052</v>
      </c>
      <c r="H203" s="472">
        <f t="shared" si="184"/>
        <v>39.575226261653299</v>
      </c>
      <c r="I203" s="472">
        <f t="shared" si="184"/>
        <v>39.602652672561888</v>
      </c>
      <c r="J203" s="472">
        <f t="shared" si="184"/>
        <v>39.602652679335449</v>
      </c>
      <c r="K203" s="472">
        <f t="shared" si="184"/>
        <v>39.630120948401483</v>
      </c>
      <c r="L203" s="472">
        <f t="shared" si="184"/>
        <v>39.65762248073051</v>
      </c>
      <c r="M203" s="472">
        <f t="shared" si="184"/>
        <v>39.666797595712559</v>
      </c>
      <c r="N203" s="471">
        <f t="shared" si="184"/>
        <v>39.694352723094049</v>
      </c>
    </row>
    <row r="204" spans="2:14" ht="15" customHeight="1" x14ac:dyDescent="0.45">
      <c r="B204" s="1403"/>
      <c r="C204" s="498" t="s">
        <v>639</v>
      </c>
      <c r="D204" s="438">
        <f>D156</f>
        <v>7635577</v>
      </c>
      <c r="E204" s="334">
        <f t="shared" ref="E204:N204" si="185">E156</f>
        <v>12036091.199999999</v>
      </c>
      <c r="F204" s="437">
        <f t="shared" si="185"/>
        <v>14729378.550000001</v>
      </c>
      <c r="G204" s="334">
        <f t="shared" si="185"/>
        <v>23384984</v>
      </c>
      <c r="H204" s="334">
        <f t="shared" si="185"/>
        <v>30098789</v>
      </c>
      <c r="I204" s="334">
        <f t="shared" si="185"/>
        <v>37498528</v>
      </c>
      <c r="J204" s="334">
        <f t="shared" si="185"/>
        <v>46289996</v>
      </c>
      <c r="K204" s="334">
        <f t="shared" si="185"/>
        <v>56082678</v>
      </c>
      <c r="L204" s="334">
        <f t="shared" si="185"/>
        <v>66918804</v>
      </c>
      <c r="M204" s="334">
        <f t="shared" si="185"/>
        <v>77977272</v>
      </c>
      <c r="N204" s="437">
        <f t="shared" si="185"/>
        <v>87477780</v>
      </c>
    </row>
    <row r="205" spans="2:14" ht="15" customHeight="1" x14ac:dyDescent="0.45">
      <c r="B205" s="1392"/>
      <c r="C205" s="533" t="s">
        <v>609</v>
      </c>
      <c r="D205" s="470">
        <f t="shared" ref="D205:N205" si="186">D204/D202</f>
        <v>5.4002510732497369</v>
      </c>
      <c r="E205" s="469">
        <f t="shared" si="186"/>
        <v>5.2857080999042196</v>
      </c>
      <c r="F205" s="468">
        <f t="shared" si="186"/>
        <v>5.2727552615225131</v>
      </c>
      <c r="G205" s="469">
        <f t="shared" si="186"/>
        <v>6.4653447882124668</v>
      </c>
      <c r="H205" s="469">
        <f t="shared" si="186"/>
        <v>6.5327242968736945</v>
      </c>
      <c r="I205" s="469">
        <f t="shared" si="186"/>
        <v>6.6001802359965076</v>
      </c>
      <c r="J205" s="469">
        <f t="shared" si="186"/>
        <v>6.6661879798928512</v>
      </c>
      <c r="K205" s="469">
        <f t="shared" si="186"/>
        <v>6.7350221964106733</v>
      </c>
      <c r="L205" s="469">
        <f t="shared" si="186"/>
        <v>6.8047023652152694</v>
      </c>
      <c r="M205" s="469">
        <f t="shared" si="186"/>
        <v>6.873534441640655</v>
      </c>
      <c r="N205" s="468">
        <f t="shared" si="186"/>
        <v>6.9446513594134842</v>
      </c>
    </row>
    <row r="206" spans="2:14" ht="15" customHeight="1" outlineLevel="1" x14ac:dyDescent="0.45">
      <c r="B206" s="1410" t="str">
        <f>B158</f>
        <v>Distribution</v>
      </c>
      <c r="C206" s="499" t="s">
        <v>610</v>
      </c>
      <c r="D206" s="443">
        <f>'Pricing Structure - All SKU'!G$32*D202</f>
        <v>10406524.800000001</v>
      </c>
      <c r="E206" s="442">
        <f>'Pricing Structure - All SKU'!I$32*E202</f>
        <v>16759463.360000001</v>
      </c>
      <c r="F206" s="442" t="e">
        <f>'Pricing Structure - All SKU'!#REF!*F202</f>
        <v>#REF!</v>
      </c>
      <c r="G206" s="443" t="e">
        <f>'Pricing Structure - All SKU'!#REF!*G202</f>
        <v>#REF!</v>
      </c>
      <c r="H206" s="442" t="e">
        <f>'Pricing Structure - All SKU'!#REF!*H202</f>
        <v>#REF!</v>
      </c>
      <c r="I206" s="442" t="e">
        <f>'Pricing Structure - All SKU'!#REF!*I202</f>
        <v>#REF!</v>
      </c>
      <c r="J206" s="442" t="e">
        <f>'Pricing Structure - All SKU'!#REF!*J202</f>
        <v>#REF!</v>
      </c>
      <c r="K206" s="442" t="e">
        <f>'Pricing Structure - All SKU'!#REF!*K202</f>
        <v>#REF!</v>
      </c>
      <c r="L206" s="442" t="e">
        <f>'Pricing Structure - All SKU'!#REF!*L202</f>
        <v>#REF!</v>
      </c>
      <c r="M206" s="442" t="e">
        <f>'Pricing Structure - All SKU'!#REF!*M202</f>
        <v>#REF!</v>
      </c>
      <c r="N206" s="441" t="e">
        <f>'Pricing Structure - All SKU'!#REF!*N202</f>
        <v>#REF!</v>
      </c>
    </row>
    <row r="207" spans="2:14" ht="15" customHeight="1" outlineLevel="1" x14ac:dyDescent="0.45">
      <c r="B207" s="1410"/>
      <c r="C207" s="498" t="s">
        <v>611</v>
      </c>
      <c r="D207" s="438">
        <f>'Pricing Structure - All SKU'!G$45*D202</f>
        <v>8986056.8344214857</v>
      </c>
      <c r="E207" s="334">
        <f>'Pricing Structure - All SKU'!I$45*E202</f>
        <v>14673451.43307847</v>
      </c>
      <c r="F207" s="334" t="e">
        <f>'Pricing Structure - All SKU'!#REF!*F202</f>
        <v>#REF!</v>
      </c>
      <c r="G207" s="438" t="e">
        <f>'Pricing Structure - All SKU'!#REF!*G202</f>
        <v>#REF!</v>
      </c>
      <c r="H207" s="334" t="e">
        <f>'Pricing Structure - All SKU'!#REF!*H202</f>
        <v>#REF!</v>
      </c>
      <c r="I207" s="334" t="e">
        <f>'Pricing Structure - All SKU'!#REF!*I202</f>
        <v>#REF!</v>
      </c>
      <c r="J207" s="334" t="e">
        <f>'Pricing Structure - All SKU'!#REF!*J202</f>
        <v>#REF!</v>
      </c>
      <c r="K207" s="334" t="e">
        <f>'Pricing Structure - All SKU'!#REF!*K202</f>
        <v>#REF!</v>
      </c>
      <c r="L207" s="334" t="e">
        <f>'Pricing Structure - All SKU'!#REF!*L202</f>
        <v>#REF!</v>
      </c>
      <c r="M207" s="334" t="e">
        <f>'Pricing Structure - All SKU'!#REF!*M202</f>
        <v>#REF!</v>
      </c>
      <c r="N207" s="437" t="e">
        <f>'Pricing Structure - All SKU'!#REF!*N202</f>
        <v>#REF!</v>
      </c>
    </row>
    <row r="208" spans="2:14" ht="15" customHeight="1" outlineLevel="1" x14ac:dyDescent="0.45">
      <c r="B208" s="1410"/>
      <c r="C208" s="498" t="s">
        <v>612</v>
      </c>
      <c r="D208" s="438">
        <f t="shared" ref="D208:N208" si="187">D206-D207</f>
        <v>1420467.9655785151</v>
      </c>
      <c r="E208" s="334">
        <f t="shared" si="187"/>
        <v>2086011.9269215316</v>
      </c>
      <c r="F208" s="334" t="e">
        <f t="shared" si="187"/>
        <v>#REF!</v>
      </c>
      <c r="G208" s="438" t="e">
        <f t="shared" si="187"/>
        <v>#REF!</v>
      </c>
      <c r="H208" s="334" t="e">
        <f t="shared" si="187"/>
        <v>#REF!</v>
      </c>
      <c r="I208" s="334" t="e">
        <f t="shared" si="187"/>
        <v>#REF!</v>
      </c>
      <c r="J208" s="334" t="e">
        <f t="shared" si="187"/>
        <v>#REF!</v>
      </c>
      <c r="K208" s="334" t="e">
        <f t="shared" si="187"/>
        <v>#REF!</v>
      </c>
      <c r="L208" s="334" t="e">
        <f t="shared" si="187"/>
        <v>#REF!</v>
      </c>
      <c r="M208" s="334" t="e">
        <f t="shared" si="187"/>
        <v>#REF!</v>
      </c>
      <c r="N208" s="437" t="e">
        <f t="shared" si="187"/>
        <v>#REF!</v>
      </c>
    </row>
    <row r="209" spans="2:14" ht="15" customHeight="1" outlineLevel="1" x14ac:dyDescent="0.45">
      <c r="B209" s="1410"/>
      <c r="C209" s="497" t="s">
        <v>174</v>
      </c>
      <c r="D209" s="508">
        <f>D208/D206</f>
        <v>0.13649782159540089</v>
      </c>
      <c r="E209" s="509">
        <f t="shared" ref="E209:N209" si="188">E208/E206</f>
        <v>0.12446770413307144</v>
      </c>
      <c r="F209" s="509" t="e">
        <f t="shared" si="188"/>
        <v>#REF!</v>
      </c>
      <c r="G209" s="509" t="e">
        <f t="shared" si="188"/>
        <v>#REF!</v>
      </c>
      <c r="H209" s="509" t="e">
        <f t="shared" si="188"/>
        <v>#REF!</v>
      </c>
      <c r="I209" s="509" t="e">
        <f t="shared" si="188"/>
        <v>#REF!</v>
      </c>
      <c r="J209" s="509" t="e">
        <f t="shared" si="188"/>
        <v>#REF!</v>
      </c>
      <c r="K209" s="509" t="e">
        <f t="shared" si="188"/>
        <v>#REF!</v>
      </c>
      <c r="L209" s="509" t="e">
        <f t="shared" si="188"/>
        <v>#REF!</v>
      </c>
      <c r="M209" s="509" t="e">
        <f t="shared" si="188"/>
        <v>#REF!</v>
      </c>
      <c r="N209" s="510" t="e">
        <f t="shared" si="188"/>
        <v>#REF!</v>
      </c>
    </row>
    <row r="210" spans="2:14" ht="15" customHeight="1" outlineLevel="1" x14ac:dyDescent="0.45">
      <c r="B210" s="1410"/>
      <c r="C210" s="498" t="s">
        <v>641</v>
      </c>
      <c r="D210" s="438">
        <f t="shared" ref="D210:N210" si="189">D206*8%</f>
        <v>832521.98400000005</v>
      </c>
      <c r="E210" s="334">
        <f t="shared" si="189"/>
        <v>1340757.0688000002</v>
      </c>
      <c r="F210" s="334" t="e">
        <f t="shared" si="189"/>
        <v>#REF!</v>
      </c>
      <c r="G210" s="438" t="e">
        <f t="shared" si="189"/>
        <v>#REF!</v>
      </c>
      <c r="H210" s="334" t="e">
        <f t="shared" si="189"/>
        <v>#REF!</v>
      </c>
      <c r="I210" s="334" t="e">
        <f t="shared" si="189"/>
        <v>#REF!</v>
      </c>
      <c r="J210" s="334" t="e">
        <f t="shared" si="189"/>
        <v>#REF!</v>
      </c>
      <c r="K210" s="334" t="e">
        <f t="shared" si="189"/>
        <v>#REF!</v>
      </c>
      <c r="L210" s="334" t="e">
        <f t="shared" si="189"/>
        <v>#REF!</v>
      </c>
      <c r="M210" s="334" t="e">
        <f t="shared" si="189"/>
        <v>#REF!</v>
      </c>
      <c r="N210" s="437" t="e">
        <f t="shared" si="189"/>
        <v>#REF!</v>
      </c>
    </row>
    <row r="211" spans="2:14" ht="15" customHeight="1" outlineLevel="1" x14ac:dyDescent="0.45">
      <c r="B211" s="1410"/>
      <c r="C211" s="498" t="s">
        <v>614</v>
      </c>
      <c r="D211" s="438">
        <f t="shared" ref="D211:N211" si="190">D208-D210</f>
        <v>587945.98157851503</v>
      </c>
      <c r="E211" s="334">
        <f t="shared" si="190"/>
        <v>745254.85812153132</v>
      </c>
      <c r="F211" s="334" t="e">
        <f t="shared" si="190"/>
        <v>#REF!</v>
      </c>
      <c r="G211" s="438" t="e">
        <f t="shared" si="190"/>
        <v>#REF!</v>
      </c>
      <c r="H211" s="334" t="e">
        <f t="shared" si="190"/>
        <v>#REF!</v>
      </c>
      <c r="I211" s="334" t="e">
        <f t="shared" si="190"/>
        <v>#REF!</v>
      </c>
      <c r="J211" s="334" t="e">
        <f t="shared" si="190"/>
        <v>#REF!</v>
      </c>
      <c r="K211" s="334" t="e">
        <f t="shared" si="190"/>
        <v>#REF!</v>
      </c>
      <c r="L211" s="334" t="e">
        <f t="shared" si="190"/>
        <v>#REF!</v>
      </c>
      <c r="M211" s="334" t="e">
        <f t="shared" si="190"/>
        <v>#REF!</v>
      </c>
      <c r="N211" s="437" t="e">
        <f t="shared" si="190"/>
        <v>#REF!</v>
      </c>
    </row>
    <row r="212" spans="2:14" ht="15" customHeight="1" outlineLevel="1" x14ac:dyDescent="0.45">
      <c r="B212" s="1410"/>
      <c r="C212" s="497" t="s">
        <v>615</v>
      </c>
      <c r="D212" s="508">
        <f>D211/D206</f>
        <v>5.6497821595400899E-2</v>
      </c>
      <c r="E212" s="509">
        <f t="shared" ref="E212:N212" si="191">E211/E206</f>
        <v>4.4467704133071433E-2</v>
      </c>
      <c r="F212" s="509" t="e">
        <f t="shared" si="191"/>
        <v>#REF!</v>
      </c>
      <c r="G212" s="509" t="e">
        <f t="shared" si="191"/>
        <v>#REF!</v>
      </c>
      <c r="H212" s="509" t="e">
        <f t="shared" si="191"/>
        <v>#REF!</v>
      </c>
      <c r="I212" s="509" t="e">
        <f t="shared" si="191"/>
        <v>#REF!</v>
      </c>
      <c r="J212" s="509" t="e">
        <f t="shared" si="191"/>
        <v>#REF!</v>
      </c>
      <c r="K212" s="509" t="e">
        <f t="shared" si="191"/>
        <v>#REF!</v>
      </c>
      <c r="L212" s="509" t="e">
        <f t="shared" si="191"/>
        <v>#REF!</v>
      </c>
      <c r="M212" s="509" t="e">
        <f t="shared" si="191"/>
        <v>#REF!</v>
      </c>
      <c r="N212" s="510" t="e">
        <f t="shared" si="191"/>
        <v>#REF!</v>
      </c>
    </row>
    <row r="213" spans="2:14" ht="15" customHeight="1" outlineLevel="1" x14ac:dyDescent="0.45">
      <c r="B213" s="1410"/>
      <c r="C213" s="498" t="s">
        <v>616</v>
      </c>
      <c r="D213" s="438">
        <f t="shared" ref="D213:N213" si="192">20%*D211</f>
        <v>117589.19631570301</v>
      </c>
      <c r="E213" s="334">
        <f t="shared" si="192"/>
        <v>149050.97162430626</v>
      </c>
      <c r="F213" s="334" t="e">
        <f t="shared" si="192"/>
        <v>#REF!</v>
      </c>
      <c r="G213" s="438" t="e">
        <f t="shared" si="192"/>
        <v>#REF!</v>
      </c>
      <c r="H213" s="334" t="e">
        <f t="shared" si="192"/>
        <v>#REF!</v>
      </c>
      <c r="I213" s="334" t="e">
        <f t="shared" si="192"/>
        <v>#REF!</v>
      </c>
      <c r="J213" s="334" t="e">
        <f t="shared" si="192"/>
        <v>#REF!</v>
      </c>
      <c r="K213" s="334" t="e">
        <f t="shared" si="192"/>
        <v>#REF!</v>
      </c>
      <c r="L213" s="334" t="e">
        <f t="shared" si="192"/>
        <v>#REF!</v>
      </c>
      <c r="M213" s="334" t="e">
        <f t="shared" si="192"/>
        <v>#REF!</v>
      </c>
      <c r="N213" s="437" t="e">
        <f t="shared" si="192"/>
        <v>#REF!</v>
      </c>
    </row>
    <row r="214" spans="2:14" ht="15" customHeight="1" outlineLevel="1" x14ac:dyDescent="0.45">
      <c r="B214" s="1410"/>
      <c r="C214" s="498" t="s">
        <v>642</v>
      </c>
      <c r="D214" s="438">
        <f t="shared" ref="D214:N214" si="193">D211-D213</f>
        <v>470356.78526281205</v>
      </c>
      <c r="E214" s="334">
        <f t="shared" si="193"/>
        <v>596203.88649722503</v>
      </c>
      <c r="F214" s="334" t="e">
        <f t="shared" si="193"/>
        <v>#REF!</v>
      </c>
      <c r="G214" s="438" t="e">
        <f t="shared" si="193"/>
        <v>#REF!</v>
      </c>
      <c r="H214" s="334" t="e">
        <f t="shared" si="193"/>
        <v>#REF!</v>
      </c>
      <c r="I214" s="334" t="e">
        <f t="shared" si="193"/>
        <v>#REF!</v>
      </c>
      <c r="J214" s="334" t="e">
        <f t="shared" si="193"/>
        <v>#REF!</v>
      </c>
      <c r="K214" s="334" t="e">
        <f t="shared" si="193"/>
        <v>#REF!</v>
      </c>
      <c r="L214" s="334" t="e">
        <f t="shared" si="193"/>
        <v>#REF!</v>
      </c>
      <c r="M214" s="334" t="e">
        <f t="shared" si="193"/>
        <v>#REF!</v>
      </c>
      <c r="N214" s="437" t="e">
        <f t="shared" si="193"/>
        <v>#REF!</v>
      </c>
    </row>
    <row r="215" spans="2:14" ht="15" customHeight="1" outlineLevel="1" x14ac:dyDescent="0.45">
      <c r="B215" s="1410"/>
      <c r="C215" s="497" t="s">
        <v>618</v>
      </c>
      <c r="D215" s="505">
        <f>D214/D206</f>
        <v>4.5198257276320722E-2</v>
      </c>
      <c r="E215" s="506">
        <f t="shared" ref="E215:N215" si="194">E214/E206</f>
        <v>3.5574163306457143E-2</v>
      </c>
      <c r="F215" s="506" t="e">
        <f t="shared" si="194"/>
        <v>#REF!</v>
      </c>
      <c r="G215" s="506" t="e">
        <f t="shared" si="194"/>
        <v>#REF!</v>
      </c>
      <c r="H215" s="506" t="e">
        <f t="shared" si="194"/>
        <v>#REF!</v>
      </c>
      <c r="I215" s="506" t="e">
        <f t="shared" si="194"/>
        <v>#REF!</v>
      </c>
      <c r="J215" s="506" t="e">
        <f t="shared" si="194"/>
        <v>#REF!</v>
      </c>
      <c r="K215" s="506" t="e">
        <f t="shared" si="194"/>
        <v>#REF!</v>
      </c>
      <c r="L215" s="506" t="e">
        <f t="shared" si="194"/>
        <v>#REF!</v>
      </c>
      <c r="M215" s="506" t="e">
        <f t="shared" si="194"/>
        <v>#REF!</v>
      </c>
      <c r="N215" s="507" t="e">
        <f t="shared" si="194"/>
        <v>#REF!</v>
      </c>
    </row>
    <row r="216" spans="2:14" ht="15" customHeight="1" outlineLevel="1" x14ac:dyDescent="0.45">
      <c r="B216" s="1410"/>
      <c r="C216" s="498" t="s">
        <v>667</v>
      </c>
      <c r="D216" s="438">
        <f>D214</f>
        <v>470356.78526281205</v>
      </c>
      <c r="E216" s="334">
        <f>E214</f>
        <v>596203.88649722503</v>
      </c>
      <c r="F216" s="334" t="e">
        <f>F214</f>
        <v>#REF!</v>
      </c>
      <c r="G216" s="438" t="e">
        <f t="shared" ref="G216:N216" si="195">G214*MID($C216,40,3)</f>
        <v>#REF!</v>
      </c>
      <c r="H216" s="334" t="e">
        <f t="shared" si="195"/>
        <v>#REF!</v>
      </c>
      <c r="I216" s="334" t="e">
        <f t="shared" si="195"/>
        <v>#REF!</v>
      </c>
      <c r="J216" s="334" t="e">
        <f t="shared" si="195"/>
        <v>#REF!</v>
      </c>
      <c r="K216" s="334" t="e">
        <f t="shared" si="195"/>
        <v>#REF!</v>
      </c>
      <c r="L216" s="334" t="e">
        <f t="shared" si="195"/>
        <v>#REF!</v>
      </c>
      <c r="M216" s="334" t="e">
        <f t="shared" si="195"/>
        <v>#REF!</v>
      </c>
      <c r="N216" s="437" t="e">
        <f t="shared" si="195"/>
        <v>#REF!</v>
      </c>
    </row>
    <row r="217" spans="2:14" ht="15" customHeight="1" outlineLevel="1" x14ac:dyDescent="0.45">
      <c r="B217" s="1410"/>
      <c r="C217" s="498" t="s">
        <v>668</v>
      </c>
      <c r="D217" s="438"/>
      <c r="E217" s="334"/>
      <c r="F217" s="334"/>
      <c r="G217" s="438">
        <f t="shared" ref="G217:N217" si="196">G231*MID($C217,40,3)</f>
        <v>510147.33187199984</v>
      </c>
      <c r="H217" s="334">
        <f t="shared" si="196"/>
        <v>909089.61583600054</v>
      </c>
      <c r="I217" s="334">
        <f t="shared" si="196"/>
        <v>1302115.0496000007</v>
      </c>
      <c r="J217" s="334">
        <f t="shared" si="196"/>
        <v>1763153.6420959979</v>
      </c>
      <c r="K217" s="334">
        <f t="shared" si="196"/>
        <v>2124704.9711039993</v>
      </c>
      <c r="L217" s="334">
        <f t="shared" si="196"/>
        <v>2526142.6030880008</v>
      </c>
      <c r="M217" s="334">
        <f t="shared" si="196"/>
        <v>3129940.8792607994</v>
      </c>
      <c r="N217" s="437">
        <f t="shared" si="196"/>
        <v>3601977.6901120008</v>
      </c>
    </row>
    <row r="218" spans="2:14" x14ac:dyDescent="0.45">
      <c r="B218" s="1410"/>
      <c r="C218" s="496" t="s">
        <v>645</v>
      </c>
      <c r="D218" s="467">
        <f t="shared" ref="D218:N218" si="197">D216+D217</f>
        <v>470356.78526281205</v>
      </c>
      <c r="E218" s="466">
        <f t="shared" si="197"/>
        <v>596203.88649722503</v>
      </c>
      <c r="F218" s="466" t="e">
        <f t="shared" si="197"/>
        <v>#REF!</v>
      </c>
      <c r="G218" s="467" t="e">
        <f t="shared" si="197"/>
        <v>#REF!</v>
      </c>
      <c r="H218" s="466" t="e">
        <f t="shared" si="197"/>
        <v>#REF!</v>
      </c>
      <c r="I218" s="466" t="e">
        <f t="shared" si="197"/>
        <v>#REF!</v>
      </c>
      <c r="J218" s="466" t="e">
        <f t="shared" si="197"/>
        <v>#REF!</v>
      </c>
      <c r="K218" s="466" t="e">
        <f t="shared" si="197"/>
        <v>#REF!</v>
      </c>
      <c r="L218" s="466" t="e">
        <f t="shared" si="197"/>
        <v>#REF!</v>
      </c>
      <c r="M218" s="466" t="e">
        <f t="shared" si="197"/>
        <v>#REF!</v>
      </c>
      <c r="N218" s="465" t="e">
        <f t="shared" si="197"/>
        <v>#REF!</v>
      </c>
    </row>
    <row r="219" spans="2:14" x14ac:dyDescent="0.45">
      <c r="B219" s="1410"/>
      <c r="C219" s="497" t="s">
        <v>646</v>
      </c>
      <c r="D219" s="514">
        <f>D218/D206</f>
        <v>4.5198257276320722E-2</v>
      </c>
      <c r="E219" s="515">
        <f t="shared" ref="E219:F219" si="198">E218/E206</f>
        <v>3.5574163306457143E-2</v>
      </c>
      <c r="F219" s="516" t="e">
        <f t="shared" si="198"/>
        <v>#REF!</v>
      </c>
      <c r="G219" s="448" t="e">
        <f t="shared" ref="G219:N219" si="199">G218/G206</f>
        <v>#REF!</v>
      </c>
      <c r="H219" s="448" t="e">
        <f t="shared" si="199"/>
        <v>#REF!</v>
      </c>
      <c r="I219" s="448" t="e">
        <f t="shared" si="199"/>
        <v>#REF!</v>
      </c>
      <c r="J219" s="448" t="e">
        <f t="shared" si="199"/>
        <v>#REF!</v>
      </c>
      <c r="K219" s="448" t="e">
        <f t="shared" si="199"/>
        <v>#REF!</v>
      </c>
      <c r="L219" s="448" t="e">
        <f t="shared" si="199"/>
        <v>#REF!</v>
      </c>
      <c r="M219" s="448" t="e">
        <f t="shared" si="199"/>
        <v>#REF!</v>
      </c>
      <c r="N219" s="447" t="e">
        <f t="shared" si="199"/>
        <v>#REF!</v>
      </c>
    </row>
    <row r="220" spans="2:14" outlineLevel="1" x14ac:dyDescent="0.45">
      <c r="B220" s="1401" t="str">
        <f>B172</f>
        <v>Manufacturing</v>
      </c>
      <c r="C220" s="499" t="s">
        <v>79</v>
      </c>
      <c r="D220" s="464"/>
      <c r="E220" s="463"/>
      <c r="F220" s="462"/>
      <c r="G220" s="442">
        <f t="shared" ref="G220:N220" si="200">G221*G204</f>
        <v>18093663.67032</v>
      </c>
      <c r="H220" s="442">
        <f t="shared" si="200"/>
        <v>23016242.960409999</v>
      </c>
      <c r="I220" s="442">
        <f t="shared" si="200"/>
        <v>28292639.375999998</v>
      </c>
      <c r="J220" s="442">
        <f t="shared" si="200"/>
        <v>34778136.894760005</v>
      </c>
      <c r="K220" s="442">
        <f t="shared" si="200"/>
        <v>42683404.572240002</v>
      </c>
      <c r="L220" s="442">
        <f t="shared" si="200"/>
        <v>49792274.492279999</v>
      </c>
      <c r="M220" s="442">
        <f t="shared" si="200"/>
        <v>57797455.801848002</v>
      </c>
      <c r="N220" s="441">
        <f t="shared" si="200"/>
        <v>64613187.774719998</v>
      </c>
    </row>
    <row r="221" spans="2:14" outlineLevel="1" x14ac:dyDescent="0.45">
      <c r="B221" s="1401"/>
      <c r="C221" s="529" t="s">
        <v>619</v>
      </c>
      <c r="D221" s="461"/>
      <c r="E221" s="460"/>
      <c r="F221" s="459"/>
      <c r="G221" s="458">
        <f>G173</f>
        <v>0.77373000000000003</v>
      </c>
      <c r="H221" s="458">
        <f t="shared" ref="H221:N221" si="201">H173</f>
        <v>0.76468999999999998</v>
      </c>
      <c r="I221" s="458">
        <f t="shared" si="201"/>
        <v>0.75449999999999995</v>
      </c>
      <c r="J221" s="458">
        <f t="shared" si="201"/>
        <v>0.75131000000000003</v>
      </c>
      <c r="K221" s="458">
        <f t="shared" si="201"/>
        <v>0.76107999999999998</v>
      </c>
      <c r="L221" s="458">
        <f t="shared" si="201"/>
        <v>0.74407000000000001</v>
      </c>
      <c r="M221" s="458">
        <f t="shared" si="201"/>
        <v>0.74120900000000001</v>
      </c>
      <c r="N221" s="457">
        <f t="shared" si="201"/>
        <v>0.73862399999999995</v>
      </c>
    </row>
    <row r="222" spans="2:14" outlineLevel="1" x14ac:dyDescent="0.45">
      <c r="B222" s="1401"/>
      <c r="C222" s="498" t="s">
        <v>648</v>
      </c>
      <c r="D222" s="456"/>
      <c r="E222" s="455"/>
      <c r="F222" s="454"/>
      <c r="G222" s="334">
        <f t="shared" ref="G222:N222" si="202">G204-G220</f>
        <v>5291320.3296799995</v>
      </c>
      <c r="H222" s="334">
        <f t="shared" si="202"/>
        <v>7082546.0395900011</v>
      </c>
      <c r="I222" s="334">
        <f t="shared" si="202"/>
        <v>9205888.6240000017</v>
      </c>
      <c r="J222" s="334">
        <f t="shared" si="202"/>
        <v>11511859.105239995</v>
      </c>
      <c r="K222" s="334">
        <f t="shared" si="202"/>
        <v>13399273.427759998</v>
      </c>
      <c r="L222" s="334">
        <f t="shared" si="202"/>
        <v>17126529.507720001</v>
      </c>
      <c r="M222" s="334">
        <f t="shared" si="202"/>
        <v>20179816.198151998</v>
      </c>
      <c r="N222" s="437">
        <f t="shared" si="202"/>
        <v>22864592.225280002</v>
      </c>
    </row>
    <row r="223" spans="2:14" outlineLevel="1" x14ac:dyDescent="0.45">
      <c r="B223" s="1401"/>
      <c r="C223" s="497" t="s">
        <v>649</v>
      </c>
      <c r="D223" s="451"/>
      <c r="E223" s="450"/>
      <c r="F223" s="449"/>
      <c r="G223" s="448">
        <f t="shared" ref="G223:N223" si="203">G222/G204</f>
        <v>0.22626999999999997</v>
      </c>
      <c r="H223" s="448">
        <f t="shared" si="203"/>
        <v>0.23531000000000005</v>
      </c>
      <c r="I223" s="448">
        <f t="shared" si="203"/>
        <v>0.24550000000000005</v>
      </c>
      <c r="J223" s="448">
        <f t="shared" si="203"/>
        <v>0.24868999999999988</v>
      </c>
      <c r="K223" s="448">
        <f t="shared" si="203"/>
        <v>0.23891999999999997</v>
      </c>
      <c r="L223" s="448">
        <f t="shared" si="203"/>
        <v>0.25592999999999999</v>
      </c>
      <c r="M223" s="448">
        <f t="shared" si="203"/>
        <v>0.25879099999999999</v>
      </c>
      <c r="N223" s="447">
        <f t="shared" si="203"/>
        <v>0.261376</v>
      </c>
    </row>
    <row r="224" spans="2:14" outlineLevel="1" x14ac:dyDescent="0.45">
      <c r="B224" s="1401"/>
      <c r="C224" s="498" t="s">
        <v>650</v>
      </c>
      <c r="D224" s="456"/>
      <c r="E224" s="455"/>
      <c r="F224" s="454"/>
      <c r="G224" s="334">
        <f>G176</f>
        <v>3220613</v>
      </c>
      <c r="H224" s="334">
        <f t="shared" ref="H224:N224" si="204">H176</f>
        <v>3784696</v>
      </c>
      <c r="I224" s="334">
        <f t="shared" si="204"/>
        <v>4672333</v>
      </c>
      <c r="J224" s="334">
        <f t="shared" si="204"/>
        <v>5525702</v>
      </c>
      <c r="K224" s="334">
        <f t="shared" si="204"/>
        <v>6173874</v>
      </c>
      <c r="L224" s="334">
        <f t="shared" si="204"/>
        <v>6947411</v>
      </c>
      <c r="M224" s="334">
        <f t="shared" si="204"/>
        <v>7735720</v>
      </c>
      <c r="N224" s="437">
        <f t="shared" si="204"/>
        <v>8618962</v>
      </c>
    </row>
    <row r="225" spans="2:14" outlineLevel="1" x14ac:dyDescent="0.45">
      <c r="B225" s="1401"/>
      <c r="C225" s="498" t="s">
        <v>651</v>
      </c>
      <c r="D225" s="456"/>
      <c r="E225" s="455"/>
      <c r="F225" s="454"/>
      <c r="G225" s="334">
        <f t="shared" ref="G225:N225" si="205">G222-G224</f>
        <v>2070707.3296799995</v>
      </c>
      <c r="H225" s="334">
        <f t="shared" si="205"/>
        <v>3297850.0395900011</v>
      </c>
      <c r="I225" s="334">
        <f t="shared" si="205"/>
        <v>4533555.6240000017</v>
      </c>
      <c r="J225" s="334">
        <f t="shared" si="205"/>
        <v>5986157.1052399948</v>
      </c>
      <c r="K225" s="334">
        <f t="shared" si="205"/>
        <v>7225399.4277599975</v>
      </c>
      <c r="L225" s="334">
        <f t="shared" si="205"/>
        <v>10179118.507720001</v>
      </c>
      <c r="M225" s="334">
        <f t="shared" si="205"/>
        <v>12444096.198151998</v>
      </c>
      <c r="N225" s="437">
        <f t="shared" si="205"/>
        <v>14245630.225280002</v>
      </c>
    </row>
    <row r="226" spans="2:14" outlineLevel="1" x14ac:dyDescent="0.45">
      <c r="B226" s="1401"/>
      <c r="C226" s="497" t="s">
        <v>652</v>
      </c>
      <c r="D226" s="451"/>
      <c r="E226" s="450"/>
      <c r="F226" s="449"/>
      <c r="G226" s="448">
        <f t="shared" ref="G226:N226" si="206">G225/G204</f>
        <v>8.854858868750988E-2</v>
      </c>
      <c r="H226" s="448">
        <f t="shared" si="206"/>
        <v>0.10956753242098879</v>
      </c>
      <c r="I226" s="448">
        <f t="shared" si="206"/>
        <v>0.12089956235082086</v>
      </c>
      <c r="J226" s="448">
        <f t="shared" si="206"/>
        <v>0.12931859197481882</v>
      </c>
      <c r="K226" s="448">
        <f t="shared" si="206"/>
        <v>0.12883477903391127</v>
      </c>
      <c r="L226" s="448">
        <f t="shared" si="206"/>
        <v>0.15211148286093101</v>
      </c>
      <c r="M226" s="448">
        <f t="shared" si="206"/>
        <v>0.15958619581038944</v>
      </c>
      <c r="N226" s="447">
        <f t="shared" si="206"/>
        <v>0.16284855680242458</v>
      </c>
    </row>
    <row r="227" spans="2:14" outlineLevel="1" x14ac:dyDescent="0.45">
      <c r="B227" s="1401"/>
      <c r="C227" s="498" t="s">
        <v>625</v>
      </c>
      <c r="D227" s="456"/>
      <c r="E227" s="455"/>
      <c r="F227" s="454"/>
      <c r="G227" s="334">
        <f>G179</f>
        <v>795339</v>
      </c>
      <c r="H227" s="334">
        <f t="shared" ref="H227:N227" si="207">H179</f>
        <v>1025126</v>
      </c>
      <c r="I227" s="334">
        <f t="shared" si="207"/>
        <v>1278268</v>
      </c>
      <c r="J227" s="334">
        <f t="shared" si="207"/>
        <v>1578273</v>
      </c>
      <c r="K227" s="334">
        <f t="shared" si="207"/>
        <v>1913637</v>
      </c>
      <c r="L227" s="334">
        <f t="shared" si="207"/>
        <v>2284875</v>
      </c>
      <c r="M227" s="334">
        <f t="shared" si="207"/>
        <v>2663035</v>
      </c>
      <c r="N227" s="437">
        <f t="shared" si="207"/>
        <v>2989443</v>
      </c>
    </row>
    <row r="228" spans="2:14" outlineLevel="1" x14ac:dyDescent="0.45">
      <c r="B228" s="1401"/>
      <c r="C228" s="498" t="s">
        <v>653</v>
      </c>
      <c r="D228" s="456"/>
      <c r="E228" s="455"/>
      <c r="F228" s="454"/>
      <c r="G228" s="334">
        <f t="shared" ref="G228:N228" si="208">G225-G227</f>
        <v>1275368.3296799995</v>
      </c>
      <c r="H228" s="334">
        <f t="shared" si="208"/>
        <v>2272724.0395900011</v>
      </c>
      <c r="I228" s="334">
        <f t="shared" si="208"/>
        <v>3255287.6240000017</v>
      </c>
      <c r="J228" s="334">
        <f t="shared" si="208"/>
        <v>4407884.1052399948</v>
      </c>
      <c r="K228" s="334">
        <f t="shared" si="208"/>
        <v>5311762.4277599975</v>
      </c>
      <c r="L228" s="334">
        <f t="shared" si="208"/>
        <v>7894243.507720001</v>
      </c>
      <c r="M228" s="334">
        <f t="shared" si="208"/>
        <v>9781061.1981519982</v>
      </c>
      <c r="N228" s="437">
        <f t="shared" si="208"/>
        <v>11256187.225280002</v>
      </c>
    </row>
    <row r="229" spans="2:14" outlineLevel="1" x14ac:dyDescent="0.45">
      <c r="B229" s="1401"/>
      <c r="C229" s="497" t="s">
        <v>654</v>
      </c>
      <c r="D229" s="451"/>
      <c r="E229" s="450"/>
      <c r="F229" s="449"/>
      <c r="G229" s="448">
        <f t="shared" ref="G229:N229" si="209">G228/G204</f>
        <v>5.4537917566246763E-2</v>
      </c>
      <c r="H229" s="448">
        <f t="shared" si="209"/>
        <v>7.5508819959168499E-2</v>
      </c>
      <c r="I229" s="448">
        <f t="shared" si="209"/>
        <v>8.6811077597499342E-2</v>
      </c>
      <c r="J229" s="448">
        <f t="shared" si="209"/>
        <v>9.5223255263188936E-2</v>
      </c>
      <c r="K229" s="448">
        <f t="shared" si="209"/>
        <v>9.4713066800412013E-2</v>
      </c>
      <c r="L229" s="448">
        <f t="shared" si="209"/>
        <v>0.11796749248118663</v>
      </c>
      <c r="M229" s="448">
        <f t="shared" si="209"/>
        <v>0.12543477025141375</v>
      </c>
      <c r="N229" s="447">
        <f t="shared" si="209"/>
        <v>0.12867481576784415</v>
      </c>
    </row>
    <row r="230" spans="2:14" outlineLevel="1" x14ac:dyDescent="0.45">
      <c r="B230" s="1401"/>
      <c r="C230" s="498" t="s">
        <v>628</v>
      </c>
      <c r="D230" s="456"/>
      <c r="E230" s="455"/>
      <c r="F230" s="454"/>
      <c r="G230" s="334">
        <f>G182</f>
        <v>0</v>
      </c>
      <c r="H230" s="334">
        <f t="shared" ref="H230:N230" si="210">H182</f>
        <v>0</v>
      </c>
      <c r="I230" s="334">
        <f t="shared" si="210"/>
        <v>0</v>
      </c>
      <c r="J230" s="334">
        <f t="shared" si="210"/>
        <v>0</v>
      </c>
      <c r="K230" s="334">
        <f t="shared" si="210"/>
        <v>0</v>
      </c>
      <c r="L230" s="334">
        <f t="shared" si="210"/>
        <v>1578887</v>
      </c>
      <c r="M230" s="334">
        <f t="shared" si="210"/>
        <v>1956209</v>
      </c>
      <c r="N230" s="437">
        <f t="shared" si="210"/>
        <v>2251243</v>
      </c>
    </row>
    <row r="231" spans="2:14" outlineLevel="1" x14ac:dyDescent="0.45">
      <c r="B231" s="1401"/>
      <c r="C231" s="534" t="s">
        <v>655</v>
      </c>
      <c r="D231" s="456"/>
      <c r="E231" s="455"/>
      <c r="F231" s="454"/>
      <c r="G231" s="453">
        <f t="shared" ref="G231:N231" si="211">G228-G230</f>
        <v>1275368.3296799995</v>
      </c>
      <c r="H231" s="453">
        <f t="shared" si="211"/>
        <v>2272724.0395900011</v>
      </c>
      <c r="I231" s="453">
        <f t="shared" si="211"/>
        <v>3255287.6240000017</v>
      </c>
      <c r="J231" s="453">
        <f t="shared" si="211"/>
        <v>4407884.1052399948</v>
      </c>
      <c r="K231" s="453">
        <f t="shared" si="211"/>
        <v>5311762.4277599975</v>
      </c>
      <c r="L231" s="453">
        <f t="shared" si="211"/>
        <v>6315356.507720001</v>
      </c>
      <c r="M231" s="453">
        <f t="shared" si="211"/>
        <v>7824852.1981519982</v>
      </c>
      <c r="N231" s="452">
        <f t="shared" si="211"/>
        <v>9004944.2252800018</v>
      </c>
    </row>
    <row r="232" spans="2:14" outlineLevel="1" x14ac:dyDescent="0.45">
      <c r="B232" s="1401"/>
      <c r="C232" s="527" t="s">
        <v>656</v>
      </c>
      <c r="D232" s="451"/>
      <c r="E232" s="450"/>
      <c r="F232" s="449"/>
      <c r="G232" s="448">
        <f t="shared" ref="G232:N232" si="212">G231/G204</f>
        <v>5.4537917566246763E-2</v>
      </c>
      <c r="H232" s="448">
        <f t="shared" si="212"/>
        <v>7.5508819959168499E-2</v>
      </c>
      <c r="I232" s="448">
        <f t="shared" si="212"/>
        <v>8.6811077597499342E-2</v>
      </c>
      <c r="J232" s="448">
        <f t="shared" si="212"/>
        <v>9.5223255263188936E-2</v>
      </c>
      <c r="K232" s="448">
        <f t="shared" si="212"/>
        <v>9.4713066800412013E-2</v>
      </c>
      <c r="L232" s="448">
        <f t="shared" si="212"/>
        <v>9.4373421672628827E-2</v>
      </c>
      <c r="M232" s="448">
        <f t="shared" si="212"/>
        <v>0.10034785774695988</v>
      </c>
      <c r="N232" s="447">
        <f t="shared" si="212"/>
        <v>0.10293978911307536</v>
      </c>
    </row>
    <row r="233" spans="2:14" outlineLevel="1" x14ac:dyDescent="0.45">
      <c r="B233" s="1407" t="s">
        <v>605</v>
      </c>
      <c r="C233" s="499" t="str">
        <f>CONCATENATE("Indofood Net Profit from Operation (",TEXT(100%-MID(C216,40,3),"0%"),")")</f>
        <v>Indofood Net Profit from Operation (60%)</v>
      </c>
      <c r="D233" s="446"/>
      <c r="E233" s="445"/>
      <c r="F233" s="444"/>
      <c r="G233" s="443">
        <f>G231*MID($C233,37,3)</f>
        <v>765220.99780799972</v>
      </c>
      <c r="H233" s="442">
        <f t="shared" ref="H233:N233" si="213">H231*MID($C233,37,3)</f>
        <v>1363634.4237540006</v>
      </c>
      <c r="I233" s="442">
        <f t="shared" si="213"/>
        <v>1953172.574400001</v>
      </c>
      <c r="J233" s="442">
        <f t="shared" si="213"/>
        <v>2644730.4631439969</v>
      </c>
      <c r="K233" s="442">
        <f t="shared" si="213"/>
        <v>3187057.4566559982</v>
      </c>
      <c r="L233" s="442">
        <f t="shared" si="213"/>
        <v>3789213.9046320003</v>
      </c>
      <c r="M233" s="442">
        <f t="shared" si="213"/>
        <v>4694911.3188911984</v>
      </c>
      <c r="N233" s="441">
        <f t="shared" si="213"/>
        <v>5402966.5351680005</v>
      </c>
    </row>
    <row r="234" spans="2:14" outlineLevel="1" x14ac:dyDescent="0.45">
      <c r="B234" s="1408"/>
      <c r="C234" s="498" t="str">
        <f>CONCATENATE("Indofood Net Profit as Shareholder (",TEXT(100%-MID(C216,40,3),"0%"),")")</f>
        <v>Indofood Net Profit as Shareholder (60%)</v>
      </c>
      <c r="D234" s="440"/>
      <c r="F234" s="439"/>
      <c r="G234" s="438" t="e">
        <f>G214*MID($C234,37,3)</f>
        <v>#REF!</v>
      </c>
      <c r="H234" s="334" t="e">
        <f t="shared" ref="H234:N234" si="214">H214*MID($C234,37,3)</f>
        <v>#REF!</v>
      </c>
      <c r="I234" s="334" t="e">
        <f t="shared" si="214"/>
        <v>#REF!</v>
      </c>
      <c r="J234" s="334" t="e">
        <f t="shared" si="214"/>
        <v>#REF!</v>
      </c>
      <c r="K234" s="334" t="e">
        <f t="shared" si="214"/>
        <v>#REF!</v>
      </c>
      <c r="L234" s="334" t="e">
        <f t="shared" si="214"/>
        <v>#REF!</v>
      </c>
      <c r="M234" s="334" t="e">
        <f t="shared" si="214"/>
        <v>#REF!</v>
      </c>
      <c r="N234" s="437" t="e">
        <f t="shared" si="214"/>
        <v>#REF!</v>
      </c>
    </row>
    <row r="235" spans="2:14" x14ac:dyDescent="0.45">
      <c r="B235" s="1409"/>
      <c r="C235" s="535" t="s">
        <v>629</v>
      </c>
      <c r="D235" s="436"/>
      <c r="E235" s="435"/>
      <c r="F235" s="434"/>
      <c r="G235" s="433" t="e">
        <f t="shared" ref="G235:N235" si="215">G233+G234</f>
        <v>#REF!</v>
      </c>
      <c r="H235" s="432" t="e">
        <f t="shared" si="215"/>
        <v>#REF!</v>
      </c>
      <c r="I235" s="432" t="e">
        <f t="shared" si="215"/>
        <v>#REF!</v>
      </c>
      <c r="J235" s="432" t="e">
        <f t="shared" si="215"/>
        <v>#REF!</v>
      </c>
      <c r="K235" s="432" t="e">
        <f t="shared" si="215"/>
        <v>#REF!</v>
      </c>
      <c r="L235" s="432" t="e">
        <f t="shared" si="215"/>
        <v>#REF!</v>
      </c>
      <c r="M235" s="432" t="e">
        <f t="shared" si="215"/>
        <v>#REF!</v>
      </c>
      <c r="N235" s="431" t="e">
        <f t="shared" si="215"/>
        <v>#REF!</v>
      </c>
    </row>
    <row r="236" spans="2:14" x14ac:dyDescent="0.45">
      <c r="G236" s="334" t="e">
        <f>G235+G218</f>
        <v>#REF!</v>
      </c>
      <c r="H236" s="334" t="e">
        <f t="shared" ref="H236:N236" si="216">H235+H218</f>
        <v>#REF!</v>
      </c>
      <c r="I236" s="334" t="e">
        <f t="shared" si="216"/>
        <v>#REF!</v>
      </c>
      <c r="J236" s="334" t="e">
        <f t="shared" si="216"/>
        <v>#REF!</v>
      </c>
      <c r="K236" s="334" t="e">
        <f t="shared" si="216"/>
        <v>#REF!</v>
      </c>
      <c r="L236" s="334" t="e">
        <f t="shared" si="216"/>
        <v>#REF!</v>
      </c>
      <c r="M236" s="334" t="e">
        <f t="shared" si="216"/>
        <v>#REF!</v>
      </c>
      <c r="N236" s="334" t="e">
        <f t="shared" si="216"/>
        <v>#REF!</v>
      </c>
    </row>
  </sheetData>
  <mergeCells count="36">
    <mergeCell ref="B220:B232"/>
    <mergeCell ref="B233:B235"/>
    <mergeCell ref="B55:C56"/>
    <mergeCell ref="D55:F55"/>
    <mergeCell ref="G55:N55"/>
    <mergeCell ref="B57:B65"/>
    <mergeCell ref="B93:B95"/>
    <mergeCell ref="B66:B79"/>
    <mergeCell ref="D79:F79"/>
    <mergeCell ref="B80:B92"/>
    <mergeCell ref="B195:C196"/>
    <mergeCell ref="D195:F195"/>
    <mergeCell ref="G195:N195"/>
    <mergeCell ref="B197:B205"/>
    <mergeCell ref="B206:B219"/>
    <mergeCell ref="G147:N147"/>
    <mergeCell ref="B149:B157"/>
    <mergeCell ref="B158:B171"/>
    <mergeCell ref="B172:B184"/>
    <mergeCell ref="B185:B187"/>
    <mergeCell ref="B110:B123"/>
    <mergeCell ref="D123:F123"/>
    <mergeCell ref="B124:B136"/>
    <mergeCell ref="B137:B139"/>
    <mergeCell ref="B147:C148"/>
    <mergeCell ref="D147:F147"/>
    <mergeCell ref="B23:B35"/>
    <mergeCell ref="B99:C100"/>
    <mergeCell ref="D99:F99"/>
    <mergeCell ref="G99:N99"/>
    <mergeCell ref="B101:B109"/>
    <mergeCell ref="B3:C4"/>
    <mergeCell ref="D3:F3"/>
    <mergeCell ref="G3:N3"/>
    <mergeCell ref="B5:B12"/>
    <mergeCell ref="B13:B22"/>
  </mergeCells>
  <conditionalFormatting sqref="C42:O42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C44:O44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C46:O4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C48:O4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8" scale="26" fitToWidth="0" orientation="landscape" verticalDpi="598" r:id="rId1"/>
  <customProperties>
    <customPr name="_pios_id" r:id="rId2"/>
  </customPropertie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C255-43B2-49E3-844E-0BE23FA12A6B}">
  <dimension ref="B2:Q12"/>
  <sheetViews>
    <sheetView showGridLines="0" workbookViewId="0">
      <selection activeCell="AA9" sqref="AA9"/>
    </sheetView>
  </sheetViews>
  <sheetFormatPr defaultRowHeight="14.25" x14ac:dyDescent="0.45"/>
  <cols>
    <col min="2" max="2" width="32.3984375" customWidth="1"/>
    <col min="3" max="3" width="12.1328125" customWidth="1"/>
    <col min="4" max="4" width="32.59765625" customWidth="1"/>
    <col min="5" max="5" width="15.59765625" customWidth="1"/>
    <col min="6" max="6" width="31.73046875" bestFit="1" customWidth="1"/>
    <col min="7" max="7" width="15.59765625" customWidth="1"/>
    <col min="10" max="10" width="13.86328125" customWidth="1"/>
    <col min="14" max="14" width="15.1328125" hidden="1" customWidth="1"/>
    <col min="15" max="15" width="13.86328125" hidden="1" customWidth="1"/>
    <col min="16" max="16" width="14.59765625" hidden="1" customWidth="1"/>
    <col min="17" max="17" width="15.1328125" hidden="1" customWidth="1"/>
  </cols>
  <sheetData>
    <row r="2" spans="2:17" ht="35.25" customHeight="1" thickBot="1" x14ac:dyDescent="0.5">
      <c r="B2" s="1416" t="s">
        <v>669</v>
      </c>
      <c r="C2" s="1417"/>
      <c r="D2" s="1417"/>
      <c r="E2" s="1417"/>
      <c r="F2" s="1417"/>
      <c r="G2" s="1417"/>
    </row>
    <row r="3" spans="2:17" ht="35.25" customHeight="1" thickTop="1" thickBot="1" x14ac:dyDescent="0.5">
      <c r="B3" s="1414" t="s">
        <v>670</v>
      </c>
      <c r="C3" s="1415"/>
      <c r="D3" s="1414" t="s">
        <v>671</v>
      </c>
      <c r="E3" s="1415"/>
      <c r="F3" s="1414" t="s">
        <v>672</v>
      </c>
      <c r="G3" s="1415"/>
    </row>
    <row r="4" spans="2:17" ht="35.25" customHeight="1" thickTop="1" thickBot="1" x14ac:dyDescent="0.5">
      <c r="B4" s="309" t="s">
        <v>673</v>
      </c>
      <c r="C4" s="310" t="s">
        <v>674</v>
      </c>
      <c r="D4" s="309" t="s">
        <v>673</v>
      </c>
      <c r="E4" s="310" t="s">
        <v>674</v>
      </c>
      <c r="F4" s="309" t="s">
        <v>673</v>
      </c>
      <c r="G4" s="310" t="s">
        <v>674</v>
      </c>
      <c r="I4" s="422" t="s">
        <v>675</v>
      </c>
      <c r="J4" s="422" t="s">
        <v>676</v>
      </c>
      <c r="N4" s="320" t="s">
        <v>239</v>
      </c>
      <c r="O4" s="321" t="s">
        <v>677</v>
      </c>
      <c r="P4" s="321" t="s">
        <v>678</v>
      </c>
      <c r="Q4" s="322" t="s">
        <v>679</v>
      </c>
    </row>
    <row r="5" spans="2:17" ht="14.65" thickTop="1" x14ac:dyDescent="0.45">
      <c r="B5" s="308" t="s">
        <v>680</v>
      </c>
      <c r="C5" s="311">
        <f>(0.5/25.5)+(1.5%)</f>
        <v>3.4607843137254901E-2</v>
      </c>
      <c r="D5" s="308" t="s">
        <v>681</v>
      </c>
      <c r="E5" s="311">
        <f>(0.5/26)</f>
        <v>1.9230769230769232E-2</v>
      </c>
      <c r="F5" s="308" t="s">
        <v>682</v>
      </c>
      <c r="G5" s="311">
        <f>(0.5/35.5)</f>
        <v>1.4084507042253521E-2</v>
      </c>
      <c r="I5" s="423">
        <f>7.8*(1-G5)</f>
        <v>7.6901408450704229</v>
      </c>
      <c r="N5" s="316" t="s">
        <v>2</v>
      </c>
      <c r="O5" s="314">
        <f>'Pricing Structure - All SKU'!G143</f>
        <v>386126.73909657937</v>
      </c>
      <c r="P5" s="314">
        <f>'Pricing Structure - All SKU'!I143</f>
        <v>438220.39504419023</v>
      </c>
      <c r="Q5" s="314" t="e">
        <f>'Pricing Structure - All SKU'!#REF!</f>
        <v>#REF!</v>
      </c>
    </row>
    <row r="6" spans="2:17" x14ac:dyDescent="0.45">
      <c r="B6" s="306" t="s">
        <v>683</v>
      </c>
      <c r="C6" s="312">
        <f>(1/51)+(2%)</f>
        <v>3.9607843137254906E-2</v>
      </c>
      <c r="D6" s="306" t="s">
        <v>684</v>
      </c>
      <c r="E6" s="312">
        <f>(1/51)</f>
        <v>1.9607843137254902E-2</v>
      </c>
      <c r="F6" s="306" t="s">
        <v>685</v>
      </c>
      <c r="G6" s="312">
        <f>(1/61)</f>
        <v>1.6393442622950821E-2</v>
      </c>
      <c r="I6" s="423">
        <f t="shared" ref="I6:I11" si="0">7.8*(1-G6)</f>
        <v>7.6721311475409832</v>
      </c>
      <c r="N6" s="317" t="s">
        <v>3</v>
      </c>
      <c r="O6" s="315">
        <f>'Pricing Structure - All SKU'!T143</f>
        <v>25824.366255210549</v>
      </c>
      <c r="P6" s="315">
        <f>'Pricing Structure - All SKU'!V143</f>
        <v>75700.169300535024</v>
      </c>
      <c r="Q6" s="315" t="e">
        <f>'Pricing Structure - All SKU'!#REF!</f>
        <v>#REF!</v>
      </c>
    </row>
    <row r="7" spans="2:17" x14ac:dyDescent="0.45">
      <c r="B7" s="306" t="s">
        <v>686</v>
      </c>
      <c r="C7" s="312">
        <f>(3/103)+(2%)</f>
        <v>4.9126213592233015E-2</v>
      </c>
      <c r="D7" s="306" t="s">
        <v>687</v>
      </c>
      <c r="E7" s="312">
        <f>(3/103)</f>
        <v>2.9126213592233011E-2</v>
      </c>
      <c r="F7" s="306" t="s">
        <v>688</v>
      </c>
      <c r="G7" s="312">
        <f>(2/102)</f>
        <v>1.9607843137254902E-2</v>
      </c>
      <c r="I7" s="423">
        <f t="shared" si="0"/>
        <v>7.6470588235294112</v>
      </c>
      <c r="N7" s="317" t="s">
        <v>4</v>
      </c>
      <c r="O7" s="315">
        <f>'Pricing Structure - All SKU'!AI143</f>
        <v>165033.28875696589</v>
      </c>
      <c r="P7" s="315">
        <f>'Pricing Structure - All SKU'!AK143</f>
        <v>39965.81976318801</v>
      </c>
      <c r="Q7" s="315" t="e">
        <f>'Pricing Structure - All SKU'!#REF!</f>
        <v>#REF!</v>
      </c>
    </row>
    <row r="8" spans="2:17" ht="14.65" thickBot="1" x14ac:dyDescent="0.5">
      <c r="B8" s="306" t="s">
        <v>689</v>
      </c>
      <c r="C8" s="312">
        <f>(5/155)+(2%)</f>
        <v>5.2258064516129035E-2</v>
      </c>
      <c r="D8" s="306" t="s">
        <v>690</v>
      </c>
      <c r="E8" s="312">
        <f>(5/155)</f>
        <v>3.2258064516129031E-2</v>
      </c>
      <c r="F8" s="306" t="s">
        <v>691</v>
      </c>
      <c r="G8" s="312">
        <f>(5/205)</f>
        <v>2.4390243902439025E-2</v>
      </c>
      <c r="I8" s="423">
        <f t="shared" si="0"/>
        <v>7.6097560975609753</v>
      </c>
      <c r="N8" s="318" t="s">
        <v>201</v>
      </c>
      <c r="O8" s="319">
        <f>SUM(O5:O7)</f>
        <v>576984.39410875575</v>
      </c>
      <c r="P8" s="319">
        <f>SUM(P5:P7)</f>
        <v>553886.38410791324</v>
      </c>
      <c r="Q8" s="319" t="e">
        <f>SUM(Q5:Q7)</f>
        <v>#REF!</v>
      </c>
    </row>
    <row r="9" spans="2:17" ht="14.65" thickTop="1" x14ac:dyDescent="0.45">
      <c r="B9" s="306" t="s">
        <v>692</v>
      </c>
      <c r="C9" s="312">
        <f>(1/41)+(3.5%+3%)</f>
        <v>8.9390243902439021E-2</v>
      </c>
      <c r="D9" s="306" t="s">
        <v>692</v>
      </c>
      <c r="E9" s="312">
        <f>C9</f>
        <v>8.9390243902439021E-2</v>
      </c>
      <c r="F9" s="306" t="s">
        <v>693</v>
      </c>
      <c r="G9" s="312">
        <f>1/51+6.5%</f>
        <v>8.4607843137254904E-2</v>
      </c>
      <c r="I9" s="423">
        <f t="shared" si="0"/>
        <v>7.1400588235294116</v>
      </c>
    </row>
    <row r="10" spans="2:17" x14ac:dyDescent="0.45">
      <c r="B10" s="306" t="s">
        <v>694</v>
      </c>
      <c r="C10" s="312">
        <f>(1/41)+(3%)</f>
        <v>5.4390243902439024E-2</v>
      </c>
      <c r="D10" s="306" t="s">
        <v>694</v>
      </c>
      <c r="E10" s="312">
        <f>C10</f>
        <v>5.4390243902439024E-2</v>
      </c>
      <c r="F10" s="306" t="s">
        <v>695</v>
      </c>
      <c r="G10" s="312">
        <f>E10</f>
        <v>5.4390243902439024E-2</v>
      </c>
      <c r="I10" s="423">
        <f t="shared" si="0"/>
        <v>7.3757560975609753</v>
      </c>
    </row>
    <row r="11" spans="2:17" ht="14.65" thickBot="1" x14ac:dyDescent="0.5">
      <c r="B11" s="307" t="s">
        <v>696</v>
      </c>
      <c r="C11" s="313">
        <f>3%</f>
        <v>0.03</v>
      </c>
      <c r="D11" s="307" t="s">
        <v>696</v>
      </c>
      <c r="E11" s="313">
        <f>3%</f>
        <v>0.03</v>
      </c>
      <c r="F11" s="307" t="s">
        <v>696</v>
      </c>
      <c r="G11" s="313">
        <f>3%</f>
        <v>0.03</v>
      </c>
      <c r="I11" s="423">
        <f t="shared" si="0"/>
        <v>7.5659999999999998</v>
      </c>
    </row>
    <row r="12" spans="2:17" ht="14.65" thickTop="1" x14ac:dyDescent="0.45"/>
  </sheetData>
  <mergeCells count="4">
    <mergeCell ref="B3:C3"/>
    <mergeCell ref="D3:E3"/>
    <mergeCell ref="B2:G2"/>
    <mergeCell ref="F3:G3"/>
  </mergeCells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8c22d0-a189-414f-86f4-803a7d8acd9b" xsi:nil="true"/>
    <lcf76f155ced4ddcb4097134ff3c332f xmlns="53e955d0-1591-4425-8b89-4da0a81c6459">
      <Terms xmlns="http://schemas.microsoft.com/office/infopath/2007/PartnerControls"/>
    </lcf76f155ced4ddcb4097134ff3c332f>
    <MediaLengthInSeconds xmlns="53e955d0-1591-4425-8b89-4da0a81c6459" xsi:nil="true"/>
    <SharedWithUsers xmlns="5a8c22d0-a189-414f-86f4-803a7d8acd9b">
      <UserInfo>
        <DisplayName>gloriawilahar04</DisplayName>
        <AccountId>64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B31FF430043D4CAE2CD5536DE659DD" ma:contentTypeVersion="17" ma:contentTypeDescription="Create a new document." ma:contentTypeScope="" ma:versionID="e9b17ce4b79f2bf5cd0368f82625f0d8">
  <xsd:schema xmlns:xsd="http://www.w3.org/2001/XMLSchema" xmlns:xs="http://www.w3.org/2001/XMLSchema" xmlns:p="http://schemas.microsoft.com/office/2006/metadata/properties" xmlns:ns2="53e955d0-1591-4425-8b89-4da0a81c6459" xmlns:ns3="5a8c22d0-a189-414f-86f4-803a7d8acd9b" targetNamespace="http://schemas.microsoft.com/office/2006/metadata/properties" ma:root="true" ma:fieldsID="7397d52b5f8b0539421df30e7a519f2b" ns2:_="" ns3:_="">
    <xsd:import namespace="53e955d0-1591-4425-8b89-4da0a81c6459"/>
    <xsd:import namespace="5a8c22d0-a189-414f-86f4-803a7d8acd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955d0-1591-4425-8b89-4da0a81c64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d92d4ba-fd26-47b2-8ce8-388a7fb92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c22d0-a189-414f-86f4-803a7d8ac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e926f7d-0621-476e-a687-e7677fb2a221}" ma:internalName="TaxCatchAll" ma:showField="CatchAllData" ma:web="5a8c22d0-a189-414f-86f4-803a7d8acd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93355B-4796-4A84-9C3D-2120517C7B28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53e955d0-1591-4425-8b89-4da0a81c6459"/>
    <ds:schemaRef ds:uri="http://schemas.microsoft.com/office/infopath/2007/PartnerControls"/>
    <ds:schemaRef ds:uri="5a8c22d0-a189-414f-86f4-803a7d8acd9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5201DCB-A43E-441E-892E-CB2D58B8DA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955d0-1591-4425-8b89-4da0a81c6459"/>
    <ds:schemaRef ds:uri="5a8c22d0-a189-414f-86f4-803a7d8ac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C22A17-37BE-4481-9EEB-0E0C8FB842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18</vt:i4>
      </vt:variant>
    </vt:vector>
  </HeadingPairs>
  <TitlesOfParts>
    <vt:vector size="55" baseType="lpstr">
      <vt:lpstr>Pricing Structure</vt:lpstr>
      <vt:lpstr>All SKU Pricing Structure</vt:lpstr>
      <vt:lpstr>P&amp;L by Ctn</vt:lpstr>
      <vt:lpstr>P&amp;L TOTAL 150</vt:lpstr>
      <vt:lpstr>P&amp;L TOTAL</vt:lpstr>
      <vt:lpstr>P&amp;L TOTAL &lt;150</vt:lpstr>
      <vt:lpstr>STT STD - By SKU 150</vt:lpstr>
      <vt:lpstr>Trading Term Summary</vt:lpstr>
      <vt:lpstr>STT STD - By Province</vt:lpstr>
      <vt:lpstr>STT STD - By SKU &lt;150</vt:lpstr>
      <vt:lpstr>STT STD - By SKU By Province</vt:lpstr>
      <vt:lpstr>COGS Comparison</vt:lpstr>
      <vt:lpstr>PMAD PGAG CGSS ex</vt:lpstr>
      <vt:lpstr>Pricing Structure - All</vt:lpstr>
      <vt:lpstr>Pricing Structure - PMAD</vt:lpstr>
      <vt:lpstr>Pricing Structure - PMKS PMKF</vt:lpstr>
      <vt:lpstr>Pricing Structure IPKS &amp; IPKF </vt:lpstr>
      <vt:lpstr>Pricing Structure - IIP</vt:lpstr>
      <vt:lpstr>Pricing Structure - GSS</vt:lpstr>
      <vt:lpstr>Pricing Structure - IIP (2)</vt:lpstr>
      <vt:lpstr>Pricing Structure - All SKU</vt:lpstr>
      <vt:lpstr>Pricing Structure - IHAG</vt:lpstr>
      <vt:lpstr>Pricing Structure - GPD GRS</vt:lpstr>
      <vt:lpstr>Pricing Structure - CGSS</vt:lpstr>
      <vt:lpstr>Pricing Structure - PGAG</vt:lpstr>
      <vt:lpstr>Pricing Structure - PMAJ</vt:lpstr>
      <vt:lpstr>Pricing Structure - TORI MISO</vt:lpstr>
      <vt:lpstr>Sales Volume</vt:lpstr>
      <vt:lpstr>Pricing Structure - GSS - FS</vt:lpstr>
      <vt:lpstr>Pricing Structure - IHAG - FS</vt:lpstr>
      <vt:lpstr>P&amp;L 130mio</vt:lpstr>
      <vt:lpstr>Pricing &amp; Profitability By SKU</vt:lpstr>
      <vt:lpstr>Pricing &amp; Profitability - New</vt:lpstr>
      <vt:lpstr>P&amp;L - Current v Proposed</vt:lpstr>
      <vt:lpstr>P&amp;L - Current v Proposed (New)</vt:lpstr>
      <vt:lpstr>Distributor Profitability</vt:lpstr>
      <vt:lpstr>Regular Promotion &amp; GP Summary</vt:lpstr>
      <vt:lpstr>'All SKU Pricing Structure'!Print_Area</vt:lpstr>
      <vt:lpstr>'PMAD PGAG CGSS ex'!Print_Area</vt:lpstr>
      <vt:lpstr>'Pricing Structure'!Print_Area</vt:lpstr>
      <vt:lpstr>'Pricing Structure - All'!Print_Area</vt:lpstr>
      <vt:lpstr>'Pricing Structure - All SKU'!Print_Area</vt:lpstr>
      <vt:lpstr>'Pricing Structure - CGSS'!Print_Area</vt:lpstr>
      <vt:lpstr>'Pricing Structure - GPD GRS'!Print_Area</vt:lpstr>
      <vt:lpstr>'Pricing Structure - GSS'!Print_Area</vt:lpstr>
      <vt:lpstr>'Pricing Structure - GSS - FS'!Print_Area</vt:lpstr>
      <vt:lpstr>'Pricing Structure - IHAG'!Print_Area</vt:lpstr>
      <vt:lpstr>'Pricing Structure - IHAG - FS'!Print_Area</vt:lpstr>
      <vt:lpstr>'Pricing Structure - IIP'!Print_Area</vt:lpstr>
      <vt:lpstr>'Pricing Structure - IIP (2)'!Print_Area</vt:lpstr>
      <vt:lpstr>'Pricing Structure - PGAG'!Print_Area</vt:lpstr>
      <vt:lpstr>'Pricing Structure - PMAD'!Print_Area</vt:lpstr>
      <vt:lpstr>'Pricing Structure - PMAJ'!Print_Area</vt:lpstr>
      <vt:lpstr>'Pricing Structure - PMKS PMKF'!Print_Area</vt:lpstr>
      <vt:lpstr>'Pricing Structure - TORI MISO'!Print_Area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Soemarsono</dc:creator>
  <cp:keywords/>
  <dc:description/>
  <cp:lastModifiedBy>Dennis Cahyawan</cp:lastModifiedBy>
  <cp:revision/>
  <cp:lastPrinted>2025-03-18T06:13:38Z</cp:lastPrinted>
  <dcterms:created xsi:type="dcterms:W3CDTF">2021-01-26T07:08:59Z</dcterms:created>
  <dcterms:modified xsi:type="dcterms:W3CDTF">2025-03-18T06:14:24Z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0x01010050B31FF430043D4CAE2CD5536DE659DD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{"FileActivityType":"9","FileActivityTimeStamp":"2023-06-27T03:03:06.440Z","FileActivityUsersOnPage":[{"DisplayName":"Martin Soemarsono","Id":"martin.soemarsono@indofoodglobal.com"}],"FileActivityNavigationId":null}</vt:lpwstr>
  </property>
  <property fmtid="{D5CDD505-2E9C-101B-9397-08002B2CF9AE}" pid="7" name="TriggerFlowInfo">
    <vt:lpwstr/>
  </property>
  <property fmtid="{D5CDD505-2E9C-101B-9397-08002B2CF9AE}" pid="8" name="CustomUiType">
    <vt:lpwstr>2</vt:lpwstr>
  </property>
</Properties>
</file>